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rification - Summary" sheetId="1" r:id="rId4"/>
    <sheet state="visible" name="API Testing" sheetId="2" r:id="rId5"/>
    <sheet state="visible" name="E2E Scenarios" sheetId="3" r:id="rId6"/>
    <sheet state="visible" name="Real Device Testing - Scenarios" sheetId="4" r:id="rId7"/>
    <sheet state="visible" name="Real Device Testing" sheetId="5" r:id="rId8"/>
    <sheet state="visible" name="Pre-Reg-Scenarios" sheetId="6" r:id="rId9"/>
    <sheet state="visible" name="Pre-reg" sheetId="7" r:id="rId10"/>
    <sheet state="visible" name="RegClient-Scenarios" sheetId="8" r:id="rId11"/>
    <sheet state="visible" name="RegClient" sheetId="9" r:id="rId12"/>
    <sheet state="visible" name="Admin-Scenarios" sheetId="10" r:id="rId13"/>
    <sheet state="visible" name="Admin" sheetId="11" r:id="rId14"/>
    <sheet state="visible" name="Resident-Scenarios" sheetId="12" r:id="rId15"/>
    <sheet state="visible" name="Resident" sheetId="13" r:id="rId16"/>
    <sheet state="visible" name="PMS-Scenarios" sheetId="14" r:id="rId17"/>
    <sheet state="visible" name="PMS" sheetId="15" r:id="rId18"/>
    <sheet state="visible" name="IDA-Scenarios" sheetId="16" r:id="rId19"/>
    <sheet state="visible" name="IDA" sheetId="17" r:id="rId20"/>
    <sheet state="visible" name="RegProc-Scenarios" sheetId="18" r:id="rId21"/>
    <sheet state="visible" name="RegProc" sheetId="19" r:id="rId22"/>
    <sheet state="hidden" name="All Failed TCs (Auto Generated)" sheetId="20" r:id="rId23"/>
  </sheets>
  <definedNames>
    <definedName hidden="1" localSheetId="6" name="_xlnm._FilterDatabase">'Pre-reg'!$D$1:$D$786</definedName>
    <definedName hidden="1" localSheetId="16" name="_xlnm._FilterDatabase">IDA!$I$1:$I$941</definedName>
    <definedName hidden="1" localSheetId="10" name="Z_7EA75EEB_CF8F_4056_9ACB_7CDB960478BB_.wvu.FilterData">Admin!$J$1:$J$680</definedName>
  </definedNames>
  <calcPr/>
  <customWorkbookViews>
    <customWorkbookView activeSheetId="0" maximized="1" windowHeight="0" windowWidth="0" guid="{7EA75EEB-CF8F-4056-9ACB-7CDB960478BB}" name="Filter 1"/>
  </customWorkbookViews>
  <extLst>
    <ext uri="GoogleSheetsCustomDataVersion1">
      <go:sheetsCustomData xmlns:go="http://customooxmlschemas.google.com/" r:id="rId24" roundtripDataSignature="AMtx7mgV9hNt8YLI22WNqLIoAIstXsiJag=="/>
    </ext>
  </extLst>
</workbook>
</file>

<file path=xl/sharedStrings.xml><?xml version="1.0" encoding="utf-8"?>
<sst xmlns="http://schemas.openxmlformats.org/spreadsheetml/2006/main" count="36881" uniqueCount="15211">
  <si>
    <t>Pre-Reg</t>
  </si>
  <si>
    <t>RegClient</t>
  </si>
  <si>
    <t>RegProc</t>
  </si>
  <si>
    <t>Resident</t>
  </si>
  <si>
    <t>Admin</t>
  </si>
  <si>
    <t>IDA</t>
  </si>
  <si>
    <t>PMS</t>
  </si>
  <si>
    <t>Module</t>
  </si>
  <si>
    <t>Stories verified</t>
  </si>
  <si>
    <t>Test Cases</t>
  </si>
  <si>
    <t>Story</t>
  </si>
  <si>
    <t>Test Results</t>
  </si>
  <si>
    <t>Total</t>
  </si>
  <si>
    <t>w/o TC</t>
  </si>
  <si>
    <t>With Stories</t>
  </si>
  <si>
    <t>w/o Stories</t>
  </si>
  <si>
    <t>Reg Client</t>
  </si>
  <si>
    <t>Reg Proc</t>
  </si>
  <si>
    <t>Module wise functional test metrics</t>
  </si>
  <si>
    <t># End Points (External APIs)</t>
  </si>
  <si>
    <t># Test Cases</t>
  </si>
  <si>
    <t>Tested</t>
  </si>
  <si>
    <t>Skipped</t>
  </si>
  <si>
    <t>Failed</t>
  </si>
  <si>
    <t>Passed</t>
  </si>
  <si>
    <t>Pending</t>
  </si>
  <si>
    <t>Id Repo</t>
  </si>
  <si>
    <t>MasterData</t>
  </si>
  <si>
    <t>Test Coverage (%)</t>
  </si>
  <si>
    <t>Pass rate (%)</t>
  </si>
  <si>
    <t>Scenario</t>
  </si>
  <si>
    <t>Scenario  Description</t>
  </si>
  <si>
    <t>Test result</t>
  </si>
  <si>
    <t>Remarks</t>
  </si>
  <si>
    <t>Scenario_1</t>
  </si>
  <si>
    <t>Resident has pre-registered with document have appointment and gets UIN card</t>
  </si>
  <si>
    <t>Pass</t>
  </si>
  <si>
    <t>Scenario_2</t>
  </si>
  <si>
    <t>Resident walkins to reg-client to get UIN card</t>
  </si>
  <si>
    <t>Scenario_3</t>
  </si>
  <si>
    <t>Resident lost UIN and walks in to center to retrieve the UIN</t>
  </si>
  <si>
    <t>Scenario_4</t>
  </si>
  <si>
    <t>Resident updated biometrics and then downloads the UIN card</t>
  </si>
  <si>
    <t>Scenario_5</t>
  </si>
  <si>
    <t>Resident Child want to get UIN without Guardian Details</t>
  </si>
  <si>
    <t>Scenario_6</t>
  </si>
  <si>
    <t>Resident Child want to get UIN with Guardian having RID</t>
  </si>
  <si>
    <t>Scenario_7</t>
  </si>
  <si>
    <t>A differently abled resident walks in to a center gets UIN card</t>
  </si>
  <si>
    <t>Scenario_9</t>
  </si>
  <si>
    <t>A resident wants to register his child with his RID but his packet gets rejected later the child packet will also be on hold</t>
  </si>
  <si>
    <t>Scenario_8</t>
  </si>
  <si>
    <t>A differently abled resident walks update his iris and download UIN card</t>
  </si>
  <si>
    <t>Scenario_10</t>
  </si>
  <si>
    <t>Resident  already has UIN wants to get new UIN again</t>
  </si>
  <si>
    <t>Scenario_11</t>
  </si>
  <si>
    <t>Resident already has UIN wants to get new UIN again with bio exception</t>
  </si>
  <si>
    <t>Scenario_12</t>
  </si>
  <si>
    <t>Resident gives demo details of already registred UIN but different biometric of Finger IRIS Face New registration</t>
  </si>
  <si>
    <t>Scenario_13</t>
  </si>
  <si>
    <t>Resident registers for UIN with different demo details but same biometrics who already has UIN</t>
  </si>
  <si>
    <t>Scenario_14</t>
  </si>
  <si>
    <t>Resident walks in to registration center tries to get UIN without giving Biometric</t>
  </si>
  <si>
    <t>Scenario_15</t>
  </si>
  <si>
    <t>Resident updates demo details in registration center and post successful processing downloads the EUIN using resident Portal</t>
  </si>
  <si>
    <t>Scenario_16</t>
  </si>
  <si>
    <t>Resident without UIN walks in to center to retrieve the UIN he is not register</t>
  </si>
  <si>
    <t>Scenario_17</t>
  </si>
  <si>
    <t>A resident wants to generate the UIN without documents upload</t>
  </si>
  <si>
    <t>Scenario_18</t>
  </si>
  <si>
    <t>A resident wants to generate the UIN without biometric upload</t>
  </si>
  <si>
    <t>Scenario_19</t>
  </si>
  <si>
    <t>A resident wants to get Lost UIN without biometric upload</t>
  </si>
  <si>
    <t>Scenario_20</t>
  </si>
  <si>
    <t>A non-resident person want to get the UIN for him and his family</t>
  </si>
  <si>
    <t>Scenario_21</t>
  </si>
  <si>
    <t>Resident Child with Guardian having RID BulkUpload both the packet</t>
  </si>
  <si>
    <t>Scenario_22</t>
  </si>
  <si>
    <t>Resident has preregistered have appointment and gets UIN Later bio authentication done using face</t>
  </si>
  <si>
    <t>Scenario_23</t>
  </si>
  <si>
    <t>A blind resident walks to get UIN and further does Auth using Finger</t>
  </si>
  <si>
    <t>Scenario_24</t>
  </si>
  <si>
    <t>Resident with UIN does right finger bio auth</t>
  </si>
  <si>
    <t>Scenario_25</t>
  </si>
  <si>
    <t>Resident has UIN updates biometric and does eKYC using Face biometric</t>
  </si>
  <si>
    <t>Scenario_26</t>
  </si>
  <si>
    <t>Resident has UIN updates biometric and does eKYC using leftIrisDevice biometric</t>
  </si>
  <si>
    <t>Scenario_27</t>
  </si>
  <si>
    <t>Resident has UIN updates biometric and does eKYC using leftRingDevice biometric</t>
  </si>
  <si>
    <t>Scenario_28</t>
  </si>
  <si>
    <t>Resident update his phone number and further does EKYC using OTP</t>
  </si>
  <si>
    <t>Scenario_29</t>
  </si>
  <si>
    <t>Resident update his email address in registration center and further does Auth using OTP</t>
  </si>
  <si>
    <t>Scenario_30</t>
  </si>
  <si>
    <t>Resident has UIN wants to do Auth using LeftIris as Bio and Phone Number as demo  and OTP from persona</t>
  </si>
  <si>
    <t>Scenario_31</t>
  </si>
  <si>
    <t>Resident has UIN wants to do Auth using LeftRingFinger as Bio and dob as demo and OTP from persona</t>
  </si>
  <si>
    <t>Scenario_32</t>
  </si>
  <si>
    <t>Resident has UIN updates address and does demographic authentication and download EUIN using resident Portal</t>
  </si>
  <si>
    <t>Scenario_33</t>
  </si>
  <si>
    <t>Resident update email  in resident portal and Perform OTP auth from IDA</t>
  </si>
  <si>
    <t>Scenario_34</t>
  </si>
  <si>
    <t>Resident child walkin to regcenter to update his Full name and perform demo Auth</t>
  </si>
  <si>
    <t>Scenario_35</t>
  </si>
  <si>
    <t>Resident updated biometrics and gets ekyc done using VID with Biometric</t>
  </si>
  <si>
    <t>Scenario_36</t>
  </si>
  <si>
    <t>A differently abled resident walks in to a center gets UIN and get ekyc done with his VID</t>
  </si>
  <si>
    <t>Scenario_37</t>
  </si>
  <si>
    <t>Resident has pre-registered have appointment and gets UIN after previous UIN application is rejected with different center</t>
  </si>
  <si>
    <t>Scenario_38</t>
  </si>
  <si>
    <t>Resident has pre-registered have appointment and gets UIN after previous UIN application is in progress with different center</t>
  </si>
  <si>
    <t>MOSIP-18432</t>
  </si>
  <si>
    <t>Scenario_39</t>
  </si>
  <si>
    <t>Resident has previously registered but the application was rejected now have appointment and gets UIN with the same center</t>
  </si>
  <si>
    <t>Scenario_40</t>
  </si>
  <si>
    <t>Resident registers and gets UIN Later gets eKYC done with perpetual VID and face auth</t>
  </si>
  <si>
    <t>Scenario_41</t>
  </si>
  <si>
    <t>Resident registers and gets UIN Later gets eKYC done with perpetual VID and right ring finger auth</t>
  </si>
  <si>
    <t>Scenario_42</t>
  </si>
  <si>
    <t>Resident registers and gets UIN Later gets eKYC done with perpetual VID and right iris auth</t>
  </si>
  <si>
    <t>Scenario_43</t>
  </si>
  <si>
    <t>Differently abled Resident registers and gets UIN Later gets eKYC done with perpetual VID</t>
  </si>
  <si>
    <t>Scenario_44</t>
  </si>
  <si>
    <t>Resident registers and gets UIN Later gets eKYC done with temporary VID and face auth</t>
  </si>
  <si>
    <t>Scenario_45</t>
  </si>
  <si>
    <t>Resident registers and gets UIN Later gets eKYC done with temporary VID and right ring finger auth</t>
  </si>
  <si>
    <t>Scenario_46</t>
  </si>
  <si>
    <t>Resident registers and gets UIN Later gets eKYC done with temporary VID and right iris auth</t>
  </si>
  <si>
    <t>Scenario_47</t>
  </si>
  <si>
    <t>Differently abled Resident registers and gets UIN Later gets eKYC done with Temporary VID</t>
  </si>
  <si>
    <t>Scenario_48</t>
  </si>
  <si>
    <t>Upload corrupted packet</t>
  </si>
  <si>
    <t>Scenario_49</t>
  </si>
  <si>
    <t>Same minor with different Guardian</t>
  </si>
  <si>
    <t>Scenario_50</t>
  </si>
  <si>
    <t>Same minor with same Guardian registering multiple times</t>
  </si>
  <si>
    <t>Scenario_51</t>
  </si>
  <si>
    <t>Resident do Bio Auth and check the History of Auth using Resident Portal</t>
  </si>
  <si>
    <t>Scenario_52</t>
  </si>
  <si>
    <t>Partner  to update my policy by removing demo Auth and perform auth with demo</t>
  </si>
  <si>
    <t>Create new policy by removing  demo auth in allowed auth types</t>
  </si>
  <si>
    <t>Scenario_53</t>
  </si>
  <si>
    <t>Deactivate partner and do demo Auth</t>
  </si>
  <si>
    <t>Scenario_54</t>
  </si>
  <si>
    <t>Resident gets UIN and later print his UIN card using resident Portal</t>
  </si>
  <si>
    <t>Feature</t>
  </si>
  <si>
    <t>Reviewed</t>
  </si>
  <si>
    <t>MOSIP</t>
  </si>
  <si>
    <t>VENDOR</t>
  </si>
  <si>
    <t>Fingerprints capture</t>
  </si>
  <si>
    <t>Placing fingers on device to scan before/after starting scan</t>
  </si>
  <si>
    <t>Yes</t>
  </si>
  <si>
    <t>Placing fingers on FP device to scan after some time gap from the start of scan</t>
  </si>
  <si>
    <t>Resident places finger/thumb on device to scan during session expiry</t>
  </si>
  <si>
    <t>Resident removed fingers on FP device, while scan is in progress.</t>
  </si>
  <si>
    <t>Left/Right/Thumbs slap fingerprints capturing multiple times</t>
  </si>
  <si>
    <t>Tattoos on finger (Ex. Mehandi)</t>
  </si>
  <si>
    <t>Placing wrong fingers (Ex: Thumbs instead of left slap)</t>
  </si>
  <si>
    <t>FPs capture time - From start capture to end capture</t>
  </si>
  <si>
    <t>FPs capture time out: 
1. Resident not placed fingers to scan
2. Place the poor quality fingers and timed out for last attempt.
3. Resident has not kept Finger on FP device to scan</t>
  </si>
  <si>
    <t>Unclean/Dirty FP scanner prism (auto calibrate)</t>
  </si>
  <si>
    <t>Elimination of halo due to moist</t>
  </si>
  <si>
    <t>FP Threshold: Threshold 90
First attempt - 40
Second attempt - 60
Third attempt - 80
Biometric captured with a bad quality score in all attempts &lt;50</t>
  </si>
  <si>
    <t>Auto Capture FPs Automatic detection and capturing of fingerprints</t>
  </si>
  <si>
    <t>Latent Fingerprints traces due to sweat or oil</t>
  </si>
  <si>
    <t>Exceptions with Fingerprints</t>
  </si>
  <si>
    <t>Audio/Visual indication - Device level or App. level</t>
  </si>
  <si>
    <t>Fingerprint segmentation</t>
  </si>
  <si>
    <t>Connect/Disconnect FP device</t>
  </si>
  <si>
    <t>Iris capture</t>
  </si>
  <si>
    <t>Dual Iris capture - simultaneous capture of both iris images</t>
  </si>
  <si>
    <t xml:space="preserve">User placed both Iris in front of Iris scanner before scan start </t>
  </si>
  <si>
    <t>Started capturing Iris with some time gap on start of scan</t>
  </si>
  <si>
    <t>During Iris scan is in process, resident moved away from Iris scanner</t>
  </si>
  <si>
    <t>Resident unable to open eyes widely</t>
  </si>
  <si>
    <t>Iris scanner capture distance</t>
  </si>
  <si>
    <t>Capturing dual iris multiple times</t>
  </si>
  <si>
    <t>Iris capture for minor and adult</t>
  </si>
  <si>
    <t>Hold Iris scanner upside down and try to capture Iris</t>
  </si>
  <si>
    <t>Iris capture time - From start capture to end capture</t>
  </si>
  <si>
    <t>Iris capture time out</t>
  </si>
  <si>
    <t>Iris Threshold: Threshold 70
First attempt - 40
Second attempt - 60
Third attempt - 80
Iris captured with bad quality score in all attempts &lt;50</t>
  </si>
  <si>
    <t>Iris with exceptions - Iris capture, Proof of Exception Doc, Exception Face</t>
  </si>
  <si>
    <t>Audio/Visual indication - Iris Device level or App. level</t>
  </si>
  <si>
    <t>Iris segmentation</t>
  </si>
  <si>
    <t>Connect/Disconnect Iris scanner</t>
  </si>
  <si>
    <t>Capturing Iris with Single Iris scanner</t>
  </si>
  <si>
    <t>Face Capturing</t>
  </si>
  <si>
    <t>Auto capture - Face is present in front of face camera before starting scan</t>
  </si>
  <si>
    <t>Resident started capturing face with some time gap on start of scan</t>
  </si>
  <si>
    <t>During face capture is in process, resident moved away from face camera</t>
  </si>
  <si>
    <t>Resident moving face while capture is in progress</t>
  </si>
  <si>
    <t>Captured Face with less quality score in first, second and third attempts</t>
  </si>
  <si>
    <t>Face Threshold: 50
First attempt - 40
Second attempt - 60
Third attempt - 80
Face captured with bad quality score in all attempts &lt;50</t>
  </si>
  <si>
    <t>Face camera capture distance</t>
  </si>
  <si>
    <t>Face Auto capture</t>
  </si>
  <si>
    <t>Capturing Based on age</t>
  </si>
  <si>
    <t>Pose angles (yaw, pitch, and roll)</t>
  </si>
  <si>
    <t>Face capturing based on eyes (Resident have one eye, do not have both eyes &amp; Eye point position)</t>
  </si>
  <si>
    <t>Face capture based on Properties like glasses, facial ornamentation, hats/caps etc.</t>
  </si>
  <si>
    <t>Hair color and style</t>
  </si>
  <si>
    <t>Face expression like - non-smiling,  mouth closed, smile with closed jaw etc</t>
  </si>
  <si>
    <t>Background</t>
  </si>
  <si>
    <t>Capture time out: Face</t>
  </si>
  <si>
    <t>Face Capture Time</t>
  </si>
  <si>
    <t>Audio/Visual indication - Device level or Application level</t>
  </si>
  <si>
    <t>Connect/Disconnect Face camera</t>
  </si>
  <si>
    <t>Changing Devices</t>
  </si>
  <si>
    <t xml:space="preserve">Changing same make &amp; model FP, IRIS and Face devices </t>
  </si>
  <si>
    <t>Reg.Client timeout</t>
  </si>
  <si>
    <t>Biometric devices status while Reg.Client timed out 
After logged into Reg.Client</t>
  </si>
  <si>
    <t>ReCapture biometric</t>
  </si>
  <si>
    <t>Once captured time out, then try to perform recapture of biometrics</t>
  </si>
  <si>
    <t>Once bad quality score, then try to perform recapture of biometrics</t>
  </si>
  <si>
    <t>Biometrics Scanning features</t>
  </si>
  <si>
    <t xml:space="preserve">Preview screen, Scan option, Mark exceptions, Captured biometric quality </t>
  </si>
  <si>
    <t>Operator Onboarding</t>
  </si>
  <si>
    <t>Operator on boarding with FPs, Iris and Face</t>
  </si>
  <si>
    <t xml:space="preserve">
Update Operator biometrics
</t>
  </si>
  <si>
    <t>Update Operator's biometrics like FPs, Iris and Face</t>
  </si>
  <si>
    <t>Operator Login Auth</t>
  </si>
  <si>
    <t>Operator login auth with FPs, Iris and Face</t>
  </si>
  <si>
    <t>Operator Auth for Packet creation</t>
  </si>
  <si>
    <t>Operator Auth for Packet creation with FPs, Iris and Face</t>
  </si>
  <si>
    <t>Reviewer Auth for Packet with exceptions</t>
  </si>
  <si>
    <t>Reviewer Auth for Packet with exceptions with FPs, Iris and Face</t>
  </si>
  <si>
    <t>Operator Auth for Pending approval</t>
  </si>
  <si>
    <t>Operator Auth for Pending approval with FPs, Iris and Face</t>
  </si>
  <si>
    <t>Interface</t>
  </si>
  <si>
    <t>USB 3.0 or USB 2.0, with USB hub</t>
  </si>
  <si>
    <t>USB Ports change</t>
  </si>
  <si>
    <t>Swap biometrics devices to other ports in machine.</t>
  </si>
  <si>
    <t>Based on port range, devices connected status in settings screen.</t>
  </si>
  <si>
    <t>Biometric Device MDS</t>
  </si>
  <si>
    <t>Stop/Start biometric MDS and Verify FP, Iris and Face devices status</t>
  </si>
  <si>
    <t>Older versions/New version</t>
  </si>
  <si>
    <t>Device Setting' screen in Reg.Client</t>
  </si>
  <si>
    <t>Device Setting' screen in Reg.Client serial number, devices details etc</t>
  </si>
  <si>
    <t>Registration Flows</t>
  </si>
  <si>
    <t>Adult, Minor, Infant, New and Update flows</t>
  </si>
  <si>
    <t>Local Dedupe on Operator biometrics</t>
  </si>
  <si>
    <t>Operator giving biometrics Fingerprints instead of resident, while enrolment.</t>
  </si>
  <si>
    <t>Operator giving biometrics Iris instead of resident, while enrolment.</t>
  </si>
  <si>
    <t>Local Dedupe - on resident biometrics</t>
  </si>
  <si>
    <t>On resident FPs, Iris and Face</t>
  </si>
  <si>
    <t>Multiple operators login access</t>
  </si>
  <si>
    <t>More than one operator on boarded on same device and trying to access regclient with FP and Iris</t>
  </si>
  <si>
    <t>Laptop running on Battery/Power supply</t>
  </si>
  <si>
    <t>Verify devices performance when laptop is running on battery</t>
  </si>
  <si>
    <t>Resident Auth Fingerprint device</t>
  </si>
  <si>
    <t>Resident Auth with Fingerprints - By selecting particular finger or Unknown
Resident Auth with Iris. and Face.
Multi factor auth
By using L0 and L1 devices</t>
  </si>
  <si>
    <t>Biometrics Details Screen features</t>
  </si>
  <si>
    <t>Preview/Streaming Window, Final captured image in Preview and Scan Button</t>
  </si>
  <si>
    <t>Exceptions marking and functionality and Quality attempts</t>
  </si>
  <si>
    <t xml:space="preserve">Different MDS version </t>
  </si>
  <si>
    <t>Multiple MDS versions running in same machine. 
Ex: Two FP MDSs (Syncbyte and Mantra) running on same machine
Ex: one FP MDSs and Iris MDS running on same machine
Ex. one FP MDSs and two Iris MDSs running on same machine</t>
  </si>
  <si>
    <t>Two FP devices are connected</t>
  </si>
  <si>
    <t>Selecting one FP device out of two device.
Selecting one Iris device out of two device.
Selecting one Face camera out of two device</t>
  </si>
  <si>
    <t>New Adult - Capturing resident FP, Iris &amp; Face with exceptions</t>
  </si>
  <si>
    <t>New Minor - Capturing resident FP, Iris &amp; Face with exceptions</t>
  </si>
  <si>
    <t>New Infant - Capturing resident Face and Introducers Auth with FP, Iris &amp; Face</t>
  </si>
  <si>
    <t>Verify devices performance when laptop is running on power supply.</t>
  </si>
  <si>
    <t>Document Scanning</t>
  </si>
  <si>
    <t>Scanning multiple pages, capture, scave, crop, preview, delete, CPU utilization after capturing document, DPI settings as configured</t>
  </si>
  <si>
    <t>Offline mode</t>
  </si>
  <si>
    <t xml:space="preserve">Two days in offline mode, MDS, Device keys expiry </t>
  </si>
  <si>
    <t>Audits</t>
  </si>
  <si>
    <t>Device disconnections, capture biometric details, No. attempts etc, audit file, operator auths</t>
  </si>
  <si>
    <t>Story ID</t>
  </si>
  <si>
    <t>Story Title</t>
  </si>
  <si>
    <t>TestCase_No</t>
  </si>
  <si>
    <t>Functional</t>
  </si>
  <si>
    <t>Prerequisite</t>
  </si>
  <si>
    <t>Expected Result</t>
  </si>
  <si>
    <t>Automated</t>
  </si>
  <si>
    <t>Real Devices_1</t>
  </si>
  <si>
    <t>Fingerprint Capture</t>
  </si>
  <si>
    <t>1. Login in to Reg.Client. Connect all biometric devices to Machine and Devices MDS is running
 2. Go to Biometric details screen. Select FP and Scan.</t>
  </si>
  <si>
    <t>Resident place fingers on fingerprint before starting scan</t>
  </si>
  <si>
    <t>Reg.Client should capture fingerprints</t>
  </si>
  <si>
    <t>Tested in qa-triple-rc2</t>
  </si>
  <si>
    <t>Real Devices_2</t>
  </si>
  <si>
    <t>Resident place fingers on fingerprint device after starting scan/streaming started</t>
  </si>
  <si>
    <t>Real Devices_3</t>
  </si>
  <si>
    <t>Resident place fingers on fingerprint device to scan with some time gap on start of scan</t>
  </si>
  <si>
    <t>Real Devices_4</t>
  </si>
  <si>
    <t>Resident place fingers on FP device to scan during session expiry</t>
  </si>
  <si>
    <t>1. MDS should capture best quality images or
 2. MDS should give popup "Failure -Unable to scan the biometric details".</t>
  </si>
  <si>
    <t>Real Devices_5</t>
  </si>
  <si>
    <t>Resident placed fingers on fingerprint device. 
While scan is in progress, resident removed fingers on FP device.</t>
  </si>
  <si>
    <t>Real Devices_6</t>
  </si>
  <si>
    <t>1. Login in to Reg.Client. Connect all biometric devices to Machine and Devices MDS is running
 2. Go to Biometric details screen.
 3. Select Left Slap and click on Scan</t>
  </si>
  <si>
    <t>Fingerprints captured with bad quality score in all attempts</t>
  </si>
  <si>
    <t>Should capture and take the best quality fingerprints</t>
  </si>
  <si>
    <t>Real Devices_7</t>
  </si>
  <si>
    <t>1. Login in to Reg.Client. Connect all biometric devices to Machine and Devices MDS is running
 2. Go to Biometric details screen.
 3. Select Left/Right Slap and click on Scan</t>
  </si>
  <si>
    <t>Left/Right slap fingerprints capturing multiple times/enrolments</t>
  </si>
  <si>
    <t>Real Devices_8</t>
  </si>
  <si>
    <t>1. Login in to Reg.Client. Connect all biometric devices to Machine and Devices MDS is running
 2. Go to Biometric details screen.
 3. Select both thumbs and click on Scan</t>
  </si>
  <si>
    <t>Both thumb fingerprints capturing multiple times/enrolments</t>
  </si>
  <si>
    <t>Real Devices_9</t>
  </si>
  <si>
    <t>1. Login in to Reg.Client. Connect FP device to Machine and Devices MDS is running
 2. Go to Biometric details screen.
 3. Select both thumbs and click on Scan</t>
  </si>
  <si>
    <t>Verify capturing of fingerprints which is having Tattoos on finger (Ex. Mehandi)</t>
  </si>
  <si>
    <t>Should capture fingerprints without tattoos.</t>
  </si>
  <si>
    <t>On-hold</t>
  </si>
  <si>
    <t>Real Devices_10</t>
  </si>
  <si>
    <t>Placing wrong slap fingers/thumbs to scan</t>
  </si>
  <si>
    <t>1. Login in to Reg.Client.
 2. Connect all biometric devices to Machine and Devices MDS is running
 3. Select New flow and go to Biometric details screen.</t>
  </si>
  <si>
    <t>Select the left slap and place right slap to capture.</t>
  </si>
  <si>
    <t>Reg.Client should capture</t>
  </si>
  <si>
    <t>Real Devices_11</t>
  </si>
  <si>
    <t>Select the right slap and place left slap to capture.</t>
  </si>
  <si>
    <t>Real Devices_12</t>
  </si>
  <si>
    <t>Select the right/left slap and place two thumbs to capture.</t>
  </si>
  <si>
    <t>Reg.Client should not capture</t>
  </si>
  <si>
    <t>Real Devices_13</t>
  </si>
  <si>
    <t>Select the two thumbs and place right/left slap to capture.</t>
  </si>
  <si>
    <t>Fail</t>
  </si>
  <si>
    <t>MOSIP-19147</t>
  </si>
  <si>
    <t>Real Devices_14</t>
  </si>
  <si>
    <t>1. Login in to Reg.Client.
 2. Connect the FP device to Machine and Devices MDS is running
 3. Select New flow and go to Biometric details screen.
 4. Select the left slap and click on Scan</t>
  </si>
  <si>
    <t>Placing Slap on FP device from left/right side of the FP device.</t>
  </si>
  <si>
    <t>Reg.Client should not capture fingerprints</t>
  </si>
  <si>
    <t>Real Devices_15</t>
  </si>
  <si>
    <t>1. Login in to Reg.Client.
 2. Connect the FP device to Machine and Devices MDS is running
 3. Select New flow and go to Biometric details screen.
 4. Select the thumbs and click on Scan</t>
  </si>
  <si>
    <t>Placing thumbs on FP device from left/right side of the FP device.</t>
  </si>
  <si>
    <t>Real Devices_16</t>
  </si>
  <si>
    <t>Fingerprint Capture Time</t>
  </si>
  <si>
    <t>1. Login in to Reg.Client. and Connect Fingerprint devices to Machine and Devices MDS is running
 2. In Biometric details screen, select FP left slap and Scan</t>
  </si>
  <si>
    <t>Left slap capture time - from start capture to end capture</t>
  </si>
  <si>
    <t>Should be superior fast acquisition speed
 (sensing of FPs and automatic acquisition of the image with the highest quality) Actual time &lt; 15 sec.</t>
  </si>
  <si>
    <t>Real Devices_17</t>
  </si>
  <si>
    <t>1. Login in to Reg.Client. and Connect Fingerprint devices to Machine and Devices MDS is running
 2. In Biometric details screen, select FP Right slap and Scan</t>
  </si>
  <si>
    <t>Right slap capture time - from start capture to end capture</t>
  </si>
  <si>
    <t>Should be superior fast acquisition speed 
 (sensing of fingerprint and automatic acquisition of the image with the highest quality)Actual time &lt; 15 sec.</t>
  </si>
  <si>
    <t>Real Devices_18</t>
  </si>
  <si>
    <t>1. Login in to Reg.Client. and Connect Fingerprint devices to Machine and Devices MDS is running
 2. In Biometric details screen, select Thumbs and Scan</t>
  </si>
  <si>
    <t>Both Thumbs capture time - from start capture to end capture</t>
  </si>
  <si>
    <t>Should be superior fast acquisition speed 
 (sensing of fingerprint and automatic acquisition of the image with the highest quality) Actual time &lt; 15 sec.</t>
  </si>
  <si>
    <t>Real Devices_19</t>
  </si>
  <si>
    <t>1. Login in to Reg.Client. and Connect Fingerprint devices to Machine and Devices MDS is running
 2. In Biometric details screen, select one finger and Scan (Auth)</t>
  </si>
  <si>
    <t>Single fingerprint capture time - from start capture to end capture</t>
  </si>
  <si>
    <t>Real Devices_20</t>
  </si>
  <si>
    <t>Capture time out: Fingerprints</t>
  </si>
  <si>
    <t>Fingers not placed on Fingerprint device and capture timed out</t>
  </si>
  <si>
    <t>Should give popup "Failure -Unable to scan the biometric details".</t>
  </si>
  <si>
    <t>Real Devices_21</t>
  </si>
  <si>
    <t>1. Login in to Reg.Client. Connect all biometric devices to Machine and Devices MDS is running
 2. Go to Biometric details screen.
 3. Select Right Slap and click on Scan</t>
  </si>
  <si>
    <t>Real Devices_22</t>
  </si>
  <si>
    <t>1. Login in to Reg.Client. Connect all biometric devices to Machine and Devices MDS is running
 2. Go to Biometric details screen.
 3. Select Both Thumbs and click on Scan</t>
  </si>
  <si>
    <t>Real Devices_23</t>
  </si>
  <si>
    <t>Placing poor quality left slap on Fingerprint device and capture timed out</t>
  </si>
  <si>
    <t>Real Devices_24</t>
  </si>
  <si>
    <t>Placing poor quality right slap on Fingerprint device and capture timed out</t>
  </si>
  <si>
    <t>Real Devices_25</t>
  </si>
  <si>
    <t>Placing poor quality thumbs on Fingerprint device and capture timed out</t>
  </si>
  <si>
    <t>Real Devices_26</t>
  </si>
  <si>
    <t>1. Login in to Reg.Client. Connect FP device to Machine and Devices MDS is running
 2. Biometric details screen, Select Left slap and click on Scan.
 3. After capture timeout, start recapturing left slap</t>
  </si>
  <si>
    <t>Recapture after capture time out</t>
  </si>
  <si>
    <t>Should allow user to recapture left slap</t>
  </si>
  <si>
    <t>Real Devices_27</t>
  </si>
  <si>
    <t>1. Login in to Reg.Client. Connect FP device to Machine and Devices MDS is running
 2. Biometric details screen, Select Right slap and click on Scan.
 3. After capture timeout, start recapturing right slap</t>
  </si>
  <si>
    <t>Should allow user to recapture right slap</t>
  </si>
  <si>
    <t>Real Devices_28</t>
  </si>
  <si>
    <t>1. Login in to Reg.Client. Connect FP device to Machine and Devices MDS is running
 2. Biometric details screen, Select Thumbs and click on Scan.
 3. After capture timeout, start recapturing thumbs</t>
  </si>
  <si>
    <t>Should allow user to recapture thumbs</t>
  </si>
  <si>
    <t>Real Devices_29</t>
  </si>
  <si>
    <t>Unclean/Dirty FP scanner prism</t>
  </si>
  <si>
    <t>1. Login in to Reg.Client. Connect FP device to Machine and Devices MDS is running
 2. Biometric details screen, Select Left Slap and click on Scan.</t>
  </si>
  <si>
    <t>Capturing fingerprints with dirt on FP device prism</t>
  </si>
  <si>
    <t>1. FP device should auto calibrate and remove unwanted 
2. Should give popup like please clean the scanner prism and retry or capture time out. 
3. Should not capture low quality images</t>
  </si>
  <si>
    <t>Real Devices_30</t>
  </si>
  <si>
    <t>Elimination of halo due to moist fingerprints during capture.</t>
  </si>
  <si>
    <t>Should eliminate halo due to moist fingerprints during capturing</t>
  </si>
  <si>
    <t>Real Devices_31</t>
  </si>
  <si>
    <t>FP Threshold</t>
  </si>
  <si>
    <t>1. Change threshold quality value to 50 and commit changes.
 2. Login in to Reg.Client &amp; Sync. Connect Fingerprint Device to machine and device MDS is running
 2. Go to Biometric details screen. Select Left slap and Scan.</t>
  </si>
  <si>
    <t>Left slap Threshold Quality Value 90 for capturing the Finger Slaps with quality 40.</t>
  </si>
  <si>
    <t>Should capture left slap fingerprints and should get timed out.
Should allow user to recapture</t>
  </si>
  <si>
    <t>Real Devices_32</t>
  </si>
  <si>
    <t>Left slap Threshold Quality Value 90 for capturing the Finger Slaps with quality 60.</t>
  </si>
  <si>
    <t>Should capture left slap fingerprints</t>
  </si>
  <si>
    <t>Real Devices_33</t>
  </si>
  <si>
    <t>Left slap Threshold Quality Value 90 for capturing the Finger Slaps with quality 80.</t>
  </si>
  <si>
    <t>Real Devices_34</t>
  </si>
  <si>
    <t>1. Change threshold quality value to 50 and commit changes.
 2. Login in to Reg.Client &amp; Sync. Connect Fingerprint Device to machine and device MDS is running
 2. Go to Biometric details screen. Select right slap and Scan.</t>
  </si>
  <si>
    <t>Right slap Threshold Quality Value 90 for capturing the Finger Slaps with quality 40.</t>
  </si>
  <si>
    <t>Should capture right slap fingerprints</t>
  </si>
  <si>
    <t>Real Devices_35</t>
  </si>
  <si>
    <t>Right slap Threshold Quality Value 90 for capturing the Finger Slaps with quality 60.</t>
  </si>
  <si>
    <t>Real Devices_36</t>
  </si>
  <si>
    <t>Right slap Threshold Quality Value 90 for capturing the Finger Slaps with quality 80.</t>
  </si>
  <si>
    <t>Real Devices_37</t>
  </si>
  <si>
    <t>1. Change threshold quality value to 50 and commit changes.
 2. Login in to Reg.Client &amp; Sync. Connect Fingerprint Device to machine and device MDS is running
 2. Go to Biometric details screen. Select thumbs and Scan.</t>
  </si>
  <si>
    <t>Thumbs Threshold Quality Value 90 for capturing the Finger Slaps with quality 40.</t>
  </si>
  <si>
    <t>Should capture thumbs fingerprints</t>
  </si>
  <si>
    <t>Real Devices_38</t>
  </si>
  <si>
    <t>Thumbs Threshold Quality Value 90 for capturing the Finger Slaps with quality 60.</t>
  </si>
  <si>
    <t>Real Devices_39</t>
  </si>
  <si>
    <t>Thumbs Threshold Quality Value 90 for capturing the Finger Slaps with quality 80.</t>
  </si>
  <si>
    <t>Real Devices_40</t>
  </si>
  <si>
    <t>Auto Capture FPs</t>
  </si>
  <si>
    <t>Verify fingerprints Left Slap auto capture with built in quality check.
 Place left slap on fingerprint scanner</t>
  </si>
  <si>
    <t>Should automatically capture Left Slap with built in quality check.</t>
  </si>
  <si>
    <t>Real Devices_41</t>
  </si>
  <si>
    <t>Verify fingerprints right Slap auto capture with built in quality check.
 Place right slap on fingerprint scanner</t>
  </si>
  <si>
    <t>Should automatically capture right slap with built in quality check.</t>
  </si>
  <si>
    <t>Real Devices_42</t>
  </si>
  <si>
    <t>Verify fingerprints Thumbs auto capture with built in quality check.
 Place both thumbs on fingerprint scanner</t>
  </si>
  <si>
    <t>Should automatically capture both thumbs with built in quality check.</t>
  </si>
  <si>
    <t>Real Devices_43</t>
  </si>
  <si>
    <t>Latent Fingerprints</t>
  </si>
  <si>
    <t>1. Login in to Reg.Client. and Connect Fingerprint devices to Machine and Devices MDS is running
 2. In Biometric details screen, select FP Left slap and Scan</t>
  </si>
  <si>
    <t>Mark good quality latent Left slap prints on top of fingerprint scanner prism</t>
  </si>
  <si>
    <t>1. Should eliminate latent prints originated from recent scans.
 2. Should not capture any fingerprints with failure popup "Unable to Scan biometric details".</t>
  </si>
  <si>
    <t>Real Devices_44</t>
  </si>
  <si>
    <t>Mark good quality latent Right slap prints on top of fingerprint scanner prism</t>
  </si>
  <si>
    <t>Real Devices_45</t>
  </si>
  <si>
    <t>1. Login in to Reg.Client. and Connect Fingerprint devices to Machine and Devices MDS is running
 2. In Biometric details screen, select both thumbs FPs &amp; Scan</t>
  </si>
  <si>
    <t>Mark good quality latent Thumb prints on top of fingerprint scanner prism</t>
  </si>
  <si>
    <t>Real Devices_46</t>
  </si>
  <si>
    <t>1. Login in to Reg.Client. and Connect Fingerprint devices to Machine and Devices MDS is running
 2. In Biometric details screen, select both thumbs and mark one finger as exception and try to capture single fingerprint by selecting Scan</t>
  </si>
  <si>
    <t>Mark one good quality fingerprint on top of fingerprint scanner prism</t>
  </si>
  <si>
    <t>Real Devices_47</t>
  </si>
  <si>
    <t>Select left hand slap.
 Mark all 4 fingers as exception and click on Scan</t>
  </si>
  <si>
    <t>1. Scan button should be disabled.
 2. Should not start preview/streaming and not allow to capture any image
 3. Exclamation mark should display beside the selected biometric Icon</t>
  </si>
  <si>
    <t>Real Devices_48</t>
  </si>
  <si>
    <t>Select the left slap and mark 3 fingers (little, Ring &amp; Middle) finger as exception.
 Place 1 fingers on FP scanner (Left Index)</t>
  </si>
  <si>
    <t>Reg.Client should capture single finger and should show 1 captured fingers along with exceptions</t>
  </si>
  <si>
    <t>Real Devices_49</t>
  </si>
  <si>
    <t>Select the left slap and mark 2 fingers(little &amp; Ring) as exception.
 Place 2 fingers on FP scanner (Left Index &amp; Middle)</t>
  </si>
  <si>
    <t>Reg.Client should capture two finger and should show 2 captured fingers along with exceptions</t>
  </si>
  <si>
    <t>Real Devices_50</t>
  </si>
  <si>
    <t>Select the left slap and mark 2 fingers(little &amp; Index) as exception.
 Place 3 fingers on FP scanner (Left Index, Middle and Ring fingers)</t>
  </si>
  <si>
    <t>Reg.Client should not capture any fingers</t>
  </si>
  <si>
    <t>MOSIP-18982</t>
  </si>
  <si>
    <t>Real Devices_51</t>
  </si>
  <si>
    <t>Select the left slap and mark 1 finger (Index finger) as exception.
 Place 3 fingers on FP scanner (little, middle and Ring fingers)</t>
  </si>
  <si>
    <t>Reg.Client should capture 3 fingers and should show 3 captured fingers along with exceptions</t>
  </si>
  <si>
    <t>Real Devices_52</t>
  </si>
  <si>
    <t>Select the left slap and mark 1 finger (Index finger) as exception.
 Place 2 fingers on FP scanner (Left middle and Ring fingers)</t>
  </si>
  <si>
    <t>Real Devices_53</t>
  </si>
  <si>
    <t>Select the left slap and mark 1 finger (little) as exception.
 Place 2 fingers on FP scanner (index &amp; right middle fingers)</t>
  </si>
  <si>
    <t>Real Devices_54</t>
  </si>
  <si>
    <t>Select left hand slap 
 Don't mark any exception and Click on Scan.
 Place all left slap on FP scanner</t>
  </si>
  <si>
    <t>Reg.Client should capture all four fingers</t>
  </si>
  <si>
    <t>Real Devices_55</t>
  </si>
  <si>
    <t xml:space="preserve">1. Login in to Reg.Client.
 2. Connect all biometric devices to Machine and Devices MDS is running
 3. Select New flow and go to Biometric details screen.
</t>
  </si>
  <si>
    <t>1. Scan button got disabled after selecting Left hand slap and mark all fingers as exception.
Verify by select Left hand slap (with Exclamation mark) once again and Click on Scan button</t>
  </si>
  <si>
    <t>Scan button should be disabled, when all fingers are marked as exception</t>
  </si>
  <si>
    <t>Real Devices_56</t>
  </si>
  <si>
    <t>Select Right hand slap.
 Mark all 4 fingers as exception and click on Scan</t>
  </si>
  <si>
    <t>Real Devices_57</t>
  </si>
  <si>
    <t>Select the Right slap and mark 3 fingers (Ring, Middle &amp; Index) finger as exception.
 Place 1 fingers on FP scanner (little Index)</t>
  </si>
  <si>
    <t>Real Devices_58</t>
  </si>
  <si>
    <t>Select the Right slap and mark 2 fingers(Left Index &amp; Middle) as exception.
 Place 2 fingers on FP scanner (little &amp; Ring)</t>
  </si>
  <si>
    <t>Real Devices_59</t>
  </si>
  <si>
    <t>Select the Right slap and mark 2 fingers(little &amp; Index) as exception.
 Place 3 fingers on FP scanner (Index, Middle and Ring fingers)</t>
  </si>
  <si>
    <t>Real Devices_60</t>
  </si>
  <si>
    <t>Select the Right slap and mark 1 finger (Index finger) as exception.
 Place 3 fingers on FP scanner (little, middle and Ring fingers)</t>
  </si>
  <si>
    <t>Real Devices_61</t>
  </si>
  <si>
    <t>Select the Right slap and mark 1 finger (Index finger) as exception.
 Place 2 fingers on FP scanner (middle and Ring fingers)</t>
  </si>
  <si>
    <t>Real Devices_62</t>
  </si>
  <si>
    <t>Select the Right slap and mark 1 finger (ring) as exception.
 Place 2 fingers on FP scanner (right index &amp; right middle fingers)</t>
  </si>
  <si>
    <t>Real Devices_63</t>
  </si>
  <si>
    <t>Select Right hand slap 
 Don't mark any exception and Click on Scan.
 Place all left slap on FP scanner</t>
  </si>
  <si>
    <t>Real Devices_64</t>
  </si>
  <si>
    <t>1. Login in to Reg.Client.
 2. Connect all biometric devices to Machine and Devices MDS is running
 3. Select New flow and go to Biometric details screen.
 4. Select right hand slap and mark all fingers as exception.
 5. Scan button got disabled</t>
  </si>
  <si>
    <t>Select Right hand slap (with Exclamation mark) 
 Click on Scan button</t>
  </si>
  <si>
    <t>Real Devices_65</t>
  </si>
  <si>
    <t>1. Select left hand slap, Mark all fingers as exception
 2. Select Right hand slap (without exceptions) and Click Scan</t>
  </si>
  <si>
    <t>Reg.Client should capture all four fingerprints of right hand</t>
  </si>
  <si>
    <t>Real Devices_66</t>
  </si>
  <si>
    <t>1. Select Right hand slap, Mark all fingers as exception
 2. Select Left hand slap (without exceptions) and Click Scan</t>
  </si>
  <si>
    <t>Real Devices_67</t>
  </si>
  <si>
    <t>1. Select both Thumbs, Mark both thumbs fingers as exception
 2. Select Left/Right hand slap (without exceptions) and Click Scan</t>
  </si>
  <si>
    <t>Reg.Client should capture all four fingerprints of left/right hand</t>
  </si>
  <si>
    <t>Real Devices_68</t>
  </si>
  <si>
    <t>Select Thumbs
 Don't mark any exception and Click on Scan
 Place both thumbs on FP scanner</t>
  </si>
  <si>
    <t>Reg.Client should capture both thumb fingerprints</t>
  </si>
  <si>
    <t>Real Devices_69</t>
  </si>
  <si>
    <t>1. Select Thumbs and don’t mark any exceptions and Click Scan.
2. Verify capture of Slap/4 fingers on FP scanner</t>
  </si>
  <si>
    <t>Reg.Client should not capture any fingerprints</t>
  </si>
  <si>
    <t>Real Devices_70</t>
  </si>
  <si>
    <t>Select Thumbs
 Mark both thumbs as exception and Click on Scan</t>
  </si>
  <si>
    <t>Real Devices_71</t>
  </si>
  <si>
    <t>Select Thumbs
 Mark left thumbs as exception and Click on Scan
 Place Right thumb on FP scanner</t>
  </si>
  <si>
    <t>Reg.Client should capture right thumb fingerprint and should show captured finger along with exception.</t>
  </si>
  <si>
    <t>Real Devices_72</t>
  </si>
  <si>
    <t>Select Thumbs
 Mark right thumbs as exception and Click on Scan
 Place both thumbs on FP scanner</t>
  </si>
  <si>
    <t>Reg.Client should not capture any fingerprint</t>
  </si>
  <si>
    <t>Real Devices_73</t>
  </si>
  <si>
    <t>1. Select New flow and go to Biometric details screen. 
 2. Select both Thumbs and mark left thumb as exception and Capture right thumb.</t>
  </si>
  <si>
    <t>Select both Thumbs and Unmark left thumb exception and Capture both thumbs</t>
  </si>
  <si>
    <t>Reg.Client should capture both thumbs</t>
  </si>
  <si>
    <t>Real Devices_74</t>
  </si>
  <si>
    <t>1. Select New flow and go to Biometric details screen. 
 2. Select Right slap and Scan</t>
  </si>
  <si>
    <t>1. Resident little finger not able to capture and capture timeout. 
2. Mark little finger as exception and recapture.</t>
  </si>
  <si>
    <t>Reg.Client should capture remaining three fingers</t>
  </si>
  <si>
    <t>Real Devices_75</t>
  </si>
  <si>
    <t>1. Select New flow and go to Biometric details screen. 
 2. Select both Thumbs and click on Scan button.
 3. Streaming/Preview started</t>
  </si>
  <si>
    <t>Mark right finger as exception</t>
  </si>
  <si>
    <t>Should not allow user to mark exceptions, after selecting Scan button.</t>
  </si>
  <si>
    <t>Real Devices_76</t>
  </si>
  <si>
    <t>1. Select New flow and go to Biometric details screen. 
 2. Select both Thumbs and mark left thumb as exception and click on Scan button.
 3. Streaming/Preview started</t>
  </si>
  <si>
    <t>Unmark left thumb as exception</t>
  </si>
  <si>
    <t>Should not allow user to unmark exceptions, after selecting Scan button.</t>
  </si>
  <si>
    <t>Real Devices_77</t>
  </si>
  <si>
    <t>1. Login in to Reg.Client. Connect all biometric devices to Machine and Devices MDS is running. Go to Biometric details screen.
2. Select left slap and mark one fingers as exception.</t>
  </si>
  <si>
    <t>Verify exception face option enabled/displayed.</t>
  </si>
  <si>
    <t>Exclamation mark-beside left slap icon in left side panel, should be present.
Exception Face icon in left side panel, should be present.</t>
  </si>
  <si>
    <t>Real Devices_78</t>
  </si>
  <si>
    <t>1. Login in to Reg.Client. Connect all biometric devices to Machine and Devices MDS is running. Go to Biometric details screen.
2. Select left slap and mark 4 fingers as exception.
3. Exception face option enabled/displayed.
4. Remove selected two fingers as exceptions</t>
  </si>
  <si>
    <t>Exclamation mark-beside left slap icon in left side panel.
Exception Face icon in left side panel.</t>
  </si>
  <si>
    <t>Real Devices_79</t>
  </si>
  <si>
    <t>Verify Proof of Exception document is enabled.</t>
  </si>
  <si>
    <t>Proof of Exception document should be enabled.</t>
  </si>
  <si>
    <t>Real Devices_80</t>
  </si>
  <si>
    <t>1. Login in to Reg.Client. Connect Fingerprint device to Machine and Devices MDS is running.
 2. Go to Biometric details screen. Select Left slap and Scan.</t>
  </si>
  <si>
    <t>Visual indication on Reg.Client side to start/stop capture Left slap fingerprints.</t>
  </si>
  <si>
    <t>Preview window should display device streaming.</t>
  </si>
  <si>
    <t>Real Devices_81</t>
  </si>
  <si>
    <t>Visual indication on device side to start/stop capture Left slap fingerprints.</t>
  </si>
  <si>
    <t>FP device should start capture by glowing backlight or By glowing respective indication LEDs on top of FP device</t>
  </si>
  <si>
    <t>Real Devices_82</t>
  </si>
  <si>
    <t>1. Login in to Reg.Client. Connect Fingerprint device to Machine and Devices MDS is running.
 2. Go to Biometric details screen. Select Right slap and Scan.</t>
  </si>
  <si>
    <t>Visual indication on Reg.Client side to start/stop capture Right slap fingerprints.</t>
  </si>
  <si>
    <t>Real Devices_83</t>
  </si>
  <si>
    <t>Visual indication on device side to start/stop capture Right slap fingerprints.</t>
  </si>
  <si>
    <t>Real Devices_84</t>
  </si>
  <si>
    <t>1. Login in to Reg.Client. Connect Fingerprint device to Machine and Devices MDS is running.
 2. Go to Biometric details screen. Select both thumbs and Scan.</t>
  </si>
  <si>
    <t>Visual indication on Reg.Client side to start/stop capture both Thumbs fingerprints.</t>
  </si>
  <si>
    <t>Real Devices_85</t>
  </si>
  <si>
    <t>Visual indication on device side to start/stop capture both Thumbs fingerprints.</t>
  </si>
  <si>
    <t>Real Devices_86</t>
  </si>
  <si>
    <t>1. Login in to Reg.Client. Connect Fingerprint device to Machine and Devices MDS is running.
 2. Go to Biometric details screen. Select both thumbs and Mark left thumb as exception. Click on Scan</t>
  </si>
  <si>
    <t>Real Devices_87</t>
  </si>
  <si>
    <t>FP device should start capture by glowing backlight or By glowing respective indication LEDs (only Right thumb LED should glow) on top of FP device</t>
  </si>
  <si>
    <t>Real Devices_88</t>
  </si>
  <si>
    <t>1. Login in to Reg.Client. Connect Fingerprint device to Machine and Devices MDS is running.
 2. Go to Biometric details screen. Select Left slap and Scan.
 3. Capture the left slap fingerprints</t>
  </si>
  <si>
    <t>Left slap fingerprint segmentation</t>
  </si>
  <si>
    <t>Should done left slap fingerprint segmentation</t>
  </si>
  <si>
    <t>Real Devices_89</t>
  </si>
  <si>
    <t>1. Login in to Reg.Client. Connect Fingerprint device to Machine and Devices MDS is running.
 2. Go to Biometric details screen. Select Right slap and Scan.
 3. Capture the Right slap fingerprints</t>
  </si>
  <si>
    <t>Right slap fingerprint segmentation</t>
  </si>
  <si>
    <t>Should done right slap fingerprint segmentation</t>
  </si>
  <si>
    <t>Real Devices_90</t>
  </si>
  <si>
    <t>1. Login in to Reg.Client. Connect Fingerprint device to Machine and Devices MDS is running.
 2. Go to Biometric details screen. Select Thumbs and Scan.
 3. Capture the Thumbs fingerprints</t>
  </si>
  <si>
    <t>Thumbs fingerprint segmentation</t>
  </si>
  <si>
    <t>Should done Thumbs fingerprint segmentation</t>
  </si>
  <si>
    <t>Real Devices_91</t>
  </si>
  <si>
    <t>1. Login in to Reg.Client. Connect Fingerprint device to Machine and Devices MDS is running.
 2. Go to Biometric details screen. Select Right slap and mark little finger as exception. Click on Scan.
 3. Capture the Right slap fingerprints with exception</t>
  </si>
  <si>
    <t>Right slap fingerprint segmentation with exceptions</t>
  </si>
  <si>
    <t>Should done right slap fingerprint segmentation with exceptions</t>
  </si>
  <si>
    <t>Real Devices_92</t>
  </si>
  <si>
    <t>First login into Reg.Client, Then Connect fingerprint devices to Machine and Devices MDS is running.</t>
  </si>
  <si>
    <t>1. Connect fingerprint devices to machine after user logged into Reg.Client and MDS is running.
2. Verify the FP scanner connectivity . Select FPs and click on Scan</t>
  </si>
  <si>
    <t>Fingerprint device should connect to Reg.Client and allow user to capture fingerprints</t>
  </si>
  <si>
    <t>MOSIP-19719</t>
  </si>
  <si>
    <t>Real Devices_93</t>
  </si>
  <si>
    <t>First Connect fingerprint devices to Machine, Then Login in to Reg.Client. Devices MDS is running.</t>
  </si>
  <si>
    <t>Connect fingerprint devices to machine before the user logged into Reg.Client
 Go to Biometric details screen. Select FP and click on Scan</t>
  </si>
  <si>
    <t>Real Devices_94</t>
  </si>
  <si>
    <t>1. First login into Reg.Client and FP device MDS is running.
2. FP device is not connected</t>
  </si>
  <si>
    <t>Go to the Biometric details screen. Select FP and click on Scan</t>
  </si>
  <si>
    <t>Should give popup "Device is not available"</t>
  </si>
  <si>
    <t>Real Devices_95</t>
  </si>
  <si>
    <t>1. First Connect fingerprint devices to Machine, Then Login in to Reg.Client. Devices MDS is running.
2. Go to the Biometric details screen.</t>
  </si>
  <si>
    <t>When MDS is running, Disconnect and Connect FP device</t>
  </si>
  <si>
    <t>Fingerprint device should connect to Reg.Client automatically and allow user to capture fingerprints</t>
  </si>
  <si>
    <t>Real Devices_96</t>
  </si>
  <si>
    <t>1.Login in to Reg.Client, connect fingerprint devices to Machine and Devices MDS is running.
 2. Go to Biometric details screen. Select FP and click on Scan</t>
  </si>
  <si>
    <t>Disconnect the fingerprint device while capture is in progress.</t>
  </si>
  <si>
    <t>Reg.Client should stop streaming and give popup message "Failure -Unable to scan the biometric details".</t>
  </si>
  <si>
    <t>Real Devices_97</t>
  </si>
  <si>
    <t>1.Login in to Reg.Client, connect fingerprint devices to Machine and Devices MDS is running.
 2. Go to Biometric details screen. Select FP and click on Scan
 3. Disconnect the fingerprint device while capture is in progress.</t>
  </si>
  <si>
    <t>Reconnect the fingerprint device for next attempt to capture</t>
  </si>
  <si>
    <t>Real Devices_98</t>
  </si>
  <si>
    <t>Iris Capture</t>
  </si>
  <si>
    <t>1. Login in to Reg.Client. Connect Iris scanner and Devices MDS is running
 2. Go to Biometric details screen. Select Iris and click on Scan</t>
  </si>
  <si>
    <t>Simultaneous capture of dual iris</t>
  </si>
  <si>
    <t>Reg.Client should simultaneous capture of both iris images</t>
  </si>
  <si>
    <t>Real Devices_99</t>
  </si>
  <si>
    <t>1. Login in to Reg.Client. Connect all biometric devices to Machine and Devices MDS is running
 2. Go to Biometric details screen. Select Iris and click on Scan</t>
  </si>
  <si>
    <t>Resident place both Iris in front of Iris scanner before starting scan</t>
  </si>
  <si>
    <t>Real Devices_100</t>
  </si>
  <si>
    <t>Resident started capturing Iris with some time gap on start of scan</t>
  </si>
  <si>
    <t>Reg.Client should capture Iris</t>
  </si>
  <si>
    <t>Real Devices_101</t>
  </si>
  <si>
    <t>Real Devices_102</t>
  </si>
  <si>
    <t>Real Devices_103</t>
  </si>
  <si>
    <t>Syncbyte -SBI322 Iris scanner used for testing.
 Capture Distance is 0~2 cm (eyes to patch)</t>
  </si>
  <si>
    <t>Real Devices_104</t>
  </si>
  <si>
    <t>Iris captured with bad quality score in all attempts</t>
  </si>
  <si>
    <t>Should capture and take the best quality Iris</t>
  </si>
  <si>
    <t>Real Devices_105</t>
  </si>
  <si>
    <t>Capturing dual iris multiple times/enrolments</t>
  </si>
  <si>
    <t>Should capture dual iris with best quality Iris</t>
  </si>
  <si>
    <t>Bug -MOSIP-19066
Some times capturing blurred images</t>
  </si>
  <si>
    <t>Real Devices_106</t>
  </si>
  <si>
    <t>Minor (6 to 17 years) Iris auto capturing
Adult (18 to 80 years) Iris auto capturing</t>
  </si>
  <si>
    <t>Should capture dual iris with best quality Iris for minors and adults.</t>
  </si>
  <si>
    <t>Real Devices_107</t>
  </si>
  <si>
    <t>1. Login in to Reg.Client. Connect Iris scanner to Machine and Devices MDS is running
 2. Go to Biometric details screen.
 3. Select Iris and click on Scan</t>
  </si>
  <si>
    <t>Should not capture Iris. 
Should give popup "Failure -Unable to scan the biometric details".</t>
  </si>
  <si>
    <t>MOSIP-19105</t>
  </si>
  <si>
    <t>Real Devices_108</t>
  </si>
  <si>
    <t>Iris Capture Time</t>
  </si>
  <si>
    <t>1. Login in to Reg.Client. and Connect Fingerprint devices to Machine and Devices MDS is running
 2. In Biometric details screen, select both Iris and Scan</t>
  </si>
  <si>
    <t>Simultaneous dual iris capture time - from start capture to end capture</t>
  </si>
  <si>
    <t>Should be superior fast acquisition speed (with Syncbyte Iris &lt; 15 sec)
 (sensing of Iris and automatic acquisition of the image with the highest quality)</t>
  </si>
  <si>
    <t>Real Devices_109</t>
  </si>
  <si>
    <t>1. Login in to Reg.Client. and Connect Fingerprint devices to Machine and Devices MDS is running
 2. In Biometric details screen, select left Iris and Scan</t>
  </si>
  <si>
    <t>Left iris capture time - from start capture to end capture</t>
  </si>
  <si>
    <t>Real Devices_110</t>
  </si>
  <si>
    <t>1. Login in to Reg.Client. and Connect Fingerprint devices to Machine and Devices MDS is running
 2. In Biometric details screen, select right Iris and Scan</t>
  </si>
  <si>
    <t>Right iris capture time - from start capture to end capture</t>
  </si>
  <si>
    <t>Real Devices_111</t>
  </si>
  <si>
    <t>Verify, resident has not given Iris to capture. or 
Iris not present in front of Iris scanner and capture timed out.</t>
  </si>
  <si>
    <t>Real Devices_112</t>
  </si>
  <si>
    <t>Iris with poor quality presented in front of Iris scanner and capture timed out</t>
  </si>
  <si>
    <t>Should try capture Iris. If cant capture should be time out with popup "Failure -Unable to scan the biometric details"..
Should allow user to recapture</t>
  </si>
  <si>
    <t>Real Devices_113</t>
  </si>
  <si>
    <t>1. Login in to Reg.Client. Connect Iris scanner to Machine and Devices MDS is running
 2. Biometric details screen, Select Iris and click on Scan.
 3. After capture timeout, start recapturing Iris</t>
  </si>
  <si>
    <t>Should allow user to recapture Iris</t>
  </si>
  <si>
    <t>Real Devices_114</t>
  </si>
  <si>
    <t>Iris Threshold</t>
  </si>
  <si>
    <t>1. Change threshold value to 80 and commit changes.
 2. Login in to Reg.Client &amp; Sync. Connect Iris scanner to machine and device MDS is running
 2. Go to Biometric details screen. Select Iris and Scan.</t>
  </si>
  <si>
    <t>1. Iris Threshold value is 80 
2. 1st attempt captured Iris with quality 81, 2nd attempt with 94 and 3rd attempt with 90.
Verify the final iris images in packet</t>
  </si>
  <si>
    <t>Images with high quality score 94 should be in the packet</t>
  </si>
  <si>
    <t>Need Utility</t>
  </si>
  <si>
    <t>Real Devices_115</t>
  </si>
  <si>
    <t>1. Change threshold quality value to 80 and commit changes.
 2. Login in to Reg.Client &amp; Sync. Connect Iris scanner to machine and device MDS is running
 2. Go to Biometric details screen. Select Iris and Scan.</t>
  </si>
  <si>
    <t>1. Iris Threshold value is 80 
2. 1st attempt captured Iris with quality 70, 2nd attempt with 78 and 3rd attempt with 92.
Verify the final iris images in packet</t>
  </si>
  <si>
    <t>Images with high quality score 92 should be in the packet</t>
  </si>
  <si>
    <t>Real Devices_116</t>
  </si>
  <si>
    <t>1. Iris Threshold value is 80 
2. 1st attempt captured Iris with quality 60, 2nd attempt with 78 and 3rd attempt with 75.
Verify the final iris images in packet</t>
  </si>
  <si>
    <t>Images with high quality score 78 should be in the packet</t>
  </si>
  <si>
    <t>Real Devices_117</t>
  </si>
  <si>
    <t>Iris with Exceptions</t>
  </si>
  <si>
    <t>1. Login in to Reg.Client. Iris connected and MDS is running
2. In Biometric details screen, select Iris and scan</t>
  </si>
  <si>
    <t>1. Resident left Iris is unable to capture and capture timed out.
2. Mark left Iris as exception and Scan</t>
  </si>
  <si>
    <t>Reg.Client should allow user to mark exception and capture right iris.</t>
  </si>
  <si>
    <t>Real Devices_118</t>
  </si>
  <si>
    <t>Select both Iris as exception and Click on Scan.</t>
  </si>
  <si>
    <t>Reg.Client should not allow to scan, by disabling Scan button.</t>
  </si>
  <si>
    <t>Real Devices_119</t>
  </si>
  <si>
    <t>Select both Iris as exception and Click on Scan
Capture Proof of Exception document from Document upload screen</t>
  </si>
  <si>
    <t>1. Proof of Exception document should capture in Documents upload screen.
 2. Should not allow to scan by disabling Scan button.
 3. Exclamation mark should display beside the selected biometric Icon</t>
  </si>
  <si>
    <t>Real Devices_120</t>
  </si>
  <si>
    <t>1. Login in to Reg.Client. Connect all biometric devices to Machine and Devices MDS is running. Go to Biometric details screen.
 2. Select Iris and mark both Iris as exception.
 3. Scan button got disabled</t>
  </si>
  <si>
    <t>Select Iris (with Exclamation mark) from left side panel
 Click on Scan button</t>
  </si>
  <si>
    <t>1. Scan button should be disabled.
 2. Should not start preview/streaming and not allow to capture any image
 3. Should give popup message "Unable to Scan biometric details"</t>
  </si>
  <si>
    <t>Real Devices_121</t>
  </si>
  <si>
    <t>1. Login in to Reg.Client. Connect all biometric devices to Machine and Devices MDS is running
 2. Select New flow and go to Biometric details screen.</t>
  </si>
  <si>
    <t>Select Iris from left side panel
 Mark Left Iris as exception and Click on Scan</t>
  </si>
  <si>
    <t>Reg.Client should capture right Iris and should show captured Iris along with exception.</t>
  </si>
  <si>
    <t>Real Devices_122</t>
  </si>
  <si>
    <t>Select Iris from left side panel
 Mark Right Iris as exception and Click on Scan</t>
  </si>
  <si>
    <t>Reg.Client should capture left Iris and should show captured Iris along with exception.</t>
  </si>
  <si>
    <t>Real Devices_123</t>
  </si>
  <si>
    <t>1. Login in to Reg.Client. Connect all biometric devices to Machine and Devices MDS is running
 2. Go to Biometric details screen. Select Iris/Fingerprint, Mark some exception and capture biometrics with exception.</t>
  </si>
  <si>
    <t>Verify Exception Face option should display.
 Select and capture exception Face</t>
  </si>
  <si>
    <t>Reg.Client should capture exception face image</t>
  </si>
  <si>
    <t>Real Devices_124</t>
  </si>
  <si>
    <t>Verify Proof of Exception document, when Iris exception selected.</t>
  </si>
  <si>
    <t>Reg.Client should enable Proof of Exception document.
Should not allow user to navigate to next screen without selecting PoE document.</t>
  </si>
  <si>
    <t>Real Devices_125</t>
  </si>
  <si>
    <t>1. Login in to Reg.Client. Connect all biometric devices to Machine and Devices MDS is running. Go to Biometric details screen.
2. Select Iris and mark both Iris as exception.
3. Exception face option enabled/displayed.</t>
  </si>
  <si>
    <t>Remove selected left Iris as exceptions
Verify exclamation mark-beside Iris icon in left side panel.
Exception Face icon in left side panel.</t>
  </si>
  <si>
    <t>Exclamation mark-beside Iris icon in left side panel, should be present.
Exception Face icon in left side panel, should be present.</t>
  </si>
  <si>
    <t>Real Devices_126</t>
  </si>
  <si>
    <t>Remove both (left &amp; right) Iris as exceptions
Verify exclamation mark-beside Iris icon in left side panel and
Exception Face icon in left side panel.</t>
  </si>
  <si>
    <t>Exclamation mark-beside Iris icon in left side panel, should not be present.
Exception Face icon in left side panel, should not be present.</t>
  </si>
  <si>
    <t>Real Devices_127</t>
  </si>
  <si>
    <t>Select Iris
 Mark Right Iris as exception and Click on Scan</t>
  </si>
  <si>
    <t>Real Devices_128</t>
  </si>
  <si>
    <t>1. Login in to Reg.Client. Connect Iris device to Machine and Devices MDS is running.
 2. Go to Biometric details screen. Select Iris and Scan.</t>
  </si>
  <si>
    <t>Visual indication on Reg.Client side to start/stop capture both Iris.</t>
  </si>
  <si>
    <t>Real Devices_129</t>
  </si>
  <si>
    <t>Visual indication on device side to start/stop capture Iris.</t>
  </si>
  <si>
    <t>Iris scanner will blink IR LEDs while capturing Iris images</t>
  </si>
  <si>
    <t>Real Devices_130</t>
  </si>
  <si>
    <t xml:space="preserve">1. Connect Iris device to Machine and Devices MDS is running.
 2. Login in to Reg.Client. </t>
  </si>
  <si>
    <t>Verify Iris devices status in Device settings screen</t>
  </si>
  <si>
    <t>Iris scanner status should be display in Device settings screen</t>
  </si>
  <si>
    <t>Real Devices_131</t>
  </si>
  <si>
    <t>1. Login in to Reg.Client. Connect Fingerprint device to Machine and Devices MDS is running.
 2. Go to Biometric details screen. Select Iris and Scan.
 3. Capture the both Iris</t>
  </si>
  <si>
    <t>Should done Iris segmentation</t>
  </si>
  <si>
    <t>Real Devices_132</t>
  </si>
  <si>
    <t>1. Login in to Reg.Client. Connect Fingerprint device to Machine and Devices MDS is running.
 2. Go to Biometric details screen. Select Iris and mark left Iris as exception. Click on Scan.
 3. Capture the Iris with exception</t>
  </si>
  <si>
    <t>Iris segmentation with exception</t>
  </si>
  <si>
    <t>Should done Iris segmentation with exception</t>
  </si>
  <si>
    <t>Real Devices_133</t>
  </si>
  <si>
    <t>First login in to Reg.Client, Then Connect Iris devices to Machine and Devices MDS is running.</t>
  </si>
  <si>
    <t>Connect Iris devices to the machine after user logged into Reg.Client
 Go to Biometric details screen. Select Iris and click on Scan</t>
  </si>
  <si>
    <t>Iris device should connect to Reg.Client and allow user to capture Iris</t>
  </si>
  <si>
    <t>Real Devices_134</t>
  </si>
  <si>
    <t>First Connect Iris devices to Machine, Then Login in to Reg.Client. Devices MDS is running.</t>
  </si>
  <si>
    <t>Connect devices to the machine after user logged into Reg.Client 
  Go to the Biometric details screen. Select Iris and click on Scan</t>
  </si>
  <si>
    <t>Real Devices_135</t>
  </si>
  <si>
    <t>First login into Reg.Client and Iris scanner MDS is running.</t>
  </si>
  <si>
    <t>Go to the Biometric details screen. Select Iris and click on Scan</t>
  </si>
  <si>
    <t>Real Devices_136</t>
  </si>
  <si>
    <t>First Connect Iris scanner to Machine, Then Login in to Reg.Client. Devices MDS is running.</t>
  </si>
  <si>
    <t>When MDS is running, Disconnect and Connect Iris Scanner</t>
  </si>
  <si>
    <t>Iris scanner should connect to Reg.Client automatically and allow user to capture Iris</t>
  </si>
  <si>
    <t>Real Devices_137</t>
  </si>
  <si>
    <t>1. login in to Reg.Client, connect Iris devices to Machine and Devices MDS is running.
 2. Go to Biometric details screen. Select Iris and click on Scan</t>
  </si>
  <si>
    <t>Disconnect the Iris device while capture is in progress.</t>
  </si>
  <si>
    <t>Real Devices_138</t>
  </si>
  <si>
    <t>1. login in to Reg.Client, connect Iris devices to Machine and Devices MDS is running.
 2. Go to Biometric details screen. Select Iris and click on Scan
 3. Disconnect the Iris device while capture is in progress.</t>
  </si>
  <si>
    <t>Reconnect the Iris device for next attempt to capture</t>
  </si>
  <si>
    <t>Real Devices_139</t>
  </si>
  <si>
    <t>1. Connect single Iris scanner to Machine and Devices MDS is running.
2. Login into Reg.Client, go to biometric details screen. Select left Iris and click on Scan</t>
  </si>
  <si>
    <t>Verify left Iris capture with single Iris scanner</t>
  </si>
  <si>
    <t>Should capture left Iris successfully</t>
  </si>
  <si>
    <t>NA</t>
  </si>
  <si>
    <t>Real Devices_140</t>
  </si>
  <si>
    <t>Verify right Iris capture with single Iris scanner</t>
  </si>
  <si>
    <t>Should capture right Iris successfully</t>
  </si>
  <si>
    <t>Real Devices_141</t>
  </si>
  <si>
    <t>1. Connect single Iris scanner to Machine and Devices MDS is running.
2. Login into Reg.Client, go to biometric details screen. Select both Iris and click on Scan</t>
  </si>
  <si>
    <t>Verify dual Iris capturing with single Iris scanner</t>
  </si>
  <si>
    <t>Capture should fail with failure popup message</t>
  </si>
  <si>
    <t>Real Devices_142</t>
  </si>
  <si>
    <t>Face Capture</t>
  </si>
  <si>
    <t>1. Login in to Reg.Client. Connect all biometric devices to Machine and Devices MDS is running
 2. Go to Biometric details screen. Select Face and click on Scan</t>
  </si>
  <si>
    <t>Face is present in front of face camera before starting scan</t>
  </si>
  <si>
    <t>Reg.Client should capture face</t>
  </si>
  <si>
    <t>Real Devices_143</t>
  </si>
  <si>
    <t>Real Devices_144</t>
  </si>
  <si>
    <t>Real Devices_145</t>
  </si>
  <si>
    <t>Real Devices_146</t>
  </si>
  <si>
    <t>Should allow to capture all attempts</t>
  </si>
  <si>
    <t>Real Devices_147</t>
  </si>
  <si>
    <t>Face Threshold</t>
  </si>
  <si>
    <t>1. Change threshold quality value to 50 and commit changes.
 2. Login into Reg.Client &amp; Sync. Connect Face scanner to machine and device MDS is running
 2. Go to the Biometric details screen. Select Face and Scan.</t>
  </si>
  <si>
    <t>1. Face Threshold value is 50 
2. 1st attempt captured Face with quality 51, 2nd attempt with 57 and 3rd attempt with 54.
Verify the final face images in packet</t>
  </si>
  <si>
    <t>Images with high quality score 57 should be in the packet</t>
  </si>
  <si>
    <t>Real Devices_148</t>
  </si>
  <si>
    <t>1. Change threshold quality value to 50 and commit changes.
 2. Login in to Reg.Client &amp; Sync. Connect Iris scanner to machine and device MDS is running
 2. Go to Biometric details screen. Select Iris and Scan.</t>
  </si>
  <si>
    <t>1. Iris Threshold value is 50 
2. 1st attempt captured face with quality 40, 2nd attempt with 48 and 3rd attempt with 62.
Verify the final face images in packet</t>
  </si>
  <si>
    <t>Images with high quality score 62 should be in the packet</t>
  </si>
  <si>
    <t>Real Devices_149</t>
  </si>
  <si>
    <t>1. Iris Threshold value is 50 
2. 1st attempt captured Iris with quality 30, 2nd attempt with 48 and 3rd attempt with 45.
Verify the final iris images in packet</t>
  </si>
  <si>
    <t>Images with high quality score 48 should be in the packet</t>
  </si>
  <si>
    <t>Real Devices_150</t>
  </si>
  <si>
    <t>Face scanner capture distance</t>
  </si>
  <si>
    <t>Tested with Logitech camera</t>
  </si>
  <si>
    <t>Real Devices_151</t>
  </si>
  <si>
    <t>Auto capture</t>
  </si>
  <si>
    <t>Auto capture once face is present in front of face camera before starting scan</t>
  </si>
  <si>
    <t>Reg.Client should detect and auto capture face</t>
  </si>
  <si>
    <t>Real Devices_152</t>
  </si>
  <si>
    <t>Adult (18 to 80 years) face auto capturing</t>
  </si>
  <si>
    <t>Should detect and auto capture face</t>
  </si>
  <si>
    <t>Real Devices_153</t>
  </si>
  <si>
    <t>Minor (6 to 17 years) face auto capturing</t>
  </si>
  <si>
    <t>Should detect and auto capture minor face</t>
  </si>
  <si>
    <t>Real Devices_154</t>
  </si>
  <si>
    <t>Infant (1 to 5 years) face auto capturing</t>
  </si>
  <si>
    <t>Should detect and auto capture infant face</t>
  </si>
  <si>
    <t>Real Devices_155</t>
  </si>
  <si>
    <t>Compliant portrait</t>
  </si>
  <si>
    <t>Should detect and auto capture the face</t>
  </si>
  <si>
    <t>Real Devices_156</t>
  </si>
  <si>
    <t>Shoulders not aligned toward the camera</t>
  </si>
  <si>
    <t>Real Devices_157</t>
  </si>
  <si>
    <t>Too large pitch up</t>
  </si>
  <si>
    <t>Real Devices_158</t>
  </si>
  <si>
    <t>Too large pitch down</t>
  </si>
  <si>
    <t>Real Devices_159</t>
  </si>
  <si>
    <t>Too large yaw angle,</t>
  </si>
  <si>
    <t>Real Devices_160</t>
  </si>
  <si>
    <t>Real Devices_161</t>
  </si>
  <si>
    <t>Real Devices_162</t>
  </si>
  <si>
    <t>Face capturing based on eyes</t>
  </si>
  <si>
    <t>Eyes opened naturally</t>
  </si>
  <si>
    <t>Real Devices_163</t>
  </si>
  <si>
    <t>Eyes not fully opened</t>
  </si>
  <si>
    <t>Real Devices_164</t>
  </si>
  <si>
    <t>Unnaturally wide opened eyes</t>
  </si>
  <si>
    <t>Real Devices_165</t>
  </si>
  <si>
    <t>Resident have only one eye</t>
  </si>
  <si>
    <t>Real Devices_166</t>
  </si>
  <si>
    <t>Resident do not have both eyes</t>
  </si>
  <si>
    <t>Real Devices_167</t>
  </si>
  <si>
    <t>Compliant portrait, with plain glass</t>
  </si>
  <si>
    <t>Should capture face with compliant facial ornamentation.</t>
  </si>
  <si>
    <t>Real Devices_168</t>
  </si>
  <si>
    <t>Sunglasses</t>
  </si>
  <si>
    <t>Real Devices_169</t>
  </si>
  <si>
    <t>Glasses worn on the head</t>
  </si>
  <si>
    <t>Real Devices_170</t>
  </si>
  <si>
    <t>Strong reflections on glasses</t>
  </si>
  <si>
    <t>Real Devices_171</t>
  </si>
  <si>
    <t>Compliant facial ornamentation.</t>
  </si>
  <si>
    <t>Real Devices_172</t>
  </si>
  <si>
    <t>Eye point position up or down</t>
  </si>
  <si>
    <t>Real Devices_173</t>
  </si>
  <si>
    <t>Eye point position left or right</t>
  </si>
  <si>
    <t>Real Devices_174</t>
  </si>
  <si>
    <t>With Photo in front of face camera</t>
  </si>
  <si>
    <t>Real Devices_175</t>
  </si>
  <si>
    <t>Hair colour &amp; style</t>
  </si>
  <si>
    <t>Hair colour - white, Black, brown</t>
  </si>
  <si>
    <t>Able to capture face</t>
  </si>
  <si>
    <t>Real Devices_176</t>
  </si>
  <si>
    <t>Hair style - Hairs close to the Eye Visibility Zone (EVZ), Hair partly covering the EVZ.</t>
  </si>
  <si>
    <t>Real Devices_177</t>
  </si>
  <si>
    <t>Face expression</t>
  </si>
  <si>
    <t>The face with neutral expression without smile and the mouth shall be closed.</t>
  </si>
  <si>
    <t>Real Devices_178</t>
  </si>
  <si>
    <t>Person smiling with closed mouth.</t>
  </si>
  <si>
    <t>Real Devices_179</t>
  </si>
  <si>
    <t>Smiling person</t>
  </si>
  <si>
    <t>Real Devices_180</t>
  </si>
  <si>
    <t>With plain white/grey/blue background</t>
  </si>
  <si>
    <t>Real Devices_181</t>
  </si>
  <si>
    <t>With texture design background</t>
  </si>
  <si>
    <t>Real Devices_182</t>
  </si>
  <si>
    <t>1. Login in to Reg.Client. Connect all biometric devices to Machine and Devices MDS is running
 2. Go to Biometric details screen.
 3. Select Face and click on Scan</t>
  </si>
  <si>
    <t>Face not present to capture by Face camera</t>
  </si>
  <si>
    <t>Real Devices_183</t>
  </si>
  <si>
    <t>Resident face not present as per standard range to capture by Face camera</t>
  </si>
  <si>
    <t>Real Devices_184</t>
  </si>
  <si>
    <t>1. Login in to Reg.Client. Connect face device to Machine and Devices MDS is running
 2. Biometric details screen, Select face and click on Scan.
 3. After capture timeout, start recapturing face</t>
  </si>
  <si>
    <t>Should allow user to recapture face</t>
  </si>
  <si>
    <t>Real Devices_185</t>
  </si>
  <si>
    <t>1. Login in to Reg.Client. and Connect Face camera to Machine and Devices MDS is running
 2. In Biometric details screen, select Face and Scan</t>
  </si>
  <si>
    <t>Face capture time - from start capture to end capture</t>
  </si>
  <si>
    <t>Should be superior fast acquisition speed (Actual &lt;20 sec).
 (sensing of face and automatic acquisition of the image with the highest quality)</t>
  </si>
  <si>
    <t>Real Devices_186</t>
  </si>
  <si>
    <t>1. Login in to Reg.Client. Connect Face camera to Machine and Devices MDS is running.
 2. Go to Biometric details screen. Select Face and Scan.</t>
  </si>
  <si>
    <t>Visual indication on Reg.Client side to start/stop capture face</t>
  </si>
  <si>
    <t>Real Devices_187</t>
  </si>
  <si>
    <t>1. Login in to Reg.Client. Connect Face camera device to Machine and Devices MDS is running.
 2. Go to Biometric details screen. Select Face and Scan.</t>
  </si>
  <si>
    <t>Visual indication on device side to start/stop capture face.</t>
  </si>
  <si>
    <t>Face camera will blink LEDs while capturing face</t>
  </si>
  <si>
    <t>Real Devices_188</t>
  </si>
  <si>
    <t>1. First login in to Reg.Client, Then Connect Face camera to Machine and Devices MDS is running.</t>
  </si>
  <si>
    <t>Connect Face camera to machine after user logged into Reg.Client 
 Go to Biometric details screen. Select Face and click on Scan</t>
  </si>
  <si>
    <t>Face camera should connect to Reg.Client and allow user to capture face</t>
  </si>
  <si>
    <t>Real Devices_189</t>
  </si>
  <si>
    <t>1. First Connect Face camera to Machine, Then Login in to Reg.Client. Devices MDS is running.</t>
  </si>
  <si>
    <t>Connect Face camera to machine after user logged into Reg.Client
 Go to Biometric details screen. Select Face and click on Scan</t>
  </si>
  <si>
    <t>Real Devices_190</t>
  </si>
  <si>
    <t>1. First login into Reg.Client and Face camera MDS is running.
2. Face camera not connected to machine</t>
  </si>
  <si>
    <t xml:space="preserve">Verify face scan, when Face camera is not connected to machine
</t>
  </si>
  <si>
    <t>Real Devices_191</t>
  </si>
  <si>
    <t>First Connect Face camera to Machine, Then Login in to Reg.Client. Devices MDS is running.</t>
  </si>
  <si>
    <t>When MDS is running, Disconnect and Connect Face camera</t>
  </si>
  <si>
    <t>Face camera should connect to Reg.Client automatically and allow user to capture face</t>
  </si>
  <si>
    <t>Real Devices_192</t>
  </si>
  <si>
    <t>1. login in to Reg.Client, connect Face camera to Machine and Devices MDS is running.
 2. Go to Biometric details screen. Select Face and click on Scan</t>
  </si>
  <si>
    <t>Verify by disconnecting the Face camera while capture is in progress.</t>
  </si>
  <si>
    <t>Real Devices_193</t>
  </si>
  <si>
    <t>Disconnect the Face camera while capture is in progress.
Verify, Reconnect the face camera for next attempt to capture</t>
  </si>
  <si>
    <t>Real Devices_194</t>
  </si>
  <si>
    <t>1. login in to Reg.Client, connect all biometric devices to Machine and Devices MDS is running.
 2. Go to Biometric details screen.</t>
  </si>
  <si>
    <t>Disconnect all connected biometric devices (FP, Iris and Face) from machine.</t>
  </si>
  <si>
    <t>Biometric devices should disconnect with Reg.Client
 Should allow user to perform other operations</t>
  </si>
  <si>
    <t>Real Devices_195</t>
  </si>
  <si>
    <t>Reconnect all connected biometric devices (FP, Iris and Face) from machine</t>
  </si>
  <si>
    <t>Biometric devices should reconnect with Reg.Client
 Should allow user to perform other operations</t>
  </si>
  <si>
    <t>Real Devices_196</t>
  </si>
  <si>
    <t>1. login in to Reg.Client, connect FP device to Machine and Devices MDS is running.
 2. Disconnect the existing connected FP device</t>
  </si>
  <si>
    <t>Connect new FP device or changing FP device (same make &amp; model)</t>
  </si>
  <si>
    <t>New FP devices should connect with Reg.Client
 Should allow user to perform operations</t>
  </si>
  <si>
    <t>Need more devices to test</t>
  </si>
  <si>
    <t>Real Devices_197</t>
  </si>
  <si>
    <t>1. login in to Reg.Client, connect Iris device to Machine and Devices MDS is running.
 2. Disconnect the existing connected Iris device</t>
  </si>
  <si>
    <t>Connect new Iris scanner or changing Iris scanner (same make &amp; model)</t>
  </si>
  <si>
    <t>Iris scanner should reconnect with Reg.Client
 Should allow user to perform other operations</t>
  </si>
  <si>
    <t>Real Devices_198</t>
  </si>
  <si>
    <t>1. login in to Reg.Client, connect Face camera to Machine and Devices MDS is running.
 2. Disconnect the existing connected Face camera</t>
  </si>
  <si>
    <t>Connect new Face camera or changing Face camera (same make &amp; model)</t>
  </si>
  <si>
    <t>Face camera should reconnect with Reg.Client
 Should allow user to perform other operations</t>
  </si>
  <si>
    <t>Real Devices_199</t>
  </si>
  <si>
    <t>Biometric devices connected to machine and MDS is running.</t>
  </si>
  <si>
    <t>Operator Logged out from Reg.Client and logged in after some time.
Verify biometric devices connectivity</t>
  </si>
  <si>
    <t>Biometric devices should connect to Reg.Client</t>
  </si>
  <si>
    <t>Real Devices_200</t>
  </si>
  <si>
    <t>1. Biometric devices connected to machine and MDS is running.
2. Operator logged out from Reg.Client and stopped MDS.</t>
  </si>
  <si>
    <t>1. When MDS is stopped, operator logged in to Reg.Client.
2. Verify biometric devices connectivity</t>
  </si>
  <si>
    <t>Biometric devices should not connect to Reg.Client</t>
  </si>
  <si>
    <t>Real Devices_201</t>
  </si>
  <si>
    <t>1. Operator Logged out from Reg.Client after idle time. (Auto logout).
2. After some time re logged into Reg.Client.
3. Verify biometric devices connectivity</t>
  </si>
  <si>
    <t>Real Devices_202</t>
  </si>
  <si>
    <t>Operator closed Reg.Client application and logged in after some time.
Verify biometric devices connectivity</t>
  </si>
  <si>
    <t>Real Devices_203</t>
  </si>
  <si>
    <t>Biometric ReCapture</t>
  </si>
  <si>
    <t>1. Login in to Reg.Client. Connect all biometric devices and Devices MDS is running
 2. Go to Biometric details screen. Select FPs and click on Scan</t>
  </si>
  <si>
    <t xml:space="preserve">Verify recapture of left slap, right slap and thumbs FPs, once captured time out </t>
  </si>
  <si>
    <t>Should allow user to recapture FPs</t>
  </si>
  <si>
    <t>Real Devices_204</t>
  </si>
  <si>
    <t xml:space="preserve">Verify recapture of left slap, right slap and thumbs FPs, when captured quality is less </t>
  </si>
  <si>
    <t>Real Devices_205</t>
  </si>
  <si>
    <t>1. Login in to Reg.Client. Connect all biometric devices and Devices MDS is running
 2. Go to Biometric details screen. Select Iris and click on Scan</t>
  </si>
  <si>
    <t xml:space="preserve">Verify recapture of Iris, once captured time out </t>
  </si>
  <si>
    <t>Real Devices_206</t>
  </si>
  <si>
    <t xml:space="preserve">Verify recapture of Iris, when captured quality is less </t>
  </si>
  <si>
    <t>Real Devices_207</t>
  </si>
  <si>
    <t>1. Login in to Reg.Client. Connect all biometric devices and Devices MDS is running
 2. Go to Biometric details screen. Select Face and click on Scan</t>
  </si>
  <si>
    <t xml:space="preserve">Verify recapture of Face, once captured time out </t>
  </si>
  <si>
    <t>Should allow user to recapture Face</t>
  </si>
  <si>
    <t>Real Devices_208</t>
  </si>
  <si>
    <t xml:space="preserve">Verify recapture of Face, when captured quality is less </t>
  </si>
  <si>
    <t>Real Devices_209</t>
  </si>
  <si>
    <t>1. login in to Reg.Client, connect all biometric devices to Machine and Devices MDS is running.
 2. Go to Biometric details screen. Select FP and click on Scan</t>
  </si>
  <si>
    <t>Preview/Streaming Window</t>
  </si>
  <si>
    <t>1. Preview/Streaming window should start display fingerprints capturing preview with quality details. 
 2. Should display captured fingerprints after successful capture</t>
  </si>
  <si>
    <t>Real Devices_210</t>
  </si>
  <si>
    <t>1. login in to Reg.Client, connect all biometric devices to Machine and Devices MDS is running.
 2. Go to Biometric details screen. Select Iris and click on Scan</t>
  </si>
  <si>
    <t>1. Preview/Streaming window should start display Iris preview with quality details. 
 2. Should display captured Iris after successful capture</t>
  </si>
  <si>
    <t>Real Devices_211</t>
  </si>
  <si>
    <t>1. login in to Reg.Client, connect all biometric devices to Machine and Devices MDS is running.
 2. Go to Biometric details screen. Select Face &amp; click on Scan</t>
  </si>
  <si>
    <t>1. Preview/Streaming window should start display face capturing preview with quality details. 
 2. Should display captured face after successful capture</t>
  </si>
  <si>
    <t>Real Devices_212</t>
  </si>
  <si>
    <t>1. login in to Reg.Client, connect all biometric devices to Machine and Devices MDS is running.
 2. Go to Biometric details screen and select FP.</t>
  </si>
  <si>
    <t>Click 'Scan' button to capture Fingerprints</t>
  </si>
  <si>
    <t>1. Scan button should get disabled after selecting.(once scan starts)
 2. Preview/Streaming window should start.
 3. Scan button should be enable after scan cycle finished, for next capture</t>
  </si>
  <si>
    <t>Real Devices_213</t>
  </si>
  <si>
    <t>1. login in to Reg.Client, connect all biometric devices to Machine and Devices MDS is running.
 2. Go to Biometric details screen and select Iris.</t>
  </si>
  <si>
    <t>Click 'Scan' button to capture Iris</t>
  </si>
  <si>
    <t>Real Devices_214</t>
  </si>
  <si>
    <t>1. login in to Reg.Client, connect all biometric devices to Machine and Devices MDS is running.
 2. Go to Biometric details screen and select Face.</t>
  </si>
  <si>
    <t>Click 'Scan' button to capture Face</t>
  </si>
  <si>
    <t>Real Devices_215</t>
  </si>
  <si>
    <t>Fingerprint labels for selected fingers (like Left slap/Right slap/Thumbs)</t>
  </si>
  <si>
    <t>Should display fingerprint labels for selected fingers (like Left slap/Right slap/Thumbs)</t>
  </si>
  <si>
    <t>Real Devices_216</t>
  </si>
  <si>
    <t>Iris labels for selected Iris (Left Iris / Right Iris)</t>
  </si>
  <si>
    <t>Should display Iris labels for selected Iris (Left Iris / Right Iris)</t>
  </si>
  <si>
    <t>Real Devices_217</t>
  </si>
  <si>
    <t>Face label</t>
  </si>
  <si>
    <t>Should display face label</t>
  </si>
  <si>
    <t>Real Devices_218</t>
  </si>
  <si>
    <t>1. login in to Reg.Client, connect all biometric devices to Machine and Devices MDS is running.
 2. Go to Biometric details screen and select FP/Iris/Face and Scan</t>
  </si>
  <si>
    <t>Verify to select any other options when scan is in progress</t>
  </si>
  <si>
    <t>Should not allow operator to select any other options when scan is in progress</t>
  </si>
  <si>
    <t>Real Devices_219</t>
  </si>
  <si>
    <t>Verify attempt number with colour code, when biometric quality is poor</t>
  </si>
  <si>
    <t>Should display correct attempts numbers and for poor quality images it should display in red.</t>
  </si>
  <si>
    <t>Real Devices_220</t>
  </si>
  <si>
    <t>Verify attempt number with colour code, when biometric quality is good</t>
  </si>
  <si>
    <t>Should display correct attempts numbers and for good quality images it should display in green.</t>
  </si>
  <si>
    <t>Real Devices_221</t>
  </si>
  <si>
    <t>Verify 'Mark Exception' option based on modality selection</t>
  </si>
  <si>
    <t>Should display Mark exception options based on modality. Ex: User selected Iris from left panel, Iris mark exceptions should display.</t>
  </si>
  <si>
    <t>Real Devices_222</t>
  </si>
  <si>
    <t>1. Set User rolls as Reg_Supervisor and Reg_Officer from Keycloak.
2. Add Attributes- Key (individualId) and Value (User UIN)
3. Connect all biometric device to Machine and Devices MDS is running.
4.  Login into Reg.Client</t>
  </si>
  <si>
    <t>Select Get Onboarded.
Capturing operator biometrics</t>
  </si>
  <si>
    <t>Operator should navigate to 'Supervisor/operator biometrics' screen.
Should allow operator to capture operator biometrics</t>
  </si>
  <si>
    <t>Real Devices_223</t>
  </si>
  <si>
    <t>1. Connect all biometric device to Machine and Devices MDS is running.
2. Login into Reg.Client and select Get Onboarded
3. Select left/Right slap and thumbs and Scan</t>
  </si>
  <si>
    <t>1. Capturing left slap FPs in 'Supervisor/operator biometrics' screen.
2.Capturing Right slap FPs in 'Supervisor/operator biometrics' screen.
3. Capturing Thumbs FPs in 'Supervisor/operator biometrics' screen.</t>
  </si>
  <si>
    <t>Should allow operator to capture fingerprints in 'Supervisor/operator biometrics' screen.</t>
  </si>
  <si>
    <t>Real Devices_224</t>
  </si>
  <si>
    <t>1.Connect all biometric device to Machine and Devices MDS is running.
 2. Login into Reg.Client and select Get Onboarded
 3. Select left slap and mark 1 fingers as exception.</t>
  </si>
  <si>
    <t>To onboard operator biometrics - capturing fingerprints with exception</t>
  </si>
  <si>
    <t>FP device should connect to Reg.Client and should allow operator to capture fingerprints with exceptions.</t>
  </si>
  <si>
    <t>Real Devices_225</t>
  </si>
  <si>
    <t>1.Connect all biometric device to Machine and Devices MDS is running.
 2. Login into Reg.Client and select Get Onboarded
 3. Select Dual Iris and Scan</t>
  </si>
  <si>
    <t>To onboard operator biometrics - Dual Iris capturing</t>
  </si>
  <si>
    <t>Iris scanner should connect to Reg.Client and allow operator to capture dual Iris</t>
  </si>
  <si>
    <t>Real Devices_226</t>
  </si>
  <si>
    <t>1.Connect all biometric device to Machine and Devices MDS is running.
 2. Login into Reg.Client and select Get Onboarded
 3. Select Dual Iris and mark left iris as exception. Click on Scan</t>
  </si>
  <si>
    <t>To onboard operator biometrics - Capturing Iris with left Iris as exception</t>
  </si>
  <si>
    <t>Iris scanner should connect to Reg.Client and allow operator to capture right iris.</t>
  </si>
  <si>
    <t>Real Devices_227</t>
  </si>
  <si>
    <t>1.Connect all biometric device to Machine and Devices MDS is running.
2. Login into Reg.Client and select Get Onboarded
3. Supervisor/Operator Biometrics screen</t>
  </si>
  <si>
    <t>Verify capturing fingerprints multiple times.
Verify capturing Iris multiple times.
Verify capturing face multiple times</t>
  </si>
  <si>
    <t>Should allow operator to capture fingerprints, iris and face multiple times.</t>
  </si>
  <si>
    <t>Real Devices_228</t>
  </si>
  <si>
    <t>1.Connect all biometric device to Machine and Devices MDS is running.
2. Operator enrolled and add UIN in Keycloak attributes.
3. Login into Reg.Client and select Get Onboarded
4. Supervisor/Operator Biometrics screen</t>
  </si>
  <si>
    <t>Operator captured correct FPs, Iris and Face and selected 'Save'.
Verify operator onboarding.</t>
  </si>
  <si>
    <t>operator onboarding should be success.</t>
  </si>
  <si>
    <t>Real Devices_229</t>
  </si>
  <si>
    <t>Operator captured wrong person FPs, Iris and Face and selected 'Save'.
Verify operator onboarding.</t>
  </si>
  <si>
    <t xml:space="preserve">Should fail with popup message 'Biometric data did not matched" </t>
  </si>
  <si>
    <t>Real Devices_230</t>
  </si>
  <si>
    <t>1. Operator captured wrong person FPs. 
2. Operator captured correct Iris and Face and selected 'Save'.
Verify operator onboarding.</t>
  </si>
  <si>
    <t>Real Devices_231</t>
  </si>
  <si>
    <t>1.Connect all biometric device to Machine and Devices MDS is running.
2. Operator not enrolled and add wrong UIN in Keycloak attributes.
3. Login into Reg.Client and select Get Onboarded
4. Supervisor/Operator Biometrics screen</t>
  </si>
  <si>
    <t>1. Operator given wrong UIN in attributes in keycloaks.
2. Captured FPs, Iris and Face and selected 'Save'.
Verify operator onboarding.</t>
  </si>
  <si>
    <t xml:space="preserve">Should fail with popup message 'UIN Biometric data did not matched" </t>
  </si>
  <si>
    <t>Real Devices_232</t>
  </si>
  <si>
    <t>Update Operator biometrics</t>
  </si>
  <si>
    <t>1.Connect all biometric device to Machine and Devices MDS is running.
 2. Login into Reg.Client and select Update operator biometrics
 3. Select Left Slap and Scan</t>
  </si>
  <si>
    <t>To update operator biometrics - left slap FPs capturing</t>
  </si>
  <si>
    <t>FP device should connect to Reg.Client and allow operator to capture left slap</t>
  </si>
  <si>
    <t>Real Devices_233</t>
  </si>
  <si>
    <t>1.Connect all biometric device to Machine and Devices MDS is running.
 2. Login into Reg.Client and select Update operator biometrics
 3. Select Right Slap and Scan</t>
  </si>
  <si>
    <t>To update operator biometrics - Right Slap FPs capturing</t>
  </si>
  <si>
    <t>FP device should connect to Reg.Client and allow operator to capture Right Slap</t>
  </si>
  <si>
    <t>Real Devices_234</t>
  </si>
  <si>
    <t>1.Connect all biometric device to Machine and Devices MDS is running.
 2. Login into Reg.Client and select Update operator biometrics
 3. Select both thumbs and Scan</t>
  </si>
  <si>
    <t>To update operator biometrics - both thumb FPs capturing</t>
  </si>
  <si>
    <t>FP device should connect to Reg.Client and allow operator to capture both thumbs</t>
  </si>
  <si>
    <t>Real Devices_235</t>
  </si>
  <si>
    <t>1.Connect all biometric device to Machine and Devices MDS is running.
 2. Login into Reg.Client and select Update operator biometrics
 3. Select Left Slap and mark three fingers as exception. Click on Scan</t>
  </si>
  <si>
    <t>To update operator biometrics - Capturing left slap with three fingers as exception</t>
  </si>
  <si>
    <t>FP device should connect to Reg.Client and allow operator to capture one fingerprint</t>
  </si>
  <si>
    <t>Real Devices_236</t>
  </si>
  <si>
    <t>1.Connect all biometric device to Machine and Devices MDS is running.
 2. Login into Reg.Client and select Update operator biometrics
 3. Select Right Slap and mark all four fingers as exception. Click on Scan</t>
  </si>
  <si>
    <t>To update operator biometrics - Capturing right slap with four finger as exception</t>
  </si>
  <si>
    <t>FP device should connect to Reg.Client and should not allow operator to capture fingerprints</t>
  </si>
  <si>
    <t>Real Devices_237</t>
  </si>
  <si>
    <t>1.Connect all biometric device to Machine and Devices MDS is running.
 2. Login into Reg.Client and select Update operator biometrics
 3. Select both thumbs and mark both thumb fingers as exception. Click on Scan</t>
  </si>
  <si>
    <t>To update operator biometrics - Capturing thumbs with two fingers as exception</t>
  </si>
  <si>
    <t>Real Devices_238</t>
  </si>
  <si>
    <t>1.Connect all biometric device to Machine and Devices MDS is running.
 2. Login into Reg.Client and select Update operator biometrics
 3. Select Dual Iris and Scan</t>
  </si>
  <si>
    <t>To update operator biometrics - Dual Iris capturing</t>
  </si>
  <si>
    <t>Real Devices_239</t>
  </si>
  <si>
    <t>1.Connect all biometric device to Machine and Devices MDS is running.
 2. Login into Reg.Client and select Update operator biometrics
 3. Select Dual Iris and mark wright iris as exception. Click on Scan</t>
  </si>
  <si>
    <t>To update operator biometrics - Capturing Iris with right Iris as exception</t>
  </si>
  <si>
    <t>Iris scanner should connect to Reg.Client and should allow operator to capture left Iris.</t>
  </si>
  <si>
    <t>Real Devices_240</t>
  </si>
  <si>
    <t>1.Connect all biometric device to Machine and Devices MDS is running.
 2. Login into Reg.Client and select Update operator biometrics
 3. Select Left Slap FPs and Scan</t>
  </si>
  <si>
    <t>In update operator biometrics - Capturing fingerprints multiple times</t>
  </si>
  <si>
    <t>Reg.Client should allow operator to capture fingerprints multiple times</t>
  </si>
  <si>
    <t>Real Devices_241</t>
  </si>
  <si>
    <t>1.Connect all biometric device to Machine and Devices MDS is running.
 2. Login into Reg.Client and select Update operator biometrics
 3. Select Iris and Scan</t>
  </si>
  <si>
    <t>In update operator biometrics - Capturing Iris multiple times</t>
  </si>
  <si>
    <t>Real Devices_242</t>
  </si>
  <si>
    <t>1.Connect all biometric device to Machine and Devices MDS is running.
 2. Login into Reg.Client and select Update operator biometrics
 3. Select Face and Scan</t>
  </si>
  <si>
    <t>In update operator biometrics - Capturing face multiple times</t>
  </si>
  <si>
    <t>Reg.Client should allow operator to capture multiple times</t>
  </si>
  <si>
    <t>Real Devices_243</t>
  </si>
  <si>
    <t>1.Operator onboarded and selected task 'Update operator biometrics'.</t>
  </si>
  <si>
    <t>Real Devices_244</t>
  </si>
  <si>
    <t>Real Devices_245</t>
  </si>
  <si>
    <t>Real Devices_246</t>
  </si>
  <si>
    <t>1. Operator onboarding done.
 2.Connect the FP device to Machine and Devices MDS is running.
 3. Launch Reg.Client, enter user name and submit.
4. Configure auth method as 'Fingerprint'.</t>
  </si>
  <si>
    <t>Operator login into Reg.Client with Left Slap as authentication</t>
  </si>
  <si>
    <t>Should allow user to login into Reg.Client</t>
  </si>
  <si>
    <t>Real Devices_247</t>
  </si>
  <si>
    <t>Operator login into Reg.Client with Right slap FP as authentication</t>
  </si>
  <si>
    <t>Real Devices_248</t>
  </si>
  <si>
    <t>Operator login into Reg.Client with both thumbs FP as authentication</t>
  </si>
  <si>
    <t>Real Devices_249</t>
  </si>
  <si>
    <t>Operator login into Reg.Client with wrong person Left Slap as authentication</t>
  </si>
  <si>
    <t>Should not allow user to login into Reg.Client</t>
  </si>
  <si>
    <t>Real Devices_250</t>
  </si>
  <si>
    <t>Operator login into Reg.Client with wrong person Right slap FP as authentication</t>
  </si>
  <si>
    <t>Should allow not user to login into Reg.Client</t>
  </si>
  <si>
    <t>Real Devices_251</t>
  </si>
  <si>
    <t>Operator login into Reg.Client with wrong person both thumbs FP as authentication</t>
  </si>
  <si>
    <t>Real Devices_252</t>
  </si>
  <si>
    <t>1. Operator onboarding done.
 2.Connect the FP device to Machine and Devices MDS is running.
 3. Launch Reg.Client, enter user name and submit.
4. Configure auth method as 'PWD' and 'Fingerprint'.</t>
  </si>
  <si>
    <t>Operator login into Reg.Client with correct password and operator left slap for authentication</t>
  </si>
  <si>
    <t>Real Devices_253</t>
  </si>
  <si>
    <t>Operator login into Reg.Client with correct password and operator Right slap for authentication</t>
  </si>
  <si>
    <t>Real Devices_254</t>
  </si>
  <si>
    <t>Operator login into Reg.Client with correct password and operator both thumbs for authentication</t>
  </si>
  <si>
    <t>Real Devices_255</t>
  </si>
  <si>
    <t>Operator login into Reg.Client with incorrect password and trying to capture operator left slap for authentication</t>
  </si>
  <si>
    <t>Password auth should fail and allow user to reenter password.
Should allow operator to capture FPs.</t>
  </si>
  <si>
    <t>Real Devices_256</t>
  </si>
  <si>
    <t>Operator login into Reg.Client with correct password and wrong operator left slap for authentication</t>
  </si>
  <si>
    <t>FP auth should fail 'FP not matched'.
Should allow operator to recapture FPs</t>
  </si>
  <si>
    <t>Real Devices_257</t>
  </si>
  <si>
    <t>Operator login into Reg.Client with correct password and wrong operator right slap for authentication</t>
  </si>
  <si>
    <t>Real Devices_258</t>
  </si>
  <si>
    <t>Operator login into Reg.Client with correct password and wrong operator both thumbs for authentication</t>
  </si>
  <si>
    <t>Real Devices_259</t>
  </si>
  <si>
    <t>1. Operator onboarding done.
 2.Connect the Iris Scanner to Machine and Devices MDS is running.
 3. Launch Reg.Client, enter user name and submit</t>
  </si>
  <si>
    <t>1. Operator captured correct person Iris
2. Operator login into Reg.Client with iris as authentication</t>
  </si>
  <si>
    <t>Real Devices_260</t>
  </si>
  <si>
    <t>1. Operator captured wrong person Iris
2. Operator login into Reg.Client with Iris as authentication</t>
  </si>
  <si>
    <t>Real Devices_261</t>
  </si>
  <si>
    <t>1. Configure auth method as 'PWD', and 'Iris'
2. Operator onboarding done.
3. Connect the Iris Scanner to Machine and Devices MDS is running.
4.  Launch Reg.Client, enter user name and submit</t>
  </si>
  <si>
    <t>1. Operator login into Reg.Client with PWD and Iris as authentication</t>
  </si>
  <si>
    <t>Operator should be auth success for both modalities
Should allow user to login into Reg.Client</t>
  </si>
  <si>
    <t>Real Devices_262</t>
  </si>
  <si>
    <t>1. Operator onboarding done.
 2.Connect the Face camera to Machine and Devices MDS is running.
 3. Launch Reg.Client, enter user name and submit</t>
  </si>
  <si>
    <t>1. Operator captured wrong person Iris
2. Operator login into Reg.Client with dual Iris as authentication</t>
  </si>
  <si>
    <t>Real Devices_263</t>
  </si>
  <si>
    <t>1. Operator captured wrong face 
2. Verify Operator login into Reg.Client with Face as authentication</t>
  </si>
  <si>
    <t>Real Devices_264</t>
  </si>
  <si>
    <t>1. Operator onboarded with all 10 fingerprints
 2. Connect the all biometric devices to Machine and Devices MDS is running.
 3. Operator logged in and created packet.
 4. Select operator authentication and enter User ID</t>
  </si>
  <si>
    <t>Real Devices_265</t>
  </si>
  <si>
    <t>Real Devices_266</t>
  </si>
  <si>
    <t>Real Devices_267</t>
  </si>
  <si>
    <t>Real Devices_268</t>
  </si>
  <si>
    <t>Real Devices_269</t>
  </si>
  <si>
    <t>Real Devices_270</t>
  </si>
  <si>
    <t>1. Operator onboarded with all 10 fingerprints
 2. Connect the FP device to Machine and Devices MDS is running.
 3. Login into Reg.Client and select new registration.
 4. Select operator authentication and enter User ID</t>
  </si>
  <si>
    <t>1.Configure auth method as 'PWD' and 'Fingerprint'.
2. Operator login into Reg.Client with correct password and operator left slap for authentication</t>
  </si>
  <si>
    <t>Real Devices_271</t>
  </si>
  <si>
    <t>Configure auth method as 'PWD' and 'Fingerprint'.
Operator login into Reg.Client with correct password and operator Right slap for authentication</t>
  </si>
  <si>
    <t>Real Devices_272</t>
  </si>
  <si>
    <t>Configure auth method as 'PWD' and 'Fingerprint'.
Operator login into Reg.Client with correct password and operator both thumbs for authentication</t>
  </si>
  <si>
    <t>Real Devices_273</t>
  </si>
  <si>
    <t>Configure auth method as 'PWD' and 'Fingerprint'.
Operator login into Reg.Client with incorrect password and trying to capture operator left slap for authentication</t>
  </si>
  <si>
    <t>Real Devices_274</t>
  </si>
  <si>
    <t>Configure auth method as 'PWD' and 'Fingerprint'.
Operator login into Reg.Client with correct password and wrong operator left slap for authentication</t>
  </si>
  <si>
    <t>Real Devices_275</t>
  </si>
  <si>
    <t>1. Operator onboarded with both thumbs as exceptions
 2. Connect the FP device to Machine and Devices MDS is running.
 3. Login into Reg.Client and select new registration.
 4. Select operator authentication and enter User ID</t>
  </si>
  <si>
    <t>Configure auth method as 'PWD' and 'Fingerprint'.
Operator login into Reg.Client with correct password and wrong operator right slap for authentication</t>
  </si>
  <si>
    <t>Real Devices_276</t>
  </si>
  <si>
    <t>Configure auth method as 'PWD' and 'Fingerprint'.
Operator login into Reg.Client with correct password and wrong operator both thumbs for authentication</t>
  </si>
  <si>
    <t>Real Devices_277</t>
  </si>
  <si>
    <t>1. Operator onboarded with 10 fingers
 2. Connect the FP device to Machine and Devices MDS is running.
 3. Login into Reg.Client and select new registration.
 4. Select operator authentication and enter User ID</t>
  </si>
  <si>
    <t>Operator updated biometrics with left little as exception.
Operator Auth for packet creation with left index,middle &amp; ring FP.
Verify operator auth.</t>
  </si>
  <si>
    <t>Operator Auth should success</t>
  </si>
  <si>
    <t>Real Devices_278</t>
  </si>
  <si>
    <t>1. Operator onboarded with both Iris
 2. Connect the all biometric devices to Machine and Devices MDS is running.
 3. Operator logged in and created packet.
 4. Select operator authentication and enter User ID</t>
  </si>
  <si>
    <t>Operator Auth for packet creation with dual Iris as authentication</t>
  </si>
  <si>
    <t>Operator Auth should be success</t>
  </si>
  <si>
    <t>Real Devices_279</t>
  </si>
  <si>
    <t>Operator Auth for packet creation with Left Iris as authentication</t>
  </si>
  <si>
    <t>Real Devices_280</t>
  </si>
  <si>
    <t>1. Operator onboarded with right Iris as exception
 2. Connect the all biometric devices to Machine and Devices MDS is running.
 3. Operator logged in and created packet.
 4. Select operator authentication and enter User ID</t>
  </si>
  <si>
    <t>Operator Auth for packet creation with left Iris as authentication</t>
  </si>
  <si>
    <t>Real Devices_281</t>
  </si>
  <si>
    <t>1. Operator onboarded with both Iris
 2. Connect the all biometric devices to Machine and Devices MDS is running.
 3. Operator logged in and created packet.
 4. Select operator authentication and enter User ID</t>
  </si>
  <si>
    <t>Operator Auth with wrong person Iris for packet creation with Iris as authentication</t>
  </si>
  <si>
    <t>Operator Auth should fail</t>
  </si>
  <si>
    <t>Real Devices_282</t>
  </si>
  <si>
    <t>1. Operator onboarded with face
 2. Connect the all biometric devices to Machine and Devices MDS is running.
 3. Operator logged in and created packet.
 4. Select operator authentication and enter User ID</t>
  </si>
  <si>
    <t>Operator Auth with correct person face for packet creation with face as authentication</t>
  </si>
  <si>
    <t>Real Devices_283</t>
  </si>
  <si>
    <t>Operator Auth with wrong person face for packet creation with face as authentication</t>
  </si>
  <si>
    <t>Real Devices_284</t>
  </si>
  <si>
    <t>1. Supervisor/operator onboarded with all 10 fingerprints
 2. Connect all biometric devices to Machine and Devices MDS is running.
 3. Login into Reg.Client, in Biometric details select any FP/Iris as exception.
 4. Perform Operator auth and go to Reviewer auth</t>
  </si>
  <si>
    <t>Real Devices_285</t>
  </si>
  <si>
    <t>Real Devices_286</t>
  </si>
  <si>
    <t>Real Devices_287</t>
  </si>
  <si>
    <t>Real Devices_288</t>
  </si>
  <si>
    <t>Real Devices_289</t>
  </si>
  <si>
    <t>1. Supervisor/operator onboarded with 10 fingers
 2. Connect all biometric devices to Machine and Devices MDS is running.
 3. Login into Reg.Client, in Biometric details select any FP/Iris as exception.
 4. Perform Operator auth and go to Reviewer auth</t>
  </si>
  <si>
    <t>Real Devices_290</t>
  </si>
  <si>
    <t>Real Devices_291</t>
  </si>
  <si>
    <t>Real Devices_292</t>
  </si>
  <si>
    <t>Real Devices_293</t>
  </si>
  <si>
    <t>Real Devices_294</t>
  </si>
  <si>
    <t>Real Devices_295</t>
  </si>
  <si>
    <t>Real Devices_296</t>
  </si>
  <si>
    <t>1. Supervisor/operator onboarded with with all 10 fingerprints
 2. Connect all biometric devices to Machine and Devices MDS is running.
 3. Login into Reg.Client, in Biometric details select any FP/Iris as exception.
 4. Perform Operator auth and go to Reviewer auth</t>
  </si>
  <si>
    <t>Real Devices_297</t>
  </si>
  <si>
    <t>1. Supervisor/operator onboarded with left little fingers as exceptions
 2. Connect all biometric devices to Machine and Devices MDS is running.
 3. Login into Reg.Client, in Biometric details select any FP/Iris as exception.
 4. Perform Operator auth and go to Reviewer auth</t>
  </si>
  <si>
    <t>1. Supervisor/operator onboarded with left little fingers as exceptions
2. Reviewer Auth with left index, middle and ring fingers</t>
  </si>
  <si>
    <t>Reviewer Auth should be success</t>
  </si>
  <si>
    <t>Real Devices_298</t>
  </si>
  <si>
    <t>Reviewer Auth with wrong person right FPs</t>
  </si>
  <si>
    <t>Reviewer Auth should fail</t>
  </si>
  <si>
    <t>Real Devices_299</t>
  </si>
  <si>
    <r>
      <rPr>
        <rFont val="Calibri, Arial"/>
        <color theme="1"/>
        <sz val="11.0"/>
      </rPr>
      <t>1. Supervisor/operator onboarded with both dual</t>
    </r>
    <r>
      <rPr>
        <rFont val="Calibri, Arial"/>
        <b/>
        <color theme="1"/>
        <sz val="11.0"/>
      </rPr>
      <t xml:space="preserve"> Iris</t>
    </r>
    <r>
      <rPr>
        <rFont val="Calibri, Arial"/>
        <color theme="1"/>
        <sz val="11.0"/>
      </rPr>
      <t xml:space="preserve">
 2. Connect all biometric devices to Machine and Devices MDS is running.
 3. Login into Reg.Client, in Biometric details select any FP/Iris as exception.
 4. Perform Operator auth and go to Reviewer auth</t>
    </r>
  </si>
  <si>
    <t>Reviewer Auth with Left Iris</t>
  </si>
  <si>
    <t>Real Devices_300</t>
  </si>
  <si>
    <t>1. Supervisor/operator onboarded with both dual Iris
 2. Connect all biometric devices to Machine and Devices MDS is running.
 3. Login into Reg.Client, in Biometric details select any FP/Iris as exception.
 4. Perform Operator auth and go to Reviewer auth</t>
  </si>
  <si>
    <t>Reviewer Auth with Right Iris</t>
  </si>
  <si>
    <t>Real Devices_301</t>
  </si>
  <si>
    <t>1. Supervisor/operator onboarded with both dual Iris as exception
 2. Connect all biometric devices to Machine and Devices MDS is running.
 3. Login into Reg.Client, in Biometric details select any FP/Iris as exception.
 4. Perform Operator auth and go to Reviewer auth</t>
  </si>
  <si>
    <t>Reviewer Auth with Left/Right Iris, (Supervisor/operator onboarded with both dual Iris as exception)</t>
  </si>
  <si>
    <t>Real Devices_302</t>
  </si>
  <si>
    <t>1. Supervisor/operator onboarded with Left Iris as exception
 2. Connect all biometric devices to Machine and Devices MDS is running.
 3. Login into Reg.Client, in Biometric details select any FP/Iris as exception.
 4. Perform Operator auth and go to Reviewer auth</t>
  </si>
  <si>
    <t>Reviewer Auth with Right Iris (Supervisor/operator onboarded with Left Iris as exception)</t>
  </si>
  <si>
    <t>Real Devices_303</t>
  </si>
  <si>
    <t>1. Supervisor/operator onboarded with both dual Iris
 2. Connect all biometric devices to Machine and Devices MDS is running.
 3. Login into Reg.Client, in Biometric details select any FP/Iris as exception and create a packet.
 4. Perform Operator auth and go to Reviewer auth</t>
  </si>
  <si>
    <t>Verify reviewer auth with wrong person Iris</t>
  </si>
  <si>
    <t>Real Devices_304</t>
  </si>
  <si>
    <r>
      <rPr>
        <rFont val="Calibri, Arial"/>
        <color theme="1"/>
        <sz val="11.0"/>
      </rPr>
      <t xml:space="preserve">1. Supervisor/operator onboarded with </t>
    </r>
    <r>
      <rPr>
        <rFont val="Calibri, Arial"/>
        <b/>
        <color theme="1"/>
        <sz val="11.0"/>
      </rPr>
      <t>Face</t>
    </r>
    <r>
      <rPr>
        <rFont val="Calibri, Arial"/>
        <color theme="1"/>
        <sz val="11.0"/>
      </rPr>
      <t xml:space="preserve">
 2. Connect all biometric devices to Machine and Devices MDS is running.
 3. Login into Reg.Client, in Biometric details select any FP/Iris as exception and create a packet.
 4. Perform Operator auth and go to Reviewer auth</t>
    </r>
  </si>
  <si>
    <t>Reviewer Auth  with correct person face for packet creation with face as authentication</t>
  </si>
  <si>
    <t>Real Devices_305</t>
  </si>
  <si>
    <t>1. Supervisor/operator onboarded with Face
 2. Connect all biometric devices to Machine and Devices MDS is running.
 3. Login into Reg.Client, in Biometric details select any FP/Iris as exception and create a packet.
 4. Perform Operator auth and go to Reviewer auth</t>
  </si>
  <si>
    <t>Reviewer Auth with wrong person face for packet creation with face as authentication</t>
  </si>
  <si>
    <t>Real Devices_306</t>
  </si>
  <si>
    <r>
      <rPr>
        <rFont val="Calibri, Arial"/>
        <color theme="1"/>
        <sz val="11.0"/>
      </rPr>
      <t xml:space="preserve">1. Supervisor onboarded with all 10 </t>
    </r>
    <r>
      <rPr>
        <rFont val="Calibri, Arial"/>
        <b/>
        <color theme="1"/>
        <sz val="11.0"/>
      </rPr>
      <t xml:space="preserve">fingerprints
</t>
    </r>
    <r>
      <rPr>
        <rFont val="Calibri, Arial"/>
        <color theme="1"/>
        <sz val="11.0"/>
      </rPr>
      <t xml:space="preserve"> 2. Connect the all biometric devices to Machine and Devices MDS is running.
 3. Login into Reg.Client and create and authenticate the packet
 4. Select 'Pending Approval", select the packet and authentication with FP</t>
    </r>
  </si>
  <si>
    <t>Real Devices_307</t>
  </si>
  <si>
    <t>1. Supervisor onboarded with all 10 fingerprints
 2. Connect the all biometric devices to Machine and Devices MDS is running.
 3. Login into Reg.Client and create and authenticate the packet
 4. Select operator authentication and enter User ID</t>
  </si>
  <si>
    <t>Real Devices_308</t>
  </si>
  <si>
    <t>1. Supervisor onboarded with all 10 fingerprints
 2. Connect the all biometric devices to Machine and Devices MDS is running.
 3. Login into Reg.Client and create and authenticate the packet
 4. Select operator authentication and enter User ID</t>
  </si>
  <si>
    <t>Real Devices_309</t>
  </si>
  <si>
    <t>1. Supervisor onboarded with left index and middle fingers as exceptions
 2. Connect the all biometric devices to Machine and Devices MDS is running.
 3. Login into Reg.Client and create and authenticate the packet
 4. Select operator authentication and enter User ID</t>
  </si>
  <si>
    <t>Real Devices_310</t>
  </si>
  <si>
    <t>1. Supervisor onboarded with Right little and ring fingers as exceptions
 2. Connect the all biometric devices to Machine and Devices MDS is running.
 3. Login into Reg.Client and create and authenticate the packet
 4. Select operator authentication and enter User ID</t>
  </si>
  <si>
    <t>Real Devices_311</t>
  </si>
  <si>
    <t>1. Supervisor onboarded with Right little and ring fingers as exceptions
 2. Connect the all biometric devices to Machine and Devices MDS is running.
 3. Login into Reg.Client and create and authenticate the packet.
 4. Select operator authentication and enter User ID</t>
  </si>
  <si>
    <t>Real Devices_312</t>
  </si>
  <si>
    <t>1. Supervisor onboarded with all 10 fingerprints
 2. Connect the all biometric devices to Machine and Devices MDS is running.
 3. Login into Reg.Client and create and authenticate the packet
 4. Select 'Pending Approval", select the packet and authentication with FP</t>
  </si>
  <si>
    <t>Real Devices_313</t>
  </si>
  <si>
    <t>Real Devices_314</t>
  </si>
  <si>
    <t>Real Devices_315</t>
  </si>
  <si>
    <t>Real Devices_316</t>
  </si>
  <si>
    <t>Real Devices_317</t>
  </si>
  <si>
    <t>Real Devices_318</t>
  </si>
  <si>
    <t>Real Devices_319</t>
  </si>
  <si>
    <r>
      <rPr>
        <rFont val="Calibri, Arial"/>
        <color theme="1"/>
        <sz val="11.0"/>
      </rPr>
      <t xml:space="preserve">1. Supervisor onboarded with </t>
    </r>
    <r>
      <rPr>
        <rFont val="Calibri, Arial"/>
        <b/>
        <color theme="1"/>
        <sz val="11.0"/>
      </rPr>
      <t>face</t>
    </r>
    <r>
      <rPr>
        <rFont val="Calibri, Arial"/>
        <color theme="1"/>
        <sz val="11.0"/>
      </rPr>
      <t xml:space="preserve">
 2. Connect the all biometric devices to Machine and Devices MDS is running.
 3. Login into Reg.Client and create and authenticate the packet
 4. Select operator authentication and enter User ID</t>
    </r>
  </si>
  <si>
    <t>Supervisor Auth with correct person face for Pending Approval with face as authentication</t>
  </si>
  <si>
    <t>Supervisor Auth should be success</t>
  </si>
  <si>
    <t>Real Devices_320</t>
  </si>
  <si>
    <t>1. Supervisor onboarded with face
 2. Connect the all biometric devices to Machine and Devices MDS is running.
 3. Login into Reg.Client and create and authenticate the packet
 4. Select operator authentication and enter User ID</t>
  </si>
  <si>
    <t>Supervisor Auth with wrong person for Pending Approval with face as authentication</t>
  </si>
  <si>
    <t>Supervisor Auth should not be success</t>
  </si>
  <si>
    <t>Real Devices_321</t>
  </si>
  <si>
    <t>1. connect the FP device to Machine's USB 3.0 port and Devices MDS is running.
 2. login in to Reg.Client, in Biometric details screen select Left Slap and Scan</t>
  </si>
  <si>
    <t>FPs capturing when device connected to USB 3.0 port</t>
  </si>
  <si>
    <t>Should capture best quality FPs</t>
  </si>
  <si>
    <t>Real Devices_322</t>
  </si>
  <si>
    <t>1. connect the FP device to Machine's USB 2.0 port and Devices MDS is running.
 2. login in to Reg.Client, in Biometric details screen select Left Slap and Scan</t>
  </si>
  <si>
    <t>FPs capturing when device connected to USB 2.0 port</t>
  </si>
  <si>
    <t>Real Devices_323</t>
  </si>
  <si>
    <t>1. connect the Iris scanner to Machine's USB 3.0 port and Devices MDS is running.
 2. login in to Reg.Client, in Biometric details screen select Iris and Scan</t>
  </si>
  <si>
    <t>Iris capturing when device connected to USB 3.0 port</t>
  </si>
  <si>
    <t>Should capture best quality Iris</t>
  </si>
  <si>
    <t>Real Devices_324</t>
  </si>
  <si>
    <t>1. connect the Iris scanner to Machine's USB 2.0 port and Devices MDS is running.
 2. login in to Reg.Client, in Biometric details screen select Iris and Scan</t>
  </si>
  <si>
    <t>Iris capturing when device connected to USB 2.0 port</t>
  </si>
  <si>
    <t>Real Devices_325</t>
  </si>
  <si>
    <t>1. connect the face camera to Machine's USB 3.0 port and Devices MDS is running.
 2. login in to Reg.Client, in Biometric details screen select Face and Scan</t>
  </si>
  <si>
    <t>Face capturing when device connected to USB 3.0 port</t>
  </si>
  <si>
    <t>Should capture best quality face</t>
  </si>
  <si>
    <t>Real Devices_326</t>
  </si>
  <si>
    <t>1. connect the Face camera to Machine's USB 2.0 port and Devices MDS is running.
 2. login in to Reg.Client, in Biometric details screen select face and Scan</t>
  </si>
  <si>
    <t>Face capturing when device connected to USB 2.0 port</t>
  </si>
  <si>
    <t>Real Devices_327</t>
  </si>
  <si>
    <t xml:space="preserve">1. login in to Reg.Client, connect all biometric devices to Machine through USB hub and Devices MDS is running.
2. Go to Biometric screen and Scan all biometrics
</t>
  </si>
  <si>
    <t>Biometric devices performance/connectivity through USB hub.
When laptop have only one USB port</t>
  </si>
  <si>
    <t>Reg.Client should detect all biometric devices and there should not be any lag in device performance</t>
  </si>
  <si>
    <t>USB hub not available</t>
  </si>
  <si>
    <t>Real Devices_328</t>
  </si>
  <si>
    <t>1. login in to Reg.Client, connect the fingerprint device to Machine and Devices MDS is running.
 2. Fingerprint device is connected to Reg.Client and showing in Device settings</t>
  </si>
  <si>
    <t>Disconnect and change the USB port to other USB port</t>
  </si>
  <si>
    <t>Reg.Client should detect and update the status in Device settings</t>
  </si>
  <si>
    <t>Real Devices_329</t>
  </si>
  <si>
    <t>1. login in to Reg.Client, connect the fingerprint device to Machine and Devices MDS is running.
 2. Fingerprint device is connected to Reg.Client and showing in Device settings.
 3. Stop the device MDS</t>
  </si>
  <si>
    <t>Reg.Client should not detect and update the status in Device settings</t>
  </si>
  <si>
    <t>Real Devices_330</t>
  </si>
  <si>
    <t>1. login in to Reg.Client, connect the iris scanner to Machine and Devices MDS is running.
 2. Iris scanner is connected to Reg.Client and showing in Device settings</t>
  </si>
  <si>
    <t>Real Devices_331</t>
  </si>
  <si>
    <t>1. login in to Reg.Client, connect the iris scanner to Machine and Devices MDS is running.
 2. Iris scanner is connected to Reg.Client and showing in Device settings.
 3. Stop the device MDS</t>
  </si>
  <si>
    <t>Real Devices_332</t>
  </si>
  <si>
    <t>1. login in to Reg.Client, connect the face camera to Machine and Devices MDS is running.
 2. Face camera is connected to Reg.Client and showing in Device settings</t>
  </si>
  <si>
    <t>Real Devices_333</t>
  </si>
  <si>
    <t>1. login in to Reg.Client, connect the face camera to Machine and Devices MDS is running.
 2. Face camera is connected to Reg.Client and showing in Device settings.
 3. Stop the device MDS</t>
  </si>
  <si>
    <t>Real Devices_334</t>
  </si>
  <si>
    <t>1. First login into the Reg.Client, then Connect Fingerprint device to Machine.
 2. Stop MDS</t>
  </si>
  <si>
    <t>Fingerprint device connectivity when MDS is not running</t>
  </si>
  <si>
    <t>FP Device should not connect to Reg.Client to capture FPs</t>
  </si>
  <si>
    <t>Real Devices_335</t>
  </si>
  <si>
    <t>1. First login into the Reg.Client, then Connect Fingerprint device to Machine.
 2. Start MDS</t>
  </si>
  <si>
    <t>Fingerprint device connectivity when MDS is running</t>
  </si>
  <si>
    <t>FP Device should connect to Reg.Client and allow user to capture FPs</t>
  </si>
  <si>
    <t>Real Devices_336</t>
  </si>
  <si>
    <t>1. First login into the Reg.Client, then Connect Fingerprint device to Machine. 2. MDS is running.
 3. Select Left slap FP and Scan</t>
  </si>
  <si>
    <t>Stop MDS, while scan is in progress</t>
  </si>
  <si>
    <t>FP Device should not allow user to capture fingerprints.
 Reg.Client must give popup "Device is not available".</t>
  </si>
  <si>
    <t>Real Devices_337</t>
  </si>
  <si>
    <t>1. First login into the Reg.Client, then Connect Fingerprint device to Machine.
 2. MDS is running. Select Left slap FP and Scan.
 3. Restart MDS</t>
  </si>
  <si>
    <t>Restart MDS, while scan is in progress</t>
  </si>
  <si>
    <t>FP Device should not allow user to capture fingerprints.
 Reg.Client must give popup "Device is not available".
 FP device should connect to Reg.Client automatically</t>
  </si>
  <si>
    <t>Real Devices_338</t>
  </si>
  <si>
    <t>1. First login into the Reg.Client, Then Connect Iris scanner to Machine.
 2. Stop MDS</t>
  </si>
  <si>
    <t>Iris Scanner connectivity when MDS is not running</t>
  </si>
  <si>
    <t>Iris scanner should not connect to Reg.Client to capture Iris</t>
  </si>
  <si>
    <t>Real Devices_339</t>
  </si>
  <si>
    <t>1. First login into the Reg.Client, Then Connect Iris scanner to Machine.
 2. Start MDS</t>
  </si>
  <si>
    <t>Iris Scanner connectivity when MDS is running</t>
  </si>
  <si>
    <t>Iris scanner should connect to Reg.Client and allow user to capture Iris</t>
  </si>
  <si>
    <t>Real Devices_340</t>
  </si>
  <si>
    <t>1. First login into the Reg.Client, then Connect Iris device to Machine. 2. MDS is running.
 3. Select Iris and Scan</t>
  </si>
  <si>
    <t>Iris scanner should not allow user to capture Iris.
 Reg.Client must give popup "Device is not available".</t>
  </si>
  <si>
    <t>Real Devices_341</t>
  </si>
  <si>
    <t>1. First login into the Reg.Client, then Connect Iris scanner to Machine.
 2. MDS is running. Select Iris and Scan.
 3. Restart MDS</t>
  </si>
  <si>
    <t>Restart MDS, while Iris scan is in progress</t>
  </si>
  <si>
    <t>Iris scanner should not allow user to capture Iris.
 Reg.Client must give popup "Device is not available".
 Iris scanner should connect to Reg.Client automatically</t>
  </si>
  <si>
    <t>Real Devices_342</t>
  </si>
  <si>
    <t>1. First login into the Reg.Client, Then Connect Face scanner to Machine.
 2. Stop MDS</t>
  </si>
  <si>
    <t>Face camera connectivity when MDS is not running</t>
  </si>
  <si>
    <t>Face camera should not connect to Reg.Client to capture face</t>
  </si>
  <si>
    <t>Real Devices_343</t>
  </si>
  <si>
    <t>1. First login into the Reg.Client, Then Connect Face scanner to Machine.
 2. Start MDS</t>
  </si>
  <si>
    <t>Face camera connectivity when MDS is running</t>
  </si>
  <si>
    <t>Real Devices_344</t>
  </si>
  <si>
    <t>1. First login into the Reg.Client, then Connect face camera to Machine. 
 2. MDS is running.3. Select face and Scan</t>
  </si>
  <si>
    <t>Face camera should not allow user to capture face.
 Reg.Client must give popup "Device is not available".</t>
  </si>
  <si>
    <t>Real Devices_345</t>
  </si>
  <si>
    <t>1. First login into the Reg.Client, then Connect Face camera to Machine.
 2. MDS is running. Select Face and Scan.
 3. Restart MDS</t>
  </si>
  <si>
    <t>Face camera should not allow user to capture face.
 Reg.Client must give popup "Device is not available".
 Face camera should connect to Reg.Client automatically</t>
  </si>
  <si>
    <t>Real Devices_346</t>
  </si>
  <si>
    <t>1. Login to Reg.Client.
2. Connect all biometric devices and start MDS.</t>
  </si>
  <si>
    <t>Biometrics devices connected to machine, after operator logged into Reg.Client</t>
  </si>
  <si>
    <t>All biometric device should connect to Reg.Client.
Should display in Device Settings screen.</t>
  </si>
  <si>
    <t>Real Devices_347</t>
  </si>
  <si>
    <t>1. Start MDS
 2. Connect all biometric scanners (FP, Iris and Face) to machine and Login into the Reg.Client.</t>
  </si>
  <si>
    <t>All biometric devices connectivity when MDS is running</t>
  </si>
  <si>
    <t>Real Devices_348</t>
  </si>
  <si>
    <t>1. MDS running and Connect all biometric scanners to machine and Login into the Reg.Client.
 2. Biometric devices are connected to Reg.Client
 3. Stop MDS</t>
  </si>
  <si>
    <t>All biometric devices connectivity when MDS stopped</t>
  </si>
  <si>
    <t>Biometric devices should disconnect with Reg.Client</t>
  </si>
  <si>
    <t>Real Devices_349</t>
  </si>
  <si>
    <t>1. Stop MDS
 2. Connect all biometric scanners (FP, Iris and Face) to machine and Login into the Reg.Client.</t>
  </si>
  <si>
    <t>All biometric devices connectivity when MDS is not running</t>
  </si>
  <si>
    <t>Should not connect biometric devices to Reg.Client</t>
  </si>
  <si>
    <t>Real Devices_350</t>
  </si>
  <si>
    <t>Check biometric devices status in Device setting, when MDS not running</t>
  </si>
  <si>
    <t>Should not display biometric devices in Device settings</t>
  </si>
  <si>
    <t>Real Devices_351</t>
  </si>
  <si>
    <t>1. MDS running and Connect all biometric scanners to machine and Login into the Reg.Client.
 2. Biometric devices are connected to Reg.Client</t>
  </si>
  <si>
    <t>Check biometric devices status in Device setting, when MDS is running</t>
  </si>
  <si>
    <t>Real Devices_352</t>
  </si>
  <si>
    <t>Device signing keys expired and machine is online</t>
  </si>
  <si>
    <t>MDS should download new keys and work automatically</t>
  </si>
  <si>
    <t>Real Devices_353</t>
  </si>
  <si>
    <t>Device signing keys expired and machine is offline</t>
  </si>
  <si>
    <t xml:space="preserve">MDS should give error message that 'Device signing keys expired' </t>
  </si>
  <si>
    <t>Real Devices_354</t>
  </si>
  <si>
    <t>Device signing keys not expired</t>
  </si>
  <si>
    <t>MDS work normally</t>
  </si>
  <si>
    <t>Real Devices_355</t>
  </si>
  <si>
    <t>New version of MDS is available</t>
  </si>
  <si>
    <t>Should allow user to download and new MDS should work with Reg.Client</t>
  </si>
  <si>
    <t>Real Devices_356</t>
  </si>
  <si>
    <t>Displaying device details in like FP device, Serial Number, Make and Model in Device settings screen</t>
  </si>
  <si>
    <t>Device settings should show FP device with serial number, Port No, make and model.</t>
  </si>
  <si>
    <t>Real Devices_357</t>
  </si>
  <si>
    <t>Device settings should not show FP device with serial number, make and model. When MDS stopped</t>
  </si>
  <si>
    <t>Real Devices_358</t>
  </si>
  <si>
    <t>Displaying device details in like Iris scanner, Serial Number, Make and Model in Device settings screen</t>
  </si>
  <si>
    <t>Device settings should show Port No, serial number, make and model.</t>
  </si>
  <si>
    <t>Real Devices_359</t>
  </si>
  <si>
    <t>Device settings should not show like Serial Number, Make and Model. When MDS stopped</t>
  </si>
  <si>
    <t>Real Devices_360</t>
  </si>
  <si>
    <t>Displaying device details in like face camera, Serial Number, Make and Model in Device settings screen</t>
  </si>
  <si>
    <t>Real Devices_361</t>
  </si>
  <si>
    <t>Displaying device details in like face camera, Serial Number and Port in Device settings screen</t>
  </si>
  <si>
    <t>Device settings should not show face camera with serial number and port. When MDS stopped</t>
  </si>
  <si>
    <t>Real Devices_362</t>
  </si>
  <si>
    <t>Infant flow</t>
  </si>
  <si>
    <t>1. login in to Reg.Client, connect all biometric devices (FP, Iris and Face camera) to Machine and Devices MDS is running.
 2. In Biometrics details screen select infant face and Scan</t>
  </si>
  <si>
    <t>Infant face capturing in Biometrics screen</t>
  </si>
  <si>
    <t>Real Devices_363</t>
  </si>
  <si>
    <t>1. login in to Reg.Client, connect all biometric devices (FP, Iris and Face camera) to Machine and Devices MDS is running.
2. Infant face captured in Biometrics screen
3. In Biometrics details screen select introducers left slap FP and Scan</t>
  </si>
  <si>
    <t>Only with Introducer's left slap FPs capturing in biometric screen</t>
  </si>
  <si>
    <t>Should allow user to capture introducer left slap.
Packet should process and with introducer's authentication success</t>
  </si>
  <si>
    <t>Real Devices_364</t>
  </si>
  <si>
    <t>1. login in to Reg.Client, connect all biometric devices (FP, Iris and Face camera) to Machine and Devices MDS is running.
2. Infant face captured in Biometrics screen 
3. In Biometrics details screen select introducers rightslap FP and Scan</t>
  </si>
  <si>
    <t>Only with Introducer's right slap FPs capturing in biometric screen</t>
  </si>
  <si>
    <t>Should allow user to capture introducer rightslap.
Packet should process and with introducer's authentication success</t>
  </si>
  <si>
    <t>Real Devices_365</t>
  </si>
  <si>
    <t>1. login in to Reg.Client, connect all biometric devices (FP, Iris and Face camera) to Machine and Devices MDS is running.
2. Infant face captured in Biometrics screen
3. In Biometrics details screen select introducers both thumb FPs and Scan</t>
  </si>
  <si>
    <t>Only with Introducer's both thumbs FPs capturing in biometric screen</t>
  </si>
  <si>
    <t>Should allow user to capture introducer  both thumbs FPs.
Packet should process and with introducer's authentication success</t>
  </si>
  <si>
    <t>Real Devices_366</t>
  </si>
  <si>
    <t>1. login in to Reg.Client, connect all biometric devices (FP, Iris and Face camera) to Machine and Devices MDS is running.
2. Infant face captured in Biometrics screen
3. In Biometrics details screen select introducers Iris and Scan</t>
  </si>
  <si>
    <t>Only with Introducer's Iris capturing in biometric screen</t>
  </si>
  <si>
    <t>Should allow user to capture both Iris.
Packet should process and with introducer's authentication success</t>
  </si>
  <si>
    <t>Real Devices_367</t>
  </si>
  <si>
    <t>1. login in to Reg.Client, connect all biometric devices (FP, Iris and Face camera) to Machine and Devices MDS is running.
 2. In Biometrics details screen select introducers FP,Iris &amp; Face and Scan all.</t>
  </si>
  <si>
    <t>With capturing Introducer's all biometric (FP, Iris &amp; Face)</t>
  </si>
  <si>
    <t>Should allow user to capture all introducer biometrics
Packet should process and with introducer's authentication success</t>
  </si>
  <si>
    <t>Real Devices_368</t>
  </si>
  <si>
    <t>1. login in to Reg.Client, connect all biometric devices (FP, Iris and Face camera) to Machine and Devices MDS is running.
2. Infant face captured in Biometrics screen 
3. In Biometrics details screen select introducers FP,Iris &amp; Face and Scan all.</t>
  </si>
  <si>
    <t xml:space="preserve">With capturing Introducer's correct Fingerprints and Face. But with wrong Iris </t>
  </si>
  <si>
    <t>Packet should not process</t>
  </si>
  <si>
    <t>Real Devices_369</t>
  </si>
  <si>
    <t>1. login in to Reg.Client, connect all biometric devices (FP, Iris and Face camera) to Machine and Devices MDS is running.
2. Infant face captured in Biometrics screen
3. In Biometrics details screen select introducers Face and Scan</t>
  </si>
  <si>
    <t>Only with Introducer's Face capturing in biometric screen</t>
  </si>
  <si>
    <t>Should allow user to capture introducer's face.
Packet should process and with introducer's authentication success</t>
  </si>
  <si>
    <t>Real Devices_370</t>
  </si>
  <si>
    <t>Minor flow</t>
  </si>
  <si>
    <t>1. login in to Reg.Client, connect all biometric devices (FP, Iris and Face camera) to Machine and Devices MDS is running.
 2. In Biometrics details screen select Left/Right slap/Thumbs FPs and Scan</t>
  </si>
  <si>
    <t>Minor resident's left/right slap/thumbs FPs capturing in biometric screen</t>
  </si>
  <si>
    <t>FP device should connect to Reg.Client and allow user to capture FP</t>
  </si>
  <si>
    <t>Real Devices_371</t>
  </si>
  <si>
    <t>1. login in to Reg.Client, connect all biometric devices (FP, Iris and Face camera) to Machine and Devices MDS is running.
 2. In Biometrics details screen select Iris and Scan</t>
  </si>
  <si>
    <t>Minor resident's Iris capturing in biometric screen</t>
  </si>
  <si>
    <t>Iris scanner should connect to Reg.Client and allow user to capture lris</t>
  </si>
  <si>
    <t>Real Devices_372</t>
  </si>
  <si>
    <t>1. login in to Reg.Client, connect all biometric devices (FP, Iris and Face camera) to Machine and Devices MDS is running.
 2. In Biometrics details screen select Face and Scan</t>
  </si>
  <si>
    <t>Minor's Face capturing in biometric screen</t>
  </si>
  <si>
    <t>Real Devices_373</t>
  </si>
  <si>
    <t>1. login in to Reg.Client, connect all biometric devices (FP, Iris and Face camera) to Machine and Devices MDS is running.
2. Minor biometrics captured in Biometrics screen
3. In Biometrics details screen select introducers left slap FP and Scan</t>
  </si>
  <si>
    <t>Should allow user to capture left slap.
Packet should process and with introducer's authentication success</t>
  </si>
  <si>
    <t>MOSIP-19745</t>
  </si>
  <si>
    <t>Real Devices_374</t>
  </si>
  <si>
    <t>1. login in to Reg.Client, connect all biometric devices (FP, Iris and Face camera) to Machine and Devices MDS is running.
2. Minor biometrics captured in Biometrics screen 
3. In Biometrics details screen select introducers rightslap FP and Scan</t>
  </si>
  <si>
    <t>Should allow user to capture right slap.
Packet should process and with introducer's authentication success</t>
  </si>
  <si>
    <t>Real Devices_375</t>
  </si>
  <si>
    <t>1. login in to Reg.Client, connect all biometric devices (FP, Iris and Face camera) to Machine and Devices MDS is running.
2. Minor biometrics captured in Biometrics screen
3. In Biometrics details screen select introducers both thumb FPs and Scan</t>
  </si>
  <si>
    <t>Should allow user to capture FPs.
Packet should process and with introducer's authentication success</t>
  </si>
  <si>
    <t>Real Devices_376</t>
  </si>
  <si>
    <t>1. login in to Reg.Client, connect all biometric devices (FP, Iris and Face camera) to Machine and Devices MDS is running.
2. Minor biometrics captured in Biometrics screen
3. In Biometrics details screen select introducers Iris and Scan</t>
  </si>
  <si>
    <t>Real Devices_377</t>
  </si>
  <si>
    <t>1. login in to Reg.Client, connect all biometric devices (FP, Iris and Face camera) to Machine and Devices MDS is running.
2. Minor biometrics captured in Biometrics screen
3. In Biometrics details screen select introducers FP,Iris &amp; Face and Scan all.</t>
  </si>
  <si>
    <t>Should allow user to capture all biometrics
Packet should process and with introducer's authentication success</t>
  </si>
  <si>
    <t>Real Devices_378</t>
  </si>
  <si>
    <t>1. login in to Reg.Client, connect all biometric devices (FP, Iris and Face camera) to Machine and Devices MDS is running.
2. Minor biometrics captured in Biometrics screen 
3. In Biometrics details screen select introducers FP,Iris &amp; Face and Scan all.</t>
  </si>
  <si>
    <t>With capturing Introducer's current Fingerprints and Face. But with wrong Iris.</t>
  </si>
  <si>
    <t xml:space="preserve">
Should allow user to capture all biometrics. 
Packet should not process</t>
  </si>
  <si>
    <t>Real Devices_379</t>
  </si>
  <si>
    <t>1. login in to Reg.Client, connect all biometric devices (FP, Iris and Face camera) to Machine and Devices MDS is running.
2.Minor biometrics captured in Biometrics screen
3. In Biometrics details screen select introducers Face and Scan</t>
  </si>
  <si>
    <t>Face camera should connect to Reg.Client and allow user to capture introducer's face</t>
  </si>
  <si>
    <t>Real Devices_380</t>
  </si>
  <si>
    <t>Adult flow</t>
  </si>
  <si>
    <t>1. login in to Reg.Client, connect all biometric devices (FP, Iris and Face camera) to Machine and Devices MDS is running.
 2. In Biometrics details screen select Left Slap FPs and Scan</t>
  </si>
  <si>
    <t>Resident's left slap FPs capturing in biometric screen</t>
  </si>
  <si>
    <t>FP device should connect to Reg.Client and allow user to capture left slap</t>
  </si>
  <si>
    <t>Real Devices_381</t>
  </si>
  <si>
    <t>1. login in to Reg.Client, connect all biometric devices (FP, Iris and Face camera) to Machine and Devices MDS is running.
 2. In Biometrics details screen select Right Slap FPs and Scan</t>
  </si>
  <si>
    <t>Resident's right slap FPs capturing in biometric screen</t>
  </si>
  <si>
    <t>FP device should connect to Reg.Client and allow user to capture right slap</t>
  </si>
  <si>
    <t>Real Devices_382</t>
  </si>
  <si>
    <t>1. login in to Reg.Client, connect all biometric devices (FP, Iris and Face camera) to Machine and Devices MDS is running.
 2. In Biometrics details screen select both thumbs FPs and Scan</t>
  </si>
  <si>
    <t>Resident's both thumbs FPs capturing in biometric screen</t>
  </si>
  <si>
    <t>FP device should connect to Reg.Client and allow user to capture both thumbs</t>
  </si>
  <si>
    <t>Real Devices_383</t>
  </si>
  <si>
    <t>1. login in to Reg.Client, connect all biometric devices (FP, Iris and Face camera) to Machine and Devices MDS is running.
 2. In Biometrics details screen select left slap FP and mark three fingers as exceptions. Click on Scan</t>
  </si>
  <si>
    <t>Left Slap FPs with three fingers as exception, capturing in biometric screen</t>
  </si>
  <si>
    <t>FP device should connect to Reg.Client and allow user to capture left slap with exceptions</t>
  </si>
  <si>
    <t>Real Devices_384</t>
  </si>
  <si>
    <t>1. login in to Reg.Client, connect all biometric devices (FP, Iris and Face camera) to Machine and Devices MDS is running.
 2. In Biometrics details screen select rightslap FP and mark two fingers as exceptions. Click on Scan</t>
  </si>
  <si>
    <t>Rightslap FPs with two fingers as exception, capturing in biometric screen</t>
  </si>
  <si>
    <t>FP device should connect to Reg.Client and allow user to capture rightslap with exceptions</t>
  </si>
  <si>
    <t>Real Devices_385</t>
  </si>
  <si>
    <t>1. login in to Reg.Client, connect all biometric devices (FP, Iris and Face camera) to Machine and Devices MDS is running.
 2. In Biometrics details screen select Left Slap FPs and mark all four fingers as exceptions. Click on Scan</t>
  </si>
  <si>
    <t>Mark all four finger as exceptions and try to capture, in biometrics screen</t>
  </si>
  <si>
    <t>Should not allow user to capture FPs</t>
  </si>
  <si>
    <t>Real Devices_386</t>
  </si>
  <si>
    <t>Resident's Iris capturing in biometric screen</t>
  </si>
  <si>
    <t>Real Devices_387</t>
  </si>
  <si>
    <t>1. login in to Reg.Client, connect all biometric devices (FP, Iris and Face camera) to Machine and Devices MDS is running.
 2. In Biometrics details screen select Iris and mark wright iris as exception. Click on Scan</t>
  </si>
  <si>
    <t>Iris capturing with right Iris as exception, in biometric screen</t>
  </si>
  <si>
    <t>Iris scanner should connect to Reg.Client and allow user to capture lris with exception</t>
  </si>
  <si>
    <t>Real Devices_388</t>
  </si>
  <si>
    <t>Face capturing in biometric screen</t>
  </si>
  <si>
    <t>Real Devices_389</t>
  </si>
  <si>
    <t>New Flow</t>
  </si>
  <si>
    <t>1. Connect all biometric devices to Machine and Devices MDS is running.
 2. login in to Reg.Client, in Biometrics details screen capture all biometrics.</t>
  </si>
  <si>
    <t>Verify by creating a Adult packet with FP, Iris and Face (without exception)</t>
  </si>
  <si>
    <t>Packet should process and generate a UIN</t>
  </si>
  <si>
    <t>Real Devices_390</t>
  </si>
  <si>
    <t>1. Connect all biometric devices to Machine and Devices MDS is running.
 2. login in to Reg.Client, in Biometrics details screen capture all biometrics and with Left Eye as exception.</t>
  </si>
  <si>
    <t>Verify by creating a adult packet with left eye as exception</t>
  </si>
  <si>
    <t>Real Devices_391</t>
  </si>
  <si>
    <t>1. Connect all biometric devices to Machine and Devices MDS is running.
 2. login in to Reg.Client, in Biometrics details screen capture all biometrics and with Right slap FPs as exception.</t>
  </si>
  <si>
    <t>Verify by creating a adult packet with right slap as exception</t>
  </si>
  <si>
    <t>Real Devices_392</t>
  </si>
  <si>
    <t>1. Infant face capturing in Biometrics screen
2. Only with Introducer's left slap FPs capturing in biometric screen.
Verify packet processing</t>
  </si>
  <si>
    <t>Should allow user to capture Infant face and introducer left slap FPs.
Packet should process and with introducer's authentication success.</t>
  </si>
  <si>
    <t>Real Devices_393</t>
  </si>
  <si>
    <t>1. Infant face capturing in Biometrics screen
2. Only with Introducer's right slap FPs capturing in biometric screen.
Verify packet processing</t>
  </si>
  <si>
    <t>Real Devices_394</t>
  </si>
  <si>
    <t>1. Infant face capturing in Biometrics screen
2. Only with Introducer's both thumb FPs capturing in biometric screen.
Verify packet processing</t>
  </si>
  <si>
    <t>Real Devices_395</t>
  </si>
  <si>
    <t>1. Infant face captured in Biometrics screen
2. Only with Introducer's both Iris capturing in biometric screen.
Verify packet processing</t>
  </si>
  <si>
    <t>Real Devices_396</t>
  </si>
  <si>
    <t>1. Infant face captured in Biometrics screen
2. capture Introducer's all biometric (FP, Iris &amp; Face).
Verify packet processing</t>
  </si>
  <si>
    <t>Real Devices_397</t>
  </si>
  <si>
    <t xml:space="preserve">
Should allow user to capture all biometrics. 
Packet should not process (Packet validation failed Biometric data did not match)</t>
  </si>
  <si>
    <t>Real Devices_398</t>
  </si>
  <si>
    <t>1. login in to Reg.Client, connect all biometric devices (FP, Iris and Face camera) to Machine and Devices MDS is running.
2. Infant face captured in Biometrics screen
3. In Biometrics details screen select introducers left FPs and Scan</t>
  </si>
  <si>
    <t>Only with Introducer's wrong person's FPs captured in biometric screen.
Verify packet processing</t>
  </si>
  <si>
    <t>FP device should connect to Reg.Client and allow user to capture introducer's FPs.
Packet validation failed Biometric data - Finger did not match</t>
  </si>
  <si>
    <t>Real Devices_399</t>
  </si>
  <si>
    <t>Only with Introducer's wrong person's Iris captured in biometric screen.
Verify packet processing</t>
  </si>
  <si>
    <t>Should allow user to capture introducer's Iris.
Packet validation failed Biometric data - Iris did not match</t>
  </si>
  <si>
    <t>Real Devices_400</t>
  </si>
  <si>
    <t>Capture Introducer's Iris with Left Iris as exception</t>
  </si>
  <si>
    <t>Should allow user to capture biometrics
Packet should process and with introducer's authentication success</t>
  </si>
  <si>
    <t>Real Devices_401</t>
  </si>
  <si>
    <t>1. login in to Reg.Client, connect all biometric devices (FP, Iris and Face camera) to Machine and Devices MDS is running.
2. Infant face captured in Biometrics screen
3. In Biometrics details screen select introducers left slap FPs and Scan</t>
  </si>
  <si>
    <t>Capture Introducer's Left slap FPs with left little finger as exception</t>
  </si>
  <si>
    <t>Real Devices_402</t>
  </si>
  <si>
    <t>1. login in to Reg.Client, connect all biometric devices (FP, Iris and Face camera) to Machine and Devices MDS is running.
 2. In Biometrics details screen select FP, Iris and Face and Scan</t>
  </si>
  <si>
    <t>1. Capture Minor resident's FPs, Iris and Face in biometric screen.
2. Capture Introducer's left slap FPs for auth in biometric screen.
Verify packet processing.</t>
  </si>
  <si>
    <t>Should allow user to capture Minor's biometrics and introducer left slap FPs.
Packet should process and with introducer's authentication success.</t>
  </si>
  <si>
    <t>Real Devices_403</t>
  </si>
  <si>
    <t>1. Capture Minor resident's FPs, Iris and Face in biometric screen.
2. Capture Introducer's right slap FPs for auth in biometric screen.
Verify packet processing.</t>
  </si>
  <si>
    <t>Real Devices_404</t>
  </si>
  <si>
    <t>1. Capture Minor resident's FPs, Iris and Face in biometric screen.
2. Capture Introducer's both thumbs FPs for auth in biometric screen.
Verify packet processing.</t>
  </si>
  <si>
    <t>Real Devices_405</t>
  </si>
  <si>
    <t>1. login in to Reg.Client, connect all biometric devices and Devices MDS is running.
2. Adult Resident A UIN is available. 
3. Select Update UIN task, enter resident A valid UIN number and select biometrics</t>
  </si>
  <si>
    <t>In Biometric details screen capture resident A biometrics and create a packet.
Verify packet process status</t>
  </si>
  <si>
    <t xml:space="preserve">Packet should process successfully and to update new biometrics </t>
  </si>
  <si>
    <t>Real Devices_406</t>
  </si>
  <si>
    <t>In Biometric details screen capture resident A biometrics with left Iris as exception and create a packet.
Verify packet process status</t>
  </si>
  <si>
    <t>Real Devices_407</t>
  </si>
  <si>
    <t>Update Flow</t>
  </si>
  <si>
    <t>In Biometric details screen capture resident A biometrics with left slap FPs as exception and create a packet.
Verify packet process status</t>
  </si>
  <si>
    <t>Real Devices_408</t>
  </si>
  <si>
    <t>1. login in to Reg.Client, connect all biometric devices and Devices MDS is running.
2. Adult Resident A UIN is available. 
3. Select Update UIN task, enter resident A valid UIN number and select field Phone and biometrics</t>
  </si>
  <si>
    <t>1. Enter new Phone number in demographic details screen.
2. In Biometric details screen capture resident A biometrics with left slap FPs as exception and create a packet.
Verify packet process status</t>
  </si>
  <si>
    <t>Real Devices_409</t>
  </si>
  <si>
    <t>1. login in to Reg.Client, connect all biometric devices and Devices MDS is running.
2. Adult Resident A UIN is available. 
3. Select Update UIN task, enter resident A invalid UIN number and select biometrics</t>
  </si>
  <si>
    <t>1.  Enter resident A invalid UIN number
2. In Biometric details screen capture resident A biometrics and create a packet.
Verify packet process status</t>
  </si>
  <si>
    <t xml:space="preserve">Packet should not process successfully and to update new biometrics </t>
  </si>
  <si>
    <t>Real Devices_410</t>
  </si>
  <si>
    <t>1. login in to Reg.Client, connect all biometric devices and Devices MDS is running.
2. Adult Resident A and Resident B, UINs are available. 
3. Select Update UIN task, enter resident A invalid UIN number and select biometrics</t>
  </si>
  <si>
    <t>1. In Biometric details screen capture resident B (whose UIN is available in DB) biometrics and create a packet.
2. Verify packet process status.</t>
  </si>
  <si>
    <t>Packet should not process successfully</t>
  </si>
  <si>
    <t>Real Devices_411</t>
  </si>
  <si>
    <t>1. In Biometric details screen capture resident B (whose UIN is not available in DB) biometrics and create a packet.
2. Verify packet process status.</t>
  </si>
  <si>
    <t>Real Devices_412</t>
  </si>
  <si>
    <t>1. login in to Reg.Client, connect all biometric devices and Devices MDS is running.
2. Adult Resident A UIN is available. 
3. Select Update UIN task, enter resident A valid UIN number and select Phone number</t>
  </si>
  <si>
    <t>1. Enter resident A new Phone number.
2. In Biometric details screen capture resident A biometrics for auth and create a packet.
3. Verify packet process status</t>
  </si>
  <si>
    <t>Packet should process successfully</t>
  </si>
  <si>
    <t>Real Devices_413</t>
  </si>
  <si>
    <t>1. login in to Reg.Client, connect all biometric devices and Devices MDS is running.
2. Adult Resident A UIN is available. 
3. Select Update UIN task, enter resident A valid UIN number and select Phone number</t>
  </si>
  <si>
    <t>In Biometric details screen capture resident B (whose UIN is available in DB) biometrics for auth and create a packet.
Verify packet process status.</t>
  </si>
  <si>
    <t>Real Devices_414</t>
  </si>
  <si>
    <t>1. login in to Reg.Client, connect all biometric devices and Devices MDS is running.
2. Select Update UIN task, enter Infant resident valid UIN number and select Biometrics</t>
  </si>
  <si>
    <t>Capture Infant face and Introducer biometrics.</t>
  </si>
  <si>
    <t>Real Devices_415</t>
  </si>
  <si>
    <t>1. login in to Reg.Client, connect all biometric devices and Devices MDS is running.
2. Select Update UIN task, enter Infant resident valid UIN number and select Name</t>
  </si>
  <si>
    <t>Enter the infants Name and Introducer biometrics.</t>
  </si>
  <si>
    <t>Real Devices_416</t>
  </si>
  <si>
    <t>Local Dedupe - on operator biometrics</t>
  </si>
  <si>
    <t>1. login in to Reg.Client, connect all biometric devices (FP, Iris and Face camera) to Machine and Devices MDS is running.
 2. In Biometrics details screen, select Left Slap FPs and Scan</t>
  </si>
  <si>
    <t>Operator placed his left slap fingers on FP device while showing demo to resident</t>
  </si>
  <si>
    <t>Should give popup "Duplicate fingers detected"</t>
  </si>
  <si>
    <t>Real Devices_417</t>
  </si>
  <si>
    <t>1. login in to Reg.Client, connect all biometric devices (FP, Iris and Face camera) to Machine and Devices MDS is running.
 2. In Biometrics details screen, select Left Slap FPs and Scan
 3. Capture operator left slap with quality 90% and close the popup</t>
  </si>
  <si>
    <t>Recapture resident's left slap FPs with 60%, after "Duplicate fingers detected"</t>
  </si>
  <si>
    <t>Should recapture resident's FPs and should erase duplicate fingers, irrespective of scores (Should not take operators FPs)</t>
  </si>
  <si>
    <t>Real Devices_418</t>
  </si>
  <si>
    <t>1. login in to Reg.Client, connect all biometric devices (FP, Iris and Face camera) to Machine and Devices MDS is running.
 2. In Biometrics details screen, select Right Slap FPs and Scan</t>
  </si>
  <si>
    <t>Operator placed his right slap fingers on FP device while showing demo to resident</t>
  </si>
  <si>
    <t>Real Devices_419</t>
  </si>
  <si>
    <t>1. login in to Reg.Client, connect all biometric devices (FP, Iris and Face camera) to Machine and Devices MDS is running.
 2. In Biometrics details screen, select Right Slap FPs and Scan
 3. Capture operator Rights Lap and close the popup</t>
  </si>
  <si>
    <t>Recapture rights lap FPs after "Duplicate fingers detected"</t>
  </si>
  <si>
    <t>Real Devices_420</t>
  </si>
  <si>
    <t>1. login in to Reg.Client, connect all biometric devices (FP, Iris and Face camera) to Machine and Devices MDS is running.
 2. In Biometrics details screen, select Thumbs FPs and Scan</t>
  </si>
  <si>
    <t>Operator placed his Thumb fingers on FP device while showing demo to resident</t>
  </si>
  <si>
    <t>Real Devices_421</t>
  </si>
  <si>
    <t>1. login in to Reg.Client, connect all biometric devices (FP, Iris and Face camera) to Machine and Devices MDS is running.
 2. In Biometrics details screen, select Thumb FPs and Scan
 3. Capture operator thumbs and close the popup</t>
  </si>
  <si>
    <t>Recapture Thumbs FPs after "Duplicate fingers detected"</t>
  </si>
  <si>
    <t>Real Devices_422</t>
  </si>
  <si>
    <t>1. login in to Reg.Client, connect all biometric devices (FP, Iris and Face camera) to Machine and Devices MDS is running.
 2. In Biometrics details screen, select dual Iris and Scan</t>
  </si>
  <si>
    <t>Operator scanned his Iris while showing demo to resident</t>
  </si>
  <si>
    <t>Should give popup "Duplicate Iris detected"</t>
  </si>
  <si>
    <t>Real Devices_423</t>
  </si>
  <si>
    <t>1. login in to Reg.Client, connect all biometric devices (FP, Iris and Face camera) to Machine and Devices MDS is running.
 2. In Biometrics details screen, select dual Iris and Scan
 3. Capture operator Iris and close the popup</t>
  </si>
  <si>
    <t>Recapturing resident Iris after "Duplicate fingers detected"</t>
  </si>
  <si>
    <t>Should recapture resident's Iris and should erase duplicate Iris  irrespective of scores  (Should not take operators Iris)</t>
  </si>
  <si>
    <t>Real Devices_424</t>
  </si>
  <si>
    <t>1. Map multiple operators (Ex: 3) to one registration center
 2. Connect all biometric devices (FP, Iris and Face camera) to Machine and Devices MDS is running.</t>
  </si>
  <si>
    <t>Multiple operator login into Reg.Client with FP as Auth</t>
  </si>
  <si>
    <t>Should allow all 3 mapped operator to login into Reg.Client with FP as Auth</t>
  </si>
  <si>
    <t>Real Devices_425</t>
  </si>
  <si>
    <t>Multiple operator login into Reg.Client with Iris as Auth</t>
  </si>
  <si>
    <t>Should allow all 3 mapped operator to login into Reg.Client with Iris as Auth</t>
  </si>
  <si>
    <t>Real Devices_426</t>
  </si>
  <si>
    <t>1. login in to Reg.Client, connect all biometric devices (FP, Iris and Face camera) to Machine and Devices MDS is running.
 2. In Biometrics details screen, select Left Slap FPs and capture the same.
 3. Select Right Slap and Scan</t>
  </si>
  <si>
    <t>Resident placed his left slap fingers on FP device</t>
  </si>
  <si>
    <t>Should not capture FP, must give popup "Duplicate fingers detected"</t>
  </si>
  <si>
    <t>Not implemented</t>
  </si>
  <si>
    <t>Real Devices_427</t>
  </si>
  <si>
    <t>Resident placed his Right Slap fingers on FP device</t>
  </si>
  <si>
    <t>RegClient should capture FPs</t>
  </si>
  <si>
    <t>Real Devices_428</t>
  </si>
  <si>
    <t>1. login in to Reg.Client, connect all biometric devices (FP, Iris and Face camera) to Machine and Devices MDS is running.
 2. In Biometrics details screen, select Right Slap FPs and capture the same.
 3. Select Left Slap and Scan</t>
  </si>
  <si>
    <t>Real Devices_429</t>
  </si>
  <si>
    <t>Real Devices_430</t>
  </si>
  <si>
    <t>1. login in to Reg.Client, connect all biometric devices (FP, Iris and Face camera) to Machine and Devices MDS is running.
 2. In Biometrics details screen, select Right Slap FPs and capture the same.
 3. Select Thumbs and Scan</t>
  </si>
  <si>
    <t>Resident placed his right index and middle fingers on FP device</t>
  </si>
  <si>
    <t>Real Devices_431</t>
  </si>
  <si>
    <t>1. login in to Reg.Client, connect all biometric devices (FP, Iris and Face camera) to Machine and Devices MDS is running.
 2. In Biometrics details screen, select Left Slap FPs and capture the same.
 3. Select Thumbs and Scan</t>
  </si>
  <si>
    <t>Resident placed his left index and middle fingers on FP device</t>
  </si>
  <si>
    <t>Real Devices_432</t>
  </si>
  <si>
    <t>1. login in to Reg.Client, connect all biometric devices (FP, Iris and Face camera) to Machine and Devices MDS is running.
 2. In Biometrics details screen, select Right/Left Slap FPs and captured the same.
 3. Select Thumbs and Scan</t>
  </si>
  <si>
    <t>Resident placed his both thumb fingers on FP device</t>
  </si>
  <si>
    <t>Real Devices_433</t>
  </si>
  <si>
    <t>1. Machine/Laptop is running on battery
 2. login in to Reg.Client, connect all biometric devices (FP, Iris and Face camera) to Machine and Devices MDS is running.
 3. In Biometrics details screen, select Right and Scan</t>
  </si>
  <si>
    <t>Verify the FP device performance when laptop is running on battery</t>
  </si>
  <si>
    <t>There should not be any performance lag while streaming or capturing images</t>
  </si>
  <si>
    <t>Real Devices_434</t>
  </si>
  <si>
    <t>1. Machine/Laptop is running on battery
 2. login in to Reg.Client, connect all biometric devices (FP, Iris and Face camera) to Machine and Devices MDS is running.
 3. In Biometrics details screen, select Iris and Scan</t>
  </si>
  <si>
    <t>Verify the Iris scanner performance when laptop is running on battery</t>
  </si>
  <si>
    <t>Real Devices_435</t>
  </si>
  <si>
    <t>1. Machine/Laptop is running on battery
 2. login in to Reg.Client, connect all biometric devices (FP, Iris and Face camera) to Machine and Devices MDS is running.
 3. In Biometrics details screen, select Face and Scan</t>
  </si>
  <si>
    <t>Verify the Face camera performance when laptop is running on battery</t>
  </si>
  <si>
    <t>Real Devices_436</t>
  </si>
  <si>
    <t>1. Machine/Laptop is running on AC power supply
 2. login in to Reg.Client, connect all biometric devices (FP, Iris and Face camera) to Machine and Devices MDS is running.
 3. In Biometrics details screen, select Right and Scan</t>
  </si>
  <si>
    <t>Verify the FP device performance when laptop is running on AC power supply</t>
  </si>
  <si>
    <t>Real Devices_437</t>
  </si>
  <si>
    <t>1. Machine/Laptop is running on AC power supply
 2. login in to Reg.Client, connect all biometric devices (FP, Iris and Face camera) to Machine and Devices MDS is running.
 3. In Biometrics details screen, select Iris and Scan</t>
  </si>
  <si>
    <t>Verify the Iris scanner performance when laptop is running on AC power supply</t>
  </si>
  <si>
    <t>Real Devices_438</t>
  </si>
  <si>
    <t>1. Machine/Laptop is running on AC power supply
 2. login in to Reg.Client, connect all biometric devices (FP, Iris and Face camera) to Machine and Devices MDS is running.
 3. In Biometrics details screen, select Face and Scan</t>
  </si>
  <si>
    <t>Verify the Face camera performance when laptop is running on AC power supply</t>
  </si>
  <si>
    <t>Real Devices_439</t>
  </si>
  <si>
    <t xml:space="preserve">1. Connect FP device to machine and device MDS is running
 2. Launch Auth Demo UI application by Run.bat
 3. Select FP as Authentication Type. </t>
  </si>
  <si>
    <t>1. Enter Individual ID and select Type UIN.
2. Select finger count as 1 and click on Capture button
3. Capturing Fingerprints and select 'Send Auth Request' from AuthDemoUI app.</t>
  </si>
  <si>
    <t>Capture Response should display as 'Capture Success'.
Auth Response should be 'Authentication Success'.</t>
  </si>
  <si>
    <t>Real Devices_440</t>
  </si>
  <si>
    <t>1. Connect FP device to machine and device MDS is running
 2. Launch Auth Demo UI application by Run.bat
 2. Select FP as Authentication Type. Enter Individual ID and select Type.
 3. Select finger count as 1. Place finger on FP device and click on Capture button</t>
  </si>
  <si>
    <t>Place finger on fingerprint before starting scan</t>
  </si>
  <si>
    <t>Should start fingerprint capture in Auth FP device</t>
  </si>
  <si>
    <t>Real Devices_441</t>
  </si>
  <si>
    <t>1. Connect FP device to machine and device MDS is running
 2. Launch Auth Demo UI application by Run.bat
 3. Select FP as Authentication Type. Enter Individual ID and select Type.
 4. Select finger count as 1 and click on Capture button</t>
  </si>
  <si>
    <t>Place finger on fingerprint device after starting scan/streaming started</t>
  </si>
  <si>
    <t>Real Devices_442</t>
  </si>
  <si>
    <t>Place fingers on fingerprint device to scan with some time gap on start of scan</t>
  </si>
  <si>
    <t>Real Devices_443</t>
  </si>
  <si>
    <t>Placed fingers on fingerprint device. While capturing, user removed finger on FP device.</t>
  </si>
  <si>
    <t>Real Devices_444</t>
  </si>
  <si>
    <t>Resident place fingers on FP on device to scan during session expiry</t>
  </si>
  <si>
    <t>1. MDS should capture best quality images or
MDS should give popup "Failure -Unable to scan the biometric details".</t>
  </si>
  <si>
    <t>Real Devices_445</t>
  </si>
  <si>
    <t>Selecting 'Scan' button multiple time</t>
  </si>
  <si>
    <t>Should not allow user to click on Capture button</t>
  </si>
  <si>
    <t>Real Devices_446</t>
  </si>
  <si>
    <t>1. FP device connected to machine and device MDS is running
 2. Launch Auth Demo UI application by Run.bat
 3. Select FP as Authentication Type. Enter Individual ID and select Type.
 4. Select finger count as 1.</t>
  </si>
  <si>
    <t>1. Disconnect the FP device from machine and select Capture button in AuthDemoUI app.
2. Verify the response</t>
  </si>
  <si>
    <t>Should give Capture Failed message "Device Not Connected".</t>
  </si>
  <si>
    <t>Real Devices_447</t>
  </si>
  <si>
    <t>1. FP device not connected to machine and device MDS is stopped
 2. Launch Auth Demo UI application by Run.bat
 3. Select FP as Authentication Type. Enter Individual ID and select Type.
 4. Select finger count as 1 and click on Capture button</t>
  </si>
  <si>
    <t>1. FP device not connected to machine and device MDS is stopped.
2. Launch Auth Demo UI application and select capture.
3. Verify response message</t>
  </si>
  <si>
    <t>Real Devices_448</t>
  </si>
  <si>
    <t>Fingerprints captured with bad quality</t>
  </si>
  <si>
    <t>Real Devices_449</t>
  </si>
  <si>
    <t>Finger not placed on Fingerprint device and capture timed out</t>
  </si>
  <si>
    <t>MDS should give popup "Failure -Unable to scan the biometric details".</t>
  </si>
  <si>
    <t>Real Devices_450</t>
  </si>
  <si>
    <t>Placing poor quality finger on Fingerprint device and capture timed out</t>
  </si>
  <si>
    <t>Real Devices_451</t>
  </si>
  <si>
    <t>Real Devices_452</t>
  </si>
  <si>
    <t>Real Devices_453</t>
  </si>
  <si>
    <t>Should eliminate halo due to moist</t>
  </si>
  <si>
    <t>Real Devices_454</t>
  </si>
  <si>
    <t>Mark good quality latent fingerprint on top of fingerprint scanner prism</t>
  </si>
  <si>
    <t>Should not capture latent images</t>
  </si>
  <si>
    <t>Real Devices_455</t>
  </si>
  <si>
    <t>Auto capturing with built in quality check</t>
  </si>
  <si>
    <t>Real Devices_456</t>
  </si>
  <si>
    <t>Fingerprint capture time</t>
  </si>
  <si>
    <t>Taking less than 5 sec. Tested with Nprime SM-91M authentication devices</t>
  </si>
  <si>
    <t>Real Devices_457</t>
  </si>
  <si>
    <t>1. Resident UIN generated (with real biometric devices) 
 2. Connect FP device to machine and device MDS is running
 3. Launch Auth Demo UI application by Run.bat
 4. Select FP as Authentication Type. Enter Individual ID -UIN and select Type-UIN.</t>
  </si>
  <si>
    <t>1. Select finger count as 1 and click on Capture button
2. Capturing Fingerprints from AuthDemoUI app.
Verify Auth response.</t>
  </si>
  <si>
    <t>Should capture fingerprint only one time and auth response should be 'Authentication success'</t>
  </si>
  <si>
    <t>Real Devices_458</t>
  </si>
  <si>
    <t>1. Select finger count as 2 and click on Capture button
2. Capturing Fingerprints from AuthDemoUI app.
Verify Auth response.</t>
  </si>
  <si>
    <t>Should capture two fingerprints one after another and auth response should be 'Authentication success'</t>
  </si>
  <si>
    <t>Real Devices_459</t>
  </si>
  <si>
    <t>1. Select finger count as 3 or more from dropdown and click on Capture button
2. Capturing Fingerprints from AuthDemoUI app.
Verify Auth response.</t>
  </si>
  <si>
    <t>Should capture three fingerprints one after another and auth response should be 'Authentication success'</t>
  </si>
  <si>
    <t>Real Devices_460</t>
  </si>
  <si>
    <t xml:space="preserve">1. Resident UIN generated (with real biometric devices) 
 2. Connect FP device to an online machine and device MDS is running
 3. Launch Auth Demo UI application by Run.bat
 4. Select FP as Authentication Type. </t>
  </si>
  <si>
    <t>1. Enter correct Individual ID -UIN and select Type-UIN
2. Select finger count as 1 and FP capture successfully. Select Authentication
3. Authenticating captured Fingerprint from Auth DemoUI app, when machine is online</t>
  </si>
  <si>
    <t>Should captured fingerprint and Authentication should be success</t>
  </si>
  <si>
    <t>Real Devices_461</t>
  </si>
  <si>
    <t xml:space="preserve">1. Resident UIN generated (with real biometric devices) 
 2. Connect FP device to an offline machine and device MDS is running
 3. Launch Auth Demo UI application by Run.bat
 4. Select FP as Authentication Type. </t>
  </si>
  <si>
    <t>1. Enter correct Individual ID -UIN and select Type-UIN.
2. Select finger count as 1 and FP capture successfully. Select Authentication
3. Authenticating captured Fingerprint from Auth DemoUI app, when machine is offline</t>
  </si>
  <si>
    <t>Should Authentication captured fingerprint.
Authentication should fail</t>
  </si>
  <si>
    <t>Real Devices_462</t>
  </si>
  <si>
    <t>1. Resident UIN generated (with real biometric devices) 
 2. Connect FP device to an online machine and device MDS is running
 3. Launch Auth Demo UI application by Run.bat
 4. Select FP as Authentication Type. Enter Individual ID -UIN and select Type-UIN.
 5. Select finger count as 1 and FP capture successfully. Select Authentication</t>
  </si>
  <si>
    <t>Authenticating captured Fingerprint with wrong demographic details (UIN) from Auth DemoUI app, when machine is online</t>
  </si>
  <si>
    <t>Real Devices_463</t>
  </si>
  <si>
    <t>1. Resident UIN generated (with real biometric devices) 
 2. Connect FP device to an online machine and device MDS is running
 3. Launch Auth Demo UI application by Run.bat
 4. Select Iris as Authentication Type. Enter Individual ID -UIN and select Type-UIN.
 5. Select finger count as 1 and FP capture successfully. Select Authentication</t>
  </si>
  <si>
    <t>Captured Fingerprint from Auth DemoUI app, by selecting Iris as authentication type</t>
  </si>
  <si>
    <t>Should not captured fingerprint</t>
  </si>
  <si>
    <t>Real Devices_464</t>
  </si>
  <si>
    <t>1. login in to Reg.Client, connect all biometric devices to Machine and Devices MDS is running.
 2. In Biometrics details screen, select Left Slap FPs and Scan.</t>
  </si>
  <si>
    <t>Verify Preview window while capture is in progress, once scan is in progress</t>
  </si>
  <si>
    <t>Preview window should display live stream</t>
  </si>
  <si>
    <t>Real Devices_465</t>
  </si>
  <si>
    <t>Verify Preview window after capture done</t>
  </si>
  <si>
    <t>Preview window should display captured image</t>
  </si>
  <si>
    <t>Real Devices_466</t>
  </si>
  <si>
    <t>1. login in to Reg.Client, connect all biometric devices to Machine and Devices MDS is running.
 2. In Biometrics details screen</t>
  </si>
  <si>
    <t>Verify left panel with all biometric modalities.</t>
  </si>
  <si>
    <t>Should display all modalities</t>
  </si>
  <si>
    <t>Real Devices_467</t>
  </si>
  <si>
    <t>1. login in to Reg.Client, connect all biometric devices to Machine and Devices MDS is running.
 2. In Biometrics details screen, select Iris and Scan.</t>
  </si>
  <si>
    <t>Verify Scan button functionality before scan start, after scan start and while scan is in progress.</t>
  </si>
  <si>
    <t>Sacn button should start biometric scanning.
Scan button should be disabled while scan is in progress.</t>
  </si>
  <si>
    <t>Real Devices_468</t>
  </si>
  <si>
    <t>1. login in to Reg.Client, connect all biometric devices to Machine and Devices MDS is running.
 2. In Biometrics details screen, select Iris and mark left Iris as exception.</t>
  </si>
  <si>
    <t>Verify mark exceptions is displaying after capture</t>
  </si>
  <si>
    <t>Marked exceptions should be display as per marked.</t>
  </si>
  <si>
    <t>Real Devices_469</t>
  </si>
  <si>
    <t>1. login in to Reg.Client, connect all biometric devices to Machine and Devices MDS is running.
 2. In Biometrics details screen, select Iris and Scan</t>
  </si>
  <si>
    <t>Verify no. of capture attempts as per configuration</t>
  </si>
  <si>
    <t>Capture attempts should be as per config.
Should not allow user to recapture more than defined attempts.</t>
  </si>
  <si>
    <t>Real Devices_470</t>
  </si>
  <si>
    <t>1. login in to Reg.Client, connect Syncbyte FP devices to Machine and Devices MDS is running.</t>
  </si>
  <si>
    <t>Verify when two Fingerprint MDSs (Syncbyte and Mantra) running on same machine</t>
  </si>
  <si>
    <t>Syncbyte fingerprint devices should connect to Reg.Client</t>
  </si>
  <si>
    <t>Real Devices_471</t>
  </si>
  <si>
    <t>1. login in to Reg.Client, connect FP devices (Mantra) and Iris (Iritech) to Machine and Devices MDS is running.</t>
  </si>
  <si>
    <t>Verify when one FP MDSs (Mantra) and Iris MDS (Iritech) running on same machine</t>
  </si>
  <si>
    <t>FP (Mantra) and Iris (Iritech) devices should connect to reg.client</t>
  </si>
  <si>
    <t>Real Devices_472</t>
  </si>
  <si>
    <t>one FP MDSs (Mantra) and two Iris MDSs (Syncbyte &amp; Iritech)  running on same machine</t>
  </si>
  <si>
    <t>Real Devices_473</t>
  </si>
  <si>
    <t>1. login in to Reg.Client, connect two FP devices to Machine and Devices MDS is running.</t>
  </si>
  <si>
    <t>Verify when two FP devices (Mantra &amp; Syncbyte)are connected to Machine.
Select one and proceed for registration</t>
  </si>
  <si>
    <t>Selected device should connect to reg.client</t>
  </si>
  <si>
    <t>Real Devices_474</t>
  </si>
  <si>
    <t>1. login in to Reg.Client, connect two Iris devices to Machine and Devices MDS is running.</t>
  </si>
  <si>
    <t>Verify when two Iris devices (Iritech &amp; Syncbyte) are connected to Machine.
Select one and proceed for registration</t>
  </si>
  <si>
    <t>Real Devices_475</t>
  </si>
  <si>
    <t>1. login in to Reg.Client, connect two face camera to Machine and Devices MDS is running.</t>
  </si>
  <si>
    <t>Verify when two face camera (Logitech &amp; Syncbyte) are connected to Machine.
Select one and proceed for registration</t>
  </si>
  <si>
    <t>Scenarios</t>
  </si>
  <si>
    <t>Login</t>
  </si>
  <si>
    <t>Login with multiple languages</t>
  </si>
  <si>
    <t>Login with Captcha</t>
  </si>
  <si>
    <t>Login notification</t>
  </si>
  <si>
    <t>UI spec changes</t>
  </si>
  <si>
    <t>Marking mandatory fields as non mandatory</t>
  </si>
  <si>
    <t>Marking non mandatory fields as mandatory</t>
  </si>
  <si>
    <t>Adding new fields</t>
  </si>
  <si>
    <t>Adding new dynamic fields</t>
  </si>
  <si>
    <t>Removing existing fields</t>
  </si>
  <si>
    <t>Applicant.mvel changes</t>
  </si>
  <si>
    <t>Documents getting displayed based on the config</t>
  </si>
  <si>
    <t>Config: Pre registration.mz properties</t>
  </si>
  <si>
    <t>Document properties</t>
  </si>
  <si>
    <t>Maximum size of file allowed uploaded in document service API (in mb)</t>
  </si>
  <si>
    <t>Allowed Formats of Documents</t>
  </si>
  <si>
    <t>Booking Properties</t>
  </si>
  <si>
    <t xml:space="preserve">Sync happens in every n days </t>
  </si>
  <si>
    <t>Number of days for which booking slots will be available</t>
  </si>
  <si>
    <t>Gap between the date of booking and the first appointment date to be shown</t>
  </si>
  <si>
    <t>Number of hours from the appointment time before which an applicant can change/re-book the appointment</t>
  </si>
  <si>
    <t xml:space="preserve">Number of hours before the appointment time before which an applicant can cancel an appointment </t>
  </si>
  <si>
    <t>The value depicts the location hierarchy code of the hierarchy based on which the recommended centers is loaded</t>
  </si>
  <si>
    <t xml:space="preserve"> Determines idle condition(in seconds)</t>
  </si>
  <si>
    <t>Determines pop up timer(in seconds)</t>
  </si>
  <si>
    <t>Config: application.mz properties</t>
  </si>
  <si>
    <t>mosip.mandatory-languages=
mosip.optional-languages=
mosip.min-languages.count=
mosip.max-languages.coun</t>
  </si>
  <si>
    <t xml:space="preserve">Create application </t>
  </si>
  <si>
    <t>child</t>
  </si>
  <si>
    <t>adult</t>
  </si>
  <si>
    <t>diff genders</t>
  </si>
  <si>
    <t>diff preferred language</t>
  </si>
  <si>
    <t>upload documents</t>
  </si>
  <si>
    <t>documents getting displayed based on the applicant.mvel config</t>
  </si>
  <si>
    <t>different stages of the application</t>
  </si>
  <si>
    <t>incomplete application</t>
  </si>
  <si>
    <t>pending</t>
  </si>
  <si>
    <t>booked</t>
  </si>
  <si>
    <t>cancel</t>
  </si>
  <si>
    <t>expire</t>
  </si>
  <si>
    <t>discard</t>
  </si>
  <si>
    <t>prefetch</t>
  </si>
  <si>
    <t>Parallel Booking</t>
  </si>
  <si>
    <t>Bulk booking</t>
  </si>
  <si>
    <t>booking and rebooking several applications together</t>
  </si>
  <si>
    <t>Acknowledgement/notification</t>
  </si>
  <si>
    <t>on screen acknowledgement</t>
  </si>
  <si>
    <t>default notification</t>
  </si>
  <si>
    <t>Send email from on screen acknowledgement</t>
  </si>
  <si>
    <t>Lock feature</t>
  </si>
  <si>
    <t>no edit for booked appointments only</t>
  </si>
  <si>
    <t>Anonymous profiling</t>
  </si>
  <si>
    <t>verify in the db</t>
  </si>
  <si>
    <t>Integration with admin</t>
  </si>
  <si>
    <t>Reg center creation in diff languages</t>
  </si>
  <si>
    <t>near by feature</t>
  </si>
  <si>
    <t>working days</t>
  </si>
  <si>
    <t>exceptional holiday</t>
  </si>
  <si>
    <t>lunch hours</t>
  </si>
  <si>
    <t>no of kiosks</t>
  </si>
  <si>
    <t>duration of slots</t>
  </si>
  <si>
    <t>Templates</t>
  </si>
  <si>
    <t>dynamic field value addition</t>
  </si>
  <si>
    <t>Integration with Reg client</t>
  </si>
  <si>
    <t>on demand fetch</t>
  </si>
  <si>
    <t>pre reg synch</t>
  </si>
  <si>
    <t>application created in Lan1 and Reg client logged in and fetching application in Lan2.</t>
  </si>
  <si>
    <t>Child application modified as adult in Reg client.</t>
  </si>
  <si>
    <t>Consumption of the application till final stage</t>
  </si>
  <si>
    <t>Audit</t>
  </si>
  <si>
    <t>audit entries in db</t>
  </si>
  <si>
    <t>Captcha</t>
  </si>
  <si>
    <t>Enabling/disabling captcha property in config.</t>
  </si>
  <si>
    <t>Story title</t>
  </si>
  <si>
    <t>Integration</t>
  </si>
  <si>
    <t>Result</t>
  </si>
  <si>
    <t>Verified on environment</t>
  </si>
  <si>
    <t>MOSIP-11079</t>
  </si>
  <si>
    <t>Pre Reg UI Specs - I should be able to handle custom change actions between two or more fields</t>
  </si>
  <si>
    <t>TC-MOSIP-11079-01</t>
  </si>
  <si>
    <t>UI spec Configuration</t>
  </si>
  <si>
    <t>Verify by adding the checkbox control.</t>
  </si>
  <si>
    <t xml:space="preserve">Checkbox control should be clickable. The header for the checkbox should be visible and contained within the container.
</t>
  </si>
  <si>
    <t>qa-double-rc2</t>
  </si>
  <si>
    <t>TC-MOSIP-11079-02</t>
  </si>
  <si>
    <t>Verify the checkbox control is applicable for the dynamic field. Ex: gender</t>
  </si>
  <si>
    <t>Check box should appear for all the dynamic field values. Ex: male, female, others.</t>
  </si>
  <si>
    <t>TC-MOSIP-11079-03</t>
  </si>
  <si>
    <t>Verify the copy feature using checkbox from textbox1 to textbox2.</t>
  </si>
  <si>
    <t xml:space="preserve">Values from textbox1 should be copied to textbox2. 
Textbox2 should be disabled.
</t>
  </si>
  <si>
    <t>TC-MOSIP-11079-04</t>
  </si>
  <si>
    <t>Verify if the copy feature using checkbox is working after the textbox2 is disabled.</t>
  </si>
  <si>
    <t>Entered values from textbox1 should get copied to textbox2 while the textbox2 stays still disabled.</t>
  </si>
  <si>
    <t>TC-MOSIP-11079-05</t>
  </si>
  <si>
    <t>Verify the selection is getting recorded in the db.</t>
  </si>
  <si>
    <t>The values cannot be checked in the database because the data is encrypted. Invalid scenario.</t>
  </si>
  <si>
    <t>TC-MOSIP-11079-06</t>
  </si>
  <si>
    <t>Verify the single checkbox functionality.</t>
  </si>
  <si>
    <t>User should be able to select a single checkbox for applicable fields.</t>
  </si>
  <si>
    <t>TC-MOSIP-11079-07</t>
  </si>
  <si>
    <t>Verify the multiple checkbox functionality.</t>
  </si>
  <si>
    <t>Cannot configure multiple checkbox for the same fields…invalid scenario.</t>
  </si>
  <si>
    <t>TC-MOSIP-11079-08</t>
  </si>
  <si>
    <t>Verify the copy feature using checkbox from dropdown1 to dropdown2.</t>
  </si>
  <si>
    <t xml:space="preserve">Selected dropdown values from dropdown1 should be copied to dropdown2. 
dropdown2 should be disabled.
</t>
  </si>
  <si>
    <t>TC-MOSIP-11079-09</t>
  </si>
  <si>
    <t>Verify if the copy feature using checkbox is working after the dropdown2 is disabled.</t>
  </si>
  <si>
    <t>Selected dropdown values from dropdown1 should get copied to dropdown2 while the dropdown2 stays still disabled.</t>
  </si>
  <si>
    <t>MOSIP-11081</t>
  </si>
  <si>
    <t>Pre Reg UI Specs - I should have group display of fields horizontally</t>
  </si>
  <si>
    <t>TC-MOSIP-11081-01</t>
  </si>
  <si>
    <t>Horizontal group display of fields.</t>
  </si>
  <si>
    <t>Verify the group display of the fields horizontally.
 Ex: Date of birth or age or address.</t>
  </si>
  <si>
    <t>Only the selected fields should be grouped horizontally.</t>
  </si>
  <si>
    <t>TC-MOSIP-11081-02</t>
  </si>
  <si>
    <t>Verify the maximum number of fields that can be grouped horizontally.</t>
  </si>
  <si>
    <t>Only 3 fields should be grouped horizontally in a row, the 4th one should be moved to the next row.</t>
  </si>
  <si>
    <t>TC-MOSIP-11081-03</t>
  </si>
  <si>
    <t>Verify the sequence of the fields when certain set of fields are only horizontally grouped.</t>
  </si>
  <si>
    <t>The sequence of the fields should be the same as mentioned in the UI spec.</t>
  </si>
  <si>
    <t>TC-MOSIP-11081-04</t>
  </si>
  <si>
    <t>Verify by grouping horizontally using a single field.</t>
  </si>
  <si>
    <t>A single field is getting grouped.</t>
  </si>
  <si>
    <t>TC-MOSIP-11081-05</t>
  </si>
  <si>
    <t>Verify by grouping 5+ fields horizontally.</t>
  </si>
  <si>
    <t>TC-MOSIP-11081-06</t>
  </si>
  <si>
    <t>Verify to have only 2 controls in a row.</t>
  </si>
  <si>
    <t>Only 2 controls should be displayed in a row with each occupying 50% of the space and the screen should be evenly fairly divided.</t>
  </si>
  <si>
    <t>MOSIP-11653</t>
  </si>
  <si>
    <t>Document upload screen should come from UI Spec</t>
  </si>
  <si>
    <t>UI-spec-Config_01</t>
  </si>
  <si>
    <t>1. Create a UI schema. Maintain a version x.0
 2. Add the required details in Pre reg screen.
 3. Add the fields required for the document upload screen.
 4. Create an application.</t>
  </si>
  <si>
    <t>The application should display only the fields that were added in the UI schema in both Pre reg screen and Document upload screen.</t>
  </si>
  <si>
    <t>UI-spec-Config_02</t>
  </si>
  <si>
    <t>1. Edit the UI schema and name the version x.1
 2. Add the new required details in Pre reg screen.
 3. Add the new fields required for the document upload screen.
 4. Create an application.</t>
  </si>
  <si>
    <t>The application should display only the fields that were included in the UI schema(x.1) in both Pre reg screen and Document upload screen.</t>
  </si>
  <si>
    <t>UI-spec-Config_03</t>
  </si>
  <si>
    <t>1. Choose an application to edit that was created with version x.0.</t>
  </si>
  <si>
    <t>The application should be displayed with the default UI schema(Version:x.0) for the applicant to edit. (The applicant should be able to view/edit the data and the uploaded documents according to the UI schema version that was used while creating the application.)</t>
  </si>
  <si>
    <t>UI-spec-Config_04</t>
  </si>
  <si>
    <t>Verify by removing an existing document category in UI spec.</t>
  </si>
  <si>
    <t>The new application should not have that document category for the user.
 The older applications should still point to the same document categories that were used when the application was created.</t>
  </si>
  <si>
    <t>UI-spec-Config_05</t>
  </si>
  <si>
    <t>Verify the fields in the db.</t>
  </si>
  <si>
    <t>The document category and document types shown in the Document Upload screen should be fetched from the master.applicant_valid_document table.</t>
  </si>
  <si>
    <t>UI-spec-Config_06</t>
  </si>
  <si>
    <t>Verify the UI schema by changeing the sub type of an attribute. Ex: Change the subtype to POA for the attribute "Proof of Identity".</t>
  </si>
  <si>
    <t>The Attribute/field should display the documents pertaining to the POA.</t>
  </si>
  <si>
    <t>MOSIP-11654</t>
  </si>
  <si>
    <t>All the config should come from same place. Pre-Reg UI spec in mosip-config and Reg-Client is in master data.</t>
  </si>
  <si>
    <t>Pre reg UI config</t>
  </si>
  <si>
    <t>1. Consider a UI schema. Maintain a version x.0
 2. Create an application.</t>
  </si>
  <si>
    <t>1. The application should be displayed with the UI schema(Version:x.0).
 2. The document upload should be displayed with the UI schema (Version: x.0)</t>
  </si>
  <si>
    <t>1. Edit the UI schema and name the version x.1
 2. Create an application.</t>
  </si>
  <si>
    <t>1. The application should be displayed with the edited UI schema(Version:x.1).
 2. The document upload module should be displayed with the respective UI schema.</t>
  </si>
  <si>
    <t>Verify the versioning concept in db.</t>
  </si>
  <si>
    <t>The db should be maintaining all the schema versions.</t>
  </si>
  <si>
    <t>Create a UI schema.
 Delete few fields from the Demographic details page.
 Verify the edit screen, preview and the acknowledgement.</t>
  </si>
  <si>
    <t>The edit screen, preview and the acknowledgement displays only the fields used in the current UI schema.</t>
  </si>
  <si>
    <t>Create a UI schema.
 Delete few fields from Upload documents page.
 Verify the edit screen, preview and the acknowledgement.</t>
  </si>
  <si>
    <t>MOSIP-12409</t>
  </si>
  <si>
    <t>Lock the application for any future update once it is booked in Pre-Registration</t>
  </si>
  <si>
    <t>Application_Lock_01</t>
  </si>
  <si>
    <t>Lock functionality</t>
  </si>
  <si>
    <t>Create an application and book an appointment.</t>
  </si>
  <si>
    <t>The user should be prompted with a message that the user will not be able to edit the data once the booking is completed.</t>
  </si>
  <si>
    <t>Application_Lock_02</t>
  </si>
  <si>
    <t>Verifying the prompt message display for OK selection.</t>
  </si>
  <si>
    <t>Click on OK should book the appointment for the selected user.
 The application should be locked. Modify information button should not be displayed.Instead, View information should be displayed.</t>
  </si>
  <si>
    <t>Application_Lock_03</t>
  </si>
  <si>
    <t>Verifying the prompt message display for Cancel selection.</t>
  </si>
  <si>
    <t>Goto Your applications.
 Select a booked status application.
 Click on the bin icon and then click on Cancel.
 It should cancel the appointment and revert back to Your application page.
 The application should be still locked for the editing. View information button should be displayed.
 View acknowledgement should be displayed.</t>
  </si>
  <si>
    <t>Application_Lock_04</t>
  </si>
  <si>
    <t>Verifying the lock option for booked/cancelled/expired applications</t>
  </si>
  <si>
    <t>The lock icon should be displayed.
 The lock icon should be displayed for the below status:
 1. Booked
 2. Cancelled
 3. Expired</t>
  </si>
  <si>
    <t>Application_Lock_05</t>
  </si>
  <si>
    <t>Hover the mouse on the lock option.</t>
  </si>
  <si>
    <t>The message that the data has been locked and cannot be modified further should be displayed on the mouse hover on the lock icon.</t>
  </si>
  <si>
    <t>Application_Lock_06</t>
  </si>
  <si>
    <t>Verify the lock option for pending appointment status.</t>
  </si>
  <si>
    <t>No lock icon should be available for the user and user should be allowed to edit the application.</t>
  </si>
  <si>
    <t>Application_Lock_07</t>
  </si>
  <si>
    <t>Verifying the delete option.</t>
  </si>
  <si>
    <t>The user should be able to delete the application by choosing discard entire application by hitting the bin button on the top right corner.</t>
  </si>
  <si>
    <t>Application_Lock_08</t>
  </si>
  <si>
    <t>Verify the rebooking appointment feature before 48 hrs of appointment.</t>
  </si>
  <si>
    <t>The user should be allowed to Re-book the appointment only if the appointment booking is less than 48 hours (configurable) from time of booking.</t>
  </si>
  <si>
    <t>Application_Lock_09</t>
  </si>
  <si>
    <t>Verify the rebooking appointment feature for less than 48 hrs of appointment.</t>
  </si>
  <si>
    <t>The user should not be allowed to re book the appointment if its less than 48 hrs of appointment and a valid message should be displayed to the user.</t>
  </si>
  <si>
    <t>MOSIP-12911</t>
  </si>
  <si>
    <t>Support for Center Name and Address in the Notification Template in Pre-registration</t>
  </si>
  <si>
    <t>Notification_template_01</t>
  </si>
  <si>
    <t>Notification template</t>
  </si>
  <si>
    <t>Verify the new template.</t>
  </si>
  <si>
    <t>The notification template should include the 2 new attributes: Center name and Center address.</t>
  </si>
  <si>
    <t>Notification_template_02</t>
  </si>
  <si>
    <t>Verify the trigger notification feature by completing the book appoinment.</t>
  </si>
  <si>
    <t>The applicant should receive the notification with the new template when they complete their pre-registration appointment booking.</t>
  </si>
  <si>
    <t>Notification_template_03</t>
  </si>
  <si>
    <t>Verify the language content of the template.</t>
  </si>
  <si>
    <t>The content of the template should be available in all the selected languages that were used to create an application.</t>
  </si>
  <si>
    <t>Notification_template_04</t>
  </si>
  <si>
    <t>Verify the Send Email/SMS feature for invalid data.</t>
  </si>
  <si>
    <t>The wrong mail id or/and wrong mobile number should throw an error message for the user to enter the valid details.</t>
  </si>
  <si>
    <t>Notification_template_05</t>
  </si>
  <si>
    <t>Verify the Send Email/SMS feature for the valid data.</t>
  </si>
  <si>
    <t>The correct mail id /mobile number should be validated and complete the action by triggering the notification.</t>
  </si>
  <si>
    <t>MOSIP-13667</t>
  </si>
  <si>
    <t>View Booked application in Read only mode in Pre- Registration</t>
  </si>
  <si>
    <t>Prompt message for booking an application.</t>
  </si>
  <si>
    <t>1. Create Application.
 2. Book an appointment.</t>
  </si>
  <si>
    <t>The user should be prompted with a message that the user will not be able to edit the data once the booking is completed.
 Click on OK should book the appointment.
 Click on Cancel should deny the appointment.</t>
  </si>
  <si>
    <t>Lock functionality.</t>
  </si>
  <si>
    <t>Verify the lock functionality.</t>
  </si>
  <si>
    <t>Once the appointment is booked, the application should get locked with the lock icon on the top of the application.
 The modify information button should not be available for the user.
 Lock symbol should be displayed indicating the application is locked for edit.
 Mouse over lock icon should display the message to the user that the application cannot be modified.
 The View information link should be enabled.</t>
  </si>
  <si>
    <t>View information link.</t>
  </si>
  <si>
    <t>Verify the view information link.</t>
  </si>
  <si>
    <t>The view information should navigate to the application.
 User should be able to click on back and continue and preview the data but all the fields should be disabled to edit.</t>
  </si>
  <si>
    <t>Lock functionality for different status</t>
  </si>
  <si>
    <t>Verify the lock functionality for Pending appointment status.</t>
  </si>
  <si>
    <t>There should be no lock icon for the newly created application without having an appointment booked.
 The modify information button should be displayed. User can edit the data when the application is in the Pending appointment status.</t>
  </si>
  <si>
    <t>Verify the lock functionality for cancelled appointment status</t>
  </si>
  <si>
    <t>The modify information button should not be displayed.
 Lock symbol should be displayed indicating the application is locked for edit.
 Mouse over lock icon should display the message to the user that the application cannot be modified.
 The View information link should be enabled.</t>
  </si>
  <si>
    <t>Verify the lock functionality for Expired appointment status</t>
  </si>
  <si>
    <t>Discard icon feature</t>
  </si>
  <si>
    <t>Verify the discard(bin icon) functionality to delete the record and to create a new one.</t>
  </si>
  <si>
    <t>Clicking on the bin icon should have 2 options:
 1. Discard the entire application : Delete the entire applications
 2. Cancel appointment and save the details : The application is in cancelled appointment status and follows the protocol.</t>
  </si>
  <si>
    <t>MOSIP-11083</t>
  </si>
  <si>
    <t>Pre Reg UI Specs - I should have web components such as Look ahead (Search in Dropdowns)</t>
  </si>
  <si>
    <t>Lookahead_T01</t>
  </si>
  <si>
    <t>Input data feature in Pre registation</t>
  </si>
  <si>
    <t>Verify the input feature for all the fields.</t>
  </si>
  <si>
    <t>The user should be able to input the data for all the data fields.</t>
  </si>
  <si>
    <t>Lookahead_T02</t>
  </si>
  <si>
    <t>Verify the input feature for all the fields with maximum length.</t>
  </si>
  <si>
    <t>The data with maximum characters entered should be able to auto wrap within the container.</t>
  </si>
  <si>
    <t>Lookahead_T03</t>
  </si>
  <si>
    <t>Look ahead feature in Pre registation</t>
  </si>
  <si>
    <t>Verify the auto complete Lookahead feature for all the fields with dropdown control for creating an application.</t>
  </si>
  <si>
    <t>Auto look ahead fields should be available for the input fields with dropdown in demographic page while creating an application and should not be case sensitive.</t>
  </si>
  <si>
    <t>Lookahead_T04</t>
  </si>
  <si>
    <t>Verify the auto complete Lookahead feature for all the fields with dropdown for modifying an existing application.</t>
  </si>
  <si>
    <t>Auto complete look ahead fields should be available for the input fields with dropdown in demographic page while editing an existing application.</t>
  </si>
  <si>
    <t>Lookahead_T05</t>
  </si>
  <si>
    <t>Verify if for entered keyword displayed appropriate options</t>
  </si>
  <si>
    <t>Auto look up should match the entered characters for the entered keywords and display the matching results only.</t>
  </si>
  <si>
    <t>Lookahead_T06</t>
  </si>
  <si>
    <t>Arrow key navigation through fields in Pre registation</t>
  </si>
  <si>
    <t>Verify if Arrow keys can be used to navigate.</t>
  </si>
  <si>
    <t>The user should be able to navigate to next field using the tab.
 The user should be able to navigate within the dropdown list using the up and down arrow keys.</t>
  </si>
  <si>
    <t>Lookahead_T07</t>
  </si>
  <si>
    <t>Search in dropdown in Pre registation</t>
  </si>
  <si>
    <t>Verify the search feature in the dropdown.</t>
  </si>
  <si>
    <t>User should be able to search within the dropdown and display the matching results.</t>
  </si>
  <si>
    <t>Lookahead_T08</t>
  </si>
  <si>
    <t>Verify the search feature using upper case/lower case/mixed case in the dropdown.</t>
  </si>
  <si>
    <t>Lookahead_T09</t>
  </si>
  <si>
    <t>Verify the search feature for data not listed in the dropdown.</t>
  </si>
  <si>
    <t>No matching results found should be displayed.</t>
  </si>
  <si>
    <t>Lookahead_T10</t>
  </si>
  <si>
    <t>Verify the search feature after deleting the entered characters.</t>
  </si>
  <si>
    <t>If the entered characters are deleted, then the complete list in the dropdown should be displayed.</t>
  </si>
  <si>
    <t>MOSIP-11722</t>
  </si>
  <si>
    <t>Capturing Consent Proof</t>
  </si>
  <si>
    <t>Capture_Consent_01</t>
  </si>
  <si>
    <t>Capturing consent proof in Augit log table.</t>
  </si>
  <si>
    <t>Login using 
 User id : mail id
 Choose any 2 languages to create an application.</t>
  </si>
  <si>
    <t>The consent data in database (mosip_audit-&gt; app_audit_log table) should capture the 
 action_dtimes - Current resident local time 
 session_user id - logged in mail id
 session_user_name : logged in user name
 log_desc : Consent accepted with the template and encrypted data</t>
  </si>
  <si>
    <t>Capture_Consent_02</t>
  </si>
  <si>
    <t>Login using 
 User id : mail id
 Choose all 3 languages to create an application.</t>
  </si>
  <si>
    <t>qa-triple=rc2</t>
  </si>
  <si>
    <t>Capture_Consent_03</t>
  </si>
  <si>
    <t>Login using 
 User id : phone number
 Choose any 2 languages to create an application.</t>
  </si>
  <si>
    <t>Capture_Consent_04</t>
  </si>
  <si>
    <t>Login using 
 User id : phone number
 Choose all 3 languages to create an application.</t>
  </si>
  <si>
    <t>Capture_Consent_05</t>
  </si>
  <si>
    <t>Login using 
 User id : mail id
 Choose any 2 languages to create an application.
 Click on cancel to accept the consent.</t>
  </si>
  <si>
    <t>The consent data in database (mosip_audit-&gt; app_audit_log table) should not capture the 
 action_dtimes - Current resident local time 
 session_user id - logged in mail id
 session_user_name : logged in user name
 log_desc : Consent not accepted with the template and encrypted data</t>
  </si>
  <si>
    <t>Capture_Consent_06</t>
  </si>
  <si>
    <t>Login using 
 User id : phone no
 Choose any 2 languages to create an application.
 Click on cancel to accept the consent.</t>
  </si>
  <si>
    <t>The consent data in audit log should capture the 
 action_dtimes - Current local time 
 session_user id - logged in phone number
 log_desc : Consent not accepted with the template and encrypted data</t>
  </si>
  <si>
    <t>MOSIP-14324</t>
  </si>
  <si>
    <t>Add Date Picker and Spinner component in Pre-Reg UI for Date of Birth and age capture</t>
  </si>
  <si>
    <t>TC_MOSIP_14324-01</t>
  </si>
  <si>
    <t>ui</t>
  </si>
  <si>
    <t>Date spinner and picker.</t>
  </si>
  <si>
    <t>1. Login to Pre reg.
 2. Click on Create new application .
 3. Verify the date picker component in Demographic page.
 Note : Configure the control type as ageDate in the UI spec.</t>
  </si>
  <si>
    <t>The Date picker should be used for capturing the date of birth value in the demographic page</t>
  </si>
  <si>
    <t>TC_MOSIP_14324-02</t>
  </si>
  <si>
    <t>1. Login to Pre reg.
 2. Click on Create new application .
 3. Verify the spinner component in Demographic page.
 Note : Configure the control type as ageDate in the UI spec.</t>
  </si>
  <si>
    <t>The Spinner component should be used to capture the age field in the demographic page.</t>
  </si>
  <si>
    <t>TC_MOSIP_14324-03</t>
  </si>
  <si>
    <t>1. Login to Pre reg.
 2. Click on Create new application .
 3. Verify by clicking on date picker.</t>
  </si>
  <si>
    <t>On clicking the date picker icon, a date picker calendar should open up.</t>
  </si>
  <si>
    <t>TC_MOSIP_14324-04</t>
  </si>
  <si>
    <t>1. Login to Pre reg.
 2. Click on Create new application .
 3. Verify by clicking on date picker.
 4. Verify choosing the date on the calendar.</t>
  </si>
  <si>
    <t>The user should be able to select a date in the calendar.
 After selecting the date the same should get displayed in the date field.</t>
  </si>
  <si>
    <t>TC_MOSIP_14324-05</t>
  </si>
  <si>
    <t>1. Login to Pre reg.
 2. Click on Create new application .
 3.Verify the manual entry of the date in the date of birth field.</t>
  </si>
  <si>
    <t>The user should be allowed to enter a date manually on the date following the date format DD/MM/YYYY.
 If the age spinner component is configured in the UI spec, the age should get auto displayed wrt the entered date.</t>
  </si>
  <si>
    <t>TC_MOSIP_14324-06</t>
  </si>
  <si>
    <t>1. Login to Pre reg.
 2. Click on Create new application .
 3.Verify the manual entry of the date with : 
 special characters
 characters
 negative numbers</t>
  </si>
  <si>
    <t>The user should be displayed with the invalid date of birth message.</t>
  </si>
  <si>
    <t>TC_MOSIP_14324-07</t>
  </si>
  <si>
    <t>1. Login to Pre reg.
 2. Click on Create new application .
 3.Verify choosing the future date on the calendar.</t>
  </si>
  <si>
    <t>The user should be displayed with the invalid date of birth message. The future dates should be greyed out.</t>
  </si>
  <si>
    <t>TC_MOSIP_14324-08</t>
  </si>
  <si>
    <t>1. Login to Pre reg.
 2. Click on Create new application .
 3.Verify the manual entry of the age field with the numeric value.</t>
  </si>
  <si>
    <t>The user should be allowed to enter the numeric value only for age field manually.</t>
  </si>
  <si>
    <t>TC_MOSIP_14324-09</t>
  </si>
  <si>
    <t>1. Login to Pre reg.
 2. Click on Create new application .
 3.Verify the manual entry of the age with 
 special characters
 characters
 negative numbers</t>
  </si>
  <si>
    <t>TC_MOSIP_14324-10</t>
  </si>
  <si>
    <t>1. Login to Pre reg.
 2. Click on Create new application .
 3.Verify the spinner behaviour.</t>
  </si>
  <si>
    <t>The user should be allowed to increase and decrease the numbers on the date spinner by clicking the up and down arrows.
 The DOB should get displayed according to the age value selected.(1/1/yyyy)</t>
  </si>
  <si>
    <t>TC_MOSIP_14324-11</t>
  </si>
  <si>
    <t>1. Login to Pre reg.
 2. Click on Create new application .
 3. Create a new application with the date picker or spinner component in demographic page.
 4. Click on Continue.</t>
  </si>
  <si>
    <t>User should be able to enter the date of birth or age and proceed to Documents upload page successfully.</t>
  </si>
  <si>
    <t>TC_MOSIP_14324-12</t>
  </si>
  <si>
    <t>1. Login to Pre reg.
 2. Select an application in Pending status/incomplete application status.
 3. Modify an application with the date picker and spinner component.
 4. Navigate to the next page by clicking on continue.</t>
  </si>
  <si>
    <t>User should be able to edit a created application using the date picker and spinner and navigate to the Documents upload page successfully.</t>
  </si>
  <si>
    <t>TC_MOSIP_14324-13</t>
  </si>
  <si>
    <t>Verify the usage of the Date picker and spinner component works on different browsers.
 1. Login to Pre reg.
 2. Click on Create new application. 
 3. Create a new application with the date picker or spinner component in demographic page.
 4. Click on Continue.</t>
  </si>
  <si>
    <t>User should be able to utilize the date picker and spinner on various browsers (chrome/edge/mozilla firefox) and successfully create the application.</t>
  </si>
  <si>
    <t>TC_MOSIP_14324-14</t>
  </si>
  <si>
    <t>Verify the usage of the Date picker and spinner component works on different browsers.
 1. Login to Pre reg.
 2. Select an application in Pending status/incomplete application status.
 3. Modify an application with the date picker and spinner component.
 4. Click on Continue.</t>
  </si>
  <si>
    <t>User should be able to utilize the date picker and spinner on various browsers (chrome/edge/mozilla firefox) and successfully edit the application.
 User should be able to edit the date fields in the created application.</t>
  </si>
  <si>
    <t>TC_MOSIP_14324-15</t>
  </si>
  <si>
    <t>Verify the usage of the Date picker and spinner component works on different environments:
 1. Single langauage environment.
 2. 2 language environment.
 3. 3 language environment.</t>
  </si>
  <si>
    <t>User should be able to utilize the date picker and spinner on various browsers (chrome/edge/mozilla firefox) and successfully create and edit the application.
 User should be able to edit the date fields in the created application.</t>
  </si>
  <si>
    <t>TC_MOSIP_14324-16</t>
  </si>
  <si>
    <r>
      <rPr>
        <rFont val="Calibri"/>
        <color rgb="FF000000"/>
        <sz val="11.0"/>
      </rPr>
      <t xml:space="preserve">change the locale field and verify.
 Locale file → </t>
    </r>
    <r>
      <rPr>
        <rFont val="Calibri"/>
        <color rgb="FF1155CC"/>
        <sz val="11.0"/>
        <u/>
      </rPr>
      <t>https://github.com/mosip/artifactory-ref-impl/blob/develop/artifacts/src/i18n/pre-registration-i18n-bundle/i18n/default.json</t>
    </r>
  </si>
  <si>
    <t>The locale selected should reflect the date format in the demographic page.</t>
  </si>
  <si>
    <t>qa-triple-rc2</t>
  </si>
  <si>
    <t>MOSIP-11655</t>
  </si>
  <si>
    <t xml:space="preserve"> Exceptional Holiday Notification</t>
  </si>
  <si>
    <t>TC-MOSIP-01</t>
  </si>
  <si>
    <t>Admin/Pre registration Integration</t>
  </si>
  <si>
    <t>Booking an appointment for an Exceptional holiday</t>
  </si>
  <si>
    <t>1. In admin -&gt; Resource-&gt;Center, choose a center to edit.
 2. Add the exceptional holiday and save it. 
 3. Login to Pre reg.
 4. Create a new application choosing the same center.
 5. Choose to book the appointment.</t>
  </si>
  <si>
    <t>The slots for the date of exceptional holiday for the selected center should not be available for the user to book an appointment.</t>
  </si>
  <si>
    <t>TC-MOSIP-02</t>
  </si>
  <si>
    <t>Exceptional holiday notification</t>
  </si>
  <si>
    <t>1. In admin -&gt; Resource-&gt;Center, choose a center to edit.
 2. Add the exceptional holiday and save it. 
 3. Login to Pre reg.
 4. Verify the applications with the appointment booked on the day of Exceptional holiday.
 2. Verify the notification for the Exceptional holiday.</t>
  </si>
  <si>
    <t>The notification mail should be triggered for all the applications whose appointments are booked on the day of exceptional holiday using the phone number as well as entered email id.
 The notification should mention the below details:
 1. The date of exceptional holiday. 
 2. The reason for cancellation
 3. Applicant name
 4. The date and slot of the appointment.</t>
  </si>
  <si>
    <t>TC-MOSIP-03</t>
  </si>
  <si>
    <t>Exceptional holiday</t>
  </si>
  <si>
    <t>1. In admin -&gt; Resource-&gt;Center, choose a center to edit.
 2. Add the exceptional holiday and save it.
 3. Verify the status of the application that was booked on the day of Exceptional holiday.</t>
  </si>
  <si>
    <t>A notification email should be sent to all the applicants whose appointment falls on the date of exceptional holiday using phone number as well as entered email id.
 The status of the application in "your applications" should be "Cancelled" with blank for booking date.</t>
  </si>
  <si>
    <t>TC-MOSIP-04</t>
  </si>
  <si>
    <t>1. In admin -&gt; Resource-&gt;Center, choose a center to edit.
 2. Add the exceptional holiday for the current day (half day) and save it.
 3. Consume the application in the Reg client.
 4. Verify the status of the application that was booked on the day of Exceptional holiday.</t>
  </si>
  <si>
    <t>A notification email should be sent to all the applicants whose appointment falls on the date(half day) of exceptional holiday using phone number as well as entered email id.
 The status of the application in pre reg that was already consumed by reg client should stay intact.</t>
  </si>
  <si>
    <t>TC-MOSIP-05</t>
  </si>
  <si>
    <t>1. In admin -&gt; Resource-&gt;Center, choose a center to edit.
 2. Add the exceptional holiday for the current day (half day) and save it.
 3. Book an appointment and fetch the application in the Reg client. Do not complete the packet process. 
 4. Verify the status of the application that was booked on the day of Exceptional holiday.</t>
  </si>
  <si>
    <t>A notification email should be sent to all the applicants whose appointment falls on the date(half day) of exceptional holiday using phone number as well as entered email id.
 The status of the application in "your applications" should be "Cancelled" with blank for booking date.</t>
  </si>
  <si>
    <t>MOSIP-13821</t>
  </si>
  <si>
    <t>Redirect to Dashboard if Pre-reg session not expired</t>
  </si>
  <si>
    <t>TC-MOSIP-13821-01</t>
  </si>
  <si>
    <t>Pre reg session verification</t>
  </si>
  <si>
    <t>1. Open Pre reg login.
 2. Enter valid phone number/email id.
 3. Enter valid OTP.</t>
  </si>
  <si>
    <t>User is logged into Pre reg application.
 User session is active.</t>
  </si>
  <si>
    <t>qa-single-rc2</t>
  </si>
  <si>
    <t>TC-MOSIP-13821-02</t>
  </si>
  <si>
    <t>1. Open Pre reg login.
 2. Enter valid phone number/email id.
 3. Enter valid OTP.
 4. Login to Pre reg.
 5. Stay idle without using the application for 60 seconds.</t>
  </si>
  <si>
    <t>User gets a message that you will be logged out due to idle time. Once the user reaches 60 seconds, the user session becomes inactive. User is redirected to the login page.</t>
  </si>
  <si>
    <t>TC-MOSIP-13821-03</t>
  </si>
  <si>
    <t>1. Login to Pre reg.
 2. Close the browser.
 3. Open new browser with valid session(within 60 sec).</t>
  </si>
  <si>
    <t>User should be routed to the dashboard with the current login.</t>
  </si>
  <si>
    <t>TC-MOSIP-13821-04</t>
  </si>
  <si>
    <t>1. Login to Pre reg.
 2. Close the browser.
 3. Open new browser with expired session(post 60 sec).</t>
  </si>
  <si>
    <t>User should be re directed to the login screen to enter the credentials again.</t>
  </si>
  <si>
    <t>TC-MOSIP-13821-05</t>
  </si>
  <si>
    <t>1. Login to Pre reg.
 2. Close the browser.
 3. Clear browser cache.
 4. Open new browser with valid session.</t>
  </si>
  <si>
    <t>User should be routed to the login screen.</t>
  </si>
  <si>
    <t>MOSIP-13857</t>
  </si>
  <si>
    <t>Fix send OTP issues</t>
  </si>
  <si>
    <t>TC_MOSIP_13857-01</t>
  </si>
  <si>
    <t>Login with OTP using phone number</t>
  </si>
  <si>
    <t>1. Open Login screen.
 2. Choose the preferred login language.
 3. Enter the valid phone number.</t>
  </si>
  <si>
    <t>Send OTP button should get enabled.</t>
  </si>
  <si>
    <t>TC_MOSIP_13857-02</t>
  </si>
  <si>
    <t>UI</t>
  </si>
  <si>
    <t>1. Open Login screen.
 2. Choose the preferred login language.
 3. Enter the invalid phone number.</t>
  </si>
  <si>
    <t>"You have entered an invalid email id or mobile number" message should be displayed.
 Send OTP button should not get enabled.</t>
  </si>
  <si>
    <t>TC_MOSIP_13857-03</t>
  </si>
  <si>
    <t>Send OTP using phone number</t>
  </si>
  <si>
    <t>1. Open Login screen.
 2. Choose the preferred login language.
 3. Enter the valid phone number.
 4. Click on Send OTP.</t>
  </si>
  <si>
    <t>User should receive the OTP notification as sms on the entered phone number.
 "OTP is valid for 3 mins" message is displayed on login screen.</t>
  </si>
  <si>
    <t>TC_MOSIP_13857-04</t>
  </si>
  <si>
    <t>1. Open Login screen.
 2. Choose the preferred login language.
 3. Enter the valid phone number.
 4. Click on Send OTP.
 5. Do not enter the OTP until valid 3 min ends.</t>
  </si>
  <si>
    <t>The entered phone number re appears and Send OTP button is enabled.</t>
  </si>
  <si>
    <t>TC_MOSIP_13857-05</t>
  </si>
  <si>
    <t>1. Open Login screen.
 2. Choose the preferred login language.
 3. Enter the valid phone number.
 4. Click on Send OTP.
 5. Enter an invalid OTP within 3 min.</t>
  </si>
  <si>
    <t>"The OTP entered is not valid" pop up message should be displayed.</t>
  </si>
  <si>
    <t>TC_MOSIP_13857-06</t>
  </si>
  <si>
    <t>1. Open Login screen.
 2. Choose the preferred login language.
 3. Enter the valid phone number.
 4. Click on Send OTP.
 5. Enter the valid OTP within 3 min.</t>
  </si>
  <si>
    <t>User should be logged into the pre reg application.</t>
  </si>
  <si>
    <t>TC_MOSIP_13857-07</t>
  </si>
  <si>
    <t>Validating resend OTP for expiry time.</t>
  </si>
  <si>
    <t>1. Open Login screen.
 2. Choose the preferred login language.
 3. Enter the valid phone number.
 4. Click on Send OTP.
 5. Refresh the screen.</t>
  </si>
  <si>
    <t>OTP should not be resent until the OTP expiry time gets over.
 If there is no 200 status then service unavailable message should be displayed.</t>
  </si>
  <si>
    <t>TC_MOSIP_13857-08</t>
  </si>
  <si>
    <t>OTP error simulation.</t>
  </si>
  <si>
    <t>Update the below property in the config in ( 
 https://github.com/mosip/mosip-config/blob/develop/sandbox/pre-registration-mz.properties):
 pre.reg.login.otp.sms.template=otp-sms-template
 can be changed to 
 pre.reg.login.otp.sms.template=otp-sms-template1</t>
  </si>
  <si>
    <t>User should be thrown with the error message.</t>
  </si>
  <si>
    <t>TC_MOSIP_13857-09</t>
  </si>
  <si>
    <t>Login with OTP using email id.</t>
  </si>
  <si>
    <t>1. Open Login screen.
 2. Choose the preferred login language.
 3. Enter the valid email id.</t>
  </si>
  <si>
    <t>TC_MOSIP_13857-10</t>
  </si>
  <si>
    <t>1. Open Login screen.
 2. Choose the preferred login language.
 3. Enter the invalid email id.</t>
  </si>
  <si>
    <t>TC_MOSIP_13857-11</t>
  </si>
  <si>
    <t>Send OTP using email id.</t>
  </si>
  <si>
    <t>1. Open Login screen.
 2. Choose the preferred login language.
 3. Enter the valid email id.
 4. Click on Send OTP.</t>
  </si>
  <si>
    <t>TC_MOSIP_13857-12</t>
  </si>
  <si>
    <t>1. Open Login screen.
 2. Choose the preferred login language.
 3. Enter the valid email id.
 4. Click on Send OTP.
 5. Do not enter the OTP until valid 3 min ends.</t>
  </si>
  <si>
    <t>The entered email id re appears and Send OTP button is enabled.</t>
  </si>
  <si>
    <t>TC_MOSIP_13857-13</t>
  </si>
  <si>
    <t>1. Open Login screen.
 2. Choose the preferred login language.
 3. Enter the valid email id.
 4. Click on Send OTP.
 5. Enter an invalid OTP within 3 min.</t>
  </si>
  <si>
    <t>TC_MOSIP_13857-14</t>
  </si>
  <si>
    <t>1. Open Login screen.
 2. Choose the preferred login language.
 3. Enter the valid email id.
 4. Click on Send OTP.
 5. Enter the valid OTP within 3 min.</t>
  </si>
  <si>
    <t>TC_MOSIP_13857-15</t>
  </si>
  <si>
    <t>1. Open Login screen.
 2. Choose the preferred login language.
 3. Enter the valid email id.
 4. Click on Send OTP.
 5. Refresh the screen.</t>
  </si>
  <si>
    <t>OTP should not be resent until the OTP expiry time gets over.</t>
  </si>
  <si>
    <t>TC_MOSIP_13857-16</t>
  </si>
  <si>
    <t>Verify the json response.</t>
  </si>
  <si>
    <t>In Pre reg login screen, enter the phone number/email id.
 Click on send otp.
 Enter a wrong otp.Check the json response as well as the UI message.</t>
  </si>
  <si>
    <t>If json response has error attribute, then the error code and message should be shown."OTP entered is not valid" message is displayed on UI.
 Json response:
 errorCode: "PRG_PAM_LGN_013"
 message: "VALIDATION_UNSUCCESSFUL"</t>
  </si>
  <si>
    <t>TC_MOSIP_13857-17</t>
  </si>
  <si>
    <t>OTP expiry time config</t>
  </si>
  <si>
    <t>Change the OTP expiry time in application-mz.properties:
 mosip.kernel.otp.expiry-time=180 (#the OTP expires after the given time(in seconds).
 Restart the pre reg application service.</t>
  </si>
  <si>
    <t>The OTP expiry time should change and expire to the changed time in seconds.</t>
  </si>
  <si>
    <t>TC_MOSIP_13857-18</t>
  </si>
  <si>
    <t>Restart the kernel notification services.(Simulating service down)
 Login to pre reg while the service is down.</t>
  </si>
  <si>
    <t>"Unable to send otp…please try later" message should be displayed in the selected respective language.</t>
  </si>
  <si>
    <t>MOSIP-14955</t>
  </si>
  <si>
    <t>Need an error handling framework to handle technical errors from service in UI</t>
  </si>
  <si>
    <t>TC-MOSIP-14955-01</t>
  </si>
  <si>
    <t>Error handling in login screen</t>
  </si>
  <si>
    <t>1. Open pre reg login.
 2. Enter invalid email id/phone number.</t>
  </si>
  <si>
    <t>Invalid email id/phone number message should be displayed to the user.</t>
  </si>
  <si>
    <t>TC-MOSIP-14955-02</t>
  </si>
  <si>
    <t>Error handling in file upload page.</t>
  </si>
  <si>
    <t>1. Login to pre reg.
 2. Click on create new application.
 3. Enter the demographic details page and click continue.
 4. Choose the document type and upload a file larger than 2mb.</t>
  </si>
  <si>
    <t>The file size is too large message should be displayed to the user.</t>
  </si>
  <si>
    <t>TC-MOSIP-14955-03</t>
  </si>
  <si>
    <t>1. Login to pre reg.
 2. Click on create new application.
 3. Enter the demographic details page and click continue.
 4. Choose the document type and upload a file which is not allowed(Ex: word/excel)</t>
  </si>
  <si>
    <t>The file format is not allowed message should be displayed to the user.</t>
  </si>
  <si>
    <t>TC-MOSIP-14955-04</t>
  </si>
  <si>
    <t>Error handling in changing the auth token.</t>
  </si>
  <si>
    <t>Change the auth token to invalid token.</t>
  </si>
  <si>
    <t>The session expired message should be displayed to the user.</t>
  </si>
  <si>
    <t xml:space="preserve">"Token used:
eyJhbGciOiJIUzI1NiJ9.eyJzdWIiOiJtYXl1cmFAZ21haWwuY29tIiwiYXVkIjoiXCJhY2NvdW50XCI7IiwidXNlcl9uYW1lIjoibWF5dXJhQGdtYWlsLmNvbSIsInNjb3BlIjoiXCJQUkUtUkVHSVNUUkFUSU9OXCI7Iiwicm9sZXMiOiJJTkRJVklEVUFMIiwiaXNzIjoiL3ByZXJlZ2lzdHJhdGlvbi92MS9sb2dpbi92YWxpZGF0ZU90cCIsImV4cCI6MTYyNTcxOTQ0OCwidXNlcklkIjoibWF5dXJhQGdtYWlsLmNvbSIsImlhdCI6MTYyNTcxOTQ0OH0.jHoSjO1TGTxOpbC9PKC2cOVyFxVv83sWlOcdjK6A-OU"
</t>
  </si>
  <si>
    <t>TC-MOSIP-14955-05</t>
  </si>
  <si>
    <t>Error handling in OTP template change.</t>
  </si>
  <si>
    <t>Rename the (pre.reg.login.otp.mail.subject.template)otp template name to point to a different template in pre-registration-mz.properties.
 Restart application services.
 Login to pre reg screen by entering the phone number/email id.
 Click on send otp.</t>
  </si>
  <si>
    <t>The pre reg login screen should give a correct message to the user as "OTP failed to send through a specified channel".</t>
  </si>
  <si>
    <t>Prereg-204</t>
  </si>
  <si>
    <t>Creation of new Registration center for the respective zone.</t>
  </si>
  <si>
    <t>Login to Admin using a user mapped with a respective zone.
 Navigate to Resources-&gt; Center.
 Click on Create new.
 Create a new reg center for the respective zone.
 Verify the Reg center in the pre reg book appointment page.</t>
  </si>
  <si>
    <t>The Reg center should not be available in the Pre reg book appointment page as the center is not activated.</t>
  </si>
  <si>
    <t>Prereg-205</t>
  </si>
  <si>
    <t>Creation and activation of Registration center for respective zone.</t>
  </si>
  <si>
    <t>Login to Admin using a user mapped with a respective zone.
 Navigate to Resources-&gt; Center.
 Click on Create new.
 Create a new reg center for the respective zone.
 Activate the Reg center.
 Verify the Reg center in the pre reg book appointment page.</t>
  </si>
  <si>
    <t>The Reg center should be available in the Pre reg book appointment page.</t>
  </si>
  <si>
    <t>Prereg-206</t>
  </si>
  <si>
    <t>Creation and deactivation of Registration center for respective zone.</t>
  </si>
  <si>
    <t>Login to Admin using a user mapped with a respective zone.
 Navigate to Resources-&gt; Center.
 Click on Create new.
 Create a new reg center for the respective zone.
 Verify the Reg center in the pre reg book appointment page.
 Deactivate the Reg center.</t>
  </si>
  <si>
    <t>Prereg-207</t>
  </si>
  <si>
    <t>Editing the reg center for respective zone.</t>
  </si>
  <si>
    <t>Login to Admin using a user mapped with a respective zone.
 Navigate to Resources-&gt; Center.
 Edit the reg center details and update.</t>
  </si>
  <si>
    <t>The details updated should reflect in the Pre reg.</t>
  </si>
  <si>
    <t>Prereg-208</t>
  </si>
  <si>
    <t>Decommission the reg center.</t>
  </si>
  <si>
    <t>Login to Admin using a user mapped with a respective zone.
 Navigate to Resources-&gt; Center.
 Decomission the reg center.</t>
  </si>
  <si>
    <t>The Reg center should not be available in the Pre reg book appointment page.</t>
  </si>
  <si>
    <t>Prereg-209</t>
  </si>
  <si>
    <t>Editing the reg center with near by latitude and longitude.</t>
  </si>
  <si>
    <t>Login to Admin using a user mapped with a respective zone.
 Navigate to Resources-&gt; Center.
 Edit the center with the current location latitude and longitude.
 Verify the reg center near by in search reg center in pre reg.</t>
  </si>
  <si>
    <t>The near by option in pre reg search reg center should show the updated reg center.</t>
  </si>
  <si>
    <t>Prereg-210</t>
  </si>
  <si>
    <t>Creation of Reg center without kiosk.</t>
  </si>
  <si>
    <t>Login to Admin using a user mapped with a respective zone.
 Navigate to Resources-&gt; Center.
 Click on Create new.
 Create a new reg center for the respective zone with kiosk=0
 Activate the Reg center.
 Verify the Reg center in the pre reg book appointment page.</t>
  </si>
  <si>
    <t>The reg center should be available in the Pre reg book appointment page.The slots should not be available to book the appointment.</t>
  </si>
  <si>
    <t>Prereg-211</t>
  </si>
  <si>
    <t>Editing lunch hours and working hours for a reg center.</t>
  </si>
  <si>
    <t>Login to Admin using a user mapped with a respective zone.
 Navigate to Resources-&gt; Center.
 Edit the existing center without lunch hours.
 Verify the Reg center in the pre reg book appointment page.</t>
  </si>
  <si>
    <t>The slots for the particular reg center should all appear only for morning session without showing the afternoon session.</t>
  </si>
  <si>
    <t>Prereg-212</t>
  </si>
  <si>
    <t>Login to Admin using a user mapped with a respective zone.
 Navigate to Resources-&gt; Center.
 Edit the existing center for the working hours and lunch hours.
 Verify the Reg center in the pre reg book appointment page.</t>
  </si>
  <si>
    <t>The slots for the particular reg center should show the slots only for the working hours mentioned.
 There should be no slots available for the lunch hours mentioned.</t>
  </si>
  <si>
    <t>Prereg-213</t>
  </si>
  <si>
    <t>Adding slots for the reg center.</t>
  </si>
  <si>
    <t>Login to Admin using a user mapped with a respective zone.
 Navigate to Resources-&gt; Center.
 Click on Create new.
 Create a new reg center for the respective zone by adding value to kiosk.
 Activate the Reg center.
 Verify the Reg center in the pre reg book appointment page.</t>
  </si>
  <si>
    <t>The slots will not appear for the respective reg center in the book appointment page until batch job is restarted.</t>
  </si>
  <si>
    <t>Prereg-214</t>
  </si>
  <si>
    <t>Login to Admin using a user mapped with a respective zone.
 Navigate to Resources-&gt; Center.
 Click on Create new.
 Create a new reg center for the respective zone by adding value to kiosk.
 Activate the Reg center.
 Restart the batch job service.
 Verify the Reg center in the pre reg book appointment page.</t>
  </si>
  <si>
    <t>The slots will appear for the respective reg center in the book appointment page.</t>
  </si>
  <si>
    <t>Prereg-215</t>
  </si>
  <si>
    <t>Login language same for Admin and Pre reg to create the reg center.</t>
  </si>
  <si>
    <t>Login to Admin using lang1 with the user mapped with a respective zone.
 Navigate to Resources-&gt; Center.
 Click on Create new.
 Create a new reg center for the respective zone.
 Activate the Reg center.
 Verify the Reg center in the pre reg book appointment page using login lang as lang1.</t>
  </si>
  <si>
    <t>Logging into Pre reg using the lang1 should have the reg center available for booking the appointment.</t>
  </si>
  <si>
    <t>Prereg-216</t>
  </si>
  <si>
    <t>Login language different for Admin and Pre reg to create the reg center.</t>
  </si>
  <si>
    <t>Login to Admin using lang1 with the user mapped with a respective zone.
 Navigate to Resources-&gt; Center.
 Click on Create new.
 Create a new reg center for the respective zone.
 Activate the Reg center.
 Verify the Reg center in the pre reg book appointment page using lang as lang2.</t>
  </si>
  <si>
    <t>Logging into Pre reg using the lang2 should have the reg center available for booking the appointment.</t>
  </si>
  <si>
    <t>MOSIP-203</t>
  </si>
  <si>
    <t>Prereg-217</t>
  </si>
  <si>
    <t>Dynamic nature of working days.</t>
  </si>
  <si>
    <t>Login to admin.
 Navigate to Resources -&gt; Center.
 Edit a center with working days.
 Update and restart the batch job service.
 Verify the changes in pre reg for the same reg center.</t>
  </si>
  <si>
    <t>The reg center working days in pre reg should reflect the same as updated in admin.</t>
  </si>
  <si>
    <t>Prereg-218</t>
  </si>
  <si>
    <t>Dynamic nature of exceptional holiday</t>
  </si>
  <si>
    <t>Login to admin.
 Navigate to Resources -&gt; Center.
 Edit a center with holidays.
 Update and restart the batch job service.
 Verify the changes in pre reg for the same reg center.</t>
  </si>
  <si>
    <t>The reg center holidays in pre reg should reflect the same as updated in admin.</t>
  </si>
  <si>
    <t>Prereg-219</t>
  </si>
  <si>
    <t>1. In admin -&gt; Resource-&gt;Center, choose a center to edit.
 2. Add the exceptional holiday and save it.
 3. Login to Pre reg.
 4. Add a new application choosing the same center.
 5. Choose to book the appointment.</t>
  </si>
  <si>
    <t>Prereg-220</t>
  </si>
  <si>
    <t>1. In admin -&gt; Resource-&gt;Center, choose a center to edit.
 2. Add the exceptional holiday and save it.
 3. Login to Pre reg.
 4. Verify the applications with the appointment booked on the day of Exceptional holiday.
 2. Verify the notification for the Exceptional holiday.</t>
  </si>
  <si>
    <t>The notification mail should be triggered for all the applications wholse appointments are booked on the day of exceptional holiday using the phone number as well as entered email id.
 The notification should mention the below details:
 1. The date of exceptional holiday.
 2. The reason for cancellation
 3. Applicant name
 4. The date and slot of the appointment.</t>
  </si>
  <si>
    <t>Prereg-221</t>
  </si>
  <si>
    <t>Exceptional holiday process verification.</t>
  </si>
  <si>
    <t>1. In admin -&gt; Resource-&gt;Center, choose a center to edit.
 2. Add the exceptional holiday and save it.</t>
  </si>
  <si>
    <t>Prereg-222</t>
  </si>
  <si>
    <t>Adding Exceptional holiday in between the current day.</t>
  </si>
  <si>
    <t>1. In admin -&gt; Resource-&gt;Center, choose a center to edit.
 2. Add the exceptional holiday for the current day (half day) and save it.</t>
  </si>
  <si>
    <t>A notification email should be sent to all the applicants whose appointment falls on the date(half day) of exceptional holiday using phone number as well as entered email id.
 The status of the application in "your applications" should be "Cancelled" with blank for booking date.
 The appointments which were already completed should remain intact in terms of status.</t>
  </si>
  <si>
    <t>Prereg-223</t>
  </si>
  <si>
    <t>Adding Exceptional holiday and checking in a different language.</t>
  </si>
  <si>
    <t>1. In admin -&gt; Resource-&gt; Create a center in Arabin, add an exceptional holiday.
2. Restart the service.
3. Login into Pre-reg with a different language English and try to view the holiday in slots.</t>
  </si>
  <si>
    <t>The holiday will only be activated if we create and view the exceptional holiday in the same language.</t>
  </si>
  <si>
    <t>MOSIP-11719</t>
  </si>
  <si>
    <t>Refactor booking services - move out of pre-reg</t>
  </si>
  <si>
    <t>TC-MOSIP-11719-01</t>
  </si>
  <si>
    <t>Validation of status of the application in the db - Incomplete Application.</t>
  </si>
  <si>
    <t>1. Login to Pre reg.
 2. Create an application with "Incomplete Application" status.
 3. Check the status of the application in the below tables in db:
 prereg.applications
 prereg.applicant_demographic
 (Pre-reg id, bookingType,statusCode,appointmentDate,bookingDate,slotFromTime,slotToTime,regCenter,contactInfo)</t>
  </si>
  <si>
    <t xml:space="preserve">"The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DRAFT for Incomplete applications and the booking related fields should be null.(bookingType,statusCode,appointmentDate,bookingDate,slotFromTime,slotToTime,regCenter,contactInfo)"
</t>
  </si>
  <si>
    <t>TC-MOSIP-11719-02</t>
  </si>
  <si>
    <t>Validation of status of the application in the db - Pending Appointment.</t>
  </si>
  <si>
    <t>1. Login to Pre reg.
 2. Create an application with "Pending Appointment" status.
 3. Check the status of the application in the below tables in db:
 prereg.applications
 prereg.applicant_demographic
 (Pre-reg id, bookingType,statusCode,appointmentDate,bookingDate,slotFromTime,slotToTime,regCenter,contactInfo)</t>
  </si>
  <si>
    <t>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DRAFT for Pending appointment applications and the booking related fields should be null.(bookingType,statusCode,appointmentDate,bookingDate,slotFromTime,slotToTime,regCenter,contactInfo)</t>
  </si>
  <si>
    <t>TC-MOSIP-11719-03</t>
  </si>
  <si>
    <t>Validation of status of the application in the db - Booked.</t>
  </si>
  <si>
    <t>1. Login to Pre reg.
 2. Create an application with "Booked Appointment" status.
 3. Check the status of the application in the below tables in db:
 prereg.applications
 prereg.applicant_demographic
 (Pre-reg id, bookingType,statusCode,appointmentDate,bookingDate,slotFromTime,slotToTime,regCenter,contactInfo)</t>
  </si>
  <si>
    <t>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SUBMITTED for Booked appointment applications and the booking related fields should be filled with the correct data as per the UI.(bookingType,statusCode,appointmentDate,bookingDate,slotFromTime,slotToTime,regCenter,contactInfo)</t>
  </si>
  <si>
    <t>TC-MOSIP-11719-04</t>
  </si>
  <si>
    <t>Validation of status of the application in the db - Cancelled.</t>
  </si>
  <si>
    <t>1. Login to Pre reg.
 2. Create an application with "Cancelled" status.
 3. Check the status of the application in the below tables in db:
 prereg.applications
 prereg.applicant_demographic
 (Pre-reg id, bookingType,statusCode,appointmentDate,bookingDate,slotFromTime,slotToTime,regCenter,contactInfo)</t>
  </si>
  <si>
    <t>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SUBMITTED for Cancelled applications and the booking related fields should be null.(bookingType,statusCode,appointmentDate,bookingDate,slotFromTime,slotToTime,regCenter,contactInfo)</t>
  </si>
  <si>
    <t>TC-MOSIP-11719-05</t>
  </si>
  <si>
    <t>Validation of status of the application in the db - Expired.</t>
  </si>
  <si>
    <t>1. Login to Pre reg.
 2. Create an application with "Expired" status.
 3. Check the status of the application in the below tables in db:
 prereg.applications
 prereg.applicant_demographic
 (Pre-reg id, bookingType,statusCode,appointmentDate,bookingDate,slotFromTime,slotToTime,regCenter,contactInfo)</t>
  </si>
  <si>
    <t>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SUBMITTED for Expired applications and the booking related fields should be filled with the correct data as per the UI.(bookingType,statusCode,appointmentDate,bookingDate,slotFromTime,slotToTime,regCenter,contactInfo)</t>
  </si>
  <si>
    <t>TC-MOSIP-11719-06</t>
  </si>
  <si>
    <t>Validation of status of the application in the db - Discarded.</t>
  </si>
  <si>
    <t>1. Login to Pre reg.
 2. Create an application and discard it.
 3. Check the status of the application in the below tables in db:
 prereg.applications
 prereg.applicant_demographic
 (Pre-reg id, bookingType,statusCode,appointmentDate,bookingDate,slotFromTime,slotToTime,regCenter,contactInfo)</t>
  </si>
  <si>
    <t>The record with the deleted PRID should be deleted from both the tables prereg.applicant_demographic and prereg.applications.</t>
  </si>
  <si>
    <t>TC-MOSIP-11719-07</t>
  </si>
  <si>
    <t>Validation of status of the application in the db.</t>
  </si>
  <si>
    <t>1. Login to Pre reg.
 2. Create an application with "Prefetched" status.
 3. Check the status of the application in the below tables in db:
 prereg.applications
 prereg.applicant_demographic
 (Pre-reg id, bookingType,statusCode,appointmentDate,bookingDate,slotFromTime,slotToTime,regCenter,contactInfo)</t>
  </si>
  <si>
    <t>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SUBMITTED for Prefetched applications and the booking related fields should be filled with the correct data as per the UI.(bookingType,statusCode,appointmentDate,bookingDate,slotFromTime,slotToTime,regCenter,contactInfo)</t>
  </si>
  <si>
    <t>TC-MOSIP-11719-08</t>
  </si>
  <si>
    <t>Checking the list of appointments for a particular registration center on a specific date using an API.</t>
  </si>
  <si>
    <t>1. Login to Pre reg.
 2. Rebook an appointment.
 3. Check the status of the application in the below tables in db:
 prereg.applications
 prereg.applicant_demographic
 (Pre-reg id, bookingType,statusCode,appointmentDate,bookingDate,slotFromTime,slotToTime,regCenter,contactInfo)</t>
  </si>
  <si>
    <t>The tables prereg.applications should be updated with the same details as in the Pre reg UI.
 Rebooking an appointment should ideally not add any new row in the table, it should update the details in the same row.
 The status code should match the UI for each PRID.
 The application status code should be in SUBMITTED for Prefetched applications and the booking related fields should be filled with the correct data as per the UI.(bookingType,statusCode,appointmentDate,bookingDate,slotFromTime,slotToTime,regCenter,contactInfo)</t>
  </si>
  <si>
    <t>TC-MOSIP-11719-09</t>
  </si>
  <si>
    <t>Query the list of appointments for a regCenter for a date calling the below API:
 https://qa-double-rc2.mosip.net/preregistration/v1/applications/appointment/slots/availability/10002</t>
  </si>
  <si>
    <t>The API should respond with all the appointments available for the selected date and the selected reg Center.</t>
  </si>
  <si>
    <t>TC-MOSIP-11719-10</t>
  </si>
  <si>
    <t>GET MAPPING ---&gt; https://env.mosip.net/preregistration/v1/applications/status/info/{applicationId}</t>
  </si>
  <si>
    <t>[Fetch booking status for application id]</t>
  </si>
  <si>
    <t>TC-MOSIP-11719-11</t>
  </si>
  <si>
    <t>GET MAPPING ---&gt; https://env.mosip.net/preregistration/v1/applications/appointment/info/{regCenterId}?appointmentDate = date</t>
  </si>
  <si>
    <t>[Fetches a list of application for a registrationCenterId on a given appointmentDate]</t>
  </si>
  <si>
    <t>TC-MOSIP-11719-12</t>
  </si>
  <si>
    <t>GET MAPPING ---&gt; https://env.mosip.net/preregistration/v1/applications/appointment/slots/availability/{registrationCenterId}</t>
  </si>
  <si>
    <t>[Fetches slots for a n registrationCenterId]</t>
  </si>
  <si>
    <t>TC-MOSIP-11719-13</t>
  </si>
  <si>
    <t>GET MAPPING ---&gt;https://env.mosip.net/preregistration/v1/applications/appointment/{preRegistrationId}</t>
  </si>
  <si>
    <t>[Fetch appointment details for a preRegistrationId]</t>
  </si>
  <si>
    <t>TC-MOSIP-11719-14</t>
  </si>
  <si>
    <t>PUT MAPPING ---&gt;https://env.mosip.net/preregistration/v1/applications/appointment/{preRegistrationId}</t>
  </si>
  <si>
    <t>[Cancel an appointment for a preRegistrationId]</t>
  </si>
  <si>
    <t>TC-MOSIP-11719-15</t>
  </si>
  <si>
    <t>POST MAPPING ---&gt; https://env.mosip.net/preregistration/v1/applications/appointment/{preRegistrationId}</t>
  </si>
  <si>
    <t>[book an appointment for a preRegistrationId,, will have a request body containing booking details] NOTE : not used in the UI]</t>
  </si>
  <si>
    <t>TC-MOSIP-11719-16</t>
  </si>
  <si>
    <t>DELETE MAPPING ----&gt; https://env.mosip.net/preregistration/v1/applications/appointment?preRegistrationId=id</t>
  </si>
  <si>
    <t>[Delete booking for an preRegistrationId]</t>
  </si>
  <si>
    <t>TC-MOSIP-11719-17</t>
  </si>
  <si>
    <t>POST MAPPING ---&gt; https://env.mosip.net/preregistration/v1/applications/appointment</t>
  </si>
  <si>
    <t>[multi booking url : booking for list for preRegistrationId , will have a request body containing booking details]</t>
  </si>
  <si>
    <t>MOSIP-17076</t>
  </si>
  <si>
    <t>Pre-registration - Anonymous Profiling Support</t>
  </si>
  <si>
    <t>TC-MOSIP-17076-01</t>
  </si>
  <si>
    <t>Anonymous Profiling for Incomplete application status.</t>
  </si>
  <si>
    <t>1. Login to Pre reg.
 2. Create new application by entering the demographic details page.
 3. Do not upload any files.
 4. Check the record entry in prereg.anonymous_profile table under mosip_prereg.</t>
  </si>
  <si>
    <t>There should be no entry in the prereg.anonymous_profile table.</t>
  </si>
  <si>
    <t>TC-MOSIP-17076-02</t>
  </si>
  <si>
    <t>Anonymous Profiling for Pending application status.</t>
  </si>
  <si>
    <t>1. Login to Pre reg.
 2. Create new application by entering the demographic details page.
 3. Upload the files.
 4. Check the record entry in prereg.anonymous_profile table under mosip_prereg.</t>
  </si>
  <si>
    <t>TC-MOSIP-17076-03</t>
  </si>
  <si>
    <t>Anonymous Profiling for Booked appointment status.</t>
  </si>
  <si>
    <t>1. Login to Pre reg.
 2. Create new application by entering the demographic details page.
 3. Upload the files.
 4. Book the appointment.
 5. Check the record entry in prereg.anonymous_profile table under mosip_prereg.</t>
  </si>
  <si>
    <t>There should be an entry in the prereg.anonymous_profile table.
 The json file should not be capturing any personal data about any person(DOB/phone number/email). 
 The json file should display the values only for the fields present in the UI spec, rest should be displayed blank.
 center id and status</t>
  </si>
  <si>
    <t>TC-MOSIP-17076-04</t>
  </si>
  <si>
    <t>Anonymous Profiling for Rebooked appointment status.</t>
  </si>
  <si>
    <t>1. Login to Pre reg.
 2. Choose a booked application
 3. Rebook an appointment.
 4. Check the record entry in prereg.anonymous_profile table under mosip_prereg.</t>
  </si>
  <si>
    <t>There should be no update to the entry in the prereg.anonymous_profile table for the rebooking action.
 There should be no additional entry for the re booking.</t>
  </si>
  <si>
    <t>TC-MOSIP-17076-05</t>
  </si>
  <si>
    <t>Anonymous Profiling for Cancelled appointments.</t>
  </si>
  <si>
    <t>1. Login to Pre reg.
 2. Create new application by entering the demographic details page.
 3. Upload the files.
 4. Book the appointment and cancel the appointment.
 5. Check the record entry in prereg.anonymous_profile table under mosip_prereg.</t>
  </si>
  <si>
    <t>There should be no update to the entry in the prereg.anonymous_profile table for the cancel action.</t>
  </si>
  <si>
    <t>TC-MOSIP-17076-06</t>
  </si>
  <si>
    <t>Anonymous Profiling for Expired appointment status.</t>
  </si>
  <si>
    <t>1. Login to Pre reg.
 2. Create new application by entering the demographic details page.
 3. Upload the files.
 4. Book the appointment and let the appointment expire.
 5. Check the record entry in prereg.anonymous_profile table under mosip_prereg.</t>
  </si>
  <si>
    <t>TC-MOSIP-17076-07</t>
  </si>
  <si>
    <t>Anonymous Profiling for different gender.</t>
  </si>
  <si>
    <t>1. Login to Pre reg.
 2. Create new application by entering the demographic details page.(Gender= Male/Female/Others.
 3. Upload the files.
 4. Book the appointment.
 5. Check the record entry in prereg.anonymous_profile table under mosip_prereg.</t>
  </si>
  <si>
    <t>There should be an entry in the prereg.anonymous_profile table.
 The json file should display the code for the gender as entered by the user in the demographic details page.</t>
  </si>
  <si>
    <t>TC-MOSIP-17076-08</t>
  </si>
  <si>
    <t>Anonymous Profiling for documents uploaded.</t>
  </si>
  <si>
    <t>1. Login to Pre reg.
 2. Create new application by entering the demographic details page.
 3. Upload the files.(pdf/jpeg/png format)
 4. Book the appointment.
 5. Check the record entry in prereg.anonymous_profile table under mosip_prereg.</t>
  </si>
  <si>
    <t>There should be an entry in the prereg.anonymous_profile table.
 The json file should display the code for the documents as entered by the user in the demographic details page.</t>
  </si>
  <si>
    <t>TC-MOSIP-17076-09</t>
  </si>
  <si>
    <t>Anonymous Profiling for Prefetched status.</t>
  </si>
  <si>
    <t>1. Login to Pre reg.
 2. Create new application by entering the demographic details page.
 3. Upload the files.- Pending status
 4. Perform on demand fetch in Reg client and consume the application.
 5. Check the record entry in prereg.anonymous_profile table under mosip_prereg.</t>
  </si>
  <si>
    <t>There should be an entry in the prereg.anonymous_profile table.
 The json file should display the Enrollment center id as per the consumed reg center.
 The status of the application in Pre reg should be changed to Prefetched.
 The prefetched applications should be locked without letting the user edit it.</t>
  </si>
  <si>
    <t>TC-MOSIP-17076-10</t>
  </si>
  <si>
    <t>1. Login to Pre reg.
 2. Create new application by entering the demographic details page.
 3. Do not upload the files.- incomplete status
 4. Perform on demand fetch in Reg client, upload the documents and consume the application.
 5. Check the record entry in prereg.anonymous_profile table under mosip_prereg.</t>
  </si>
  <si>
    <t>There should be an entry in the prereg.anonymous_profile table.
 The json file should display the Enrollment center id as per the consumed reg center.
 The status of the application in Pre reg should be changed to Prefetched.
 The prefetched applications should be locked without letting the user edit it.
 There should be no option to book an appointment for this application.</t>
  </si>
  <si>
    <t>TC-MOSIP-17076-11</t>
  </si>
  <si>
    <t>1. Login to Pre reg.
 2. Create new application by entering the demographic details page.
 3. Do upload the files.
 4. Perform on demand fetch in Reg client and do not consume the application.Ex: reg client crash.
 5. Check the record entry in prereg.anonymous_profile table under mosip_prereg.</t>
  </si>
  <si>
    <t>MOSIP-17641</t>
  </si>
  <si>
    <t>Cancel Notification</t>
  </si>
  <si>
    <t>TC-MOSIP-17641-01</t>
  </si>
  <si>
    <t>Cancellation for booked appointments</t>
  </si>
  <si>
    <t>1. Login to Pre reg.
 2. Navigate to Your applications page.
 3. Choose an application with the booked status and click on the trash icon.
 4. Choose to cancel the appointment and save the details.
 5. Hit yes to confirm for cancellation.</t>
  </si>
  <si>
    <t>The appointment for the particular application should get cancelled.
 The cancel notification should be emailed/SMS to the entered email id and phone number in the demographic details page.
 The status of the application in "your applications" should be "Cancelled" with blank for booking date.
 The particular slot should be available/unblocked for booking.</t>
  </si>
  <si>
    <t>SMS notification is not working(infra structure is not equipped)</t>
  </si>
  <si>
    <t>TC-MOSIP-17641-02</t>
  </si>
  <si>
    <t>1. Login to Pre reg.
 2. Navigate to Your applications page.
 3. Choose an application with the booked status and click on the trash icon.
 4. Choose to cancel the appointment and save the details.
 5. Hit no to confirm for cancellation.</t>
  </si>
  <si>
    <t>The appointment for the particular application should not get cancelled.</t>
  </si>
  <si>
    <t>TC-MOSIP-17641-03</t>
  </si>
  <si>
    <t>Cancellation notification</t>
  </si>
  <si>
    <t>Verify the notification for the appointment cancellation.</t>
  </si>
  <si>
    <t>The notification mail should be triggered for the applicant using phone number as well as entered email id.
 The notification should mention the below details:
 1. The date of cancellation
 2. Applicant name
 4. The date and slot of the appointment.</t>
  </si>
  <si>
    <t>TC-MOSIP-17641-04</t>
  </si>
  <si>
    <t>Cancellation for pending appointment status</t>
  </si>
  <si>
    <t>1. Login to Pre reg.
 2. Navigate to Your applications page.
 3. Choose an application with the pending status and click on the trash icon.
 4. Choose to cancel the appointment and save the details.</t>
  </si>
  <si>
    <t>Cancel the appointment and save the details should be greyed out.</t>
  </si>
  <si>
    <t>TC-MOSIP-17641-05</t>
  </si>
  <si>
    <t>Cancellation for incomplete application status</t>
  </si>
  <si>
    <t>1. Login to Pre reg.
 2. Navigate to Your applications page.
 3. Choose an application with the incomplete application status and click on the trash icon.
 4. Choose to cancel the appointment and save the details.</t>
  </si>
  <si>
    <t>TC-MOSIP-17641-06</t>
  </si>
  <si>
    <t>Cancellation for cancelled application status</t>
  </si>
  <si>
    <t>1. Login to Pre reg.
 2. Navigate to Your applications page.
 3. Choose an application with the cancelled status and click on the trash icon.
 4. Choose to cancel the appointment and save the details.</t>
  </si>
  <si>
    <t>TC-MOSIP-17641-07</t>
  </si>
  <si>
    <t>Cancellation for Prefetched status</t>
  </si>
  <si>
    <t>1. Login to Pre reg.
 2. Navigate to Your applications page.
 3. Choose an application with the prefetched status and click on the trash icon.
 4. Choose to cancel the appointment and save the details.</t>
  </si>
  <si>
    <t>TC-MOSIP-17641-08</t>
  </si>
  <si>
    <t>Cancellation for expired status</t>
  </si>
  <si>
    <t>1. Login to Pre reg.
 2. Navigate to Your applications page.
 3. Choose an application with the expired status and click on the trash icon.</t>
  </si>
  <si>
    <t>There should be no trash icon for expired applications.</t>
  </si>
  <si>
    <t>MOSIP-10946</t>
  </si>
  <si>
    <t>Fetch the Applicant Type based on MVEL expression under mosip-config</t>
  </si>
  <si>
    <t>Pre Registration_Document_1</t>
  </si>
  <si>
    <t>Document Upload - Adult_Foreigner</t>
  </si>
  <si>
    <t>To verfiy the document category shown to be uploaded on document page for Adult_foreigner</t>
  </si>
  <si>
    <t>The user should get the number of document mapped with applicant type and user should be able to uplaod the doc and proceed further</t>
  </si>
  <si>
    <t>Pre Registration_Document_2</t>
  </si>
  <si>
    <t>Document Upload - Adult_Non-Foreigner</t>
  </si>
  <si>
    <t>To verfiy the document category shown to be uploaded on document page for Adult_NonForeigner</t>
  </si>
  <si>
    <t>Pre Registration_Document_3</t>
  </si>
  <si>
    <t>Document Upload - Minor_Foreigner</t>
  </si>
  <si>
    <t>To verfiy the document category shown to be uploaded on document page for Minor_foreigner</t>
  </si>
  <si>
    <t>Pre Registration_Document_4</t>
  </si>
  <si>
    <t>Document Upload - Minor_Non-Foreigner</t>
  </si>
  <si>
    <t>To verfiy the document category shown to be uploaded on document page for Minor_Non-foreigner</t>
  </si>
  <si>
    <t>MOSIP_10807</t>
  </si>
  <si>
    <t>Pre Reg UI should not call masterdata directly , it should be through proxy</t>
  </si>
  <si>
    <t>Pre Registration_API_01</t>
  </si>
  <si>
    <t>API_Pre-Registration</t>
  </si>
  <si>
    <t>[MOSIP-10807]To verify the all API call made through Pre-reg to fetch Masterdata as gender and others should be proxy not direct</t>
  </si>
  <si>
    <r>
      <rPr>
        <rFont val="Calibri"/>
        <color rgb="FF000000"/>
        <sz val="11.0"/>
      </rPr>
      <t xml:space="preserve">The API should made as proxy through a proxy as below 
 </t>
    </r>
    <r>
      <rPr>
        <rFont val="Calibri"/>
        <color rgb="FF1155CC"/>
        <sz val="11.0"/>
        <u/>
      </rPr>
      <t>http://domain-name/preregistration/v1/proxy/masterdata/registrationcenters/eng/5/names?name=14022</t>
    </r>
    <r>
      <rPr>
        <rFont val="Calibri"/>
        <color rgb="FF000000"/>
        <sz val="11.0"/>
      </rPr>
      <t xml:space="preserve">,
 </t>
    </r>
    <r>
      <rPr>
        <rFont val="Calibri"/>
        <color rgb="FF1155CC"/>
        <sz val="11.0"/>
        <u/>
      </rPr>
      <t>http://domain-name/preregistration/v1/proxy/masterdata/gentertypes</t>
    </r>
    <r>
      <rPr>
        <rFont val="Calibri"/>
        <color rgb="FF000000"/>
        <sz val="11.0"/>
      </rPr>
      <t xml:space="preserve">
 currently the request URL is 
 </t>
    </r>
    <r>
      <rPr>
        <rFont val="Calibri"/>
        <color rgb="FF1155CC"/>
        <sz val="11.0"/>
        <u/>
      </rPr>
      <t>https://qa3.mosip.net/v1/masterdata/gendertypes</t>
    </r>
  </si>
  <si>
    <t>Pre Registration_API_02</t>
  </si>
  <si>
    <r>
      <rPr>
        <rFont val="Calibri"/>
        <color rgb="FF000000"/>
        <sz val="11.0"/>
      </rPr>
      <t xml:space="preserve">To verify the API call for individualType to be changed from https://qa3.mosip.net/v1/masterdata/individualtypes to </t>
    </r>
    <r>
      <rPr>
        <rFont val="Calibri"/>
        <color rgb="FF1155CC"/>
        <sz val="11.0"/>
        <u/>
      </rPr>
      <t>http://domain-name/preregistration/v1/proxy/masterdata/individualtypes</t>
    </r>
    <r>
      <rPr>
        <rFont val="Calibri"/>
        <color rgb="FF000000"/>
        <sz val="11.0"/>
      </rPr>
      <t xml:space="preserve"> under Demographic page
 Preview page</t>
    </r>
  </si>
  <si>
    <t>The API should made as proxy through a proxy as
 http://domain-name/preregistration/v1/proxy/masterdata/individualtypes</t>
  </si>
  <si>
    <t>Pre Registration_API_04</t>
  </si>
  <si>
    <r>
      <rPr>
        <rFont val="Calibri"/>
        <color rgb="FF000000"/>
        <sz val="11.0"/>
      </rPr>
      <t xml:space="preserve">To verify the API call for gendertypes to be changed from https://qa3.mosip.net/v1/masterdata/dynamicfields?langCode=eng to </t>
    </r>
    <r>
      <rPr>
        <rFont val="Calibri"/>
        <color rgb="FF1155CC"/>
        <sz val="11.0"/>
        <u/>
      </rPr>
      <t>http://domain-name/preregistration/v1/proxy/masterdata/dynamicfields?langCode=eng</t>
    </r>
    <r>
      <rPr>
        <rFont val="Calibri"/>
        <color rgb="FF000000"/>
        <sz val="11.0"/>
      </rPr>
      <t xml:space="preserve">
 Demographic page
 Preview page</t>
    </r>
  </si>
  <si>
    <t>The API should made as proxy through a proxy as
 http://domain-name/preregistration/v1/proxy/masterdata/dynamicfields?langCode=eng</t>
  </si>
  <si>
    <t>Pre Registration_API_05</t>
  </si>
  <si>
    <t>To verify the API for location</t>
  </si>
  <si>
    <t>The API should be made as proxy 
 from : https://qa3.mosip.net/v1/masterdata/locations/immediatechildren/100/eng
 to http://domain-name/preregistration/v1/proxy/masterdata/locations/immediatechildren/100/eng</t>
  </si>
  <si>
    <t>Pre Registration_API_06</t>
  </si>
  <si>
    <t>To verify the API for location getApplicantType
 Demographic page
 Preview page</t>
  </si>
  <si>
    <t>The API should be made as proxy 
 from : https://qa3.mosip.net/v1/masterdata/locations/immediatechildren/100/eng
 to http://domain-name/preregistration/v1/proxy/masterdata/getApplicantType</t>
  </si>
  <si>
    <t>Pre Registration_API_07</t>
  </si>
  <si>
    <t>To verify the API for registrationcenters under Book Appointment page
 Booking slot Page
 Acknowledgment page</t>
  </si>
  <si>
    <t>The API should be made as proxy 
 from : https://qa3.mosip.net/v1/masterdata/registrationcenters/eng/3/names?name=Batangas%20City%20(Capital)
 to http://domain-name/preregistration/v1/proxy/masterdata/registrationcenters/eng/3/names?name=Batangas%20City%20(Capital)</t>
  </si>
  <si>
    <t>Pre Registration_API_08</t>
  </si>
  <si>
    <t>To verify the API for workingday under Book Appointment page</t>
  </si>
  <si>
    <t>The API should be made as proxy 
 from : https://qa3.mosip.net/v1/masterdata/workingdays/10020/eng
 to http://domain-name/preregistration/v1/proxyhttps://qa3.mosip.net/v1/masterdata/workingdays/10020/eng</t>
  </si>
  <si>
    <t>Pre Registration_API_09</t>
  </si>
  <si>
    <t>To verify the API for template under acknowledgment page</t>
  </si>
  <si>
    <t>The API should be made as proxy 
 from : https://qa3.mosip.net/v1/masterdata/templates/eng/Onscreen-Acknowledgement
 to http://domain-name/preregistration/v1/proxyhttps://qa3.mosip.net/v1/masterdata/templates/eng/Onscreen-Acknowledgement</t>
  </si>
  <si>
    <t>MOSIP-10812</t>
  </si>
  <si>
    <t>Pre Reg UI Schema to be read from Spring config server</t>
  </si>
  <si>
    <t>Pre Registration_Demographic_1</t>
  </si>
  <si>
    <t>Pre-Reg Changes</t>
  </si>
  <si>
    <t>To verify the change made in prereg json to appear in UI</t>
  </si>
  <si>
    <t>The user should be able to see the changes Pre-reg UI screen</t>
  </si>
  <si>
    <t>MOSIP-10951</t>
  </si>
  <si>
    <t>Encryption of Pre-registration data during data sync with Reg Client</t>
  </si>
  <si>
    <t>Pre Registration_API_1</t>
  </si>
  <si>
    <t>Encryption of Pre-registration data</t>
  </si>
  <si>
    <t>To verify the encryption of data to get when data sync api is executed</t>
  </si>
  <si>
    <t>The response should be received in encrypted format.</t>
  </si>
  <si>
    <t>Pre Registration_API_2</t>
  </si>
  <si>
    <t>To verifythe data to be populated after the dats is reterived using PRID in regclient</t>
  </si>
  <si>
    <t>All the data filled under the pre-rge should be properly render under Regclient</t>
  </si>
  <si>
    <t>MOSIP-10958</t>
  </si>
  <si>
    <t>Pre Reg UI Specs - Having multiple address locations. Multiple hierarchy support</t>
  </si>
  <si>
    <t>Pre Registration_Demographic page_1</t>
  </si>
  <si>
    <t>Demographic page</t>
  </si>
  <si>
    <t>To verify that UI schema should have multiple address support</t>
  </si>
  <si>
    <t>The user should able to add multiple address in UI schema and that should be populated in pre registration demographic UI page</t>
  </si>
  <si>
    <t>Pre Registration_Demographic page_2</t>
  </si>
  <si>
    <t>To verify that UI schema should have multiple hierarchy support</t>
  </si>
  <si>
    <t>The user should be allowed to add the hierarchy as per the wish as 
 for Place of Birth : Country&gt;&gt; Province&gt;&gt; City
 For temp address&gt;&gt; Country&gt;&gt; Province&gt;&gt; City&gt;&gt; Barangay</t>
  </si>
  <si>
    <t>Pre Registration_Demographic page_3</t>
  </si>
  <si>
    <t>To verify that user should be able to add same address with in the country in permanent and present address</t>
  </si>
  <si>
    <t>The user should able to add same address with in the country in a permanent and present address</t>
  </si>
  <si>
    <t>Pre Registration_Demographic page_4</t>
  </si>
  <si>
    <t>To verify that user should be able to add different address with in the country in permanent and present address</t>
  </si>
  <si>
    <t>Pre Registration_Demographic page_5</t>
  </si>
  <si>
    <t>To verify that user should be able to add different address choosing different country in permanent and present address</t>
  </si>
  <si>
    <t>The user should be allowed to add the address for different country</t>
  </si>
  <si>
    <t>Pre Registration_Demographic page_6</t>
  </si>
  <si>
    <t>To verify the behavior by adding POB</t>
  </si>
  <si>
    <t>The should be able to get the details in dropdown and should be able to select the same</t>
  </si>
  <si>
    <t>Pre Registration_Demographic page_7</t>
  </si>
  <si>
    <t>To verify the behavior by adding temporary address with same hirearchy as present address</t>
  </si>
  <si>
    <t>Pre Registration_Demographic page_8</t>
  </si>
  <si>
    <t>To verify POB and Address added should appear in regclient</t>
  </si>
  <si>
    <t>The data filled under pre-reg should appear successfully in regclient.</t>
  </si>
  <si>
    <t>MOSIP-10959</t>
  </si>
  <si>
    <t>Pre Reg UI Specs - Document Number Support</t>
  </si>
  <si>
    <t>Document</t>
  </si>
  <si>
    <t>To add the Document Number textbox under UI Schema with Document Upload</t>
  </si>
  <si>
    <t>The User should be able to add the document Number textbox type with alignment similar to Document Upload</t>
  </si>
  <si>
    <t>To add the Document Number textbox under UI Schema with Document Upload as Mandatory Field</t>
  </si>
  <si>
    <t>The User should be able to add the document Number textbox type with alignment similar to Document Upload and UI should not allow to move ahead incase the field as the field is mandatory</t>
  </si>
  <si>
    <t>To add the Document Number textbox under UI Schema with Document Upload as Non-Mandatory Field</t>
  </si>
  <si>
    <t>The User should leave the document Number textbox type with alignment similar to Document Upload and UI should be allow to move ahead incase the field as the field is non- mandatory</t>
  </si>
  <si>
    <t>To verify that Document number is copied when the document uploaded is copied for other applicant</t>
  </si>
  <si>
    <t>The Document Number should be populated with the doc copied for applicant for POA.</t>
  </si>
  <si>
    <t>Pre Registration_Document_5</t>
  </si>
  <si>
    <t>To verify that Document Number to fetched in regclient when PRID is synced</t>
  </si>
  <si>
    <t>The Document Number should be populated with the doc uploaded in regclient application</t>
  </si>
  <si>
    <t>MOSIP-11080</t>
  </si>
  <si>
    <t>Pre Reg UI Specs - I should have new control types added (Buttons)</t>
  </si>
  <si>
    <t>pre reg_Demo_14</t>
  </si>
  <si>
    <t>To verify that check box and radio buttons are added in UI</t>
  </si>
  <si>
    <t>Check boxes and Buttons should be added in UI .</t>
  </si>
  <si>
    <t>pre reg_Demo_15</t>
  </si>
  <si>
    <t>To verify that check box are used in scenarios where if present and permanent address can be copied if it is same.</t>
  </si>
  <si>
    <t>If present and permanent address of a resident is same ,he should be able to copy present to permanent address on check-in the check box or vice versa.</t>
  </si>
  <si>
    <t>pre reg_Demo_16</t>
  </si>
  <si>
    <t>To verify the radio buttons are added to make selection.(gender)</t>
  </si>
  <si>
    <t>Radio buttons should be added to avail user for selection</t>
  </si>
  <si>
    <t>pre reg_Demo_17</t>
  </si>
  <si>
    <t>Verify the functionality of check box by selecting the multiple check box.</t>
  </si>
  <si>
    <t>On selecting multiple check box as per bussiness scenario ,he should be able to move ahead or Should work as expected.</t>
  </si>
  <si>
    <t>pre reg_Demo_18</t>
  </si>
  <si>
    <t>Verify the functionality of check box by selecting the single check box.</t>
  </si>
  <si>
    <t>pre reg_Demo_19</t>
  </si>
  <si>
    <t>Verify the functionality of check box without selecting the any check box.</t>
  </si>
  <si>
    <t>Should work as Expected.</t>
  </si>
  <si>
    <t>MOSIP-9961</t>
  </si>
  <si>
    <t>Pre Reg - Remove Keycloak user db and Keycloak SDK</t>
  </si>
  <si>
    <t>Registration Client_Login_01</t>
  </si>
  <si>
    <t>Smoke</t>
  </si>
  <si>
    <t>To verify the user scetion after First attempt of login in pre-reg</t>
  </si>
  <si>
    <t>No value should be saved inside the user section under pre-reg in keycloak after first login</t>
  </si>
  <si>
    <t>Verify from where the issuer call is coming</t>
  </si>
  <si>
    <t>The issuer should not be from Keycloak and come from OTP transaction table</t>
  </si>
  <si>
    <t>verify that where the email and OTP is saved in OTP Trnsaction table</t>
  </si>
  <si>
    <t>There should be a specified column from where the data is saved</t>
  </si>
  <si>
    <t>MOSIP-10847</t>
  </si>
  <si>
    <t>Pre Reg UI Specs - I should be able to conditionally show or hide the UI fields</t>
  </si>
  <si>
    <t>TC-MOSIP-10847- 01</t>
  </si>
  <si>
    <t>To verify that fields of pre registration are customized based on the type of user registering.</t>
  </si>
  <si>
    <t>Fields of pre registration should be customized based on the type of user registering.</t>
  </si>
  <si>
    <t>TC-MOSIP-10847- 02</t>
  </si>
  <si>
    <t>To verify that registration fields are displayed based on the selected resident type.</t>
  </si>
  <si>
    <t>Registration fields should be displayed based on the selected resident type.</t>
  </si>
  <si>
    <t>TC-MOSIP-10847- 04</t>
  </si>
  <si>
    <t>To verify that if the age of a resident is 5 years or less than that should be considered as child and must be asked to fillin proof of relation field (parent or guardian)</t>
  </si>
  <si>
    <t>It should display a cutomized fields based on the resident age</t>
  </si>
  <si>
    <t>TC-MOSIP-10847- 05</t>
  </si>
  <si>
    <t>To verify that if the age of resident is 0 or less than that should throw an appropriate error message "Enter valid DOB".</t>
  </si>
  <si>
    <t>Should throw an error message</t>
  </si>
  <si>
    <t>TC-MOSIP-10847- 06</t>
  </si>
  <si>
    <t>To verify that if the age of the resident is more than 150 must show the error message as "Invalid DOB"</t>
  </si>
  <si>
    <t>MOSIP-11297</t>
  </si>
  <si>
    <t>As a Pre-Registration user, I should have the pagination option in the UI for list of registration centers.</t>
  </si>
  <si>
    <t>TC_MOSIP-11297-01</t>
  </si>
  <si>
    <t>Book appointment</t>
  </si>
  <si>
    <t>To verify that if we search with country you should be able to see the count of registration center.</t>
  </si>
  <si>
    <t>The user should be able to view the centers based on location selected.</t>
  </si>
  <si>
    <t>TC_MOSIP-11297-02</t>
  </si>
  <si>
    <t>To verify that on selecting the location one should be able to see a pagination ,number of centers per page we select.</t>
  </si>
  <si>
    <t>To validate that on selecting the location one should be able to see a pagination ,number of centers per page we select. And check if all centers are displayed based on our selection.</t>
  </si>
  <si>
    <t>TC_MOSIP-11297-03</t>
  </si>
  <si>
    <t>To verify that one can navigate to different records and should be able to choose records per page.</t>
  </si>
  <si>
    <t>User should be able to navigate to different pages as per his convinience and should as be able to choose records per page.</t>
  </si>
  <si>
    <t>TC_MOSIP-11297-04</t>
  </si>
  <si>
    <t>To verify that previous page is disabled if we are in second page.</t>
  </si>
  <si>
    <t>Other than the current page all other pages opened previous should be disabled.</t>
  </si>
  <si>
    <t>TC_MOSIP-11297-05</t>
  </si>
  <si>
    <t>To verify that the user must not be able to select two centers at a time.</t>
  </si>
  <si>
    <t>User should not be allowed to choose two registration center at a time.</t>
  </si>
  <si>
    <t>TC_MOSIP-11297-06</t>
  </si>
  <si>
    <t>To verify that all data is fetched when PRID is synced to reg client</t>
  </si>
  <si>
    <t>All data of User should be fetched when PRID is synced in reg client.</t>
  </si>
  <si>
    <t>MOSIP-11299</t>
  </si>
  <si>
    <t>As a Pre-Registration user, I should have location names instead of location codes in Preview page</t>
  </si>
  <si>
    <t>TC_MOSIP-11299-01</t>
  </si>
  <si>
    <t>preview page</t>
  </si>
  <si>
    <t>To verify that preview page displays the location names .</t>
  </si>
  <si>
    <t>Preview page should display the location names as per the selected.</t>
  </si>
  <si>
    <t>TC_MOSIP-11299-02</t>
  </si>
  <si>
    <t>To verify that location codes are not displayed in the preview page.</t>
  </si>
  <si>
    <t>Location codes should not be displayed in the preview page rather it should display respective location names.</t>
  </si>
  <si>
    <t>TC_MOSIP-11299-03</t>
  </si>
  <si>
    <t>To verify that the displayed locations in preview page are same that of selected locations in the dropdown while creation.</t>
  </si>
  <si>
    <t>The displayed locations in preview page should be same as that of selected locations in the dropdown in demographic page.</t>
  </si>
  <si>
    <t>TC_MOSIP-11299-04</t>
  </si>
  <si>
    <t>To verify that location names are displayed in sequence to that of sequence in demographic page.</t>
  </si>
  <si>
    <t>Location names should be displayed in sequence to that of sequence in demographic page or as per location hierarchy.</t>
  </si>
  <si>
    <t>TC_MOSIP-11299-05</t>
  </si>
  <si>
    <t>To verify that any modication or changes made are updated and are reflected same in preview page.</t>
  </si>
  <si>
    <t>Any modication or changes made should be updated and must reflect same in preview page.</t>
  </si>
  <si>
    <t>TC_MOSIP-11299-06</t>
  </si>
  <si>
    <t>To verify that same location names are fetched in regclient when PRID is synced</t>
  </si>
  <si>
    <t>Same location names need to be fetched in regclient when PRID is synced .</t>
  </si>
  <si>
    <t>MOSIP-11300</t>
  </si>
  <si>
    <t xml:space="preserve">As a Pre-Registration user, I should have the correct ordering of location hierarchy in drop down while booking an appointment </t>
  </si>
  <si>
    <t>TC_MOSIP-11300-01</t>
  </si>
  <si>
    <t>book appointment</t>
  </si>
  <si>
    <t>To verify that book appointment page UI should display location hierarchy in correct order</t>
  </si>
  <si>
    <t>Book appointment page UI should display location hierarchy in correct order(ex:World&gt;&gt;country&gt;&gt;province&gt;&gt;city&gt;&gt;barangey&gt;&gt;postal code.)</t>
  </si>
  <si>
    <t>TC_MOSIP-11300-02</t>
  </si>
  <si>
    <t>To verify that registration centers are display with respect to the location selected from the drop down</t>
  </si>
  <si>
    <t>Registration centers should be displayed with respect to the location selected from the drop down.</t>
  </si>
  <si>
    <t>TC_MOSIP-11300-03</t>
  </si>
  <si>
    <t>To verify that all registration center which are mapped are shown as an option when user select particular location.</t>
  </si>
  <si>
    <t>Registration center which are mapped should be shown as an option when user selects particular location.</t>
  </si>
  <si>
    <t>TC_MOSIP-11300-04</t>
  </si>
  <si>
    <t>To verify that changes are reflected when the user modifies his data.</t>
  </si>
  <si>
    <t>Any Changes made should get reflected when the user modifies his data.</t>
  </si>
  <si>
    <t>TC_MOSIP-11300-05</t>
  </si>
  <si>
    <t>To verify that registration centers mapped to the location should be displayed correctly after the changes.</t>
  </si>
  <si>
    <t>Registration centers mapped to the location should be displayed correctly even after making changes.</t>
  </si>
  <si>
    <t>TC_MOSIP-11300-06</t>
  </si>
  <si>
    <t>To verify that the location hierarchy levels are not shown after selecting a location( ex: if city is choosen it shouldn't ask user to enter postal code)</t>
  </si>
  <si>
    <t>The location hierarchy levels should not be shown after selecting a particular location.</t>
  </si>
  <si>
    <t>TC_MOSIP-11300-07</t>
  </si>
  <si>
    <t>To verify that all details of user are fetched in regclient when PRID is synced</t>
  </si>
  <si>
    <t>All details of user should be fetched in regclient when PRID is synced.</t>
  </si>
  <si>
    <t>MOSIP-11496</t>
  </si>
  <si>
    <t>Create a new GitHub repo Pre-Registration UI</t>
  </si>
  <si>
    <t>TC_MOSIP-11496-01</t>
  </si>
  <si>
    <t>Verify from Git Hub</t>
  </si>
  <si>
    <t>To Verify that new GitHub repository is created other than the centralized repository.</t>
  </si>
  <si>
    <t>Their should be separate repository for Pre - Registration UI</t>
  </si>
  <si>
    <t>TC_MOSIP-11496-02</t>
  </si>
  <si>
    <t>To verify that all the active branches are present in the new GitHub repository as of centralized repository.</t>
  </si>
  <si>
    <t>It should include all the active branches as same as centralized repository.</t>
  </si>
  <si>
    <t>TC_MOSIP-11496-03</t>
  </si>
  <si>
    <t>To verify that the cloning of new repository to local system should work correctly.</t>
  </si>
  <si>
    <t>It should work as expected.</t>
  </si>
  <si>
    <t>TC_MOSIP-11496-04</t>
  </si>
  <si>
    <t>To verify that All the code commits are happening in respective repositories.</t>
  </si>
  <si>
    <t>changes made as per the requirement should get reflected in the respective repository.</t>
  </si>
  <si>
    <t>TC_MOSIP-11496-05</t>
  </si>
  <si>
    <t>To verify that pre reg UI is working as expected .</t>
  </si>
  <si>
    <t>Creation of new repository should not affect the current pre reg UI.</t>
  </si>
  <si>
    <t>MOSIP-11659</t>
  </si>
  <si>
    <t xml:space="preserve">Not able to fetch Pre-registration applications , if booking is not done. - booking should be optional </t>
  </si>
  <si>
    <t>Prereg_synch_01</t>
  </si>
  <si>
    <t>Synch up of PRIDs in Reg Client</t>
  </si>
  <si>
    <t>Verify the Synch of the application in the Pending appointment status.</t>
  </si>
  <si>
    <t>The Synch process should not download the applications(PRIDs) in Pending appointment status.</t>
  </si>
  <si>
    <t>Prereg_synch_02</t>
  </si>
  <si>
    <t>Verify the fetching of the data with the Pending appointment status.</t>
  </si>
  <si>
    <t>The on demand fetch should display the application in Pending appointment status irrespective of the centre location.</t>
  </si>
  <si>
    <t>Prereg_synch_03</t>
  </si>
  <si>
    <t>Verify the Synch of the application in the booked appointment status wrt the same center.</t>
  </si>
  <si>
    <t>The Synch process should download and display the applications(PRIDs) in Booked appointment status.</t>
  </si>
  <si>
    <t>Prereg_synch_04</t>
  </si>
  <si>
    <t>Verify the Synch of the application in the booked appointment status wrt the different center.</t>
  </si>
  <si>
    <t>Prereg_synch_05</t>
  </si>
  <si>
    <t>Verify the fetching of the data with the Booked appointment status wrt the same center.</t>
  </si>
  <si>
    <t>The on demand fetch should display the application in Booked appointment status irrespective of the centre location.</t>
  </si>
  <si>
    <t>Prereg_synch_06</t>
  </si>
  <si>
    <t>Verify the fetching of the data with the Booked appointment status wrt the different center.</t>
  </si>
  <si>
    <t>Prereg_synch_07</t>
  </si>
  <si>
    <t>Verify the Synch of the application in the cancelled appointment status.</t>
  </si>
  <si>
    <t>The Synch process should not download and display the applications(PRIDs) in Cancelled appointment status.</t>
  </si>
  <si>
    <t>Prereg_synch_08</t>
  </si>
  <si>
    <t>Verify the fetching of the data with the cancelled appointment status.</t>
  </si>
  <si>
    <t>The on demand fetch should display the application in cancelled status.</t>
  </si>
  <si>
    <t>Prereg_synch_09</t>
  </si>
  <si>
    <t>Verify the Synch of the application in the expired appointment status.</t>
  </si>
  <si>
    <t>The Synch process should not download and display the applications(PRIDs) in Expired appointment status.</t>
  </si>
  <si>
    <t>Prereg_synch_10</t>
  </si>
  <si>
    <t>Verify the fetching of the data with the expired appointment status.</t>
  </si>
  <si>
    <t>The Download process should not download and display the PRIDs(PRIDs) for expired appointment status.</t>
  </si>
  <si>
    <t>MOSIP-13822</t>
  </si>
  <si>
    <t>Implement Captcha Service</t>
  </si>
  <si>
    <t>TC_MOSIP-13822-01</t>
  </si>
  <si>
    <t>Enabling Captcha Service.</t>
  </si>
  <si>
    <t>In the mosip config - &gt; pre-registration-mz.properties:
 Set the mosip.preregistration.captcha.enable=true
 Run the Pre registration services.
 Open the Login page.</t>
  </si>
  <si>
    <t>Captcha should appear with I'm not a robot checkbox.</t>
  </si>
  <si>
    <t>TC_MOSIP-13822-02</t>
  </si>
  <si>
    <t>Disabling Captcha Service.</t>
  </si>
  <si>
    <t>In the mosip config - &gt; pre-registration-mz.properties:
 Set the mosip.preregistration.captcha.enable=false
 Run the Pre registration services.
 Open the Login page.</t>
  </si>
  <si>
    <t>Captcha should not appear.</t>
  </si>
  <si>
    <t>TC_MOSIP-13822-03</t>
  </si>
  <si>
    <t>Captcha Service with phone number as user id.</t>
  </si>
  <si>
    <t>Open the Login page.
 Enter the user id as phone number.
 Do not select the I'm not a robot checkbox.
 Click on send OTP.</t>
  </si>
  <si>
    <t>Send OTP should be disabled.</t>
  </si>
  <si>
    <t>TC_MOSIP-13822-04</t>
  </si>
  <si>
    <t>Captcha Service with email as the user id.</t>
  </si>
  <si>
    <t>Open the Login page.
 Enter the user id as email id.
 Do not select I'm not a robot checkbox.
 Click on send OTP.</t>
  </si>
  <si>
    <t>TC_MOSIP-13822-05</t>
  </si>
  <si>
    <t>Captcha Service with different login language.</t>
  </si>
  <si>
    <t>Open the Login page.
 Change the login language.
 Enter the user id.
 Do not select I'm not a robot checkbox.
 Click on send OTP.</t>
  </si>
  <si>
    <t>TC_MOSIP-13822-06</t>
  </si>
  <si>
    <t>Captcha Service</t>
  </si>
  <si>
    <t>Open the Login page.
 Enter the user id as phone number.
 Select I'm not a robot checkbox/verify puzzle.</t>
  </si>
  <si>
    <t>Send OTP should get enabled.
 Upon entering valid OTP, user should be logged into the system.</t>
  </si>
  <si>
    <t>TC_MOSIP-13822-07</t>
  </si>
  <si>
    <t>Open the Login page.
 Enter the user id as email id.
 Select I'm not a robot checkbox/ verify puzzle.</t>
  </si>
  <si>
    <t>Send OTP should get enabled.
 Upon entering valid OTP user should be logged into the system.</t>
  </si>
  <si>
    <t>TC_MOSIP-13822-08</t>
  </si>
  <si>
    <t>Open the Login page.
 Enter the user id.
 Select Im not a robot check box .
  If puzzle opens up-&gt; Mismatch the puzzle.</t>
  </si>
  <si>
    <t>Repeated puzzle should get displayed wihout letting the user log in. It will behave as designed by google.</t>
  </si>
  <si>
    <t>TC_MOSIP-13822-09</t>
  </si>
  <si>
    <t>Open the Login page.
 Enter the user id.
 Select I'm not a robot checkbox.
 Do not click on Send OTP.(Time verification)</t>
  </si>
  <si>
    <t>"Verification expired, Click the checkbox again" message should be displayed. Message displayed only in English.</t>
  </si>
  <si>
    <t>TC_MOSIP-13822-10</t>
  </si>
  <si>
    <t>Open the Login page.
 Enter the user id.
 Select I'm not a robot checkbox.
 Try to deselect the checkbox.</t>
  </si>
  <si>
    <t>There should be no option to deselect the checkbox.</t>
  </si>
  <si>
    <t>TC_MOSIP-13822-11</t>
  </si>
  <si>
    <t>mosip.preregistration.secret.* property</t>
  </si>
  <si>
    <t>Open the Login page.
 Enter the user id.
 Select I'm not a robot checkbox.
 Right click on the page and click on inspect.
 Click on Application - &gt;Storage -&gt; Local storage -&gt; select the testing environment (Ex:qa2.mosip.net).-&gt;Config</t>
  </si>
  <si>
    <t>mosip.preregistration.secret. Property should not be displayed.
 note: The list of properties passed to the UI are displayed.</t>
  </si>
  <si>
    <t>MOSIP-14056</t>
  </si>
  <si>
    <t>Pre-reg Validation message in the demographic details should be specific.</t>
  </si>
  <si>
    <t>TC-MOSIP-14056-01</t>
  </si>
  <si>
    <t>Validation message for the input fields.</t>
  </si>
  <si>
    <t>1. Modify the ui-spec with the regex validators("errorMessageCode": "UI_1000"). Post and publish the ui-spec.(https://qa-double-rc2.mosip.net/v1/masterdata/swagger-ui/index.html?url=/v1/masterdata/v3/api-docs#/ui-spec-controller/defineUISpec)
 2. Modify the resource bundle file with the error messages.(https://github.com/mosip/artifactory-ref-impl/eng.json or ara.json)
  "UI_VALIDATION_ERROR_CODES": {
  "UI_1000": "Only alphabets are allowed",
  "UI_1001": "Please enter between 3 to 50 characters",
  "UI_1003": "Starting with a character followed by 6 digits and ending with a character",
  "UI_1004": "Enter only 10 digit numbers"
  } 
 3. Restart the artifactory services.
 4. Restart the pre registration ui services.
 5. Login to pre reg.
 6. Click on create new application.
 7. Input the demographic detail fields with the wrong values to get the error messages.</t>
  </si>
  <si>
    <t>Valid error messages should be displayed.</t>
  </si>
  <si>
    <t>TC-MOSIP-14056-02</t>
  </si>
  <si>
    <t>In pre reg, demographic details page, choose a mandatory field.
 Input numbers to the field accepting only characters.
 Configure the UI validator error.</t>
  </si>
  <si>
    <t>"Only alphabets are allowed" message should be displayed. User should not be allowed to continue to the next page if the field is a mandatory field.</t>
  </si>
  <si>
    <t>TC-MOSIP-14056-03</t>
  </si>
  <si>
    <t>In pre reg, demographic details page, choose a non mandatory field.
 Input numbers to the field accepting only characters.
 Configure the UI validator error.</t>
  </si>
  <si>
    <t>"Only alphabets are allowed" message should be displayed. User should be allowed to continue to the next page if the field is a mandatory field.</t>
  </si>
  <si>
    <t>TC-MOSIP-14056-04</t>
  </si>
  <si>
    <t>In pre reg, demographic details page, input large characters than defined in the regex.
 Configure the UI validator error.</t>
  </si>
  <si>
    <t>"Please enter between 3 to 50 characters" should be displayed.</t>
  </si>
  <si>
    <t>TC-MOSIP-14056-05</t>
  </si>
  <si>
    <t>In pre reg, demographic details page, input more than 10 digits/only characters for phone number field as defined in the regex.
 Configure the UI validator error.</t>
  </si>
  <si>
    <t>"Enter only 10 digit numbers" should be displayed.</t>
  </si>
  <si>
    <t>MOSIP-554</t>
  </si>
  <si>
    <t>Login (Captcha during login)</t>
  </si>
  <si>
    <t>MOSIP-554-01</t>
  </si>
  <si>
    <t>Login Captcha</t>
  </si>
  <si>
    <t>Verify the presence of captcha after selecting the Language</t>
  </si>
  <si>
    <t>MOSIP-554-02</t>
  </si>
  <si>
    <t>Verify that the Application should accept only Valid CAPTCHA</t>
  </si>
  <si>
    <t>The user should select a language &gt; Enter a valid email address &gt; Click on the "I'am not a robot" &gt; the captcha is displayed for selection &gt; Select the appropriate boxes &gt; Click on the "SEND OTP" &gt; Enter the OTP and click on SUBMIT.</t>
  </si>
  <si>
    <t>MOSIP-554-03</t>
  </si>
  <si>
    <t>Verify that the CAPTCHA code reusable or Not .</t>
  </si>
  <si>
    <t>The system should throw error while entering the previous captcha image selection boxe pattern.</t>
  </si>
  <si>
    <t>MOSIP-554-04</t>
  </si>
  <si>
    <t>Verify that the CAPTCHA code generate new code once the refresh Button is clicked</t>
  </si>
  <si>
    <t>The new Captcha will be displayed when the refresh button is clicked.</t>
  </si>
  <si>
    <t>MOSIP-554-05</t>
  </si>
  <si>
    <t>Verify the new generated captcha works or not</t>
  </si>
  <si>
    <t>The new code should work and lead to login page, after a valid email address &gt; Click on the "I'am not a robot" &gt; the captcha is displayed for selection &gt; Select the appropriate boxes &gt; Click on the "SEND OTP" &gt; Enter the OTP and click on SUBMIT.</t>
  </si>
  <si>
    <t>MOSIP-554-06</t>
  </si>
  <si>
    <t>Verify that the CAPTCHA code format</t>
  </si>
  <si>
    <t>The Captcha should be in the picture</t>
  </si>
  <si>
    <t>MOSIP-554-07</t>
  </si>
  <si>
    <t>Verify that the CAPTCHA code generate new code once the page is get refreshed</t>
  </si>
  <si>
    <t>The new code should be generated</t>
  </si>
  <si>
    <t>MOSIP-554-08</t>
  </si>
  <si>
    <t>Verify the error message received when wrong captcha is entered</t>
  </si>
  <si>
    <t>User gets an error message as "Please try again."</t>
  </si>
  <si>
    <t>MOSIP-554-09</t>
  </si>
  <si>
    <t>Verify the length of captcha</t>
  </si>
  <si>
    <t>It should get 4 correct images.</t>
  </si>
  <si>
    <t>MOSIP-554-10</t>
  </si>
  <si>
    <t>Verify the datatype of captcha</t>
  </si>
  <si>
    <t>The Captcha should be of different images</t>
  </si>
  <si>
    <t>MOSIP-554-11</t>
  </si>
  <si>
    <t>Verify the captcha to generate in Language selected</t>
  </si>
  <si>
    <t>The captcha should be generate in any Language selscted.</t>
  </si>
  <si>
    <t>MOSIP-554-12</t>
  </si>
  <si>
    <t>Verify the functionality when No captacha is entered</t>
  </si>
  <si>
    <t>"Verification challenge expired. Check the checkbox again." Error message is displayed.</t>
  </si>
  <si>
    <t>MOSIP-554-13</t>
  </si>
  <si>
    <t>Verify the functionality when invalid captacha is entered</t>
  </si>
  <si>
    <t>MOSIP-554-14</t>
  </si>
  <si>
    <t>Verify the functionality when correct captcha is entered</t>
  </si>
  <si>
    <t>The captcha should work and lead to login page.</t>
  </si>
  <si>
    <t>MOSIP-554-17</t>
  </si>
  <si>
    <t>Verify the action performed under Audit logs</t>
  </si>
  <si>
    <t>The action performed must be Logged under audit logged</t>
  </si>
  <si>
    <t>MOSIP-18771</t>
  </si>
  <si>
    <t>MOSIP-554-18</t>
  </si>
  <si>
    <t>Verify that the CAPTCHA code generate new code or not once user entered the wrong Captcha</t>
  </si>
  <si>
    <t>Should not be refreshed when wrong Captcha is entered.</t>
  </si>
  <si>
    <t>MOSIP-17633</t>
  </si>
  <si>
    <t>Booking appointment for update and lost/forgotten UIN</t>
  </si>
  <si>
    <t>TC-MOSIP-17633-01</t>
  </si>
  <si>
    <t>Lost-uin-controller - Creating an ApplicationID from Swagger</t>
  </si>
  <si>
    <t>1. Go to : https://qa-single-rc2.mosip.net/preregistration/v1/application-service/swagger-ui/index.html?configUrl=/preregistration/v1/application-service/v3/api-docs/swagger-config#/lost-uin-controller/addLostUinApplication
 2. Navigate to POST/applications/lostuin .
 3. Click on the "try it out" button.
 4. Update the id as "mosip.pre-registration.lostuin.create".
 5. Version will be the API version "1.0".
 6. Request time will be updated automatically updated.
 7. Change the language code to "eng".
 8. Click on "Execute" to execute the request.</t>
  </si>
  <si>
    <t>Verify that the request is successfully completed and in the response there should be no errors and the Application ID should be generated successfully.</t>
  </si>
  <si>
    <t>TC-MOSIP-17633-02</t>
  </si>
  <si>
    <t>Lost-uin-controller - Creating an ApplicationID from Swagger : Using an invalid languag code.</t>
  </si>
  <si>
    <t>1. Go to : https://qa-single-rc2.mosip.net/preregistration/v1/application-service/swagger-ui/index.html?configUrl=/preregistration/v1/application-service/v3/api-docs/swagger-config#/lost-uin-controller/addLostUinApplication
 2. Navigate to POST/applications/lostuin .
 3. Click on the "try it out" button.
 4. Update the id as "mosip.pre-registration.lostuin.create".
 5. Version will be the API version "1.0".
 6. Request time will be updated automatically updated.
 7. Change the language code to "ara".
 8. Click on "Execute" to execute the request.</t>
  </si>
  <si>
    <t>The request will fail with the below error:
 "errorCode": "PRG_CORE_REQ_014",
 "message": "Lang code is invalid"</t>
  </si>
  <si>
    <t>TC-MOSIP-17633-03</t>
  </si>
  <si>
    <t>Lost-uin-controller - Creating an ApplicationID from Swagger : Using an invalid ID.</t>
  </si>
  <si>
    <t>1. Go to : https://qa-single-rc2.mosip.net/preregistration/v1/application-service/swagger-ui/index.html?configUrl=/preregistration/v1/application-service/v3/api-docs/swagger-config#/lost-uin-controller/addLostUinApplication
 2. Navigate to POST/applications/lostuin .
 3. Click on the "try it out" button.
 4. Update the id as "mosip.pre-registration.lostuin".
 5. Version will be the API version "1.0".
 6. Request time will be updated automatically updated.
 7. Change the language code to "eng".
 8. Click on "Execute" to execute the request.</t>
  </si>
  <si>
    <t>The request will fail with the below error:
 "errorCode": "PRG_PAM_CORE_001",
 "message": "Request id is invalid"</t>
  </si>
  <si>
    <t>TC-MOSIP-17633-04</t>
  </si>
  <si>
    <t>Lost-uin-controller - Creating an ApplicationID from Swagger : Using an invalid App Version.</t>
  </si>
  <si>
    <t>1. Go to : https://qa-single-rc2.mosip.net/preregistration/v1/application-service/swagger-ui/index.html?configUrl=/preregistration/v1/application-service/v3/api-docs/swagger-config#/lost-uin-controller/addLostUinApplication
 2. Navigate to POST/applications/lostuin .
 3. Click on the "try it out" button.
 4. Update the id as "mosip.pre-registration.lostuin.create".
 5. Version will be the API version "1.1".
 6. Request time will be updated automatically updated.
 7. Change the language code to "eng".
 8. Click on "Execute" to execute the request.</t>
  </si>
  <si>
    <t>The request will fail with the below error:
 "errorCode": "PRG_CORE_REQ_002",
 "message": "Request version is invalid"</t>
  </si>
  <si>
    <t>TC-MOSIP-17633-05</t>
  </si>
  <si>
    <t>Lost-uin-controller - Creating an ApplicationID from Swagger : With out filling anything.</t>
  </si>
  <si>
    <t>1. Go to : https://qa-single-rc2.mosip.net/preregistration/v1/application-service/swagger-ui/index.html?configUrl=/preregistration/v1/application-service/v3/api-docs/swagger-config#/lost-uin-controller/addLostUinApplication
 2. Navigate to POST/applications/lostuin .
 3. Click on the "try it out" button.
 4. Click on "Execute" to execute the request.</t>
  </si>
  <si>
    <t>The request will fail with the below error:
 "errorCode": "PRG_CORE_REQ_002",
 "message": "Request version is invalid"
 "errorCode": "PRG_PAM_CORE_001",
 "message": "Request id is invalid"</t>
  </si>
  <si>
    <t>TC-MOSIP-17633-06</t>
  </si>
  <si>
    <t>Lost-uin-controller - Deleting an Application ID</t>
  </si>
  <si>
    <t>1. Go to : https://qa-single-rc2.mosip.net/preregistration/v1/application-service/swagger-ui/index.html?configUrl=/preregistration/v1/application-service/v3/api-docs/swagger-config#/lost-uin-controller/addLostUinApplication
 2. Navigate to POST/applications/lostuin .
 3. Click on the "try it out" button.
 4. Enter the ID in "applicationId".
 5. Click on "Execute" to execute the request.
 6. Verify the application id entered is in the response.
 7. Also the delete time should be the current time.</t>
  </si>
  <si>
    <t>Verified the Application ID in the DB, and observed that the Application ID has been removed from the DB.</t>
  </si>
  <si>
    <t>TC-MOSIP-17633-07</t>
  </si>
  <si>
    <t>Lost-uin-controller - Deleting an Application ID : Give an Application ID that was already deleted</t>
  </si>
  <si>
    <t>1. Go to : https://qa-single-rc2.mosip.net/preregistration/v1/application-service/swagger-ui/index.html?configUrl=/preregistration/v1/application-service/v3/api-docs/swagger-config#/lost-uin-controller/addLostUinApplication
 2. Navigate to POST/applications/lostuin .
 3. Click on the "try it out" button.
 4. Enter the ID in "applicationId" that was already deleted.
 5. Click on "Execute" to execute the request.</t>
  </si>
  <si>
    <t>The request will fail with the below error:
 "errorCode": "PRG_PAM_APP_005",
 "message": "No record found for the requested user id"</t>
  </si>
  <si>
    <t>TC-MOSIP-17633-08</t>
  </si>
  <si>
    <t>Lost-uin-controller - Deleting an Application ID : Give a random number as the Application ID.</t>
  </si>
  <si>
    <t>1. Go to : https://qa-single-rc2.mosip.net/preregistration/v1/application-service/swagger-ui/index.html?configUrl=/preregistration/v1/application-service/v3/api-docs/swagger-config#/lost-uin-controller/addLostUinApplication
 2. Navigate to POST/applications/lostuin .
 3. Click on the "try it out" button.
 4. Enter a random number as the ID in "applicationId" field.
 5. Click on "Execute" to execute the request.</t>
  </si>
  <si>
    <t>TC-MOSIP-17633-09</t>
  </si>
  <si>
    <t>Lost-uin-controller - Creating Multiple Application IDs from Swagger</t>
  </si>
  <si>
    <t>1. Go to : https://qa-single-rc2.mosip.net/preregistration/v1/application-service/swagger-ui/index.html?configUrl=/preregistration/v1/application-service/v3/api-docs/swagger-config#/lost-uin-controller/addLostUinApplication
 2. Navigate to POST/applications/lostuin .
 3. Click on the "try it out" button.
 4. Update the id as "mosip.pre-registration.lostuin.create".
 5. Version will be the API version "1.0".
 6. Request time will be updated automatically updated.
 7. Change the language code to "eng".
 8. Click on "Execute" to execute the request.
 NOTE : Repeate this for 10 times to create 10 Application ID's</t>
  </si>
  <si>
    <t>Verify that the request is successfully completed and in the response there should be no errors and the Application ID should be generated successfully. Verify the Application ID's in DB (DB &gt; mosip_prereg &gt; Schemas &gt; prereg &gt; Tables &gt; applications &gt; right click on applications &gt; “Scripts” &gt; “Select Scripts”).</t>
  </si>
  <si>
    <t>TC-MOSIP-17633-10</t>
  </si>
  <si>
    <t>Lost-uin-controller - Deleting Multiple Application ID</t>
  </si>
  <si>
    <t>1. Go to : https://qa-single-rc2.mosip.net/preregistration/v1/application-service/swagger-ui/index.html?configUrl=/preregistration/v1/application-service/v3/api-docs/swagger-config#/lost-uin-controller/addLostUinApplication
 2. Navigate to POST/applications/lostuin .
 3. Click on the "try it out" button.
 4. Enter the ID in "applicationId".
 5. Click on "Execute" to execute the request.
 6. Verify the application id entered is in the response.
 7. Also the delete time should be the current time.
 NOTE : Repeate this for Multiple times to delete the created Application ID's</t>
  </si>
  <si>
    <t>Verified the Application ID in the DB, and observed that the Application ID has been removed from the DB (DB location : DB &gt; mosip_prereg &gt; Schemas &gt; prereg &gt; Tables &gt; applications &gt; right click on applications &gt; “Scripts” &gt; “Select Scripts”).</t>
  </si>
  <si>
    <t>TC-MOSIP-17633-11</t>
  </si>
  <si>
    <t>Application-controller -Get All Applications</t>
  </si>
  <si>
    <t>1. Go to : https://qa-single-rc2.mosip.net/preregistration/v1/application-service/swagger-ui/index.html?configUrl=/preregistration/v1/application-service/v3/api-docs/swagger-config#/lost-uin-controller/addLostUinApplication
 2. Navigate to application-controller &gt; GET/applications .
 3. Click on the "try it out" button.
 4. Enter the type as "LOST_FORGOTTEN_UIN".
 5. Click on "Execute" to execute the request.
 6. Verify the response.</t>
  </si>
  <si>
    <t>Verified the Application ID's displayed in the DB are observed in the DB when searched with "LOST_FORGOTTEN_UIN" as booking_type (DB location : DB &gt; mosip_prereg &gt; Schemas &gt; prereg &gt; Tables &gt; applications &gt; right click on applications &gt; “Scripts” &gt; “Select Scripts”).</t>
  </si>
  <si>
    <t>TC-MOSIP-17633-12</t>
  </si>
  <si>
    <t>Application-controller -Get All Applications - invalid input</t>
  </si>
  <si>
    <t>1. Go to : https://qa-single-rc2.mosip.net/preregistration/v1/application-service/swagger-ui/index.html?configUrl=/preregistration/v1/application-service/v3/api-docs/swagger-config#/lost-uin-controller/addLostUinApplication
 2. Navigate to application-controller &gt; GET/applications .
 3. Click on the "try it out" button.
 4. Enter an invalid input.
 5. Click on "Execute" to execute the request.
 6. Verify the response.</t>
  </si>
  <si>
    <t>The request will fail with the below error:
 "errorCode": "PRG_APP_016",
 "message": "Invalid booking type"</t>
  </si>
  <si>
    <t>TC-MOSIP-17633-13</t>
  </si>
  <si>
    <t>Application-controller -Get Applications</t>
  </si>
  <si>
    <t>1. Go to : https://qa-single-rc2.mosip.net/preregistration/v1/application-service/swagger-ui/index.html?configUrl=/preregistration/v1/application-service/v3/api-docs/swagger-config#/lost-uin-controller/addLostUinApplication
 2. Navigate to application-controller &gt; GET/applications/{applicationid} .
 3. Click on the "try it out" button.
 4. Enter an application id that was generated.
 5. Click on "Execute" to execute the request.
 6. Verify the response.</t>
  </si>
  <si>
    <t>"applicationId", "bookingType", "bookingStatusCode" and "applicationStatusCode"
 The same are observed in the DB when searched with "LOST_FORGOTTEN_UIN" as booking_type (DB location : DB &gt; mosip_prereg &gt; Schemas &gt; prereg &gt; Tables &gt; applications &gt; right click on applications &gt; “Scripts” &gt; “Select Scripts”).</t>
  </si>
  <si>
    <t>TC-MOSIP-17633-14</t>
  </si>
  <si>
    <t>1. Go to : https://qa-single-rc2.mosip.net/preregistration/v1/application-service/swagger-ui/index.html?configUrl=/preregistration/v1/application-service/v3/api-docs/swagger-config#/lost-uin-controller/addLostUinApplication
 2. Navigate to application-controller &gt; GET/applications/{applicationid} .
 3. Click on the "try it out" button.
 4. Enter an invalid application id.
 5. Click on "Execute" to execute the request.
 6. Verify the response.</t>
  </si>
  <si>
    <t>The request will fail with the below error:
 "errorCode": "PRG_APP_013",
 "message": "No Records Found"</t>
  </si>
  <si>
    <t>TC-MOSIP-17633-15</t>
  </si>
  <si>
    <t>Application-controller -Getting bookings with registration centerid</t>
  </si>
  <si>
    <t>1. Go to : https://qa-single-rc2.mosip.net/preregistration/v1/application-service/swagger-ui/index.html?configUrl=/preregistration/v1/application-service/v3/api-docs/swagger-config#/lost-uin-controller/addLostUinApplication
 2. Navigate to application-controller &gt; GET/applications/bookings/{refCenterId} .
 3. Click on the "try it out" button.
 4. Enter a registration center ID and an appointment date (Format: YYYY-MM-DD).
 5. Click on "Execute" to execute the request.
 6. Verify the response.</t>
  </si>
  <si>
    <t>The request will pass successfully and will retrieve all the information of the applications of that registration center on that date.</t>
  </si>
  <si>
    <t>TC-MOSIP-17633-16</t>
  </si>
  <si>
    <t>Application-controller -Getting bookings with empty registration centerid and date</t>
  </si>
  <si>
    <t>1. Go to : https://qa-single-rc2.mosip.net/preregistration/v1/application-service/swagger-ui/index.html?configUrl=/preregistration/v1/application-service/v3/api-docs/swagger-config#/lost-uin-controller/addLostUinApplication
 2. Navigate to application-controller &gt; GET/applications/bookings/{refCenterId} .
 3. Click on the "try it out" button.
 4. DO not enter a registration center ID and an appointment date.
 5. Click on "Execute" to execute the request.</t>
  </si>
  <si>
    <t>The regCenterId and appointmentDate field are mandatory fields, when nothing is entered it will show an error marking those fields as mandatory fields</t>
  </si>
  <si>
    <t>TC-MOSIP-17633-17</t>
  </si>
  <si>
    <t>Application-controller - Getting bookings with registration centerid and invalid date format.</t>
  </si>
  <si>
    <t>1. Go to : https://qa-single-rc2.mosip.net/preregistration/v1/application-service/swagger-ui/index.html?configUrl=/preregistration/v1/application-service/v3/api-docs/swagger-config#/lost-uin-controller/addLostUinApplication
 2. Navigate to application-controller &gt; GET/applications/bookings/{refCenterId} .
 3. Click on the "try it out" button.
 4. Enter a registration center ID and a wrong format appointment date.
 5. Click on "Execute" to execute the request.
 6. Verify the response.</t>
  </si>
  <si>
    <t>The request will fail with the below error:
 "errorCode": "PRG_APP_013",
 "message": "Invaild Request Argument"</t>
  </si>
  <si>
    <t>TC-MOSIP-17633-18</t>
  </si>
  <si>
    <t>Application-controller - Getting bookings with invalid registration centerid and invalid date format.</t>
  </si>
  <si>
    <t>1. Go to : https://qa-single-rc2.mosip.net/preregistration/v1/application-service/swagger-ui/index.html?configUrl=/preregistration/v1/application-service/v3/api-docs/swagger-config#/lost-uin-controller/addLostUinApplication
 2. Navigate to application-controller &gt; GET/applications/bookings/{refCenterId} .
 3. Click on the "try it out" button.
 4. Enter a wrong registration center ID and a wrong format appointment date.
 5. Click on "Execute" to execute the request.
 6. Verify the response.</t>
  </si>
  <si>
    <t>TC-MOSIP-17633-19</t>
  </si>
  <si>
    <t>Application-controller - Getting Application status with application ID</t>
  </si>
  <si>
    <t>1. Go to : https://qa-single-rc2.mosip.net/preregistration/v1/application-service/swagger-ui/index.html?configUrl=/preregistration/v1/application-service/v3/api-docs/swagger-config#/lost-uin-controller/addLostUinApplication
 2. Navigate to application-controller &gt; GET/applications/status/{applicationID} .
 3. Click on the "try it out" button.
 4. Enter the Application ID.
 5. Click on "Execute" to execute the request.
 6. Verify the response.</t>
  </si>
  <si>
    <t>The appropriate status of the application must be shown in the response.</t>
  </si>
  <si>
    <t>TC-MOSIP-17633-20</t>
  </si>
  <si>
    <t>Application-controller - Getting Application status with application ID INVALID application ID</t>
  </si>
  <si>
    <t>1. Go to : https://qa-single-rc2.mosip.net/preregistration/v1/application-service/swagger-ui/index.html?configUrl=/preregistration/v1/application-service/v3/api-docs/swagger-config#/lost-uin-controller/addLostUinApplication
 2. Navigate to application-controller &gt; GET/applications/status/{applicationID} .
 3. Click on the "try it out" button.
 4. Enter an invalid Application ID.
 5. Click on "Execute" to execute the request.
 6. Verify the response.</t>
  </si>
  <si>
    <t>The request will fail with the below error:
 "errorCode": "KER-401",
 "message": "Authentication Failed"</t>
  </si>
  <si>
    <t>TC-MOSIP-17633-21</t>
  </si>
  <si>
    <t>Appointment-Controller : Booking Appointment</t>
  </si>
  <si>
    <t>1. Go to : https://qa-single-rc2.mosip.net/preregistration/v1/application-service/swagger-ui/index.html?configUrl=/preregistration/v1/application-service/v3/api-docs/swagger-config#/
 2. Navigate to appointment-controller &gt; POST/applications/appointment .
 3. Click on the "try it out" button.
 4. Enter "Chrome" in User-Agent.
 5. Make the below changes in the Request body:
 {
 "id": "mosip.pre-registration.booking.book",
 "request": {
 "bookingRequest": [
 {
 "preRegistrationId": "28362863806403",
 "registration_center_id": "10001",
 "appointment_date": "2021-12-08",
 "time_slot_from": "09:30:00",
 "time_slot_to": "09:45:00"
 }
 ]
 },
 "version": "1.0",
 "requesttime": "2021-12-06T12:14:42.462Z"
 }
 6. Click on "Execute" to execute the request.
 7. Verify the response.
 NOTE : next to swagger, please open pre-registration and keep it active in another tab for this to work</t>
  </si>
  <si>
    <t>The appointment is booked successfully with the response message "bookingMessage": "Appointment booked successfully"</t>
  </si>
  <si>
    <t>TC-MOSIP-17633-22</t>
  </si>
  <si>
    <t>Appointment-Controller : Booking Appointment - Giving invalid details</t>
  </si>
  <si>
    <t>1. Go to : https://qa-single-rc2.mosip.net/preregistration/v1/application-service/swagger-ui/index.html?configUrl=/preregistration/v1/application-service/v3/api-docs/swagger-config#/
 2. Navigate to appointment-controller &gt; POST/applications/appointment .
 3. Click on the "try it out" button.
 4. Enter "Chrome" in User-Agent.
 5. Enter few invalid details.
 6. Click on "Execute" to execute the request.
 7. Verify the response.
 NOTE : next to swagger, please open pre-registration and keep it active in another tab for this to work</t>
  </si>
  <si>
    <t>TC-MOSIP-17633-23</t>
  </si>
  <si>
    <t>Appointment-controller -Discard Booking</t>
  </si>
  <si>
    <t>1. Go to : https://qa-single-rc2.mosip.net/preregistration/v1/application-service/swagger-ui/index.html?configUrl=/preregistration/v1/application-service/v3/api-docs/swagger-config#/appointment-controller/discardIndividual
 2. Navigate to appointment-controller &gt; DELETE/applications/appointmnet .
 3. Click on the "try it out" button.
 4. Enter the Pre-registration ID.
 5. Click on "Execute" to execute the request.
 6. Verify the response.
 NOTE : next to swagger, please open pre-registration and keep it active in another tab for this to work</t>
  </si>
  <si>
    <t>The appropriate response of deleting will be displayed in the response and the details of who deleted the booking will be displayed.
 Verify the same application after logging into the account and you can see the status as BOOKED but the appointment date is not displayed.</t>
  </si>
  <si>
    <t>TC-MOSIP-17633-24</t>
  </si>
  <si>
    <t>Appointment-controller -Discard Booking - Invalid details</t>
  </si>
  <si>
    <t>1. Go to : https://qa-single-rc2.mosip.net/preregistration/v1/application-service/swagger-ui/index.html?configUrl=/preregistration/v1/application-service/v3/api-docs/swagger-config#/appointment-controller/discardIndividual
 2. Navigate to appointment-controller &gt; DELETE/applications/appointmnet .
 3. Click on the "try it out" button.
 4. Enter an invalid Pre-registration ID.
 5. Click on "Execute" to execute the request.
 6. Verify the response.
 NOTE : next to swagger, please open pre-registration and keep it active in another tab for this to work</t>
  </si>
  <si>
    <t>The request will fail with the below error:
  "status": 500,
  "error": "Internal Server Error",
  "message": "PRG_BOOK_RCI_013 --&gt; Booking data not found",
  "path": "/preregistration/v1/applications/appointment"</t>
  </si>
  <si>
    <t>TC-MOSIP-17633-25</t>
  </si>
  <si>
    <t>Appointment-controller - Fetch Appointment details</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</si>
  <si>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the Pre-registration ID.
 5. Click on "Execute" to execute the request.
 6. Verify the response.
 NOTE : next to swagger, please open pre-registration and keep it active in another tab for this to work</t>
  </si>
  <si>
    <t>The appropriate appointment details will be displayed in the response.</t>
  </si>
  <si>
    <t>TC-MOSIP-17633-26</t>
  </si>
  <si>
    <t>Appointment-controller - Fetch Appointment details - Using Incomplete Application</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</si>
  <si>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the Incomplete Application Pre-registration ID.
 5. Click on "Execute" to execute the request.
 6. Verify the response.
 NOTE : next to swagger, please open pre-registration and keep it active in another tab for this to work</t>
  </si>
  <si>
    <t>The request will fail with the below error:
 "errorCode": "PRG_BOOK_RCI_013",
 "message": "Booking data not found"</t>
  </si>
  <si>
    <t>TC-MOSIP-17633-27</t>
  </si>
  <si>
    <t>Appointment-controller - Fetch Appointment details - Using Expired Application</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</si>
  <si>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the Expired Pre-registration ID.
 5. Click on "Execute" to execute the request.
 6. Verify the response.
 NOTE : next to swagger, please open pre-registration and keep it active in another tab for this to work</t>
  </si>
  <si>
    <t>For the Cancelled application it shows the date and time but the date should be a post date as it is cancelled</t>
  </si>
  <si>
    <t>TC-MOSIP-17633-28</t>
  </si>
  <si>
    <t>Appointment-controller - Fetch Appointment details - Using Cancelled Application</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</si>
  <si>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the Cancelled Application Pre-registration ID.
 5. Click on "Execute" to execute the request.
 6. Verify the response.
 NOTE : next to swagger, please open pre-registration and keep it active in another tab for this to work</t>
  </si>
  <si>
    <t>TC-MOSIP-17633-29</t>
  </si>
  <si>
    <t>Appointment-controller - Fetch Appointment details - Using Pending Application</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</si>
  <si>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the Pending Application Pre-registration ID.
 5. Click on "Execute" to execute the request.
 6. Verify the response.
 NOTE : next to swagger, please open pre-registration and keep it active in another tab for this to work</t>
  </si>
  <si>
    <t>TC-MOSIP-17633-30</t>
  </si>
  <si>
    <t>Appointment-controller - Fetch Appointment details - invalid details</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</si>
  <si>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an invalid Pre-registration ID.
 5. Click on "Execute" to execute the request.
 6. Verify the response.
 NOTE : next to swagger, please open pre-registration and keep it active in another tab for this to work</t>
  </si>
  <si>
    <t>TC-MOSIP-17633-31</t>
  </si>
  <si>
    <t>Appointment-Controller - Cancel a booked appointment</t>
  </si>
  <si>
    <t>1. Go to : https://qa-single-rc2.mosip.net/preregistration/v1/application-service/swagger-ui/index.html?configUrl=/preregistration/v1/application-service/v3/api-docs/swagger-config#/appointment-controller/discardIndividual
 2. Navigate to appointment-controller &gt; PUT /applications/appointment/{preRegistrationId}.
 3. Click on the "try it out" button.
 4. Enter a Pre-registration ID.
 5. Click on "Execute" to execute the request.
 6. Verify the response.
 NOTE : next to swagger, please open pre-registration and keep it active in another tab for this to work</t>
  </si>
  <si>
    <t>The appropriate appointment will be cancelled with the message "Appointment for the selected application has been successfully cancelled" in the response. Verify the status of the application in pre-registration log in page also.</t>
  </si>
  <si>
    <t>TC-MOSIP-17633-32</t>
  </si>
  <si>
    <t>Appointment-Controller - Cancel a booked appointment - Cancelled Application</t>
  </si>
  <si>
    <t>1. Go to : https://qa-single-rc2.mosip.net/preregistration/v1/application-service/swagger-ui/index.html?configUrl=/preregistration/v1/application-service/v3/api-docs/swagger-config#/appointment-controller/discardIndividual
 2. Navigate to appointment-controller &gt; PUT /applications/appointment/{preRegistrationId}.
 3. Click on the "try it out" button.
 4. Enter a Cancelled Appointment Pre-registration ID.
 5. Click on "Execute" to execute the request.
 6. Verify the response.
 NOTE : next to swagger, please open pre-registration and keep it active in another tab for this to work</t>
  </si>
  <si>
    <t>The request will fail with the below error:
 "errorCode": "PRG_BOOK_RCI_018",
 "message": "Appointment cannot be canceled"</t>
  </si>
  <si>
    <t>TC-MOSIP-17633-33</t>
  </si>
  <si>
    <t>Appointment-Controller - Cancel a booked appointment - Incomplete Application</t>
  </si>
  <si>
    <t>1. Go to : https://qa-single-rc2.mosip.net/preregistration/v1/application-service/swagger-ui/index.html?configUrl=/preregistration/v1/application-service/v3/api-docs/swagger-config#/appointment-controller/discardIndividual
 2. Navigate to appointment-controller &gt; PUT /applications/appointment/{preRegistrationId}.
 3. Click on the "try it out" button.
 4. Enter an Incomplete Appointment Pre-registration ID.
 5. Click on "Execute" to execute the request.
 6. Verify the response.
 NOTE : next to swagger, please open pre-registration and keep it active in another tab for this to work</t>
  </si>
  <si>
    <t>TC-MOSIP-17633-34</t>
  </si>
  <si>
    <t>Appointment-Controller - Cancel a booked appointment - Pending Appointmenr</t>
  </si>
  <si>
    <t>1. Go to : https://qa-single-rc2.mosip.net/preregistration/v1/application-service/swagger-ui/index.html?configUrl=/preregistration/v1/application-service/v3/api-docs/swagger-config#/appointment-controller/discardIndividual
 2. Navigate to appointment-controller &gt; PUT /applications/appointment/{preRegistrationId}.
 3. Click on the "try it out" button.
 4. Enter an Pending Appointment Pre-registration ID.
 5. Click on "Execute" to execute the request.
 6. Verify the response.
 NOTE : next to swagger, please open pre-registration and keep it active in another tab for this to work</t>
  </si>
  <si>
    <t>TC-MOSIP-17633-35</t>
  </si>
  <si>
    <t>Appointment-Controller - Cancel a booked appointment - invalid details</t>
  </si>
  <si>
    <t>1. Go to : https://qa-single-rc2.mosip.net/preregistration/v1/application-service/swagger-ui/index.html?configUrl=/preregistration/v1/application-service/v3/api-docs/swagger-config#/appointment-controller/discardIndividual
 2. Navigate to appointment-controller &gt; PUT /applications/appointment/{preRegistrationId}.
 3. Click on the "try it out" button.
 4. Enter an invalid Pre-registration ID.
 5. Click on "Execute" to execute the request.
 6. Verify the response.
 NOTE : next to swagger, please open pre-registration and keep it active in another tab for this to work</t>
  </si>
  <si>
    <t>The request will fail with the below error:
  "errorCode": "PRG_APP_013",
  "message": "No Records Found"</t>
  </si>
  <si>
    <t>TC-MOSIP-17633-36</t>
  </si>
  <si>
    <t>Appointment-Congtroller - Booking Appointment - /applications/appointment/{preRegistrationId}</t>
  </si>
  <si>
    <t>1. Go to : https://qa-single-rc2.mosip.net/preregistration/v1/application-service/swagger-ui/index.html?configUrl=/preregistration/v1/application-service/v3/api-docs/swagger-config#/
 2. Navigate to appointment-controller &gt; POST/applications/appointment/{preRegistrationId}.
 3. Click on the "try it out" button.
 4. Enter "Chrome" in User-Agent.
 5. Make the below changes in the Request body:
 {
 "id": "mosip.pre-registration.booking.book",
 "request": {
 "bookingRequest": [
 {
 "preRegistrationId": "28362863806403",
 "registration_center_id": "10001",
 "appointment_date": "2021-12-08",
 "time_slot_from": "09:30:00",
 "time_slot_to": "09:45:00"
 }
 ]
 },
 "version": "1.0",
 "requesttime": "2021-12-06T12:14:42.462Z"
 }
 6. Click on "Execute" to execute the request.
 7. Verify the response.
 NOTE : next to swagger, please open pre-registration and keep it active in another tab for this to work</t>
  </si>
  <si>
    <t>After successful completion, in the response "bookingMessage": "Appointment booked successfully" message will be displayed.</t>
  </si>
  <si>
    <t>TC-MOSIP-17633-37</t>
  </si>
  <si>
    <t>Appointment-Congtroller - Booking Appointment - /applications/appointment/{preRegistrationId} - Incomplete Application - Cancelled Application</t>
  </si>
  <si>
    <t>The request will fail with the below error:
 "errorCode": "PRG_BOOK_RCI_036",
 "message": "Appointment cannot be booked for incomplete application"</t>
  </si>
  <si>
    <t>TC-MOSIP-17633-38</t>
  </si>
  <si>
    <t>TC-MOSIP-17633-39</t>
  </si>
  <si>
    <t>Appointment-Congtroller - Booking Appointment - /applications/appointment/{preRegistrationId} - INVALID input</t>
  </si>
  <si>
    <t>TC-MOSIP-17633-40</t>
  </si>
  <si>
    <t>Appointment-Controller -Fetch availability Data</t>
  </si>
  <si>
    <t>1. Go to : https://qa-single-rc2.mosip.net/preregistration/v1/application-service/swagger-ui/index.html?configUrl=/preregistration/v1/application-service/v3/api-docs/swagger-config#/appointment-controller/discardIndividual
 2. Navigate to appointment-controller &gt; GET /applications/appointment/slots/availability/{registrationCenterId}.
 3. Click on the "try it out" button.
 4. Enter a Registration center id.
 5. Click on "Execute" to execute the request.
 6. Verify the response.
 NOTE : next to swagger, please open pre-registration and keep it active in another tab for this to work</t>
  </si>
  <si>
    <t>The response will diaplayed all the available slots for next 1 month.</t>
  </si>
  <si>
    <t>TC-MOSIP-17633-41</t>
  </si>
  <si>
    <t>Appointment-Controller -Fetch availability Data - Invalid input</t>
  </si>
  <si>
    <t>1. Go to : https://qa-single-rc2.mosip.net/preregistration/v1/application-service/swagger-ui/index.html?configUrl=/preregistration/v1/application-service/v3/api-docs/swagger-config#/appointment-controller/discardIndividual
 2. Navigate to appointment-controller &gt; GET /applications/appointment/slots/availability/{registrationCenterId}.
 3. Click on the "try it out" button.
 4. Enter an invalid Registration center id.
 5. Click on "Execute" to execute the request.
 6. Verify the response.
 NOTE : next to swagger, please open pre-registration and keep it active in another tab for this to work</t>
  </si>
  <si>
    <t>The request will fail with the below error:
 "errorCode": "PRG_BOOK_RCI_035",
 "message": "Registration center id not found"</t>
  </si>
  <si>
    <t>TC-MOSIP-17633-42</t>
  </si>
  <si>
    <t>Appointment-Controller -Cancel booked appointment - PUT /internal/applications/appointment/{preRegistrationId}</t>
  </si>
  <si>
    <t>1. Go to : https://qa-single-rc2.mosip.net/preregistration/v1/application-service/swagger-ui/index.html?configUrl=/preregistration/v1/application-service/v3/api-docs/swagger-config#/appointment-controller/discardIndividual
 2. Navigate to appointment-controller &gt; PUT /internal/applications/appointment/{preRegistrationId}.
 3. Click on the "try it out" button.
 4. Enter a Registration center id.
 5. Click on "Execute" to execute the request.
 6. Verify the response.
 NOTE : next to swagger, please open pre-registration and keep it active in another tab for this to work</t>
  </si>
  <si>
    <t>"message": "Appointment for the selected application has been successfully cancelled" message will be displayed with successful cancellation of application.</t>
  </si>
  <si>
    <t>TC-MOSIP-17633-43</t>
  </si>
  <si>
    <t>Appointment-Controller -Cancel booked appointment - PUT /internal/applications/appointment/{preRegistrationId} - Invalid input</t>
  </si>
  <si>
    <t>1. Go to : https://qa-single-rc2.mosip.net/preregistration/v1/application-service/swagger-ui/index.html?configUrl=/preregistration/v1/application-service/v3/api-docs/swagger-config#/appointment-controller/discardIndividual
 2. Navigate to appointment-controller &gt; PUT /internal/applications/appointment/{preRegistrationId}.
 3. Click on the "try it out" button.
 4. Enter an invalid Registration center id.
 5. Click on "Execute" to execute the request.
 6. Verify the response.
 NOTE : next to swagger, please open pre-registration and keep it active in another tab for this to work</t>
  </si>
  <si>
    <t>TC-MOSIP-17633-44</t>
  </si>
  <si>
    <t>demographic-controller - GET /applications/config</t>
  </si>
  <si>
    <t>1. Go to : https://qa-single-rc2.mosip.net/preregistration/v1/application-service/swagger-ui/index.html?configUrl=/preregistration/v1/application-service/v3/api-docs/swagger-config#/demographic-controller/getIdSchemaConfig
 2. Navigate to demographic-controller &gt; GET /applications/config.
 3. Click on the "try it out" button.
 4. Click on "Execute" to execute the request.
 5. Verify the response.
 NOTE : next to swagger, please open pre-registration and keep it active in another tab for this to work</t>
  </si>
  <si>
    <t>The demographic config details are displayed</t>
  </si>
  <si>
    <t>TC-MOSIP-17633-45</t>
  </si>
  <si>
    <t>demographic-controller - GET /applications/prereg</t>
  </si>
  <si>
    <t>1. Go to : https://qa-single-rc2.mosip.net/preregistration/v1/application-service/swagger-ui/index.html?configUrl=/preregistration/v1/application-service/v3/api-docs/swagger-config#/demographic-controller/getIdSchemaConfig
 2. Navigate to demographic-controller &gt; GET /applications/prereg.
 3. Click on the "try it out" button.
 4. Click on "Execute" to execute the request.
 5. Verify the response.
 NOTE : next to swagger, please open pre-registration and keep it active in another tab for this to work</t>
  </si>
  <si>
    <t>The demographic details of prereg are displayed</t>
  </si>
  <si>
    <t>TC-MOSIP-17633-46</t>
  </si>
  <si>
    <t>demographic-controller - POST /applications/prereg</t>
  </si>
  <si>
    <t>1. Go to : https://qa-single-rc2.mosip.net/preregistration/v1/application-service/swagger-ui/index.html?configUrl=/preregistration/v1/application-service/v3/api-docs/swagger-config#/appointment-controller/discardIndividual
 2. Navigate to appointment-controller &gt;POST /applications/prereg.
 3. Click on the "try it out" button.
 4. Enter : {
  "id": "mosip.pre-registration.demographic.create",
  "version": "1.0",
  "requesttime": "2021-12-06T13:10:16.111Z",
  "request": {
  "langCode": "eng",
  "demographicDetails": {
  "empty": true,
  "firstName": {"language": "eng", "value": "qwerty"},
  "additionalProp2": {},
  "additionalProp3": {}
  },
  "requiredFields": [
  "firstName"
  ]
  }
 }.
 5. Click on "Execute" to execute the request.
 6. Verify the response.
 NOTE : next to swagger, please open pre-registration and keep it active in another tab for this to work</t>
  </si>
  <si>
    <t>Compare the response in Swagger and the response in the website after refreshing it, they should match.</t>
  </si>
  <si>
    <t>TC-MOSIP-17633-47</t>
  </si>
  <si>
    <t>demographic-controller - POST /applications/prereg - Executing without any input</t>
  </si>
  <si>
    <t>1. Go to : https://qa-single-rc2.mosip.net/preregistration/v1/application-service/swagger-ui/index.html?configUrl=/preregistration/v1/application-service/v3/api-docs/swagger-config#/appointment-controller/discardIndividual
 2. Navigate to appointment-controller &gt;POST /applications/prereg.
 3. Click on the "try it out" button.
 4. Click on "Execute" to execute the request.
 5. Verify the response.
 NOTE : next to swagger, please open pre-registration and keep it active in another tab for this to work</t>
  </si>
  <si>
    <t>TC-MOSIP-17633-48</t>
  </si>
  <si>
    <t>demographic-controller - GET /applications/prereg/{preRegistrationId}</t>
  </si>
  <si>
    <t>1. Go to : https://qa-single-rc2.mosip.net/preregistration/v1/application-service/swagger-ui/index.html?configUrl=/preregistration/v1/application-service/v3/api-docs/swagger-config#/appointment-controller/discardIndividual
 2. Navigate to appointment-controller &gt; GET /applications/prereg/{preRegistrationId}.
 3. Click on the "try it out" button.
 4. Enter a Pre-Registration ID.
 5. Click on "Execute" to execute the request.
 6. Verify the response.
 NOTE : next to swagger, please open pre-registration and keep it active in another tab for this to work</t>
  </si>
  <si>
    <t>The application details will be displayed in the response.</t>
  </si>
  <si>
    <t>TC-MOSIP-17633-49</t>
  </si>
  <si>
    <t>demographic-controller - GET /applications/prereg/{preRegistrationId} - Invalid Pre-Reg ID</t>
  </si>
  <si>
    <t>1. Go to : https://qa-single-rc2.mosip.net/preregistration/v1/application-service/swagger-ui/index.html?configUrl=/preregistration/v1/application-service/v3/api-docs/swagger-config#/appointment-controller/discardIndividual
 2. Navigate to appointment-controller &gt; GET /applications/prereg/{preRegistrationId}.
 3. Click on the "try it out" button.
 4. Enter an invalid Pre-Registration ID.
 5. Click on "Execute" to execute the request.
 6. Verify the response.
 NOTE : next to swagger, please open pre-registration and keep it active in another tab for this to work</t>
  </si>
  <si>
    <t>The request will fail with the below error:
 "errorCode": "PRG_PAM_APP_005",
 "message": "No data found for the requested pre-registration id"</t>
  </si>
  <si>
    <t>TC-MOSIP-17633-50</t>
  </si>
  <si>
    <t>demographic-controller - PUT /applications/prereg/{preRegistrationId}</t>
  </si>
  <si>
    <t>1. Go to : https://qa-single-rc2.mosip.net/preregistration/v1/application-service/swagger-ui/index.html?configUrl=/preregistration/v1/application-service/v3/api-docs/swagger-config#/appointment-controller/discardIndividual
 2. Navigate to appointment-controller &gt;PUT /applications/prereg/{preRegistrationId}.
 3. Click on the "try it out" button.
 4. Enter : {
  "id": "mosip.pre-registration.demographic.update",
  "version": "1.0",
  "requesttime": "2021-12-07T04:17:20.608Z",
  "request": {
  "langCode": "eng",
  "demographicDetails": {
  "empty": true,
  "firstName": {"language": "eng", "value": "asdfg"},
  "additionalProp2": {},
  "additionalProp3": {}
  },
  "requiredFields": [
  "firstName"
  ]
  }
 }.
 5. Click on "Execute" to execute the request.
 6. Verify the response.
 NOTE : next to swagger, please open pre-registration and keep it active in another tab for this to work</t>
  </si>
  <si>
    <t>TC-MOSIP-17633-51</t>
  </si>
  <si>
    <t>demographic-controller - PUT /applications/prereg/{preRegistrationId} - INVALID input</t>
  </si>
  <si>
    <t>1. Go to : https://qa-single-rc2.mosip.net/preregistration/v1/application-service/swagger-ui/index.html?configUrl=/preregistration/v1/application-service/v3/api-docs/swagger-config#/appointment-controller/discardIndividual
 2. Navigate to appointment-controller &gt; PUT /applications/prereg/{preRegistrationId}.
 3. Click on the "try it out" button.
 4. Enter a Pre-Registration ID.
 5. Click on "Execute" to execute the request.
 6. Verify the response.
 NOTE : next to swagger, please open pre-registration and keep it active in another tab for this to work</t>
  </si>
  <si>
    <t>TC-MOSIP-17633-52</t>
  </si>
  <si>
    <t>demographic-controller - DELETE /applications/prereg/{preRegistrationId}</t>
  </si>
  <si>
    <t>1. Go to : https://qa-single-rc2.mosip.net/preregistration/v1/application-service/swagger-ui/index.html?configUrl=/preregistration/v1/application-service/v3/api-docs/swagger-config#/appointment-controller/discardIndividual
 2. Navigate to appointment-controller &gt; DELETE /applications/prereg/preRegistrationId}.
 3. Click on the "try it out" button.
 4. Enter a Pre-Registration ID.
 5. Click on "Execute" to execute the request.
 6. Verify the response.
 NOTE : next to swagger, please open pre-registration and keep it active in another tab for this to work</t>
  </si>
  <si>
    <t>The application will be deleted, pleasee check in the same application in the preregistration applications page.</t>
  </si>
  <si>
    <t>TC-MOSIP-17633-53</t>
  </si>
  <si>
    <t>demographic-controller - DELETE /applications/prereg/{preRegistrationId} - Invalid Application ID</t>
  </si>
  <si>
    <t>1. Go to : https://qa-single-rc2.mosip.net/preregistration/v1/application-service/swagger-ui/index.html?configUrl=/preregistration/v1/application-service/v3/api-docs/swagger-config#/appointment-controller/discardIndividual
 2. Navigate to appointment-controller &gt; DELETE /applications/prereg/preRegistrationId}.
 3. Click on the "try it out" button.
 4. Enter an invalid Pre-Registration ID.
 5. Click on "Execute" to execute the request.
 6. Verify the response.
 NOTE : next to swagger, please open pre-registration and keep it active in another tab for this to work</t>
  </si>
  <si>
    <t>TC-MOSIP-17633-54</t>
  </si>
  <si>
    <t>demographic-controller - GET /applications/prereg/info/{preregistrationId} getpreregDemographicAndDocumentData</t>
  </si>
  <si>
    <t>1. Go to : https://qa-single-rc2.mosip.net/preregistration/v1/application-service/swagger-ui/index.html?configUrl=/preregistration/v1/application-service/v3/api-docs/swagger-config#/appointment-controller/discardIndividual
 2. Navigate to appointment-controller &gt; GET /applications/prereg/info/{preregistrationId}.
 3. Click on the "try it out" button.
 4. Enter a Pre-Registration ID.
 5. Click on "Execute" to execute the request.
 6. Verify the response.
 NOTE : next to swagger, please open pre-registration and keep it active in another tab for this to work</t>
  </si>
  <si>
    <t>The response will show the preregistration details of the application ID mentioned and also the document details of the application.</t>
  </si>
  <si>
    <t>TC-MOSIP-17633-55</t>
  </si>
  <si>
    <t>demographic-controller - GET /applications/prereg/info/{preregistrationId} getpreregDemographicAndDocumentData - INVALID preregistration ID</t>
  </si>
  <si>
    <t>1. Go to : https://qa-single-rc2.mosip.net/preregistration/v1/application-service/swagger-ui/index.html?configUrl=/preregistration/v1/application-service/v3/api-docs/swagger-config#/appointment-controller/discardIndividual
 2. Navigate to appointment-controller &gt; GET /applications/prereg/info/{preregistrationId}.
 3. Click on the "try it out" button.
 4. Enter an invalid Pre-Registration ID.
 5. Click on "Execute" to execute the request.
 6. Verify the response.
 NOTE : next to swagger, please open pre-registration and keep it active in another tab for this to work</t>
  </si>
  <si>
    <t>TC-MOSIP-17633-56</t>
  </si>
  <si>
    <t>demographic-controller - GET /applications/prereg/status/{preRegistrationId} - PreregApplication Status</t>
  </si>
  <si>
    <t>1. Go to : https://qa-single-rc2.mosip.net/preregistration/v1/application-service/swagger-ui/index.html?configUrl=/preregistration/v1/application-service/v3/api-docs/swagger-config#/appointment-controller/discardIndividual
 2. Navigate to appointment-controller &gt; GET /applications/prereg//status/{preRegistrationId}.
 3. Click on the "try it out" button.
 4. Enter a Pre-Registration ID.
 5. Click on "Execute" to execute the request.
 6. Verify the response.
 NOTE : next to swagger, please open pre-registration and keep it active in another tab for this to work</t>
  </si>
  <si>
    <t>The response will show the status of the application, the same should be reflecting on the "Your Application" tab of pre-reg.4</t>
  </si>
  <si>
    <t>TC-MOSIP-17633-57</t>
  </si>
  <si>
    <t>demographic-controller - GET /applications/prereg/status/{preRegistrationId} - PreregApplication Status - Invalid Input</t>
  </si>
  <si>
    <t>1. Go to : https://qa-single-rc2.mosip.net/preregistration/v1/application-service/swagger-ui/index.html?configUrl=/preregistration/v1/application-service/v3/api-docs/swagger-config#/appointment-controller/discardIndividual
 2. Navigate to appointment-controller &gt; GET /applications/prereg//status/{preRegistrationId}.
 3. Click on the "try it out" button.
 4. Enter an Invalid Pre-Registration ID.
 5. Click on "Execute" to execute the request.
 6. Verify the response.
 NOTE : next to swagger, please open pre-registration and keep it active in another tab for this to work</t>
  </si>
  <si>
    <t>TC-MOSIP-17633-58</t>
  </si>
  <si>
    <t>demographic-controller - PUT /applications/prereg/status/{preRegistrationId}</t>
  </si>
  <si>
    <t>1. Go to : https://qa-single-rc2.mosip.net/preregistration/v1/application-service/swagger-ui/index.html?configUrl=/preregistration/v1/application-service/v3/api-docs/swagger-config#/appointment-controller/discardIndividual
 2. Navigate to appointment-controller &gt; PUT /applications/prereg/status/{preRegistrationId}.
 3. Click on the "try it out" button.
 4. Enter a Pre-Registration ID and change the status that you want to have it changed to.
 5. Click on "Execute" to execute the request.
 6. Verify the response.
 NOTE : next to swagger, please open pre-registration and keep it active in another tab for this to work</t>
  </si>
  <si>
    <t>In the response body, after sucessful updation you can see message "response": "STATUS_UPDATED_SUCESSFULLY". The new status is also updated in the "Your Application" tab of pre-reg login.</t>
  </si>
  <si>
    <t>TC-MOSIP-17633-59</t>
  </si>
  <si>
    <t>demographic-controller - PUT /applications/prereg/status/{preRegistrationId} - INVALID prereg ID</t>
  </si>
  <si>
    <t>1. Go to : https://qa-single-rc2.mosip.net/preregistration/v1/application-service/swagger-ui/index.html?configUrl=/preregistration/v1/application-service/v3/api-docs/swagger-config#/appointment-controller/discardIndividual
 2. Navigate to appointment-controller &gt; PUT /applications/prereg/status/{preRegistrationId}.
 3. Click on the "try it out" button.
 4. Enter an invalid Pre-Registration ID and change the status that you want to have it changed to.
 5. Click on "Execute" to execute the request.
 6. Verify the response.
 NOTE : next to swagger, please open pre-registration and keep it active in another tab for this to work</t>
  </si>
  <si>
    <t>TC-MOSIP-17633-60</t>
  </si>
  <si>
    <t>demographic-controller - - POST /applications/prereg/updatedTime</t>
  </si>
  <si>
    <t>1. Go to : https://qa-single-rc2.mosip.net/preregistration/v1/application-service/swagger-ui/index.html?configUrl=/preregistration/v1/application-service/v3/api-docs/swagger-config#/appointment-controller/discardIndividual
 2. Navigate to appointment-controller &gt;POST /applications/prereg/updatedTime.
 3. Click on the "try it out" button.
 4. Enter required changes as : {
  "id": "mosip.pre-registration.demographic.retrieve.date",
  "version": "1.0",
  "requesttime": "2021-12-06T11:42:17.239Z",
  "request": {
  "registartion_center_id": "10001",
  "pre_registration_ids": [
  "61394281259438"
  ]
  }
 }.
 5. Click on "Execute" to execute the request.
 6. Verify the response.
 NOTE : next to swagger, please open pre-registration and keep it active in another tab for this to work</t>
  </si>
  <si>
    <t>There will be no errors in the response.</t>
  </si>
  <si>
    <t>TC-MOSIP-17633-61</t>
  </si>
  <si>
    <t>demographic-controller - - POST /applications/prereg/updatedTime - INVALID prereg ID</t>
  </si>
  <si>
    <t>1. Go to : https://qa-single-rc2.mosip.net/preregistration/v1/application-service/swagger-ui/index.html?configUrl=/preregistration/v1/application-service/v3/api-docs/swagger-config#/appointment-controller/discardIndividual
 2. Navigate to appointment-controller &gt;POST /applications/prereg/updatedTime.
 3. Click on the "try it out" button.
 4. Enter in valid prereg ID and changes as : {
  "id": "mosip.pre-registration.demographic.retrieve.date",
  "version": "1.0",
  "requesttime": "2021-12-06T11:42:17.239Z",
  "request": {
  "registartion_center_id": "10001",
  "pre_registration_ids": [
  "613942812"
  ]
  }
 }.
 5. Click on "Execute" to execute the request.
 6. Verify the response.
 NOTE : next to swagger, please open pre-registration and keep it active in another tab for this to work</t>
  </si>
  <si>
    <t>TC-MOSIP-17633-62</t>
  </si>
  <si>
    <t>Update Registration Controller - POST /applications/updateregistration</t>
  </si>
  <si>
    <t>1. Go to : https://qa-single-rc2.mosip.net/preregistration/v1/application-service/swagger-ui/index.html?configUrl=/preregistration/v1/application-service/v3/api-docs/swagger-config#/update-registration-controller/addUpdateRegistration
 2. Navigate to Update Registration Controller - POST /applications/updateregistration.
 3. Click on the "try it out" button.
 4. Make the below changes
 {
  "id": "mosip.pre-registration.updateregistration.create",
  "version": "1.0",
  "requesttime": "2021-12-07T05:08:53.664Z",
  "request": {
  "langCode": "eng"
  }
 }
 5. Click on "Execute" to execute the request.
 6. Verify the response.
 NOTE : next to swagger, please open pre-registration and keep it active in another tab for this to work</t>
  </si>
  <si>
    <t>In the response observed updated resistration in an Application ID, observed the same in DB.</t>
  </si>
  <si>
    <t>TC-MOSIP-17633-63</t>
  </si>
  <si>
    <t>Update Registration Controller - POST /applications/updateregistration - Executing without giving any input</t>
  </si>
  <si>
    <t>1. Go to : https://qa-single-rc2.mosip.net/preregistration/v1/application-service/swagger-ui/index.html?configUrl=/preregistration/v1/application-service/v3/api-docs/swagger-config#/update-registration-controller/addUpdateRegistration
 2. Navigate to Update Registration Controller - POST /applications/updateregistration.
 3. Click on the "try it out" button.
 4. Click on "Execute" to execute the request.
 5. Verify the response.
 NOTE : next to swagger, please open pre-registration and keep it active in another tab for this to work</t>
  </si>
  <si>
    <t>TC-MOSIP-17633-64</t>
  </si>
  <si>
    <t>Update Registration Controller - POST /applications/updateregistration - Executing with missing language code</t>
  </si>
  <si>
    <t>1. Go to : https://qa-single-rc2.mosip.net/preregistration/v1/application-service/swagger-ui/index.html?configUrl=/preregistration/v1/application-service/v3/api-docs/swagger-config#/update-registration-controller/addUpdateRegistration
 2. Navigate to Update Registration Controller - POST /applications/updateregistration.
 3. Click on the "try it out" button.
 4. Make the below changes
 {
  "id": "mosip.pre-registration.updateregistration.create",
  "version": "1.0",
  "requesttime": "2021-12-07T05:08:53.664Z",
  "request": {
  "langCode": "string"
  }
 }
 5. Click on "Execute" to execute the request.
 6. Verify the response.
 NOTE : next to swagger, please open pre-registration and keep it active in another tab for this to work</t>
  </si>
  <si>
    <t>TC-MOSIP-17633-65</t>
  </si>
  <si>
    <t>Update Registration Controller - DELETE /applications/updateregistration/{applicationId}</t>
  </si>
  <si>
    <t>1. Go to : https://qa-single-rc2.mosip.net/preregistration/v1/application-service/swagger-ui/index.html?configUrl=/preregistration/v1/application-service/v3/api-docs/swagger-config#/update-registration-controller/addUpdateRegistration
 2. Navigate to Update Registration Controller - POST /applications/updateregistration.
 3. Click on the "try it out" button.
 4. Enter an updated application ID
 5. Click on "Execute" to execute the request.
 6. Verify the response.
 NOTE : next to swagger, please open pre-registration and keep it active in another tab for this to work</t>
  </si>
  <si>
    <t>The application will be deleted, pleasee check in the same application in the preregistration applications page and in the DB also.</t>
  </si>
  <si>
    <t>TC-MOSIP-17633-66</t>
  </si>
  <si>
    <t>Update Registration Controller - DELETE /applications/updateregistration/{applicationId} - Invalid application ID</t>
  </si>
  <si>
    <t>1. Go to : https://qa-single-rc2.mosip.net/preregistration/v1/application-service/swagger-ui/index.html?configUrl=/preregistration/v1/application-service/v3/api-docs/swagger-config#/update-registration-controller/addUpdateRegistration
 2. Navigate to Update Registration Controller - POST /applications/updateregistration.
 3. Click on the "try it out" button.
 4. Enter an invalid application ID
 5. Click on "Execute" to execute the request.
 6. Verify the response.
 NOTE : next to swagger, please open pre-registration and keep it active in another tab for this to work</t>
  </si>
  <si>
    <t>MOSIP-11656</t>
  </si>
  <si>
    <t>Multiple language login</t>
  </si>
  <si>
    <t>TC_Pre-Reg_01</t>
  </si>
  <si>
    <t>Login with the appropriate language</t>
  </si>
  <si>
    <t>1. Select the required language.
 2. Enter an email address or a phone number.
 3. Click on the "I am not a robot" check box.
 4. Performing the requested action that pops up.
 5. Click on "request OTP".
 6. Enter the OTP that was received in the email address.
 7. Click on login.
 NOTE : Perform the same steps for all the 3 languages available</t>
  </si>
  <si>
    <t>The login will be completed successfully after entering the OTP.
 The user should be seeing the selected language for the page.
 NOTE : The selected language should be visible once the user is successfully logged in.</t>
  </si>
  <si>
    <t>TC_Pre-Reg_02</t>
  </si>
  <si>
    <t>Log out and Login into Another language.</t>
  </si>
  <si>
    <t>1. Select the required language.
 2. Login into the account.
 3. Create a application.
 4. Logout.
 5. Select a different language and login.</t>
  </si>
  <si>
    <t>All the details should be visible in the logged in language.</t>
  </si>
  <si>
    <t>login</t>
  </si>
  <si>
    <t>TC_Pre-Reg_03</t>
  </si>
  <si>
    <t>Login with valid email address</t>
  </si>
  <si>
    <t>1. Select the required language.
 2. Enter a valid email address.
 3. Click on "I am not a robot" check box.
 4. Performing the requested action that pops up.
 5. Click on "request OTP".
 6. Enter the OTP that was received in the email address.
 7. Click on login.</t>
  </si>
  <si>
    <t>Once the user clicks request OTP, an OTP will be sent to the email address that was mentioned in login.
 A count down timer for 3 minutes will start indicating the OTP expiration time.
 Please enter the OTP received with in 3 minutes and the user should be successfully able to login.</t>
  </si>
  <si>
    <t>TC_Pre-Reg_04</t>
  </si>
  <si>
    <t>Regression</t>
  </si>
  <si>
    <t>Login with in valid email address</t>
  </si>
  <si>
    <t>1. Select the required language.
 2. Enter an invalid email address.
 3. Click on the "I am not a robot" check box.
 4. Performing the requested action that pops up.
 5. Click on "request OTP".</t>
  </si>
  <si>
    <t>Once the "Request OTP" option is selected, "Invalid email id or mobile number entered" error message is displayed.</t>
  </si>
  <si>
    <t>TC_Pre-Reg_05</t>
  </si>
  <si>
    <t>Login with valid Phone number</t>
  </si>
  <si>
    <t>1. Select the required language.
 2. Enter a phone number.
 3. Click on the "I am not a robot" check box.
 4. Performing the requested action that pops up.
 5. Click on "request OTP".
 6. Enter the OTP that was received to the mobile phone.
 7. Click on login.</t>
  </si>
  <si>
    <t>Once the user clicks request OTP, an OTP will be sent to the phone number that was mentioned in login.
 A count down timer for 3 minutes will start indicating the OTP expiration time.
 Please enter the OTP received with in 3 minutes and the user should be successfully able to login.</t>
  </si>
  <si>
    <t>TC_Pre-Reg_06</t>
  </si>
  <si>
    <t>Login with invalid phone number</t>
  </si>
  <si>
    <t>1. Select the required language.
 2. Enter an invalid Phone Number.
 3. Click on the "I am not a robot" check box.
 4. Performing the requested action that pops up.
 5. Click on "request OTP".</t>
  </si>
  <si>
    <t>OTP</t>
  </si>
  <si>
    <t>TC_Pre-Reg_07</t>
  </si>
  <si>
    <t>Login with email address - Invalid OTP</t>
  </si>
  <si>
    <t>1. Select the required language.
 2. Enter an email address or a phone number.
 3. Click on the "I am not a robot" check box.
 4. Performing the requested action that pops up.
 5. Click on "request OTP".
 6. Enter an invalid OTP.
 7. Click on login.</t>
  </si>
  <si>
    <t>Once the user clicks request OTP, an OTP will be sent to the email address that was mentioned in login.
 A count down timer for 3 minutes will start indicating the OTP expiration time.
 Enter login after entering an invalid OTP, "The OTP entered is not valid" message is displayed.</t>
  </si>
  <si>
    <t>TC_Pre-Reg_08</t>
  </si>
  <si>
    <t>Login with Phone number - Invalid OTP</t>
  </si>
  <si>
    <t>1. Select the required language.
 2. Enter a phone number.
 3. Click on the "I am not a robot" check box.
 4. Performing the requested action that pops up.
 5. Click on "request OTP".
 6. Enter an invalid OTP.
 7. Click on login.</t>
  </si>
  <si>
    <t>Once the user clicks request OTP, an OTP will be sent to the phone number that was mentioned in login.
 A count down timer for 3 minutes will start indicating the OTP expiration time.
 Enter login after entering an invalid OTP, "The OTP entered is not valid" message is displayed.</t>
  </si>
  <si>
    <t>TC_Pre-Reg_09</t>
  </si>
  <si>
    <t>Changing language after requesting OTP</t>
  </si>
  <si>
    <t>1. Select the required language.
 2. Enter an email address.
 3. Click on the "I am not a robot" check box.
 4. Performing the requested action that pops up.
 5. Click on "request OTP".
 6. After receiving OTP change the language.
 7. Enter the OTP and click on login.</t>
  </si>
  <si>
    <t>Once the user clicks request OTP, an OTP will be sent to the email address that was mentioned in login.
 After the language is changed and the OTP is entered the user should be able to login into the Language selected..</t>
  </si>
  <si>
    <t>TC_Pre-Reg_10</t>
  </si>
  <si>
    <t>Checking OTP timeout while login</t>
  </si>
  <si>
    <t>Once the user clicks request OTP, an OTP will be sent to the email address that was mentioned in login.
 A count down timer for 3 minutes will start indicating the OTP expiration time. After the 3 minutes timeout, the user will be asked to request another OTP.</t>
  </si>
  <si>
    <t>TC_Pre-Reg_11</t>
  </si>
  <si>
    <t>Checking OTP after timeout</t>
  </si>
  <si>
    <t>1. Select the required language.
 2. Entert an invalid email address.
 3. Click on the "I am not a robot" check box.
 4. Performing the requested action that pops up.
 5. Click on "request OTP" and wait for time out.</t>
  </si>
  <si>
    <t>Once the user clicks request OTP, an OTP will be sent to the email address that was mentioned in login.
 A count down timer for 3 minutes will start indicating the OTP expiration time. After the 3 minutes timeout, the OTP should expire.</t>
  </si>
  <si>
    <t>TC_Pre-Reg_12</t>
  </si>
  <si>
    <t>First time user login - Navigate to Dash board</t>
  </si>
  <si>
    <t>1. Login into pre-reg with a new user details.
 2. The user is directed to the demographic page.
 3. Accept the terms and conditions.
 4. Click on "Your Applications"</t>
  </si>
  <si>
    <t>The user should be directed to the "Your Applications" page.</t>
  </si>
  <si>
    <t>TC_Pre-Reg_13</t>
  </si>
  <si>
    <t>Single language login</t>
  </si>
  <si>
    <t>1. Login into pre-reg (single) with user details.
 2. Click on "Create new application".
 3. Accept the terms and conditions.</t>
  </si>
  <si>
    <t>The user is directed to the demographic page to enter the application details with out selecting a language</t>
  </si>
  <si>
    <t>TC_Pre-Reg_14</t>
  </si>
  <si>
    <t>Auto logout of inactivity</t>
  </si>
  <si>
    <t>1. Select the required language.
 2. Enter a phone number.
 3. Click on the "I am not a robot" check box.
 4. Performing the requested action that pops up.
 5. Click on "request OTP".
 6. Enter the OTP that was received to the mobile phone.
 7. Click on login 
 8. Wait for some time in the home page with out performing any action.</t>
  </si>
  <si>
    <t>When the user logs in and stays inactive, the application should logout automatically after some time of inactivity with the message "You have been logged out of inactivity."</t>
  </si>
  <si>
    <t>TC_Pre-Reg_15</t>
  </si>
  <si>
    <t>OTP Notification</t>
  </si>
  <si>
    <t>1. Select the required language.
 2. Enter a phone number/ Email address.
 3. Click on the "I am not a robot" check box.
 4. Performing the requested action that pops up.
 5. Click on "request OTP".</t>
  </si>
  <si>
    <t>Verify that the OTP is sent to the email address or the phone number provided.</t>
  </si>
  <si>
    <t>TC_Pre-Reg_16</t>
  </si>
  <si>
    <t>OTP Notification - Language</t>
  </si>
  <si>
    <t>1. Select a different language.
 2. Enter a Email address.
 3. Click on the "I am not a robot" check box.
 4. Performing the requested action that pops up.
 5. Click on "request OTP".</t>
  </si>
  <si>
    <t>Verify that the OTP is sent to the email address in the language selected.</t>
  </si>
  <si>
    <t>TC_Pre-Reg_17</t>
  </si>
  <si>
    <t>OTP Notification - Details</t>
  </si>
  <si>
    <t>1. Select a language.
 2. Enter a Email address.
 3. Click on the "I am not a robot" check box.
 4. Performing the requested action that pops up.
 5. Click on "request OTP".</t>
  </si>
  <si>
    <t>The email will contain the OTP and time it was generated and the expiry time will also be mentioned.</t>
  </si>
  <si>
    <t>TC_Pre-Reg_18</t>
  </si>
  <si>
    <t>Login with valid email address and selecting captcha - do not click on send OTP.</t>
  </si>
  <si>
    <t>1. Click on "I am not a robot" check box.
 2. Do not click on send otp</t>
  </si>
  <si>
    <t>Verification expired. Check the checkbox again.</t>
  </si>
  <si>
    <t>TC_Pre-Reg_19</t>
  </si>
  <si>
    <t>Login with valid Phone number and selecting captcha - do not click on send OTP.</t>
  </si>
  <si>
    <t>TC_Pre-Reg_20</t>
  </si>
  <si>
    <t>Login with captcha enabled</t>
  </si>
  <si>
    <t>1. In the mosip config - &gt; pre-registration-mz.properties:
 Set the mosip.preregistration.captcha.enable=true
 2. Restart the Pre registration services.
 3. Open the Login page.</t>
  </si>
  <si>
    <t>At the login page, captcha should be enabled.</t>
  </si>
  <si>
    <t>TC_Pre-Reg_21</t>
  </si>
  <si>
    <t>Login with captcha disabled</t>
  </si>
  <si>
    <t>1. In the mosip config - &gt; pre-registration-mz.properties:
 Set the mosip.preregistration.captcha.enable=false
 2. Restart the Pre registration services.
 3. Open the Login page.</t>
  </si>
  <si>
    <t>At the login page, captcha should be disabled.</t>
  </si>
  <si>
    <t>Session Activity</t>
  </si>
  <si>
    <t>TC_Pre-Reg_22</t>
  </si>
  <si>
    <t>Try to close browser and open with in 120 seconds of time out</t>
  </si>
  <si>
    <t>1. Login into pre-reg.
 2. Close the browser.
 3. Open the browser with in time out.
 4. Try to open pre-reg</t>
  </si>
  <si>
    <t>If the user tries to login into pre-reg before the time out, the pre-reg page should be logged in automatically</t>
  </si>
  <si>
    <t>TC_Pre-Reg_23</t>
  </si>
  <si>
    <t>Try to close browser and open after 120 seconds of time out</t>
  </si>
  <si>
    <t>1. Login into pre-reg.
 2. Close the browser and wait for the session to timeout.
 3. Open the browser.
 4. Try to open pre-reg</t>
  </si>
  <si>
    <t>If the user tries to login into pre-reg after the time out, the pre-reg page should not be logged in automatically, it should ask to login with the credentials.</t>
  </si>
  <si>
    <t>TC_Pre-Reg_24</t>
  </si>
  <si>
    <t>Check With 2 different browsers.</t>
  </si>
  <si>
    <t>1. Login into pre-reg with one browser.
 2. Create an application.
 3. Open a different browser.
 4. Try to login with the same user details.</t>
  </si>
  <si>
    <t>User should be asked to request OTP and after login user should be able to see the same dashboard.</t>
  </si>
  <si>
    <t>TC_Pre-Reg_25</t>
  </si>
  <si>
    <t>Try to close browser, clear cache and login with in 120 seconds of time out</t>
  </si>
  <si>
    <t>1. Login into pre-reg.
 2. Close the browser and clear cache.
 3. Open the browser.
 4. Try to open pre-reg</t>
  </si>
  <si>
    <t>The pre-reg page should not be logged in automatically, it should ask to login with the credentials.</t>
  </si>
  <si>
    <t>TC_Pre-Reg_26</t>
  </si>
  <si>
    <t>Create an application</t>
  </si>
  <si>
    <t>1. Login to the Pre-reg application.
 2. Click on "CREATE AN application"</t>
  </si>
  <si>
    <t>User should be navigated to the language selection pop up.</t>
  </si>
  <si>
    <t>TC_Pre-Reg_27</t>
  </si>
  <si>
    <t>1. Login to the Pre-reg application.
 2. Click on "CREATE NEW APPLICATION".
 3. Check for the mandatory language</t>
  </si>
  <si>
    <t>The mandatory language should be greyed out without letting the user deselect them. The mandatory language should reflect as per the langauage in application mz properties.</t>
  </si>
  <si>
    <t>TC_Pre-Reg_28</t>
  </si>
  <si>
    <t>1. Login to the Pre-reg application.
 2. Click on "CREATE NEW APPLICATION".
 3. Do not select any language
 4. Click on cancel</t>
  </si>
  <si>
    <t>User should be navigated to the dashboard.</t>
  </si>
  <si>
    <t>TC_Pre-Reg_29</t>
  </si>
  <si>
    <t>1. Login to the Pre-reg application.
 2. Click on "CREATE NEW APPLICATION".
 3. Select any or all languages
 4. Click on cancel</t>
  </si>
  <si>
    <t>TC_Pre-Reg_30</t>
  </si>
  <si>
    <t>1. Login to the Pre-reg application.
 2. Click on "CREATE NEW APPLICATION".
 3. Try to deselect the mandatory langauage</t>
  </si>
  <si>
    <t>User should not be allowed to deselect the mandatory language.</t>
  </si>
  <si>
    <t>TC_Pre-Reg_31</t>
  </si>
  <si>
    <t>1. Login to the Pre-reg application.
 2. Click on "CREATE NEW APPLICATION".
 3. Select any or all languages
 4. Click on submit</t>
  </si>
  <si>
    <t>User should be navigated to the consent form.</t>
  </si>
  <si>
    <t>TC_Pre-Reg_32</t>
  </si>
  <si>
    <t>1. Login to pre reg application with single language env.
 2. Click on create new application.</t>
  </si>
  <si>
    <t>User should not be prompted with language selection pop up. User should be directly navigated to the consent form.</t>
  </si>
  <si>
    <t>TC_Pre-Reg_33</t>
  </si>
  <si>
    <t>Creating an application</t>
  </si>
  <si>
    <t>1. Login to the Pre-reg application.
 2. Click on "CREATE NEW APPLICATION".
 3. Select the language.
 4. Check the agree terms and conditions checkbox and click on ACCEPT and continue with the application.</t>
  </si>
  <si>
    <t>After the user log in successfully &gt; clicking on the "CREATE NEW APPLICATION" &gt; Filling the application form and uploading the required documents should create the application successfully.</t>
  </si>
  <si>
    <t>TC_Pre-Reg_34</t>
  </si>
  <si>
    <t>1. Login to the Pre-reg application.
 2. Click on "CREATE NEW APPLICATION".
 3. Select the language.
 4.Do not Check the agree terms and conditions checkbox and click on ACCEPT</t>
  </si>
  <si>
    <t>Accept should be displayed until the terms and conditions are accepted.</t>
  </si>
  <si>
    <t>TC_Pre-Reg_35</t>
  </si>
  <si>
    <t>1. Login to the Pre-reg application.
 2. Click on "CREATE NEW APPLICATION".
 3. Select the language.
 4. Check the agree terms and conditions checkbox and click on Cancel</t>
  </si>
  <si>
    <t>User should be navigated to the applications dashboard.</t>
  </si>
  <si>
    <t>TC_Pre-Reg_36</t>
  </si>
  <si>
    <t>First language selection after the login session</t>
  </si>
  <si>
    <t>1. Select the required language.
 2. Enter a new email address or a phone number.
 3. Click on the "I am not a robot" check box.
 4. Performing the requested action that pops up.
 5. Click on "request OTP".
 6. Enter the OTP that was received in the email address.
 7. Click on login.
 8. After login you can see the option to select the languages.
 9. Select the language and click SUBMIT.</t>
  </si>
  <si>
    <t>The language selected will be the language for the session, the option does not come until a new session is started.</t>
  </si>
  <si>
    <t>TC_Pre-Reg_37</t>
  </si>
  <si>
    <t>Change language when we select the create application option.</t>
  </si>
  <si>
    <t>1. Select the required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Select the language and Check the agree terms and conditions and click on ACCEPT.</t>
  </si>
  <si>
    <t>The selected language will be the language for the application.</t>
  </si>
  <si>
    <t>TC_Pre-Reg_38</t>
  </si>
  <si>
    <t>Change data capture language while creating an application.</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</si>
  <si>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Click on the "CHANGE DATA CAPTURE LANGUAGE" to change the language.</t>
  </si>
  <si>
    <t>The option to select or change language will be give, click on it and select SUBMIT this will change the language</t>
  </si>
  <si>
    <t>TC_Pre-Reg_39</t>
  </si>
  <si>
    <t>Change data capture language while creating an application(After entering data) and selecting "OK"</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</si>
  <si>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Fill the application a little.
 11. Click on the "CHANGE DATA CAPTURE LANGUAGE" to change the language.</t>
  </si>
  <si>
    <t>"All data entered will be discarded and you will have to restart. Please Confirm." message will be displayed, please select "OK" to change. After that the user will get a pop up to select or change the language.</t>
  </si>
  <si>
    <t>TC_Pre-Reg_40</t>
  </si>
  <si>
    <t>Change data capture language while creating an application(After entering data) and selecting "DISCARD"</t>
  </si>
  <si>
    <t>"All data entered will be discarded and you will have to restart. Please Confirm." message will be displayed, please select "DISCARD" so that the entered values will not be discarded and the user can continue filling the application.</t>
  </si>
  <si>
    <t>TC_Pre-Reg_41</t>
  </si>
  <si>
    <t>Creating application using combination of different capture languages.</t>
  </si>
  <si>
    <t>1. Login into pre-reg Application.
 2. Click on "CREATE NEW APPLICATION" and click ON SUBMIT 
 3. Check the agree terms and conditions and click on ACCEPT.
 4. Fill the application and complete the process and book an appointment.
 5. Logout from the application.
 6. Login with a different language.
 7. Try to view the application and complete the booking process</t>
  </si>
  <si>
    <t>After logging in a different language, the data capture language should be as the previous language and when you click on the view application link, the application information should be in the original language but the remaining UI should be in the second language selected.</t>
  </si>
  <si>
    <t>TC_Pre-Reg_42</t>
  </si>
  <si>
    <t>Give max data for all the fields in demographic details page</t>
  </si>
  <si>
    <t>1. Login into Pre-Reg.
 2. Click on "CREATE NEW APPLICATION" and click ON SUBMIT 
 3. Check the agree terms and conditions and click on ACCEPT.
 4. While filling the application, enter maximum data for all the fields in demographic details page.</t>
  </si>
  <si>
    <t>The user should not be allowed to navigate to the next page when the data exceeds the maximum data, it should prompt the user with the appropriate validation message.
 The application should be created only when the data is within the defined limit.</t>
  </si>
  <si>
    <t>TC_Pre-Reg_43</t>
  </si>
  <si>
    <t>Gender dropdown values</t>
  </si>
  <si>
    <t>1. Login into Pre-Reg.
 2. Click on "CREATE NEW APPLICATION" and click ON SUBMIT 
 3. Check the agree terms and conditions and click on ACCEPT.
 4. While filling the application, select the gender dropdown.</t>
  </si>
  <si>
    <t>The gender drop down should display the defined dynamic fields.</t>
  </si>
  <si>
    <t>TC_Pre-Reg_44</t>
  </si>
  <si>
    <t>Using a all available genders (Male/Female/Others) while creating an application.</t>
  </si>
  <si>
    <t>1. Login into Pre-Reg.
 2. Click on "CREATE NEW APPLICATION" and click ON SUBMIT 
 3. Check the agree terms and conditions and click on ACCEPT.
 4. Fill the application.
 5. Try to complete the application with different genders.</t>
  </si>
  <si>
    <t>The application should be completed with out any errors for any gender selected.</t>
  </si>
  <si>
    <t>TC_Pre-Reg_45</t>
  </si>
  <si>
    <t>Mandatory fields validation in location hierarchy - Normal</t>
  </si>
  <si>
    <t>1. Login into Pre-Reg.
 2. Click on "CREATE NEW APPLICATION" and click ON SUBMIT 
 3. Check the agree terms and conditions and click on ACCEPT.
 4. Fill the application.
 5. Try to complete the application by Choose the values in the dropdown for the address in the order of the hierarchy.(Region-&gt;Province-&gt;City-&gt;Zone-&gt;Postal code)</t>
  </si>
  <si>
    <t>The dropdown should display the values based on the hierarchical selection.</t>
  </si>
  <si>
    <t>TC_Pre-Reg_46</t>
  </si>
  <si>
    <t>Verifying the Mandatory (*) symbol display.</t>
  </si>
  <si>
    <t>1. Login into Pre-Reg.
 2. Click on "CREATE NEW APPLICATION" and click ON SUBMIT 
 3. Check the agree terms and conditions and click on ACCEPT.
 check for the mandatory symbol</t>
  </si>
  <si>
    <t>The mandatory fields should be displayed with the * symbol.</t>
  </si>
  <si>
    <t>TC_Pre-Reg_47</t>
  </si>
  <si>
    <t>Do not enter information in any fields</t>
  </si>
  <si>
    <t>1. Login into Pre-Reg.
 2. Click on "CREATE NEW APPLICATION" and click ON SUBMIT 
 3. Check the agree terms and conditions and click on ACCEPT.
 4. Do not fill the application and click on continue.</t>
  </si>
  <si>
    <t>The click on continue should display "Field name is required" for all the mandatory fields only.</t>
  </si>
  <si>
    <t>TC_Pre-Reg_48</t>
  </si>
  <si>
    <t>Trying to complete the application with out filling the mandatory fields.</t>
  </si>
  <si>
    <t>1. Login into Pre-Reg.
 2. Click on "CREATE NEW APPLICATION" and click ON SUBMIT 
 3. Check the agree terms and conditions and click on ACCEPT.
 4. Fill the application.
 5. Try to complete the application by leaving the mandatory ("*") fields.</t>
  </si>
  <si>
    <t>When user tries to complete the application with the mandatory fields empty, an appropriate error message should be displayed. The application should not be completed with the mandatory fields empty.</t>
  </si>
  <si>
    <t>TC_Pre-Reg_49</t>
  </si>
  <si>
    <t>Trying to complete the application with out filling the non-mandatory fields.</t>
  </si>
  <si>
    <t>1. Login into Pre-Reg.
 2. Click on "CREATE NEW APPLICATION" and click ON SUBMIT 
 3. Check the agree terms and conditions and click on ACCEPT.
 4. Fill the application.
 5. Try to complete the application by leaving the non-mandatory fields.</t>
  </si>
  <si>
    <t>The application should be completed with the non-mandatory fields empty.</t>
  </si>
  <si>
    <t>TC_Pre-Reg_50</t>
  </si>
  <si>
    <t>The dropdown should display the values based on the hierachial selection.</t>
  </si>
  <si>
    <t>TC_Pre-Reg_51</t>
  </si>
  <si>
    <t>Mandatory fields validation in location hierarchy - Skipping a dropdown in the hierarchy.</t>
  </si>
  <si>
    <t>1. Login into Pre-Reg.
 2. Click on "CREATE NEW APPLICATION" and click ON SUBMIT 
 3. Check the agree terms and conditions and click on ACCEPT.
 4. Fill the application.
 5. Try to complete the application by Choose the values in the dropdown for the address without the order of the hierarchy.(Ex: Choose City without choosing Region and Province)</t>
  </si>
  <si>
    <t>Message should be displayed to the user "Choose the address fields in hierarchical (Region-&gt;Province-&gt;City-&gt;Zone-&gt;Postal code)".</t>
  </si>
  <si>
    <t>TC_Pre-Reg_52</t>
  </si>
  <si>
    <t>Mandatory fields validation in location hierarchy - Going back and changing the hierarchy.</t>
  </si>
  <si>
    <t>1. Login into Pre-Reg.
 2. Click on "CREATE NEW APPLICATION" and click ON SUBMIT 
 3. Check the agree terms and conditions and click on ACCEPT.
 4. Fill the application.
 5. Enter the mandatory fields.
 6. Click on continue.
 7. Click back.
 8. Edit the location hierarchy fields such as Region/Province."</t>
  </si>
  <si>
    <t>The rest of the location hierarchy fields below Region/province should become blank. User should select the location again.</t>
  </si>
  <si>
    <t>TC_Pre-Reg_53</t>
  </si>
  <si>
    <t>Search in dropdown in Pre registration - Matching Result</t>
  </si>
  <si>
    <t>1. login into Pre-Reg.
 2. Click on ""CREATE NEW APPLICATION"" and click ON
 3. Check the agree terms and conditions and click on ACCEPT.
 4. Fill the application.
 5. While filling the application, verify the search feature in the dropdown menu with Matching Result.</t>
  </si>
  <si>
    <t>User should be able to search within the dropdown list, the matching results should be displayed and it should not be case sensitive.</t>
  </si>
  <si>
    <t>TC_Pre-Reg_54</t>
  </si>
  <si>
    <t>Search dropdown - Case sensitivity</t>
  </si>
  <si>
    <t>1. login into Pre-Reg.
 2. Click on ""CREATE NEW APPLICATION"" and click ON
 3. Check the agree terms and conditions and click on ACCEPT.
 4. Fill the application.
 5. While filling the application, verify the search feature in the dropdown menu with mixed upper case and lower case letters.</t>
  </si>
  <si>
    <t>User should be able to get the result as per the input</t>
  </si>
  <si>
    <t>TC_Pre-Reg_55</t>
  </si>
  <si>
    <t>Search dropdown - partial sesarch</t>
  </si>
  <si>
    <t>1. login into Pre-Reg.
 2. Click on ""CREATE NEW APPLICATION"" and click ON
 3. Check the agree terms and conditions and click on ACCEPT.
 4. Fill the application.
 5. While filling the application, verify the search feature in the dropdown menu with partial input like single alphabets.</t>
  </si>
  <si>
    <t>TC_Pre-Reg_56</t>
  </si>
  <si>
    <t>1. login into Pre-Reg.
 2. Click on ""CREATE NEW APPLICATION"" and click ON
 3. Check the agree terms and conditions and click on ACCEPT.
 4. Fill the application.
 5. While filling the application, verify the search feature in the dropdown menu with Non Matching Result.</t>
  </si>
  <si>
    <t>When non matching values are entered it should not show any information of the drop down.</t>
  </si>
  <si>
    <t>TC_Pre-Reg_57</t>
  </si>
  <si>
    <t>Verifying special characters in name fields</t>
  </si>
  <si>
    <t>1. login into Pre-Reg.
 2. Click on "CREATE NEW APPLICATION" and click ON SUBMIT.
 3. Check the agree terms and conditions and click on ACCEPT.
 4. While filling the application, give special characters in the name field.</t>
  </si>
  <si>
    <t>Special characters should not be accepted in name field.</t>
  </si>
  <si>
    <t>TC_Pre-Reg_58</t>
  </si>
  <si>
    <t>Verifying input for the telephone number input field.</t>
  </si>
  <si>
    <t>1. login into Pre-Reg.
 2. Click on "CREATE NEW APPLICATION" and click ON SUBMIT.
 3. Check the agree terms and conditions and click on ACCEPT.
 4. While filling the application, enter the name in a language and click on the next text field.</t>
  </si>
  <si>
    <t>The text box should accept a number of 10 digits in the telephone number field.</t>
  </si>
  <si>
    <t>TC_Pre-Reg_59</t>
  </si>
  <si>
    <t>Verifying input for the email address input field.</t>
  </si>
  <si>
    <t>The text box should accept an input of format "example@email.com" only for the email address field.</t>
  </si>
  <si>
    <t>TC_Pre-Reg_60</t>
  </si>
  <si>
    <t>Verifying names and details auto reflecting in the other language when multi languages are selected.</t>
  </si>
  <si>
    <t>When a text box is filled in a language, the other language box shoule be auto filled with that language when the text box is refreshed.</t>
  </si>
  <si>
    <t>TC_Pre-Reg_61</t>
  </si>
  <si>
    <t>Verifying special characters in Address fields</t>
  </si>
  <si>
    <t>1. login into Pre-Reg.
 2. Click on "CREATE NEW APPLICATION" and click ON SUBMIT.
 3. Check the agree terms and conditions and click on ACCEPT.
 4. While filling the application, give special characters only in the address field.</t>
  </si>
  <si>
    <t>Just Special characters should not be accepted in address field.</t>
  </si>
  <si>
    <t>TC_Pre-Reg_62</t>
  </si>
  <si>
    <t>Verifying the max limit of the document size to be uploaded - Try uploading a file more than 2 MB</t>
  </si>
  <si>
    <t>1. login into Pre-Registration.
 2. Fill the application.
 3. When reached the upload document page, try to upload a file more than 2 MB.</t>
  </si>
  <si>
    <t>At the document uploading page, when the user tries to upload a document execcding the maz size limit an appropriate error message should be displayed.
 The uploading must cancel with a error message "Document exceeding the allowed size".</t>
  </si>
  <si>
    <t>TC_Pre-Reg_63</t>
  </si>
  <si>
    <t>At upload document page, enter special characters, upload docs and navigate front and back.</t>
  </si>
  <si>
    <t>1. Login into Pre-Registration.
 10. Fill the application and upload the documents
 11. At the document upload page, enter special characters in the "Document reference ID" field &gt; Click on "CONTINUE" &gt; and click on "BACK"</t>
  </si>
  <si>
    <t>When returning back to the document upload page the data entered in the "Document reference ID" box should be saved</t>
  </si>
  <si>
    <t>TC_Pre-Reg_64</t>
  </si>
  <si>
    <t>Verifying the document type to be uploaded - Try uploading a file other than "pdf,jpeg,png,jpg"</t>
  </si>
  <si>
    <t>1. login into Pre-Registration.
 2. Fill the application.
 3. When reached the upload document page, try to upload a file type other than "pdf,jpeg,png,jpg"</t>
  </si>
  <si>
    <t>At the document uploading page, when the user tries to upload a invalid file format an appropriate error message should be displayed.
 The uploading must cancel with a error message "The file type is not supported".</t>
  </si>
  <si>
    <t>TC_Pre-Reg_65</t>
  </si>
  <si>
    <t>Using a valid type of the file format and within the max size document to upload in the application process</t>
  </si>
  <si>
    <t>1. login into Pre-Registration.
 2. Fill the application.
 3. When reached the upload document page, try to upload a file of "pdf,jpeg,png,jpg" and size within 2 MB size.</t>
  </si>
  <si>
    <t>At the document uploading page, the suggested file format in the suggested size should be uploaded.
 The upload should be successfully completed with out any error in the above combination.</t>
  </si>
  <si>
    <t>TC_Pre-Reg_66</t>
  </si>
  <si>
    <t>View Uploaded Document</t>
  </si>
  <si>
    <t>1. login into Pre-Registration.
 2. Fill the application.
 3. When reached the upload document page, try to upload a file.
 4. After the file is uploaded please click on the "eye" link to view the uploaded document.</t>
  </si>
  <si>
    <t>The uploaded document should be viewed with out any problem.</t>
  </si>
  <si>
    <t>TC_Pre-Reg_67</t>
  </si>
  <si>
    <t>Re-upload a new Document</t>
  </si>
  <si>
    <t>1. login into Pre-Registration.
 2. Fill the application.
 3. When reached the upload document page, try to upload a file.
 4. After the file is uploaded browse and try to upload a new file.</t>
  </si>
  <si>
    <t>The uploaded newly uploaded document should be reflecting in the application.</t>
  </si>
  <si>
    <t>TC_Pre-Reg_68</t>
  </si>
  <si>
    <t>Delete uploaded Document</t>
  </si>
  <si>
    <t>1. login into Pre-Registration.
 2. Fill the application.
 3. When reached the upload document page, try to upload a file.
 4. After the file is uploaded please click on the "delete" link to delete the uploaded document.</t>
  </si>
  <si>
    <t>The uploaded document should be deleted with out any problem.</t>
  </si>
  <si>
    <t>TC_Pre-Reg_69</t>
  </si>
  <si>
    <t>Re-upload deleted Document</t>
  </si>
  <si>
    <t>1. login into Pre-Registration.
 2. Fill the application.
 3. When reached the upload document page, try to upload a file.
 4. After the file is uploaded please click on the "delete" link to delete the uploaded document and try to re-upload it again.</t>
  </si>
  <si>
    <t>The uploaded socument should be deleted and re-uploaded with out any problem.</t>
  </si>
  <si>
    <t>TC_Pre-Reg_70</t>
  </si>
  <si>
    <t>browse diff format of file Documents</t>
  </si>
  <si>
    <t>1. login into Pre-Registration.
 2. Fill the application.
 3. When reached the upload document page, try to upload files of different formats.</t>
  </si>
  <si>
    <t>The suggested file types "pdf,jpeg,png,jpg" should be uploaded with out any problem, any formatother than the 4 suggested file formats should not be uploaded.</t>
  </si>
  <si>
    <t>TC_Pre-Reg_71</t>
  </si>
  <si>
    <t>Try adding a lengthy document name within the limit of characters</t>
  </si>
  <si>
    <t>1. login into Pre-Registration.
 2. Fill the application.
 3. When reached the upload document page, try to upload a file of size less than 50 characters(50 characters is the limit)</t>
  </si>
  <si>
    <t>When the file name length is less than 50 characters, the document shoule be uploaded.</t>
  </si>
  <si>
    <t>TC_Pre-Reg_72</t>
  </si>
  <si>
    <t>Try adding a lengthy document name exceeding the limit of characters</t>
  </si>
  <si>
    <t>1. login into Pre-Registration.
 2. Fill the application.
 3. When reached the upload document page, try to upload a file of size more than 50 characters(50 characters is the limit)</t>
  </si>
  <si>
    <t>When the file name length is more than 50 characters, the document shoule not be uploaded as the limit is 50 characters only.</t>
  </si>
  <si>
    <t>TC_Pre-Reg_73</t>
  </si>
  <si>
    <t>Try adding document reference ID and navigate</t>
  </si>
  <si>
    <t>1. login into Pre-Registration.
 2. Fill the application.
 3. When reached the upload document page, try to upload a file, add reference ID is the text box in all the required fields and navigate.</t>
  </si>
  <si>
    <t>The document should be uploaded and navigation to next page should be successful with the reference ID added in the document page.</t>
  </si>
  <si>
    <t>TC_Pre-Reg_74</t>
  </si>
  <si>
    <t>In the address proof add different options in "same as" field</t>
  </si>
  <si>
    <t>1. login into Pre-Registration.
 2. Fill the application.
 3. When reached the upload document page, try to upload a file and select a name in the "same as" field and try to make a booking</t>
  </si>
  <si>
    <t>After the document is uploaded, the user should be able to navigate after selecting a name is "same as" field and book an appointment successfully.</t>
  </si>
  <si>
    <t>TC_Pre-Reg_75</t>
  </si>
  <si>
    <t>Verify the upload document page with different languages</t>
  </si>
  <si>
    <t>1. login into Pre-Registration.
 2. Fill the application.
 3. When reached the upload document page, try to upload a file.
 NOTE : Try to upload the documents in all the other available languages.</t>
  </si>
  <si>
    <t>The documents should be uplaoded successfully with different languages available.</t>
  </si>
  <si>
    <t>TC_Pre-Reg_76</t>
  </si>
  <si>
    <t>"Same as" feature for first time user</t>
  </si>
  <si>
    <t>1. Login into Pre-Registration as first time user.
 2. Click on "CREATE NEW APPLICATION" and create an application
 3. Navigate to the Document upload page.
 4. Verify the Address proof entry.</t>
  </si>
  <si>
    <t>There should be no "Same as" option near the address proof.</t>
  </si>
  <si>
    <t>TC_Pre-Reg_77</t>
  </si>
  <si>
    <t>"Same as" with Doc Ref ID</t>
  </si>
  <si>
    <t>1. Login into Pre-Registration.
 2. Click on "CREATE NEW APPLICATION" and create an application with documents and add a document reference ID.
 3. Create another application and complete the demographic page.
 4. At the document page, select the "same as" option.</t>
  </si>
  <si>
    <t>Once the name in the same as is selected the document with the reference ID mentioned in the previous application will be appended in the current application.</t>
  </si>
  <si>
    <t>TC_Pre-Reg_78</t>
  </si>
  <si>
    <t>"Same as" with out Doc Ref ID</t>
  </si>
  <si>
    <t>1. Login into Pre-Registration.
 2. Click on "CREATE NEW APPLICATION" and create an application with documents and do not add a document reference ID.
 3. Create another application and complete the demographic page.
 4. At the document page, select the "same as" option.</t>
  </si>
  <si>
    <t>Once the name in the same as is selected the document in the previous application will be appended to the current application.</t>
  </si>
  <si>
    <t>TC_Pre-Reg_79</t>
  </si>
  <si>
    <t>Marking "same as" and changing to none.</t>
  </si>
  <si>
    <t>1. Login into Pre-Registration.
 2. Click on "CREATE NEW APPLICATION" and create an application with documents and do not add a document reference ID.
 3. Create another application and complete the demographic page.
 4. At the document page, select the "same as" option and change back to "None"</t>
  </si>
  <si>
    <t>When changed to None, the appended information and document should be removed from the current application.</t>
  </si>
  <si>
    <t>TC_Pre-Reg_80</t>
  </si>
  <si>
    <t>Creating an application by selecting the age between 0-5</t>
  </si>
  <si>
    <t>1. Login into Pre-Reg.
 2. Click on "CREATE NEW APPLICATION" and click ON SUBMIT 
 3. Check the agree terms and conditions and click on ACCEPT.
 4. While filling the application, enter the age of the applicant less than 5 years and complete the application..
 5. Navigate to the preview page.</t>
  </si>
  <si>
    <t>The application should be completed successfully and the documents that are requested shoule be according to the applicant mvel file.</t>
  </si>
  <si>
    <t>TC_Pre-Reg_81</t>
  </si>
  <si>
    <t>Create an application with child age and modify it to a adult age.</t>
  </si>
  <si>
    <t>1. Login into Pre-Reg.
 2. Click on "CREATE NEW APPLICATION" and click ON SUBMIT 
 3. Check the agree terms and conditions and click on ACCEPT.
 4. While filling the application, enter the age of the applicant less than 5 years and complete the application without booking appointment.
 5. Complete the application process and navigate to the home page.
 6. From home page edit the application and change the age to a 2 digit adult age.</t>
  </si>
  <si>
    <t>The application should be completed successfully and the documents that are requested shoule be according to the applicant mvel file for an adult applicant.</t>
  </si>
  <si>
    <t>TC_Pre-Reg_82</t>
  </si>
  <si>
    <t>Verifying the document types based on the applicant age.</t>
  </si>
  <si>
    <t>1. Login into Pre-Reg.
 2. Click on "CREATE NEW APPLICATION" and click ON SUBMIT 
 3. Check the agree terms and conditions and click on ACCEPT.
 4. Fill the application.
 5. Try to complete the application with age below 5 years(Child) and age with 2 digits and above(adult).</t>
  </si>
  <si>
    <t>TC_Pre-Reg_83</t>
  </si>
  <si>
    <t>Preview Page of Appointment.</t>
  </si>
  <si>
    <t>1. Login into Pre-Reg.
 2. Click on "CREATE NEW APPLICATION" and click ON SUBMIT 
 3. Check the agree terms and conditions and click on ACCEPT.
 4. Fill the application and upload the required docs.
 5. Navigate to the preview page.</t>
  </si>
  <si>
    <t>The Preview page will show the Application information in the selected languages.</t>
  </si>
  <si>
    <t>TC_Pre-Reg_84</t>
  </si>
  <si>
    <t>Edit the documents from Preview page</t>
  </si>
  <si>
    <t>1. Login into Pre-Reg.
 2. Create an application and navigate to preview page. 
 3. Click on the edit option next to the documents in the preview page</t>
  </si>
  <si>
    <t>The user will be navigated to the document upload page for modifications.</t>
  </si>
  <si>
    <t>TC_Pre-Reg_85</t>
  </si>
  <si>
    <t>Edit the application from Preview page</t>
  </si>
  <si>
    <t>1. Login into Pre-Reg.
 2. Create an application and navigate to preview page. 
 3. Click on the edit option next to the application details in the preview page</t>
  </si>
  <si>
    <t>The user will be navigated to the demographic page for modifications.</t>
  </si>
  <si>
    <t>TC_Pre-Reg_86</t>
  </si>
  <si>
    <t>Preview page - Click on "Add an applicant"</t>
  </si>
  <si>
    <t>1. Login into Pre-Reg.
 2. Click on "CREATE NEW APPLICATION" and click ON SUBMIT 
 3. Check the agree terms and conditions and click on ACCEPT.
 4. Fill the application and upload the required docs.
 5. Navigate to the preview page.
 6. Click on "Add an Applicant"</t>
  </si>
  <si>
    <t>The user will be navigated to consent page.</t>
  </si>
  <si>
    <t>TC_Pre-Reg_87</t>
  </si>
  <si>
    <t>Preview page - Click on "Add an applicant" - Accpet terms and conditions.</t>
  </si>
  <si>
    <t>1. Login into Pre-Reg.
 2. Click on "CREATE NEW APPLICATION" and click ON SUBMIT 
 3. Check the agree terms and conditions and click on ACCEPT.
 4. Fill the application and upload the required docs.
 5. Navigate to the preview page.
 6. Click on "Add an Applicant"
 7. Accept Terms and Conditions and click on ACCEPT.</t>
  </si>
  <si>
    <t>The user will be navigated to the demographic page to complete the application.</t>
  </si>
  <si>
    <t>TC_Pre-Reg_88</t>
  </si>
  <si>
    <t>Preview page - Click on "Add an applicant" - Do not accpet terms and conditions.</t>
  </si>
  <si>
    <t>1. Login into Pre-Reg.
 2. Click on "CREATE NEW APPLICATION" and click ON SUBMIT 
 3. Check the agree terms and conditions and click on ACCEPT.
 4. Fill the application and upload the required docs.
 5. Navigate to the preview page.
 6. Click on "Add an Applicant"
 7. Click on "Cancel".</t>
  </si>
  <si>
    <t>"You will be redirected to ‘Preview Page’ due to not accepting Terms &amp; Conditions" message will be displayed and will be redirected to the preview page on clicking on OK.</t>
  </si>
  <si>
    <t>TC_Pre-Reg_89</t>
  </si>
  <si>
    <t>Preview application after selecting all 3 languages while creating the application.</t>
  </si>
  <si>
    <t>1. Login into Pre-Reg.
 2. Click on "CREATE NEW APPLICATION" and click ON SUBMIT 
 3. Check the agree terms and conditions and click on ACCEPT.
 4. Fill the application with all 4 Languages and upload the required docs.
 5. Navigate to the preview page.</t>
  </si>
  <si>
    <t>The Preview page will show the Application information in data capture language selected by the user.</t>
  </si>
  <si>
    <t>TC_Pre-Reg_90</t>
  </si>
  <si>
    <t>Search at country level, look for pagination in results.</t>
  </si>
  <si>
    <t>1. Login into Pre-Registration.
 2. Click on ""CREATE NEW APPLICATION"" and click ON
 3. Check the agree terms and conditions and click on ACCEPT.
 4. Fill the application and upload the documents.
 5. Click on continue.
 6. Click on the "Search" button and enter "Country" and click on Search again.</t>
  </si>
  <si>
    <t>The results should show all the Centers available in the country, the user should be able to navigate front and back.</t>
  </si>
  <si>
    <t>TC_Pre-Reg_91</t>
  </si>
  <si>
    <t>Search at country level, look for pagination in results - edit the "items per page"</t>
  </si>
  <si>
    <t>1. Login into Pre-Registration.
 2. Click on ""CREATE NEW APPLICATION"" and click ON
 3. Check the agree terms and conditions and click on ACCEPT.
 4. Fill the application and upload the documents.
 5. Click on continue.
 6. Click on the "Search" button and enter "Country" and click on Search again, change the "items per page" values.</t>
  </si>
  <si>
    <t>The number of results should be showed as per the number selected in the drop down menu.</t>
  </si>
  <si>
    <t>TC_Pre-Reg_92</t>
  </si>
  <si>
    <t>Search for near by feature</t>
  </si>
  <si>
    <t>1. Login into Pre-Registration.
 2. Click on ""CREATE NEW APPLICATION"" and click ON
 3. Check the agree terms and conditions and click on ACCEPT.
 4. Fill the application and upload the documents.
 5. Click on continue.
 6. Click on the "Search" button and enter "Country" 
 7. Click on Search again, change the "items per page" values.
 8. Click on the "Near By" link and allow location permissions.</t>
  </si>
  <si>
    <t>The centers near to the current location should be displayed.</t>
  </si>
  <si>
    <t>TC_Pre-Reg_93</t>
  </si>
  <si>
    <t>Booking an appointment - trying with out selecting the name of applicant.</t>
  </si>
  <si>
    <t>1. Login into Pre-Registration.
 2. Click on "CREATE NEW APPLICATION" and click ON SUBMIT.
 3. Check the agree terms and conditions, click on ACCEPT and upload the required document and go to book appointment page.
 4. At the book appointment page select the slots and do not select the applicant name and click on "BOOK APPOINTMENT".</t>
  </si>
  <si>
    <t>An appropriate message should be displayed to select the name to confirm the booking of the appointment.</t>
  </si>
  <si>
    <t>TC_Pre-Reg_94</t>
  </si>
  <si>
    <t>Booking an appointment - Selecting a slot</t>
  </si>
  <si>
    <t>1. Login into Pre-Registration.
 2. Click on "CREATE NEW APPLICATION" and click ON SUBMIT.
 3. Check the agree terms and conditions, click on ACCEPT and upload the required document and go to book appointment page.
 4. At the book appointment page select the slots .</t>
  </si>
  <si>
    <t>The slot time and date should be displayed on the right</t>
  </si>
  <si>
    <t>TC_Pre-Reg_95</t>
  </si>
  <si>
    <t>Booking an appointment - Selecting a slot - selecting name and trying to change.</t>
  </si>
  <si>
    <t>1. Login into Pre-Registration.
 2. Click on "CREATE NEW APPLICATION" and click ON SUBMIT.
 3. Check the agree terms and conditions, click on ACCEPT and upload the required document and go to book appointment page.
 4. At the book appointment page select a slot, the date and timings gets displayed on the right
 Choose another slot with different date</t>
  </si>
  <si>
    <t>The slot gets selected but should not get refreshed on the right side with the applicant name.</t>
  </si>
  <si>
    <t>TC_Pre-Reg_96</t>
  </si>
  <si>
    <t>Booking an appointment - Selecting a slot - selecting name and deleting name and trying to change date and time.</t>
  </si>
  <si>
    <t>1. Login into Pre-Registration.
 2. Click on "CREATE NEW APPLICATION" and click ON SUBMIT.
 3. Check the agree terms and conditions, click on ACCEPT and upload the required document and go to book appointment page.
 4. At the book appointment page select a slot and the date and timings gets displayed on the right
 5. Deselect them and then Choose another date and slot</t>
  </si>
  <si>
    <t>The slot change should get reflected in the right bottom corner.</t>
  </si>
  <si>
    <t>TC_Pre-Reg_97</t>
  </si>
  <si>
    <t>Should be able to modify before booking appointment</t>
  </si>
  <si>
    <t>1. Login into Pre-Registration.
 2. Click on "CREATE NEW APPLICATION" and click ON SUBMIT.
 3. Check the agree terms and conditions and click on ACCEPT.
 4. After the application is completed do not continue and go to the home page.</t>
  </si>
  <si>
    <t>In the home page, by Selecting the "Modify Application" option the user should be able to edit the application and save the changes.</t>
  </si>
  <si>
    <t>TC_Pre-Reg_98</t>
  </si>
  <si>
    <t>Lock functionality after creating application and before booking an appointment</t>
  </si>
  <si>
    <t>In the home page, near the application that is not booked yet, there should be no lock symbol as we can modify the application before booking an appointment.
 The lock symbol should not be displayed as the booking is not yet completed.</t>
  </si>
  <si>
    <t>TC_Pre-Reg_99</t>
  </si>
  <si>
    <t>1. Login into Pre-Registration.
 2. Click on "CREATE NEW APPLICATION" and click ON SUBMIT.
 3. Check the agree terms and conditions and click on ACCEPT.
 4. After the application is completed continue.</t>
  </si>
  <si>
    <t>The user should be prompted with a message "Are you sure you want to submit details? Once submitted the details cannot be modified"</t>
  </si>
  <si>
    <t>TC_Pre-Reg_100</t>
  </si>
  <si>
    <t>Prompt message for booking an application - Click on Cancel</t>
  </si>
  <si>
    <t>1. Login into Pre-Registration.
 2. Click on "CREATE NEW APPLICATION" and click ON SUBMIT.
 3. Check the agree terms and conditions and click on ACCEPT.
 4. After the application is completed do not continue. 
 5. Click cancel</t>
  </si>
  <si>
    <t>Click on cancel should not book the appointment 
 user should be retained in the book appointment page itself.</t>
  </si>
  <si>
    <t>TC_Pre-Reg_101</t>
  </si>
  <si>
    <t>Prompt message for booking an application - Click on OK.</t>
  </si>
  <si>
    <t>1. Login into Pre-Registration.
 2. Click on "CREATE NEW APPLICATION" and click ON SUBMIT.
 3. Check the agree terms and conditions and click on ACCEPT.
 Click cancel
 4. After the application is completed continue and click on OK</t>
  </si>
  <si>
    <t>click on ok should book the appointment.</t>
  </si>
  <si>
    <t>TC_Pre-Reg_102</t>
  </si>
  <si>
    <t>Booking Application - Select a slot and Click on "BOOK LATER"</t>
  </si>
  <si>
    <t>1. Login into Pre-Registration.
 2. Click on "CREATE NEW APPLICATION" and click ON SUBMIT.
 3. Check the agree terms and conditions and click on ACCEPT.
 4. After the application is completed, upload documents and continue to the slots booking page.. 
 5. Click "BOOK LATER".</t>
  </si>
  <si>
    <t>User should be navigated to the dashboard</t>
  </si>
  <si>
    <t>TC_Pre-Reg_103</t>
  </si>
  <si>
    <t>Booking Application - Select a slot and Click on "NEXT"</t>
  </si>
  <si>
    <t>1. Login into Pre-Registration.
 2. Click on "CREATE NEW APPLICATION" and click ON SUBMIT.
 3. Check the agree terms and conditions and click on ACCEPT.
 4. After the application is completed, upload documents and continue to the slots booking page.. 
 5. Click "NEXT".</t>
  </si>
  <si>
    <t>user should be navigated to the future dates</t>
  </si>
  <si>
    <t>TC_Pre-Reg_104</t>
  </si>
  <si>
    <t>Booking Application - Select a slot and Click on "PREVIOUS"</t>
  </si>
  <si>
    <t>1. Login into Pre-Registration.
 2. Click on "CREATE NEW APPLICATION" and click ON SUBMIT.
 3. Check the agree terms and conditions and click on ACCEPT.
 4. After the application is completed, upload documents and continue to the slots booking page.. 
 5. Click "PREVIOUS".</t>
  </si>
  <si>
    <t>The previous dates should not be displayed to the user.</t>
  </si>
  <si>
    <t>TC_Pre-Reg_105</t>
  </si>
  <si>
    <t>Booking Application - Select a slot and Click on "BACK"</t>
  </si>
  <si>
    <t>1. Login into Pre-Registration.
 2. Click on "CREATE NEW APPLICATION" and click ON
 3. Check the agree terms and conditions and click on ACCEPT.
 4. After the application is completed, upload documents and continue to the slots booking page.. 
 5. Click "BACK".</t>
  </si>
  <si>
    <t>The user should navigate back to the center selection page.</t>
  </si>
  <si>
    <t>TC_Pre-Reg_106</t>
  </si>
  <si>
    <t>Booking Application - Select a slot and Click on "CONTINUE"</t>
  </si>
  <si>
    <t>1. Login into Pre-Registration.
 2. Click on "CREATE NEW APPLICATION" and click ON SUBMIT.
 3. Check the agree terms and conditions and click on ACCEPT.
 4. After the application is completed, upload documents and continue to the slots booking page.. 
 5. Click "CONTINUE".</t>
  </si>
  <si>
    <t>"No Date/Slot has been selected for an application" Error message is displayed.</t>
  </si>
  <si>
    <t>TC_Pre-Reg_107</t>
  </si>
  <si>
    <t>Booking Appointment - book slot for Pending Appointment - Notification</t>
  </si>
  <si>
    <t>1. Login into Pre-Registration.
 2. Click on ""CREATE NEW APPLICATION"" and click ON SUBMIT.
 3. Check the agree terms and conditions and click on ACCEPT.
 4. Fill the application.
 5. At the upload documents page, upload the required documents and Navigate to "Your Applications"
 6. The new application is masked with status "Pending Appointment".
 7. Select the application and click on "BOOK/MODIFY APPOINTMENT" and select the center.</t>
  </si>
  <si>
    <t>At the booking appointment page, "Please note that the application details cannot be modified once appointment is booked for it." message should be displayed.</t>
  </si>
  <si>
    <t>TC_Pre-Reg_108</t>
  </si>
  <si>
    <t>Multiple slots and try to book same slot</t>
  </si>
  <si>
    <t>1. Login into Pre-Registration.
 2. Create multiple application.
 3. Check all the application and click on "BOOK/MODIFY APPOINTMENT".
 4. Try to select more applications than the number of slots available.</t>
  </si>
  <si>
    <t>The application will not allow user to book number of applications more than the slots available.</t>
  </si>
  <si>
    <t>TC_Pre-Reg_109</t>
  </si>
  <si>
    <t>Booking Appointment - re-bboking an appointment'</t>
  </si>
  <si>
    <t>1. Login into Pre-Registration.
 2. Create an application and book an appointment.
 3. Check the application and click on "BOOK/MODIFY APPOINTMENT".
 4. Try to book an appointment for the same appication.</t>
  </si>
  <si>
    <t>There should be no message informing user that the application can not be changed after booking an appointment.</t>
  </si>
  <si>
    <t>TC_Pre-Reg_110</t>
  </si>
  <si>
    <t>Booking Appointment - book slot for Pending Appointment - booking</t>
  </si>
  <si>
    <t>1. Login into Pre-Registration.
 2. Click on ""CREATE NEW APPLICATION"" and click ON SUBMIT.
 3. Check the agree terms and conditions and click on ACCEPT.
 4. Fill the application.
 5. At the upload documents page, upload the required documents and Navigate to "Your Applications"
 6. The new application is masked with status "Pending Appointment".
 7. Select the application and click on "BOOK/MODIFY APPOINTMENT" and select the center.
 8. Select a date and time and book an appointment.</t>
  </si>
  <si>
    <t>user should be successfully book an appointment
 successful message should be displayed
 User should be navigated to the on screen acknowledgement page.</t>
  </si>
  <si>
    <t>TC_Pre-Reg_111</t>
  </si>
  <si>
    <t>Booking Appointment Email Notifications</t>
  </si>
  <si>
    <t>1. Login into Pre-Registration.
 2. Click on ""CREATE NEW APPLICATION"" and click ON SUBMIT.
 3. Check the agree terms and conditions and click on ACCEPT.
 4. Fill the application.
 5. At the upload documents page, upload the required documents and Navigate to "Your Applications"
 6. The new application is masked with status "Pending Appointment".
 7. Select the application and click on "BOOK/MODIFY APPOINTMENT" and select the center.
 8. Select a date and time and book an appointment.
 9. Confirm the booking.</t>
  </si>
  <si>
    <t>Notification should be sent to the email id mentioned in the demographic details page and in the data capture language selected. The email should contain Registration center, date and time of appointment details.
 Notification should be sent with the new booking details to the email id mentioned in the demographic details page and in the data capture language selected.</t>
  </si>
  <si>
    <t>TC_Pre-Reg_112</t>
  </si>
  <si>
    <t>Re- Book appointment for same Application.</t>
  </si>
  <si>
    <t>1. Login into Pre-Registration.
 2. Click on ""CREATE NEW APPLICATION"" and click ON SUBMIT.
 3. Fill the application and make an appointment.
 4. At the your applications page, select the application that is booked and click on the "BOOK/MODIFY APPOINTMENT" option.
 5. The user will be navigate to select the registration center, select an appropriate center.
 6. Also select the appointment date and time and make an appointment.</t>
  </si>
  <si>
    <t>User should be able to successfully book an appointment and successful message should be displayed
 User should be navigated to the on screen acknowledgement page.
 Notification should be sent with the new booking details to the email id mentioned in the demographic details page and in the data capture language selected.</t>
  </si>
  <si>
    <t>TC_Pre-Reg_113</t>
  </si>
  <si>
    <t>Bulk Booking - selecting multiple applications</t>
  </si>
  <si>
    <t>1. Login into Pre-Registration.
 2. Click on "CREATE NEW APPLICATION" and click ON SUBMIT.
 3. Create multiple applications, upload document and do not make an appointment.
 4. Navigate to the "Your Applications" page.
 5. Select the applications and click on "BOOK/MODIFY APPOINTMENT"
 6. Select the registration center.
 7. Select the date and time and select the name of the applicant for the respective appointments.
 8. Click on Continue.</t>
  </si>
  <si>
    <t>User should be able to book several appointments at the same time for all the applications.
 Notification should be sent to all the applicants to the email address mentioned in the respective demographic details.
 Successful message should be displayed.
 On screen acknowledgement should be displayed for all the applicants in their respective data capture language.</t>
  </si>
  <si>
    <t>TC_Pre-Reg_114</t>
  </si>
  <si>
    <t>Creating an Application- only uploading files</t>
  </si>
  <si>
    <t>1. Login into Pre-Reg.
 2. Click on "CREATE NEW APPLICATION" and click ON SUBMIT 
 3. Check the agree terms and conditions and click on ACCEPT.
 4. After the application is completed do not continue and go to the home page.</t>
  </si>
  <si>
    <t>After the user completes creating an application, the application can be seen on the home page.
 The status will be "Pending".</t>
  </si>
  <si>
    <t>TC_Pre-Reg_115</t>
  </si>
  <si>
    <t>Booking an appointment for Pending Appointment application</t>
  </si>
  <si>
    <t>1. Login into Pre-Reg.
 2. From your applications dashboard, select the Pending Appointment 
 3. Click on book/modify appointment.</t>
  </si>
  <si>
    <t>The user should be able to book an appointment by selecting the slot with out any error.</t>
  </si>
  <si>
    <t>TC_Pre-Reg_116</t>
  </si>
  <si>
    <t>Booking an appointment for Pending Appointment application - With out selecting the application.</t>
  </si>
  <si>
    <t>1. Login into Pre-Reg.
 2. From your applications dashboard, do not select any application. 
 3. Try to click on book/modify appointment</t>
  </si>
  <si>
    <t>book/modify appointment button should be disabled. With out selecting the application, user should not be able to navigate to the book appointment page.</t>
  </si>
  <si>
    <t>TC_Pre-Reg_117</t>
  </si>
  <si>
    <t>TC_Pre-Reg_118</t>
  </si>
  <si>
    <t>TC_Pre-Reg_119</t>
  </si>
  <si>
    <t>TC_Pre-Reg_120</t>
  </si>
  <si>
    <t>The Preview page will show the Application information in all 3 languages.</t>
  </si>
  <si>
    <t>TC_Pre-Reg_121</t>
  </si>
  <si>
    <t>Booking an appointment</t>
  </si>
  <si>
    <t>1. Login into Pre-Registration.
 2. Click on "CREATE NEW APPLICATION" and click ON
 3. Check the agree terms and conditions and click on ACCEPT.
 4. After the application is completed do not continue and go to the home page.</t>
  </si>
  <si>
    <t>TC_Pre-Reg_122</t>
  </si>
  <si>
    <t>Book appointment from Your Application page</t>
  </si>
  <si>
    <t>1. Login into Pre-Registration.
 2. Click on ""CREATE NEW APPLICATION"" and click ON
 3. Check the agree terms and conditions and click on ACCEPT.
 4. Fill the application and upload the documents.
 5. Navigate to "Your Applications"
 6. The new application is masked with status "Pending Appointment".
 7. Select the application and click on "BOOK/MODIFY APPOINTMENT"</t>
  </si>
  <si>
    <t>The user will be navigated to selecting the center page, and can continue to book an appointment.</t>
  </si>
  <si>
    <t>TC_Pre-Reg_123</t>
  </si>
  <si>
    <t>Book appointment from Your Application page - Do not select the application,</t>
  </si>
  <si>
    <t>1. Login into Pre-Registration.
 2. Click on ""CREATE NEW APPLICATION"" and click ON
 3. Check the agree terms and conditions and click on ACCEPT.
 4. Fill the application and upload the documents.
 5. Navigate to "Your Applications"
 6. The new application is masked with status "Pending Appointment".
 7. Do not select the application and click on "BOOK/MODIFY APPOINTMENT"</t>
  </si>
  <si>
    <t>"Book/modify appointment" button should be disabled where there are no applications selected.</t>
  </si>
  <si>
    <t>TC_Pre-Reg_124</t>
  </si>
  <si>
    <t>Booking process flow</t>
  </si>
  <si>
    <t>1. Login into Pre-Registration.
 2. Click on ""CREATE NEW APPLICATION"" and click ON
 3. Check the agree terms and conditions and click on ACCEPT.
 4. Fill the application and upload the documents.
 5. Click on continue.</t>
  </si>
  <si>
    <t>Reg center selection page should be displayed</t>
  </si>
  <si>
    <t>TC_Pre-Reg_125</t>
  </si>
  <si>
    <t>On Screen Acknowledgement page.</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</si>
  <si>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t>
  </si>
  <si>
    <t>After the booking is confirmed an on-screen acknowledgement of the appointment is been displayed.</t>
  </si>
  <si>
    <t>TC_Pre-Reg_126</t>
  </si>
  <si>
    <t>Content of Acknowledgement page- Pre-Registration ID</t>
  </si>
  <si>
    <t>1. Login into Pre-Registration.
 2. Click on "CREATE NEW APPLICATION" and click ON SUBMIT.
 3. Check the agree terms and conditions and click on ACCEPT.
 4. Fill the application.
 5. At the upload documents page, upload the required documents 
 6. Complete the booking process by selecting the center and date.
 7. After booking the Appointment, the user is navigated to the Acknowledgement screen.</t>
  </si>
  <si>
    <t>The Acknowledge screen should contain the Pre-Registration ID</t>
  </si>
  <si>
    <t>TC_Pre-Reg_127</t>
  </si>
  <si>
    <t>Content of Acknowledgement page- Center details</t>
  </si>
  <si>
    <t>The Acknowledge screen should contain the Center details</t>
  </si>
  <si>
    <t>TC_Pre-Reg_128</t>
  </si>
  <si>
    <t>Content of Acknowledgement page- Appointment date</t>
  </si>
  <si>
    <t>The Acknowledge screen should contain the Appointment Date</t>
  </si>
  <si>
    <t>TC_Pre-Reg_129</t>
  </si>
  <si>
    <t>Content of Acknowledgement page- Appointment time</t>
  </si>
  <si>
    <t>The Acknowledge screen should contain the Appointment Time</t>
  </si>
  <si>
    <t>TC_Pre-Reg_130</t>
  </si>
  <si>
    <t>Content of Acknowledgement page- Guidelines</t>
  </si>
  <si>
    <t>The Acknowledge screen should contain the set of guidelines</t>
  </si>
  <si>
    <t>TC_Pre-Reg_131</t>
  </si>
  <si>
    <t>Content of Acknowledgement page- QR Code</t>
  </si>
  <si>
    <t>The Acknowledge screen should contain the QA code.</t>
  </si>
  <si>
    <t>TC_Pre-Reg_132</t>
  </si>
  <si>
    <t>Content of Acknowledgement page- Send Email/SMS option</t>
  </si>
  <si>
    <t>The Acknowledge screen should contain the "Send Email/SMS" option.</t>
  </si>
  <si>
    <t>TC_Pre-Reg_133</t>
  </si>
  <si>
    <t>Verifying QR code in the On Screen Acknowledgement page.</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</si>
  <si>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
 6. At the on-screen confirmation page, please use a QR scanner to check the QR code.</t>
  </si>
  <si>
    <t>The QR code in the on-screen confirmation should contain the registration number of the application.</t>
  </si>
  <si>
    <t>TC_Pre-Reg_134</t>
  </si>
  <si>
    <t>On Screen Acknowledgement page - PRINT</t>
  </si>
  <si>
    <t>1. Login into Pre-Registration.
 2. Click on ""CREATE NEW APPLICATION"" and click ON
 3. Check the agree terms and conditions and click on ACCEPT.
 4. Fill the application.
 5. At the upload documents page, upload the required documents and complete the booking process by selecting the center and date."
 6. At the on-screen confirmation page, select "PRINT" and try to print the page.</t>
  </si>
  <si>
    <t>The page should be printed successfully.</t>
  </si>
  <si>
    <t>TC_Pre-Reg_135</t>
  </si>
  <si>
    <t>On Screen Acknowledgement page - Generate PDF.</t>
  </si>
  <si>
    <t>1. Login into Pre-Registration.
 2. Click on ""CREATE NEW APPLICATION"" and click ON
 3. Check the agree terms and conditions and click on ACCEPT.
 4. Fill the application.
 5. At the upload documents page, upload the required documents and complete the booking process by selecting the center and date."
 6. At the on-screen confirmation page, select "Generate PDF"</t>
  </si>
  <si>
    <t>A pdf version of the appointment should be generated and saved in the computer.</t>
  </si>
  <si>
    <t>TC_Pre-Reg_136</t>
  </si>
  <si>
    <t>On Screen Acknowledgement page - resend confirmation email or message</t>
  </si>
  <si>
    <t>1. Login into Pre-Registration.
 2. Click on ""CREATE NEW APPLICATION"" and click ON
 3. Check the agree terms and conditions and click on ACCEPT.
 4. Fill the application.
 5. At the upload documents page, upload the required documents and complete the booking process by selecting the center and date."
 6. At the on-screen confirmation page, select "SEND EMAIL/SMS" and enter phone number and email address, then click on SUBMIT.</t>
  </si>
  <si>
    <t>The confirmation email will be sent to the email address mentioned.</t>
  </si>
  <si>
    <t>TC_Pre-Reg_137</t>
  </si>
  <si>
    <t>On Screen Acknowledgement page - resend confirmation email or message - NO Date</t>
  </si>
  <si>
    <t>1. Login into Pre-Registration.
 2. Click on ""CREATE NEW APPLICATION"" and click ON
 3. Check the agree terms and conditions and click on ACCEPT.
 4. Fill the application.
 5. At the upload documents page, upload the required documents and complete the booking process by selecting the center and date."
 6. At the on-screen confirmation page, select "SEND EMAIL/SMS" and do not enter any data.</t>
  </si>
  <si>
    <t>The SUBMIT button will not be enabled to submit the re-send confirmation email request.</t>
  </si>
  <si>
    <t>TC_Pre-Reg_138</t>
  </si>
  <si>
    <t>On Screen Acknowledgement page - resend confirmation email or message - Invalid email address.</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</si>
  <si>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
 6. At the on-screen confirmation page, select "SEND EMAIL/SMS" option.
 7. Enter an invalid email address.</t>
  </si>
  <si>
    <t>"Invalid Email ID" message is displayed and the SUBMIT button will not be activated.</t>
  </si>
  <si>
    <t>TC_Pre-Reg_139</t>
  </si>
  <si>
    <t>On Screen Acknowledgement page - resend confirmation email or message - Invalid Phone number.</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</si>
  <si>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
 6. At the on-screen confirmation page, select "SEND EMAIL/SMS" option.
 7. Enter an invalid Phone number.</t>
  </si>
  <si>
    <t>"Invalid Mobile Number" message is displayed and the SUBMIT button will not be activated.</t>
  </si>
  <si>
    <t>TC_Pre-Reg_140</t>
  </si>
  <si>
    <t>On Screen Acknowledgement page - resend confirmation email or message - Enter data and click on CLOSE.</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</si>
  <si>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
 6. At the on-screen confirmation page, select "SEND EMAIL/SMS" option.
 7. Enter data and click on "CLOSE".</t>
  </si>
  <si>
    <t>The pop up will be closed and there should be no email sent regarding the confirmation.</t>
  </si>
  <si>
    <t>TC_Pre-Reg_141</t>
  </si>
  <si>
    <t>Bulk Booking - On Screen Acknowledgement for all the applications.</t>
  </si>
  <si>
    <t>1. Login into Pre-Registration.
 2. Create multiple application.
 3. Check all the application and click on "BOOK/MODIFY APPOINTMENT".
 4. Select the slots and book an appointment for all the users.</t>
  </si>
  <si>
    <t>The preview screen will show the list of all the appointments books in a sequence.</t>
  </si>
  <si>
    <t>TC_Pre-Reg_142</t>
  </si>
  <si>
    <t>On Screen Acknowledgement page - resend confirmation email or message - Enter data and click on SUBMIT.</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</si>
  <si>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
 6. At the on-screen confirmation page, select "SEND EMAIL/SMS" option.
 7. Enter data and click on "SUBMIT".</t>
  </si>
  <si>
    <t>The pop up will be closed and an email/SMS will be sent regarding the confirmation to the email address mentioned.</t>
  </si>
  <si>
    <t>TC_Pre-Reg_143</t>
  </si>
  <si>
    <t>Notification template at on screen confirmation.</t>
  </si>
  <si>
    <t>1. Login into Pre-Registration.
 2. Click on "CREATE NEW APPLICATION" and click ON SUBMIT.
 3. Check the agree terms and conditions and click on ACCEPT.
 4. After the application is completed continue and book a slot.
 5. At the confirmation click on the "Send Email" option and enter an email address.</t>
  </si>
  <si>
    <t>The applicant should receive the notification to the entered email id/phone number. Look for the notification email content</t>
  </si>
  <si>
    <t>TC_Pre-Reg_144</t>
  </si>
  <si>
    <t>Notification template for re-booked application</t>
  </si>
  <si>
    <t>1. Login into Pre-Registration.
 2. Create an application and book an appointment.
 3. Check the application and click on "BOOK/MODIFY APPOINTMENT".
 4. Book another appointment.</t>
  </si>
  <si>
    <t>The template should be different for rebooked notifcation email.</t>
  </si>
  <si>
    <t>TC_Pre-Reg_145</t>
  </si>
  <si>
    <t>Notification template - Discard of other (pending, incomplete, Expired) Application.</t>
  </si>
  <si>
    <t>1. Login into Pre-Registration.
 2. Create applications of various status (Incomplete Application, Cancelled and Pending).
 3. Select the delete button next to each application.
 4. Only the "Discard entire application" option will be enabled.
 5. Select the "Discard entire application" option and click on "SUBMIT"</t>
  </si>
  <si>
    <t>No Confirmation email should be sent to the email address mentioned in the demographic details. The application should be discarded from the "Your Application" page.</t>
  </si>
  <si>
    <t>TC_Pre-Reg_146</t>
  </si>
  <si>
    <t>Notification template - Booked Application.</t>
  </si>
  <si>
    <t>1. Login into Pre-Registration.
 2. Click on "CREATE NEW APPLICATION" and click ON SUBMIT
 3. Check the agree terms and conditions and click on ACCEPT.
 4. After the application is completed continue and book a slot.</t>
  </si>
  <si>
    <t>The applicant should receive the notification for the Booked appointment.</t>
  </si>
  <si>
    <t>TC_Pre-Reg_147</t>
  </si>
  <si>
    <t>Notification template - Discard of Booked Application.</t>
  </si>
  <si>
    <t>1. Login into Pre-Registration.
 2. Click on "CREATE NEW APPLICATION" and click ON SUBMIT
 3. Check the agree terms and conditions and click on ACCEPT.
 4. After the application is completed continue and book a slot.
 5. Navigate to the home page.
 6. Select the same of booked Status application and click on the delete option -&gt; discard</t>
  </si>
  <si>
    <t>The applicant should receive the notification for the cancelled appointment and the application should be deleted.</t>
  </si>
  <si>
    <t>TC_Pre-Reg_148</t>
  </si>
  <si>
    <t>Notification template - Cancellation of booking _ messages displayed.</t>
  </si>
  <si>
    <t>1. Login into Pre-Registration.
 2. Click on "CREATE NEW APPLICATION" and click ON SUBMIT.
 3. Check the agree terms and conditions and click on ACCEPT.
 4. After the application is completed continue and book a slot.
 5. Navigate to the home page.
 6. Select the application and click on the delete option.</t>
  </si>
  <si>
    <t>A pop up is displayed with "Discard entire application" and "Cancel appointment and save the details" options.</t>
  </si>
  <si>
    <t>Your Applications Tab</t>
  </si>
  <si>
    <t>TC_Pre-Reg_149</t>
  </si>
  <si>
    <t>Your Applications - CONTACT</t>
  </si>
  <si>
    <t>1. Login into Pre-Registration (login that has applications created).
 2. Click on "CONTACT".</t>
  </si>
  <si>
    <t>"Refer https://www.mosip.io/contact.php" must be displayed</t>
  </si>
  <si>
    <t>TC_Pre-Reg_150</t>
  </si>
  <si>
    <t>Your Applications - FAQ</t>
  </si>
  <si>
    <t>1. Login into Pre-Registration (login that has applications created).
 2. Click on "FAQ".</t>
  </si>
  <si>
    <t>Frequently asked questions should be displayed</t>
  </si>
  <si>
    <t>TC_Pre-Reg_151</t>
  </si>
  <si>
    <t>Your Applications - GETTING STARTED</t>
  </si>
  <si>
    <t>1. Login into Pre-Registration (login that has applications created).
 2. Click on "GETTING STARTED".</t>
  </si>
  <si>
    <t>Pre-Registration steps are defined in this page.</t>
  </si>
  <si>
    <t>TC_Pre-Reg_152</t>
  </si>
  <si>
    <t>Your Applications - Created Applications order.</t>
  </si>
  <si>
    <t>1. Login into Pre-Registration.
 2. Create multiple applications.
 3. Observe the order of the applications.</t>
  </si>
  <si>
    <t>The applications will be in the order of creation, the last created application will be at the top.</t>
  </si>
  <si>
    <t>TC_Pre-Reg_153</t>
  </si>
  <si>
    <t>Your Applications - Modified Applications order</t>
  </si>
  <si>
    <t>1. Login into Pre-Registration.
 2. Create multiple applications.
 3. Observe the order of the applications.
 4. Modify an account in the middle of the list.
 5. Navigate back to the applications page and observe the order of the applications.</t>
  </si>
  <si>
    <t>The applications will be in the order of creation, the modified application will not change the position.</t>
  </si>
  <si>
    <t>TC_Pre-Reg_154</t>
  </si>
  <si>
    <t>Clicking "BOOK/MODIFY APPOINTMENT" option with out selecting</t>
  </si>
  <si>
    <t>1. Login into Pre-Registration (login that has applications created).
 2. Click on "BOOK/MODIFY APPOINTMENT" option.</t>
  </si>
  <si>
    <t>As there are no applications selected, no action happens when clicking on the "BOOK/MODIFY APPOINTMENT" option.</t>
  </si>
  <si>
    <t>TC_Pre-Reg_155</t>
  </si>
  <si>
    <t>1. Select the required language.
 2. Enter an email address or a phone number.
 3. Click on the "I am not a robot" check box.
 4. Performing the requested action that pops up.
 5. Click on "request OTP".
 6. Enter the OTP that was received in the email address.
 7. Click on login.
 8. Create an application and book an appointment and navigate to the home page.</t>
  </si>
  <si>
    <t>From the home page, the View Information link should be enabled.</t>
  </si>
  <si>
    <t>TC_Pre-Reg_156</t>
  </si>
  <si>
    <t>Your Applications page - View information link.</t>
  </si>
  <si>
    <t>1. Login to Pre-Registration.
 2. Create an application.
 3. Book an appointment.
 4. From the "Your Application" page click on the "View Information" link</t>
  </si>
  <si>
    <t>User should be navigated to the demographic details page.
 User should not be able to edit if the booking is completed.</t>
  </si>
  <si>
    <t>TC_Pre-Reg_157</t>
  </si>
  <si>
    <t>Your Applications page -View Information Link - try to edit data.</t>
  </si>
  <si>
    <t>User should not be allowed to enter the data. A note on the top of the page should be displayed that the application is non editable as the appointment is already booked.</t>
  </si>
  <si>
    <t>TC_Pre-Reg_158</t>
  </si>
  <si>
    <t>Notification template - After successful booking</t>
  </si>
  <si>
    <t>1. Login into Pre-Registration.
 2. Click on "CREATE NEW APPLICATION" and click ON SUBMIT.
 3. Check the agree terms and conditions and click on ACCEPT.
 4. After the application is completed continue and book a slot.</t>
  </si>
  <si>
    <t>After the slot is booked, a confirmation email should be sent to the email address that was used in the application's demographic details.
 The notification template should include the 2 new attributes: Center name and Center address.</t>
  </si>
  <si>
    <t>TC_Pre-Reg_159</t>
  </si>
  <si>
    <t>Hover the mouse on the "BOOK/MODIFY APPOINTMENT" option</t>
  </si>
  <si>
    <t>1. Login into Pre-Registration (login that has applications created).
 2.Hover the mouse on "BOOK/MODIFY APPOINTMENT" option.
 3. Observe the message.</t>
  </si>
  <si>
    <t>"You must tick the check box near to pre-registration id for one or multiple applicants to book/modify appointment" message is displayed.</t>
  </si>
  <si>
    <t>TC_Pre-Reg_160</t>
  </si>
  <si>
    <t>Your Applications - "CREATE NEW APPLICATION"</t>
  </si>
  <si>
    <t>1. Login into Pre-Registration (login that has applications created).
 2. Click on "CREATE NEW APPLICATION".</t>
  </si>
  <si>
    <t>The user will be asked to accept the terms and conditions.</t>
  </si>
  <si>
    <t>TC_Pre-Reg_161</t>
  </si>
  <si>
    <t>Your Applications - "CREATE NEW APPLICATION" &gt; Cancel</t>
  </si>
  <si>
    <t>1. Login into Pre-Registration (login that has applications created).
 2. Click on "CREATE NEW APPLICATION".
 3. Click on Cancel</t>
  </si>
  <si>
    <t>"You will be redirected to ‘Your Application Page’ due to not accepting Terms &amp; Conditions" message will be displayed and the user will be navigated to Applications page.</t>
  </si>
  <si>
    <t>TC_Pre-Reg_162</t>
  </si>
  <si>
    <t>1. Login into Pre-Registration (login that has applications created).
 2. Click on "CREATE NEW APPLICATION".
 3. Check the box and click on ACCEPT</t>
  </si>
  <si>
    <t>TC_Pre-Reg_163</t>
  </si>
  <si>
    <t>Your Applications - Verify the check box's for "Application Incomplete"</t>
  </si>
  <si>
    <t>1. Login into Pre-Registration (login that has applications created).
 2. Create an application and do not upload any documents and navigate to the applications page.
 3. Observe the incomplete application.</t>
  </si>
  <si>
    <t>The Incomplete application will not have a check box to select for booking an appointment.</t>
  </si>
  <si>
    <t>TC_Pre-Reg_164</t>
  </si>
  <si>
    <t>Your Applications - Verify the Lock Symbol for "Application Incomplete"</t>
  </si>
  <si>
    <t>The Incomplete application will not have a lock box as it can still be modified..</t>
  </si>
  <si>
    <t>TC_Pre-Reg_165</t>
  </si>
  <si>
    <t>Your Applications - Delete button</t>
  </si>
  <si>
    <t>1. Login into Pre-Registration (login that has applications created).
 2. Create multiple applications and navigate to the applications page.
 3. Hover the mouse on the delete button.</t>
  </si>
  <si>
    <t>"You can either discard entire application or cancel the appointment and save the details." Message is displayed.</t>
  </si>
  <si>
    <t>TC_Pre-Reg_166</t>
  </si>
  <si>
    <t>Your Applications - Lock button</t>
  </si>
  <si>
    <t>1. Login into Pre-Registration (login that has applications created).
 2. Create multiple applications and navigate to the applications page.
 3. Hover the mouse on the lock button.</t>
  </si>
  <si>
    <t>"Application details cannot be modified once appointment is Booked, Cancelled or Expired" Message is displayed</t>
  </si>
  <si>
    <t>TC_Pre-Reg_167</t>
  </si>
  <si>
    <t>Status of application - Application Incomplete.</t>
  </si>
  <si>
    <t>1. Login into pre-reg Application.
 2. Click on "CREATE NEW APPLICATION" and click ON SUBMIT to confirm language
 3. Check the agree terms and conditions and click on ACCEPT.
 4. Fill the application.
 5. At the upload documents page, do not upload any documents and click on the "Your Applications" link to go to the home page.</t>
  </si>
  <si>
    <t>At the home page, the status of the application should be showing as "Application Incomplete".</t>
  </si>
  <si>
    <t>TC_Pre-Reg_168</t>
  </si>
  <si>
    <t>Status of application -Pending Appointment.</t>
  </si>
  <si>
    <t>1. Login into pre-reg Application.
 2. Click on "CREATE NEW APPLICATION" and click ON SUBMIT to confirm language
 3. Check the agree terms and conditions and click on ACCEPT.
 4. Fill the application.
 5. At the upload documents page, upload the required documents and click on the "Your Applications" link to go to the home page.</t>
  </si>
  <si>
    <t>At the home page, the status of the application should be showing as "Pending Appointment".</t>
  </si>
  <si>
    <t>TC_Pre-Reg_169</t>
  </si>
  <si>
    <t>status of application -Booked.</t>
  </si>
  <si>
    <t>1. Login into pre-reg Application.
 2. Click on "CREATE NEW APPLICATION" and click ON SUBMIT to confirm language
 3. Check the agree terms and conditions and click on ACCEPT.
 4. Fill the application.
 5. At the upload documents page, upload the required documents and complete the booking process by selecting the center and date.</t>
  </si>
  <si>
    <t>At the home page, the status of the application should be showing as "Booked".</t>
  </si>
  <si>
    <t>TC_Pre-Reg_170</t>
  </si>
  <si>
    <t>status of application -Cancelled.</t>
  </si>
  <si>
    <t>1. Login into pre-reg Application.
 2. Click on "CREATE NEW APPLICATION" and click ON SUBMIT to confirm language
 3. Check the agree terms and conditions and click on ACCEPT.
 4. Fill the application.
 5. At the upload documents page, upload the required documents and complete the booking process by selecting the center and date."
 6. From the home page, click on the delete appointment and select "Cancel appointment and save the details" option.</t>
  </si>
  <si>
    <t>At the home page, the status of the application should be showing as "Cancelled".</t>
  </si>
  <si>
    <t>TC_Pre-Reg_171</t>
  </si>
  <si>
    <t>Stages of application -Expired.</t>
  </si>
  <si>
    <t>1. Login into pre-reg Application.
 2. Click on "CREATE NEW APPLICATION" and click ON SUBMIT to confirm language
 3. Check the agree terms and conditions and click on ACCEPT.
 4. Fill the application.
 5. At the upload documents page, upload the required documents and complete the booking process by selecting the center and date."
 6. Check the appointment status of the same application after the selected date.</t>
  </si>
  <si>
    <t>At the home page, the status of the application should be showing as "Expired".</t>
  </si>
  <si>
    <t>TC_Pre-Reg_172</t>
  </si>
  <si>
    <t>Verify the application in "Application Incomplete" State</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</si>
  <si>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Fill the application and do not upload the document.
 11. Go to the home page and verify the application.</t>
  </si>
  <si>
    <t>The status of the application should be "Application Incomplete" and when you hover the mouse on the "?" symbol it should say "Application is incomplete".
 "Modify Application" link should open the application to make changes.
 "View Acknowledgement" link should be disabled.
 The delete icon should be enabled and when selected shows options to delete the application.</t>
  </si>
  <si>
    <t>TC_Pre-Reg_173</t>
  </si>
  <si>
    <t>Verify the application in "Pending Appointment" State</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</si>
  <si>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Fill the application and upload the document.
 11. Go to the home page and verify the application.</t>
  </si>
  <si>
    <t>The status of the application should be "Pending Appointment" and when you hover the mouse on the "?" symbol it should say "Application is yet to be booked".
 "Modify Application" link should open the application to make changes and book an appointment.
 "View Acknowledgement" link should be disabled.
 The delete icon should be enabled and when selected shows options to delete the application.</t>
  </si>
  <si>
    <t>TC_Pre-Reg_174</t>
  </si>
  <si>
    <t>Verify the application in "Booked" State</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</si>
  <si>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Fill the application and upload the document.
 11. Go to the next page and book an appointment.</t>
  </si>
  <si>
    <t>The status of the application should be "Booked " and when you hover the mouse on the "?" symbol it should say "Appointment is booked successfully".
 "View Information" link should open the application but the user can not make any changes.
 "View Acknowledgement" link should be enabled.
 The delete icon should be enabled and when selected shows options to delete the application.
 The lock symbol will be enabled on the application which means there can not be any changes made to the application.</t>
  </si>
  <si>
    <t>TC_Pre-Reg_175</t>
  </si>
  <si>
    <t>Verify the application in "Cancelled" State</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</si>
  <si>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Fill the application &gt; upload the document and book an appointment.
 11. Go to the home page and cancel the appointment.</t>
  </si>
  <si>
    <t>The status of the application should be "Cancelled" and when you hover the mouse on the "?" symbol it should say "Appointment has been cancelled".
 "View Information" link should open the application but the user can not make any changes.
 "View Acknowledgement" link should be disabled.
 The delete icon should be enabled and when selected shows options to delete the application.
 The lock symbol will be enabled on the application which means there can not be any changes made.</t>
  </si>
  <si>
    <t>TC_Pre-Reg_176</t>
  </si>
  <si>
    <t>Verify the application in "Expired" State</t>
  </si>
  <si>
    <t>TC_Pre-Reg_177</t>
  </si>
  <si>
    <t>Verify the application in "Pefetched " State</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</si>
  <si>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9. Check the agree terms and conditions and click on ACCEPT.
 10. Fill the application and do not book an appointment.
 11. In reg client, Consume the application.</t>
  </si>
  <si>
    <t>The status of the application should be "Prefetched" and when you hover the mouse on the "?" symbol it should say "Application has been Prefetched in the booking center".
 "View Information" link should open the application but the user can not make any changes.
 "View Acknowledgement" link should be disabled.
 The delete icon should be enabled and when selected shows options to delete the application.
 The lock symbol will be enabled on the application which means there can not be any changes made.</t>
  </si>
  <si>
    <t>TC_Pre-Reg_178</t>
  </si>
  <si>
    <t>lock symbol should be displayed for booked applications</t>
  </si>
  <si>
    <t>The application in the home page will be appended with a lock symbol which means the application can not be modified.</t>
  </si>
  <si>
    <t>Logout</t>
  </si>
  <si>
    <t>TC_Pre-Reg_179</t>
  </si>
  <si>
    <t>Your Applications - logout</t>
  </si>
  <si>
    <t>1. Login into Pre-Registration (login that has applications created).
 2. Click on Logout.</t>
  </si>
  <si>
    <t>"User has to login with the same mobile number/Email id to access the created applications." message will be displayed.</t>
  </si>
  <si>
    <t>TC_Pre-Reg_180</t>
  </si>
  <si>
    <t>Logout &gt; Cancel</t>
  </si>
  <si>
    <t>1. Login into Pre-Registration (login that has applications created).
 2. Click on Logout.
 3. Click on Cancel</t>
  </si>
  <si>
    <t>The user should not logout, and should be in the your applications page.4</t>
  </si>
  <si>
    <t>TC_Pre-Reg_181</t>
  </si>
  <si>
    <t>Logout &gt; OK</t>
  </si>
  <si>
    <t>1. Login into Pre-Registration (login that has applications created).
 2. Click on Logout.
 3. Click on OK</t>
  </si>
  <si>
    <t>The user should be logged out of the application.</t>
  </si>
  <si>
    <t>TC_Pre-Reg_182</t>
  </si>
  <si>
    <t>Functionality</t>
  </si>
  <si>
    <t>Pop up standard format</t>
  </si>
  <si>
    <t>Verify the pop ups across the application.</t>
  </si>
  <si>
    <t>The pop ups should have boundary, standard size, upper case lower case letters followed wherever required without being clumsy. Error and Alert information should be displayed on the header of the pop up.</t>
  </si>
  <si>
    <t>TC_Pre-Reg_183</t>
  </si>
  <si>
    <t>Next/Previous navigation in book appointment page</t>
  </si>
  <si>
    <t>Verify the next/previous buttons in booking appointment page.</t>
  </si>
  <si>
    <t>The buttons should be enabled and clearly displayed and the user should be able to navigate front and back using the buttons.</t>
  </si>
  <si>
    <t>TC_Pre-Reg_184</t>
  </si>
  <si>
    <t>Slider scroll in book appointment page</t>
  </si>
  <si>
    <t>Verify the slider scroll.</t>
  </si>
  <si>
    <t>Slider scroll should ease user to scroll back and forth for the date selections.</t>
  </si>
  <si>
    <t>TC_Pre-Reg_185</t>
  </si>
  <si>
    <t>In Pre reg login screen, enter the phone number/email id.
 Click on send OTP.
 Enter a wrong otp, Check the json response as well as the UI message.</t>
  </si>
  <si>
    <t>If json response has error attribute, then the error code and message should be shown. "OTP entered is not valid" message is displayed on UI.
 Json response:
 errorCode: "PRG_PAM_LGN_013"
 message: "VALIDATION_UNSUCCESSFUL"</t>
  </si>
  <si>
    <t>Audit Log</t>
  </si>
  <si>
    <t>TC_Pre-Reg_186</t>
  </si>
  <si>
    <t>Audit-logs : OTP Set</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</si>
  <si>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t>
  </si>
  <si>
    <t>After the OTP is sent successfully, the audit logs shows : "Otp send successfully". No sensitive information about the applicant/logged in user should be recorded in the table.</t>
  </si>
  <si>
    <t>TC_Pre-Reg_187</t>
  </si>
  <si>
    <t>Audit-logs : Captcha</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</si>
  <si>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with captcha enabled and perform the required steps to pass the captcha.</t>
  </si>
  <si>
    <t>After the Captcha is verified successfully, the audit logs shows : "Captcha successfully". No sensitive information about the applicant/logged in user should be recorded in the table.</t>
  </si>
  <si>
    <t>TC_Pre-Reg_188</t>
  </si>
  <si>
    <t>Audit-logs : User sucessfully logged-in</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</si>
  <si>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 and enter the OTP.</t>
  </si>
  <si>
    <t>After the OTP is sent successfully, the audit logs shows : "User sucessfully logged-in".No sensitive information about the applicant/logged in user should be recorded in the table.</t>
  </si>
  <si>
    <t>TC_Pre-Reg_189</t>
  </si>
  <si>
    <t>Audit-logs : Retrieves user data in home page after login</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</si>
  <si>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 and enter the OTP.
 7. Once the OTP is entered and logged in the home page is displayed.</t>
  </si>
  <si>
    <t>At the home page, the audit log shows : "Retrieve All Pre-Registration id, Full name, Status and Appointment details by user id" No sensitive information about the applicant/logged in user should be recorded in the table.</t>
  </si>
  <si>
    <t>TC_Pre-Reg_190</t>
  </si>
  <si>
    <t>Audit-logs : Create application.</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</si>
  <si>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 and enter the OTP.
 7. Once the OTP is entered and logged in the home page click on "CREATE APPLICATION".</t>
  </si>
  <si>
    <t>At the create application page, the audit log shows : "Consent Accepted Request_url :https://qa-double-rc2.mosip.net/preregistration/v1/proxy/masterdata/templates/templatetypecodes/consent Consent_Text: 5F3B827A933E86B0C0E0CBB138D3161AC31624A85D3D6E1E26E8E87F8501AEB2" No sensitive information about the applicant/logged in user should be recorded in the table.</t>
  </si>
  <si>
    <t>TC_Pre-Reg_191</t>
  </si>
  <si>
    <t>Audit-logs : Upload documents</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</si>
  <si>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 and enter the OTP.
 7. Once the OTP is entered and logged in the home page click on "CREATE APPLICATION".
 8. Complete the application and upload the documents in the document upload page.</t>
  </si>
  <si>
    <t>After the application is created and document upload is successful, the audit log shows the below logs:
 "Pre-Registration data is successfully saved in the demographic table"
 "No documents found for the application"
 "Retrieve All Pre-Registration id, Full name, Status and Appointment details by user id"
 "Document uploaded &amp; the respective Pre-Registration data is saved in the document table"
 No sensitive information about the applicant/logged in user should be recorded in the table.</t>
  </si>
  <si>
    <t>TC_Pre-Reg_192</t>
  </si>
  <si>
    <t>Audit-logs : make an appointment</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</si>
  <si>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 and enter the OTP.
 7. Once the OTP is entered and logged in the home page click on "CREATE APPLICATION".
 8. Complete the application and upload the documents in the document upload page.
 9. After the documents are uploaded, book an appointment.</t>
  </si>
  <si>
    <t>After the application is created and document upload is successful, the audit log shows the below logs:
 "Retrieval of document is successful"
 "Availability retrieved successfully for booking"
 "Appointment booked successful"
 "Retrieval of document is successful"
 "Pre-Registration data is successfully trigger notification to the user"
 No sensitive information about the applicant/logged in user should be recorded in the table.</t>
  </si>
  <si>
    <t>TC_Pre-Reg_193</t>
  </si>
  <si>
    <t>Audit-logs : User Log out</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</si>
  <si>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and try to log out.</t>
  </si>
  <si>
    <t>After the successful logout, the audit logs shows : "User successfully logged-out".No sensitive information about the applicant/logged in user should be recorded in the table.</t>
  </si>
  <si>
    <t>TC_Pre-Reg_194</t>
  </si>
  <si>
    <t>Capturing consent proof in Audit log table.</t>
  </si>
  <si>
    <t>1. Login using email address
 2. Enter the otp generated to login.
 3. Choose any 2 languages to create an application.
 4. Select DB &gt; Database &gt; mosip_audit &gt; Schemas &gt; audit &gt; Tables &gt; app_audit_log, right click on the app_audir_log &gt; scripts &gt; select scripts.
 5. Check the query and click on the "play" symbol button to execute the script.</t>
  </si>
  <si>
    <t>The consent data in audit log should capture the 
 action_dtimes - Current local time 
 session_user id - logged in mail id
 log_desc : Consent accepted with the template and encrypted data</t>
  </si>
  <si>
    <t>TC_Pre-Reg_195</t>
  </si>
  <si>
    <t>1. Login using email address
 2. Enter the otp generated to login.
 3. Choose any 3 languages to create an application.
 4. Select DB &gt; Database &gt; mosip_audit &gt; Schemas &gt; audit &gt; Tables &gt; app_audit_log, right click on the app_audir_log &gt; scripts &gt; select scripts.
 5. Check the query and click on the "play" symbol button to execute the script.</t>
  </si>
  <si>
    <t>TC_Pre-Reg_196</t>
  </si>
  <si>
    <t>1. Login using Phone Number
 2. Enter the otp generated to login.
 3. Choose any 2 languages to create an application.
 4. Select DB &gt; Database &gt; mosip_audit &gt; Schemas &gt; audit &gt; Tables &gt; app_audit_log, right click on the app_audir_log &gt; scripts &gt; select scripts.
 5. Check the query and click on the "play" symbol button to execute the script.</t>
  </si>
  <si>
    <t>The consent data in audit log should capture the 
 action_dtimes - Current local time 
 session_user id - logged in phone number
 log_desc : Consent accepted with the template and encrypted data</t>
  </si>
  <si>
    <t>TC_Pre-Reg_197</t>
  </si>
  <si>
    <t>1. Login using Phone Number.
 2. Enter the otp generated to login.
 3. Choose all 3 languages to create an application.
 4. Select DB &gt; Database &gt; mosip_audit &gt; Schemas &gt; audit &gt; Tables &gt; app_audit_log, right click on the app_audir_log &gt; scripts &gt; select scripts.
 5. Check the query and click on the "play" symbol button to execute the script.</t>
  </si>
  <si>
    <t>TC_Pre-Reg_198</t>
  </si>
  <si>
    <t>1. Login using email address
 2. Enter the otp generated to login.
 3. Choose any 2 languages to create an application.
 4. Click on cancel to accept the consent.
 5. Select DB &gt; Database &gt; mosip_audit &gt; Schemas &gt; audit &gt; Tables &gt; app_audit_log, right click on the app_audir_log &gt; scripts &gt; select scripts.
 6. Check the query and click on the "play" symbol button to execute the script.</t>
  </si>
  <si>
    <t>The consent data in audit log should capture the 
 action_dtimes - Current local time 
 session_user id - logged in mail id
 log_desc : Consent not accepted with the template and encrypted data</t>
  </si>
  <si>
    <t>TC_Pre-Reg_199</t>
  </si>
  <si>
    <t>1. Login using Phone number.
 2. Enter the OTP generated to login.
 3. Choose any 2 languages to create an application.
 4. Click on cancel to accept the consent.
 5. Select DB &gt; Database &gt; mosip_audit &gt; Schemas &gt; audit &gt; Tables &gt; app_audit_log, right click on the app_audir_log &gt; scripts &gt; select scripts.
 6. Check the query and click on the "play" symbol button to execute the script.</t>
  </si>
  <si>
    <t>applicant mvel</t>
  </si>
  <si>
    <t>TC_Pre-Reg_200</t>
  </si>
  <si>
    <t>Verifying the applicanttype.mvel file for Documents required for NonResident , gender as MALE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</si>
  <si>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NonResident , genderType is MALE , age Below 5 years
 11. When reached the upload document page please verify the documents.</t>
  </si>
  <si>
    <t>The application should be completed successfully and the documents that are requested should be Address proof, Relationship proof, DOB Proof and Proof of identity. 
 Verify the documents for the return code 001 in valid_document. The details of the doc can be observed in master.doc_category table.</t>
  </si>
  <si>
    <t>TC_Pre-Reg_201</t>
  </si>
  <si>
    <t>Verifying the applicanttype.mvel file for Documents required for NonResident , gender as MALE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</si>
  <si>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9. Check the agree terms and conditions and click on ACCEPT.
 10. Fill the application with the details : NonResident , genderType is MALE , age above 5 years
 11. When reached the upload document page please verify the documents.</t>
  </si>
  <si>
    <t>The application should be completed successfully and the documents that are requested should be "Address proof, DOB Proof and Proof of identity".
 Verify the documents for the return code 002 in valid_document. The details of the doc can be observed in master.doc_category table.</t>
  </si>
  <si>
    <t>TC_Pre-Reg_202</t>
  </si>
  <si>
    <t>Verifying the applicanttype.mvel file for Documents required for Resident , gender as MALE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</si>
  <si>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MALE , age Below 5 years.
 11. When reached the upload document page please verify the documents.</t>
  </si>
  <si>
    <t>The application should be completed successfully and the documents that are requested should be Address proof, Relationship proof, DOB Proof and Proof of identity.
 Verify the documents for the return code 003 in valid_document. The details of the doc can be observed in master.doc_category table.</t>
  </si>
  <si>
    <t>TC_Pre-Reg_203</t>
  </si>
  <si>
    <t>Verifying the applicanttype.mvel file for Documents required for Resident , gender as MALE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</si>
  <si>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MALE , age above 5 years.
 11. When reached the upload document page please verify the documents.</t>
  </si>
  <si>
    <t>The application should be completed successfully and the documents that are requested should be "Address proof, DOB Proof and Proof of identity".
 Verify the documents for the return code 004 in valid_document. The details of the doc can be observed in master.doc_category table.</t>
  </si>
  <si>
    <t>TC_Pre-Reg_204</t>
  </si>
  <si>
    <t>Verifying the applicanttype.mvel file for Documents required for NonResident , gender as FEMALE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</si>
  <si>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:NonResident , genderType is FEMALE , age Below 5 year.s
 11. When reached the upload document page please verify the documents.</t>
  </si>
  <si>
    <t>The application should be completed successfully and the documents that are requested should be Address proof, Relationship proof, DOB Proof and Proof of identity.
 Verify the documents for the return code 005 in valid_document. The details of the doc can be observed in master.doc_category table.</t>
  </si>
  <si>
    <t>TC_Pre-Reg_205</t>
  </si>
  <si>
    <t>Verifying the applicanttype.mvel file for Documents required for NonResident , gender as FEMALE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</si>
  <si>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NonResident , genderType is FEMALE , age above 5 years.
 11. When reached the upload document page please verify the documents.</t>
  </si>
  <si>
    <t>The application should be completed successfully and the documents that are requested should be "Address proof, DOB Proof and Proof of identity".
 Verify the documents for the return code 006 in valid_document. The details of the doc can be observed in master.doc_category table.</t>
  </si>
  <si>
    <t>TC_Pre-Reg_206</t>
  </si>
  <si>
    <t>Verifying the applicanttype.mvel file for Documents required for Resident , gender as FEMALE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</si>
  <si>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FEMALE , age Below 5 years.
 11. When reached the upload document page please verify the documents.</t>
  </si>
  <si>
    <t>The application should be completed successfully and the documents that are requested should be Address proof, Relationship proof, DOB Proof and Proof of identity.
 Verify the documents for the return code 007 in valid_document. The details of the doc can be observed in master.doc_category table.</t>
  </si>
  <si>
    <t>TC_Pre-Reg_207</t>
  </si>
  <si>
    <t>Verifying the applicanttype.mvel file for Documents required for Resident , gender as FEMALE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</si>
  <si>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FEMALE , age above 5 years.
 11. When reached the upload document page please verify the documents.</t>
  </si>
  <si>
    <t>The application should be completed successfully and the documents that are requested should be "Address proof, DOB Proof and Proof of identity".
 Verify the documents for the return code 008 in valid_document. The details of the doc can be observed in master.doc_category table.</t>
  </si>
  <si>
    <t>TC_Pre-Reg_208</t>
  </si>
  <si>
    <t>Verifying the applicanttype.mvel file for Documents required for NonResident , gender as Others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</si>
  <si>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NonResident , genderType is Others , age Below 5 years.
 11. When reached the upload document page please verify the documents.</t>
  </si>
  <si>
    <t>TC_Pre-Reg_209</t>
  </si>
  <si>
    <t>Verifying the applicanttype.mvel file for Documents required for NonResident , gender as Others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</si>
  <si>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NonResident , genderType is Others , age above 5 years.
 11. When reached the upload document page please verify the documents.</t>
  </si>
  <si>
    <t>TC_Pre-Reg_210</t>
  </si>
  <si>
    <t>Verifying the applicanttype.mvel file for Documents required for Resident , gender as Others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</si>
  <si>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Others , age Below 5 years.
 11. When reached the upload document page please verify the documents.</t>
  </si>
  <si>
    <t>TC_Pre-Reg_211</t>
  </si>
  <si>
    <t>Verifying the applicanttype.mvel file for Documents required for Resident , gender as Others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</si>
  <si>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Others , age above 5 years.
 11. When reached the upload document page please verify the documents.</t>
  </si>
  <si>
    <t>Config_Changes</t>
  </si>
  <si>
    <t>TC_Pre-Reg_212</t>
  </si>
  <si>
    <t>Modifying preregistration.booking.offset value to verify config files</t>
  </si>
  <si>
    <t>1. In git hub navigate to the branch &gt; sandbox &gt; pre-registration-mz.properties.
 2. Click on the edit option and update "preregistration.booking.offset=2" to 5
 3. Commit the chnages.
 4. Restart the service for pre reg application services batch job service booking service
 5. Login into an account and verify the booking date available.</t>
  </si>
  <si>
    <t>The Date should be available from the next 5 working days when the user is booking an appointment.
 Revert back the changes to the default values.</t>
  </si>
  <si>
    <t>TC_Pre-Reg_213</t>
  </si>
  <si>
    <t>Modifying the mosip.preregistration.auto.logout.timeout value for auto logout popup message</t>
  </si>
  <si>
    <t>1. In git hub navigate to the branch &gt; sandbox &gt; pre-registration-mz.properties.
 2. Click on the edit option and update "mosip.preregistration.auto.logout.timeout=60" to 65
 3. Commit the chnages.
 4. Restart the service for pre reg application services batch job service booking service
 5. Login into an account and wait till timeout of the application</t>
  </si>
  <si>
    <t>The application should give the timeout pop out in 65 seconds of inactivity.
 Revert back the changes to the default values.</t>
  </si>
  <si>
    <t>TC_Pre-Reg_214</t>
  </si>
  <si>
    <t>Modifying the mosip.preregistration.auto.logout.idle value for auto logout</t>
  </si>
  <si>
    <t>1. In git hub navigate to the branch &gt; sandbox &gt; pre-registration-mz.properties.
 2. Click on the edit option and update "mosip.preregistration.auto.logout.idle=60" to 65
 3. Commit the chnages.
 4. Restart the service for pre reg application services batch job service booking service
 5. Login into an account and wait till timeout of the application</t>
  </si>
  <si>
    <t>The application should show a popup after ""mosip.preregistration.auto.logout.timeout" time and then logout in another 65 seconds of inactivity.
 Revert back the changes to the default values.</t>
  </si>
  <si>
    <t>TC_Pre-Reg_215</t>
  </si>
  <si>
    <t>Modifying the "preregistration.documentupload.allowed.file.nameLength" value changing the size of the document name length</t>
  </si>
  <si>
    <t>1. In git hub navigate to the branch &gt; sandbox &gt; pre-registration-mz.properties.
 2. Click on the edit option and update "preregistration.documentupload.allowed.file.nameLength=50" to 15
 3. Commit the chnages.
 4. Restart the service for pre reg application services batch job service booking service
 5. Login into an account &gt; create an application &gt; while uploading the documents select a document of name length more than 15 characters and below 15 characters.</t>
  </si>
  <si>
    <t>Files with the character length more than 15 should not be uploaded and only files with characters less than 15 should be uploaded.
 Revert back the changes to the default values.</t>
  </si>
  <si>
    <t>TC_Pre-Reg_216</t>
  </si>
  <si>
    <t>Modifying the "preregistration.documentupload.allowed.file.size" that determines the max file size of the document.</t>
  </si>
  <si>
    <t>1. In git hub navigate to the branch &gt; sandbox &gt; pre-registration-mz.properties.
 2. Click on the edit option and update "preregistration.documentupload.allowed.file.size = 2000000" to 1000000.
 3. Commit the chnages.
 4. Restart the service for pre reg application services batch job service booking service
 5. Login into an account &gt; create an application &gt; while uploading the documents select a document of size more than 1000000 and below 1000000 bytes.</t>
  </si>
  <si>
    <t>Files with size more than 1MB/1000000 bytes should not be allowed to uploaded, only files below 1MB size should be uploaded.
 Revert back the changes to the default values.</t>
  </si>
  <si>
    <t>TC_Pre-Reg_217</t>
  </si>
  <si>
    <t>Modifying the "preregistration.document.extention=PDF,JPEG,PNG,JPG" that determines the max file size of the document.</t>
  </si>
  <si>
    <t>1. In git hub navigate to the branch &gt; sandbox &gt; pre-registration-mz.properties.
 2. Click on the edit option and update "preregistration.document.extention=PDF,JPEG,PNG,JPG" to JPEG,PNG,JPG.
 3. Commit the chnages.
 4. Restart the service for pre reg application services batch job service booking service
 5. Login into an account &gt; create an application &gt; while uploading the documents select a document of file format PDF.</t>
  </si>
  <si>
    <t>The PDF file should not be uploaded as the file extension was removed from the config file.</t>
  </si>
  <si>
    <t>TC_Pre-Reg_218</t>
  </si>
  <si>
    <t>Modifying the "preregistration.availability.noOfDays=140" that determines the number of days available for booking.</t>
  </si>
  <si>
    <t>1. In git hub navigate to the branch &gt; sandbox &gt; pre-registration-mz.properties.
 2. Click on the edit option and update "preregistration.availability.noOfDays=140" to 40.
 3. Commit the chnages.
 4. Restart the service for pre reg application services batch job service booking service
 5. Login into an account &gt; create an application &gt; upload documents and navigate to booking.</t>
  </si>
  <si>
    <t>The booking slots show be shown only for the next 40 days from the current date.</t>
  </si>
  <si>
    <t>TC_Pre-Reg_219</t>
  </si>
  <si>
    <t>Modifying the "max.file.size=2" that determines Maximum size of file allowed uploaded in document service API (in mb).</t>
  </si>
  <si>
    <t>1. In git hub navigate to the branch &gt; sandbox &gt; pre-registration-mz.properties.
 2. Click on the edit option and update "max.file.size=2" to 1.
 3. Commit the chnages.
 4. Restart the service for pre reg application services batch job service booking service
 5. Login into an account &gt; create an application &gt; navigate upload documents.</t>
  </si>
  <si>
    <t>At the upload document page, it should show Maximum size of file allowed uploaded in document 1 (in mb)</t>
  </si>
  <si>
    <t>MOSIP_9997</t>
  </si>
  <si>
    <t>Mandatory field must be marked with * in pre reg</t>
  </si>
  <si>
    <t>MOSIP_9997-01</t>
  </si>
  <si>
    <t>MOSIP_9997-02</t>
  </si>
  <si>
    <t>MOSIP_9997-03</t>
  </si>
  <si>
    <t>MOSIP_9997-04</t>
  </si>
  <si>
    <t>MOSIP_9997-05</t>
  </si>
  <si>
    <t>MOSIP_9997-06</t>
  </si>
  <si>
    <t>MOSIP_9997-07</t>
  </si>
  <si>
    <t>MOSIP-8936</t>
  </si>
  <si>
    <t>OTP transaction to be part of Pre-registration instead of Kernel</t>
  </si>
  <si>
    <t>MOSIP-8936-01</t>
  </si>
  <si>
    <t>Check availability of OTP_transaction table in prereg</t>
  </si>
  <si>
    <t>1. Open DB.
 2. Navigate to MOSIP_prereg &gt; Schemas&gt; Prereg&gt; Tables</t>
  </si>
  <si>
    <t>otp_transaction table will be present in the DB</t>
  </si>
  <si>
    <t>MOSIP-8936-02</t>
  </si>
  <si>
    <t>Try to login prereg, just enter email address and search for changes in the DB.</t>
  </si>
  <si>
    <t>1. Enter an email address in the pre-reg login page.
 2. Refresh the DB by appending "order by cr_dtimes desc" option in the end.</t>
  </si>
  <si>
    <t>There is no new entry in the DB.</t>
  </si>
  <si>
    <t>MOSIP-8936-03</t>
  </si>
  <si>
    <t>Try to login prereg, enter email address, click on "SENT OTP" option and search for changes in the DB.</t>
  </si>
  <si>
    <t>1. Enter an email address in the pre-reg login page.
 2. Click on the "SEND OTP" option.
 3. Refresh the DB by appending "order by cr_dtimes desc" option in the end.</t>
  </si>
  <si>
    <t>There will be a new entry in the DB.</t>
  </si>
  <si>
    <t>MOSIP-8936-04</t>
  </si>
  <si>
    <t>Try to login prereg, enter email address, click on "SENT OTP" option, let OTP expire and search for changes in the DB.</t>
  </si>
  <si>
    <t>1. Enter an email address in the pre-reg login page.
 2. Click on the "SEND OTP" option.
 3. Wait for 3 minutes and let the OTP to expire.
 3. Refresh the DB by appending "order by cr_dtimes desc" option in the end.</t>
  </si>
  <si>
    <t>MOSIP-8936-05</t>
  </si>
  <si>
    <t>Verify the "ref id" field in the table when you try to login with the same email address multiple times.</t>
  </si>
  <si>
    <t>1. Enter an email address in the pre-reg login page.
 2. Click on the "SEND OTP" option.
 3. Enter the OTP and login.
 3. Refresh the DB by appending "order by cr_dtimes desc" option in the end.</t>
  </si>
  <si>
    <t>There will be a new entry in the DB and if the same email address is used, the ref id field value will be the same.</t>
  </si>
  <si>
    <t>MOSIP-8936-06</t>
  </si>
  <si>
    <t>Verify the "otp hash" field in the table when you try to login with the otp.</t>
  </si>
  <si>
    <t>The otp hash field should contain the email address and the OTP [OTP + transactionId +ID(emailId/phoneNumber)] that you have entered.</t>
  </si>
  <si>
    <t>MOSIP-8936-07</t>
  </si>
  <si>
    <t>Verify the "otp hash" field in the table when you try to login with the otp for multiple times.</t>
  </si>
  <si>
    <t>1. Enter an email address in the pre-reg login page.
 2. Click on the "SEND OTP" option.
 3. Enter the OTP and login.
 3. Refresh the DB by appending "order by cr_dtimes desc" option in the end.
 Perform this multiple times.</t>
  </si>
  <si>
    <t>The otp hash field should contain the same information for all the multiple attempts of the same email address.</t>
  </si>
  <si>
    <t>MOSIP-8575</t>
  </si>
  <si>
    <t>Responsive UX Testing for Pre-registration</t>
  </si>
  <si>
    <t>MOSIP-8575-01</t>
  </si>
  <si>
    <t>Check UI of pre-reg application login page in Mobile phone.</t>
  </si>
  <si>
    <t>1. Open Firefox.
 2. Right click and selet "inspect" option.
 3. Select "Responsive Design Mode"
 4. Select a mobile and open prereg.
 5. Verify the UI in the login page.</t>
  </si>
  <si>
    <t>The allignemnt of the log in page should be proper and in the middle of the browser.</t>
  </si>
  <si>
    <t>MOSIP-8575-02</t>
  </si>
  <si>
    <t>Check UI of pre-reg application login page in Tablet.</t>
  </si>
  <si>
    <t>1. Open Firefox.
 2. Right click and selet "inspect" option.
 3. Select "Responsive Design Mode"
 4. Select a Tablet version and open prereg.
 5. Verify the UI in the login page.</t>
  </si>
  <si>
    <t>MOSIP-8575-03</t>
  </si>
  <si>
    <t>Check UI of pre-reg application login page in an ios.</t>
  </si>
  <si>
    <t>1. Open Firefox.
 2. Right click and selet "inspect" option.
 3. Select "Responsive Design Mode"
 4. Select an ios version and open prereg.
 5. Verify the UI in the login page.</t>
  </si>
  <si>
    <t>MOSIP-8575-04</t>
  </si>
  <si>
    <t>Check UI of pre-reg application home page in Mobile phone.</t>
  </si>
  <si>
    <t>1. Open prereg in a mobile version in firefox inspect mode.
 2. Enter the email address and OTP to login into pre-reg
 3. Verify the UI in the login page.</t>
  </si>
  <si>
    <t>The page allognment should be proper and the "Create application" button and "Book/Modify appointment" button should be alligned properly.</t>
  </si>
  <si>
    <t>MOSIP-8575-05</t>
  </si>
  <si>
    <t>Check UI of pre-reg application home page in Tablet.</t>
  </si>
  <si>
    <t>1. Open prereg in a tablet version in firefox inspect mode. 
 2. Enter the email address and OTP to login into pre-reg
 3. Verify the UI in the login page.</t>
  </si>
  <si>
    <t>MOSIP-8575-06</t>
  </si>
  <si>
    <t>Check UI of pre-reg application home page in an ios device.</t>
  </si>
  <si>
    <t>1. Open prereg in an ios version in firefox inspect mode.
 2. Enter the email address and OTP to login into pre-reg
 3. Verify the UI in the login page.</t>
  </si>
  <si>
    <t>MOSIP-8575-07</t>
  </si>
  <si>
    <t>Making Chnages in the UI Spec and checking in various devices - Changing mandatory fields to non-mandatory</t>
  </si>
  <si>
    <t>1. Change the mandatory fields in the demographic page to non-mandatory.
 2. Verify the changes reflecting in various devices (Phone, tablets and ios)</t>
  </si>
  <si>
    <t>The changes will be reflecting in when checked in various devices (Phone/Tablet and ios devices)</t>
  </si>
  <si>
    <t>MOSIP-8575-08</t>
  </si>
  <si>
    <t>Making Chnages in the UI Spec and checking in various devices - Changing non-mandatory fields to mandatory</t>
  </si>
  <si>
    <t>MOSIP-8575-09</t>
  </si>
  <si>
    <t>Making Chnages in the UI Spec and checking in various devices - Making changes in the document upload screen, renaming a field</t>
  </si>
  <si>
    <t>1. Make changes in the UI spec by renaming a field in the document page.
 2. Verify the changes reflecting in various devices (Phone, tablets and ios)</t>
  </si>
  <si>
    <t>MOSIP-8168</t>
  </si>
  <si>
    <t>Pre-registration UX touch-ups</t>
  </si>
  <si>
    <t>MOSIP-8168-01</t>
  </si>
  <si>
    <t>Date of Birth should be collected with age.</t>
  </si>
  <si>
    <t>1. Login in the prereg application.
 2. Start Creating an application.
 3. Observed the age field in the demographic page.
 4. Click on the calender and enter the age and click on the date of birth field</t>
  </si>
  <si>
    <t>It should automatically select the year and date according to the age(the day and month should be changed accordingly).</t>
  </si>
  <si>
    <t>MOSIP-8168-02</t>
  </si>
  <si>
    <t>Entering the date of birth should automatically give age.</t>
  </si>
  <si>
    <t>1. Login in the prereg application.
 2. Start Creating an application.
 3. Observed the age field in the demographic page.
 4. Enter the date of birth and click on the age field</t>
  </si>
  <si>
    <t>The age should be automatically updated in the age field.</t>
  </si>
  <si>
    <t>MOSIP-8168-03</t>
  </si>
  <si>
    <t>Date of birth should be collected with DD/MM/YYYY format</t>
  </si>
  <si>
    <t>1. Login in the prereg application.
 2. Start Creating an application.
 3. Try to add a date of birth in the application.</t>
  </si>
  <si>
    <t>The application should accept DD/MM/YYYY format as a date.</t>
  </si>
  <si>
    <t>MOSIP-8168-04</t>
  </si>
  <si>
    <t>Language screen in the home page should be a drop down box.</t>
  </si>
  <si>
    <t>1. At the login in screen, observe the login language selection</t>
  </si>
  <si>
    <t>The login language selection is a drop down box.</t>
  </si>
  <si>
    <t>MOSIP-8168-05</t>
  </si>
  <si>
    <t>Language selection in login screen should show "عربى" for selecting Arabic Language.</t>
  </si>
  <si>
    <t>1. At the login in screen, the default language is English.
 2. Click on the drop down box to select a different language</t>
  </si>
  <si>
    <t>The application show "عربى" for selecting Arabic Language.</t>
  </si>
  <si>
    <t>MOSIP-8168-06</t>
  </si>
  <si>
    <t>Pin code in the demographic page should be a drop down.</t>
  </si>
  <si>
    <t>1. Login in the prereg application.
 2. Start Creating an application.
 3. Verify the pin code field</t>
  </si>
  <si>
    <t>The pin code should be a drop down field.</t>
  </si>
  <si>
    <t>MOSIP-8168-07</t>
  </si>
  <si>
    <t>Login with Arabic as alanguage</t>
  </si>
  <si>
    <t>1. At the login in screen, the default language is English.
 2. Click on the drop down box to select a different language.
 3. Select "عربى" option.
 4. Enter an email address, click on send OTP.
 5. Enter the OTP and click on VERIFY.</t>
  </si>
  <si>
    <t>The user should be logged in into the specified user account with language as Arabic.</t>
  </si>
  <si>
    <t>MOSIP-12618</t>
  </si>
  <si>
    <t>Changes in Pre Reg code to support Gender and Resident Status as dynamic fields</t>
  </si>
  <si>
    <t>MOSIP-12618-01</t>
  </si>
  <si>
    <t>Creating a new field in Admin for Gender</t>
  </si>
  <si>
    <t>1.Login into Admin.
 2. Navigate to Masterdata &gt; Dynamic Fields &gt; Gender
 3. Click on "Create".
 4. Enter the details and click on "SAVE"</t>
  </si>
  <si>
    <t>The new entry for gender will be created successfully and an appropriate message will be displayed.
 As it is not activated it will not be displayed in the pre-reg application.</t>
  </si>
  <si>
    <t>MOSIP-12618-02</t>
  </si>
  <si>
    <t>Activating the new field in Gender</t>
  </si>
  <si>
    <t>1.Login into Admin.
 2. Navigate to Masterdata &gt; Dynamic Fields &gt; Gender
 3. Click on the 3 dots &gt; Activate.</t>
  </si>
  <si>
    <t>"Do you want to Activate gender?
 You can Deactivate it later if you wish. Till then it will be set as Active" message will be displayed.</t>
  </si>
  <si>
    <t>MOSIP-12618-03</t>
  </si>
  <si>
    <t>Activating the new field in Gender - Cancel</t>
  </si>
  <si>
    <t>1.Login into Admin.
 2. Navigate to Masterdata &gt; Dynamic Fields &gt; Gender
 3. Click on the 3 dots &gt; Activate.
 4. Click on Cancel</t>
  </si>
  <si>
    <t>The pop up message will be closed and will navigate back to the Gender Dynamic field page.</t>
  </si>
  <si>
    <t>MOSIP-12618-04</t>
  </si>
  <si>
    <t>Activating the new field in Gender - Confirm</t>
  </si>
  <si>
    <t>1.Login into Admin.
 2. Navigate to Masterdata &gt; Dynamic Fields &gt; Gender
 3. Click on the 3 dots &gt; Activate.
 4. Click on Confirm</t>
  </si>
  <si>
    <t>"gender is Activated Successfully" message is displayed and the field is activated.</t>
  </si>
  <si>
    <t>MOSIP-12618-05</t>
  </si>
  <si>
    <t>Verify the activated field in Pre-reg UI</t>
  </si>
  <si>
    <t>1. Activate a new entry for Gender in Admin.
 2. Login into Pre-reg.
 3. Select Create an application.
 4. While filling the application, click on the drop down for Gender.</t>
  </si>
  <si>
    <t>The drop down should contain : Male. Female, Others and the new entry created.</t>
  </si>
  <si>
    <t>MOSIP-12618-06</t>
  </si>
  <si>
    <t>Verify the activated field in Pre-reg UI and make an appointment.</t>
  </si>
  <si>
    <t>1. Activate a new entry for Gender in Admin.
 2. Login into Pre-reg.
 3. Select Create an application.
 4. While filling the application, click on the drop down for Gender and select a newly created Gender field.
 5. Book an appointment.</t>
  </si>
  <si>
    <t>The appointment should be booked successfully with out any error.</t>
  </si>
  <si>
    <t>MOSIP-12618-07</t>
  </si>
  <si>
    <t>Activate and deactivate the newly created field in Gender.</t>
  </si>
  <si>
    <t>1.Login into Admin.
 2. Navigate to Masterdata &gt; Dynamic Fields &gt; Gender
 3. Click on the 3 dots &gt; Activate.
 4. The field should be activated with a proper message.
 5. Click on the 3 dots &gt; Deactivate.</t>
  </si>
  <si>
    <t>"Do you want to Deactivate gender ?
 You can Activate it later if you wish. Till then it will be set as Inactive" Message will be displayed.</t>
  </si>
  <si>
    <t>MOSIP-12618-08</t>
  </si>
  <si>
    <t>Activate and deactivate the newly created field in Gender. - Confirm</t>
  </si>
  <si>
    <t>1.Login into Admin.
 2. Navigate to Masterdata &gt; Dynamic Fields &gt; Gender
 3. Click on the 3 dots &gt; Activate.
 4. The field should be activated with a proper message.
 5. Click on the 3 dots &gt; Deactivate.
 6. Click on Confirm</t>
  </si>
  <si>
    <t>"gender is Deactivated Successfully" message is displayed and the field is activated.</t>
  </si>
  <si>
    <t>MOSIP-12618-09</t>
  </si>
  <si>
    <t>Activate and deactivate the newly created field in Gender. - Cancel</t>
  </si>
  <si>
    <t>1.Login into Admin.
 2. Navigate to Masterdata &gt; Dynamic Fields &gt; Gender
 3. Click on the 3 dots &gt; Activate.
 4. The field should be activated with a proper message.
 5. Click on the 3 dots &gt; Deactivate.
 6. Click on Cancel.</t>
  </si>
  <si>
    <t>MOSIP-12618-10</t>
  </si>
  <si>
    <t>Deactivating an existing entry in Gender.</t>
  </si>
  <si>
    <t>1.Login into Admin.
 2. Navigate to Masterdata &gt; Dynamic Fields &gt; Gender
 3. Click on the 3 dots &gt; Deactivate.</t>
  </si>
  <si>
    <t>"Do you want to Deactivate gender ?
 You can Activate it later if you wish. Till then it will be set as Inactive" 
 message is displayed.</t>
  </si>
  <si>
    <t>MOSIP-12618-11</t>
  </si>
  <si>
    <t>Deactivating an existing entry in Gender - Click on "Confirm"</t>
  </si>
  <si>
    <t>1.Login into Admin.
 2. Navigate to Masterdata &gt; Dynamic Fields &gt; Gender
 3. Click on the 3 dots &gt; Deactivate.
 4. Click on confirm.</t>
  </si>
  <si>
    <t>MOSIP-12618-12</t>
  </si>
  <si>
    <t>Deactivating an existing entry in Gender - Verifying in pre-reg</t>
  </si>
  <si>
    <t>1. Deactivate a field in Admin.
 2. Login into pre-reg.
 3. Start creating an application.
 4. While creating an application, verify the entries in the Gender field.</t>
  </si>
  <si>
    <t>Observed that the deactivated field is not present anymore.</t>
  </si>
  <si>
    <t>MOSIP-12618-13</t>
  </si>
  <si>
    <t>Creating a new field in Admin for Resident Status.</t>
  </si>
  <si>
    <t>1.Login into Admin.
 2. Navigate to Masterdata &gt; Dynamic Fields &gt; Resident Status.
 3. Click on "Create".
 4. Enter the details and click on "SAVE"</t>
  </si>
  <si>
    <t>The new entry for Resident Status will be created successfully and an appropriate message will be displayed.</t>
  </si>
  <si>
    <t>MOSIP-12618-14</t>
  </si>
  <si>
    <t>Activating the new field in Resident Status.</t>
  </si>
  <si>
    <t>1.Login into Admin.
 2. Navigate to Masterdata &gt; Dynamic Fields &gt; Resident Status.
 3. Click on the 3 dots &gt; Activate.</t>
  </si>
  <si>
    <t>"Do you want to Activate residenceStatus?
 You can Deactivate it later if you wish. Till then it will be set as Active" message will be displayed.</t>
  </si>
  <si>
    <t>MOSIP-12618-15</t>
  </si>
  <si>
    <t>Activating the new field in Resident Status. - Cancel</t>
  </si>
  <si>
    <t>1.Login into Admin.
 2. Navigate to Masterdata &gt; Dynamic Fields &gt; Resident Status.
 3. Click on the 3 dots &gt; Activate.
 4. Click on Cancel</t>
  </si>
  <si>
    <t>MOSIP-12618-16</t>
  </si>
  <si>
    <t>Activating the new field in Resident Status. - Confirm</t>
  </si>
  <si>
    <t>1.Login into Admin.
 2. Navigate to Masterdata &gt; Dynamic Fields &gt; Resident Status.
 3. Click on the 3 dots &gt; Activate.
 4. Click on Confirm</t>
  </si>
  <si>
    <t>"residenceStatus is Activated Successfully" message is displayed and the field is activated.</t>
  </si>
  <si>
    <t>MOSIP-12618-17</t>
  </si>
  <si>
    <t>1. Activate a new entry for Gender in Admin.
 2. Login into Pre-reg.
 3. Select Create an application.
 4. While filling the application, click on the drop down for Resident Status..</t>
  </si>
  <si>
    <t>The drop down should contain : Foreigner. Non-Foreigner and the new entry created.</t>
  </si>
  <si>
    <t>MOSIP-12618-18</t>
  </si>
  <si>
    <t>1. Activate a new entry for Gender in Admin.
 2. Login into Pre-reg.
 3. Select Create an application.
 4. While filling the application, click on the drop down for Gender and select a newly created Resident Status field.
 5. Book an appointment.</t>
  </si>
  <si>
    <t>MOSIP-12618-19</t>
  </si>
  <si>
    <t>Activate and deactivate the newly created field in Resident Status.</t>
  </si>
  <si>
    <t>"Do you want to Deactivate residenceStatus ?
 You can Activate it later if you wish. Till then it will be set as Inactive" Message will be displayed.</t>
  </si>
  <si>
    <t>MOSIP-12618-20</t>
  </si>
  <si>
    <t>Activate and deactivate the newly created field in Resident Status. - Confirm</t>
  </si>
  <si>
    <t>"residenceStatus is Deactivated Successfully" message is displayed and the field is activated.</t>
  </si>
  <si>
    <t>MOSIP-12618-21</t>
  </si>
  <si>
    <t>Activate and deactivate the newly created field in Resident Status. - Cancel</t>
  </si>
  <si>
    <t>The pop up message will be closed and will navigate back to the residenceStatus Dynamic field page.</t>
  </si>
  <si>
    <t>MOSIP-12618-22</t>
  </si>
  <si>
    <t>Deactivating an existing entry in Resident Status'.</t>
  </si>
  <si>
    <t>"Do you want to Deactivate residenceStatus ?
 You can Activate it later if you wish. Till then it will be set as Inactive" 
 message is displayed.</t>
  </si>
  <si>
    <t>MOSIP-12618-23</t>
  </si>
  <si>
    <t>Deactivating an existing entry in Resident Status - Click on "Confirm"</t>
  </si>
  <si>
    <t>MOSIP-12618-24</t>
  </si>
  <si>
    <t>Deactivating an existing entry in Resident Status - Verifying in pre-reg</t>
  </si>
  <si>
    <t>MOSIP-12618-25</t>
  </si>
  <si>
    <t>According to the Mvel sheet, the application should be created and appropriate documents should be requested..</t>
  </si>
  <si>
    <t>1. Verify the Mvel file for the document upload screen.
 2. Check the appropriate documents required for the respective input.</t>
  </si>
  <si>
    <t>The document upload page will show the required documents as per the Mvel page combinations.</t>
  </si>
  <si>
    <t>MOSIP-11296</t>
  </si>
  <si>
    <t>As a Pre-Registration user, I should have the pagination option for list of registration centers.</t>
  </si>
  <si>
    <t>MOSIP-11296-01</t>
  </si>
  <si>
    <t>API : GET /registrationcenters/page/{langcode}/{hierarchylevel}/{name} - eng</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</si>
  <si>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"MyCountry", pagenumber = "0" and pagesize = "5".
 6. Click on Execute.</t>
  </si>
  <si>
    <t>The number of centers available will be displayed as per the page size mentioned.</t>
  </si>
  <si>
    <t>MOSIP-11296-02</t>
  </si>
  <si>
    <t>API : GET /registrationcenters/page/{langcode}/{hierarchylevel}/{name} - ara</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</si>
  <si>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"ara", hierarchylevel = "1", name = "الْـمَغْرِبُ", pagenumber = "0" and pagesize = "5".
 6. Click on Execute.</t>
  </si>
  <si>
    <t>MOSIP-11296-03</t>
  </si>
  <si>
    <t>API : GET /registrationcenters/page/{langcode}/{hierarchylevel}/{name} - kan - Page size Zero</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</si>
  <si>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"kan", hierarchylevel = "1", name = "ನನ್ನ ದೇಶ", pagenumber = "0" and pagesize = "0". 
 6. Click on Execute.</t>
  </si>
  <si>
    <t>Failing with the beloe error message
  "errorCode": "KER-MSD-500",
  "message": "Page size must not be less than one!"</t>
  </si>
  <si>
    <t>MOSIP-11296-04</t>
  </si>
  <si>
    <t>API : GET /registrationcenters/page/{langcode}/{hierarchylevel}/{name} - kan - hierarchylevel 20</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</si>
  <si>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"kan", hierarchylevel = "1", name = "ನನ್ನ ದೇಶ", pagenumber = "0" and pagesize = "20". 
 6. Click on Execute.</t>
  </si>
  <si>
    <t>Failing with the beloe error message
  "errorCode": "KER-MSD-026",
  "message": "Location not found"</t>
  </si>
  <si>
    <t>MOSIP-11296-05</t>
  </si>
  <si>
    <t>API : GET /registrationcenters/page/{langcode}/{hierarchylevel}/{name} - eng - Without "name"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</si>
  <si>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 pagenumber = "0" and pagesize = "5". (do not enter the name)
 6. Click on Execute.</t>
  </si>
  <si>
    <t>When execute is clicked, it will mark the mandatory fields and ask to enter the value of name.</t>
  </si>
  <si>
    <t>MOSIP-11296-06</t>
  </si>
  <si>
    <t>API : GET /registrationcenters/page/{langcode}/{hierarchylevel}/{name} - eng - Without "hierarchylevel"</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</si>
  <si>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 name = "MyCountry", pagenumber = "0" and pagesize = "5". (do not enter the hierarchylevel)
 6. Click on Execute.</t>
  </si>
  <si>
    <t>When execute is clicked, it will mark the mandatory fields and ask to enter the value of hierarchylevel.</t>
  </si>
  <si>
    <t>MOSIP-11296-07</t>
  </si>
  <si>
    <t>API : GET /registrationcenters/page/{langcode}/{hierarchylevel}/{name} - eng - With different "hierarchylevel"</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</si>
  <si>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"6", name = "14023", pagenumber = "0" and pagesize = "5". (The hierarchy level and name can be taken from prereg.Location table in DB)
 6. Click on Execute.</t>
  </si>
  <si>
    <t>The centers available near the entered heirarchy level and name will be displayed.</t>
  </si>
  <si>
    <t>MOSIP-11296-08</t>
  </si>
  <si>
    <t>API : GET /registrationcenters/page/{langcode}/{hierarchylevel}/{name} - eng - Verify total number of pages available.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</si>
  <si>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"MyCountry", pagenumber = "0" and pagesize = "5". 
 6. Click on Execute.</t>
  </si>
  <si>
    <t>In the response, "response": {
  "pageNo": 0,
  "pageSize": 5,
  "sort": null,
  "totalItems": 2,
  "totalPages": 1,
  "data" 
 Is displayed with the details of pages available.</t>
  </si>
  <si>
    <t>MOSIP-11296-09</t>
  </si>
  <si>
    <t>API : GET /registrationcenters/page/{langcode}/{hierarchylevel}/{name} - eng - Checking different pages.</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</si>
  <si>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"MyCountry", pagenumber = "2" and pagesize = "5". 
 6. Click on Execute.</t>
  </si>
  <si>
    <t>In the response,"response": {
  "pageNo": 2,
  "pageSize": 5,
  "sort": null,
  "totalItems": 28,
  "totalPages": 6,
  "data"
 The page number will be a page that we mentioned.</t>
  </si>
  <si>
    <t>MOSIP-11296-10</t>
  </si>
  <si>
    <t>API : GET /registrationcenters/page/{langcode}/{hierarchylevel}/{name} - eng - page number more than available pages.</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</si>
  <si>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"MyCountry", pagenumber = "9" and pagesize = "5". 
 6. Click on Execute.</t>
  </si>
  <si>
    <t>Failing with the beloe error message
  "errorCode": "KER-MSD-215",
  "message": "Registration Center not found"</t>
  </si>
  <si>
    <t>MOSIP-11296-11</t>
  </si>
  <si>
    <t>API : GET /registrationcenters/page/{langcode}/{hierarchylevel}/{name} - eng - Giving invalid name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</si>
  <si>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"999999999", pagenumber = "20" and pagesize = "5". 
 6. Click on Execute.</t>
  </si>
  <si>
    <t>Error messge is displayed as below
  "errorCode": "KER-MSD-215",
  "message": "Registration Center not found".</t>
  </si>
  <si>
    <t>MOSIP-11296-12</t>
  </si>
  <si>
    <t>API : GET /registrationcenters/page/{langcode}/{hierarchylevel}/{name} - eng - Giving invalid hierarchylevel</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</si>
  <si>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"7", name = "MyCountry", pagenumber = "20" and pagesize = "5". 
 6. Click on Execute.</t>
  </si>
  <si>
    <t>Error message is displayed as below"
  "errorCode": "KER-MSD-026",
  "message": "Location not found"</t>
  </si>
  <si>
    <t>MOSIP-11296-13</t>
  </si>
  <si>
    <t>API : GET /registrationcenters/page/{langcode}/{hierarchylevel}/{name} - eng - Giving mismatch level and name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</si>
  <si>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"2", name = "MyCountry", pagenumber = "0" and pagesize = "5". 
 6. Click on Execute.</t>
  </si>
  <si>
    <t>MOSIP-11296-14</t>
  </si>
  <si>
    <t>API : GET /registrationcenters/page/{langcode}/{hierarchylevel}/{name} - eng - Giving invalid LangCode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</si>
  <si>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"englisg", hierarchylevel = "2", name = "MyCountry", pagenumber = "0" and pagesize = "5". 
 6. Click on Execute.</t>
  </si>
  <si>
    <t>Error messge is displayed as below
  "errorCode": "KER-MSD-026",
  "message": "Location not found"</t>
  </si>
  <si>
    <t>MOSIP-11296-15</t>
  </si>
  <si>
    <t>API : GET /registrationcenters/page/{langcode}/{hierarchylevel}/{name} - mismatching Country and names</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</si>
  <si>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"ara", hierarchylevel = "1", name = "MyCountry", pagenumber = "0" and pagesize = "5". 
 6. Click on Execute.</t>
  </si>
  <si>
    <t>MOSIP-11296-16</t>
  </si>
  <si>
    <t>API : GET /registrationcenters/page/{langcode}/{hierarchylevel}/{name} - ara - Without "name"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</si>
  <si>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"ara", hierarchylevel = "1", name = "", pagenumber = "0" and pagesize = "5". (do not enter the name)
 6. Click on Execute.</t>
  </si>
  <si>
    <t>MOSIP-11296-17</t>
  </si>
  <si>
    <t>API : GET /registrationcenters/page/{langcode}/{hierarchylevel}/{name} - ara - Without "hierarchylevel"</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</si>
  <si>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"ara", hierarchylevel = "", name = "الْـمَغْرِبُ", pagenumber = "0" and pagesize = "5". (do not enter the hierarchylevel)
 6. Click on Execute.</t>
  </si>
  <si>
    <t>MOSIP-11296-18</t>
  </si>
  <si>
    <t>API : GET /registrationcenters/page/{langcode}/{hierarchylevel}/{name} - ara - With different "hierarchylevel"</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</si>
  <si>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"ara", hierarchylevel = "6", name = "14023", pagenumber = "0" and pagesize = "5". (The hierarchy level and name can be taken from prereg.Location table in DB)
 6. Click on Execute.</t>
  </si>
  <si>
    <t>MOSIP-17337</t>
  </si>
  <si>
    <t>Pre-reg operational reports</t>
  </si>
  <si>
    <t>MOSIP-17337-01</t>
  </si>
  <si>
    <t>Verifying the login reports Discover.</t>
  </si>
  <si>
    <t>1. Login into Pre-reg and login into a user account.
 2. Open "kibana" in qa-double-rc2.
 3. Navigate to Discover.
 4. Add a filter "qa_double_rc2.prereg.otp_transaction".
 5. Add fields "id" and "index".</t>
  </si>
  <si>
    <t>Verified the OTP "qa_double_rc2.prereg.otp_transaction" logs in "id" and "index"</t>
  </si>
  <si>
    <t>MOSIP-17337-02</t>
  </si>
  <si>
    <t>Verify the various applications created reflecting in Discover.</t>
  </si>
  <si>
    <t>1. Login into Pre-reg and create few applications and make an appoints for few of them.
 2. Cancel any one appointment for the booked application.
 3. Open "kibana" in qa-double-rc2.
 4. Navigate to Discover.
 5. Add a filter "qa_double_rc2.prereg.application_demographic".
 6. Add fields "id", "index" and "prereg_id".</t>
  </si>
  <si>
    <t>The pre-reg applications that were created/cancelled/booked in the specified time should be displayed.</t>
  </si>
  <si>
    <t>MOSIP-17337-03</t>
  </si>
  <si>
    <t>Verify the various applications created reflecting in Dashboard.</t>
  </si>
  <si>
    <t>1. Login into Pre-reg and create few applications and make an appoints for few of them.
 2. Cancel any one appointment for the booked application.
 3. Open "kibana" in qa-double-rc2.
 4. Navigate to Dashboard &gt; select "Pre Reg Operations".</t>
  </si>
  <si>
    <t>The applications count for respective application status count should be updated.</t>
  </si>
  <si>
    <t>MOSIP-17337-04</t>
  </si>
  <si>
    <t>Verifying the application with different time search(checking in a different time than the created time).</t>
  </si>
  <si>
    <t>1. Login into Pre-reg and create few applications and make an appoints for few of them.
 2. Cancel any one appointment for the booked application.
 3. Open "kibana" in qa-double-rc2.
 4. Navigate to Dashboard &gt; select "Pre Reg Operations" after 1 hour and select time as last 15 minutes.</t>
  </si>
  <si>
    <t>The applications should not be displayed as we are checking in the wrong time compared to the created/cancelled time.</t>
  </si>
  <si>
    <t>MOSIP-17337-05</t>
  </si>
  <si>
    <t>Verifying the Pre Reg operations in Dash board</t>
  </si>
  <si>
    <t>1. Login into Pre-reg and create few applications and make an appoints for few of them.
 2. Cancel any one appointment for the booked application.
 3. Open "kibana" in qa-double-rc2.
 4. Navigate to Dashboard &gt; select "Pre Reg Operations" and select a time frame for the results required.</t>
  </si>
  <si>
    <t>The "Pre Reg Operations" should show the application count with respective to different status.
 Documents Used, Top Centers used for booking.
 OTP logings in last 30 days.
 Appointment bookings in the centers</t>
  </si>
  <si>
    <t>MOSIP-17337-06</t>
  </si>
  <si>
    <t>Verifying the Pre Registratio in Dash board</t>
  </si>
  <si>
    <t>1. Login into Pre-reg and create few applications and make an appoints for few of them.
 2. Cancel any one appointment for the booked application.
 3. Open "kibana" in qa-double-rc2.
 4. Navigate to Dashboard &gt; select "Pre Registration" and select a time frame for the results required.</t>
  </si>
  <si>
    <t>The "Pre Registration" should show the application status and appointment status.
 The pre-registration trend status of the specified time frams.</t>
  </si>
  <si>
    <t>MOSIP-17337-07</t>
  </si>
  <si>
    <t>Verifying the Pre Reg operations in Dash board - Try changing the time</t>
  </si>
  <si>
    <t>1. Login into Pre-reg and create few applications and make an appoints for few of them.
 2. Cancel any one appointment for the booked application.
 3. Open "kibana" in qa-double-rc2.
 4. Navigate to Dashboard &gt; select "Pre Reg Operations" and change the time frame for the results required.</t>
  </si>
  <si>
    <t>MOSIP-17337-08</t>
  </si>
  <si>
    <t>Verifying the Pre Registratio in Dash board - Try changing the time</t>
  </si>
  <si>
    <t>1. Login into Pre-reg and create few applications and make an appoints for few of them.
 2. Cancel any one appointment for the booked application.
 3. Open "kibana" in qa-double-rc2.
 4. Navigate to Dashboard &gt; select "Pre Registration" and change the time frame for the results required.</t>
  </si>
  <si>
    <t>MOSIP-17337-09</t>
  </si>
  <si>
    <t>Count of documents types</t>
  </si>
  <si>
    <t>Verify the "documents types used" updated as per the uploads</t>
  </si>
  <si>
    <t>MOSIP-17337-10</t>
  </si>
  <si>
    <t>Appointments per registration center</t>
  </si>
  <si>
    <t>1. Login into Pre-reg and create an applications and make an appoints.
 2. Open "kibana" in qa-double-rc2.
 3. Navigate to Dashboard &gt; select "Pre Reg Operations" and select a time frame for the results required.</t>
  </si>
  <si>
    <t>Verify the "Appointments per registration center"</t>
  </si>
  <si>
    <t>Prerequisite task</t>
  </si>
  <si>
    <t>IDSchema</t>
  </si>
  <si>
    <t>Data setup [Master data, Machine (TPM Utility), center and operator mapping]</t>
  </si>
  <si>
    <t>Host Name (without host name / wrong host name)</t>
  </si>
  <si>
    <t>Initial launch</t>
  </si>
  <si>
    <t>User Login and Language selection</t>
  </si>
  <si>
    <t>Logout from Reg.Client (Manual logout &amp; Auto timeout)</t>
  </si>
  <si>
    <t>Reset Password</t>
  </si>
  <si>
    <t>Registration</t>
  </si>
  <si>
    <t>First user Registration (Default User)-&gt;Update Keycloak -&gt;Remove Default role- On boarding</t>
  </si>
  <si>
    <t>User Guide - (In Operator onboarding screen and Menu options)</t>
  </si>
  <si>
    <t>Operator onboarding and Operator biometric storing</t>
  </si>
  <si>
    <t>User Roles - Default, Reg_Supervisor and Reg_Officer</t>
  </si>
  <si>
    <t>Screen -Demographic</t>
  </si>
  <si>
    <t>Consent
Preferred language selection,
UI Spec Changes:
transliteration 
Input required is true or false.
Minimun/Maximum
Changing Label
Control type
 Check box appearance
 Text box appearance
 Button appearance
 Drop down appearance
Field type - Default, Dynamic
FieldCategory
 private (Data store into private section and ID Repo)
 Evidance - (Data store into evidence section-Data never store in ID Repo)
 Optional (Data store into optional section-Data never store in ID Repo)
Group, Group label, alignmentGroup
Sub Type
Dynamic Location Hierarchy
Blocklisted words validation in RegClient</t>
  </si>
  <si>
    <t>Document Upload Screen</t>
  </si>
  <si>
    <t>Applicant type document fetch - MVEL
 Document Scanner</t>
  </si>
  <si>
    <t>Biometrics Details Screen</t>
  </si>
  <si>
    <t>Threshold, Biometrics capturing, Exceptions, Disable FP, Disable Iris, Disable Face, Capturing only Thumbs, Capturing only Left slap and Right slap.
 Input required is true.
 Input required is false.</t>
  </si>
  <si>
    <t>Preview and Packet creation auth</t>
  </si>
  <si>
    <t xml:space="preserve">Preview - Field demographics and biometrics
 Operator Auth - Packet creation auth
 Reviewer Auth -(with Operator/Supervisor role and operator from same center/other center)  </t>
  </si>
  <si>
    <t>Acknowledgement Slip</t>
  </si>
  <si>
    <t>For New Application, Update application (Demographics &amp; Biometrics or only biometrics), Lost application, Biometric correction, with Exceptions</t>
  </si>
  <si>
    <t>EOD Processes Tasks</t>
  </si>
  <si>
    <t>Pending Approval - Approve/Reject</t>
  </si>
  <si>
    <t>Notification for Re-registartion</t>
  </si>
  <si>
    <t>Dashboard -(Users active/inactive, Packets Created, Pending EoD, Pending Upload, Sync Activities)</t>
  </si>
  <si>
    <t>Packet Upload</t>
  </si>
  <si>
    <t>Manual Packet Upload, Automatic packet upload, Save to Device and upload via Admin portal</t>
  </si>
  <si>
    <t>Operator Biometric Auth</t>
  </si>
  <si>
    <t>Operator Auth with Biometrics - (Login auth, packet auth, reviewer auth and EoD approval auth with FP, Iris and Face)</t>
  </si>
  <si>
    <t>Operational Tasks/screens</t>
  </si>
  <si>
    <t>Synchronize Data</t>
  </si>
  <si>
    <t>Download Pre-registration Data (Date range &amp; Status: booked, pending cancelled, expired)</t>
  </si>
  <si>
    <t>Update Operator Biometrics</t>
  </si>
  <si>
    <t>Center Remapping Sync</t>
  </si>
  <si>
    <t>Check Updates - Upgrade of Registration Client (Version/jar)</t>
  </si>
  <si>
    <t>Device Setting -(Serial Number,Make, Models, Port range, Scan devices)</t>
  </si>
  <si>
    <t>Others</t>
  </si>
  <si>
    <t>Home Page - User, Center, Machine details, Registration task, EoD, Operational tasks</t>
  </si>
  <si>
    <t>Settings Screen</t>
  </si>
  <si>
    <t>Screen layout</t>
  </si>
  <si>
    <t>Multi_Language</t>
  </si>
  <si>
    <t>Loggers</t>
  </si>
  <si>
    <t>Packet_Deletion</t>
  </si>
  <si>
    <t>CSS and Icons segregation</t>
  </si>
  <si>
    <t>Deactivation/Reactivation Scenarios, User</t>
  </si>
  <si>
    <t>Registration Tasks - Flows</t>
  </si>
  <si>
    <t>New Registration: Based on age group - Infant, Minor &amp; Adult, Adult with Introducer, Adult without documents.
With PRID: Based on Infant, Minor &amp; Adult. Based on PRID status Booked, incomplete, Pending, Cancelled &amp; Expired and only with mandatory fields, with mandatory &amp; optional fields.
With exceptions: Adult exception Iris/FP, Infant exception -Parent Iris/FP, Minor exception Iris/FP, Minor exception - Parent Iris/FP</t>
  </si>
  <si>
    <t>Update UIN flow: Fields selection in UIN Update screen - Labels based on Group Attribute</t>
  </si>
  <si>
    <t>Changing Name, DoB, Biometrics, Demographics and Biometric, Child demographics, Child biometrics</t>
  </si>
  <si>
    <t>Update Biometrics with other resident biometrics (UIN not generated so far).</t>
  </si>
  <si>
    <t>Update Biometrics with other resident biometrics (UIN is available).</t>
  </si>
  <si>
    <t>Update Infant UIN (1-5 years) DoB to Minor (6 - 17 years) with/out introducer biometrics</t>
  </si>
  <si>
    <t>Update infant UIN (5 years) Biometrics at the age of mino (6 years) with/out introducer biometrics</t>
  </si>
  <si>
    <t>Update for Infant or Minor 'Phone' with/out introducer biometrics</t>
  </si>
  <si>
    <t>Update Minor UIN (17 years) Biometrics at the age of &gt;18 years with/out introducer biometrics</t>
  </si>
  <si>
    <r>
      <rPr>
        <rFont val="Calibri, Arial"/>
        <color theme="1"/>
        <sz val="11.0"/>
      </rPr>
      <t xml:space="preserve">Lost UIN flow: </t>
    </r>
    <r>
      <rPr>
        <rFont val="Calibri, Arial"/>
        <b val="0"/>
        <color theme="1"/>
        <sz val="11.0"/>
      </rPr>
      <t>Only with Biometrics</t>
    </r>
  </si>
  <si>
    <t>Demographics and Biometric - is Demographic update or Biometric update or both</t>
  </si>
  <si>
    <r>
      <rPr>
        <rFont val="Calibri, Arial"/>
        <color theme="1"/>
        <sz val="11.0"/>
      </rPr>
      <t>Biometric Correction:</t>
    </r>
    <r>
      <rPr>
        <rFont val="Calibri, Arial"/>
        <b val="0"/>
        <color theme="1"/>
        <sz val="11.0"/>
      </rPr>
      <t xml:space="preserve"> with Additional Info Request ID</t>
    </r>
  </si>
  <si>
    <t>Email Notification</t>
  </si>
  <si>
    <t>Email Notification based on prefered language</t>
  </si>
  <si>
    <t>MOSIP-12713</t>
  </si>
  <si>
    <t>TC_MOSIP-12713-01</t>
  </si>
  <si>
    <t>Tagging Enhancement</t>
  </si>
  <si>
    <t>1. Create a packet in Regclient.
 2. Verify with 10 tags in Minio for RID</t>
  </si>
  <si>
    <t>Tage with 10 tags should be displayed for a Packet</t>
  </si>
  <si>
    <t>TC_MOSIP-12713-02</t>
  </si>
  <si>
    <t>1. Create a packet in Regclient.
 2. Verify more than 10 tags in Minio for RID</t>
  </si>
  <si>
    <t>Tage with more then 10 should be displayed for a Packet</t>
  </si>
  <si>
    <t>MOSIP-12394</t>
  </si>
  <si>
    <t>TC_MOSIP-12394-01</t>
  </si>
  <si>
    <t>Certificate Sync</t>
  </si>
  <si>
    <t>1. Upload Certificate into keymanager for user.
 2. Login to Regclient and perform sync operation.</t>
  </si>
  <si>
    <t>Verify 'cer' local folder</t>
  </si>
  <si>
    <t>keyManager uploaded cerificate should be added in 'cer' folder.</t>
  </si>
  <si>
    <t>No</t>
  </si>
  <si>
    <t>TC_MOSIP-12394-02</t>
  </si>
  <si>
    <t>1. Upload Certificate into keymanager for user.
 2. Login to Regclient and perform sync operation.
 3. Certificate added to 'cer' folder under install folder.</t>
  </si>
  <si>
    <t>Verify the uploaded certificate with local 'car' folder.</t>
  </si>
  <si>
    <t>Local certificate and Key manager should be have same certificate.</t>
  </si>
  <si>
    <t>TC_MOSIP-12394-03</t>
  </si>
  <si>
    <t>Perform sync and verify certificate folder update time stamp.</t>
  </si>
  <si>
    <t>Certificate folder download time stamp should not change.</t>
  </si>
  <si>
    <t>TC_MOSIP-12394-04</t>
  </si>
  <si>
    <t>1. Add new certificate in keymanager server.
 2. Sync Regclient and verify certificate.</t>
  </si>
  <si>
    <t>Newly added certificate in keymanager should be sync to local 'cer' folder.</t>
  </si>
  <si>
    <t>MOSIP-12461</t>
  </si>
  <si>
    <t>Registration client sync for better performance</t>
  </si>
  <si>
    <t>TC_MOSIP-12461-01</t>
  </si>
  <si>
    <t>Sync_Performance</t>
  </si>
  <si>
    <t>1. Install Reg client from a perticular environment.
 2. Login into Regclient application.</t>
  </si>
  <si>
    <t>Click on Sync button and verify the response time of Full sync.</t>
  </si>
  <si>
    <t>Full Sync should be successful.</t>
  </si>
  <si>
    <t>TC_MOSIP-12461-02</t>
  </si>
  <si>
    <t>1. Install Reg client from a perticular environment.
 2. Login into Regclient application.
 3. Click on Sync button.</t>
  </si>
  <si>
    <t>Verify last sync date and time added in logs.</t>
  </si>
  <si>
    <t>Last sync data and time should be captured in logs.</t>
  </si>
  <si>
    <t>TC_MOSIP-12461-03</t>
  </si>
  <si>
    <t>1. Install Reg client from a perticular environment.
 2. Login into Regclient application.
 3. Perform latest changes sync.</t>
  </si>
  <si>
    <t>Verify the response time of clientsettings API in logs.</t>
  </si>
  <si>
    <t>Clientsettings API response time should should be less then the full sync.</t>
  </si>
  <si>
    <t>TC_MOSIP-12461-04</t>
  </si>
  <si>
    <t>Verify the response size of clientsettings API in logs.</t>
  </si>
  <si>
    <t>Clientsettings API response size should be less then the full sync.</t>
  </si>
  <si>
    <t>TC_MOSIP-12461-05</t>
  </si>
  <si>
    <t>1. Install Reg client from a perticular environment.
 2. Login into Regclient application.
 3. Full Sync completed.</t>
  </si>
  <si>
    <t>Response time should be minimal compared to Full sync.</t>
  </si>
  <si>
    <t>TC_MOSIP-12461-06</t>
  </si>
  <si>
    <t>1. Install Reg client from a perticular environment.
 2. Login into Regclient application.
 3. Full Sync completed.
 4. Changes added post full sync.</t>
  </si>
  <si>
    <t>Click on Sync button and verify the response time.</t>
  </si>
  <si>
    <t>Response time should be minimal.</t>
  </si>
  <si>
    <t>TC_MOSIP-12461-07</t>
  </si>
  <si>
    <t>1. Install Reg client from a perticular environment.
 2. Login into Regclient application.
 3. Full Sync completed.
 4. No changes added post full sync.</t>
  </si>
  <si>
    <t>Response time should be immediate/minimal.</t>
  </si>
  <si>
    <t>MOSIP-12551</t>
  </si>
  <si>
    <t>Time Zone Management</t>
  </si>
  <si>
    <t>TC_MOSIP-12551-01</t>
  </si>
  <si>
    <t>1. Book new application in Pre-Registration with appointment for future days.
 2. Reg client displayed with last Sync date and time.</t>
  </si>
  <si>
    <t>1. Perform Sync in Regclient.
 2. Verify the Pre-Registration for future oppointment date.</t>
  </si>
  <si>
    <t>Pre-Registration should not be sync to Reg client.</t>
  </si>
  <si>
    <t>TC_MOSIP-12551-02</t>
  </si>
  <si>
    <t>1. Book new application in Pre-Registration with appointment for past days.
 2. Reg client displayed with last Sync date and time.</t>
  </si>
  <si>
    <t>TC_MOSIP-12551-03</t>
  </si>
  <si>
    <t>1. Book new application in Pre-Registration with appointment for current and future days.
 2. Reg client data Sync done past two days.</t>
  </si>
  <si>
    <t>1. Perform Current day Sync in Regclient.
 2. Verify the Pre-Registration for future oppointment date.</t>
  </si>
  <si>
    <t>Pre-Reg data should be sync for oppintment date is current day only.</t>
  </si>
  <si>
    <t>TC_MOSIP-12551-04</t>
  </si>
  <si>
    <t>1. Book new application in Pre-Registration with appointment for current day.
 2. Reg client data Sync done past two days.</t>
  </si>
  <si>
    <t>TC_MOSIP-12551-05</t>
  </si>
  <si>
    <t>Perform sync in Reg client.</t>
  </si>
  <si>
    <t>Verify sync time displayed in Reg client.</t>
  </si>
  <si>
    <t>Reg client should display local current date and time.</t>
  </si>
  <si>
    <t>TC_MOSIP-12551-06</t>
  </si>
  <si>
    <t>Batch job triggered in Reg client to fetch all PreReg applications.</t>
  </si>
  <si>
    <t>Verify batch job trigerred time zone.</t>
  </si>
  <si>
    <t>Batch job trigerred to fetch PreReg applications should be local time.</t>
  </si>
  <si>
    <t>TC_MOSIP-12551-07</t>
  </si>
  <si>
    <t>Verify the Synch of the application in the below status:</t>
  </si>
  <si>
    <t>The Synch process should not download the applications(PRIDs) in the below status :
 Pending appointment
 Cancelled appointment
 Expired appointment</t>
  </si>
  <si>
    <t>TC_MOSIP-12551-08</t>
  </si>
  <si>
    <t>Verify the Synch of the application in the below status:
  Booked appointment</t>
  </si>
  <si>
    <t>The Synch process should download the applications(PRIDs) in the below status : Booked appointment</t>
  </si>
  <si>
    <t>TC_MOSIP-12551-09</t>
  </si>
  <si>
    <t>Verify the fetching of the data with the Booked appointment status.</t>
  </si>
  <si>
    <t>TC_MOSIP-12551-10</t>
  </si>
  <si>
    <t>Verify the fetching of the data with the below appointment status:
 Pending appointment
 Cancelled appointment
 Expired appointment</t>
  </si>
  <si>
    <t>On demand fetch should display the application in the below status:
 Pending appointment
 Cancelled appointment
 Expired appointment</t>
  </si>
  <si>
    <t>MOSIP-12459</t>
  </si>
  <si>
    <t>Use bio extractor in registration client to store templates of operator's biometrics after onboarding</t>
  </si>
  <si>
    <t>TC_MOSIP-12459-01</t>
  </si>
  <si>
    <t>Operator biometric store</t>
  </si>
  <si>
    <t>1. Login to Regclient.
 2. Perform operator onboarding process.</t>
  </si>
  <si>
    <t>Verify operator onboarding.</t>
  </si>
  <si>
    <t>operator onboarding should be successful.</t>
  </si>
  <si>
    <t>TC_MOSIP-12459-02</t>
  </si>
  <si>
    <t>Verify operator biometric images in Regclient.</t>
  </si>
  <si>
    <t>Operator biometric images should not be stored.</t>
  </si>
  <si>
    <t>TC_MOSIP-12459-03</t>
  </si>
  <si>
    <t>Verify operator biometrics templates in Regclient.</t>
  </si>
  <si>
    <t>Operator biometrics templates should be stored.</t>
  </si>
  <si>
    <t>TC_MOSIP-12459-04</t>
  </si>
  <si>
    <t>1. Login to Regclient.
 2. operator onboarding process is not completed.</t>
  </si>
  <si>
    <t>MOSIP-12579</t>
  </si>
  <si>
    <t>TC_MOSIP-12579-01</t>
  </si>
  <si>
    <t>Anti-virus scan.</t>
  </si>
  <si>
    <t>1. Login to RegClient
 2. Scheduled Jobs settings screen displayed.</t>
  </si>
  <si>
    <t>1. Click on "Registration Client virus scan"
 2. Verify scan operation in logs.</t>
  </si>
  <si>
    <t>Scanning Logs for packet folder, logs, application folder [where the application is installed] and Scan the database.</t>
  </si>
  <si>
    <t>TC_MOSIP-12579-02</t>
  </si>
  <si>
    <t>1. Login to RegClient
 2. Scheduled Jobs settings screen displayed.
 3. Configure Cron expression.</t>
  </si>
  <si>
    <t>Verify scan operation in logs.</t>
  </si>
  <si>
    <t>TC_MOSIP-12579-03</t>
  </si>
  <si>
    <t>1. Navigate to Scheduled jobs settings screen.
 2. Verify Virus scan job.</t>
  </si>
  <si>
    <t>Generic name should be provided "Reg. Client Virus Scan"</t>
  </si>
  <si>
    <t>MOSIP-13091</t>
  </si>
  <si>
    <t>Quality checker stage should find the quality of biometrics and give a quality classification</t>
  </si>
  <si>
    <t>TC_MOSIP-13091-01</t>
  </si>
  <si>
    <t>1. Configure Propertiesmosip.regproc.quality.classifier.tagging.quality.ranges={'Poor':'0-29','Average':'30-69','Good':'70-100'} with [Threshold 40]
 2. Navigate to biometric screen and capture iris- 44, 30, 50
 3. Process the packet</t>
  </si>
  <si>
    <t>Login to MinIO and verify packet</t>
  </si>
  <si>
    <t>Tag should be displayed as Biometric_Quality-Iris</t>
  </si>
  <si>
    <t>TC_MOSIP-13091-02</t>
  </si>
  <si>
    <t>1. Login to MinIO and verify packet
 2. Downlaod the Biometric_Quality-iris and verify tag value.</t>
  </si>
  <si>
    <t>Tag value should be Average</t>
  </si>
  <si>
    <t>TC_MOSIP-13091-03</t>
  </si>
  <si>
    <t>1. Configure Propertiesmosip.regproc.quality.classifier.tagging.quality.ranges={'Poor':'0-29','Average':'30-69','Good':'70-100'} with [Threshold 40]
 2. Navigate to biometric screen and capture face- 44, 30, 50
 3. Process the packet</t>
  </si>
  <si>
    <t>Tag should be displayed as Biometric_Quality-Face</t>
  </si>
  <si>
    <t>TC_MOSIP-13091-04</t>
  </si>
  <si>
    <t>1. Configure Propertiesmosip.regproc.quality.classifier.tagging.quality.ranges={'Poor':'0-29','Average':'30-69','Good':'70-100'} with [Threshold 40]
 2. Navigate to biometric screen and capture iris- 10, 10, 10
 3. Process the packet</t>
  </si>
  <si>
    <t>Tag value should be Poor</t>
  </si>
  <si>
    <t>TC_MOSIP-13091-05</t>
  </si>
  <si>
    <t>1. Configure Propertiesmosip.regproc.quality.classifier.tagging.quality.ranges={'Poor':'0-29','Average':'30-69','Good':'70-100'} with [Threshold 40]
 2. Navigate to biometric screen and capture Left Hand- 44, 30, 50
 3. Process the packet</t>
  </si>
  <si>
    <t>Tag should be displayed as Biometric_Quality-Left Hand</t>
  </si>
  <si>
    <t>TC_MOSIP-13091-06</t>
  </si>
  <si>
    <t>1. Configure Propertiesmosip.regproc.quality.classifier.tagging.quality.ranges={'Poor':'0-29','Average':'30-69','Good':'70-100'} with [Threshold 40]
 2. Navigate to biometric screen and captureLeft Hand 10, 10, 10
 3. Process the packet</t>
  </si>
  <si>
    <t>1. Login to MinIO and verify packet
 2. Downlaod the Biometric_Quality-Left Hand and verify tag value.</t>
  </si>
  <si>
    <t>TC_MOSIP-13091-07</t>
  </si>
  <si>
    <t>1. Configure Propertiesmosip.regproc.quality.classifier.tagging.quality.ranges={'Poor':'0-29','Average':'30-69','Good':'70-100'} with [Threshold 40]
 2. Navigate to biometric screen and capture Right Hand- 44, 30, 50
 3. Process the packet</t>
  </si>
  <si>
    <t>Tag should be displayed as Biometric_Quality-Right Hand</t>
  </si>
  <si>
    <t>TC_MOSIP-13091-08</t>
  </si>
  <si>
    <t>1. Configure Propertiesmosip.regproc.quality.classifier.tagging.quality.ranges={'Poor':'0-29','Average':'30-69','Good':'70-100'} with [Threshold 40]
 2. Navigate to biometric screen and capture Right Hand 10, 10, 10
 3. Process the packet</t>
  </si>
  <si>
    <t>1. Login to MinIO and verify packet
 2. Downlaod the Biometric_Quality-Right Hand and verify tag value.</t>
  </si>
  <si>
    <t>TC_MOSIP-13091-09</t>
  </si>
  <si>
    <t>1. Configure Propertiesmosip.regproc.quality.classifier.tagging.quality.ranges={'Poor':'0-29','Average':'30-69','Good':'70-100'} with [Threshold 40]
 2. Navigate to biometric screen and capture Thumb- 44, 30, 50
 3. Process the packet</t>
  </si>
  <si>
    <t>Tag should be displayed as Biometric_Quality-Thumb</t>
  </si>
  <si>
    <t>TC_MOSIP-13091-10</t>
  </si>
  <si>
    <t>1. Configure Propertiesmosip.regproc.quality.classifier.tagging.quality.ranges={'Poor':'0-29','Average':'30-69','Good':'70-100'} with [Threshold 40]
 2. Navigate to biometric screen and capture Thumb 10, 10, 10
 3. Process the packet</t>
  </si>
  <si>
    <t>1. Login to MinIO and verify packet
 2. Downlaod the Biometric_Quality-Thumb and verify tag value.</t>
  </si>
  <si>
    <t>TC_MOSIP-13091-11</t>
  </si>
  <si>
    <t>1. Configure Propertiesmosip.regproc.quality.classifier.tagging.quality.ranges={'Poor':'0-29','Average':'30-69','Good':'70-100'} with [Threshold 40]
 2. Navigate to biometric screen and capture Thumb 10, 10, 10
 3. Process the packet and verify the Quality Classifier Stage.</t>
  </si>
  <si>
    <t>Verify Quality Classifier Stage</t>
  </si>
  <si>
    <t>Quality Classifier Stage should be displayed</t>
  </si>
  <si>
    <t>Not able to fetch Pre-registration applications , if booking is not done. - booking should be optional</t>
  </si>
  <si>
    <t>The on demand fetch should display the PRIDs(PRIDs) for expired appointment status.</t>
  </si>
  <si>
    <t>MOSIP-12405</t>
  </si>
  <si>
    <t>MinIO - Individual buckets to be removed in case of document upload in pre-registration</t>
  </si>
  <si>
    <t>TC_MOSIP-12405-01</t>
  </si>
  <si>
    <t>Registration source</t>
  </si>
  <si>
    <t>Login to MinIO</t>
  </si>
  <si>
    <t>Verify Prereg bucket.</t>
  </si>
  <si>
    <t>Prereg bucket should be available.</t>
  </si>
  <si>
    <t>TC_MOSIP-12405-02</t>
  </si>
  <si>
    <t>Click on Prereg bucket.</t>
  </si>
  <si>
    <t>Application folders should be displayed.</t>
  </si>
  <si>
    <t>TC_MOSIP-12405-03</t>
  </si>
  <si>
    <t>1. Login to MinIO
 2. Valid Preg application.</t>
  </si>
  <si>
    <t>Enter application id in search field.</t>
  </si>
  <si>
    <t>Application folder should be displayed.</t>
  </si>
  <si>
    <t>TC_MOSIP-12405-04</t>
  </si>
  <si>
    <t>1. Login to MinIO
 2. Invalid Preg application.</t>
  </si>
  <si>
    <t>Application folder should not be displayed.</t>
  </si>
  <si>
    <t>TC_MOSIP-12405-05</t>
  </si>
  <si>
    <t>1. Login to MinIO
 2. Application folder displayed.</t>
  </si>
  <si>
    <t>Verify POA and POI under application folder.</t>
  </si>
  <si>
    <t>POA and POI should be displayed under application folder.</t>
  </si>
  <si>
    <t>TC_MOSIP-12405-06</t>
  </si>
  <si>
    <t>Verify downloading of POI</t>
  </si>
  <si>
    <t>Downloading POI should be allowed.</t>
  </si>
  <si>
    <t>TC_MOSIP-12405-07</t>
  </si>
  <si>
    <t>Verify downloading of POA</t>
  </si>
  <si>
    <t>Downloading POA should be allowed.</t>
  </si>
  <si>
    <t>TC_MOSIP-12405-08</t>
  </si>
  <si>
    <t>Verify deleting of POI</t>
  </si>
  <si>
    <t>Deleting POA should be allowed.</t>
  </si>
  <si>
    <t>TC_MOSIP-12405-09</t>
  </si>
  <si>
    <t>Verify deleting of POA</t>
  </si>
  <si>
    <t>TC_MOSIP-12405-10</t>
  </si>
  <si>
    <t>1. Login to MinIO
 2. Application folder displayed. 
 3. Adult application created.</t>
  </si>
  <si>
    <t>Verify adult application in MinIO</t>
  </si>
  <si>
    <t>TC_MOSIP-12405-11</t>
  </si>
  <si>
    <t>1. Login to MinIO
 2. Application folder displayed. 
 3. Child application created.</t>
  </si>
  <si>
    <t>Verify child application in MinIO</t>
  </si>
  <si>
    <t>TC_MOSIP-12405-12</t>
  </si>
  <si>
    <t>1. Login to MinIO
 2. Application folder displayed. 
 3. Application status - Booked</t>
  </si>
  <si>
    <t>Verify application application in MinIO</t>
  </si>
  <si>
    <t>TC_MOSIP-12405-13</t>
  </si>
  <si>
    <t>1. Login to MinIO
 2. Application folder displayed. 
 3. Application status - Pending</t>
  </si>
  <si>
    <t>TC_MOSIP-12405-14</t>
  </si>
  <si>
    <t>1. Login to MinIO
 2. Application folder displayed. 
 3. Application status - Cancelled</t>
  </si>
  <si>
    <t>TC_MOSIP-12405-15</t>
  </si>
  <si>
    <t>1. Login to MinIO
 2. Application folder displayed. 
 3. Application status - Expired</t>
  </si>
  <si>
    <t>RegClient_01</t>
  </si>
  <si>
    <t>Exceptional hoilday</t>
  </si>
  <si>
    <t>Configure exceptional hoildays in Admin.</t>
  </si>
  <si>
    <t>1. Login to RegClient on exceptional hoilday.
 2. Verify registration process.</t>
  </si>
  <si>
    <t>Registration should not be allowed.</t>
  </si>
  <si>
    <t>RegClient_02</t>
  </si>
  <si>
    <t>Working day</t>
  </si>
  <si>
    <t>Configure Dynamic nature of working days in Admin.</t>
  </si>
  <si>
    <t>1. Login to RegClient on working day.
 2. Verify registration process.</t>
  </si>
  <si>
    <t>Registration should be allowed.</t>
  </si>
  <si>
    <t>RegClient_03</t>
  </si>
  <si>
    <t>Non working day</t>
  </si>
  <si>
    <t>1.Login to RegClient on non working days.
 2. Verify registration process.</t>
  </si>
  <si>
    <t>MOSIP-18721</t>
  </si>
  <si>
    <t>RegClient_04</t>
  </si>
  <si>
    <t>packet status in admin UI.</t>
  </si>
  <si>
    <t>Create new registration flow packet in regclient</t>
  </si>
  <si>
    <t>Verify the packet status in admin UI.</t>
  </si>
  <si>
    <t>Packet status should be displayed in Admin.</t>
  </si>
  <si>
    <t>MOSIP-19717</t>
  </si>
  <si>
    <t>RegClient_05</t>
  </si>
  <si>
    <t>Create new registration flow, Approve packet in EoD process</t>
  </si>
  <si>
    <t>RegClient_06</t>
  </si>
  <si>
    <t>Create new registration flow, Upload the approved packet</t>
  </si>
  <si>
    <t>RegClient_07</t>
  </si>
  <si>
    <t>Create update registration flow packet in regclient</t>
  </si>
  <si>
    <t>RegClient_08</t>
  </si>
  <si>
    <t>Create lost registration flow packet in regclient</t>
  </si>
  <si>
    <t>RegClient_09</t>
  </si>
  <si>
    <t>Create lost registration flow, Approve packet in EoD process</t>
  </si>
  <si>
    <t>RegClient_10</t>
  </si>
  <si>
    <t>Create lost registration flow, Upload the approved packet</t>
  </si>
  <si>
    <t>RegClient_11</t>
  </si>
  <si>
    <t>1. Search RID in Admin UI
 2. Verify respective flow.</t>
  </si>
  <si>
    <t>Packet displayed as New in Admin UI</t>
  </si>
  <si>
    <t>RegClient_12</t>
  </si>
  <si>
    <t>1. Create packet in regclient for update flow.</t>
  </si>
  <si>
    <t xml:space="preserve"> Search RID in Admin UI and verify respective flow.</t>
  </si>
  <si>
    <t>RegClient_14</t>
  </si>
  <si>
    <t>1. Create packet in regclient and upload packet.</t>
  </si>
  <si>
    <t xml:space="preserve"> verify packet processed stage in Admin UI</t>
  </si>
  <si>
    <t>Packet processing stage should be displayed.</t>
  </si>
  <si>
    <t>RegClient_18</t>
  </si>
  <si>
    <t>1. Create Notification template in Admin UI</t>
  </si>
  <si>
    <t>Create Notification template in Admin UI and Verify in regclient.</t>
  </si>
  <si>
    <t>Notification message should be displayed</t>
  </si>
  <si>
    <t>RegClient_19</t>
  </si>
  <si>
    <t>1. Update Notification template in Admin UI.</t>
  </si>
  <si>
    <t>Update Notification template in Admin UI. and Verify in regclient.</t>
  </si>
  <si>
    <t>RegClient_20</t>
  </si>
  <si>
    <t>Create new dynamic fields in Admin UI</t>
  </si>
  <si>
    <t>1. Create new dynamic fields in Admin UI.
 2. Update ID-schema and UI Schema.
 3. Verify in regclient</t>
  </si>
  <si>
    <t>Fields should be displayed in demographic details screen.</t>
  </si>
  <si>
    <t>RegClient_21</t>
  </si>
  <si>
    <t>Add field values under existing dynamic fields.</t>
  </si>
  <si>
    <t>1. Login into AdminUIAdd field values under existing dynamic fields.
2. Go to Master Data and Dynamic field</t>
  </si>
  <si>
    <t>1. Add field values under existing dynamic fields.
2. Activate the newly added field value
3.  Perform a Sync Dta and Verify in regclient</t>
  </si>
  <si>
    <t>Field value should be displayed in demographic details screen.</t>
  </si>
  <si>
    <t>RegClient_22</t>
  </si>
  <si>
    <t>1. Login into AdminUIAdd field values under existing dynamic fields.
2. Go to Master Data and Dynamic field
3. Added new field values under existing dynamic fields.</t>
  </si>
  <si>
    <t xml:space="preserve">
1. Deactivate the newly added field value
2.  Perform a Sync Dta and Verify in regclient
</t>
  </si>
  <si>
    <t>Field value should not displayed in demographic details screen.</t>
  </si>
  <si>
    <t>RegClient_23</t>
  </si>
  <si>
    <t xml:space="preserve">1. Edit field values under existing dynamic fields.
2. Activate the edited field value
3.  Perform a Sync Dta and Verify in regclient
</t>
  </si>
  <si>
    <t>RegClient_24</t>
  </si>
  <si>
    <t>1. Login into AdminUIAdd field values under existing dynamic fields.
2. Go to Master Data and Dynamic field
3. Added new field values under existing dynamic fields.
4. Activate the newly added field value
5.  Perform a Sync Dta and Verify in regclient</t>
  </si>
  <si>
    <t>1. Create a packet with newly added field value
2. Verify packet transaction</t>
  </si>
  <si>
    <t xml:space="preserve">Packet should create and process successfully </t>
  </si>
  <si>
    <t>RegClient_34</t>
  </si>
  <si>
    <t>User center Remapping.</t>
  </si>
  <si>
    <t>Login into Reg.Client and its online mode
Login into Admin and Remap the center and machine to new center
Perform a Center Remap Sync</t>
  </si>
  <si>
    <t>User should get popup message "The machine has been remapped to another center"</t>
  </si>
  <si>
    <t>RegClient_35</t>
  </si>
  <si>
    <t>User Center Remapping</t>
  </si>
  <si>
    <t>Close the Pop message should displayed "The machine has been remapped to another center"</t>
  </si>
  <si>
    <t>Remap process completed. Machine is ready for another center.
By closing popup message, user should be forced Logout of application.</t>
  </si>
  <si>
    <t>RegClient_36</t>
  </si>
  <si>
    <t>Relaunch and Login in to Reg.Client</t>
  </si>
  <si>
    <t>User should allow to login into Reg.Client</t>
  </si>
  <si>
    <t>MOSIP-18297</t>
  </si>
  <si>
    <t>RegClient_37</t>
  </si>
  <si>
    <t>Create Machine, User and Center through Admin UI</t>
  </si>
  <si>
    <t>Access regclient after center and user mapping.</t>
  </si>
  <si>
    <t>Accessing RegClient should be successful.</t>
  </si>
  <si>
    <t>MOSIP-15248</t>
  </si>
  <si>
    <t>IdObjectSchemaValidator</t>
  </si>
  <si>
    <t>TC_MOSIP-15248-01</t>
  </si>
  <si>
    <t>Access verify application-mz.properties</t>
  </si>
  <si>
    <t>IdObjectValidator Properties
 idobjectvalidator should not be present.</t>
  </si>
  <si>
    <t>TC_MOSIP-15248-02</t>
  </si>
  <si>
    <t>Verify idobjectvalidator.mandatory-attributes.id-repository.new-registration</t>
  </si>
  <si>
    <r>
      <rPr>
        <rFont val="Calibri"/>
        <color theme="1"/>
        <sz val="11.0"/>
      </rPr>
      <t xml:space="preserve">idobjectvalidator.mandatory-attributes.id-repository.new-registration is displayed in </t>
    </r>
    <r>
      <rPr>
        <rFont val="Calibri"/>
        <color rgb="FF000000"/>
        <sz val="11.0"/>
      </rPr>
      <t>application-mz</t>
    </r>
    <r>
      <rPr>
        <rFont val="Calibri"/>
        <color theme="1"/>
        <sz val="11.0"/>
      </rPr>
      <t>.properties.</t>
    </r>
  </si>
  <si>
    <t>MOSIP-12577</t>
  </si>
  <si>
    <t>Automatic packet uplaod</t>
  </si>
  <si>
    <t>TC_MOSIP-12577-01</t>
  </si>
  <si>
    <t>To check the presense of Registration Packet Upload Job in regclient Setting Page when the JOB is True under Table master.sync_job_def</t>
  </si>
  <si>
    <t>The User should be able to see the Registration Packet Upload Job under Sechdule JoB Setting</t>
  </si>
  <si>
    <t>TC_MOSIP-12577-02</t>
  </si>
  <si>
    <t>To check the absence of Registration Packet Upload Job in regclient Setting Page when the JOB is False under Table master.sync_job_def
 Update theupd_dtimes as current time under table Table master.sync_job_def
 Sync After Login to Regclient</t>
  </si>
  <si>
    <t>The User should not able to see the Registration Packet Upload Job under Sechdule Job Setting.</t>
  </si>
  <si>
    <t>TC_MOSIP-12577-03</t>
  </si>
  <si>
    <t>Create The Packect and upload using Registration Packet Upload Job , click on Registration Packet Upload Job manually</t>
  </si>
  <si>
    <t>The user should be able to Upload the number of Packet Defined under the Proprerty :
 mosip.registration.packet_upload_batch_size</t>
  </si>
  <si>
    <t>TC_MOSIP-12577-04</t>
  </si>
  <si>
    <t>Create packet and upload using Registration Packet Upload Job auto run under scheduleed time</t>
  </si>
  <si>
    <t>TC_MOSIP-12577-05</t>
  </si>
  <si>
    <t>Change the count of mosip.registration.packet_upload_batch_size and upload the packet using JOB</t>
  </si>
  <si>
    <t>The Number of packet should be uploaded as defined when Job runs</t>
  </si>
  <si>
    <t>MOSIP-12464</t>
  </si>
  <si>
    <t>Concept of Application ID in MOSIP</t>
  </si>
  <si>
    <t>TC_MOSIP-12464-01</t>
  </si>
  <si>
    <t>Application id generated in Pre-Registration ex: 48641359150815.</t>
  </si>
  <si>
    <t>1. Perform On-demand fetch and create then upload the packet.
 2. Verify packet created format in RegClient</t>
  </si>
  <si>
    <t>Verify packet created format in RegClient:
 48641359150815_RegCenter_Machineid-Timestamp.</t>
  </si>
  <si>
    <t>TC_MOSIP-12464-02</t>
  </si>
  <si>
    <t>1. Application id generated in Pre-Registration ex: 48641359150815.
 2. Packet created in RegClient 48641359150815_RegCenter_Machineid-Timestamp
 3. Resident provided email id in demographic details during registration.</t>
  </si>
  <si>
    <t>Verify Registration confirmation email sent RID to resident.</t>
  </si>
  <si>
    <t>Resident should receive RID in Registration confirmation email.</t>
  </si>
  <si>
    <t>TC_MOSIP-12464-03</t>
  </si>
  <si>
    <t>1. Application id generated in Pre-Registration ex: 48641359150815.
 2. Packet created in RegClient 48641359150815_RegCenter_Machineid-Timestamp
 3. Resident provided email id in demographic details during registration.
 4. UIN Generated for packet transaction.</t>
  </si>
  <si>
    <t>Verify UIN Generation confirmation email sent to resident.</t>
  </si>
  <si>
    <t>Resident should receive UIN Generation confirmation email.</t>
  </si>
  <si>
    <t>TC_MOSIP-12464-04</t>
  </si>
  <si>
    <t>New Registration flow application id generated in registration center ex: 10001100990001220210930114118.</t>
  </si>
  <si>
    <t>1. Create a packet and Upload
 2. Verify packet created in Regclient.</t>
  </si>
  <si>
    <t>Verify packet created format in RegClient:
 10001100990001220210930114118_RegCenter_Machineid-Timestamp.</t>
  </si>
  <si>
    <t>TC_MOSIP-12464-05</t>
  </si>
  <si>
    <t>1. New Registration flow application id generated in Pre-Registration ex: 10001100990001220210930114118.
 2. Packet created in RegClient 10001100990001220210930114118_RegCenter_Machineid-Timestamp
 3. Resident provided email id in demographic details during registration.</t>
  </si>
  <si>
    <t>TC_MOSIP-12464-06</t>
  </si>
  <si>
    <t>1. New Registration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t>
  </si>
  <si>
    <t>TC_MOSIP-12464-07</t>
  </si>
  <si>
    <t>Update flow application id generated in registration center ex: 10001100990001220210930114118.</t>
  </si>
  <si>
    <t>TC_MOSIP-12464-08</t>
  </si>
  <si>
    <t>1. Update flow application id generated in Pre-Registration ex: 10001100990001220210930114118.
 2. Packet created in RegClient 10001100990001220210930114118_RegCenter_Machineid-Timestamp
 3. Resident provided email id in demographic details during registration.</t>
  </si>
  <si>
    <t>Resident should receive RID in Update Request Confirmation email.</t>
  </si>
  <si>
    <t>TC_MOSIP-12464-09</t>
  </si>
  <si>
    <t>1. Update flow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t>
  </si>
  <si>
    <t>TC_MOSIP-12464-10</t>
  </si>
  <si>
    <t>Lost flow application id generated in registration center ex: 10001100990001220210930114118.</t>
  </si>
  <si>
    <t>TC_MOSIP-12464-11</t>
  </si>
  <si>
    <t>1. Lost flow application id generated in Pre-Registration ex: 10001100990001220210930114118.
 2. Packet created in RegClient 10001100990001220210930114118_RegCenter_Machineid-Timestamp
 3. Resident provided email id in demographic details during registration.</t>
  </si>
  <si>
    <t>TC_MOSIP-12464-12</t>
  </si>
  <si>
    <t>1. Lost flow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t>
  </si>
  <si>
    <t>TC_MOSIP-12464-13</t>
  </si>
  <si>
    <t>1. New Registration flow packet created with poor quality score.
 2. Resident received AdditionalInfo RequestId via email.</t>
  </si>
  <si>
    <t>1. Biometric flow process with AdditionalInfo RequestId.
 2. Verify packet created in RegClient.</t>
  </si>
  <si>
    <t>Packet created should refer to the same application id.</t>
  </si>
  <si>
    <t>MOSIP-16791</t>
  </si>
  <si>
    <t>Reg client - validation message in the demographic details should be specific.</t>
  </si>
  <si>
    <t>TC_MOSIP-16791-01</t>
  </si>
  <si>
    <t>1. Modify the ui-spec with the regex validators("errorCode": "UI_1000"). Post and publish the ui-spec.(https://qa-double-rc2.mosip.net/v1/masterdata/swagger-ui/index.html?url=/v1/masterdata/v3/api-docs#/ui-spec-controller/defineUISpec)
 2. Modify the resource bundle file (Ex: messages_en.properties) with the error messages. (https://github.com/mosip/artifactory-ref-impl/tree/develop/artifacts/src/i18n/regclient-i18n-bundle)
  UI_1000=Only alphabets are allowed
  UI_1001=Please enter between 3 to 50 characters
  UI_1002=Starting with a character followed by 6 digits and ending with a character
  UI_1003=Enter only 10 digit numbers
 3. Restart the artifactory services.
 4. Restart the Reg.Client downloader services.
 5. Login to Reg.Client
 6. Click on New Registration.
 7. Input the demographic detail fields with the wrong values to get the error messages.</t>
  </si>
  <si>
    <t>Tested in qa-double-rc2</t>
  </si>
  <si>
    <t>TC_MOSIP-16791-02</t>
  </si>
  <si>
    <t>In Reg.Client, demographic details page, choose a mandatory field like Full Name.
 Input numbers to the field accepting only characters.
 Configure the UI validator error.</t>
  </si>
  <si>
    <t>"Please enter between 3 to 50 characters" message should be displayed. User should not be allowed to continue to the next page if the field is a mandatory field.</t>
  </si>
  <si>
    <t>TC_MOSIP-16791-03</t>
  </si>
  <si>
    <t>In Demographic details page, choose a non mandatory field.
 Input numbers to the field accepting only characters.
 Configure the UI validator error.</t>
  </si>
  <si>
    <t>TC_MOSIP-16791-04</t>
  </si>
  <si>
    <t>In Demographic details page, input large characters than defined in the regex.
 Configure the UI validator error.</t>
  </si>
  <si>
    <t>TC_MOSIP-16791-05</t>
  </si>
  <si>
    <t>In Demographic details page, input more than 10 digits/only characters for phone number field as defined in the regex.
Configure the UI validator error.</t>
  </si>
  <si>
    <t>MOSIP-15648</t>
  </si>
  <si>
    <t>preferredLang:id-schema and ui-specification</t>
  </si>
  <si>
    <t>TC_MOSIP-15648-01</t>
  </si>
  <si>
    <t>1. Add config mosip.default.user-preferred-language-attribute=preferredLang in application-mz.properties
 2. mosip.mandatory-languages=kan
 mosip.optional-languages=hin,tam
 3. newprocess.json preferredLang is configured.</t>
  </si>
  <si>
    <t>Verify preferredLang dropwown</t>
  </si>
  <si>
    <t>preferredLang drop down should be displayed.</t>
  </si>
  <si>
    <t>TC_MOSIP-15648-02</t>
  </si>
  <si>
    <t>1. Select kannada as preferred language.
 2. Creata a packet and verify resident email template language.</t>
  </si>
  <si>
    <t>Applicant should receive email in kannada language.</t>
  </si>
  <si>
    <t>TC_MOSIP-15648-03</t>
  </si>
  <si>
    <t>1. Select hindi as preferred language.
 2. Creata a packet and verify resident email template language.</t>
  </si>
  <si>
    <t>Applicant should receive email in hindi language.</t>
  </si>
  <si>
    <t>TC_MOSIP-15648-04</t>
  </si>
  <si>
    <t>1. Add config mosip.default.user-preferred-language-attribute=preferredLang in application-mz.properties
 2. mosip.mandatory-languages=kan
 mosip.optional-languages=hin,tam
 3. updateprocess.json preferredLang is configured.</t>
  </si>
  <si>
    <t>TC_MOSIP-15648-05</t>
  </si>
  <si>
    <t>TC_MOSIP-15648-06</t>
  </si>
  <si>
    <t>TC_MOSIP-15648-07</t>
  </si>
  <si>
    <t>1. Add config mosip.default.user-preferred-language-attribute=preferredLang in application-mz.properties
 2. mosip.mandatory-languages=kan
 mosip.optional-languages=hin,tam
 3. lostprocess.json preferredLang is configured.</t>
  </si>
  <si>
    <t>TC_MOSIP-15648-08</t>
  </si>
  <si>
    <t>TC_MOSIP-15648-09</t>
  </si>
  <si>
    <t>TC_MOSIP-15648-10</t>
  </si>
  <si>
    <t>TC_MOSIP-15648-11</t>
  </si>
  <si>
    <t>1. Add config mosip.default.user-preferred-language-attribute=preferredLang in application-mz.properties
 2. mosip.mandatory-languages=kan
 mosip.optional-languages=hin,tam
 3. bioCorrectionProcess.json preferredLang is configured.</t>
  </si>
  <si>
    <t>TC_MOSIP-15648-12</t>
  </si>
  <si>
    <t>TC_MOSIP-15648-13</t>
  </si>
  <si>
    <t>TC_MOSIP-15648-14</t>
  </si>
  <si>
    <t>MOSIP-14682</t>
  </si>
  <si>
    <t>Acknowledgement Slip Encryption</t>
  </si>
  <si>
    <t>TC_MOSIP-14682-01</t>
  </si>
  <si>
    <t>Create a New registration packet.</t>
  </si>
  <si>
    <t>Verify packet created in RegClient folder packet-manager</t>
  </si>
  <si>
    <t>Packet should be created in RegClient folder packet-manager.</t>
  </si>
  <si>
    <t>TC_MOSIP-14682-02</t>
  </si>
  <si>
    <t>1. Create a New registration packet.
 2. Packet created in packet-manager.</t>
  </si>
  <si>
    <t>Verify Acknowledgement</t>
  </si>
  <si>
    <t>Acknowledgement should be displayed for packet.</t>
  </si>
  <si>
    <t>TC_MOSIP-14682-03</t>
  </si>
  <si>
    <t>1. Create a New registration packet.
 2. Packet created in packet-manager.
 3. Acknowledgement created for packet.</t>
  </si>
  <si>
    <t>Click on Acknowledgement and verify data.</t>
  </si>
  <si>
    <t>Acknowledgement should be encrypted</t>
  </si>
  <si>
    <t>TC_MOSIP-14682-04</t>
  </si>
  <si>
    <t>Create a Update registration packet.</t>
  </si>
  <si>
    <t>TC_MOSIP-14682-05</t>
  </si>
  <si>
    <t>1. Create a Update registration packet.
 2. Packet created in packet-manager.</t>
  </si>
  <si>
    <t>TC_MOSIP-14682-06</t>
  </si>
  <si>
    <t>1. Create a Update registration packet.
 2. Packet created in packet-manager.
 3. Acknowledgement created for packet.</t>
  </si>
  <si>
    <t>TC_MOSIP-14682-07</t>
  </si>
  <si>
    <t>Create a Lost registration packet.</t>
  </si>
  <si>
    <t>TC_MOSIP-14682-08</t>
  </si>
  <si>
    <t>1. Create a Lost registration packet.
 2. Packet created in packet-manager.</t>
  </si>
  <si>
    <t>TC_MOSIP-14682-09</t>
  </si>
  <si>
    <t>1. Create a Lost registration packet.
 2. Packet created in packet-manager.
 3. Acknowledgement created for packet.</t>
  </si>
  <si>
    <t>TC_MOSIP-14682-10</t>
  </si>
  <si>
    <t>Create a Biometric correction packet.</t>
  </si>
  <si>
    <t>TC_MOSIP-14682-11</t>
  </si>
  <si>
    <t>1. Create a Biometric correction registration packet.
 2. Packet created in packet-manager.</t>
  </si>
  <si>
    <t>TC_MOSIP-14682-12</t>
  </si>
  <si>
    <t>1. Create a Biometric correction packet.
 2. Packet created in packet-manager.
 3. Acknowledgement created for packet.</t>
  </si>
  <si>
    <t>MOSIP-15375</t>
  </si>
  <si>
    <t>Client settings sync issue in Production when the Size is more</t>
  </si>
  <si>
    <t>MOSIP-15375-01</t>
  </si>
  <si>
    <t>Cache the full-sync snapshots</t>
  </si>
  <si>
    <t>1. Go to mosip-config&gt; syncdata-mz.properties
  (https://github.com/mosip/mosip-config/blob/qa-double-rc2/sandbox/syncdata-mz.properties)
 2. Modify mosip sync, entity name: LOCATION
 (mosip.sync.entity.url.LOCATION=https://qa-double-rc2.mosip.net/v1/syncdata/clientsettings/LOCATION
 mosip.sync.entity.auth-required.LOCATION=true
 mosip.sync.entity.auth-token.LOCATION=Authorization:OAUTH
 mosip.sync.entity.encrypted.LOCATION=true
 mosip.sync.entity.headers.LOCATION=Content-Type:text/plain;charset=UTF-8
 mosip.sync.entity.only-on-fullsync.LOCATION=true)
 3. Modify mosip sync, entity name: TEMPLATE
 (mosip.sync.entity.url.TEMPLATE=https://qa-double-rc2.mosip.net/v1/syncdata/clientsettings/TEMPLATE
 mosip.sync.entity.auth-required.TEMPLATE=true
 mosip.sync.entity.auth-token.TEMPLATE=Authorization:OAUTH
 mosip.sync.entity.encrypted.TEMPLATE=false
 mosip.sync.entity.headers.TEMPLATE=Content-Type:text/plain;charset=UTF-8
 mosip.sync.entity.only-on-fullsync.TEMPLATE=true)
 4. Commit changes.
 5. Restart the SyncData Services
 6. Run the Reg.Client</t>
  </si>
  <si>
    <t>User should be able to Login in to Reg.Client and sync successful.
 User should be able to do all operations in Reg.Client.</t>
  </si>
  <si>
    <t>MOSIP-15375-02</t>
  </si>
  <si>
    <t>1. Go to mosip-config&gt; syncdata-mz.properties
 2. Modify mosip sync, entity name: LOCATION
 3. Modify mosip sync, entity name: TEMPLATE
 4. Commit changes.
 5. Restart the SyncData Services
 6. Delete the local DB,Logs and mosipkeys from Reg.Client folder
 7. Run the Reg.Client</t>
  </si>
  <si>
    <t>1. User should be able to Login in to Reg.Client with Restart.
 2. Relaunching Reg.client should allow user to login and sync successful.
 3. User should be able to do all operations in Reg.Client.</t>
  </si>
  <si>
    <t>MOSIP-15375-03</t>
  </si>
  <si>
    <t>1. Go to mosip-config&gt; syncdata-mz.properties
 2. Modify mosip sync, entity name: LOCATION
 3. In URL, modity the entity name to lowercase. ex:location
 (mosip.sync.entity.url.LOCATION=https://qa-double-rc2.mosip.net/v1/syncdata/clientsettings/location)
 4. In URL, modity the entity name to lowercase. ex:template
 (mosip.sync.entity.url.TEMPLATE=https://qa-double-rc2.mosip.net/v1/syncdata/clientsettings/template)
 5. Commit changes and Restart the SyncData Services
 6. Delete the local DB,Logs and mosipkeys from Reg.Client folder
 7. Run the Reg.Client</t>
  </si>
  <si>
    <t>1. Should display error- Syn Configuration Failure 
 2. Reg.client should not allow user to login.</t>
  </si>
  <si>
    <t>MOSIP-16334</t>
  </si>
  <si>
    <t>Support Process Spec</t>
  </si>
  <si>
    <t>TC_MOSIP-16334-01</t>
  </si>
  <si>
    <t>Perform sync and verify Newprocess in Regclient</t>
  </si>
  <si>
    <t>1. Create UI Spec newProcess
 2. Domain - registration-client</t>
  </si>
  <si>
    <t>Newprocess json should be downloaded in RegClient</t>
  </si>
  <si>
    <t>TC_MOSIP-16334-02</t>
  </si>
  <si>
    <t>1. Create UI Spec updateProcess
 2. Domain - registration-client</t>
  </si>
  <si>
    <t>Perform sync and verify updateProcess in Regclient</t>
  </si>
  <si>
    <t>updateProcess json should be downloaded in RegClient</t>
  </si>
  <si>
    <t>TC_MOSIP-16334-03</t>
  </si>
  <si>
    <t>1. Create UI Spec lostProcess
 2. Domain - registration-client</t>
  </si>
  <si>
    <t>Perform sync and verify lostProcess in Regclient</t>
  </si>
  <si>
    <t>lostProcess json should be downloaded in RegClient</t>
  </si>
  <si>
    <t>TC_MOSIP-16334-04</t>
  </si>
  <si>
    <t>1. Create UI Spec bioCorrectionProcess
 2. Domain - registration-client</t>
  </si>
  <si>
    <t>Perform sync and verify bioCorrectionProcess in Regclient</t>
  </si>
  <si>
    <t>bioCorrectionProcess json should be downloaded in RegClient</t>
  </si>
  <si>
    <t>TC_MOSIP-16334-05</t>
  </si>
  <si>
    <t>1. Create UI Spec newProcess
 2. Domain - registration-client
 3. Verify newProcess.json</t>
  </si>
  <si>
    <t>Verify Labels in RegClient for newProcess.</t>
  </si>
  <si>
    <t>Labels should be displayed as per NEW process spec</t>
  </si>
  <si>
    <t>TC_MOSIP-16334-06</t>
  </si>
  <si>
    <t>Verify Screens in RegClient for newProcess.</t>
  </si>
  <si>
    <t>Screens should be displayed as per NEW process spec</t>
  </si>
  <si>
    <t>TC_MOSIP-16334-07</t>
  </si>
  <si>
    <t>1. Create UI Spec updateProcess
 2. Domain - registration-client
 3. Verify newProcess.json</t>
  </si>
  <si>
    <t>TC_MOSIP-16334-08</t>
  </si>
  <si>
    <t>TC_MOSIP-16334-09</t>
  </si>
  <si>
    <t>1. Create UI Spec lostProcess
 2. Domain - registration-client
 3. Verify newProcess.json</t>
  </si>
  <si>
    <t>TC_MOSIP-16334-10</t>
  </si>
  <si>
    <t>TC_MOSIP-16334-11</t>
  </si>
  <si>
    <t>1. Create UI Spec bioCorrectionProcess
 2. Domain - registration-client
 3. Verify newProcess.json</t>
  </si>
  <si>
    <t>TC_MOSIP-16334-12</t>
  </si>
  <si>
    <t>MOSIP-12162</t>
  </si>
  <si>
    <t>Separation of UI Spec and ID schema</t>
  </si>
  <si>
    <t>TC_MOSIP-12162-1</t>
  </si>
  <si>
    <t>UI Spec</t>
  </si>
  <si>
    <t>To verify that UISpec will be maintained in different table</t>
  </si>
  <si>
    <t>There should be table added named master.ui_spec</t>
  </si>
  <si>
    <t>TC_MOSIP-12162-2</t>
  </si>
  <si>
    <t>User should be able to Create the UI Spec Using API https://dev.mosip.net/v1/masterdata/uispec</t>
  </si>
  <si>
    <t>The UI spec should be created and data should be stored in UI Spec Table in DB</t>
  </si>
  <si>
    <t>TC_MOSIP-12162-3</t>
  </si>
  <si>
    <t>User to create application after the UI spec is seperated</t>
  </si>
  <si>
    <t>The user should be able to create the application</t>
  </si>
  <si>
    <t>TC_MOSIP-12162-4</t>
  </si>
  <si>
    <t>User to pre-reg sync after the UI spec is seperated</t>
  </si>
  <si>
    <t>User should be able to Do pre-reg Sync</t>
  </si>
  <si>
    <t>TC_MOSIP-12162-5</t>
  </si>
  <si>
    <t>Check the behaviour with the version for ID spec and UI spec is different</t>
  </si>
  <si>
    <t>The version should not impact the application behaviour
 Pre-reg Sync
 regclient
 IDA etc</t>
  </si>
  <si>
    <t>TC_MOSIP-12162-6</t>
  </si>
  <si>
    <t>ID Schema</t>
  </si>
  <si>
    <t>To verify that Identity Schema will be maintained in different table</t>
  </si>
  <si>
    <t>There should be table added named master.identity_schema</t>
  </si>
  <si>
    <t>TC_MOSIP-12162-7</t>
  </si>
  <si>
    <t>TC_MOSIP-12162-8</t>
  </si>
  <si>
    <t>TC_MOSIP-12162-9</t>
  </si>
  <si>
    <t>TC_MOSIP-12162-10</t>
  </si>
  <si>
    <t>TC_MOSIP-12162-11</t>
  </si>
  <si>
    <t>Create UI spec for Domain Pre-reg</t>
  </si>
  <si>
    <t>Verify that Pre-reg shoudld work properly</t>
  </si>
  <si>
    <t>TC_MOSIP-12162-12</t>
  </si>
  <si>
    <t>Create UI spec for Domain Reg-client</t>
  </si>
  <si>
    <t>Verify that reg-client should work properly</t>
  </si>
  <si>
    <t>TC_MOSIP-12162-13</t>
  </si>
  <si>
    <t>Map multiple UI spec to Same IDSchema and check the behaviour of the Module fuctionality</t>
  </si>
  <si>
    <t>The modult functionality should work Fine.</t>
  </si>
  <si>
    <t>MOSIP-11510</t>
  </si>
  <si>
    <t>Regex validations for multiple languages in simple type attributes</t>
  </si>
  <si>
    <t>TC_MOSIP-11510-01</t>
  </si>
  <si>
    <t>regex</t>
  </si>
  <si>
    <t>To Verify regex validation for configured multiple languages in reg client.</t>
  </si>
  <si>
    <t>The reg- client must be able to do the validation in real time basis for all the text fields for all the configured languages</t>
  </si>
  <si>
    <t>TC_MOSIP-11510-02</t>
  </si>
  <si>
    <t>change the regex validation with valid and invalid inputs for primary language.</t>
  </si>
  <si>
    <t>Regclient should handle scenario accordingly</t>
  </si>
  <si>
    <t>TC_MOSIP-11510-03</t>
  </si>
  <si>
    <t>change the regex validation with valid and invalid inputs for secondary language.</t>
  </si>
  <si>
    <t>TC_MOSIP-11510-04</t>
  </si>
  <si>
    <t>change the regex validation with valid and invalid inputs for different combination of primary and secondary languages.</t>
  </si>
  <si>
    <t>TC_MOSIP-11510-05</t>
  </si>
  <si>
    <t>create a packet with valid regex changes</t>
  </si>
  <si>
    <t>The packet should contain all the data and should be processed easily without any failure</t>
  </si>
  <si>
    <t>MOSIP-11295</t>
  </si>
  <si>
    <t>Configurable on-boarding biometrics</t>
  </si>
  <si>
    <t>TC_MOSIP-11295-01</t>
  </si>
  <si>
    <t>Onboard</t>
  </si>
  <si>
    <t>Login into Reg.Client with Reg_Officer/Reg_Supervisor</t>
  </si>
  <si>
    <t>To Verify the onboard of the user with selective modalities.</t>
  </si>
  <si>
    <t>The user should be able to get Onboarded</t>
  </si>
  <si>
    <t>TC_MOSIP-11295-02</t>
  </si>
  <si>
    <t>Remove Face modality from the key</t>
  </si>
  <si>
    <t>TC_MOSIP-11295-03</t>
  </si>
  <si>
    <t>Remove Finger modality from the key</t>
  </si>
  <si>
    <t>TC_MOSIP-11295-04</t>
  </si>
  <si>
    <t>Remove Iris modality from the key</t>
  </si>
  <si>
    <t>TC_MOSIP-11295-05</t>
  </si>
  <si>
    <t>Have all the modalities in the key</t>
  </si>
  <si>
    <t>MOSIP-10804</t>
  </si>
  <si>
    <t>Traceability for Registration Client id -Vertx</t>
  </si>
  <si>
    <t>TC_MOSIP-10804-01</t>
  </si>
  <si>
    <t>Traceability</t>
  </si>
  <si>
    <t>Packet created from reg-client must be processed through the Reg-Processor with all the logs in place</t>
  </si>
  <si>
    <t>Logs must be saved with the Trace ID in the vertx</t>
  </si>
  <si>
    <t>TC_MOSIP-10804-02</t>
  </si>
  <si>
    <t>Post successful processing of the packet, TraceID can be used for tracing atleast till the ABIS stage</t>
  </si>
  <si>
    <t>RegClient_38</t>
  </si>
  <si>
    <t>1. Master data swagger is accessible
2. SCHEMA json is prepared.</t>
  </si>
  <si>
    <t>1. Post request sent from master data swagger UI
2. Verify master.identity_schema</t>
  </si>
  <si>
    <t>Schema should be added in master.identity_schema with status_code as "DRAFT"</t>
  </si>
  <si>
    <t>RegClient_39</t>
  </si>
  <si>
    <t>1. Master data swagger is accessible
2. Schema added to master.identity_schema with status code='Draft'</t>
  </si>
  <si>
    <t>1. Publish the SCHEMA in master data swagger UI
2. Verify master.identity_schema status_code.</t>
  </si>
  <si>
    <t>master.identity_schema status_code should be PUBLISHED</t>
  </si>
  <si>
    <t>RegClient_40</t>
  </si>
  <si>
    <t>Master data setup</t>
  </si>
  <si>
    <t>1. Create an operator (Ex. 10001) and map operator to zone (Ex. north) and center (Ex. Center A) from Admin portal.
2. Run the TPM utility to get Machine Name, Public key &amp; Sign public key. 
3. In Admin portal, create a machine (Ex. Laptop1) with Machine Name, Public key &amp; Sign public key. 
4. Map the machine (Laptop1) to zone (Ex. North) &amp; center (Ex. Center A)
5. Activate operator (10001), Machine (Laptop1) and Center (CenterA) from admin portal</t>
  </si>
  <si>
    <t>Verify operator (10001) login into Reg.Client, machine (Laptop1) which is mapped to Center A in north zone.
When Operator, Machine and Center are active.</t>
  </si>
  <si>
    <t>Should allow Operator (10001) to login into Reg.Client machine (Laptop1) which is mapped to Center A in north zone</t>
  </si>
  <si>
    <t>RegClient_41</t>
  </si>
  <si>
    <t>1. Deactivate operator (10001) or Machine (Laptop1) or Center (CenterA) or all from admin portal.</t>
  </si>
  <si>
    <t>Verify operator (10001) login into Reg.Client, machine (Laptop1) which is mapped to Center A in north zone.
When Operator or Machine or Center are deactivated.</t>
  </si>
  <si>
    <t>Should not allow Operator (10001) to login into Reg.Client machine (laptp1) mapped to north zone center A.
Should get failure popup "User, Machine, Center is not active"</t>
  </si>
  <si>
    <t>RegClient_42</t>
  </si>
  <si>
    <t>1. Create an operator (Ex. 10002) and map operator to zone (Ex. South) and center (Ex. Center D) from Admin portal.
2. Activate operator (10002) from admin portal</t>
  </si>
  <si>
    <t>Verify operator (10002) mapped to south zone &amp; center D, is try to login into Reg.Client machine (Laptop1) which is mapped to Center A in north zone.
When Operator, Machine and Center are active.</t>
  </si>
  <si>
    <t>Should not allow Operator (10002) to login into Reg.Client machine (laptp1) mapped to north zone center A.
Should get failure popup "User not mapped to this center"</t>
  </si>
  <si>
    <t>RegClient_43</t>
  </si>
  <si>
    <t xml:space="preserve">Host Name </t>
  </si>
  <si>
    <t>Download Reg.Client from host.(Ex: qa-double-rc2.mosip.net)</t>
  </si>
  <si>
    <r>
      <rPr>
        <rFont val="Calibri, Arial"/>
        <sz val="11.0"/>
      </rPr>
      <t>1. Set environment variable host name as'</t>
    </r>
    <r>
      <rPr>
        <rFont val="Calibri, Arial"/>
        <color rgb="FF1155CC"/>
        <sz val="11.0"/>
        <u/>
      </rPr>
      <t>qa-single-rc2.mosip.net</t>
    </r>
    <r>
      <rPr>
        <rFont val="Calibri, Arial"/>
        <sz val="11.0"/>
      </rPr>
      <t>'
2. Launch Reg.Client and verify the Reg.Client is connecting to same from where reg.client downloaded</t>
    </r>
  </si>
  <si>
    <t xml:space="preserve">Reg.Client should connect to same host from where reg.client downloaded (Ex. qa-double-rc2.mosip.net)
</t>
  </si>
  <si>
    <t>RegClient_44</t>
  </si>
  <si>
    <t>1. Remove or Dont add any host in environment variables.
2. Launch Reg.Client and verify the Reg.Client is connecting to same from where reg.client downloaded</t>
  </si>
  <si>
    <t>RegClient_45</t>
  </si>
  <si>
    <t>1. Operator created with Registration related roles
2. Reg. client folder with: folder -jre &amp; lib and files - logback.xml, MANIFEST.MF and run.bat
3. Run run.bat</t>
  </si>
  <si>
    <t>1. Files getting generated while RegClient Initial launch by running run.bat
2. Enter valid User Name and Password in Reg.Client login screen</t>
  </si>
  <si>
    <t>1. Should generate folder- .mosipkeys, db, logs and files - applicanttype.mvel, logback.xml, bioCorrectionProcess.json, lostProcess.json, newProcess.json, updateProcess.json, SCHEMA_0.1.json, startup.log.
2. Login authentication should be success with popup window "Success-Restart the application" and close the application.</t>
  </si>
  <si>
    <t>RegClient_46</t>
  </si>
  <si>
    <t>Enter invalid username and/or password in Reg.Client Login screen</t>
  </si>
  <si>
    <t>Login should fail with popup "Invalid User Credentials".
Should allow user to re enter User Name and Password</t>
  </si>
  <si>
    <t>RegClient_47</t>
  </si>
  <si>
    <t>1. Verify Reg.Client Login without User name.
2. Verify Reg.Client Login by entering User name and without  password</t>
  </si>
  <si>
    <t>1. Should get popup message "Note: User name can not be empty" and allow user to re enter User name.
2. Login should fail with popup "Note: Password is required" and allow user to reenter  Password</t>
  </si>
  <si>
    <t>qa-double-rc2
(popup message)</t>
  </si>
  <si>
    <t>RegClient_48</t>
  </si>
  <si>
    <t>1. Operator created without Registration related roles
 2. Launch Reg.Client and in Login page</t>
  </si>
  <si>
    <t>1. Operator without registration related roles, logging into Reg.Client</t>
  </si>
  <si>
    <t>Login should fail with popup "User does not have permission to perform this action".
 Should allow user to reenter User Name and Password</t>
  </si>
  <si>
    <t>RegClient_49</t>
  </si>
  <si>
    <t>User Login</t>
  </si>
  <si>
    <t>1. Reg.Client Initial launch success.
 2. User created in Keycloak with password and with Registration related roles
 3. Launch Reg.Client and in Login page</t>
  </si>
  <si>
    <t>1. Enter valid User name and click on Submit.
 2. Enter valid Password and click on Submit.</t>
  </si>
  <si>
    <t>Login should be success and allow user to perform operators based on user role.</t>
  </si>
  <si>
    <t>RegClient_50</t>
  </si>
  <si>
    <t>1. Reg.Client Initial launch success.
 2. Launch Reg.Client and goto Login page</t>
  </si>
  <si>
    <t>1. Enter invalid User name in Reg.Client Login screen and Submit.</t>
  </si>
  <si>
    <t>"Username not mapped to this center".
 Error message must be displayed.</t>
  </si>
  <si>
    <t>RegClient_51</t>
  </si>
  <si>
    <t>1. Reg.Client Initial launch success.
 2. User created in Keycloak with password and without Registration related roles
 3. Launch Reg.Client and goto Login page</t>
  </si>
  <si>
    <t>1. Enter a User without Registration related roles and click on "Submit" to login.</t>
  </si>
  <si>
    <t>Should not allow user to enter password and "You are not authorized to perform registration" Message is displayed.</t>
  </si>
  <si>
    <t>RegClient_52</t>
  </si>
  <si>
    <t>1. Reg.Client Initial launch success.
 2. User created in Keycloak without password and with Registration related roles
 3. Launch Reg.Client and goto Login page</t>
  </si>
  <si>
    <t>1. Enter valid User name, click on Submit.
 2. Do not Enter the password and click on Submit.</t>
  </si>
  <si>
    <t>Login should fail with "Note: Password is required" Message.
 Should allow user to reenter User Name and Password</t>
  </si>
  <si>
    <t>RegClient_53</t>
  </si>
  <si>
    <t>1. Enter valid User name and Click on Submit.
 2. Enter wrong password password in Reg.Client Login screen</t>
  </si>
  <si>
    <t>Login should fail with popup "Failure: Authentication fail. Please try again".
 Should allow user to reenter User Name and Password</t>
  </si>
  <si>
    <t>RegClient_54</t>
  </si>
  <si>
    <t>1. Enter user name and Click on Submit.
 2. Click on Back button in password page.</t>
  </si>
  <si>
    <t>Should take back user to re enter User name</t>
  </si>
  <si>
    <t>RegClient_55</t>
  </si>
  <si>
    <t>1. Click on Submit with out entering user name,</t>
  </si>
  <si>
    <t>"Note: UserName is required". Message is displayed.
 Should allow user to re enter User name</t>
  </si>
  <si>
    <t>RegClient_56</t>
  </si>
  <si>
    <t>Logout from Reg.Client</t>
  </si>
  <si>
    <t>1. Login in to Reg.Client</t>
  </si>
  <si>
    <t>Logout option in Reg.Client</t>
  </si>
  <si>
    <t>Logout option should be available in Menu options</t>
  </si>
  <si>
    <t>RegClient_57</t>
  </si>
  <si>
    <t>1. Login in to Reg.Client in offline
 2. Select logout option in Menu option</t>
  </si>
  <si>
    <t>User should be logged out from Reg.Client.
 Should navigate user to Login page for re login</t>
  </si>
  <si>
    <t>RegClient_58</t>
  </si>
  <si>
    <t>1. Login in to Reg.Client in online
 2. Select logout option in Menu option</t>
  </si>
  <si>
    <t>RegClient_59</t>
  </si>
  <si>
    <t>1. Login in to Reg.Client.
 2. Select close button (Cross mark) from top right corner</t>
  </si>
  <si>
    <t>Closing Reg.Client by clicking on close button</t>
  </si>
  <si>
    <t>Reg.Client should close completely.</t>
  </si>
  <si>
    <t>RegClient_60</t>
  </si>
  <si>
    <t>1. Login in to Reg.Client.
 2. Set value 'mosip.registration.idle_time' in registration-mz.properties</t>
  </si>
  <si>
    <t>Verify auto logout when user is idle for the specified duration</t>
  </si>
  <si>
    <t>Reg.Client should forced log-out of user, if user is idle for the specified duration</t>
  </si>
  <si>
    <t>MOSIP-10817</t>
  </si>
  <si>
    <t>TC_MOSIP-10817-01</t>
  </si>
  <si>
    <t>1. Define an URL for reset password in registration-mz.properties 
2. Operator Logged into Reg.Client in online mode
3. Select 'Reset Password' option from Menu</t>
  </si>
  <si>
    <t xml:space="preserve">1. Set URL for reset password  in registration-mz.properties 
mosip.registration.reset_password_url=${mosipbox.public.url}/keycloak/auth/realms/mosip/account/
2. Verify Reset password option in Menu
</t>
  </si>
  <si>
    <t>The operator has to be redirected to the URL link set under this property file</t>
  </si>
  <si>
    <t>TC_MOSIP-10817-02</t>
  </si>
  <si>
    <t>Operator Logged into Reg.Client on offline mode</t>
  </si>
  <si>
    <t>To Verify the Reset Password, click on Reset Password option</t>
  </si>
  <si>
    <t>Operator should get message like 'page not found'</t>
  </si>
  <si>
    <t>TC_MOSIP-10817-03</t>
  </si>
  <si>
    <t>1. Operator Logged into Reg.Client on online mode.
2. Selected Reset Password and Redirected to Keycloak home screen.
3. Login into Keycloak with existing password</t>
  </si>
  <si>
    <t>1. In keycloak select Change password, under Password.
2. Enter correct Existing Password, New Password and Confirmation.
3. Select Save</t>
  </si>
  <si>
    <t>Operator should 'Reset Password' successfully and will get message 'Your password has been updated.'</t>
  </si>
  <si>
    <t>TC_MOSIP-10817-04</t>
  </si>
  <si>
    <t>1. In keycloak select Change password, under Password.
2. Enter incorrect Existing Password, New Password and Confirmation.
3. Select Save</t>
  </si>
  <si>
    <t>Should Fail with message "Invalid existing password" and allow user to re-enter.</t>
  </si>
  <si>
    <t>TC_MOSIP-10817-05</t>
  </si>
  <si>
    <t>1. Operator Logged into Reg.Client on online mode.
2. Selected Reset Password and Redirected to Keycloak home screen.
3. Login into Keycloak with existing password
4. In keycloak select Change password, under Password.</t>
  </si>
  <si>
    <t>1. Enter correct old Password.
2. Enter New Password and Confirmation as different.
 Ex: New Password : Tech@123 and Confirmation: tech@321</t>
  </si>
  <si>
    <t>Should Fail with message "Password confirmation doesn't match".</t>
  </si>
  <si>
    <t>TC_MOSIP-10817-06</t>
  </si>
  <si>
    <t>1. Operator changed password from Keycloak.
2. Launch Reg.Client</t>
  </si>
  <si>
    <t>Verify Reg.Client login with old Password</t>
  </si>
  <si>
    <t>1. Operator should not allow to login in to Re.Client with popup message "Incorrect Username or password".
2. Should allow user to re-enter login credentials</t>
  </si>
  <si>
    <t>TC_MOSIP-10817-07</t>
  </si>
  <si>
    <t>Verify Reg.Client login with user name and new password</t>
  </si>
  <si>
    <t>TC_MOSIP-10817-08</t>
  </si>
  <si>
    <t>1. Verify Reg.Client login by changing login languages.
2. Login in to Reg.Client with user name and old password</t>
  </si>
  <si>
    <t>1. User should not allow to login in to Reg.Client with message "Incorrect Username or password".
2. Should allow user to re-enter password</t>
  </si>
  <si>
    <t>TC_MOSIP-10817-09</t>
  </si>
  <si>
    <t>1. Verify Reg.Client login by changing login languages.
2. Login in to Reg.Client with user name and new password</t>
  </si>
  <si>
    <t>TC_MOSIP-10817-10</t>
  </si>
  <si>
    <t>Reset password multiple time</t>
  </si>
  <si>
    <t>Operator should able to Reset password multiple times</t>
  </si>
  <si>
    <t>TC_MOSIP-10817-11</t>
  </si>
  <si>
    <t>Each time user has to logged into Reg.Client with new password on online mode.</t>
  </si>
  <si>
    <t>Operator should be able to Reset password multiple times</t>
  </si>
  <si>
    <t>RegClient_61</t>
  </si>
  <si>
    <t>First user Registration</t>
  </si>
  <si>
    <t>1. Operator Login into Reg-Client with role Default</t>
  </si>
  <si>
    <t>1. Select 'New Registration' task in Reg.Client, it will open language selection page.
 2. In Language window select languages requires and click on "Submit.</t>
  </si>
  <si>
    <t>User will be navigated to the Consent page.</t>
  </si>
  <si>
    <t>RegClient_62</t>
  </si>
  <si>
    <t>1. User logged into RegClient application
 2. Select 'New Registration' option.</t>
  </si>
  <si>
    <t>1. In 'Select Language window', do not select any language.</t>
  </si>
  <si>
    <t>Submit button should be disabled as mandatory language is not selected.</t>
  </si>
  <si>
    <t>RegClient_63</t>
  </si>
  <si>
    <t>1. User logged into RegClient
 2. Select 'New Registration'.</t>
  </si>
  <si>
    <t>1. In 'Select Language window', Click on 'Cancel' button, without selecting any language.</t>
  </si>
  <si>
    <t>User should navigate back to Reg.Client home screen</t>
  </si>
  <si>
    <t>RegClient_64</t>
  </si>
  <si>
    <t>1. User logged into RegClient.
 2. Select 'New Registration'
 3. In select language window select English and submit.
 4. In Consent screen.</t>
  </si>
  <si>
    <t>1. In Consent screen, select radio button to accept terms and condition.
 2. Select Notification Language and Continue</t>
  </si>
  <si>
    <t>1. Consent should display in English
2. User should navigate to Demographic details screen</t>
  </si>
  <si>
    <t>RegClient_65</t>
  </si>
  <si>
    <t>1. User logged into RegClient 
 2. Select 'New Registration' option and enter Consent page.</t>
  </si>
  <si>
    <t>1. Select radio button to accept terms and condition.
 2. Without selecting Notification Language
 3. Click on Continue button</t>
  </si>
  <si>
    <t>(Found fields with error, kindly correct to continue [Notification Language] Error message is displayed.</t>
  </si>
  <si>
    <t>RegClient_66</t>
  </si>
  <si>
    <t>1. Selecting Notification Language
 2. Without selecting radio button to accept terms and condition.
 3. Click on Continue button</t>
  </si>
  <si>
    <t>(Found fields with error, kindly correct to continue [I have read and accept terms and conditions to share my Pll]
 Error message is displayed.</t>
  </si>
  <si>
    <t>RegClient_67</t>
  </si>
  <si>
    <t>1. Login into RegClient application
 2. Select 'New Registration' and in Demographic details screen</t>
  </si>
  <si>
    <t>1. As per New Process UI Spec config, enter all mandatory field.
 2. Select Continue</t>
  </si>
  <si>
    <t>User should be allow to navigate to next screen</t>
  </si>
  <si>
    <t>RegClient_68</t>
  </si>
  <si>
    <t>1. Do not enter data in the mandatory field.
 2. Select Continue or on next screen tab</t>
  </si>
  <si>
    <t>Validation Error message should come.
 User should not allow to navigate to next screen</t>
  </si>
  <si>
    <t>RegClient_69</t>
  </si>
  <si>
    <t>1. Do not enter data in the mandatory field.
 2. Click on previous/Consent screen</t>
  </si>
  <si>
    <t>Should allow user to navigate to previous/Consent screen</t>
  </si>
  <si>
    <t>RegClient_70</t>
  </si>
  <si>
    <t>1. Login into RegClient application
 2. Select 'New Registration' and fill an application with infant/minor age.
 3. In Documents Upload screen</t>
  </si>
  <si>
    <t>1. Verify the required documents for Infant.
2. Verify the documents for biometric exception</t>
  </si>
  <si>
    <t>'Relationship Proof' documents should be mandatory for children below 5 years.
''Proof of Exception' documents should be mandatory for biometric exceptions</t>
  </si>
  <si>
    <t>RegClient_71</t>
  </si>
  <si>
    <t>1. Login into RegClient application &gt; Select 'New Registration' and fill form.</t>
  </si>
  <si>
    <t>1. In Document upload page, click on Scan.
 2. Click on Capture.</t>
  </si>
  <si>
    <t>After successful capture, should get popup message "Document capture successfully".</t>
  </si>
  <si>
    <t>RegClient_72</t>
  </si>
  <si>
    <t>1. Login into RegClient application &gt; Select 'New Registration' and fill form.
 2. In document upload page click on capture.</t>
  </si>
  <si>
    <t>1. After successful capture click on Save.</t>
  </si>
  <si>
    <t>Should save captured document.
 View icon (eye) and Remove icon (cross mark), should be appear after save, beside document name in documents upload screen.</t>
  </si>
  <si>
    <t>RegClient_73</t>
  </si>
  <si>
    <t>1. After capture click on Crop option.
2. Select the section to crop.
3. Click on save option</t>
  </si>
  <si>
    <t>Should allow user to crop the captured image and save the cropped image.</t>
  </si>
  <si>
    <t>unable to crop</t>
  </si>
  <si>
    <t>RegClient_74</t>
  </si>
  <si>
    <t>1. After successful capture, click on the delete option</t>
  </si>
  <si>
    <t>Should delete the captured document with message "Document deleted successfully".</t>
  </si>
  <si>
    <t>RegClient_75</t>
  </si>
  <si>
    <t>1. After successful capture, click on the "Preview" option.</t>
  </si>
  <si>
    <t>Should allow user to preview the captured document.</t>
  </si>
  <si>
    <t>RegClient_76</t>
  </si>
  <si>
    <t>1. Login into RegClient application &gt; Select 'New Registration' and fill form.
 2. In document upload page.</t>
  </si>
  <si>
    <t>1. Select mandatory document from dropdown
2. click on Continue</t>
  </si>
  <si>
    <t>Should give validation message.
 Should not allow user to navigate to next screen</t>
  </si>
  <si>
    <t>RegClient_77</t>
  </si>
  <si>
    <t>1. Without selecting document from dropdown.
2. click on Scan</t>
  </si>
  <si>
    <t>Should give validation message. (Please select document)</t>
  </si>
  <si>
    <t>RegClient_78</t>
  </si>
  <si>
    <t>1. Scan the non-mandatory documents.
2. Select Continue.</t>
  </si>
  <si>
    <t>Should give validation message.
 User should not allow to navigate to biometric details screen</t>
  </si>
  <si>
    <t>RegClient_79</t>
  </si>
  <si>
    <t>1. Without selecting mandatory document from dropdown.
2. Click previous/Demographic details/Consent screen</t>
  </si>
  <si>
    <t>User should allow to navigate to previous/Demographic details screen</t>
  </si>
  <si>
    <t>RegClient_80</t>
  </si>
  <si>
    <t>1. Select mandatory document from dropdown and enter Ref Number.
2. Scan the document by capture and save
3. click on Continue</t>
  </si>
  <si>
    <t>User should be allow to navigate to next screen
 Should not get an validation message</t>
  </si>
  <si>
    <t>RegClient_81</t>
  </si>
  <si>
    <t>1. Login into RegClient application &gt; Select 'New Registration' and fill form.
 2. In document upload page, upload documents.</t>
  </si>
  <si>
    <t>1. Select cross/cancel mark icon which is beside the document.</t>
  </si>
  <si>
    <t>Document should get deleted</t>
  </si>
  <si>
    <t>RegClient_82</t>
  </si>
  <si>
    <t>1. Select view icon, which is beside the document.</t>
  </si>
  <si>
    <t>Captured document should be displayed.</t>
  </si>
  <si>
    <t>RegClient_83</t>
  </si>
  <si>
    <t>1. Login into RegClient application &gt; Select 'New Registration' and fill form and Mock MDS is running.
 2. In Biometrics details screen select Left, Right slaps &amp; Thumbs, Iris and Scan</t>
  </si>
  <si>
    <t xml:space="preserve">Capturing in biometric like left slap, Right slap, Thumbs and Iris in Biometric details screen </t>
  </si>
  <si>
    <t>Should allow user to capture resident's left slap, Right slap, Thumbs and Iris</t>
  </si>
  <si>
    <t>RegClient_84</t>
  </si>
  <si>
    <t>1. Login into RegClient application &gt; Select 'New Registration' and fill form and Mock MDS is running.
 2. In Biometrics details screen, mark finger (Ex. left thumb) as exceptions. Click on Scan</t>
  </si>
  <si>
    <t>Verify capturing of fingerprints with exception (Ex. left thumb) , capturing in biometric screen</t>
  </si>
  <si>
    <t>Should allow user to capture right thumb.
 Should display captured right thumb, along with exception mark on left thumb.
 Exception face option should display in left side panel</t>
  </si>
  <si>
    <t>RegClient_85</t>
  </si>
  <si>
    <t>1. Login into RegClient application &gt; Select 'New Registration' and fill form and Mock MDS is running.
 2. In Biometrics details screen, mark Iris (Ex. Right Iris) as exceptions. Click on Scan</t>
  </si>
  <si>
    <t>Verify capturing of Iris with exception (Ex. Right Iris) , capturing in biometric screen</t>
  </si>
  <si>
    <t>Should allow user to capture left iris.
 Should display captured left iris, along with exception mark on right iris.
 Exception face option should display in left side panel</t>
  </si>
  <si>
    <t>RegClient_86</t>
  </si>
  <si>
    <t>1. Login into RegClient application &gt; Select 'New Registration' and fill form and Mock MDS is running.
 2. In Biometrics details screen select Face and Scan</t>
  </si>
  <si>
    <t>RegClient_87</t>
  </si>
  <si>
    <t>1. Login into RegClient application &gt; Select 'New Registration' and fill form and Mock MDS is running.
 2. In Biometrics details screen</t>
  </si>
  <si>
    <t>Without selecting Iris/FP/face modality, select Continue</t>
  </si>
  <si>
    <t>Should not allow user to navigate to next screen</t>
  </si>
  <si>
    <t>RegClient_88</t>
  </si>
  <si>
    <t>1. Login into RegClient application &gt; Select 'New Registration' and fill form and Mock MDS is running.
 2. In Biometrics details screen, capture all biometric modalities.</t>
  </si>
  <si>
    <t>Navigating to previous/back screen after capturing all biometrics</t>
  </si>
  <si>
    <t>Should allow user to navigate to previous screen.
 Captured data should be present.</t>
  </si>
  <si>
    <t>RegClient_89</t>
  </si>
  <si>
    <t>Navigating to next screen after capturing all biometrics</t>
  </si>
  <si>
    <t>Should allow user to navigate to next screen.
 Captured data should be present.</t>
  </si>
  <si>
    <t>RegClient_90</t>
  </si>
  <si>
    <t>1. login into RegClient &gt; Select 'New Registration' and Mock MDS is running</t>
  </si>
  <si>
    <t>1. Captured Consent, Demographic details, Document and all Biometrics modalities.
2. Navigating to Preview screen.</t>
  </si>
  <si>
    <t>Should allow user to navigate to Preview.</t>
  </si>
  <si>
    <t>RegClient_91</t>
  </si>
  <si>
    <t>1. Login into RegClient and Select 'New Registration' and Mock MDS is running
 2. Captured Consent, Demographic details, Document and all Biometrics modalities.
 3. User navigated to Preview screen</t>
  </si>
  <si>
    <t>1. Verify Application ID and Date/Time details in Preview screen.
2. Verify Demographic, Document and Biometric details in Preview screen</t>
  </si>
  <si>
    <t>Should display current application ID with current date/time.
should display all demographic details, document and Biometric details.</t>
  </si>
  <si>
    <t>RegClient_92</t>
  </si>
  <si>
    <t>1. User logged into RegClient and Select 'New Registration' and Mock MDS is running
 2. Captured Consent, Demographic details, Document and Iris/FP as exception all Biometrics modalities.
 3. User navigated to Preview screen</t>
  </si>
  <si>
    <t>1. Verify Biometrics Details with exceptions in Preview screen</t>
  </si>
  <si>
    <t>Preview screen should display all captured biometrics with correct exception, which are marked and captured in biometric details screen.</t>
  </si>
  <si>
    <t>RegClient_93</t>
  </si>
  <si>
    <t>1. User logged into RegClient and Select 'New Registration' and Mock MDS is running
 2. Captured Consent, Demographic details, Document and all Biometrics modalities.
 3. User is in Preview screen</t>
  </si>
  <si>
    <t>1. Verify navigation to Authentication screen by selecting Continue button/Authentication screen</t>
  </si>
  <si>
    <t>Should allow user to navigate to Authentication screen</t>
  </si>
  <si>
    <t>RegClient_94</t>
  </si>
  <si>
    <t>1. Login into RegClient and Select 'New Registration' and Mock MDS is running
 2. Captured Consent, Demographic details, Document and all Biometrics modalities. In Preview screen, select Continue.
 3. User navigated to Authentication Screen</t>
  </si>
  <si>
    <t>1. Enter a valid password (User name will be auto filled)</t>
  </si>
  <si>
    <t>User should be authenticated successfully.</t>
  </si>
  <si>
    <t>RegClient_95</t>
  </si>
  <si>
    <t>1. User logged into RegClient application and Select 'New Registration' and Mock MDS is running
 2. Captured Consent, Demographic details, Document and all Biometrics modalities. In Preview screen, select Continue.
 3. User navigated to Authentication Screen</t>
  </si>
  <si>
    <t>1. Navigating to previous/back screen before authentication</t>
  </si>
  <si>
    <t>Should allow user to navigate to previous screen to edit/update data</t>
  </si>
  <si>
    <t>RegClient_96</t>
  </si>
  <si>
    <t>1. Operator A captured resident's biometrics with exceptions and captured exception face
 2. Operator Authentication success and navigated for Reviewer authentication.
 3. Another operator B from same center, must be available for Reviewer authentication</t>
  </si>
  <si>
    <t>1. Reviewer (operator B) authentication with valid User name &amp; password for application with biometric exceptions</t>
  </si>
  <si>
    <t>Reviewer authentication should be success.
 Should display Registration Acknowledgement screen</t>
  </si>
  <si>
    <t>RegClient_97</t>
  </si>
  <si>
    <t>1. User logged into RegClient application and Select 'New Registration' and Mock MDS is running
 2. Captured Consent, Demographic details, Document and all Biometrics modalities. In Preview screen, select Continue.
 3. Operator Authenticated successfully</t>
  </si>
  <si>
    <t>New application in EoD processes for Pending approval</t>
  </si>
  <si>
    <t>Application should move to EoD processes for pending approval.</t>
  </si>
  <si>
    <t>RegClient_98</t>
  </si>
  <si>
    <t>1. User logged into RegClient application and created authenticated a packet
 2. Navigated to Acknowledgement screen</t>
  </si>
  <si>
    <t>Verify details in Acknowledgement screen</t>
  </si>
  <si>
    <t>Should display all details as preview screen</t>
  </si>
  <si>
    <t>RegClient_99</t>
  </si>
  <si>
    <t>Verify 'Print' option in Acknowledgement screen, select Print button</t>
  </si>
  <si>
    <t>Should initiate print successfully. Popup with message "Print initiated successfully".</t>
  </si>
  <si>
    <t>RegClient_100</t>
  </si>
  <si>
    <t>Verify to reprint acknowledgement by 'Print' option in Acknowledgement screen, select Print button</t>
  </si>
  <si>
    <t>Should allow user reprint multiple time</t>
  </si>
  <si>
    <t>RegClient_101</t>
  </si>
  <si>
    <t>Verify 'New Registration' option in Acknowledgement screen</t>
  </si>
  <si>
    <t>Should take user back to home screen</t>
  </si>
  <si>
    <t>RegClient_102</t>
  </si>
  <si>
    <t>1. Remove Default role to the Operator and assign 'Reg_officer/Supervisor'</t>
  </si>
  <si>
    <t>Operator logged into Reg.Client with role 'Reg_officer/supervisor'</t>
  </si>
  <si>
    <t>Operator should navigate to 'Get On Board' page</t>
  </si>
  <si>
    <t>RegClient_103</t>
  </si>
  <si>
    <t>User Guide</t>
  </si>
  <si>
    <t>Login in to Reg.Client with User rolls Reg_Supervisor/Reg_Officer</t>
  </si>
  <si>
    <t>Verify User Guide options by login as  Reg_Supervisor/Reg_Officer</t>
  </si>
  <si>
    <t>Should display User Guides options</t>
  </si>
  <si>
    <t>RegClient_104</t>
  </si>
  <si>
    <t xml:space="preserve"> Select User Guide - Onboarding yourself</t>
  </si>
  <si>
    <t>Should open User Guide - Onboarding yourself</t>
  </si>
  <si>
    <t>RegClient_105</t>
  </si>
  <si>
    <t xml:space="preserve"> Select User Guide - Registering an individual</t>
  </si>
  <si>
    <t>Should open User Guide - Registering an individual</t>
  </si>
  <si>
    <t>RegClient_106</t>
  </si>
  <si>
    <t xml:space="preserve"> Select User Guide - Synchronizing Data</t>
  </si>
  <si>
    <t>Should open User Guide - Synchronizing Data</t>
  </si>
  <si>
    <t>RegClient_107</t>
  </si>
  <si>
    <t xml:space="preserve"> Select User Guide - Mapping Devices to Machine</t>
  </si>
  <si>
    <t>Should open User Guide - Mapping Devices to Machine</t>
  </si>
  <si>
    <t>RegClient_108</t>
  </si>
  <si>
    <t xml:space="preserve"> Select User Guide - Uploading Local/Registration Data</t>
  </si>
  <si>
    <t>Should open User Guide - Uploading Local/Registration Data</t>
  </si>
  <si>
    <t>RegClient_109</t>
  </si>
  <si>
    <t xml:space="preserve"> Select User Guide - Updating Operator Biometrics</t>
  </si>
  <si>
    <t>Should open User Guide - Updating Operator Biometrics</t>
  </si>
  <si>
    <t>RegClient_110</t>
  </si>
  <si>
    <t>Login in to Reg.Client
 Select Menu icon and click on User Guide</t>
  </si>
  <si>
    <t xml:space="preserve"> Select User Guide -  from Menu icon</t>
  </si>
  <si>
    <t>Should open User Guide from Menu icon</t>
  </si>
  <si>
    <t>RegClient_111</t>
  </si>
  <si>
    <t>Operator On Boarding</t>
  </si>
  <si>
    <t>1. Login into Reg.Client with Reg_Officer/Reg_Supervisor.</t>
  </si>
  <si>
    <t>1. Define modalities in mosip.registration.operator.onboarding. bioattributes
2. Verify onboard of operator with defined modalities (FP, Iris and Face).</t>
  </si>
  <si>
    <t>Operator should get onboard based on mosip.registration.operator.onboarding. bioattributes</t>
  </si>
  <si>
    <t>RegClient_112</t>
  </si>
  <si>
    <t>1. Created an Operator with roles Default, Reg_Supervisor/Reg_Officer from Keycloak.
 2. Login in to Reg.Client</t>
  </si>
  <si>
    <t>1. Operator Login into Reg.Client with roles Default, Reg_Supervisor/Reg_Officer
2. Verify navigaion to Get On Boarding page</t>
  </si>
  <si>
    <t>Operator should logged in to Reg.Client home page
User should not navigate to Get On Boarding page</t>
  </si>
  <si>
    <t>RegClient_113</t>
  </si>
  <si>
    <t>1. Change Operator rolls as Reg_Supervisor or Reg_Officer from Keycloak.
2. Add Attributes- Key(individualId) and Value (User UIN)
3. Login in to Reg.Client</t>
  </si>
  <si>
    <t>1. Operator Login into Reg.Client with roles Reg_Supervisor/Reg_Officer
2. Verify navigaion to Get On Boarding page</t>
  </si>
  <si>
    <t>Operator should logged in to Reg.Client 'Get On Boarding' page.
User should Get On Boarding page with options 'Get Onboarded' and 'User guides'.</t>
  </si>
  <si>
    <t>RegClient_114</t>
  </si>
  <si>
    <t>1. Operator logged into Reg.Client 
2. Select 'Get Onboarded' option</t>
  </si>
  <si>
    <t xml:space="preserve"> 1. Verify navigation to Supervisor/Operator biometric page.
2. Verify allowing operator to capture operator biometrics like Leftslap, rightslap, thumbs, iris and face.</t>
  </si>
  <si>
    <t>Should allow operator to capture all biometric like Leftslap, rightslap, thumbs, iris and face</t>
  </si>
  <si>
    <t>RegClient_115</t>
  </si>
  <si>
    <t>1. Operator logged into Reg.Client 
2. Operator captured, operator biometrics.
3. Slected Save</t>
  </si>
  <si>
    <t>1. Verify by selecting Save button on 'Supervisor/Operator biometric' page.
2. Verify 'Operator On Boarding', when machine is online</t>
  </si>
  <si>
    <t>Operator onboarding should be successful and navigate operator to Reg.Client home page</t>
  </si>
  <si>
    <t>RegClient_116</t>
  </si>
  <si>
    <t>1. Verify by selecting Save button on 'Supervisor/Operator biometric' page.
2. Verify 'Operator On Boarding', when machine is offline</t>
  </si>
  <si>
    <t>Operator onboarding should be fail.</t>
  </si>
  <si>
    <t>RegClient_117</t>
  </si>
  <si>
    <t xml:space="preserve"> 1. Verify navigation to Supervisor/Operator biometric page.
2. Operator to capture operator biometrics with exceptions by marking (Ex. thumbs) as exceptions.
3. Operator capturing biometics without exception left &amp; right slap, Iris and Face.</t>
  </si>
  <si>
    <t>Should capture thumbs with exception and remaining without exceptions.
 Get pop message 'Success-Biometrics Capture Successfully'</t>
  </si>
  <si>
    <t>RegClient_118</t>
  </si>
  <si>
    <t>1. Operator logged into Reg.Client 
2. Operator captured, operator biometrics with exceptions.
3. Slected Save</t>
  </si>
  <si>
    <t>RegClient_119</t>
  </si>
  <si>
    <t xml:space="preserve"> 1. Operator captured wrong biometrics (unauthorized person).
2. Select Save</t>
  </si>
  <si>
    <t>Operator onboarding should be fail with popup 'biometric didnot match'</t>
  </si>
  <si>
    <t>RegClient_120</t>
  </si>
  <si>
    <t>1. Defined 'mosip.registration.operator. onboarding.bioattributes' in registration-mz.properties.
2. Verify biometric options are displaying as defined</t>
  </si>
  <si>
    <t>Biometric modalities should display as per 'mosip.registration.operator. onboarding.bioattributes'</t>
  </si>
  <si>
    <t>RegClient_121</t>
  </si>
  <si>
    <t>1. Login to Regclient.
2. operator onboarding successfully.</t>
  </si>
  <si>
    <t>Verify Operator biometric storing
Verify operator biometric images and templates in Regclient.</t>
  </si>
  <si>
    <t>Operator biometric images should not be stored.
Operator biometrics templates should be stored.</t>
  </si>
  <si>
    <t>RegClient_122</t>
  </si>
  <si>
    <t>RegClient_123</t>
  </si>
  <si>
    <t>User Roles</t>
  </si>
  <si>
    <t>1. Create a New User with role Reg_Officer from Keycloak, do User Zone and Center mapping through Admin UI
2. Login in to Reg.Client with user Reg_Supervisor/Reg_Officer</t>
  </si>
  <si>
    <t>Verify Operator navigating to 'Get On Boarding' page</t>
  </si>
  <si>
    <t>User should navigate to Get On Boarding page. Allow user to onboard with biometrics and access to User guides</t>
  </si>
  <si>
    <t>RegClient_124</t>
  </si>
  <si>
    <t>1. Login in to Reg.Client with user role Reg_Supervisor/Reg_Officer
2. User On boarded successfully</t>
  </si>
  <si>
    <t>Verify the  Operational Tasks available for user role Reg_Officer.
Verify the Registration Tasks available for user role Reg_Officer.</t>
  </si>
  <si>
    <t>Should allow below tasks:
 Operational Tasks like - Sync Data, Download Pre Reg data, Update operator biometrics, Application upload, Center remap sync and Check updates.
 Registration Tasks like -New, Update, Lost and Biometric correction</t>
  </si>
  <si>
    <t>RegClient_125</t>
  </si>
  <si>
    <t>1. Login in to Reg.Client with user role Reg_Officer
2. User On boarded successfully</t>
  </si>
  <si>
    <t>Verify EoD Tasks for user role Reg_Officer</t>
  </si>
  <si>
    <t>Should not display EoD tasks like - Pending approvals, Notification for Re registration, Dashboard</t>
  </si>
  <si>
    <t>RegClient_126</t>
  </si>
  <si>
    <t>Verify the Setting/Control panel option for user role Reg_Officer.
Verify the Menu option for user role Reg_Officer</t>
  </si>
  <si>
    <t>1. Global settings and device setting should be available.
2. User guide, Reset password and logout option should be available in Menu</t>
  </si>
  <si>
    <t>RegClient_127</t>
  </si>
  <si>
    <t>1. Login in to Reg.Client with user role - Reg_Officer</t>
  </si>
  <si>
    <t>1. . Change user role from Reg_Officer to Reg_Supervisor in Keycloak.
2. Verify user role change, after performing 'User details sync'.</t>
  </si>
  <si>
    <t>Operator should forced logged out from Reg.Client with popup message "Your roles has been modified, The current session will be logged out. Please login again to continue"</t>
  </si>
  <si>
    <t>RegClient_128</t>
  </si>
  <si>
    <t>1. Login in to Reg.Client with user role - Reg_Supervisor</t>
  </si>
  <si>
    <t>Navigate to Get On Boarding page</t>
  </si>
  <si>
    <t>RegClient_129</t>
  </si>
  <si>
    <t>1. Login in to Reg.Client with user role Reg_Supervisor
2. User On boarded successfully</t>
  </si>
  <si>
    <t>Verify the  Operational Tasks available for user role Reg_Supervisor.
Verify the Registration Tasks available for user role Reg_Supervisor.
Verify the EoD Tasks available for user role Reg_Supervisor.</t>
  </si>
  <si>
    <t>Should allow below tasks:
 Operational Tasks like - Sync Data, Download Pre Reg data, Update operator biometrics, Application upload, Center remap sync and Check updates.
 Registration Tasks like -New, Update, Lost and Biometric correction.
 EoD tasks like - Pending approvals, Notification for Re registration, Dashboard</t>
  </si>
  <si>
    <t>RegClient_130</t>
  </si>
  <si>
    <t>Verify the Setting/Control panel option for user role Reg_Supervisor
Verify the Menu option for user role Reg_Supervisor</t>
  </si>
  <si>
    <t>1. Schedule job settings, Global settings and device settings should be available
2. User guide, Reset password and logout option should be available in Menu</t>
  </si>
  <si>
    <t>RegClient_131</t>
  </si>
  <si>
    <t>1. Login in to Reg.Client with user role -Reg_Supervisor
2. Change user role from Reg_Supervisor to Default in Keycloak.</t>
  </si>
  <si>
    <t>Changing user role from Reg_Supervisor to Default</t>
  </si>
  <si>
    <t>After performing User details sync, user forced logged out from Reg.Client with popup message "Your roles has been modified, The current session will be logged out. Please login again to continue"</t>
  </si>
  <si>
    <t>RegClient_132</t>
  </si>
  <si>
    <t>1. Create a New User with role Default from Keycloak, do User zone mapping and User Center mapping through Admin UI
2. Login in to Reg.Client with user role - Default</t>
  </si>
  <si>
    <t>Navigate to Get On Boarding page for User role Default</t>
  </si>
  <si>
    <t>User should not navigate to Get On Boarding page. User should navigate directly to home Reg.Client screen</t>
  </si>
  <si>
    <t>RegClient_133</t>
  </si>
  <si>
    <t>1. Login in to Reg.Client with user role Default
2. User On boarded successfully</t>
  </si>
  <si>
    <t>Verify the  Operational Tasks available for user role Default.
Verify the Registration Tasks available for user role Defaultr.
Verify the EoD Tasks available for user role Default.</t>
  </si>
  <si>
    <t>RegClient_134</t>
  </si>
  <si>
    <t>Verify the Setting/Control panel option for user role Default.
Verify the Menu option for user role Default</t>
  </si>
  <si>
    <t>1. Schedule job settings, Global settings and device settings should be available.
2. User guide, Reset password and logout option should be available in Menu</t>
  </si>
  <si>
    <t>RegClient_135</t>
  </si>
  <si>
    <t>1. Reg-Client.
 2. User created and Mapped.</t>
  </si>
  <si>
    <t>1. Download "reg-client.zip" from qa-double-rc2
 2. Extrace the zip file.
 3. Click on run.bat file to start reg-clinet.
 4. Observe the files in the folder.</t>
  </si>
  <si>
    <t>All the json files for the current UI Spec will be created in the folder.</t>
  </si>
  <si>
    <t>RegClient_136</t>
  </si>
  <si>
    <t>Perform sync and verify Newprocess, UpdateProcess, LostProcess and BioCorrection Process in Regclient</t>
  </si>
  <si>
    <t>RegClient_137</t>
  </si>
  <si>
    <t>1. Master data swagger is accessible
 2. identity_schema_id is available
 3. UI Spec json is prepared.</t>
  </si>
  <si>
    <t>1. Post request sent from master data swagger UI
 2. Verify master.identity_schema"identitySchemaId": "string",
 "domain": "registration-client",
 "type": "newProcess".
 3. Verify master.ui_spec</t>
  </si>
  <si>
    <t>Spec should be added in master.ui_spec with status_code as "DRAFT"</t>
  </si>
  <si>
    <t>RegClient_138</t>
  </si>
  <si>
    <t>1. Master data swagger is accessible
 2. Spec added to master.ui_spec with status code='Draft'</t>
  </si>
  <si>
    <t>1. Publish the Spec in in master data swagger UI
 2. Verify master.ui_spec</t>
  </si>
  <si>
    <t>master.ui_spec status_code should be PUBLISHED</t>
  </si>
  <si>
    <t>RegClient_139</t>
  </si>
  <si>
    <t>Schema and Spec are not published</t>
  </si>
  <si>
    <t>Perform Sync operation and verify Spec changes in Reg.Client</t>
  </si>
  <si>
    <t>Spec changes should not reflect in Reg.Client</t>
  </si>
  <si>
    <t>RegClient_140</t>
  </si>
  <si>
    <t>1.Swagger
 2. UI Spec Json file(That is generated after launching Reg-Client).
 3. Reg-Client.</t>
  </si>
  <si>
    <t>1. Modify the UI Spec of an attribute&gt; change the order "order" attribute in screens.
 1. Order 1 - consentdet
 2. Order 2 - Documents
 3. Order 3 - BiometricDetails
 4. Order 4 - DemographicDetails
 2. Publish the changes in master.ui_spec table for type : newProcess.
 3. Login to Reg-Client application&gt; select New Registration &gt; select both languages&gt; click on "SUBMIT".
 4. Observe the modified fields in the Consent page.</t>
  </si>
  <si>
    <t>After login, the screen order should be as modified:
 1. consentdet
 2. Documents
 3. BiometricDetails
 4. DemographicDetails</t>
  </si>
  <si>
    <t>RegClient_141</t>
  </si>
  <si>
    <t>1. Git &gt; qa-double-rc2 &gt; application.mz.properties.</t>
  </si>
  <si>
    <t>1. Make changes in "qa-double-rc2/sandbox/application-mz.properties", mosip.mandatory-languages to ara and mosip.optional-languages : eng.
 2. Restart services.
 3. Login into Reg-Client and verify the mandatory language.</t>
  </si>
  <si>
    <t>The Mandatory language should be as "Arabic" after the change is done.</t>
  </si>
  <si>
    <t>RegClient_142</t>
  </si>
  <si>
    <t>1. Modify the UI Spec of an attribute&gt; change "required": false in Consent page.
 2. Publish the changes in master.ui_spec table for type : newProcess.
 3. Login to Reg-Client application&gt; select New Registration &gt; select both languages&gt; click on "SUBMIT".
 4. Observe the modified fields in the Consent page.</t>
  </si>
  <si>
    <t>The fields marked required "false" should not be marked as mandatory fields.</t>
  </si>
  <si>
    <t>RegClient_143</t>
  </si>
  <si>
    <t>1. Modify the UI Spec of an attribute&gt; change "required": true in Consent page.
 2. Publish the changes in master.ui_spec table for type : newProcess.
 3. Login to Reg-Client application&gt; select New Registration &gt; select both languages&gt; click on "SUBMIT".
 4. Observe the modified fields in the Consent page.</t>
  </si>
  <si>
    <t>The fields marked required "true" should be marked as mandatory fields.</t>
  </si>
  <si>
    <t>RegClient_144</t>
  </si>
  <si>
    <t>1. Modify the UI Spec of an attribute&gt; modify the label for "id": "consent" by adding some additional text in Consent page.
 2. Publish the changes in master.ui_spec table for type : newProcess.
 3. Login to Reg-Client application&gt; select New Registration &gt; select both languages&gt; click on "SUBMIT".
 4. Observe the modified fields in the Consent page.</t>
  </si>
  <si>
    <t>The modified text should be displayed in the Consent page.</t>
  </si>
  <si>
    <t>RegClient_145</t>
  </si>
  <si>
    <t>1. Modify the UI Spec of an attribute&gt; modify the "controlType" from "button" to "dropdown" for Language selection in Consent page.
 2. Publish the changes in master.ui_spec table for type : newProcess.
 3. Login to Reg-Client application&gt; select New Registration &gt; select both languages&gt; click on "SUBMIT".
 4. Observe the modified fields in the Consent page.</t>
  </si>
  <si>
    <t>The languages should be displayed in a drop down box.</t>
  </si>
  <si>
    <t>RegClient_146</t>
  </si>
  <si>
    <t>1. Modify the UI Spec of an attribute&gt; change "transliteration": false for Name field.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</si>
  <si>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translation is set to false, the data when entered in the Name filed for a language should not be translated to the other languages.</t>
  </si>
  <si>
    <t>RegClient_147</t>
  </si>
  <si>
    <t>1. Modify the UI Spec of an attribute&gt; change "transliteration": true for Name field.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</si>
  <si>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translation is set to true, the data when entered in the Name filed for a language should be translated to the other languages.</t>
  </si>
  <si>
    <t>RegClient_148</t>
  </si>
  <si>
    <t>1. Modify the UI Spec of an attribute&gt; change "inputRequired": false for Name field.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</si>
  <si>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inputRequired is set to false, field should not be given a text box to input details.</t>
  </si>
  <si>
    <t>RegClient_149</t>
  </si>
  <si>
    <t>1. Modify the UI Spec of an attribute&gt; change "inputRequired": true for Name field.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</si>
  <si>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inputRequired is set to true, field should be given a text box to input details.</t>
  </si>
  <si>
    <t>RegClient_150</t>
  </si>
  <si>
    <t>1. Modify the UI Spec of an attribute&gt; change "description" for Name field.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</si>
  <si>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description was changed, the modified discription should be displayed in the demographic details page.</t>
  </si>
  <si>
    <t>RegClient_151</t>
  </si>
  <si>
    <t>1. Modify the UI Spec of an attribute&gt; change Label for proofOfIdentity field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</si>
  <si>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As the description was changed, the modified discription should be displayed in the Document page.</t>
  </si>
  <si>
    <t>RegClient_152</t>
  </si>
  <si>
    <t>1. Modify the UI Spec of an attribute&gt; change the controlType of gender from dropdown to button.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</si>
  <si>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After the controlType is changed, the gender filed should no longer be a drop down box, It should be buttons.</t>
  </si>
  <si>
    <t>RegClient_153</t>
  </si>
  <si>
    <t>1. Modify the UI Spec of an attribute&gt; change the controlType of gender from dropdown to textbox.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</si>
  <si>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After the controlType is changed, the gender filed should no longer be a drop down box, It should be a text box.</t>
  </si>
  <si>
    <t>RegClient_154</t>
  </si>
  <si>
    <t>1. Modify the UI Spec of an attribute&gt; change the controlType of gender from dropdown to checkbox.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</si>
  <si>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After the controlType is changed, the gender filed should no longer be a drop down box, It should be check box.</t>
  </si>
  <si>
    <t>RegClient_155</t>
  </si>
  <si>
    <t>1. Modify the UI Spec of an attribute&gt; change the fieldType field of postalCode from default to Dynamic.
 2. Publish the changes in master.ui_spec table for type : newProcess.
 3. Add a dynamic field in Admin console matching postalCode.
 4. Login to Reg-Client application&gt; select New Registration &gt; select both languages&gt; click on "SUBMIT".
 5. Accept the conscent page and move to the demographic details page.
 6. While filling the application, verify the attributes that were changed.</t>
  </si>
  <si>
    <t>As the field is changed to dynamic, the fields that were added in Admin console should be displayed while creating the applicaion.</t>
  </si>
  <si>
    <t>RegClient_156</t>
  </si>
  <si>
    <t>1. Modify the UI Spec of an attribute&gt; change the fieldType field of Gender from Dynamic to default.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</si>
  <si>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field is changed to default, the fields that were added in Admin console should not be displayed while creating the applicaion.</t>
  </si>
  <si>
    <t>RegClient_157</t>
  </si>
  <si>
    <t>1. Modify the UI Spec of an attribute&gt; change the fieldCategory field to pvt.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</si>
  <si>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When the fieldCategory is set to pvt, Data store into private section and ID Repo</t>
  </si>
  <si>
    <t>RegClient_158</t>
  </si>
  <si>
    <t>1. Modify the UI Spec of an attribute&gt; change the fieldCategory field to evidence.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</si>
  <si>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When the fieldCategory is set to evidence, Data store into evidence section-Data never store in ID Repo</t>
  </si>
  <si>
    <t>RegClient_159</t>
  </si>
  <si>
    <t>1. Modify the UI Spec of an attribute&gt; change the fieldCategory field to Optional.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</si>
  <si>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When the fieldCategory is set to optional, Data store into optional section-Data never store in ID Repo</t>
  </si>
  <si>
    <t>RegClient_160</t>
  </si>
  <si>
    <t>1. Modify the UI Spec of an attribute&gt; change "validators": for the Name field to not take alphabets and only numbers.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</si>
  <si>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validators were changed, the input method should be changed to only take number and not any alphabets.</t>
  </si>
  <si>
    <t>RegClient_161</t>
  </si>
  <si>
    <t>1. Modify the UI Spec of an attribute&gt; add grouping to few fields.
  Add : alignmentGroup to the attributes with a group name for all the fields that you want to group. Ex : "alignmentGroup": "address".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</si>
  <si>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All the fields with the "alignmentGroup": "address" will be grouped together.</t>
  </si>
  <si>
    <t>RegClient_162</t>
  </si>
  <si>
    <t>1. Modify the UI Spec of an attribute&gt; by adding a new filed Last Name and all required attributes after full Name.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</si>
  <si>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There should be a new filed created Last Name in the demographic details page.</t>
  </si>
  <si>
    <t>RegClient_163</t>
  </si>
  <si>
    <t>1. Modify the UI Spec of an attribute&gt; change "Required": false for Name field.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</si>
  <si>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As required is changed to false, it should be a non-mandatory field.</t>
  </si>
  <si>
    <t>RegClient_164</t>
  </si>
  <si>
    <t>1. Modify the UI Spec of an attribute&gt; change "Required": true for Name field.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</si>
  <si>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As required is changed to true, it should be a mandatory field.</t>
  </si>
  <si>
    <t>MOSIP-10703</t>
  </si>
  <si>
    <t>TC_MOSIP-10703-01</t>
  </si>
  <si>
    <t>1. Hierarchy added master.loc_hierarchy_list
 2. Country hierarchy level = 0</t>
  </si>
  <si>
    <t>1. Verify the hierarchy levels for various descriptsions in the table.
 2. Verify hierarchy for Region.</t>
  </si>
  <si>
    <t>Region hierarchy should be 1</t>
  </si>
  <si>
    <t>TC_MOSIP-10703-02</t>
  </si>
  <si>
    <t>Verify hierarchy for Province.</t>
  </si>
  <si>
    <t>Province hierarchy should be 2</t>
  </si>
  <si>
    <t>TC_MOSIP-10703-03</t>
  </si>
  <si>
    <t>Verify hierarchy for City.</t>
  </si>
  <si>
    <t>City hierarchy should be 3</t>
  </si>
  <si>
    <t>TC_MOSIP-10703-04</t>
  </si>
  <si>
    <t>Verify hierarchy for Zone.</t>
  </si>
  <si>
    <t>Zone hierarchy should be 4</t>
  </si>
  <si>
    <t>Blocklisted words</t>
  </si>
  <si>
    <t>TC_MOSIP-15319-01</t>
  </si>
  <si>
    <t>1. Admin UI blocklisted word added.
 2. Blocklisted word is in active state
 3. New Registration flow perform sync operation</t>
  </si>
  <si>
    <t>1. Enter blocklisted word in demographic details scren.
 2. Verify validation.</t>
  </si>
  <si>
    <t>Validation message should be displayed as mentioned below.
 1. identified blocklisted words -&lt;word&gt;
 2. Buttons dispayed as Accept and Reject</t>
  </si>
  <si>
    <t>MOSIP-15319</t>
  </si>
  <si>
    <t>TC_MOSIP-15319-02</t>
  </si>
  <si>
    <t>1. Admin UI blocklisted word added.
 2. Blocklisted word is in active state
 3. New Registration flow perform sync operation
 4. Blocklisted word identified and validation message displayed.</t>
  </si>
  <si>
    <t>Click on Reject button</t>
  </si>
  <si>
    <t>Entered text and validation message both should be removed.</t>
  </si>
  <si>
    <t>TC_MOSIP-15319-03</t>
  </si>
  <si>
    <t>Click on Accept button</t>
  </si>
  <si>
    <t>Validation message should be removed.</t>
  </si>
  <si>
    <t>TC_MOSIP-15319-04</t>
  </si>
  <si>
    <t>1. Admin UI blocklisted word added.
 2. Blocklisted word is in active state
 3. New Registration flow perform sync operation
 4. Blocklisted word identified and validation message displayed.
 5. Blocklisted word is Accepted.</t>
  </si>
  <si>
    <t>Process the packet and verify packet processeing status.</t>
  </si>
  <si>
    <t>Packet should be processed successfully.</t>
  </si>
  <si>
    <t>TC_MOSIP-15319-05</t>
  </si>
  <si>
    <t>1. Admin UI blocklisted word added.
 2. Blocklisted word is in Inactive state
 3. New Registration flow perform sync operation</t>
  </si>
  <si>
    <t>1. Enter blocklisted word in demographic details screen.
 2. Verify validation.</t>
  </si>
  <si>
    <t>Blocklisted should not be validated.</t>
  </si>
  <si>
    <t>TC_MOSIP-15319-06</t>
  </si>
  <si>
    <t>1. Admin UI blocklisted word added.
 2. Blocklisted word is in active state
 3. New Registration flow perform sync operation
 4. Packet processed with Blocklisted.
 5. Supervisor approval screen displayed.</t>
  </si>
  <si>
    <t>Verify Blocklisted word packet RID</t>
  </si>
  <si>
    <t>RID should be highlighted in Yellow color</t>
  </si>
  <si>
    <t>TC_MOSIP-15319-07</t>
  </si>
  <si>
    <t>Verify Blocklisted word in preview screen</t>
  </si>
  <si>
    <t>Blocklisted should be highlighted in Yellow color</t>
  </si>
  <si>
    <t>RegClient_165</t>
  </si>
  <si>
    <t>1. Modify the UI Spec of an attribute&gt; by adding a new Document like "Your Visiting Card" with all the required attribues.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</si>
  <si>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There should be a new filed created "Your Visiting Card" in the Documents page and user should be able to upload a file.</t>
  </si>
  <si>
    <t>RegClient_166</t>
  </si>
  <si>
    <t>1. Modify the UI Spec of an attribute&gt; by adding a "required": false.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</si>
  <si>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RegClient_167</t>
  </si>
  <si>
    <t>1. Modify the UI Spec of an attribute&gt; by adding a "required": true.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</si>
  <si>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MOSIP-15381</t>
  </si>
  <si>
    <t>Document Selection validation based on Applicant Type in Registration Client</t>
  </si>
  <si>
    <t>TC_MOSIP-15381-01</t>
  </si>
  <si>
    <t>1.Go to MOSIP Config repository (https://github.com/mosip/mosip-config/blob/qa-double-rc2/sandbox/applicanttype.mvel)
 2. Login in to DB &gt; Master Data &gt; applicant_valid_document
 3. User logged into RegClient application and Synced.
 5. Select New Registration</t>
  </si>
  <si>
    <t>1. In Demographic Details screen, Without entering any data in ResidenceStatus, 
 GenderType, 
 Age/DoB and 
 BioException - No.
 2. Select Continue</t>
  </si>
  <si>
    <t>User should not be navigated to Documents upload screen.</t>
  </si>
  <si>
    <t>TC_MOSIP-15381-02</t>
  </si>
  <si>
    <t>1.Go to MOSIP Config repository (https://github.com/mosip/mosip-config/blob/qa-double-rc2/sandbox/applicanttype.mvel) validate each scenario and get the applicant_valid_code.
 2. Login in to DB &gt; Master Data &gt; applicant_valid_document and check the data for the returned applicant_valid_code.
 3. User logged into RegClient application and Synced.
 5. Select New Registration</t>
  </si>
  <si>
    <t>1. In Demographic details screen, enter the data wrt the conditions in applicant.mvel and check the returned code For ex: 001.
 2. In db -&gt; applicant_valid_code=001. It will display the list of valid documents to be displayed for the returned code.</t>
  </si>
  <si>
    <t>The list of valid documents should be returned in the Reg client -&gt; Upload documents page.</t>
  </si>
  <si>
    <t>TC_MOSIP-15381-03</t>
  </si>
  <si>
    <t>1. User logged into RegClient application.
 2. Select New Registration</t>
  </si>
  <si>
    <t>1. In Demographic Details screen, Enter
 ResidenceStatus - Foreigner, GenderType - Male, 
 Age/DoB - Child and 
 BioException-No.
 2. Select Continue</t>
  </si>
  <si>
    <t>In Reg.Client, document upload should allow user to select POI, POA, PoB and PoR document categories.</t>
  </si>
  <si>
    <t>TC_MOSIP-15381-04</t>
  </si>
  <si>
    <t>1. In Demographic Details screen, Enter
 ResidenceStatus - Foreigner, GenderType - Male, 
 Age/DoB - Adult and 
 BioException-No
 2. Select Continue</t>
  </si>
  <si>
    <t>In Reg.Client, document upload should allow user to select POI, POA, and PoB document categories.</t>
  </si>
  <si>
    <t>TC_MOSIP-15381-05</t>
  </si>
  <si>
    <t>1. In Demographic Details screen, Enter
 ResidenceStatus - Non Foreigner, GenderType - Male, 
 Age/DoB - Child and 
 BioException-No
 2. Select Continue</t>
  </si>
  <si>
    <t>TC_MOSIP-15381-06</t>
  </si>
  <si>
    <t>1. In Demographic Details screen, Enter
 ResidenceStatus - Non Foreigner,
 GenderType - Male, 
 Age/DoB - Adult and 
 BioException-No
 2. Select Continue</t>
  </si>
  <si>
    <t>TC_MOSIP-15381-07</t>
  </si>
  <si>
    <t>1. In Demographic Details screen, Enter
 ResidenceStatus - Foreigner, GenderType - Female or Others, 
 Age/DoB - Child and 
 BioException-Yes
 2. Select Continue</t>
  </si>
  <si>
    <t>In Reg.Client, document upload should allow user to select POI, POA, PoB, PoR and PoE document categories.</t>
  </si>
  <si>
    <t>TC_MOSIP-15381-08</t>
  </si>
  <si>
    <t>1. User not logged into RegClient application.
 2. Performed a Sync
 3. Select New Registration</t>
  </si>
  <si>
    <t>1. In Demographic Details screen, Enter
 ResidenceStatus - Foreigner, GenderType - Female or Others, 
 Age/DoB - Adult and
 BioException-Yes
 2. Select Continue</t>
  </si>
  <si>
    <t>In Reg.Client, document upload should allow user to select POI, POA, PoB and PoE document categories.</t>
  </si>
  <si>
    <t>TC_MOSIP-15381-09</t>
  </si>
  <si>
    <t>1. In Demographic Details screen, Enter
 ResidenceStatus - Non Foreigner, 
 GenderType - Female or Others, 
 Age/DoB - Child and 
 BioException-Yes
 2. Select Continue</t>
  </si>
  <si>
    <t>TC_MOSIP-15381-10</t>
  </si>
  <si>
    <t>1. In Demographic Details screen, Enter
 ResidenceStatus - Non Foreigner, 
 GenderType - Female or Other, 
 Age/DoB - Adult and
 BioException-Yes
 2. Select Continue</t>
  </si>
  <si>
    <t>In Reg.Client, document upload should allow user to select POI, POA, PoB and POE document categories.</t>
  </si>
  <si>
    <t>TC_MOSIP-15381-11</t>
  </si>
  <si>
    <t>1. Modify the UI-Spec by remove 'Proof of Address'.
 2. Post and Publish the updated UI spec from swagger
 (https://qa-double-rc2.mosip.net/v1/masterdata/swagger-ui/index.html?url=/v1/masterdata/v3/api-docs#/ui-spec-controller/publishUISpec)
 3. User logged into RegClient application and Synced.
 4. Select New Registration</t>
  </si>
  <si>
    <t>In Demographic Details screen, Enter
 ResidenceStatus - Foreigner, GenderType - Male, 
 Age/DoB - Adult and 
 BioException-No
 2. Select Continue</t>
  </si>
  <si>
    <t>In Reg.Client, document upload screen should not get POA field. Should allow user to select POI and PoB document categories and navigate to the next page.</t>
  </si>
  <si>
    <t>TC_MOSIP-15381-12</t>
  </si>
  <si>
    <t>1. Create a new Document type (DOC001) from Admin and activate it.
 2. From DB, map the created document type to Document category (POI) and Applicant type (007)
 3. User logged into RegClient application and Synced.
 4. Select New Registration</t>
  </si>
  <si>
    <t>1. In Demographic Details screen, Enter
 ResidenceStatus - Non Foreigner, 
 GenderType - Others, 
 Age/DoB - Child and 
 BioException-No
 2. Select Continue
 3. In Document upload Screen</t>
  </si>
  <si>
    <t>1. Verify mapped Document category (POI). Should display mapped Document type (DOC001) in dropdown.
 2. Should allow user to select POI, POA, PoB and PoR document categories.</t>
  </si>
  <si>
    <t>Biometrics</t>
  </si>
  <si>
    <t>1. Modify the UI Spec of an attribute&gt; change "required" to false for bioAttributes.
 2. Publish the changes in master.ui_spec table for type : newProcess.
 3. Login to Reg-Client application&gt; select New Registration &gt; select both languages&gt; click on "SUBMIT".
 4. Accept the conscent page &gt; move to the demographic details page &gt; and to the Documentspage &gt; At Biometric page.
 5. Verify the attributes that were changed.</t>
  </si>
  <si>
    <t>As input required is set to false the bioAttributes field, it should not allow input for the bioAttributes.</t>
  </si>
  <si>
    <t>RegClient_168</t>
  </si>
  <si>
    <t>As input required is set to true the bioAttributes field, it should allow input for the bioAttributes.</t>
  </si>
  <si>
    <t>RegClient_169</t>
  </si>
  <si>
    <t>1. Modify the UI Spec of an attribute&gt; edit "controlType" : "biometrics" for "bioAttributes": ["leftEye","rightEye","face"].
 2. Publish the changes in master.ui_spec table for type : bioCorrectionProcess.
 3. Login to Reg-Client application&gt; select New Registration &gt; select both languages&gt; click on "SUBMIT".
 4. Accept the conscent page &gt; move to the demographic details page &gt; and to the Documentspage &gt; At Biometric page.
 5. Verify the attributes that were changed.</t>
  </si>
  <si>
    <t>At the Biometric Page the user mush only be asked for just Iris and face scan.</t>
  </si>
  <si>
    <t>RegClient_170</t>
  </si>
  <si>
    <t>1. Modify the UI Spec of an attribute&gt; edit "controlType" : "biometrics" for "bioAttributes": ["leftEye","rightEye","leftThumb","rightThumb","face"].
 2. Publish the changes in master.ui_spec table for type : bioCorrectionProcess.
 3. Login to Reg-Client application&gt; select New Registration &gt; select both languages&gt; click on "SUBMIT".
 4. Accept the conscent page &gt; move to the demographic details page &gt; and to the Documentspage &gt; At Biometric page.
 5. Verify the attributes that were changed.</t>
  </si>
  <si>
    <t>At the Biometric Page the user mush only be asked for just Iris, left thumb, right thumb and face scan.</t>
  </si>
  <si>
    <t>RegClient_171</t>
  </si>
  <si>
    <t>1. Modify the UI Spec of an attribute&gt; edit "controlType" : "biometrics" for "bioAttributes": ["leftEye","rightEye","rightIndex","rightLittle","rightRing","rightMiddle","leftIndex","leftLittle","leftRing","leftMiddle","leftThumb","rightThumb"].
 2. Publish the changes in master.ui_spec table for type : bioCorrectionProcess.
 3. Login to Reg-Client application&gt; select New Registration &gt; select both languages&gt; click on "SUBMIT".
 4. Accept the conscent page &gt; move to the demographic details page &gt; and to the Documentspage &gt; At Biometric page.
 5. Verify the attributes that were changed.</t>
  </si>
  <si>
    <t>At the Biometric Page the user mush only be asked for just Iris and fingers scan.</t>
  </si>
  <si>
    <t>RegClient_172</t>
  </si>
  <si>
    <t>Operator Logged in to Reg.Client.</t>
  </si>
  <si>
    <t>1. For Adult New registration, capture demographics, documents &amp; biometrics.
2. Verify preview screen for Adult registtration.</t>
  </si>
  <si>
    <t>Should display current application ID with current date/time and all demographic details, document, biometric details.</t>
  </si>
  <si>
    <t>RegClient_173</t>
  </si>
  <si>
    <t>1. For Adult new registration, capture demographics, documents &amp; exceptions in biometrics.
2. Verify preview screen for Adult registtration.</t>
  </si>
  <si>
    <t>Should display current application ID with current date/time and all demographic details, document, exceptions in biometrics.</t>
  </si>
  <si>
    <t>RegClient_174</t>
  </si>
  <si>
    <t>1. For infant new registration, captured infant demographics, documents &amp; face.
2. Captured introducer demographics and biometrics.
2. Verify preview screen for Adult registtration.</t>
  </si>
  <si>
    <t>Should display current application ID with current date/time and all demographic details, document, infant face and introducer biometric details.</t>
  </si>
  <si>
    <t>RegClient_175</t>
  </si>
  <si>
    <t>1. For minor new registration, captured minor demographics, documents &amp; biometrics.
2. Captured introducer demographics and biometrics.
2. Verify preview screen for Adult registtration.</t>
  </si>
  <si>
    <t>Should display current application ID with current date/time and all demographic details, document, minor biometrics and introducer biometric details.</t>
  </si>
  <si>
    <t>RegClient_176</t>
  </si>
  <si>
    <t>1. For Adult Update registration, capture demographics, documents &amp; biometrics.
2. Verify preview screen for Adult registtration.</t>
  </si>
  <si>
    <t>Should display current application ID and UIN with current date/time and all demographic details, document, auth biometrics.</t>
  </si>
  <si>
    <t>RegClient_177</t>
  </si>
  <si>
    <t>1. For minor Update registration, captured minor demographics, documents &amp; biometrics.
2. Captured introducer demographics and biometrics.
2. Verify preview screen for Adult registtration.</t>
  </si>
  <si>
    <t>Should display current application ID and UIN with current date/time and all demographic details, document, auth biometrics and introducer biometric details.</t>
  </si>
  <si>
    <t>RegClient_178</t>
  </si>
  <si>
    <t>1. For Adult/minor Lost registration, capture demographics &amp; biometrics.
2. Verify preview screen for Adult/minor registtration.</t>
  </si>
  <si>
    <t>Should display current application ID with current date/time and all demographic details &amp; applicant biometrics.</t>
  </si>
  <si>
    <t>RegClient_179</t>
  </si>
  <si>
    <t>1. For Infant Lost registration, capture demographics &amp; infant face.
2. Verify preview screen for Infant registtration.</t>
  </si>
  <si>
    <t>Should display current application ID with current date/time and all demographic details &amp; applicant face.</t>
  </si>
  <si>
    <t>RegClient_180</t>
  </si>
  <si>
    <t>1. For Biometric Correction registration, enter Additional Info Request ID &amp; capture biometrics.
2. Verify preview screen for Biometric Correction registtration tasks.</t>
  </si>
  <si>
    <t>Should display Additional Info Request ID &amp; capture biometrics with current date/time.</t>
  </si>
  <si>
    <t>RegClient_181</t>
  </si>
  <si>
    <t>1. Captured Consent, Demographic details, Document and all Biometrics modalities.
2.  User navigated to Preview screen
3. Try to editing/update data in preview screen</t>
  </si>
  <si>
    <t>Should not allow user to edit any details in preview screen.
 Should allow user to navigate to previous screens to edit/update data.</t>
  </si>
  <si>
    <t>RegClient_182</t>
  </si>
  <si>
    <t>1. Operator Logged in to Reg.Client.
 2. Captured Consent, Demographic details, Document and all Biometrics modalities. In Preview screen, select Continue.
 3. User navigated to Authentication Screen</t>
  </si>
  <si>
    <t>Operator Auth for Packet creation with a valid password (User name will be auto filled)</t>
  </si>
  <si>
    <t>Operator should be authenticated successfully.</t>
  </si>
  <si>
    <t>RegClient_183</t>
  </si>
  <si>
    <t>Operator Auth for Packet creation with a invalid password (User name will be auto filled)</t>
  </si>
  <si>
    <t>Operator auth shoud get fail and allow to re enter password</t>
  </si>
  <si>
    <t>RegClient_184</t>
  </si>
  <si>
    <t>RegClient_185</t>
  </si>
  <si>
    <t>1. Operator A captured resident's biometrics with exceptions and captured exception face
 2. Operator Authentication success and navigated for Reviewer authentication.
 3. Same operator A doing reviewer authentication</t>
  </si>
  <si>
    <t>1. Reviewer authentication doing with same operator (operator A) credentials</t>
  </si>
  <si>
    <t>Reviewer authentication should fail with popup "You are not authorized for reviewer authentication".
 Must redirect operator to Reviewer authentication.</t>
  </si>
  <si>
    <t>RegClient_186</t>
  </si>
  <si>
    <t>1. 'Operator A' captured resident's biometrics with exceptions and captured exception face
 2. 'OperatorA' Authentication success and navigated for Reviewer authentication.
 3. Another 'operator Z' from different center,is available for Reviewer authentication</t>
  </si>
  <si>
    <t>1. 'Operator Z' from different center, is available for Reviewer authentication
2. Reviewer (operator Z) authentication with valid User name &amp; password for application with biometric exceptions</t>
  </si>
  <si>
    <t>Reviewer authentication should fail with popup "Credentials not found locally. Please login atlest once to perform registration reviewer".
 Must redirect operator to Reviewer authentication.</t>
  </si>
  <si>
    <t>RegClient_187</t>
  </si>
  <si>
    <t>1. Operator Logged in to Reg.Client.
2. Created and authenticated packet</t>
  </si>
  <si>
    <t>1. For Adult New registration, capture demographics, documents &amp; biometrics.
2. Verify Acknowledgement Slip for new registtration.</t>
  </si>
  <si>
    <t>Should display QR code, application ID with date/time and all demographic details, document, biometric details icons.</t>
  </si>
  <si>
    <t>RegClient_188</t>
  </si>
  <si>
    <t>1. For Adult new registration, capture demographics, documents &amp; exceptions in biometrics.
2. Verify preview screen for new registtration.</t>
  </si>
  <si>
    <t>Should display QR code, application ID with current date/time and all demographic details, document, exceptions in biometrics icons.</t>
  </si>
  <si>
    <t>RegClient_189</t>
  </si>
  <si>
    <t>1. For Update registration, capture demographics, documents &amp; biometrics.
2. Verify Acknowledgement Slip for update registtration.</t>
  </si>
  <si>
    <t>Should display application ID, UIN with date/time and all demographic details, document, biometric details icons.</t>
  </si>
  <si>
    <t>RegClient_190</t>
  </si>
  <si>
    <t>1. For Update registration, capture biometrics.
2. Verify Acknowledgement Slip for update registtration.</t>
  </si>
  <si>
    <t>Should display application ID, UIN with date/time and all icons of captured biometric.</t>
  </si>
  <si>
    <t>RegClient_191</t>
  </si>
  <si>
    <t>1. For Lost registration, capture demographics &amp; biometrics.
2. Verify Acknowledgement Slip for lost registtration.</t>
  </si>
  <si>
    <t>Should display QR code, application ID, UIN with date/time and all demographic details, biometric details icons.</t>
  </si>
  <si>
    <t>RegClient_192</t>
  </si>
  <si>
    <t>1. For Lost registration, capture biometrics.
2. Verify Acknowledgement Slip for lost registtration.</t>
  </si>
  <si>
    <t>Should display QR code, application ID, UIN with date/time and all icons of captured biometric.</t>
  </si>
  <si>
    <t>RegClient_193</t>
  </si>
  <si>
    <t>1. For Bio correction registration, capture Additional Info Request ID &amp; biometrics.
2. Verify Acknowledgement Slip for Bio correction registtration.</t>
  </si>
  <si>
    <t>Should display Additional Info Request ID, UIN with date/time andall biometric details icons.</t>
  </si>
  <si>
    <t>RegClient_194</t>
  </si>
  <si>
    <t>Pending Approval</t>
  </si>
  <si>
    <t>1. Login in to Reg.Client with role Reg_Supervisor
 2. Create new/update/lost/bio correction registration application (Ex. four applications).</t>
  </si>
  <si>
    <t>Verify Pending Approvals task, under EoD Processes.</t>
  </si>
  <si>
    <t>Should display how many aaplications (four application) are pending for approval</t>
  </si>
  <si>
    <t>RegClient_195</t>
  </si>
  <si>
    <t>1. Login in to Reg.Client with role Reg_Supervisor
 2. Create registration applications.
 3. Select Pending Approval task</t>
  </si>
  <si>
    <t>Verify applications details in Pending Approvals task</t>
  </si>
  <si>
    <t>Should display applications which pending for approval in Pending Approval. 
 Must display Application ID, Date, Operator ID and Upload status</t>
  </si>
  <si>
    <t>RegClient_196</t>
  </si>
  <si>
    <t>EoD -Pending Approval</t>
  </si>
  <si>
    <t>1. Login in to Reg.Client with user role Reg_Supervisor
 2. Create registration applications.
 3. Select Pending Approval task.</t>
  </si>
  <si>
    <t>View application details by selecting particular Application ID in Pending Approvals task</t>
  </si>
  <si>
    <t>Should display application details like QR code, applicant details like demographic and biometrics captured with exceptions etc.</t>
  </si>
  <si>
    <t>RegClient_197</t>
  </si>
  <si>
    <t>Search for application ID with correct application ID</t>
  </si>
  <si>
    <t>Should display correct Application from the available application in list</t>
  </si>
  <si>
    <t>RegClient_198</t>
  </si>
  <si>
    <t>Search for application ID with wrong application ID</t>
  </si>
  <si>
    <t>Should not display any application</t>
  </si>
  <si>
    <t>RegClient_199</t>
  </si>
  <si>
    <t xml:space="preserve">1. Login in to Reg.Client with user role Reg_Supervisor
 2. Create registration applications.
 3. In Pending Approval task, </t>
  </si>
  <si>
    <t>1. Select the applications which supervisor want to approve and select Approve button
2. Green tick mark should display beside all selected applications.
3. Authentication with correct credentials</t>
  </si>
  <si>
    <t>1. Authentication should be success.
2. Application should be moved from Pending Approval list to Application Upload task</t>
  </si>
  <si>
    <t>RegClient_200</t>
  </si>
  <si>
    <t>1. Select the applications which supervisor want to approve and select Approve button
2. Green tick mark should display beside all selected applications.
3. Authentication with incorrect credentials</t>
  </si>
  <si>
    <t>Authentication should fail and application must be available in Pending Approval list.</t>
  </si>
  <si>
    <t>RegClient_201</t>
  </si>
  <si>
    <t>1. Select the application which supervisor want to reject and select Reject button.
2. selecting reject reason from dropdown and submit.
3. Red cross mark should display beside all selected applications.
4. Authentication with correct credentials</t>
  </si>
  <si>
    <t>RegClient_202</t>
  </si>
  <si>
    <t>1. Select the application which supervisor want to reject and select Reject button.
2. selecting reject reason from dropdown and submit.
3. Red cross mark should display beside all selected applications.
4. Authentication with incorrect credentials</t>
  </si>
  <si>
    <t>RegClient_203</t>
  </si>
  <si>
    <t>EoD -Notification for Re-registartion</t>
  </si>
  <si>
    <t>1. Login in to Reg.Client with user role Reg_Supervisor</t>
  </si>
  <si>
    <t>Select 'Notification for Re-registartion' task</t>
  </si>
  <si>
    <t>Should navigate to 'Notification for Re-registartion' page</t>
  </si>
  <si>
    <t>RegClient_204</t>
  </si>
  <si>
    <t>1. Login in to Reg.Client with user role Reg_Supervisor.
2. Select 'Notification for Re-registartion' task</t>
  </si>
  <si>
    <t>Verify Re-registartion notification list.
Selec the application ID, operator wants to view</t>
  </si>
  <si>
    <t>Preview should display for selected application ID.</t>
  </si>
  <si>
    <t>RegClient_205</t>
  </si>
  <si>
    <t>1. Login in to Reg.Client with user role Reg_Supervisor.
2. Select 'Notification for Re-registartion' task</t>
  </si>
  <si>
    <t>Verify 'Search options' for application ID/Operator ID field in Re-registartion notification page</t>
  </si>
  <si>
    <t>Search for application ID/Operator ID field, should search against list of application IDs from available list</t>
  </si>
  <si>
    <t>MOSIP-11154</t>
  </si>
  <si>
    <t>As operator, I should be able to view the status of various activities performed in background</t>
  </si>
  <si>
    <t>TC_MOSIP-11154-01</t>
  </si>
  <si>
    <t>EoD - Dashboard</t>
  </si>
  <si>
    <t>Login into Reg.Client</t>
  </si>
  <si>
    <t>To Verify that the dashboard for the report is informative and clearly explains all the status with required numbers.</t>
  </si>
  <si>
    <t>The user should be able to view the status of the activities performed in the Reg-client</t>
  </si>
  <si>
    <t>TC_MOSIP-11154-02</t>
  </si>
  <si>
    <t>the dashboard should display the status of the users onboarded/active/inactive</t>
  </si>
  <si>
    <t>When  Reg.Client is online, the user clicks on the view dashboard he should be able to view status of the users onboarded/active/inactive</t>
  </si>
  <si>
    <t>TC_MOSIP-11154-03</t>
  </si>
  <si>
    <t>the dashboard should display the status of the packets created</t>
  </si>
  <si>
    <t>When the user clicks on the view dashboard he should be able to view status of the packets created</t>
  </si>
  <si>
    <t>TC_MOSIP-11154-04</t>
  </si>
  <si>
    <t>the dashboard should display the status of the activities performed in Reg-client like : sync/scan/updates</t>
  </si>
  <si>
    <t>When the user clicks on the view dashboard he should be able to view status of the activities performed in Reg-client like : sync/scan/updates</t>
  </si>
  <si>
    <t>TC_MOSIP-11154-05</t>
  </si>
  <si>
    <t>When Reg.Client is offline,  the user clicks on the view dashboard he should be able to view status of the users onboarded/active/inactive</t>
  </si>
  <si>
    <t>RegClient_206</t>
  </si>
  <si>
    <t>1. Login in to Reg.Client in offline
2. Applications/packets created and approved in EoD processes
3. Select Application Upload task</t>
  </si>
  <si>
    <t>Verify Applications Upload when machine is offline.
Select the Applications and click on Upload button</t>
  </si>
  <si>
    <t>Upload should fail with popup "No internet connection"</t>
  </si>
  <si>
    <t>RegClient_207</t>
  </si>
  <si>
    <t>1. Login in to Reg.Client in online
 2. Applications/packets created and approved in EoD processes
 3. Select Application Upload task</t>
  </si>
  <si>
    <t>Verify Applications Upload when machine is online.
Select the Approved Application and click on Upload button</t>
  </si>
  <si>
    <t>Upload should be success with Client status: 'Pushed' and Server status: 'Packet has reached packet receiver'</t>
  </si>
  <si>
    <t>RegClient_208</t>
  </si>
  <si>
    <t>1. Login in to Reg.Client in online
 2. Application created and rejected in EoD processes
 3. Select Application Upload task</t>
  </si>
  <si>
    <t>Select the Rejected Application and click on Upload button</t>
  </si>
  <si>
    <t>RegClient_209</t>
  </si>
  <si>
    <t>Server status for Approved/Rejected Application, after reaching server</t>
  </si>
  <si>
    <t>Upload should be success with Client status: 'Pushed' and Server status: 'Accepted'</t>
  </si>
  <si>
    <t>RegClient_210</t>
  </si>
  <si>
    <t>1. Login in to Reg.Client in online
 2. 'New' Application created and Approved in EoD processes
 3. Select Application Upload task</t>
  </si>
  <si>
    <t>Verify Registration Type for 
'New' Registration
'Update' Registration
'Lost' Registration
'Biometric correction' Registration</t>
  </si>
  <si>
    <t>Registration Type should be display as
'NEW'
'Update'
'Lost'
'Biometric Correction'</t>
  </si>
  <si>
    <t>RegClient_211</t>
  </si>
  <si>
    <t>1. Login in to Reg.Client in online
 2. 'Biometric correction' Application created and Approved in EoD processes
 3. Select Application Upload task</t>
  </si>
  <si>
    <t>Client Status before Sync and upload</t>
  </si>
  <si>
    <t>Client Status should be 'Approved or Rejected' before Sync and upload</t>
  </si>
  <si>
    <t>RegClient_212</t>
  </si>
  <si>
    <t>1. Login in to Reg.Client in online
 2. 'Biometric correction' Application created and Approved/ Rejected in EoD processes
 3. Select Application Upload task</t>
  </si>
  <si>
    <t>Client Status after Sync and before upload</t>
  </si>
  <si>
    <t>Client Status should be 'Synced' after Sync and before upload</t>
  </si>
  <si>
    <t>RegClient_213</t>
  </si>
  <si>
    <t>Client Status after upload</t>
  </si>
  <si>
    <t>Client Status should be 'PUSHED' after upload</t>
  </si>
  <si>
    <t>RegClient_214</t>
  </si>
  <si>
    <t>Client Status filter in Application upload task</t>
  </si>
  <si>
    <t>Should filter applications based on client status like Pushed or Accepted etc</t>
  </si>
  <si>
    <t>RegClient_215</t>
  </si>
  <si>
    <t>Search for application ID/Operator ID field in Application upload page</t>
  </si>
  <si>
    <t>Search for application ID/Operator ID field, should search against list of application IDs/operator IDs available in list</t>
  </si>
  <si>
    <t>RegClient_216</t>
  </si>
  <si>
    <t>Clear filter' button</t>
  </si>
  <si>
    <t>Clear filter' button should clear previous selected filter options</t>
  </si>
  <si>
    <t>RegClient_217</t>
  </si>
  <si>
    <t>1. Operator Login in to Reg.Client in online with Reg_Supervisor role.</t>
  </si>
  <si>
    <t>RegClient_218</t>
  </si>
  <si>
    <t>1. To check the absence of Registration Packet Upload Job in regclient Setting Page when the JOB is False under Table master.sync_job_def
 2. Update theupd_dtimes as current time under table Table master.sync_job_def
 3. Sync After Login to Regclient</t>
  </si>
  <si>
    <t>RegClient_219</t>
  </si>
  <si>
    <t>RegClient_220</t>
  </si>
  <si>
    <t>RegClient_221</t>
  </si>
  <si>
    <t>MOSIP-8164</t>
  </si>
  <si>
    <t>Export to portable storage - 
USB storage</t>
  </si>
  <si>
    <t>TC_MOSIP-8164-01</t>
  </si>
  <si>
    <t>Packet Upload - Save to Device</t>
  </si>
  <si>
    <t>1. Navigated to Application upload screen.
 2. Packets are not available in Registration Data upload screen.</t>
  </si>
  <si>
    <t>Verify 'Save to device' button displayed</t>
  </si>
  <si>
    <t>Save to device' button should not be displayed.</t>
  </si>
  <si>
    <t>TC_MOSIP-8164-02</t>
  </si>
  <si>
    <t>1. Navigated to Application upload screen.
 2. Packets are available in Registration Data upload screen.</t>
  </si>
  <si>
    <t>Save to device' button should be displayed.</t>
  </si>
  <si>
    <t>TC_MOSIP-8164-03</t>
  </si>
  <si>
    <t>Upload' button should not be displayed.</t>
  </si>
  <si>
    <t>TC_MOSIP-8164-04</t>
  </si>
  <si>
    <t>1. Navigated to Application upload screen.
 2. Single packet available in Registration Data upload screen.
 3. Save to device button is displayed.
 4. System is Offline mode.</t>
  </si>
  <si>
    <t>Click on save to device button.</t>
  </si>
  <si>
    <t>Prompted to provide destination location to save file.</t>
  </si>
  <si>
    <t>TC_MOSIP-8164-05</t>
  </si>
  <si>
    <t>1. Navigated to Applicationt upload screen.
 2. Single packet available in Registration Data upload screen.
 3. System is Offline mode.
 4. Save to device button is displayed to select the destination folder.</t>
  </si>
  <si>
    <t>1. Select the destination folder.
 2. Click on Ok.</t>
  </si>
  <si>
    <t>Packet should be uploaded to the destination folder.</t>
  </si>
  <si>
    <t>TC_MOSIP-8164-06</t>
  </si>
  <si>
    <t>1. Navigated to Application upload screen.
 2. Single packet available in Registration Data upload screen.
 3. System is Online mode.
 4. Save to device button is displayed to select the destination folder.</t>
  </si>
  <si>
    <t>1. Select the destination folder.
 2. Click on Submit.</t>
  </si>
  <si>
    <t>TC_MOSIP-8164-07</t>
  </si>
  <si>
    <t>1. Navigated to Application upload screen.
 2. Multiple packets available in Registration Data upload screen.
 3. System is Online mode.
 4. Save to device button is displayed to select the destination folder.</t>
  </si>
  <si>
    <t>1. Select the packets in upload screen.
 2. Click on 'Save to device' button.</t>
  </si>
  <si>
    <t>TC_MOSIP-8164-08</t>
  </si>
  <si>
    <t>1. Navigate to Registration data upload screen, select few packets.
 2. Click on Save to device button [window displayed to select location]
 3. Close the window and uncheck all selected packets.</t>
  </si>
  <si>
    <t>Click on save to drive button.</t>
  </si>
  <si>
    <t>Please select packets to export should be displayed.</t>
  </si>
  <si>
    <t>TC_MOSIP-8164-09</t>
  </si>
  <si>
    <t>1. Navigate to registration data upload, select few packets.
 2. Select export drive location, export all selected packets</t>
  </si>
  <si>
    <t>Verify Note pop up table</t>
  </si>
  <si>
    <t>Exported sequence should match with registration data upload table</t>
  </si>
  <si>
    <t>1. Operator onboarded with FP.
 2. Launch Reg.Client, enter user name and submit</t>
  </si>
  <si>
    <t>Verify Operator login into Reg.Client with Fingerprint as authentication</t>
  </si>
  <si>
    <t>Auth should be success and allow operator to login into Reg.Client</t>
  </si>
  <si>
    <t>RegClient_222</t>
  </si>
  <si>
    <t>1. Operator onboarded with Iris.
 2. Launch Reg.Client, enter user name and submit</t>
  </si>
  <si>
    <t>Verify Operator login into Reg.Client with Iris as authentication</t>
  </si>
  <si>
    <t>RegClient_223</t>
  </si>
  <si>
    <t>1. Operator onboarded with Face.
2. Launch Reg.Client, enter user name and submit</t>
  </si>
  <si>
    <t>Verify Operator login into Reg.Client with Face as authentication</t>
  </si>
  <si>
    <t>RegClient_224</t>
  </si>
  <si>
    <t>1. Operator onboarded without FPs and with Iris &amp; Face.
 2. Launch Reg.Client, enter user name and submit</t>
  </si>
  <si>
    <t>Verify Operator login into Reg.Client with Iris and Face as authentication</t>
  </si>
  <si>
    <t>RegClient_225</t>
  </si>
  <si>
    <t>1. Operator onboarded with FPs, Iris and Face.
 2. Launch Reg.Client, enter user name and submit</t>
  </si>
  <si>
    <t>Verify Operator login into Reg.Client with Fingerprint, Iris and Face as authentication</t>
  </si>
  <si>
    <t>RegClient_226</t>
  </si>
  <si>
    <t>1. Operator with Supervisor role onboarded with FP.
 2. Launch Reg.Client, enter user name and submit</t>
  </si>
  <si>
    <t>RegClient_227</t>
  </si>
  <si>
    <t>1. Operator with Supervisor role onboarded with Iris.
 2. Launch Reg.Client, enter user name and submit</t>
  </si>
  <si>
    <t>RegClient_228</t>
  </si>
  <si>
    <t>1. Operator with Supervisor role onboarded with Face.
2. Launch Reg.Client, enter user name and submit</t>
  </si>
  <si>
    <t>RegClient_232</t>
  </si>
  <si>
    <t>1. Operator onboarded with FPs.
 2. Operator logged and slected registration task.
3. Packet Auth stage</t>
  </si>
  <si>
    <t>Verify operator Packet auth with FP as authentication.</t>
  </si>
  <si>
    <t>Auth should be success and allow operator to create packet</t>
  </si>
  <si>
    <t>RegClient_233</t>
  </si>
  <si>
    <t>1. Operator onboarded FPs, Iris and Face.
 2. Operator logged and slected registration task.
3. Packet Auth stage</t>
  </si>
  <si>
    <t>Verify operator Packet auth with FPs, Iris and Face as authentication.</t>
  </si>
  <si>
    <t>RegClient_234</t>
  </si>
  <si>
    <t>1. Operator onboarded without FPs and with Iris and Face.
 3. Operator logged and slected registration task.
3. Packet Auth stage</t>
  </si>
  <si>
    <t>Verify operator Packet auth with Iris and Face as authentication.</t>
  </si>
  <si>
    <t>RegClient_236</t>
  </si>
  <si>
    <t>1. Operator onboarded with both Iris.
 2. Operator logged and slected registration task.
3. Packet Auth stage</t>
  </si>
  <si>
    <t>Verify operator Packet auth with Iris as authentication</t>
  </si>
  <si>
    <t>RegClient_237</t>
  </si>
  <si>
    <t>1. Operator onboarded with one Iris as exception.
2. Operator logged and slected registration task.
3. Packet Auth stage</t>
  </si>
  <si>
    <t>1. Verify when operator onboarded with Iris as exception.
2. Verified Iris with Mock</t>
  </si>
  <si>
    <t>RegClient_239</t>
  </si>
  <si>
    <t>1. Operator onboarded with Face.
2. Operator logged and slected registration task.
3. Packet Auth stage</t>
  </si>
  <si>
    <t>Verify Operator Packet auth with face as authentication</t>
  </si>
  <si>
    <t xml:space="preserve">Auth should be success and allow operator to Packet auth  </t>
  </si>
  <si>
    <t>RegClient_240</t>
  </si>
  <si>
    <t>1. Operator onboarded with FP's.
2. Operator logged and slected registration task.
3. Packet Auth stage</t>
  </si>
  <si>
    <t>Verify Operator Packet auth  with FPr as authentication</t>
  </si>
  <si>
    <t>RegClient_241</t>
  </si>
  <si>
    <t>1. 'OperatorB' onboarded with FPs.
2. 'OperatorA' logged and slected registration task.
3. Creating packet with biometric exceptions. 
4.  Reviewer Auth stage</t>
  </si>
  <si>
    <t>Verify 'OperatorB' Reviewer auth with FP as authentication.</t>
  </si>
  <si>
    <t>Auth should be success and create packet</t>
  </si>
  <si>
    <t>RegClient_243</t>
  </si>
  <si>
    <t>1. 'OperatorB' onboarded with FPs, Iris and Face.
2. 'OperatorA' logged and slected registration task.
3. Creating packet with biometric exceptions. 
4.  Reviewer Auth stage</t>
  </si>
  <si>
    <t>Verify 'OperatorB' Reviwer auth  with FP, Iris and Face as authentication.</t>
  </si>
  <si>
    <t>Auth should be success and created packet</t>
  </si>
  <si>
    <t>RegClient_244</t>
  </si>
  <si>
    <t>1. 'OperatorB' onboarded with left Iris as exception.
2. 'OperatorA' logged and slected registration task.
3. Creating packet with biometric exceptions. 
4.  Reviewer Auth stage</t>
  </si>
  <si>
    <t>1. Verify when 'OperatorB' onboarded with Left Iris as exception.
2. 'OperatorB' Reviewer auth with Right Iris as authentication</t>
  </si>
  <si>
    <t>RegClient_245</t>
  </si>
  <si>
    <t>1. 'OperatorB' onboarded with both Iris.
2. 'OperatorA' logged and slected registration task.
3. Creating packet with biometric exceptions. 
4.  Reviewer Auth stage</t>
  </si>
  <si>
    <t>Verify 'OperatorB' Reviewer auth with single - Right Iris as authentication</t>
  </si>
  <si>
    <t>RegClient_248</t>
  </si>
  <si>
    <t>1. 'OperatorB' onboarded with Face.
2. 'OperatorA' logged and slected registration task.
3. Creating packet with biometric exceptions. 
4.  Reviewer Auth stage</t>
  </si>
  <si>
    <t>Verify OperatorB Reviewer auth with face as authentication</t>
  </si>
  <si>
    <t xml:space="preserve">Auth should be success and create Packet  </t>
  </si>
  <si>
    <t>RegClient_249</t>
  </si>
  <si>
    <t>Verify OperatorB Reviewer auth with FP as authentication</t>
  </si>
  <si>
    <t>RegClient_250</t>
  </si>
  <si>
    <t>1. Operator with Reg_Supervisor role has onboarded with FPs, Iris and Face.
2. Packets created and packet are in Pending Approval task.
3. In Pending Approval task, Choose packets to Approve or Reject. 
4. Select Authenticate and enter User Name, the click on password.</t>
  </si>
  <si>
    <t>Verify operator EoD auth with FPs, Iris and Face as authentication.</t>
  </si>
  <si>
    <t>Auth should be success and packets will be move to Application Upload task.</t>
  </si>
  <si>
    <t>RegClient_251</t>
  </si>
  <si>
    <t>1. Operator with Reg_Supervisor role has onboarded without FPs and with Iris and Face.
2. Packets created and packet are in Pending Approval task.
3. In Pending Approval task, Choose packets to Approve or Reject. 
4. Select Authenticate and enter User Name, the click on password.</t>
  </si>
  <si>
    <t>1. Verify when operator onboarded without FPs 
2. Operator EoD Auth with Iris and Face as authentication</t>
  </si>
  <si>
    <t>RegClient_252</t>
  </si>
  <si>
    <t>Verify operator EoD auth with Face and Iris as authentication</t>
  </si>
  <si>
    <t>RegClient_254</t>
  </si>
  <si>
    <t>1. Operator with Reg_Supervisor role has onboarded with FP's
2. Packets created and packet are in Pending Approval task.
3. In Pending Approval task, Choose packets to Approve or Reject. 
4. Select Authenticate and enter User Name, the click on password.</t>
  </si>
  <si>
    <t>Verify operator EoD auth with FP as authentication</t>
  </si>
  <si>
    <t>RegClient_257</t>
  </si>
  <si>
    <t>1. Operator with Reg_Supervisor role has onboarded with Face.
2. Packets created and packet are in Pending Approval task.
3. In Pending Approval task, Choose packets to Approve or Reject. 
4. Select Authenticate and enter User Name, the click on password.</t>
  </si>
  <si>
    <t>Verify Operator EoD auth with face as authentication</t>
  </si>
  <si>
    <t>RegClient_258</t>
  </si>
  <si>
    <t>1. Operator with Reg_Supervisor role has onboarded with FP.
2. Packets created and packet are in Pending Approval task.
3. In Pending Approval task, Choose packets to Approve or Reject. 
4. Select Authenticate and enter User Name, the click on password.</t>
  </si>
  <si>
    <t>Verify EoD Packet auth  with FP as authentication</t>
  </si>
  <si>
    <t>RegClient_259</t>
  </si>
  <si>
    <t>1. Install Reg client from a perticular environment.
 2. Login into Regclient application and Click on Sync button</t>
  </si>
  <si>
    <t>Verify the response time of Full sync and sync date and time added in logs.</t>
  </si>
  <si>
    <t>Full Sync should be successful and last sync date and time should be displayed.
Last sync data and time should be captured in logs.</t>
  </si>
  <si>
    <t>RegClient_260</t>
  </si>
  <si>
    <t>RegClient_261</t>
  </si>
  <si>
    <t>Download Pre-registration Data</t>
  </si>
  <si>
    <t>1. Create a PRID in prereg and book appointments.
 2. Login into Reg.Client and perform a 'Download Pre-registration data'</t>
  </si>
  <si>
    <t>1. Configure No. of days before appointment date for consuming the pre-registration data : "datamosip.registration.pre_reg_no_of_days_limit=X" in registration.mz properties.
 2. Verify the Sync of the application in the Booked appointment status.</t>
  </si>
  <si>
    <t>The Synch process should download the applications(PRIDs) for appointments for next X days.</t>
  </si>
  <si>
    <t>RegClient_262</t>
  </si>
  <si>
    <t>1. Create a PRID in Pending appointment state.
 2. Login into Reg.Client and perform a 'Download Pre-registration data'</t>
  </si>
  <si>
    <t>1. Verify the Sync of the application in the Pending appointment status.</t>
  </si>
  <si>
    <t>RegClient_263</t>
  </si>
  <si>
    <t>1. Create a PRID in Booked appointment state.
 2. Login into Reg.Client and perform a 'Download Pre-registration data'</t>
  </si>
  <si>
    <t>1. Verify the Synch of the application in the booked appointment status wrt the same center.</t>
  </si>
  <si>
    <t>RegClient_264</t>
  </si>
  <si>
    <t>1. Create a PRID in Booked appointment state.
 2. Login into Reg.Client and select New registration task.
 3. Login into Reg.Client and perform a 'Download Pre-registration data'</t>
  </si>
  <si>
    <t>1. Verify the Synch of the application in the booked appointment status wrt a different center.</t>
  </si>
  <si>
    <t>The Synch process should not download the applications(PRIDs) in booked appointment status.</t>
  </si>
  <si>
    <t>RegClient_265</t>
  </si>
  <si>
    <t>1. Create a PRID and let is move to Cancelled/Expired appointment status.
 2. Login into Reg.Client and perform a 'Download Pre-registration data'.</t>
  </si>
  <si>
    <t>1. Verify the Synch of the application in the cancelled/expired appointment status.</t>
  </si>
  <si>
    <t>The Synch process should not download and display the applications(PRIDs) in Cancelled/Expired appointment status.</t>
  </si>
  <si>
    <t>RegClient_266</t>
  </si>
  <si>
    <t>1. Operator On boarded into Reg.Client.
 2. Login in to Reg.Client and select 'Update Operator Biometrics'.</t>
  </si>
  <si>
    <t>1. Capture FPs by selecting Left, Right Slaps and Thumbs from left side panel and Scan.
2. Capture by selecting Iris and Face from left side panel and Scan.
3. Save captured biometrics by selecting Save.</t>
  </si>
  <si>
    <t xml:space="preserve">Reg.Client should capture FPs, Iris &amp; Face and should update captured operator biometrics successfully </t>
  </si>
  <si>
    <t>RegClient_267</t>
  </si>
  <si>
    <t>1. Operator On boarded into Reg.Client.
 2. Login in to Reg.Client and select 'Update Operator Biometrics'.
 3. Mark left Iris as exception and Capture right Iris.
 4. Mark right thumb as exception and capture left thumb, left slap &amp; right slap.</t>
  </si>
  <si>
    <t>1. captured biometric (FPs and Iris) with exceptions.
2. Save captured biometrics by selecting Save.</t>
  </si>
  <si>
    <t xml:space="preserve">Reg.Client should capture FPs, Iris with exceptions and should update captured operator biometrics successfully </t>
  </si>
  <si>
    <t>RegClient_268</t>
  </si>
  <si>
    <t>1. Operator On boarded into Reg.Client.
 2. Login in to Reg.Client and select 'Update Operator Biometrics'.
 3. Capture wrong person left slap and correct person right slap, thumbs and both Iris. Select Save</t>
  </si>
  <si>
    <t>Save' captured biometric with wrong and correct person biometrics, in Update operator biometrics task</t>
  </si>
  <si>
    <t>Update operator biometrics should fail with message "Biometric data mismatch"</t>
  </si>
  <si>
    <t>RegClient_269</t>
  </si>
  <si>
    <t>Login into Reg.Client and its online mode</t>
  </si>
  <si>
    <t>1. From Admin portal remap the center and machine to new center
2. Perform a Center Remap Sync in Reg.Client</t>
  </si>
  <si>
    <t>RegClient_270</t>
  </si>
  <si>
    <t>RegClient_271</t>
  </si>
  <si>
    <t>RegClient_272</t>
  </si>
  <si>
    <t>RegClient_273</t>
  </si>
  <si>
    <t>Check Updates</t>
  </si>
  <si>
    <t>1. Launch Reg Client</t>
  </si>
  <si>
    <t>1. At the launch of Reg.Client, during the "Build setup validation completed with status", the application checks for update.</t>
  </si>
  <si>
    <t>When any new updates are available, ui prompts that a new version is available for download and asks for permission to download.</t>
  </si>
  <si>
    <t>MOSIP-19715</t>
  </si>
  <si>
    <t>RegClient_274</t>
  </si>
  <si>
    <t>1. Launch Reg Client
 2. In case of any jar update in the server</t>
  </si>
  <si>
    <t>1. At the launch of Reg.Client, the application verifies the jar files in lib folder and the MANIFEST.MF file.</t>
  </si>
  <si>
    <t>In case of any new updates in jar, it will automatically copy the new jar files to the lib folder.</t>
  </si>
  <si>
    <t>RegClient_275</t>
  </si>
  <si>
    <t>1. Launch Reg Client
 2. Login into Reg Client</t>
  </si>
  <si>
    <t>1. Click on "Check Updates"</t>
  </si>
  <si>
    <t>If any updates are available, the pop up will mention available updates and ask permission for download.</t>
  </si>
  <si>
    <t>RegClient_276</t>
  </si>
  <si>
    <t>Device Setting</t>
  </si>
  <si>
    <t>Verify FP device details in like Serial Number, Make and Model in Device settings screen. When device MDS is running.</t>
  </si>
  <si>
    <t>Device settings should display FP device details like serial number, make and model.</t>
  </si>
  <si>
    <t>RegClient_277</t>
  </si>
  <si>
    <t>Verify FP device details in like Serial Number, Make and Model in Device settings screen. When device disconnected or MDS is stopped.</t>
  </si>
  <si>
    <t>Device settings should not display FP device details with serial number, make and model. When MDS stopped</t>
  </si>
  <si>
    <t>RegClient_278</t>
  </si>
  <si>
    <t>Verify Iris scanner details in like Serial Number, Make and Model in Device settings screen. When device MDS is running.</t>
  </si>
  <si>
    <t>Device settings should display details serial number make and model.</t>
  </si>
  <si>
    <t>RegClient_279</t>
  </si>
  <si>
    <t>Verify Iris scanner details in like Serial Number, Make and Model in Device settings screen. When device disconnected or MDS is stopped.</t>
  </si>
  <si>
    <t>Device settings should not display details like Serial Number, Make and Model. When MDS stopped</t>
  </si>
  <si>
    <t>RegClient_280</t>
  </si>
  <si>
    <t>Verify Face camera details in like Serial Number, Make and Model in Device settings screen. When device MDS is running.</t>
  </si>
  <si>
    <t>Device settings should display face camera details like serial number, make and model.</t>
  </si>
  <si>
    <t>RegClient_281</t>
  </si>
  <si>
    <t>Verify Face camera details in like Serial Number and Port no. in Device settings screen. When device disconnected or MDS is stopped.</t>
  </si>
  <si>
    <t>Device settings should not display face camera details like serial number, make, model.  When MDS stopped</t>
  </si>
  <si>
    <t>RegClient_282</t>
  </si>
  <si>
    <t>1. login in to Reg.Client, connect the Document scanner to Machine.
2. Document scanner is connected to Reg.Client and showing in Device settings.</t>
  </si>
  <si>
    <t>Verify Document scanner details in like Serial Number, Make and Model in Device settings screen. When device is connected.</t>
  </si>
  <si>
    <t>Device settings should show document scanner details like serial number, mak and model.</t>
  </si>
  <si>
    <t>RegClient_283</t>
  </si>
  <si>
    <t>Verify Document scanner details in like Serial Number, Make and Model in Device settings screen. When device is disconnected.</t>
  </si>
  <si>
    <t>Device settings should not display document scanner details like serial number, make and model.</t>
  </si>
  <si>
    <t>RegClient_284</t>
  </si>
  <si>
    <t>1. login in to Reg.Client, connect the face camera to Machine and Devices MDS is running.
 2. Connect all biometric devices to Reg.Client machine.
 3. Click on 'Scan Now'</t>
  </si>
  <si>
    <t>Scan now' will update latest biometric &amp; document scanner details like Serial Number, Make, Port no. and Model in Device settings screen. When device MDS is running.</t>
  </si>
  <si>
    <t>Should update latest devices details with serial number, make and model.</t>
  </si>
  <si>
    <t>RegClient_285</t>
  </si>
  <si>
    <t>Home Page</t>
  </si>
  <si>
    <t>1. Launch Reg Client.
 2. Login into Reg Client</t>
  </si>
  <si>
    <t>Observe the details on the home page after login.</t>
  </si>
  <si>
    <t>The UI displays :
 Machine details, Center name and User name.</t>
  </si>
  <si>
    <t>RegClient_286</t>
  </si>
  <si>
    <t>Observe the options for Operational Tasks</t>
  </si>
  <si>
    <t>The UI displays :
 Synchronize Data, Download Pre-registration Data, Update Operator Biometrics, Application Upload, Center remap sync and Check Updates</t>
  </si>
  <si>
    <t>RegClient_287</t>
  </si>
  <si>
    <t>Observe the options for Registration Tasks</t>
  </si>
  <si>
    <t>The UI displays :
 New Registration, Update UIN, Lost UIN and Biometric correction.</t>
  </si>
  <si>
    <t>RegClient_288</t>
  </si>
  <si>
    <t>Observe the options for End Of Day processes</t>
  </si>
  <si>
    <t>The UI displays :
 Pending Approval, Notification for Re-registration and Dashboard.</t>
  </si>
  <si>
    <t>RegClient_289</t>
  </si>
  <si>
    <t>1. Create a PRID in prereg and book appointments.
 2. Login into Reg.Client and perform a Synchronize Data'</t>
  </si>
  <si>
    <t>RegClient_290</t>
  </si>
  <si>
    <t>1. Create a PRID in Pending state.
 2. Login into Reg.Client and select New registration task.
 3. Enter PRID and Fetch data for various application status.</t>
  </si>
  <si>
    <t>1. Verify the fetching of the data with the expired appointment status.</t>
  </si>
  <si>
    <t>The on demand fetch should display application of status pending, Incomplete, Booked, Expired and Cancelled applications.</t>
  </si>
  <si>
    <t>MOSIP-12576</t>
  </si>
  <si>
    <t>TC_MOSIP-12576-01</t>
  </si>
  <si>
    <t>settings access-control added in schema for REGISTRATION_SUPERVISOR</t>
  </si>
  <si>
    <t>1. Login Regclient REGISTRATION_SUPERVISOR.
 2. Verify Settings screen.</t>
  </si>
  <si>
    <t>Settings icon should be displayed.</t>
  </si>
  <si>
    <t>TC_MOSIP-12576-02</t>
  </si>
  <si>
    <t>Below icons should be displayed.
 1. Scheduled job settings.
 2. Global Config settings
 3. Device settings</t>
  </si>
  <si>
    <t>Click on settings screen</t>
  </si>
  <si>
    <t>TC_MOSIP-12576-03</t>
  </si>
  <si>
    <t xml:space="preserve">Logged into Reg.Client with supervisor roll </t>
  </si>
  <si>
    <t>Click on Scheduled job settings.</t>
  </si>
  <si>
    <t>Scheduled job settings screen should be displayed.</t>
  </si>
  <si>
    <t>TC_MOSIP-12576-04</t>
  </si>
  <si>
    <t>Configure Jobs in PERMITTED_LOCAL_CONFIG table</t>
  </si>
  <si>
    <t>Verify jobs in Scheduled job settings screen</t>
  </si>
  <si>
    <t>All configured jobs in PERMITTED_LOCAL_CONFIG table should be displayed.</t>
  </si>
  <si>
    <t>TC_MOSIP-12576-05</t>
  </si>
  <si>
    <t>Logged into Reg.Client and Slect Settings icon</t>
  </si>
  <si>
    <t>Verify job info</t>
  </si>
  <si>
    <t>Jobs should have below info.
 1. Job name
 2. Next Run
 3. Last Run
 4. Cron Expression
 5. Submit button
 6. Run now button</t>
  </si>
  <si>
    <t>TC_MOSIP-12576-06</t>
  </si>
  <si>
    <t>Click on Run now button</t>
  </si>
  <si>
    <t>Jobs run successful pop up message should be displayed.</t>
  </si>
  <si>
    <t>TC_MOSIP-12576-07</t>
  </si>
  <si>
    <t>Note pop up should be displayed as below
 Cron expression has been modified successfully, Application has to be Restarted to apply the changes.</t>
  </si>
  <si>
    <t>TC_MOSIP-12576-08</t>
  </si>
  <si>
    <t>Click on Restart Later button on Pop up message.</t>
  </si>
  <si>
    <t>Pop up should be closed.</t>
  </si>
  <si>
    <t>TC_MOSIP-12576-09</t>
  </si>
  <si>
    <t>Click on Restart Now button on Pop up message.</t>
  </si>
  <si>
    <t>Regclient application should be restarted.</t>
  </si>
  <si>
    <t>TC_MOSIP-12576-10</t>
  </si>
  <si>
    <t>Verify Last Run and Next status Run after job run successfully.</t>
  </si>
  <si>
    <t>Last Run and Next status Run should be updated.</t>
  </si>
  <si>
    <t>TC_MOSIP-12576-11</t>
  </si>
  <si>
    <t>Click on Global settings screen button</t>
  </si>
  <si>
    <t>Global settings screen should be displayed.</t>
  </si>
  <si>
    <t>TC_MOSIP-12576-12</t>
  </si>
  <si>
    <t>Search with key filter</t>
  </si>
  <si>
    <t>Searched result should be displayed.</t>
  </si>
  <si>
    <t>TC_MOSIP-12576-13</t>
  </si>
  <si>
    <t>Update Local values in permitted_local_config verify Global settings screen.</t>
  </si>
  <si>
    <t>Local values should be displayed as editable mode.</t>
  </si>
  <si>
    <t>TC_MOSIP-12576-14</t>
  </si>
  <si>
    <t>Enter Local value and click on Submit Preferences button</t>
  </si>
  <si>
    <t>Local preferences have been saved successfully, Application has to be restarted to apply changes message displayed
 Restart Now and Restart Later Buttons displayed.</t>
  </si>
  <si>
    <t>TC_MOSIP-12576-15</t>
  </si>
  <si>
    <t>Local preferences Pop up message Click on Restart Later</t>
  </si>
  <si>
    <t>TC_MOSIP-12576-16</t>
  </si>
  <si>
    <t>Local preferences Pop up message Click on Restart Now</t>
  </si>
  <si>
    <t>TC_MOSIP-12576-17</t>
  </si>
  <si>
    <t>1. Navigate to Scheduled jobs settings screen.
 2. Click on Submit button, verify pop up displayed.</t>
  </si>
  <si>
    <t>Note Pop should be displayed.</t>
  </si>
  <si>
    <t>TC_MOSIP-12576-18</t>
  </si>
  <si>
    <t>1. Navigate to Scheduled jobs settings screen.
 2. Click on Submit for any jobs, Confirmation pop up displayed as Restart Now/ Restart Later.
 3. Perform Restart Now.</t>
  </si>
  <si>
    <t>RegClient should restart and closes Reg.Client</t>
  </si>
  <si>
    <t>TC_MOSIP-12576-19</t>
  </si>
  <si>
    <t>1. Navigate to Scheduled job settings screen.
 2. Edit Corn expression for any job, Restart the application.
 3. Verify job running based on scheduled corn expression.</t>
  </si>
  <si>
    <t>Cron jobs should be executed based on schedule.</t>
  </si>
  <si>
    <t>TC_MOSIP-12576-20</t>
  </si>
  <si>
    <t>1. Navigate to Scheduled jobs settings screen.
 2. Run job, verify last run data/time after completing.</t>
  </si>
  <si>
    <t>Last Run job should be updated</t>
  </si>
  <si>
    <t>TC_MOSIP-12576-21</t>
  </si>
  <si>
    <t>1. Navigate to Scheduled job settings, add invalid cron expression.
 2. Click on Run now.</t>
  </si>
  <si>
    <t>Validation message should be displayed</t>
  </si>
  <si>
    <t>TC_MOSIP-12576-22</t>
  </si>
  <si>
    <t>1. Navigate to Scheduled jobs Settings screen.
 2. Click on Run now for Pre Registration Data Sync, verify message displayed.</t>
  </si>
  <si>
    <t>Information Message should be displayed</t>
  </si>
  <si>
    <t>TC_MOSIP-12576-23</t>
  </si>
  <si>
    <t>1. Navigate to Scheduled jobs settings.
 2. Run Pre-Registration Data sync, verify logs for run status.</t>
  </si>
  <si>
    <t>Pre Reg should be successful</t>
  </si>
  <si>
    <t>TC_MOSIP-12576-24</t>
  </si>
  <si>
    <t>1. Navigate to Scheduled jobs settings.
 2. Run User Detail/Role Setup Sync, verify logs for run status.</t>
  </si>
  <si>
    <t>User Detail/Role Setup should run successful</t>
  </si>
  <si>
    <t>TC_MOSIP-12576-25</t>
  </si>
  <si>
    <t>Verify Job Sync names added in pop up</t>
  </si>
  <si>
    <t>Job Sync name has to be added in pop up</t>
  </si>
  <si>
    <t>TC_MOSIP-12576-26</t>
  </si>
  <si>
    <t>1. Perform Submit preference
 2. Verify submit info</t>
  </si>
  <si>
    <t>Property change info is not triggered in UI/Logs</t>
  </si>
  <si>
    <t>MOSIP-10268</t>
  </si>
  <si>
    <t>TC_MOSIP-10268-01</t>
  </si>
  <si>
    <t>Configure Regclient SCHEMA as below:
 1. "order": 1,
 "name": "consent"
 2. "order": 2,
 "name": "Demographic Details",
 3. "order": 3,
 "name": "Documents"
 4. "order": 4,
 "name": "Biometric Details"
 Publish the SCHEMA and Sync in Reg client</t>
  </si>
  <si>
    <t>1. Login to RegClient
 2. Verify the order of screen displayed.</t>
  </si>
  <si>
    <t>Screen tabs displayed order should be as below:
 1. consent
 2. Demographic Details
 3. Documents upload
 4. Biometric Details.</t>
  </si>
  <si>
    <t>TC_MOSIP-10268-02</t>
  </si>
  <si>
    <t>Configure Regclient SCHEMA as below:
 1. "order": 1,
 "name": "consent"
 2. "order": 4,
 "name": "Demographic Details",
 3. "order": 2,
 "name": "Documents"
 4. "order": 3,
 "name": "Biometric Details"
 Publish the SCHEMA and Sync in Reg client</t>
  </si>
  <si>
    <t>Screen displayed should be as below:
 1. consent
 2. Documents upload
 3. Biometric Details.
 4. Demographic Details</t>
  </si>
  <si>
    <t>TC_MOSIP-10268-03</t>
  </si>
  <si>
    <t>Configure Regclient SCHEMA as below:
 1. "order": 1,
 "name": "consent"
 2. "order": 2,
 "name": "Demographic Details",
 "fields": "fullName", "dateOfBirth", "gender", "residenceStatus",
 "addressLine1","addressLine2","addressLine3",
 3. "order": 3,
 "name": "Demographic Details","referenceIdentityNumber",
 "region","province","city","zone","postalCode","phone",
 "email","parentOrGuardianName","parentOrGuardianRID",
 "parentOrGuardianUIN"
 Publish the SCHEMA and Sync in Reg client</t>
  </si>
  <si>
    <t>1. Login to RegClient
 2. Verify the Demographic Details order of screen displayed.</t>
  </si>
  <si>
    <t>Screen displayed should be as below with f:
 1. consent screen order 
 2 Demographic Details with below fields.
 "name": "Demographic Details",
 "fields": "fullName", "dateOfBirth", "gender", "residenceStatus","addressLine1","addressLine2","addressLine3",
 3. Demographic Details Screen order with below fields.
 "name": "Demographic Details","referenceIdentityNumber",
 "region","province","city","zone","postalCode","phone","email","parentOrGuardianName","parentOrGuardianRID","parentOrGuardianUIN"</t>
  </si>
  <si>
    <t>TC_MOSIP-10268-04</t>
  </si>
  <si>
    <t>Configure Regclient SCHEMA as below:
 1. "order": 1,
 "name": "consent"
 2. "order": 2,
 "name": "Demographic Details",
 3. "order": 3,
 "preRegFetchRequired": true,
 Publish the SCHEMA and Sync in Reg client</t>
  </si>
  <si>
    <t>Verify screen to display Pre Registration fetch field.</t>
  </si>
  <si>
    <t>Pre Registration fetch field should be displayed in third screen.</t>
  </si>
  <si>
    <t>TC_MOSIP-10268-05</t>
  </si>
  <si>
    <t>Verify navigation to all screens</t>
  </si>
  <si>
    <t>Navigation to screen should be allowed with the below sequence.
 1. consent
 2. Demographic Details
 3. Documents upload
 4. Biometric Details.</t>
  </si>
  <si>
    <t>TC_MOSIP-10268-06</t>
  </si>
  <si>
    <t>Verify breadcrumbs for all configured screens</t>
  </si>
  <si>
    <t>Breadcrumbs should be displayed for all configured screens.</t>
  </si>
  <si>
    <t>TC_MOSIP-10268-07</t>
  </si>
  <si>
    <t>Verify breadcrumbs enable based on mandatory fields.</t>
  </si>
  <si>
    <t>Next order breadcrumbs should enable only on entering all mandatory fields in current screen.</t>
  </si>
  <si>
    <t>TC_MOSIP-10268-08</t>
  </si>
  <si>
    <t>Verify Continue button enable based on mandatory fields.</t>
  </si>
  <si>
    <t>Continue button should be enable.</t>
  </si>
  <si>
    <t>TC_MOSIP-10268-09</t>
  </si>
  <si>
    <t>Configure Regclient SCHEMA as below:
 1. "order": 1,
 "name": "consent"
 2. "order": 2,
 "name": "Demographic Details",
 3. "order": 3,
 "name": "Documents"
 4. "order": 4,
 "name": "Biometric Details"
 Publish the SCHEMA and Sync in Reg client
 Languages selected is eng and fra</t>
  </si>
  <si>
    <t>Verify displayed languages in all configured screens.</t>
  </si>
  <si>
    <t>Languages should be displayed in all configured screens.</t>
  </si>
  <si>
    <t>TC_MOSIP-10268-10</t>
  </si>
  <si>
    <t>Configure Regclient SCHEMA as below:
 1. "order": 1,
 "name": "consent"
 2. "order": 2,
 "name": "Demographic Details",
 3. "order": 3,
 "name": "Documents"
 4. "order": 4,
 "name": "Biometric Details"
 "fieldLayout": null
 Publish the SCHEMA and Sync in Reg client
 Languages selected is eng and fra</t>
  </si>
  <si>
    <t>Verify biometric details screen</t>
  </si>
  <si>
    <t>Biometric icons should be displayed Horizontal</t>
  </si>
  <si>
    <t>MOSIP-12152</t>
  </si>
  <si>
    <t>TC_MOSIP-12152-1</t>
  </si>
  <si>
    <t>1. Configure Mandatory - English Optional - ara and fra
 minimum -2 and maximum -3
 2. Selected Language -Eng,Fra
 3. Translator - OFF</t>
  </si>
  <si>
    <t>Verify Select lang pop up</t>
  </si>
  <si>
    <t>1. Pop up text and buttons should be in English
 2. Language check box:
 Eng, Ara and fra</t>
  </si>
  <si>
    <t>TC_MOSIP-12152-2</t>
  </si>
  <si>
    <t>1. Select Only one language
 2. Verify Submit button</t>
  </si>
  <si>
    <t>Submit button should not be enabled.</t>
  </si>
  <si>
    <t>TC_MOSIP-12152-3</t>
  </si>
  <si>
    <t>1. Select two language
 2. Verify Submit button</t>
  </si>
  <si>
    <t>Submit button should be enabled.</t>
  </si>
  <si>
    <t>TC_MOSIP-12152-4</t>
  </si>
  <si>
    <t>Verify Consent screen language.</t>
  </si>
  <si>
    <t>Consent screen should displayed both English and Arabic</t>
  </si>
  <si>
    <t>TC_MOSIP-12152-5</t>
  </si>
  <si>
    <t>Verify Consent screen label.</t>
  </si>
  <si>
    <t>Consent screen label should displayed both English and Arabic</t>
  </si>
  <si>
    <t>TC_MOSIP-12152-6</t>
  </si>
  <si>
    <t>Verify Breadcrumbs label displayed language.</t>
  </si>
  <si>
    <t>Breadcrumbs label should be displayed in English language.</t>
  </si>
  <si>
    <t>TC_MOSIP-12152-7</t>
  </si>
  <si>
    <t>Verify Select Demographic details screen</t>
  </si>
  <si>
    <t>1. All field labels should be displayed in both (first)eng/ and (second)fra.
 3. Drop down data should be fetched from master data.</t>
  </si>
  <si>
    <t>TC_MOSIP-12152-8</t>
  </si>
  <si>
    <t>Verify Upload Document screen</t>
  </si>
  <si>
    <t>All fields labels and text should be in eng/fra.</t>
  </si>
  <si>
    <t>TC_MOSIP-12152-9</t>
  </si>
  <si>
    <t>Verify Biometric Details screen</t>
  </si>
  <si>
    <t>TC_MOSIP-12152-10</t>
  </si>
  <si>
    <t>1. . Configure Mandatory - English Optional - ara and fra
 minimum -2 and maximum -3
 2. Selected Language -Eng,Fra
 3. Translator - ON</t>
  </si>
  <si>
    <t>Verify Registration preview screen</t>
  </si>
  <si>
    <t>1. Preview text data should be displayed in eng and fra.
 2. Consent text should be displayed in eng.</t>
  </si>
  <si>
    <t>TC_MOSIP-12152-11</t>
  </si>
  <si>
    <t>Verify Authentication screen</t>
  </si>
  <si>
    <t>Auth labels should be displayed in eng</t>
  </si>
  <si>
    <t>TC_MOSIP-12152-12</t>
  </si>
  <si>
    <t>Verify Registration Acknowledgement</t>
  </si>
  <si>
    <t>Registration acknowledgement should be displayed in both eng and fra.</t>
  </si>
  <si>
    <t>TC_MOSIP-12152-13</t>
  </si>
  <si>
    <t>Verify Pending approval screen</t>
  </si>
  <si>
    <t>Pending approval should be displayed in both eng and fra.</t>
  </si>
  <si>
    <t>TC_MOSIP-12152-14</t>
  </si>
  <si>
    <t>TC_MOSIP-12152-15</t>
  </si>
  <si>
    <t>TC_MOSIP-12152-16</t>
  </si>
  <si>
    <t>Verify notification email language</t>
  </si>
  <si>
    <t>Notification Email should be in user selected language Eng and Fra.</t>
  </si>
  <si>
    <t>TC_MOSIP-12152-17</t>
  </si>
  <si>
    <t>TC_MOSIP-12152-18</t>
  </si>
  <si>
    <t>1. All field labels should be displayed in both eng and fra.
 2. Entered text should translate in fra language.
 3. Drop down data should be fetched from master data.</t>
  </si>
  <si>
    <t>TC_MOSIP-12152-19</t>
  </si>
  <si>
    <t>1. Configure Mandatory languages =ara,fra
 Optional-languages=Null
 2. min-languages.count=2 max-languages.count=2</t>
  </si>
  <si>
    <t>All fields labels and text should be in eng/Ara.</t>
  </si>
  <si>
    <t>TC_MOSIP-12152-20</t>
  </si>
  <si>
    <t>TC_MOSIP-12152-21</t>
  </si>
  <si>
    <t>1. Preview text data should be displayed in eng and Ara.
 2. Consent text should be displayed in eng.</t>
  </si>
  <si>
    <t>TC_MOSIP-12152-22</t>
  </si>
  <si>
    <t>Verify Authentication
 screen</t>
  </si>
  <si>
    <t>TC_MOSIP-12152-23</t>
  </si>
  <si>
    <t>Registration acknowledgement should be displayed in both eng and ara.</t>
  </si>
  <si>
    <t>TC_MOSIP-12152-24</t>
  </si>
  <si>
    <t>Pending approval should be displayed in both eng and ara.</t>
  </si>
  <si>
    <t>TC_MOSIP-12152-25</t>
  </si>
  <si>
    <t>Notification Email should be in user selected language Eng and Ara.</t>
  </si>
  <si>
    <t>TC_MOSIP-12152-26</t>
  </si>
  <si>
    <t>1. Navigate to Demographic details screen.
 2. Click on English keypad and type data, next click on english language keypad.
 3. Enter data scroll down again click on english keypad.
 4. Verify keypad added on the screen.</t>
  </si>
  <si>
    <t>Multiple keypads should not be allowed to open</t>
  </si>
  <si>
    <t>TC_MOSIP-12152-27</t>
  </si>
  <si>
    <t>1. Navigate to demographic details screen, click on keypad.
 2. Enter all mandatory fields and navigate to upload screen [keypad is not closed]
 3. Verify the keypad.</t>
  </si>
  <si>
    <t>Keypad should not be moved out of screen</t>
  </si>
  <si>
    <t>TC_MOSIP-12152-28</t>
  </si>
  <si>
    <t>1. Configure Mandatory languages=eng
 Optional-languages=
 2. min-languages.count=1 max-languages.count=1</t>
  </si>
  <si>
    <t>1. Navigate to demographic details screen with language selected english and ara
 2. Verify field labels.</t>
  </si>
  <si>
    <t>Pre-Registration ID label should be displayed in selected language.</t>
  </si>
  <si>
    <t>TC_MOSIP-12152-29</t>
  </si>
  <si>
    <t>1. Access RegClient application, login language is English.
 2. Login to application, perform any operation Settings/Sync.
 3. Logout and change the language to ara.</t>
  </si>
  <si>
    <t>Changing language should be possible.</t>
  </si>
  <si>
    <t>TC_MOSIP-12152-30</t>
  </si>
  <si>
    <t>1. Access Regclient and click on language drop down.
 2. Verify drop down entries.</t>
  </si>
  <si>
    <t>Drop down entry should not contain duplicates</t>
  </si>
  <si>
    <t>TC_MOSIP-12152-31</t>
  </si>
  <si>
    <t>1. Login Regclient with Ara language.
 2. Verify timestamp displayed.</t>
  </si>
  <si>
    <t>Sync timestamp[Month/day] should be translated in selected login language</t>
  </si>
  <si>
    <t>TC_MOSIP-12152-32</t>
  </si>
  <si>
    <t>1. Login language and selected language is Arabic.
 2. Verify Home screen Arabic language.</t>
  </si>
  <si>
    <t>Invalid data for Version label in Arabic language</t>
  </si>
  <si>
    <t>TC_MOSIP-12152-33</t>
  </si>
  <si>
    <t>1. Add hindi in configuration.
 2. Verify select language</t>
  </si>
  <si>
    <t>Hindi should be added in select language pop up</t>
  </si>
  <si>
    <t>MOSIP-8592</t>
  </si>
  <si>
    <t>TC_MOSIP-8592-01</t>
  </si>
  <si>
    <t>1. Download reg-client.zip file and extract the file.
 2. Launch reg-client</t>
  </si>
  <si>
    <t>Observe the new folders created.</t>
  </si>
  <si>
    <t>Observed that "logs" folder is created with "registration.log" file is created with logs.</t>
  </si>
  <si>
    <t>TC_MOSIP-8592-02</t>
  </si>
  <si>
    <t>Verify the logback.xml file in regclient</t>
  </si>
  <si>
    <t>Observed that the configuration will be as per the logback.xml file</t>
  </si>
  <si>
    <t>TC_MOSIP-8592-03</t>
  </si>
  <si>
    <t>1. Download reg-client.zip file and extract the file.
 2. Launch reg-client.
 3. Delete the logs folder
 4. Re-launch reg-client.</t>
  </si>
  <si>
    <t>Verify the folder after launching reg-client.</t>
  </si>
  <si>
    <t>Observed that the folder is created again.</t>
  </si>
  <si>
    <t>TC_MOSIP-8592-04</t>
  </si>
  <si>
    <t>1. Verify the logback.xml file in git</t>
  </si>
  <si>
    <t>1. Select develop branch
 2. goto : registration-client/registration/registration-services/src/main/resources/logback.xml</t>
  </si>
  <si>
    <t>Observed the logback.xml file is present with configurations.</t>
  </si>
  <si>
    <t>MOSIP-13087</t>
  </si>
  <si>
    <t>TC_MOSIP-13087-01</t>
  </si>
  <si>
    <t>1. Packet uploaded to MinIO
 2. RID zip file added to packet-manager in Regclient.
 3. Packet processed status - Processing
 4. Configured Registration Packet Deletion Job=O</t>
  </si>
  <si>
    <t>Verify the packet in Packet manager under Regclient folder.</t>
  </si>
  <si>
    <t>Packet should not be deleted.</t>
  </si>
  <si>
    <t>TC_MOSIP-13087-02</t>
  </si>
  <si>
    <t>1. Packet uploaded to MinIO
 2. RID zip file added to packet-manager in Regclient.
 3. Packet processed status - Processed
 4. Configured Registration Packet Deletion Job=O</t>
  </si>
  <si>
    <t>Packet should be deleted.</t>
  </si>
  <si>
    <t>TC_MOSIP-13087-03</t>
  </si>
  <si>
    <t>1. Packet uploaded to MinIO
 2. RID zip file added to packet-manager in Regclient.
 3. Packet processed status - Processing
 4. Configured Registration Packet Deletion Job=1</t>
  </si>
  <si>
    <t>Verify the packet created in last one day.</t>
  </si>
  <si>
    <t>TC_MOSIP-13087-04</t>
  </si>
  <si>
    <t>TC_MOSIP-13087-05</t>
  </si>
  <si>
    <t>1. Packet uploaded to MinIO
 2. RID zip file added to packet-manager in Regclient.
 3. Packet processed status - Processing
 4. Run batch job</t>
  </si>
  <si>
    <t>TC_MOSIP-13087-06</t>
  </si>
  <si>
    <t>1. Packet uploaded to MinIO
 2. RID zip file added to packet-manager in Regclient.
 3. Packet processed status - Processed.
 4. Run batch job</t>
  </si>
  <si>
    <t>MOSIP-12462</t>
  </si>
  <si>
    <t xml:space="preserve">CSS and Icons configuration
</t>
  </si>
  <si>
    <t>TC_MOSIP-12462-01</t>
  </si>
  <si>
    <t>CSS and Icons configuration</t>
  </si>
  <si>
    <t>1. Configure registration-mz.properties below property
 mosip.registration.css.theme=pink
 2. Regclient, perform sync operation</t>
  </si>
  <si>
    <t>Restart Regclient and verify theme</t>
  </si>
  <si>
    <t>Pink theme should be displayed.</t>
  </si>
  <si>
    <t>TC_MOSIP-12462-02</t>
  </si>
  <si>
    <t>1. Configure registration-mz.properties below property
 mosip.registration.css.theme=pink
 2. Regclient, perform sync operation.
 3. Pink theme applied on RegClient.</t>
  </si>
  <si>
    <t>Verify Home screen all labels and screen.</t>
  </si>
  <si>
    <t>Labels and screen should be displayed in pink color.</t>
  </si>
  <si>
    <t>TC_MOSIP-12462-03</t>
  </si>
  <si>
    <t>Verify registration flows.</t>
  </si>
  <si>
    <t>Registration flow should be displayed in pink theme.</t>
  </si>
  <si>
    <t>MOSIP-7798</t>
  </si>
  <si>
    <t>Deactivation/Re-Activation Scenarios in Registration Client</t>
  </si>
  <si>
    <t>TC_MOSIP-7798-01</t>
  </si>
  <si>
    <t>Deactivation/Reactivation Scenarios in Registration Client</t>
  </si>
  <si>
    <t>1. User not logged into RegClient application.
 2. RegClient is in Online Mode.
 3. Admin has Deactivated Center</t>
  </si>
  <si>
    <t>1. User enter login credentials
 2. Click on submit button.</t>
  </si>
  <si>
    <t>User should be allowed to log in.</t>
  </si>
  <si>
    <t>TC_MOSIP-7798-02</t>
  </si>
  <si>
    <t>User logged into RegClient application with Deactivated Center</t>
  </si>
  <si>
    <t>After Sync, verify Registration tasks - New Registration/Update UIN/Lost UIN/Biometric Correction</t>
  </si>
  <si>
    <t>User should not be allowed to do any Registration tasks -New Registration/Update UIN/Lost UIN/Biometric Correction .</t>
  </si>
  <si>
    <t>TC_MOSIP-7798-03</t>
  </si>
  <si>
    <t>After Sync, verify End of Day Process
 such as Pending Approvals/Notification for Re-registration</t>
  </si>
  <si>
    <t>User should be allowed to do End of Day Process - Pending Approval (Approve/Reject).</t>
  </si>
  <si>
    <t>TC_MOSIP-7798-04</t>
  </si>
  <si>
    <t>Verify Reg.Client, Upload- pending packets</t>
  </si>
  <si>
    <t>User should be able to Upload pending packets</t>
  </si>
  <si>
    <t>TC_MOSIP-7798-05</t>
  </si>
  <si>
    <t>User should be allowed to Logout.</t>
  </si>
  <si>
    <t>TC_MOSIP-7798-06</t>
  </si>
  <si>
    <t>1. User not logged into RegClient application.
 2. Admin Reactivated Center
 3. RegClient is in Online Mode.</t>
  </si>
  <si>
    <t>User should log in to Reg.Client and allow operations based on user role (operator/supervisor)</t>
  </si>
  <si>
    <t>TC_MOSIP-7798-07</t>
  </si>
  <si>
    <t>1. User not logged into RegClient application.
 2. RegClient is in Online Mode.
 3. Admin has Deactivated Machine</t>
  </si>
  <si>
    <t>TC_MOSIP-7798-08</t>
  </si>
  <si>
    <t>User logged into RegClient application with Deactivated Machine</t>
  </si>
  <si>
    <t>After Sync, Verify Registration tasks, such as New Registration/Update UIN/Lost UIN/Biometric Correction</t>
  </si>
  <si>
    <t>TC_MOSIP-7798-09</t>
  </si>
  <si>
    <t>Verify End of Day Process such as Pending Approvals/Notification for Re-registration</t>
  </si>
  <si>
    <t>TC_MOSIP-7798-10</t>
  </si>
  <si>
    <t>User should be able to upload pending packets</t>
  </si>
  <si>
    <t>TC_MOSIP-7798-11</t>
  </si>
  <si>
    <t>TC_MOSIP-7798-12</t>
  </si>
  <si>
    <t>1. User logged into RegClient application(With active machine).
 2. RegClient is in Online Mode.
 3. Admin has Deactivated machine</t>
  </si>
  <si>
    <t>1. Machine is deactivated and User is logged in.
 2. Verify Registration tasks such as New Registration/Update UIN/Lost UIN/Biometric Correction</t>
  </si>
  <si>
    <t>User should get an error message "Machine/Center is Inactive"</t>
  </si>
  <si>
    <t>TC_MOSIP-7798-13</t>
  </si>
  <si>
    <t>1. User logged into RegClient application.
 2. Admin has Deactivated machine</t>
  </si>
  <si>
    <t>1. Machine is deactivated and User is logged in.
 2. Verify EOD-Pending Approval Re-Register and Packet Upload</t>
  </si>
  <si>
    <t>User should allow to do EoD-Pending Approval</t>
  </si>
  <si>
    <t>TC_MOSIP-7798-14</t>
  </si>
  <si>
    <t>1. Machine is deactivated and User is logged in.
 2. Verify Packet Upload</t>
  </si>
  <si>
    <t>User should allow to do Packet uploading</t>
  </si>
  <si>
    <t>TC_MOSIP-7798-15</t>
  </si>
  <si>
    <t>1. Machine is deactivated and User is logged in.
 2. User logged out from Reg.Client</t>
  </si>
  <si>
    <t>User should logout from Reg.Client</t>
  </si>
  <si>
    <t>TC_MOSIP-7798-16</t>
  </si>
  <si>
    <t>1. Admin has Activated the Machine.
 2. User logged into RegClient application.</t>
  </si>
  <si>
    <t>TC_MOSIP-7798-17</t>
  </si>
  <si>
    <t>1. User not logged into RegClient application.
 2. RegClient is in Online Mode.
 3. Admin has Deactivated user</t>
  </si>
  <si>
    <t>user should not be allowed to log in.</t>
  </si>
  <si>
    <t>TC_MOSIP-7798-18</t>
  </si>
  <si>
    <t>1. User not logged into RegClient application.
 2. RegClient is in Offline Mode.
 3. Admin has Deactivated user</t>
  </si>
  <si>
    <t>user should be allowed to log in.</t>
  </si>
  <si>
    <t>TC_MOSIP-7798-19</t>
  </si>
  <si>
    <t>1. User logged into RegClient application.
 2. RegClient is in Online Mode.</t>
  </si>
  <si>
    <t>1. Admin has Deactivated user.
 2. Verify user can perform all activities.</t>
  </si>
  <si>
    <t>User is allowed to perform all activity</t>
  </si>
  <si>
    <t>TC_MOSIP-7798-20</t>
  </si>
  <si>
    <t>1. User logged into RegClient application.
 2. RegClient is in Online Mode.
 3. Admin has Deactivated user</t>
  </si>
  <si>
    <t>1. User has done Sync operation.
 2. Verify User status post Sync operation.</t>
  </si>
  <si>
    <t>User should be prompted message as "Please login again, User account found Inactive Or Deleted or mapped to another center".</t>
  </si>
  <si>
    <t>TC_MOSIP-7798-21</t>
  </si>
  <si>
    <t>1. User logged into RegClient application.
 2. RegClient is in Online Mode.
 3. Pop up message displayed as User User is deactivated/Remapped.</t>
  </si>
  <si>
    <t>1. Close the Pop up message
 2. Verify User allowed to stay as Logged in.</t>
  </si>
  <si>
    <t>User should be forced Logout of application.</t>
  </si>
  <si>
    <t>TC_MOSIP-7798-22</t>
  </si>
  <si>
    <t>1. User logged into RegClient application.
 2. RegClient is in Online Mode.
 3. User deactivated and logged out of the application.</t>
  </si>
  <si>
    <t>User tried to login with existing credentials.</t>
  </si>
  <si>
    <t>Pop up message should be displayed as "Username not mapped to this center"</t>
  </si>
  <si>
    <t>TC_MOSIP-7798-23</t>
  </si>
  <si>
    <t>1. Create a packet by deactivated user.
 2. Verify the packet transaction in RegProc</t>
  </si>
  <si>
    <t>User should get message "Please login again, User account found Inactive/Deleted/mapped to another center" or
 Server should be sent for investigation in the registration processor</t>
  </si>
  <si>
    <t>MOSIP-13115</t>
  </si>
  <si>
    <t>TC_MOSIP-13115-01</t>
  </si>
  <si>
    <t>New Registration</t>
  </si>
  <si>
    <t>1. Registration_New Flow.
 2. Demographic details screen age &lt; 5
 3. Configure registration-mz.properties mosip.regproc.packet.classifier.tagging.agegroup.ranges={'INFANT':'0- 5','MINOR':'6-17','ADULT':'18-200'}</t>
  </si>
  <si>
    <t>Verify introducer/Guardian added for Infant applicant 
 Enter introducer name and RID/UIN</t>
  </si>
  <si>
    <t>Introducer/Guardian should be added for infant applicant.
 Introducer/Guardian details should be captured as mentioned below: 
 1. Name 
 2. RID/UIN</t>
  </si>
  <si>
    <t>TC_MOSIP-13115-02</t>
  </si>
  <si>
    <t>1. Registration_New Flow.
 2. Demographic details screen age &lt; 5
 3. Introducer/Guardian details captured.</t>
  </si>
  <si>
    <t>Verify biometric taken for Infant applicant.</t>
  </si>
  <si>
    <t>For Infant, only Face should be captured.</t>
  </si>
  <si>
    <t>TC_MOSIP-13115-03</t>
  </si>
  <si>
    <t>1. Registration_New Flow.
 2. Demographic details screen age &lt; 5
 3. Introducer/Guardian details captured.
 4. Only face captured in biometric screen.</t>
  </si>
  <si>
    <t>Verify packet processing in RegProc.</t>
  </si>
  <si>
    <t>Packet should go for Introducer Validation stage.</t>
  </si>
  <si>
    <t>TC_MOSIP-13115-04</t>
  </si>
  <si>
    <t>1. Registration_New Flow.
 2. Demographic details screen age &lt; 5
 3. Introducer/Guardian details captured.
 4. Only face captured in biometric screen.
 5. Introducer is valid.</t>
  </si>
  <si>
    <t>Verify introducer authentication in Introducer Validation stage..</t>
  </si>
  <si>
    <t>1. Introducer Validation should be success.
 2. Packet should process to next stage.</t>
  </si>
  <si>
    <t>TC_MOSIP-13115-05</t>
  </si>
  <si>
    <t>1. Registration_New Flow.
 2. Demographic details screen age &lt; 5
 3. Introducer/Guardian details captured.
 4. Only face captured in biometric screen.
 5. Introducer is Invalid/Not available.</t>
  </si>
  <si>
    <t>1. Introducer Validation should be Failed.
 2. Packet should not process to next stage.</t>
  </si>
  <si>
    <t>TC_MOSIP-13115-06</t>
  </si>
  <si>
    <t>1. Registration_New Flow.
 2. Demographic details screen age &lt; 5
 3. Introducer/Guardian details captured.
 4. Only face captured in biometric screen.
 5. Introducer is valid.
 6. Policy defined for 'Face', 'Finger' and 'IRIS'</t>
  </si>
  <si>
    <t>Verify Bio dedupe stages.</t>
  </si>
  <si>
    <t>Bio dedupe stages should process only with Face.</t>
  </si>
  <si>
    <t>TC_MOSIP-13115-07</t>
  </si>
  <si>
    <t>1. Registration_New Flow.
 2. Demographic details screen age &lt; 5
 3. Introducer/Guardian details captured.
 4. Only face captured in biometric screen.
 5. Introducer is valid.
 6. Policy defined for 'Finger' and 'IRIS'
 7. Packet processed for UIN generation stage.</t>
  </si>
  <si>
    <t>Should skip Bio dedupe stage, because packet does not have FP and Iris</t>
  </si>
  <si>
    <t>TC_MOSIP-13115-08</t>
  </si>
  <si>
    <t>Verify packet processed for UIN generation stage.</t>
  </si>
  <si>
    <t>Packet should be processed for UIN generation stage</t>
  </si>
  <si>
    <t>TC_MOSIP-13115-09</t>
  </si>
  <si>
    <t>1. Registration_New Flow.
 2. Demographic details screen age &lt; 5
 3. Introducer/Guardian details captured.
 4. Only face captured in biometric screen.
 5. Introducer is valid.
 6. Policy defined for 'Face', 'Finger' and 'IRIS'
 7. Packet processed for UIN generation stage.</t>
  </si>
  <si>
    <t>Verify Infant applicant details sent to ID Repository.</t>
  </si>
  <si>
    <t>Infant applicant details should be sent to ID Repository.</t>
  </si>
  <si>
    <t>TC_MOSIP-13115-10</t>
  </si>
  <si>
    <t>1. Registration_New Flow.
 2. Demographic details screen age &lt; 5
 3. Introducer/Guardian details captured.
 4. Only face captured in biometric screen.
 5. Introducer is valid.
 6. Policy defined for 'Face', 'Finger' and 'IRIS'
 7. Packet processed for UIN generation stage.
 8. As part of the ID schema 'Introducer details' as Avoidance</t>
  </si>
  <si>
    <t>Verify Introducer details sent to ID Repository.</t>
  </si>
  <si>
    <t>Introducer details should not be sent to ID Repository</t>
  </si>
  <si>
    <t>TC_MOSIP-13115-11</t>
  </si>
  <si>
    <t>1. Registration_New Flow.
 2. Demographic details screen age 6 (minor age group 6-17 years)</t>
  </si>
  <si>
    <t>Verify introducer/Guardian added for minor applicant.</t>
  </si>
  <si>
    <t>introducer/Guardian should be added for Minor applicant.</t>
  </si>
  <si>
    <t>TC_MOSIP-13115-12</t>
  </si>
  <si>
    <t>1. Registration_New Flow.
 2. Demographic details screen age 6</t>
  </si>
  <si>
    <t>Verify introducer/Guardian details to capture.</t>
  </si>
  <si>
    <t>introducer/Guardian details should be captured as mentioned below:
 1. Name
 2. RID/UIN</t>
  </si>
  <si>
    <t>TC_MOSIP-13115-13</t>
  </si>
  <si>
    <t>1. Registration_New Flow.
 2. Demographic details screen age 6
 3. Introducer/Guardian details captured.</t>
  </si>
  <si>
    <t>Verify biometric taken for minor applicant.</t>
  </si>
  <si>
    <t>All biometrics captured for Minor applicant.</t>
  </si>
  <si>
    <t>TC_MOSIP-13115-14</t>
  </si>
  <si>
    <t>1. Registration_New Flow.
 2. Demographic details screen age 6
 3. Introducer/Guardian details captured.
 4. Only face captured in biometric screen.</t>
  </si>
  <si>
    <t>TC_MOSIP-13115-15</t>
  </si>
  <si>
    <t>1. Registration_New Flow.
 2. Demographic details screen age 6
 3. Introducer/Guardian details captured.
 4. Only face captured in biometric screen.
 5. Introducer is valid.</t>
  </si>
  <si>
    <t>TC_MOSIP-13115-16</t>
  </si>
  <si>
    <t>1. Registration_New Flow.
 2. Demographic details screen age 6
 3. Introducer/Guardian details captured.
 4. Only face captured in biometric screen.
 5. Introducer is Invalid/Not available.</t>
  </si>
  <si>
    <t>TC_MOSIP-13115-17</t>
  </si>
  <si>
    <t>1. Registration_New Flow.
 2. Demographic details screen age 6
 3. Introducer/Guardian details captured.
 4. Only face captured in biometric screen.
 5. Introducer is valid.
 6. Policy defined for 'Face', 'Finger' and 'IRIS'</t>
  </si>
  <si>
    <t>Bio dedupe stages should process with all biometrics as policy defined.</t>
  </si>
  <si>
    <t>TC_MOSIP-13115-18</t>
  </si>
  <si>
    <t>TC_MOSIP-13115-19</t>
  </si>
  <si>
    <t>1. Registration_New Flow.
 2. Demographic details screen age 6
 3. Introducer/Guardian details captured.
 4. Only face captured in biometric screen.
 5. Introducer is valid.
 6. Policy defined for 'Face', 'Finger' and 'IRIS'
 7. Packet processed for UIN generation stage.</t>
  </si>
  <si>
    <t>Verify minor applicant details sent to ID Repository.</t>
  </si>
  <si>
    <t>Minor applicant details should be sent to ID Repository.</t>
  </si>
  <si>
    <t>TC_MOSIP-13115-20</t>
  </si>
  <si>
    <t>TC_MOSIP-13115-21</t>
  </si>
  <si>
    <t>1. Registration_New Flow.
 2. Demographic details screen age 6 - 7 years
 3. Minor applicant</t>
  </si>
  <si>
    <t>Verify introducer/Guardian added for Infant applicant.</t>
  </si>
  <si>
    <t>TC_MOSIP-13115-22</t>
  </si>
  <si>
    <t>TC_MOSIP-13115-23</t>
  </si>
  <si>
    <t>1. Registration_New Flow.
 2. Demographic details screen age 12 years
 3. Minor applicant</t>
  </si>
  <si>
    <t>Verify minor packet with demographics and biometrics.
 With introducer biometrics and without demographics(name and UIN/RID) and documents.</t>
  </si>
  <si>
    <t>The application will be created successfully but the packet will fail in Reg-Proc.</t>
  </si>
  <si>
    <t>TC_MOSIP-13115-24</t>
  </si>
  <si>
    <t>1. Registration_New Flow.
 2. Demographic details screen age &gt;18
 3. Adult applicant.</t>
  </si>
  <si>
    <t>Verify introducer/Guardian added for Adult applicant.</t>
  </si>
  <si>
    <t>introducer/Guardian should not be added for Adult applicant.</t>
  </si>
  <si>
    <t>TC_MOSIP-13115-25</t>
  </si>
  <si>
    <t>Verify biometric taken for Adult applicant.</t>
  </si>
  <si>
    <t>All biometrics captured for Adult applicant.</t>
  </si>
  <si>
    <t>TC_MOSIP-13115-26</t>
  </si>
  <si>
    <t>Packet should not go for Introducer Validation stage.</t>
  </si>
  <si>
    <t>TC_MOSIP-13115-27</t>
  </si>
  <si>
    <t>1. Registration_New Flow.
 2. Demographic details screen age &gt;18
 3. All biometrics captured in biometric screen.
 4. Policy defined for all biometrics.</t>
  </si>
  <si>
    <t>TC_MOSIP-13115-28</t>
  </si>
  <si>
    <t>TC_MOSIP-13115-29</t>
  </si>
  <si>
    <t>1. Registration_New Flow.
 2. Demographic details screen age &gt;18
 3. All biometrics captured in biometric screen.
 4. Policy defined for all biometrics.
 7. Packet processed for UIN generation stage.</t>
  </si>
  <si>
    <t>Verify Adult applicant details sent to ID Repository.</t>
  </si>
  <si>
    <t>Adult applicant details should be sent to ID Repository.</t>
  </si>
  <si>
    <t>TC_MOSIP-13115-30</t>
  </si>
  <si>
    <t>1. Registration_Update Flow.
 2. Select DOB, Biometric and Guardian checkbox.
 3. DOB added is 4</t>
  </si>
  <si>
    <t>Verify below details
 1.introducer/Guardian biometric details.
 2. Infant Applicant biometric required.</t>
  </si>
  <si>
    <t>Verify below details
 1.introducer/Guardian all biometric should be captured..
 2. Infant Applicant only Face should be captured for biometric.</t>
  </si>
  <si>
    <t>TC_MOSIP-13115-31</t>
  </si>
  <si>
    <t>1. Registration_Update Flow.
 2. Select DOB, Biometric and Guardian checkbox.
 3. DOB added is 5</t>
  </si>
  <si>
    <t>TC_MOSIP-13115-32</t>
  </si>
  <si>
    <t>1. Registration_Update Flow.
 2. Select DOB, Biometric and Guardian checkbox.
 3. DOB added is 9</t>
  </si>
  <si>
    <t>Verify below details
 1.introducer/Guardian all biometric should be captured..
 2. Minor Applicant all biometrics should be captured</t>
  </si>
  <si>
    <t>TC_MOSIP-13115-33</t>
  </si>
  <si>
    <t>1. Registration_Update Flow.
 2. Demographic details screen age 4
 3. Introducer/Guardian details captured.
 4. Only face captured in biometric screen.
 5. Introducer is Invalid/Not available.</t>
  </si>
  <si>
    <t>TC_MOSIP-13115-34</t>
  </si>
  <si>
    <t>1. Modify UI Spec to take introducer for adult application also and publish the changes.
 2. Demographic details screen age &gt;18
 3. Adult applicant.</t>
  </si>
  <si>
    <t>1. Introducer is requested for the adult.
 2. Verify the introducer.
 3. Verify the packet upload in Reg Proc.</t>
  </si>
  <si>
    <t>Packet should be processed successfully by verifying the introducer.</t>
  </si>
  <si>
    <t>TC_MOSIP-13115-35</t>
  </si>
  <si>
    <t>1. Introducer is requested for the adult and enter invalid introducer details.
 2. Verify adult packet with invalid introducer.</t>
  </si>
  <si>
    <t>Packet process should fail.</t>
  </si>
  <si>
    <t>TC_MOSIP-13115-36</t>
  </si>
  <si>
    <t>1. Modify UI Spec to not take any document for adult application and publish the changes.
 2. Demographic details screen age &gt;18
 3. Adult applicant.</t>
  </si>
  <si>
    <t>1. The application is created successfully for the adult.
 2. Verify the packet (with out the documents) upload in Reg-Proc</t>
  </si>
  <si>
    <t>Reg.Client creates an application as the documents are not required in Reg.Client, but Reg-Proc requires the documents so the packet process should fail.</t>
  </si>
  <si>
    <t>RegClient_291</t>
  </si>
  <si>
    <t>New Registration with PRID</t>
  </si>
  <si>
    <t>1. Generate a PRID with infant age.
 2. Login into Reg.Client in online mode
 3. Try to fetch the data with PRID</t>
  </si>
  <si>
    <t>1. Enter PRID and verify the demographic details and the documents uploaded.</t>
  </si>
  <si>
    <t>Should display correct demographic details with the respective to PRID.
 For Infant there should be an additional document Proof of Relation.</t>
  </si>
  <si>
    <t>RegClient_292</t>
  </si>
  <si>
    <t>1. Generate a PRID with minor age.
 2. Login into Reg.Client in online mode
 3. Try to fetch the data with PRID</t>
  </si>
  <si>
    <t>Should display correct demographic details and documents with the respective to PRID.</t>
  </si>
  <si>
    <t>RegClient_293</t>
  </si>
  <si>
    <t>1. Generate a PRID with adult age.
 2. Login into Reg.Client in online mode
 3. Try to fetch the data with PRID</t>
  </si>
  <si>
    <t>RegClient_294</t>
  </si>
  <si>
    <t>1. Generate a PRID in Booked status
 2. Login into Reg.Client in online mode
 3. Try to fetch the data with PRID</t>
  </si>
  <si>
    <t>1. Enter PRID and verify the demographic details and document uploaded.</t>
  </si>
  <si>
    <t>Should display correct demographic details and documents uploaded with respective to PRID.</t>
  </si>
  <si>
    <t>RegClient_295</t>
  </si>
  <si>
    <t>1. Generate a PRID in Pending status
 2. Login into Reg.Client in online mode
 3. Try to fetch the data with PRID</t>
  </si>
  <si>
    <t>1. Enter PRID and verify the demographic details and enter any required.
 2. Verify documents uploaded.</t>
  </si>
  <si>
    <t>RegClient_296</t>
  </si>
  <si>
    <t>1. Generate a PRID in Incomplet status
 2. Login into Reg.Client in online mode
 3. Try to fetch the data with PRID</t>
  </si>
  <si>
    <t>1. Enter PRID and verify the demographic details and enter any required.
 2. Upload required documents.</t>
  </si>
  <si>
    <t>Should display correct demographic details uploaded with the respective to PRID.</t>
  </si>
  <si>
    <t>RegClient_297</t>
  </si>
  <si>
    <t>1. Generate a PRID in pre-reg and Cancel
 2. Login into Reg.Client in online mode
 3. Try to fetch the data with PRID</t>
  </si>
  <si>
    <t>RegClient_298</t>
  </si>
  <si>
    <t>1. Generate a PRID in pre-reg and wait till it changes to Expired status.
 2. Login into Reg.Client in online mode
 3. Try to fetch the data with PRID</t>
  </si>
  <si>
    <t>RegClient_299</t>
  </si>
  <si>
    <t>New Registrations With exception</t>
  </si>
  <si>
    <t>1. Login into RegClient application.
 2 Create and upload a new adult packet with fingeprint or Iris as exception.</t>
  </si>
  <si>
    <t>Verify the uploaded new adult packet with fingeprint or Iris as exception.
 Operator and reviewer auths are successful.</t>
  </si>
  <si>
    <t>Packets should be processed successfully.</t>
  </si>
  <si>
    <t>RegClient_300</t>
  </si>
  <si>
    <t>1. Login into RegClient application.
 2 Create and upload a new Infant packet with fingeprint or Iris as exception for parent.</t>
  </si>
  <si>
    <t>Verify the uploaded new Infant packet with fingeprint as exception for Parents.
 Operator and reviewer auths are successful.</t>
  </si>
  <si>
    <t>RegClient_301</t>
  </si>
  <si>
    <t>1. Login into RegClient application.
 2 Create and upload a new minor packet with fingeprint or Iris as exception.</t>
  </si>
  <si>
    <t>Verify the uploaded new minor packet with Iris as exception.
 Operator and reviewer auths are successful.</t>
  </si>
  <si>
    <t>RegClient_302</t>
  </si>
  <si>
    <t>1. Login into RegClient application.
 2 Create and upload a new minor packet with fingeprint or Iris as exception for Parent.</t>
  </si>
  <si>
    <t>Verify the uploaded new adult packet with fingeprint as exception for Parent.
 Operator and reviewer auths are successful.</t>
  </si>
  <si>
    <t>RegClient_303</t>
  </si>
  <si>
    <t>Update UIN flow</t>
  </si>
  <si>
    <t>1. Modify the UI Spec of an attribute&gt; change "group": PersonalInfo in demographic page for Gender.
2. Publish the changes in master.ui_spec table for type : UpdateUIN.
3. Login to Reg-Client application&gt; select Update UIN &gt; select "PersonalInfo" &gt; Enter PRID  &gt; click on "SUBMIT".
4. Observe the fields in demographic details page.</t>
  </si>
  <si>
    <t>After the UI Spec changes Gender will also be available to change after selecting personal Info in Update UIN.</t>
  </si>
  <si>
    <t>RegClient_304</t>
  </si>
  <si>
    <t>1. User logged into RegClient application
2. Generate an UIN.
3. Select 'Update UIN' task in Reg.Client Home screen</t>
  </si>
  <si>
    <t>1. In 'Select Language window', Select the any one or more Languages, along with mandatory language.
2. Selected 'Submit' button.</t>
  </si>
  <si>
    <t>User should navigate to update details with "select the details that need to be update"</t>
  </si>
  <si>
    <t>RegClient_305</t>
  </si>
  <si>
    <t>1. User logged into RegClient application
 2. Select 'UpdateNew Registration' option</t>
  </si>
  <si>
    <t>1. In 'Select Language window', Without selecting mandatory language.
 Click on Submit button</t>
  </si>
  <si>
    <t>Submit' button should be disabled.
 Because mandatory language is not selected.</t>
  </si>
  <si>
    <t>RegClient_306</t>
  </si>
  <si>
    <t>User logged into RegClient application
 Select 'Update UIN' task and selected language</t>
  </si>
  <si>
    <t>1. Verify by entering valid UIN number in the field.
2. WIthout selecting any field to update and select Continue</t>
  </si>
  <si>
    <t>Should display popup message "Please select any one detail for updation"</t>
  </si>
  <si>
    <t>RegClient_307</t>
  </si>
  <si>
    <t>1. Verify by entering invalid UIN number in the field and select demographic details need to update. Ex. Phone number.
 Select Continue.</t>
  </si>
  <si>
    <t>Should get popup message "Please enter valid UIN"
 and navigate user back to re enter UIN.</t>
  </si>
  <si>
    <t>RegClient_308</t>
  </si>
  <si>
    <t>1. Enter the valid UIN number and select demographic details need to update.(Ex. Phone number)
2. Create a packet by capturing consent, edit demographics and biometrics for resident auth.</t>
  </si>
  <si>
    <t>RegClient_309</t>
  </si>
  <si>
    <t>1. Entered valid adult UIN and selected fields (Phone &amp; Email) to be update.
2. In Demographic details screen, enter new Phone number &amp; Email.
3. In Biometric details screen, capture same person biometrics</t>
  </si>
  <si>
    <t>1. Update fields (Phone and Email) displayed to update in demographic details screen.
2. Captured correct person biometrics for authentication.
3. Create the application and upload.</t>
  </si>
  <si>
    <t>Application should be process successfully</t>
  </si>
  <si>
    <t>RegClient_311</t>
  </si>
  <si>
    <t>1. Entered valid adult UIN and selected field (Biometrics ) to be update.
 2. In Biometric details screen</t>
  </si>
  <si>
    <t>1. Update adult UIN 'Biometrics' in biometric details screen.
2. Captured correct person biometrics.
3. Create the application and upload.</t>
  </si>
  <si>
    <t>1. While creating application, should not display any demographic field to update.
2. Application should process successfully</t>
  </si>
  <si>
    <t>RegClient_312</t>
  </si>
  <si>
    <t>1. Entered valid adult UIN and selected field (Address &amp; Biometrics ) to be update.
 2. In Biometric details screen</t>
  </si>
  <si>
    <t>1. Update adult UIN 'Address and Biometrics'.
2. Capture other person (UIN not generated so far) biometrics.</t>
  </si>
  <si>
    <t>1. Should allow operator to edit Address field.
2. Application should process successfully</t>
  </si>
  <si>
    <t>RegClient_315</t>
  </si>
  <si>
    <t>1. Entered valid infant UIN and selected fields (Date of Birth) to be update.
 2. In Demographic details screen</t>
  </si>
  <si>
    <t>Update Infant UIN (1-5 years) Date of Birth to Minor (6 - 17 years) with introducer biometrics</t>
  </si>
  <si>
    <t>Should take minor biometrics and introducer biometrics</t>
  </si>
  <si>
    <t>RegClient_316</t>
  </si>
  <si>
    <t>Update Infant UIN  (1-5 years) Date of Birth to Minor (6 - 17 years) with out introducer biometrics</t>
  </si>
  <si>
    <t>UIN Generation will fail as minor application should have introducer details.</t>
  </si>
  <si>
    <t>RegClient_317</t>
  </si>
  <si>
    <t>1. Entered valid infant UIN and selected fields (Biometrics) to be update.
 2. In Biometric details screen</t>
  </si>
  <si>
    <t>Update infant UIN (below 5 years) Biometrics at the age of  6 years with introducer biometrics</t>
  </si>
  <si>
    <t>RegClient_318</t>
  </si>
  <si>
    <t>Update infant UIN (Below 5 years) Biometrics at the age of  6 years without introducer biometrics</t>
  </si>
  <si>
    <t>RegClient_319</t>
  </si>
  <si>
    <t>1. Entered valid minor UIN and selected fields (phone) to be update.
 2. In Demographic details screen</t>
  </si>
  <si>
    <t>Update for Minor UIN (6-17 years) 'Phone' without introducer biometrics</t>
  </si>
  <si>
    <t>RegClient_320</t>
  </si>
  <si>
    <t>Update for Minor UIN (6-17 years) 'Phone' with introducer biometrics</t>
  </si>
  <si>
    <t>RegClient_321</t>
  </si>
  <si>
    <t>1. Entered valid minor UIN and selected fields (Date of Birth) to be update.
 2. In Demographic details screen</t>
  </si>
  <si>
    <t>Update Minor UIN (6 - 17 years) Date of Birth to Adult(&gt;18 years) with introducer biometrics</t>
  </si>
  <si>
    <t>RegClient_322</t>
  </si>
  <si>
    <t>Update Minor UIN (6 - 17 years) Date of Birth to Adult(&gt;18 years) without introducer biometrics</t>
  </si>
  <si>
    <t>RegClient_323</t>
  </si>
  <si>
    <t>1. Entered valid minor UIN and selected fields (Biometrics) to be update.
 2. In Biometric details screen</t>
  </si>
  <si>
    <t>Update Minor UIN (17 years) Biometrics at the age of &gt;18 years with introducer biometrics</t>
  </si>
  <si>
    <t>RegClient_324</t>
  </si>
  <si>
    <t>Update Minor UIN (17 years) Biometrics at the age of &gt;18 years without introducer biometrics</t>
  </si>
  <si>
    <t>RegClient_325</t>
  </si>
  <si>
    <t>1. Entered valid UIN and selected 'Biometrics' be update.
 2. In Demographic details screen</t>
  </si>
  <si>
    <t>Update fields in demographic details screen</t>
  </si>
  <si>
    <t>Should allow user to update fields and Continue to navigate to next screen</t>
  </si>
  <si>
    <t>RegClient_326</t>
  </si>
  <si>
    <t>1. Entered valid UIN and selected fields to be update.
 2. In Demographic details updated
 3. In Document Upload screen</t>
  </si>
  <si>
    <t>Select supporting documents</t>
  </si>
  <si>
    <t>Should allow user to upload supporting documents and Continue to navigate to next screen</t>
  </si>
  <si>
    <t>RegClient_327</t>
  </si>
  <si>
    <t>Update UIN flow -Email Notification based on prefered language</t>
  </si>
  <si>
    <t>1. Add config mosip.default.user-preferred-language-attribute=preferredLang in application-mz.properties
 2. mosip.mandatory-languages=kan
 mosip.optional-languages=hin,tam
 3. updateprocess.json preferred Long is configured.</t>
  </si>
  <si>
    <t>Verify preferred Lang dropwown</t>
  </si>
  <si>
    <t>preferred Lang drop down should be displayed.</t>
  </si>
  <si>
    <t>RegClient_328</t>
  </si>
  <si>
    <t>1. Select kannada as preferred language.
 2. Create a packet and verify resident email template language.</t>
  </si>
  <si>
    <t>Applicant is not receiving email.</t>
  </si>
  <si>
    <t>RegClient_329</t>
  </si>
  <si>
    <t>1. Select hindi as preferred language.
 2. Create a packet and verify resident email template language.</t>
  </si>
  <si>
    <t>RegClient_330</t>
  </si>
  <si>
    <t>Lost UIN flow</t>
  </si>
  <si>
    <t>1. Operator logged into RegClient application.
2. Select 'Lost UIN' task in Reg.Client Home screen</t>
  </si>
  <si>
    <t>1. 'Language window', Select the any one or more Languages, along with mandatory language.
2. Select the Consent and Notification language. Select Continue</t>
  </si>
  <si>
    <t>Should capture Consent and Notification languages.
Should navigate user to Demographic details page.</t>
  </si>
  <si>
    <t>RegClient_331</t>
  </si>
  <si>
    <t>1. User logged into RegClient application
2. Select 'Lost UIN' task and user is in Demographic details screen</t>
  </si>
  <si>
    <t>Verify demographic details field based on UI spec config.</t>
  </si>
  <si>
    <t>Should allow user to enter data in demographic details screen and 
 Allow user to navigate to next screen</t>
  </si>
  <si>
    <t>RegClient_332</t>
  </si>
  <si>
    <t>1. User logged into RegClient application
2. Select 'Lost UIN' task and select Biometric details screen</t>
  </si>
  <si>
    <t>1. Capturing biometric (Fingerprints, Iris and Face) in Biometric details screen</t>
  </si>
  <si>
    <t>Should allow user to capture biometrics (Based on configuration) and allow user to navigate to next screen</t>
  </si>
  <si>
    <t>RegClient_333</t>
  </si>
  <si>
    <t>1. User logged into RegClient application
 2. Select 'Lost UIN' task.Captured demographic and biometric details</t>
  </si>
  <si>
    <t>Verify, Preview screen with captured demographic and biometric details.
Try to edit fields in Preview screen and allowing user to navigate previous screen</t>
  </si>
  <si>
    <t>Preview screen should display captured demographic and biometric details.
Should not allow user to edit fields and allow user to navigate to previous screen to edit data.</t>
  </si>
  <si>
    <t>RegClient_334</t>
  </si>
  <si>
    <t>1. User logged into RegClient application
 2. Select 'Lost UIN' task and created application
 2. In Authentication screen</t>
  </si>
  <si>
    <t>Authentication application with invalid credentials</t>
  </si>
  <si>
    <t>Authentication should fail with popup message "Authentication failed. Please try again"</t>
  </si>
  <si>
    <t>RegClient_335</t>
  </si>
  <si>
    <t>Authentication application with valid credentials</t>
  </si>
  <si>
    <t>Auth should success and navigate user to Registration Acknowledgement</t>
  </si>
  <si>
    <t>RegClient_336</t>
  </si>
  <si>
    <t>1. User logged into RegClient and 'Lost UIN' task.
2. Create a packet only with biometrics and upload</t>
  </si>
  <si>
    <t>Verify uploaded lost UIN packet only with biometrics</t>
  </si>
  <si>
    <t>RegClient_337</t>
  </si>
  <si>
    <t>1. User logged into RegClient and 'Lost UIN' task.
2. Create a packet with demographics &amp; biometrics then upload</t>
  </si>
  <si>
    <t>Verify uploaded lost UIN packet with biometrics &amp; demographics</t>
  </si>
  <si>
    <t>MOSIP-8682</t>
  </si>
  <si>
    <t>TC_MOSIP-8682_01</t>
  </si>
  <si>
    <t>Exception photo Biometric capture</t>
  </si>
  <si>
    <t>1. New registration flow
 2. Biometric screen resident have not marked any exceptions</t>
  </si>
  <si>
    <t>Verify photo capture added in biometric screen</t>
  </si>
  <si>
    <t>Photo capture should not be added when exception is added for resident.</t>
  </si>
  <si>
    <t>TC_MOSIP-8682_02</t>
  </si>
  <si>
    <t>1. New registration flow
 2. Biometric screen resident have marked exceptions.</t>
  </si>
  <si>
    <t>Photo capture should be added when exception is added for resident.</t>
  </si>
  <si>
    <t>TC_MOSIP-8682_03</t>
  </si>
  <si>
    <t>Photo should display image with two raised hands.</t>
  </si>
  <si>
    <t>TC_MOSIP-8682_04</t>
  </si>
  <si>
    <t>1. New registration flow
 2. Biometric screen resident have marked exceptions.
 3. Photo should display image with two raised hands.</t>
  </si>
  <si>
    <t>Image not captured and continue for registration</t>
  </si>
  <si>
    <t>Navigation should be restricted to continue registration.</t>
  </si>
  <si>
    <t>TC_MOSIP-8682_05</t>
  </si>
  <si>
    <t>Image captured and continue for registration</t>
  </si>
  <si>
    <t>Navigation should be successful to continue registration.</t>
  </si>
  <si>
    <t>TC_MOSIP-8682_06</t>
  </si>
  <si>
    <t>1. Lost registration flow
 2. Biometric screen resident have not marked any exceptions</t>
  </si>
  <si>
    <t>TC_MOSIP-8682_07</t>
  </si>
  <si>
    <t>1. Lost registration flow
 2. Biometric screen resident have marked exceptions.</t>
  </si>
  <si>
    <t>TC_MOSIP-8682_08</t>
  </si>
  <si>
    <t>TC_MOSIP-8682_09</t>
  </si>
  <si>
    <t>1. Lost registration flow
 2. Biometric screen resident have marked exceptions.
 3. Photo should display image with two raised hands.</t>
  </si>
  <si>
    <t>TC_MOSIP-8682_10</t>
  </si>
  <si>
    <t>TC_MOSIP-8682_11</t>
  </si>
  <si>
    <t>1. Update registration flow
 2. Resident wants to update biometrics.
 3. Biometric screen resident have not marked any exceptions</t>
  </si>
  <si>
    <t>TC_MOSIP-8682_12</t>
  </si>
  <si>
    <t>1. Update registration flow
 2. Resident wants to update biometrics.
 3. Biometric screen resident have marked exceptions.</t>
  </si>
  <si>
    <t>TC_MOSIP-8682_13</t>
  </si>
  <si>
    <t>TC_MOSIP-8682_14</t>
  </si>
  <si>
    <t>1. Update registration flow
 2. Resident wants to update biometrics.
 3. Biometric screen resident have marked exceptions.
 4. Photo should display image with two raised hands.</t>
  </si>
  <si>
    <t>TC_MOSIP-8682_15</t>
  </si>
  <si>
    <t>TC_MOSIP-8682_16</t>
  </si>
  <si>
    <t>1. Biometric correction registration flow
 2. Biometric screen resident have not marked any exceptions</t>
  </si>
  <si>
    <t>TC_MOSIP-8682_17</t>
  </si>
  <si>
    <t>1. Biometric correction registration flow
 2. Biometric screen resident have marked exceptions.</t>
  </si>
  <si>
    <t>TC_MOSIP-8682_18</t>
  </si>
  <si>
    <t>TC_MOSIP-8682_19</t>
  </si>
  <si>
    <t>1. Biometric correction registration flow
 2. Biometric screen resident have marked exceptions.
 3. Photo should display image with two raised hands.</t>
  </si>
  <si>
    <t>TC_MOSIP-8682_20</t>
  </si>
  <si>
    <t>Login with multiple languages [configured language from keycloak, Admin roles to access ]</t>
  </si>
  <si>
    <t>Home page</t>
  </si>
  <si>
    <t>1. Check Admin UI version, Logged in Administrative Zone, Logged in user name</t>
  </si>
  <si>
    <t>User Zone Mapping</t>
  </si>
  <si>
    <t>1. Map to Zone
 2. Activate/Deactivate
 3. Remap
 4. Delete
 5. pagination option
 6. column sort/filter search</t>
  </si>
  <si>
    <t>User Center mapping</t>
  </si>
  <si>
    <t>1. Map to center for selected administrative zone
 2. Remap
 3. Activate/Deactivate
 4. Delete
 5. pagination option 
 6. column sort/filter search</t>
  </si>
  <si>
    <t>MasterData&gt;&gt;Center type</t>
  </si>
  <si>
    <t>1. Create/Update
 2. Activate/Deactivate
 3. Clonning Feature 
 4. pagination option
 5. column sort/filter search
 6. create and update record in other configured language
 7. Virtual keyboard entry.
 8. Check active center type list in Registration center type dropdown in Resources</t>
  </si>
  <si>
    <t>1. Create/Update
 2. Activate/Deactivate
 3. pagination option
 4. column sort/filter search
 5. Virtual keyboard entry.</t>
  </si>
  <si>
    <t>List-of-holiday</t>
  </si>
  <si>
    <t>1. Create/Update
 2. Activate/Deactivate
 3. Clonning Feature 
 4. pagination option
 5. column sort/filter search
 6. create and update record in other configured language
 7. Virtual keyboard entry.
 8. Check holiday consumption for each center creation for respective administrative zone selection.</t>
  </si>
  <si>
    <t>1. Create/Update
 2. Activate/Deactivate
 3. Clonning Feature 
 4. pagination option
 5. column sort/filter search
 6. create and update record in other configured language
 7. Virtual keyboard entry.</t>
  </si>
  <si>
    <t>Dynamic fields</t>
  </si>
  <si>
    <t>Device Type</t>
  </si>
  <si>
    <t>1. Create/Update
 2. Activate/Deactivate
 3. pagination option
 4. column sort/filter search
 5. Virtual keyboard entry.
 6. Active Device types in Device specification screen</t>
  </si>
  <si>
    <t>Device specification</t>
  </si>
  <si>
    <t>1. Create/Update
 2. Activate/Deactivate
 3. pagination option
 4. column sort/filter search
 5. Virtual keyboard entry.
 6. Check Active Device specification in Device module screen</t>
  </si>
  <si>
    <t>Machine Types</t>
  </si>
  <si>
    <t>1. Create/Update
 2. Activate/Deactivate
 3. pagination option
 4. column sort/filter search
 5. Virtual keyboard entry.
 6. Active Device types in Machine specification screen</t>
  </si>
  <si>
    <t>Machine specification</t>
  </si>
  <si>
    <t>1. Create/Update
 2. Activate/Deactivate
 3. pagination option
 4. column sort/filter search
 5. Virtual keyboard entry.
 6. Check Active Machine specification in Machine module screen</t>
  </si>
  <si>
    <t>Document type</t>
  </si>
  <si>
    <t>Document Category</t>
  </si>
  <si>
    <t>Document Category-Type mapping</t>
  </si>
  <si>
    <t>Mapping of Active document Type to Active Document Category.</t>
  </si>
  <si>
    <t>Resources&gt;&gt;Center</t>
  </si>
  <si>
    <t>1. Create/Update
 2. Activate/Deactivate
 3. Decomission
 4. Clonning Feature 
 5. pagination option
 6. column sort/filter search
 7. create and update record in other configured language
 8. Virtual keyboard entry.</t>
  </si>
  <si>
    <t>Device</t>
  </si>
  <si>
    <t>1. Create/Update
 2. Activate/Deactivate
 3. Decomission
 4. pagination option
 5. column sort/filter search
 6. Virtual keyboard entry.</t>
  </si>
  <si>
    <t>Machine</t>
  </si>
  <si>
    <t>Bulkupload&gt;&gt; MasterData</t>
  </si>
  <si>
    <t>1. Insert
 2. update
 3. Delete
 4. Download Template</t>
  </si>
  <si>
    <t>Packets</t>
  </si>
  <si>
    <t>1. Synced packet upload
 2. Unsynced packet upload
 3. uploading already uploaded packet
 4. Muliple zip packet upload</t>
  </si>
  <si>
    <t>Packet status</t>
  </si>
  <si>
    <t>1. packet status check before upload
 2. packet staus check after upload</t>
  </si>
  <si>
    <t>Retrieve Lost RID</t>
  </si>
  <si>
    <t>1. Retrieval of Lost RID
2.Config testing for below 2 property
registration.processor.lostrid.max.registrationid=3
mosip.registration.processor.lostrid.max-registration-date-filter-interval=15</t>
  </si>
  <si>
    <t>logout</t>
  </si>
  <si>
    <t>Logout link in User Name section/ check for timeout</t>
  </si>
  <si>
    <t xml:space="preserve">Environments </t>
  </si>
  <si>
    <t>MOSIP-16752</t>
  </si>
  <si>
    <t>TC_Admin_01</t>
  </si>
  <si>
    <t>First Admin User</t>
  </si>
  <si>
    <t xml:space="preserve">DML </t>
  </si>
  <si>
    <t>Verify First user login to Admin portal with [Zonal-Admin role]</t>
  </si>
  <si>
    <t>first set of admin users will be associated to root zone using DB scripts (DML) . In the system, we can have users who are only mapped to a zone but not directly mapped to only reg center</t>
  </si>
  <si>
    <t>MOSIP-12222</t>
  </si>
  <si>
    <t>Multi-language support</t>
  </si>
  <si>
    <t>TC_Admin_02</t>
  </si>
  <si>
    <t>Admin-Multilangsupport-API</t>
  </si>
  <si>
    <t>Admin UI login with different configured language</t>
  </si>
  <si>
    <t>To Verify that Admin is able to choose language as per his choice while logging.</t>
  </si>
  <si>
    <t>List of configured languages should be available in the language dropdown</t>
  </si>
  <si>
    <t>TC_Admin_03</t>
  </si>
  <si>
    <t>To verify that adding data ,deleting or updating data are supported with multilanguage.</t>
  </si>
  <si>
    <t>We should be able to create/upade/delete record in more than 2 language</t>
  </si>
  <si>
    <t>TC_Admin_04</t>
  </si>
  <si>
    <t>To verify that adding data ,deleting or updating data ,activation or deactivation which is done in one language should also reflect for same record in different language.</t>
  </si>
  <si>
    <t>Should support adding data ,deleting or updating data ,activation or deactivation which is done in one language should also reflect for same record in different language.</t>
  </si>
  <si>
    <t>TC_Admin_05</t>
  </si>
  <si>
    <t>To Verify that Admin is able view enter module flow with the selected language choosen while login.</t>
  </si>
  <si>
    <t>Admin should be able to view enter module flow with the selected language choosen while login.</t>
  </si>
  <si>
    <t>MOSIP-12593</t>
  </si>
  <si>
    <t>Multi Language Support - Admin</t>
  </si>
  <si>
    <t>TC_Admin_06</t>
  </si>
  <si>
    <t>Admin-Multilangsupport-UI</t>
  </si>
  <si>
    <t>Admin should be able to capture master data for multiple languages (more than 2)</t>
  </si>
  <si>
    <t>Admin portal should support Multi language</t>
  </si>
  <si>
    <t>TC_Admin_07</t>
  </si>
  <si>
    <t>To Verify that Admin is able to choose configured language as per his choice while logging.</t>
  </si>
  <si>
    <t>During login one should be able to choose language as per his choice.</t>
  </si>
  <si>
    <t>TC_Admin_08</t>
  </si>
  <si>
    <t>To verify that adding and updating data are supported with multilanguage.</t>
  </si>
  <si>
    <t>Should support adding data ,deleting or updating data in multilanguage.</t>
  </si>
  <si>
    <t>TC_Admin_09</t>
  </si>
  <si>
    <t>To verify that deleting ,activation or deactivation which is done in one language should also reflect for same record in different language.</t>
  </si>
  <si>
    <t>TC_Admin_10</t>
  </si>
  <si>
    <t>To verify that Admin is able to view master data in multiple languages</t>
  </si>
  <si>
    <t>Admin should be able to view master data in multiple languages</t>
  </si>
  <si>
    <t>TC_Admin_11</t>
  </si>
  <si>
    <t>TC_Admin_12</t>
  </si>
  <si>
    <t>All popup message list view page should be displayed in which the user as choosen while login</t>
  </si>
  <si>
    <t>All popup message list view page should be displayed in which the user as choosen while login( confirmatiom, cancel , error pop up message )</t>
  </si>
  <si>
    <t>TC_Admin_13</t>
  </si>
  <si>
    <t>The multi language data should also be uploaded through a CSV.</t>
  </si>
  <si>
    <t>TC_Admin_14</t>
  </si>
  <si>
    <t>Mutli language support for Packet Status</t>
  </si>
  <si>
    <t>Packet status feature should work with multi-lang.</t>
  </si>
  <si>
    <t>TC_Admin_15</t>
  </si>
  <si>
    <t>To verify that all data and changes made are captured in DB both in master and history table.</t>
  </si>
  <si>
    <t>Data should be captured properly.</t>
  </si>
  <si>
    <t>MOSIP-10810</t>
  </si>
  <si>
    <t>Admin version on the screen - P1</t>
  </si>
  <si>
    <t>TC_Admin_16</t>
  </si>
  <si>
    <t>Admin Version</t>
  </si>
  <si>
    <t>1. Do Auth for admin App
 2. MasterDataAPI</t>
  </si>
  <si>
    <t>Check if configs API is returning a correct version
 Request URL: https://qa-single-rc2.mosip.net/v1/masterdata/configs</t>
  </si>
  <si>
    <t>The Version returned from configs API should be same as mentioned in application-mz.properties.
 ----aplication.configuration.level.version=LTS-----</t>
  </si>
  <si>
    <t>TC_Admin_17</t>
  </si>
  <si>
    <t>1. Login to Admin
 2. Home page</t>
  </si>
  <si>
    <t>Check if Admin version is displayed on Admin UI home screen</t>
  </si>
  <si>
    <t>Admin UI version should be displayed in home screen in the header section.</t>
  </si>
  <si>
    <t>TC_Admin_18</t>
  </si>
  <si>
    <t>Check if Admin version is displayed on Admin UI home screen for all configured language.</t>
  </si>
  <si>
    <t>Admin UI version should be viewable for different login language which is configured.</t>
  </si>
  <si>
    <t>TC_Admin_19</t>
  </si>
  <si>
    <t>1. Login to Admin</t>
  </si>
  <si>
    <t>Verify logged in User Zone and Name in header section</t>
  </si>
  <si>
    <t>Logged in User zone name should be displayed , Name of the User should be rendered correctly.</t>
  </si>
  <si>
    <t>MOSIP-18672</t>
  </si>
  <si>
    <t>Configure Admin UI navigation links and access based on roles</t>
  </si>
  <si>
    <t>TC_Admin_20</t>
  </si>
  <si>
    <t>Feature visibility based on roles</t>
  </si>
  <si>
    <t>Role based access</t>
  </si>
  <si>
    <t>Verify Visibility of Center feature in Admin UI</t>
  </si>
  <si>
    <t>The User who has 'ZONAL_ADMIN' or 'GLOBAL_ADMIN' role should be able to view /create /update Registration center.</t>
  </si>
  <si>
    <t>TC_Admin_21</t>
  </si>
  <si>
    <t>Verify visibility of center when User does not have 'ZONAL_ADMIN' or 'GLOBAL_ADMIN'.</t>
  </si>
  <si>
    <t>user should not be able see center feature in Admin UI</t>
  </si>
  <si>
    <t>TC_Admin_22</t>
  </si>
  <si>
    <t>Verify Visibility of Devices feature in Admin UI</t>
  </si>
  <si>
    <t>The User who has 'ZONAL_ADMIN' role should be able to view /create /update Registration center.</t>
  </si>
  <si>
    <t>TC_Admin_23</t>
  </si>
  <si>
    <t>Verify visibility of Device when User does not have 'ZONAL_ADMIN' role.</t>
  </si>
  <si>
    <t>user should not be able see Device feature in Admin UI</t>
  </si>
  <si>
    <t>TC_Admin_24</t>
  </si>
  <si>
    <t>Verify Visibility of Machines feature in Admin UI</t>
  </si>
  <si>
    <t>TC_Admin_25</t>
  </si>
  <si>
    <t>Verify visibility of Machine when User does not have 'ZONAL_ADMIN' role.</t>
  </si>
  <si>
    <t>user should not be able see Machine feature in Admin UI</t>
  </si>
  <si>
    <t>TC_Admin_26</t>
  </si>
  <si>
    <t>Verify Visibility of User Zone mapping feature in Admin UI</t>
  </si>
  <si>
    <t>The User who has 'ZONAL_ADMIN'or'GLOBAL_ADMIN' role should be able to view /map / um-map User to Administrative zone.</t>
  </si>
  <si>
    <t>TC_Admin_27</t>
  </si>
  <si>
    <t>Verify visibility of User Zone mapping feature when User does not have 'ZONAL_ADMIN'or'GLOBAL_ADMIN' role.</t>
  </si>
  <si>
    <t>user should not be able see User Zone mapping feature in Admin UI</t>
  </si>
  <si>
    <t>TC_Admin_28</t>
  </si>
  <si>
    <t>Verify Visibility of User Center mapping feature in Admin UI</t>
  </si>
  <si>
    <t>The User who has 'ZONAL_ADMIN' role should be able to view /Map/Remap/delete Center mapping.</t>
  </si>
  <si>
    <t>TC_Admin_29</t>
  </si>
  <si>
    <t>Verify visibility of User Center mapping when User does not have 'ZONAL_ADMIN' role.</t>
  </si>
  <si>
    <t>user should not be able see User Center mapping feature in Admin UI</t>
  </si>
  <si>
    <t>TC_Admin_30</t>
  </si>
  <si>
    <t>Verify Visibility of Packet Status feature in Admin UI</t>
  </si>
  <si>
    <t>The User who has 'REGISTRATION_ADMIN' role should be able to view and check the packet status in Admin portal .</t>
  </si>
  <si>
    <t>TC_Admin_31</t>
  </si>
  <si>
    <t>Verify visibility of packet status when User does not have 'REGISTRATION_ADMIN' role.</t>
  </si>
  <si>
    <t>user should not be able see packet status feature in Admin UI</t>
  </si>
  <si>
    <t>TC_Admin_32</t>
  </si>
  <si>
    <t>Verify Visibility of Resume packet feature in Admin UI</t>
  </si>
  <si>
    <t>The User who has 'REGISTRATION_ADMIN' role should be able to view and resume packets from Admin portal .</t>
  </si>
  <si>
    <t>TC_Admin_33</t>
  </si>
  <si>
    <t>Verify visibility of Resume packet when User does not have 'REGISTRATION_ADMIN' role.</t>
  </si>
  <si>
    <t>user should not be able see Resume packet feature in Admin UI</t>
  </si>
  <si>
    <t>TC_Admin_34</t>
  </si>
  <si>
    <t>Verify Visibility of MasterData feature in Admin UI</t>
  </si>
  <si>
    <t>The User who has 'GLOBAL_ADMIN'or'ZONAL_ADMIN'or'MASTERDATA_ADMIN' role should be able to view/ Create / update / activate/ deactive / filter MasterData from Admin portal .</t>
  </si>
  <si>
    <t>TC_Admin_35</t>
  </si>
  <si>
    <t>Verify visibility of Masterdata when User does not have 'GLOBAL_ADMIN'or'ZONAL_ADMIN'or'MASTERDATA_ADMIN' role.</t>
  </si>
  <si>
    <t>user should not be able see MasterData feature in Admin UI</t>
  </si>
  <si>
    <t>TC_Admin_36</t>
  </si>
  <si>
    <t>Verify Visibility of Bulk upload &gt;&gt; MasterData feature in Admin UI</t>
  </si>
  <si>
    <t>The User who has 'GLOBAL_ADMIN'or'ZONAL_ADMIN'or'MASTERDATA_ADMIN' role should be able to view/ insert / update / delete/ view transaction of MasterData from Admin portal .</t>
  </si>
  <si>
    <t>TC_Admin_37</t>
  </si>
  <si>
    <t>Verify visibility of bulkupload Masterdata when User does not have 'GLOBAL_ADMIN'or'ZONAL_ADMIN'or'MASTERDATA_ADMIN' role.</t>
  </si>
  <si>
    <t>user should not be able see bulk upload MasterData feature in Admin UI</t>
  </si>
  <si>
    <t>TC_Admin_38</t>
  </si>
  <si>
    <t>Verify Visibility of Bulk upload &gt;&gt; Packet upload feature in Admin UI</t>
  </si>
  <si>
    <t>The User who has 'REGISTRATION_ADMIN' role should be able to view and upload packet to Registration processor from Admin portal .</t>
  </si>
  <si>
    <t>TC_Admin_39</t>
  </si>
  <si>
    <t>Verify visibility of bulkupload packet when User does not have 'REGISTRATION_ADMIN' role.</t>
  </si>
  <si>
    <t>user should not be able see bulk upload packet feature in Admin UI</t>
  </si>
  <si>
    <t>TC_Admin_40</t>
  </si>
  <si>
    <t>Verify Visibility of Generate MasterKey in Keymanager feature from Admin UI</t>
  </si>
  <si>
    <t>The User who has 'KEY_MAKER' role should be able to view / generate certificate and CSR for respective APP_ID from Admin portal .</t>
  </si>
  <si>
    <t>TC_Admin_41</t>
  </si>
  <si>
    <t>Verify visibility of Generate Masterkey when User does not have 'KEY_MAKER' role.</t>
  </si>
  <si>
    <t>user should not be able see Generate Masterkey feature in Admin UI</t>
  </si>
  <si>
    <t>TC_Admin_42</t>
  </si>
  <si>
    <t>Verify Visibility of GenerateCSR in Keymanager feature from Admin UI</t>
  </si>
  <si>
    <t>The User who has 'GLOBAL_ADMIN'or'ZONAL_ADMIN'or'MASTERDATA_ADMIN' role should be able to view / generateCSR for respective APP_ID from Admin portal .</t>
  </si>
  <si>
    <t>TC_Admin_43</t>
  </si>
  <si>
    <t>Verify visibility of GenerateCSR when User does not have 'GLOBAL_ADMIN'or'ZONAL_ADMIN'or'MASTERDATA_ADMIN' role.</t>
  </si>
  <si>
    <t>user should not be able see GenerateCSR feature in Admin UI</t>
  </si>
  <si>
    <t>TC_Admin_44</t>
  </si>
  <si>
    <t>Verify Visibility of Get Certificate in Keymanager feature from Admin UI</t>
  </si>
  <si>
    <t>The User who has 'GLOBAL_ADMIN'or'ZONAL_ADMIN'or'MASTERDATA_ADMIN' role should be able to view and Get Certificate for all APP_ID and Reference_ID from Admin portal .</t>
  </si>
  <si>
    <t>TC_Admin_45</t>
  </si>
  <si>
    <t>Verify visibility of Get Certificate when User does not have 'GLOBAL_ADMIN'or'ZONAL_ADMIN'or'MASTERDATA_ADMIN' role.</t>
  </si>
  <si>
    <t>user should not be able see Get Certificate feature in Admin UI</t>
  </si>
  <si>
    <t>TC_Admin_46</t>
  </si>
  <si>
    <t>Verify Visibility of Upload Certificate in Keymanager feature from Admin UI</t>
  </si>
  <si>
    <t>The User who has 'GLOBAL_ADMIN'or'ZONAL_ADMIN'or'MASTERDATA_ADMIN' role should be able to view Upload Certificate for all APP_ID and Reference_ID from Admin portal .</t>
  </si>
  <si>
    <t>TC_Admin_47</t>
  </si>
  <si>
    <t>Verify visibility of upload Certificate when User does not have 'GLOBAL_ADMIN'or'ZONAL_ADMIN'or'MASTERDATA_ADMIN' role.</t>
  </si>
  <si>
    <t>user should not be able see upload Certificate feature in Admin UI</t>
  </si>
  <si>
    <t>TC_Admin_48</t>
  </si>
  <si>
    <t>Verify Visibility of uploadotherdomaincertificate in Keymanager feature from Admin UI</t>
  </si>
  <si>
    <t>The User who has 'GLOBAL_ADMIN'or'ZONAL_ADMIN'or'MASTERDATA_ADMIN' role should be able to view and Upload other domain Certificate for APP_ID and Reference_ID from Admin portal .</t>
  </si>
  <si>
    <t>TC_Admin_49</t>
  </si>
  <si>
    <t>Verify visibility of uploadotherdomainCertificate when User does not have 'GLOBAL_ADMIN'or'ZONAL_ADMIN'or'MASTERDATA_ADMIN' role.</t>
  </si>
  <si>
    <t>user should not be able see uploadotherdomainCertificate feature in Admin UI</t>
  </si>
  <si>
    <t>TC_Admin_50</t>
  </si>
  <si>
    <t>verify by making changes to the roles in app.constants.ts file 
 EX: {
 displayName: 'menuItems.item2.subItem1',
 icon: null,
 route: '/admin/resources/centers',
 auditEventId: 'ADM-004',
 roles: ['ZONAL_ADMIN'or'GLOBAL_ADMIN']
 },</t>
  </si>
  <si>
    <t>Respective feature should be visible by making changes to Roles section after Admin UI service restart.</t>
  </si>
  <si>
    <t>TC_Admin_51</t>
  </si>
  <si>
    <t>verify User when has Global_Admin role only</t>
  </si>
  <si>
    <t>links that are visible and accessible 
 1. Center
 2. User zone mapping
 3. MasterData
 4. bulkupload MasterData
 5. generateCSR
 6. GetCertificate
 7.uploadCertificate
 8. uploadOtherDomainCertificate</t>
  </si>
  <si>
    <t>TC_Admin_52</t>
  </si>
  <si>
    <t>verify User when has Zonal_Admin role only</t>
  </si>
  <si>
    <t>links that are visible and accessible 
 1. Center
 2. Device
 3. Machine
 4. User Center mapping
 5. User zone mapping
 6. MasterData
 7. bulkupload MasterData
 8. generateCSR
 9. GetCertificate
 10. uploadCertificate
 11. uploadOtherDomainCertificate</t>
  </si>
  <si>
    <t>TC_Admin_53</t>
  </si>
  <si>
    <t>verify User when has Zonal_Admin and Global_Admin role</t>
  </si>
  <si>
    <t>links that are visible and accessible 
 1. Center
 2. Device
 3. Machine
 4. User zone mapping
 5. User Center mapping
 6. MasterData
 7. bulkupload MasterData
 8. generateCSR
 9. GetCertificate
 10. uploadCertificate
 11. uploadOtherDomainCertificate</t>
  </si>
  <si>
    <t>TC_Admin_54</t>
  </si>
  <si>
    <t>verify User when has Registration_Admin role along with one of Admin role [ Global_Admin, Zonal_Admin]</t>
  </si>
  <si>
    <t>links that are visible and accessible 
 1. Center
 2. Device
 3. Machine
 4. User zone mapping
 5. User Center mapping
 6. packetstatus check
 7. MasterData
 8. ResumeRID
 9. bulkupload MasterData
 10. bulkupload packet
 11. generateCSR
 12. GetCertificate
 13. uploadCertificate
 14. uploadOtherDomainCertificate</t>
  </si>
  <si>
    <t>TC_Admin_55</t>
  </si>
  <si>
    <t>verify User when has Registration_Admin role only</t>
  </si>
  <si>
    <t>Should be able to access the links that are visible with Registration Admin role.</t>
  </si>
  <si>
    <t>TC_Admin_56</t>
  </si>
  <si>
    <t>verify User when has Masterdata_Admin role only</t>
  </si>
  <si>
    <t>Should be able to access the links that are visible with MasterData Admin role.</t>
  </si>
  <si>
    <t>TC_Admin_57</t>
  </si>
  <si>
    <t>verify User when has Key_Maker role only</t>
  </si>
  <si>
    <t>Should be able to access the links that are visible with Key_maker role.</t>
  </si>
  <si>
    <t>TC_Admin_58</t>
  </si>
  <si>
    <t>verify User when has MasterData_Admin role along with one of Admin role [ Global_Admin, Zonal_Admin]</t>
  </si>
  <si>
    <t>Create separate UI for User Zone and User Center mapping</t>
  </si>
  <si>
    <t>TC_Admin_59</t>
  </si>
  <si>
    <t>User Zone and Center mapping</t>
  </si>
  <si>
    <t>1. Login to Admin
 2. Resources
 3. User Zone &amp; Center mapping
 4. +Create/ Edit</t>
  </si>
  <si>
    <t>Verify that first set user is able to create next set Admin users</t>
  </si>
  <si>
    <t>Should be able to create user in keycloak and map to zone and center using Userzone and center mapping feature in Admin UI</t>
  </si>
  <si>
    <t>TC_Admin_60</t>
  </si>
  <si>
    <t>To verify that Admin UI contains two menu items i.e User to Zone mapping &amp; User to Center Mapping</t>
  </si>
  <si>
    <t>Admin UI should have two separate menu items one is meant for User-Zone mapping and other is User-Center mapping.</t>
  </si>
  <si>
    <t>TC_Admin_61</t>
  </si>
  <si>
    <t>1.To verify that UserName dropdown contains all user that are created through Keycloak.
 2. To verify that Administrative Zone dropdown contains zone that are subzones of the logged-in admin user’s administrative zone.</t>
  </si>
  <si>
    <t>1. All active user created in keycloak should show up in User Name dropdown , Inactive user should not be in the list.
 2. If logged-in User mapped to root zone -he should be able see Zones , SubZones, LeafZones.
 3. If logged-in User mapped to Zone heirarchy -he should be able see SubZones , LeafZones.
 4. If Logged-in User mapped to SubZone - he should be able to see only LeafZones.</t>
  </si>
  <si>
    <t>TC_Admin_62</t>
  </si>
  <si>
    <t>Verify the functionality of Save button</t>
  </si>
  <si>
    <t>If user clicks on Save button after selecting all dropdown values the user-zone mapping should be successful and user should be redirected back to list view page.</t>
  </si>
  <si>
    <t>TC_Admin_63</t>
  </si>
  <si>
    <t>Verify the functionality of Cancel button</t>
  </si>
  <si>
    <t>If user clicks on Cancel button ,the data which was choosen by user should be erased and should be redirected back to list view page.</t>
  </si>
  <si>
    <t>TC_Admin_64</t>
  </si>
  <si>
    <t>To verify that list view page has all user to zone mapping details that are displayed based on subzones of the logged-in admin user’s administrative zone.</t>
  </si>
  <si>
    <t>User mapping details in list view page should be loaded based on the User logged-in Zone hierarchy.</t>
  </si>
  <si>
    <t>TC_Admin_65</t>
  </si>
  <si>
    <t>To verify that Each record in User Zone mapping has ellipsis that contains Remap , delete, Active &amp; deactive buttons.</t>
  </si>
  <si>
    <t>Ellipsis should contain all these options and should be selectable</t>
  </si>
  <si>
    <t>TC_Admin_66</t>
  </si>
  <si>
    <t>To verify the Status Flag after mapping User to Zone</t>
  </si>
  <si>
    <t>After User-Zone mapping details are created by default the record should be inactive we should activate it manually.</t>
  </si>
  <si>
    <t>TC_Admin_67</t>
  </si>
  <si>
    <t>To verify activation of Zone mapping</t>
  </si>
  <si>
    <t>should be able activate zone user successfully</t>
  </si>
  <si>
    <t>TC_Admin_68</t>
  </si>
  <si>
    <t>To verify remapping of User to another zone with Remap option.</t>
  </si>
  <si>
    <t>User should be allowed to remap user to other zones by selecting other values in administrative zone.</t>
  </si>
  <si>
    <t>TC_Admin_69</t>
  </si>
  <si>
    <t>To Verify Filter functionality.</t>
  </si>
  <si>
    <t>Filter should work with partial(*) and full search of records.</t>
  </si>
  <si>
    <t>TC_Admin_70</t>
  </si>
  <si>
    <t>To verify that List page of User Center Mapping will display a list of user-zone mappings for the logged-in admin user’s administrative zone and corresponding subzones.</t>
  </si>
  <si>
    <t>TC_Admin_71</t>
  </si>
  <si>
    <t>To verify that Each record has ellipsis that contains Map to Center (for first time mapping), Remap(already mapped User) delete, Active &amp; deactive buttons.</t>
  </si>
  <si>
    <t>TC_Admin_72</t>
  </si>
  <si>
    <t>To verify that when Map to Center option is clicked User is directed to center Mapping page , where User name and Administrative zone are field are disabled and user is only allowed to choose only center from given drop down list.</t>
  </si>
  <si>
    <t>Click on Map to Center option should take user to Center mapping Page.</t>
  </si>
  <si>
    <t>TC_Admin_73</t>
  </si>
  <si>
    <t>Verify Remap user to another center when Center mapping is inactive</t>
  </si>
  <si>
    <t>When User clicks on Remap button should take User to Center mapping detail view page and by selecting different center and clicking on Save button center remapping should be successful and User should land on list view page</t>
  </si>
  <si>
    <t>TC_Admin_74</t>
  </si>
  <si>
    <t>Verify Remap user to another center when Center mapping is active</t>
  </si>
  <si>
    <t>When User clicks on Remap button should take User to Center mapping detail view page and by selecting different center and clicking on Save button should display error message" Deactivate center mapping before remapping "</t>
  </si>
  <si>
    <t>TC_Admin_75</t>
  </si>
  <si>
    <t>To verify that registration centers are filtered based on logged-in admin user’s administrative zone and corresponding subzones.</t>
  </si>
  <si>
    <t>Registration centers are filtered based on logged-in admin user’s administrative zone and corresponding subzones.</t>
  </si>
  <si>
    <t>TC_Admin_76</t>
  </si>
  <si>
    <t>To verify Save Functionality in center mapping page.</t>
  </si>
  <si>
    <t>If user clicks on Save button after selecting Center in the dropdown values the user-center mapping should be successful and user should be redirected back to list view page.</t>
  </si>
  <si>
    <t>TC_Admin_77</t>
  </si>
  <si>
    <t>To verify Cancel functionality in center mapping page.</t>
  </si>
  <si>
    <t>TC_Admin_78</t>
  </si>
  <si>
    <t>To verify the delete button for inactive center mapping.</t>
  </si>
  <si>
    <t>If User clicks on delete option center mapping to user should be deleted.</t>
  </si>
  <si>
    <t>TC_Admin_79</t>
  </si>
  <si>
    <t>To verify the delete button in zone mapping when center mapping is present and active</t>
  </si>
  <si>
    <t>If Logged-in User trying to delete User-zone mapping for which there is center mapping should display a error popup window with message mapping already exist</t>
  </si>
  <si>
    <t>TC_Admin_80</t>
  </si>
  <si>
    <t>To verify remapping of User to another zone with Remap option, when center mapping is present and active</t>
  </si>
  <si>
    <t>If Logged-in User trying to remap User-zone mapping for which there is center mapping should display a error popup window with message mapping already exist</t>
  </si>
  <si>
    <t>TC_Admin_81</t>
  </si>
  <si>
    <t>To deactivate zone mapping when center mapping is present and Active</t>
  </si>
  <si>
    <t>If Logged-in User trying to deactive User-zone mapping for which there is center mapping should display a error popup window with message mapping already exist cannot not be deactivated</t>
  </si>
  <si>
    <t>TC_Admin_82</t>
  </si>
  <si>
    <t>Map to Center  or activate mapping in center mapping screen when Zone mapping is Inactive</t>
  </si>
  <si>
    <t>Should display error message 1. Activate the zone mapping before activating the center mapping
2.  Could not be activated</t>
  </si>
  <si>
    <t>TC_Admin_83</t>
  </si>
  <si>
    <t>To verify Active and Deactive buttons</t>
  </si>
  <si>
    <t>We should be manually active and deactivate the center mapping record.</t>
  </si>
  <si>
    <t>TC_Admin_84</t>
  </si>
  <si>
    <t>TC_Admin_85</t>
  </si>
  <si>
    <t>Verify User detail table for user center mapping details.</t>
  </si>
  <si>
    <t>Data should be stored successfully in DB.</t>
  </si>
  <si>
    <t>TC_Admin_86</t>
  </si>
  <si>
    <t>Verify Zone User table for user zone mapping details.</t>
  </si>
  <si>
    <t>MOSIP-11025</t>
  </si>
  <si>
    <t>User mapping to registration center &amp; user zone mapping</t>
  </si>
  <si>
    <t>TC_Admin_87</t>
  </si>
  <si>
    <t>Zone-center mapping API</t>
  </si>
  <si>
    <t>To verify that user_id should be the same as the one in the identity system.</t>
  </si>
  <si>
    <t>User_id should be the same as the one in the identity system[ Keycloak]</t>
  </si>
  <si>
    <t>TC_Admin_88</t>
  </si>
  <si>
    <t>To verify that zone_id is valid and active.</t>
  </si>
  <si>
    <t>Retreive the zone details using API to check if zone is valid and active.
 Get API: 
 /zones/subzone/eng</t>
  </si>
  <si>
    <t>TC_Admin_89</t>
  </si>
  <si>
    <t>To verify that centre id is valid and active.</t>
  </si>
  <si>
    <t>Retreive the center details using API to check if center is valid and active.
 Get API: getzonespecificregistrationcenters/eng/</t>
  </si>
  <si>
    <t>TC_Admin_90</t>
  </si>
  <si>
    <t>1. Map user to zone i.e logged in administrative zone and corresponding subzones.</t>
  </si>
  <si>
    <t>If Logged in User belongs to NTH , Allowed Zone should be NTH + 12 subzones.so total 13.</t>
  </si>
  <si>
    <t>TC_Admin_91</t>
  </si>
  <si>
    <t>Verify Map center/activate center mapping when zone mapping is inactive</t>
  </si>
  <si>
    <t>user should not be allowed to map/remap/activate center mapping when zone mapping is inactive.</t>
  </si>
  <si>
    <t>TC_Admin_92</t>
  </si>
  <si>
    <t>Active zone mapping using Patch API</t>
  </si>
  <si>
    <t>set Is active flag to true for zone mapped user and save</t>
  </si>
  <si>
    <t>TC_Admin_93</t>
  </si>
  <si>
    <t>Map user to zone , apart from logged in administrative zone and corresponding subzones.</t>
  </si>
  <si>
    <t>System should display valid message saying User is not allowed to map to other zone.</t>
  </si>
  <si>
    <t>TC_Admin_94</t>
  </si>
  <si>
    <t>fetch all center available for Zone mapped .
 Get API: getzonespecificregistrationcenters/eng/</t>
  </si>
  <si>
    <t>Should fetch all center that are available for the mapped zone and should be active.</t>
  </si>
  <si>
    <t>TC_Admin_95</t>
  </si>
  <si>
    <t>To verify that User _id is mapped to the registration center of mapped zone</t>
  </si>
  <si>
    <t>User _id should be mapped to the registration center of same Zone which was mapped.</t>
  </si>
  <si>
    <t>TC_Admin_96</t>
  </si>
  <si>
    <t>Active center mapping using Patch API</t>
  </si>
  <si>
    <t>set Is active flag to true for center mapped user and save</t>
  </si>
  <si>
    <t>TC_Admin_97</t>
  </si>
  <si>
    <t>To verify that User_id is not mapped to the registration center of different zone.</t>
  </si>
  <si>
    <t>System should display valid message saying User is not allowed to map to center other than the mapped zone.</t>
  </si>
  <si>
    <t>TC_Admin_98</t>
  </si>
  <si>
    <t>To verify that user_id is mapped to different registration center of mapped zone</t>
  </si>
  <si>
    <t>User_id should be allowed to map to different registration center of mapped zone in update flow.</t>
  </si>
  <si>
    <t>TC_Admin_99</t>
  </si>
  <si>
    <t>Remap User to different center within the selected zone</t>
  </si>
  <si>
    <t>should be able to Remap user to different center within selected zone.</t>
  </si>
  <si>
    <t>TC_Admin_100</t>
  </si>
  <si>
    <t>Deactive zone mapping when center mapping is present.</t>
  </si>
  <si>
    <t>system should display valid error message saying zone user cannot be deactivated as center mapping is present already.</t>
  </si>
  <si>
    <t>TC_Admin_101</t>
  </si>
  <si>
    <t>Edit zone mapping when center mapping is present.</t>
  </si>
  <si>
    <t>system should display valid error message saying zone user cannot be remapped as center mapping is present already.</t>
  </si>
  <si>
    <t>TC_Admin_102</t>
  </si>
  <si>
    <t>Delete zone mapping when center mapping is present.</t>
  </si>
  <si>
    <t>system should display valid error message saying zone user cannot be deleted as center mapping is present already.</t>
  </si>
  <si>
    <t>TC_Admin_103</t>
  </si>
  <si>
    <t>Delete center mapping .</t>
  </si>
  <si>
    <t>center mapping should be deleted for selected user.</t>
  </si>
  <si>
    <t>TC_Admin_104</t>
  </si>
  <si>
    <t>Verify deactivation/edit/delete in zone mapping API after deleting center mapping.</t>
  </si>
  <si>
    <t>User shoud be allowed to remap/activate/delete zone mapping.</t>
  </si>
  <si>
    <t>TC_Admin_105</t>
  </si>
  <si>
    <t>Verify center mapping after remaping zone</t>
  </si>
  <si>
    <t>user should be allowed to map to centers that are available for Remapped zone.</t>
  </si>
  <si>
    <t>TC_Admin_106</t>
  </si>
  <si>
    <t>To verify that on deleting the mapping details should delete from history table</t>
  </si>
  <si>
    <t>On deleting the mapping details should delete details from history table</t>
  </si>
  <si>
    <t>TC_Admin_107</t>
  </si>
  <si>
    <t>To verify that mapping details are captured for map/remap action in history table</t>
  </si>
  <si>
    <t>Mapping details should be updated in history table</t>
  </si>
  <si>
    <t>MOSIP-17126</t>
  </si>
  <si>
    <t>New APIs to get subZones and leafZones for a given zone</t>
  </si>
  <si>
    <t>TC_Admin_108</t>
  </si>
  <si>
    <t>Administrative zone visibility based on logged in user Administrative zone in UI</t>
  </si>
  <si>
    <t>Logged in zone North
 1.center create admin zones -9
 2.center update admin zones-9</t>
  </si>
  <si>
    <t>Rabat, Kenitra, Salé, Benslimane,
 Casablanca, Settat, Nador, Berkane, Jerada</t>
  </si>
  <si>
    <t>TC_Admin_109</t>
  </si>
  <si>
    <t>Logged in zone North
 1.Device create admin zones -13
 2.device update admin zones-13</t>
  </si>
  <si>
    <t>North, RabatSaleKenitra,
 Casablanca-Settat, Rabat, 
 Kenitra, Salé , Benslimane,
 Casablanca, Settat, Nador, Berkane, Jerada</t>
  </si>
  <si>
    <t>TC_Admin_110</t>
  </si>
  <si>
    <t>Logged in zone North
 1.Machine create admin zones -13
 2.Machine update admin zones-13</t>
  </si>
  <si>
    <t>North, RabatSaleKenitra, Casablanca-Settat, Rabat, Kenitra, Salé , Benslimane,Casablanca, Settat, Nador, Berkane, Jerada</t>
  </si>
  <si>
    <t>TC_Admin_111</t>
  </si>
  <si>
    <t>Logged in zone North
 1.User zone mapping create admin zones -13
 2.User zone mapping update admin zones-13</t>
  </si>
  <si>
    <t>North, RabatSaleKenitra,
 Casablanca-Settat, Rabat, 
 Kenitra, Salé , Benslimane,Casablanca, Settat, Nador, Berkane, Jerada</t>
  </si>
  <si>
    <t>TC_Admin_112</t>
  </si>
  <si>
    <t>Logged in zone North
 1.User center mapping update admin zones-search DB
 for list of center name</t>
  </si>
  <si>
    <t>10 according to DB
 Rural Municipal Mnasra, Souk Khemiss Mograne, Center Mehdia, Center Ouled Oujih, Center Sidi Taibi, Center A Ben Mansour, Center Assam, Center Rabat, Urban Municipal Center, test</t>
  </si>
  <si>
    <t>TC_Admin_113</t>
  </si>
  <si>
    <t>Logged in zone RABATSALEKENITRA
 1.center create admin zones -3
 2.center update admin zones-3</t>
  </si>
  <si>
    <t>Rabat
 Kenitra,Sale</t>
  </si>
  <si>
    <t>TC_Admin_114</t>
  </si>
  <si>
    <t>Logged in zone RABATSALEKENITRA
 1.Device create admin zones -4
 2.Device update admin zones-4</t>
  </si>
  <si>
    <t>RabatSaleKenitra
 Rabat
 Kenitra
 Sale</t>
  </si>
  <si>
    <t>TC_Admin_115</t>
  </si>
  <si>
    <t>Logged in zone RABATSALEKENITRA
 1.Machine create admin zones -4
 2.Machine update admin zones-4</t>
  </si>
  <si>
    <t>TC_Admin_116</t>
  </si>
  <si>
    <t>Logged in zone RABATSALEKENITRA
 1.User zone mapping create admin zones -4
 2.User zone mapping update admin zones-4</t>
  </si>
  <si>
    <t>TC_Admin_117</t>
  </si>
  <si>
    <t>Logged in zone RABATSALEKENITRA
 1.User center mapping update admin zones-search DB
 for list of center name</t>
  </si>
  <si>
    <t>6 according to DB
 Rural Municipal Mnasra,Souk Khemiss Mograne,
 Center A Ben Mansour,Center Assam,Center Rabat,Urban Municipal Center</t>
  </si>
  <si>
    <t>TC_Admin_118</t>
  </si>
  <si>
    <t>Logged in zone CASABLANCA-SETTAT
 1.center create admin zones -3
 2.center update admin zones-3</t>
  </si>
  <si>
    <t>Benslimane,Casablanca,Settat</t>
  </si>
  <si>
    <t>TC_Admin_119</t>
  </si>
  <si>
    <t>Logged in zone CASABLANCA-SETTAT
 1.Device create admin zones -4
 2.Device update admin zones-4</t>
  </si>
  <si>
    <t>Casablanca-Settat, Benslimane,Casablanca,Settat</t>
  </si>
  <si>
    <t>TC_Admin_120</t>
  </si>
  <si>
    <t>Logged in zone CASABLANCA-SETTAT
 1.Machine create admin zones -4
 2.Machine update admin zones-4</t>
  </si>
  <si>
    <t>TC_Admin_121</t>
  </si>
  <si>
    <t>Logged in zone CASABLANCA-SETTAT
 1.User zone mapping create admin zones -4
 2.User zone mapping update admin zones-4</t>
  </si>
  <si>
    <t>TC_Admin_122</t>
  </si>
  <si>
    <t>Logged in zone CASABLANCA-SETTAT
 1.User center mapping update admin zones-search DB 
 for list of center name</t>
  </si>
  <si>
    <t>3 According to DB
 Center Mehdia, Center Sidi Taibi, test</t>
  </si>
  <si>
    <t>TC_Admin_123</t>
  </si>
  <si>
    <t>Logged in zone ORIENTAL
 1.center create admin zones -3
 2.center update admin zones-3</t>
  </si>
  <si>
    <t>Nador,
 Berkane,
 Jerada</t>
  </si>
  <si>
    <t>TC_Admin_124</t>
  </si>
  <si>
    <t>Logged in zone ORIENTAL
 1.Device create admin zones -4
 2.Device update admin zones-4</t>
  </si>
  <si>
    <t>Oriental
 Nador,
 Berkane,
 Jerada</t>
  </si>
  <si>
    <t>TC_Admin_125</t>
  </si>
  <si>
    <t>Logged in zone ORIENTAL
 1.Machine create admin zones -4
 2.Machine update admin zones-4</t>
  </si>
  <si>
    <t>TC_Admin_126</t>
  </si>
  <si>
    <t>Logged in zone ORIENTAL
 1.User zone mapping create admin zones -4
 2.User zone mapping update admin zones-4</t>
  </si>
  <si>
    <t>TC_Admin_127</t>
  </si>
  <si>
    <t>Logged in zone ORIENTAL
 1.User center mapping update admin zones-search DB 
 for list of center name</t>
  </si>
  <si>
    <t>1 according to DB
 Center Ouled Oujih</t>
  </si>
  <si>
    <t>TC_Admin_128</t>
  </si>
  <si>
    <t>Logged in zone South
 1.center create admin zones -4
 2.center update admin zones- 4</t>
  </si>
  <si>
    <t>Safi ,Youssoufia ,Tata ,Tiznit</t>
  </si>
  <si>
    <t>TC_Admin_129</t>
  </si>
  <si>
    <t>Logged in zone South
 1.Machine create admin zones -7
 2.Machine update admin zones-7</t>
  </si>
  <si>
    <t>South,Marrakesh-Safi, SoussMassa, Tata,Tiznit, Safi, Youssoufia</t>
  </si>
  <si>
    <t>TC_Admin_130</t>
  </si>
  <si>
    <t>TC_Admin_131</t>
  </si>
  <si>
    <t>Logged in zone South
 1.User zone mapping create admin zones -7
 2.User zone mapping update admin zones-7</t>
  </si>
  <si>
    <t>TC_Admin_132</t>
  </si>
  <si>
    <t>Logged in zone South
 1.User center mapping update admin zones-search DB
 for list of center name</t>
  </si>
  <si>
    <t>6 according to DB
 Center Agdal,Center Hassan,Center Madinat Al Irfane,Center Hay Riad,Center Sidi Allal Tazi Test,Center Medina</t>
  </si>
  <si>
    <t>TC_Admin_133</t>
  </si>
  <si>
    <t>Logged in zone MARRAKESH-SAFI
 1.center create admin zones -2
 2.center update admin zones-2</t>
  </si>
  <si>
    <t>Safi, Youssoufia</t>
  </si>
  <si>
    <t>TC_Admin_134</t>
  </si>
  <si>
    <t>Logged in zone MARRAKESH-SAFI
 1.Device create admin zones -3
 2.Device update admin zones-3</t>
  </si>
  <si>
    <t>Marrakesh-Safi
 Safi 
 Youssoufia</t>
  </si>
  <si>
    <t>TC_Admin_135</t>
  </si>
  <si>
    <t>Logged in zone MARRAKESH-SAFI
 1.Machine create admin zones -3
 2.Machine update admin zones-3</t>
  </si>
  <si>
    <t>TC_Admin_136</t>
  </si>
  <si>
    <t>Logged in zone MARRAKESH-SAFI
 1.User zone mapping create admin zones -3
 2.User zone mapping update admin zones-3</t>
  </si>
  <si>
    <t>TC_Admin_137</t>
  </si>
  <si>
    <t>Logged in zone MARRAKESH-SAFI
 1.User center mapping update admin zones-search 
 DB for list of center name</t>
  </si>
  <si>
    <t>4 according to DB
 Center Agdal, Center Madinat Al Irfane,
 Center Hay Riad, Center Sidi Allal Tazi Test</t>
  </si>
  <si>
    <t>TC_Admin_138</t>
  </si>
  <si>
    <t>Logged in zone SOUSS-MASSA
 1.center create admin zones -2
 2.center update admin zones-2</t>
  </si>
  <si>
    <t>Tiznit, Tata</t>
  </si>
  <si>
    <t>TC_Admin_139</t>
  </si>
  <si>
    <t>Logged in zone SOUSS-MASSA
 1.Device create admin zones -3
 2.Device update admin zones-3</t>
  </si>
  <si>
    <t>Souss-Massa, Tiznit, Tata</t>
  </si>
  <si>
    <t>TC_Admin_140</t>
  </si>
  <si>
    <t>Logged in zone SOUSS-MASSA
 1.Machine create admin zones -3
 2.Machine update admin zones-3</t>
  </si>
  <si>
    <t>TC_Admin_141</t>
  </si>
  <si>
    <t>Logged in zone SOUSS-MASSA
 1.User zone mapping create admin zones -3
 2.User zone mapping update admin zones-3</t>
  </si>
  <si>
    <t>TC_Admin_142</t>
  </si>
  <si>
    <t>Logged in zone SOUSS-MASSA
 1.User center mapping update admin zones-search DB for list of center name</t>
  </si>
  <si>
    <t>2 According to DB
 Center Hassan, Center Medina</t>
  </si>
  <si>
    <t>TC_Admin_143</t>
  </si>
  <si>
    <t>Administrative zone visibility based on logged in user Administrative zone in API</t>
  </si>
  <si>
    <t>logged in Zone North</t>
  </si>
  <si>
    <t>SubZones- 13
 North, RabatSaleKenitra,Casablanca-Settat, Rabat, Kenitra, Salé , Benslimane,
 Casablanca, Settat, Nador, Berkane, Jerada</t>
  </si>
  <si>
    <t>TC_Admin_144</t>
  </si>
  <si>
    <t>leafzones -9
 Rabat, Kenitra, Salé, Benslimane,
 Casablanca, Settat, Nador, Berkane, Jerada</t>
  </si>
  <si>
    <t>TC_Admin_145</t>
  </si>
  <si>
    <t>logged in zone RABATSALEKENITRA</t>
  </si>
  <si>
    <t>Subzones -4 
 RabatSaleKenitra
 Rabat
 Kenitra
 Sale</t>
  </si>
  <si>
    <t>TC_Admin_146</t>
  </si>
  <si>
    <t>leafzones-3
 Rabat
 Kenitra
 Sale</t>
  </si>
  <si>
    <t>TC_Admin_147</t>
  </si>
  <si>
    <t>logged in zone CASABLANCA-SETTAT</t>
  </si>
  <si>
    <t>Subzones -4 
 Casablanca-Settat, 
 Benslimane,
 Casablanca,
 Settat</t>
  </si>
  <si>
    <t>TC_Admin_148</t>
  </si>
  <si>
    <t>leafzones-3
 Benslimane,
 Casablanca,
 Settat</t>
  </si>
  <si>
    <t>TC_Admin_149</t>
  </si>
  <si>
    <t>logged in zone ORIENTAL</t>
  </si>
  <si>
    <t>subzones -4
 Oriental
 Nador,
 Berkane,
 Jerada</t>
  </si>
  <si>
    <t>TC_Admin_150</t>
  </si>
  <si>
    <t>leafzones-3
 Nador,
 Berkane,
 Jerada</t>
  </si>
  <si>
    <t>TC_Admin_151</t>
  </si>
  <si>
    <t>logged in Zone South</t>
  </si>
  <si>
    <t>Subzones -7 
 South,Marrakesh-Safi, SoussMassa, Tata,Tiznit, Safi, Youssoufia</t>
  </si>
  <si>
    <t>TC_Admin_152</t>
  </si>
  <si>
    <t>leafzones- 4
 Safi ,Youssoufia ,Tata ,Tiznit</t>
  </si>
  <si>
    <t>TC_Admin_153</t>
  </si>
  <si>
    <t>logged in zone MARRAKESH-SAFI</t>
  </si>
  <si>
    <t>Subzones -3
 Safi, Youssoufia,Marrakesh-Safi</t>
  </si>
  <si>
    <t>TC_Admin_154</t>
  </si>
  <si>
    <t>leafzones-2
 Safi, Youssoufia</t>
  </si>
  <si>
    <t>TC_Admin_155</t>
  </si>
  <si>
    <t>logged in zone SOUSS-MASSA</t>
  </si>
  <si>
    <t>Subzones -3
 Souss-Massa, Tiznit, Tata</t>
  </si>
  <si>
    <t>TC_Admin_156</t>
  </si>
  <si>
    <t>leafzones-2
 Tiznit, Tata</t>
  </si>
  <si>
    <t>MOSIP-53</t>
  </si>
  <si>
    <t xml:space="preserve">UI: As the MOSIP Administrator, I should be able to create and update a Center Type
</t>
  </si>
  <si>
    <t>TC_Admin_157</t>
  </si>
  <si>
    <t>MasterData-center type</t>
  </si>
  <si>
    <t>1. Login to Admin
 2. MasterData dashboard</t>
  </si>
  <si>
    <t>Verify the presence Center type</t>
  </si>
  <si>
    <t>Masterdata dashboard should contain Center Type feature.</t>
  </si>
  <si>
    <t>TC_Admin_158</t>
  </si>
  <si>
    <t>1. Login to Admin
 2. MasterData dashboard
 3. Center Type</t>
  </si>
  <si>
    <t>Verify action when user clicks on center type feature in MasterData dashboard</t>
  </si>
  <si>
    <t>user should land on Center type list view page which contains details center type of previously created.</t>
  </si>
  <si>
    <t>TC_Admin_159</t>
  </si>
  <si>
    <t>1. Login to Admin
 2. MasterData dashboard
 3. Center Type
 4. +Create</t>
  </si>
  <si>
    <t>Verify the action when user click on the "+create" button in CenterType listview page.[buttons will be displayed as per logged-in language.</t>
  </si>
  <si>
    <t>The user should land on the Center type Create Form</t>
  </si>
  <si>
    <t>TC_Admin_160</t>
  </si>
  <si>
    <t>1. Login to Admin
 2. MasterData dashboard
 3. Center Type
 4. +Create
 5. SAVE</t>
  </si>
  <si>
    <t>To verify center type creation when all mandatory fields are filled.</t>
  </si>
  <si>
    <t>The system will display a confirmation message in logged-in language  a pop-up asking for Administrator’s confirmation with buttons ‘Confirm’ and ‘Cancel’.
 Message on pop-up window: “You are about to create a Center Type. Please ensure that all the information is correct. A Center Type Code will be generated once you confirm”</t>
  </si>
  <si>
    <t>TC_Admin_161</t>
  </si>
  <si>
    <t>Verify action when user clicks on CONFIRM button on confirmation pop-up [ when transaction is successful]</t>
  </si>
  <si>
    <t>On successful creation system should display Success pop-up message with DONE button , When User Clicks on DONE button user should be redirected centertype LIST VIEW page.</t>
  </si>
  <si>
    <t>TC_Admin_162</t>
  </si>
  <si>
    <t>Verify action when user clicks on CONFIRM button on confirmation pop-up [ when transaction fails]</t>
  </si>
  <si>
    <t>On failure System should display failure pop-up message intimating the reason for failure with DONE button, When user clicks on DONE button user should be landed to detailview page with pre-loaded data.</t>
  </si>
  <si>
    <t>TC_Admin_163</t>
  </si>
  <si>
    <t>To verify the existance of centerType created in CenterType List view page.</t>
  </si>
  <si>
    <t>CenterType created should be in CenterType list view page and status flag should be inactive.</t>
  </si>
  <si>
    <t>TC_Admin_164</t>
  </si>
  <si>
    <t>1. Login to Admin
 2. MasterData dashboard
 3. Center Type
 4. +Create
 5. SAVE
 6. ListView page
 7. Activate</t>
  </si>
  <si>
    <t>Verify Activation of center type created</t>
  </si>
  <si>
    <t>When user clicks on ellipses beside center type record should have Activate button , when clicked system display confirmation pop-up message with CONFIRM and CANCEL button.
 Message on pop-up: "Do you want to Activate &lt;Center Name&gt;?
 You can Deactivate it later if you wish. Till then it will be set as Active [ message will be displayed in logged-in language].</t>
  </si>
  <si>
    <t>TC_Admin_165</t>
  </si>
  <si>
    <t>Verify the action when User clicks on CONFIRM button in Activation confirmation pop-up [In case of success]</t>
  </si>
  <si>
    <t>centertype should be activated successful with success popup message with DONE button , when user clicks on DONE button user should be back to list view page.</t>
  </si>
  <si>
    <t>TC_Admin_166</t>
  </si>
  <si>
    <t>Verify the action when User clicks on CONFIRM button in Activation confirmation pop-up [In case of failure]</t>
  </si>
  <si>
    <t>should display with failure popup message with DONE button , when user clicks on DONE button user should be back to list view page.</t>
  </si>
  <si>
    <t>TC_Admin_167</t>
  </si>
  <si>
    <t>1. Login to Admin
 2. MasterData dashboard
 3. Center Type
 4. +Create
 5. SAVE
 6. ListView page
 7. Activate
 6. Resources&gt;&gt;Center</t>
  </si>
  <si>
    <t>Verify Active center type in the drop down field of Create and Update Registration screen</t>
  </si>
  <si>
    <t>All the active center type should be listed under the drop down in create and update form of registration center and user should be able to consume centertype while registration center creation.</t>
  </si>
  <si>
    <t>TC_Admin_168</t>
  </si>
  <si>
    <t>Verify the action when User clicks on CANCEL button in Activation confirmation pop-up</t>
  </si>
  <si>
    <t>User should be back to the listview page</t>
  </si>
  <si>
    <t>TC_Admin_169</t>
  </si>
  <si>
    <t>1. Login to Admin
 2. MasterData dashboard
 3. Center Type
 4. +Create
 5. SAVE
 6. ListView page
 7. Deactivation</t>
  </si>
  <si>
    <t>Verify Deactivation of Active center type .</t>
  </si>
  <si>
    <t>When user clicks on ellipses beside center type record should have Deactive button , when clicked system display confirmation pop-up message with CONFIRM and CANCEL button.
 Message on pop-up: "Do you want to Deactivate &lt;CenterType Name&gt; ?
 You can Activate it later if you wish. Till then it will be set as Inactive".</t>
  </si>
  <si>
    <t>TC_Admin_170</t>
  </si>
  <si>
    <t>Verify the action when User clicks on CONFIRM button in Deactivation confirmation pop-up [In case of success]</t>
  </si>
  <si>
    <t>centertype should be deactivated successfully with success popup message with DONE button , when user clicks on DONE button user should be back to list view page.</t>
  </si>
  <si>
    <t>TC_Admin_171</t>
  </si>
  <si>
    <t>Verify Deactivation of Active center type when mapping is present with Center.</t>
  </si>
  <si>
    <t>Should display failure message with DONE button saying " Mapping present center type cannot be deactivated". 
 when user clicks on DONE button user should be back to list view page.</t>
  </si>
  <si>
    <t>TC_Admin_172</t>
  </si>
  <si>
    <t>1. Login to Admin
 2. MasterData dashboard
 3. Center Type
 4. +Create
 5. SAVE
 6. ListView page
 7. EDIT</t>
  </si>
  <si>
    <t>Verify the action when user click on the "edit option" button in CenterType listview page.</t>
  </si>
  <si>
    <t>The user should land on the Center type Detail View page and CODE field should be disabled.</t>
  </si>
  <si>
    <t>TC_Admin_173</t>
  </si>
  <si>
    <t>To click on Save button after modifying the details under Center type edit page.</t>
  </si>
  <si>
    <t>The system will display a confirmation message on a pop-up asking for Administrator’s confirmation with buttons ‘Confirm’ and ‘Cancel’.
 Message on pop-up window " “You are about to update a Center Type. Please ensure that all the information is correct."</t>
  </si>
  <si>
    <t>TC_Admin_174</t>
  </si>
  <si>
    <t>Verify action when user click on CONFIRM button in edit confirmation pop-up</t>
  </si>
  <si>
    <t>Center type should be update successfully , with success message with DONE button , when user clicks on DONE button should redirect user to Listview page.</t>
  </si>
  <si>
    <t>TC_Admin_175</t>
  </si>
  <si>
    <t>Verify action when user click on CANCEL button in edit confirmation pop-up.</t>
  </si>
  <si>
    <t>user should land on Center type update page with pre-entered data.</t>
  </si>
  <si>
    <t>TC_Admin_176</t>
  </si>
  <si>
    <t>To check the behaviour when User login by selecting eng and tries to create record in arabic only.</t>
  </si>
  <si>
    <t>User should not be allowed to create record. should give field validation message for login language fields .</t>
  </si>
  <si>
    <t>TC_Admin_177</t>
  </si>
  <si>
    <t>1. Login to Admin
 2. MasterData dashboard
 3. Center Type
 4. +Create/ Edit</t>
  </si>
  <si>
    <t>User to click on other module or button to navigation somewhere else while in the Center type Create page .</t>
  </si>
  <si>
    <t>The system should throw error as "“Are you sure you want to navigate away from this page? Any unsaved data will be lost”" with option as "STAY" anf "Leave"</t>
  </si>
  <si>
    <t>TC_Admin_178</t>
  </si>
  <si>
    <t>Verify functionality when user clicks on Stay button</t>
  </si>
  <si>
    <t>All the filled data should be-retained and the Administrator should be re-directed back to the pre-filled Center type Create form where they can continue the action</t>
  </si>
  <si>
    <t>TC_Admin_179</t>
  </si>
  <si>
    <t>verify the functioanlity when user clicks on Leave button</t>
  </si>
  <si>
    <t>The system should not retain any data and should re-direct the Administrator to the functionality clicked upon</t>
  </si>
  <si>
    <t>TC_Admin_180</t>
  </si>
  <si>
    <t>To verify the error message when the Fields are provided with invalid data format [special characters] in Code section</t>
  </si>
  <si>
    <t>Show throw error message as "&lt;Field Name&gt; should be in &lt;Format&gt; format&gt; is required"</t>
  </si>
  <si>
    <t>TC_Admin_181</t>
  </si>
  <si>
    <t>To verify the error message when the Fields are provided with data or than expected length</t>
  </si>
  <si>
    <t>Show throw error message as "
 Exceeded max langth (&lt;max length&gt;)"</t>
  </si>
  <si>
    <t>TC_Admin_182</t>
  </si>
  <si>
    <t>Verify the button for Virtual Keyboard</t>
  </si>
  <si>
    <t>Incase the Create form is rendered in two languages, virtual keyboard button should be available on both sides of the Center type Create form</t>
  </si>
  <si>
    <t>TC_Admin_183</t>
  </si>
  <si>
    <t>Verify the functinality of virtual keyboard</t>
  </si>
  <si>
    <t>The virtual keyboard button should open the keyboard in the country configured language, User should be able to create Center type successfully when inputs are given through virtual keyboard.</t>
  </si>
  <si>
    <t>TC_Admin_184</t>
  </si>
  <si>
    <t>To close the virtual key board</t>
  </si>
  <si>
    <t>User should click on Virtual keyboard icon to again close the Keyboard or an Esc Key.</t>
  </si>
  <si>
    <t>TC_Admin_185</t>
  </si>
  <si>
    <t>1. Login to Admin
 2. MasterData dashboard
 3. Center Type
 4. Listview page
 5. clonning button</t>
  </si>
  <si>
    <t>Verify functionality of center type clonning button</t>
  </si>
  <si>
    <t>When user clicks on clonning button should display list records that are not available in login language, upon click on the record user should land on Center type detail view page , when all are copied to login language center type should be created successfully when save button is clicked.</t>
  </si>
  <si>
    <t>TC_Admin_186</t>
  </si>
  <si>
    <t>Verify clonned record in the clonning button list again</t>
  </si>
  <si>
    <t>clonned record should be removed from clonning button after successful clonning.</t>
  </si>
  <si>
    <t>TC_Admin_187</t>
  </si>
  <si>
    <t>Verify Status flag After clonning the Active record .</t>
  </si>
  <si>
    <t>Center type should be clonned and status flag should be Active .</t>
  </si>
  <si>
    <t>TC_Admin_188</t>
  </si>
  <si>
    <t>Verify Status flag After clonning the Inactive record .</t>
  </si>
  <si>
    <t>Center type should be clonned and status flag should be Deactive</t>
  </si>
  <si>
    <t>TC_Admin_189</t>
  </si>
  <si>
    <t>Verify status flag changes for clonned records</t>
  </si>
  <si>
    <t>If changes status flag in one language should also change in other configured languages.</t>
  </si>
  <si>
    <t>TC_Admin_190</t>
  </si>
  <si>
    <t>verify editing scenario after clonning</t>
  </si>
  <si>
    <t>After clonning data to arabic successfully ,If user opens the record in edit view and make changes to english data upon save user should see changes in english login</t>
  </si>
  <si>
    <t>TC_Admin_191</t>
  </si>
  <si>
    <t>1. Login to Admin
 2. MasterData dashboard
 3. Center Type
 4. Listview page</t>
  </si>
  <si>
    <t>Verify column sort in centertype listview page</t>
  </si>
  <si>
    <t>when user clicks on column sort the record should be sorted based on ascending and desecending order.</t>
  </si>
  <si>
    <t>TC_Admin_192</t>
  </si>
  <si>
    <t>1. Login to Admin
 2. MasterData dashboard
 3. Center Type
 4. Listview page
 5. Filters</t>
  </si>
  <si>
    <t>Verify pagination option to view records per page</t>
  </si>
  <si>
    <t>Based on the selected number in paginate dropdown records should be displayed per page .</t>
  </si>
  <si>
    <t>TC_Admin_193</t>
  </si>
  <si>
    <t>verify LAST page navigation using paginate option</t>
  </si>
  <si>
    <t>When user clicks on Last page navigation link [&gt;|] ,should land on last page of the records.</t>
  </si>
  <si>
    <t>TC_Admin_194</t>
  </si>
  <si>
    <t>verify FIRST page navigation using paginate option</t>
  </si>
  <si>
    <t>When user clicks on First page navigation link [|&lt;] ,should land on first page of the records.</t>
  </si>
  <si>
    <t>TC_Admin_195</t>
  </si>
  <si>
    <t>Verify paginate option for NEXT and PREVIOUS pages</t>
  </si>
  <si>
    <t>1. when user clicks on [&gt;] link should navigate to Next pages if available
 2. when user clicks on [&lt;] link should navigate to previous pages if available</t>
  </si>
  <si>
    <t>TC_Admin_196</t>
  </si>
  <si>
    <t>Verify Filter search [Code, Status, Name]</t>
  </si>
  <si>
    <t>User should be able to fectch center type based filter values , filter search should support matching sequence of character eg: **aaba**</t>
  </si>
  <si>
    <t>TC_Admin_197</t>
  </si>
  <si>
    <t>Verify filter search for records that are available in different pages</t>
  </si>
  <si>
    <t>User should be able fetch the data of records that are available in different pages.</t>
  </si>
  <si>
    <t>TC_Admin_198</t>
  </si>
  <si>
    <t>Create Center type which is already present and active</t>
  </si>
  <si>
    <t>system should displayed error message " center type already exist".</t>
  </si>
  <si>
    <t>TC_Admin_199</t>
  </si>
  <si>
    <t>1. Login to Admin
 2. MasterData dashboard
 3. Center Type
 4. Listview page
 5. +create/update</t>
  </si>
  <si>
    <t>1. Create center type in lang1 and create Center by consuming same center type 
 2. login to lang2 and try clonning same Center which was created in lang1</t>
  </si>
  <si>
    <t>System should display error message "Registration Center type not found in logged language" with OK button , when user clicks on OK should be back to detail view page.</t>
  </si>
  <si>
    <t>TC_Admin_200</t>
  </si>
  <si>
    <t>Check the logout option</t>
  </si>
  <si>
    <t>User should be able to logout while present under Create Center type form page</t>
  </si>
  <si>
    <t>TC_Admin_201</t>
  </si>
  <si>
    <t>MasterData-Blocklisted words</t>
  </si>
  <si>
    <t>Verify the presence blocklisted words feature</t>
  </si>
  <si>
    <t>Masterdata dashboard should contain blocklisted feature.</t>
  </si>
  <si>
    <t>TC_Admin_202</t>
  </si>
  <si>
    <t>1. Login to Admin
 2. MasterData dashboard
 3. Blocklisted words</t>
  </si>
  <si>
    <t>Verify action when user clicks on Blocklisted words feature in MasterData dashboard</t>
  </si>
  <si>
    <t>user should land on Blocklisted words list view page which contains details of blocked words which is created previously</t>
  </si>
  <si>
    <t>TC_Admin_203</t>
  </si>
  <si>
    <t>1. Login to Admin
 2. MasterData dashboard
 3. Blocklisted words
 4. +Create</t>
  </si>
  <si>
    <t>Verify the action when user click on the "+create" button in Blocklisted words listview page.</t>
  </si>
  <si>
    <t>The user should land on the Blocklisted words Create Form</t>
  </si>
  <si>
    <t>TC_Admin_204</t>
  </si>
  <si>
    <t>1. Login to Admin
 2. MasterData dashboard
 3. Blocklisted words
 4. +Create
 5. SAVE</t>
  </si>
  <si>
    <t>To verify Blocklisted words creation when all mandatory fields are filled.</t>
  </si>
  <si>
    <t>Blocklisted words should be created successfully with success pop-up button which has DONE button, when DONE button is clicked user should land on the listview page.</t>
  </si>
  <si>
    <t>TC_Admin_205</t>
  </si>
  <si>
    <t>1. Login to Admin
 2. MasterData dashboard
 3. Blocklisted words
 4. +Create
 5. SAVE
 6. Listview page</t>
  </si>
  <si>
    <t>To verify the existance of Blocklisted words created in Blocklisted words List view page.</t>
  </si>
  <si>
    <t>Blocklisted words created should be in Blocklisted words list view page and status flag should be inactive.</t>
  </si>
  <si>
    <t>TC_Admin_206</t>
  </si>
  <si>
    <t>1. Login to Admin
 2. MasterData dashboard
 3. Blocklisted words
 4. +Create
 5. SAVE
 6. ListView page
 7. Activate</t>
  </si>
  <si>
    <t>Verify Activation of Blocklisted words created</t>
  </si>
  <si>
    <t>When user clicks on ellipses beside Blocklisted words record should have Activate button , when clicked system display confirmation pop-up message with CONFIRM and CANCEL button.
 Message on pop-up: "Do you want to Activate &lt;Blocklisted words&gt;?
 You can Deactivate it later if you wish. Till then it will be set as Active</t>
  </si>
  <si>
    <t>TC_Admin_207</t>
  </si>
  <si>
    <t>Blocklisted words should be activated successful with success popup message with DONE button , when user clicks on DONE button user should be back to list view page.</t>
  </si>
  <si>
    <t>TC_Admin_208</t>
  </si>
  <si>
    <t>TC_Admin_209</t>
  </si>
  <si>
    <t>TC_Admin_210</t>
  </si>
  <si>
    <t>1. Login to Admin
 2. MasterData dashboard
 3. Blocklisted words
 4. +Create
 5. SAVE
 6. ListView page
 7. Deactivation</t>
  </si>
  <si>
    <t>Verify Deactivation of Active Blocklisted words.</t>
  </si>
  <si>
    <t>When user clicks on ellipses beside Blocklisted words record should have Deactive button , when clicked system display confirmation pop-up message with CONFIRM and CANCEL button.
 Message on pop-up: "Do you want to Deactivate &lt;Blocklisted words&gt; ?
 You can Activate it later if you wish. Till then it will be set as Inactive".</t>
  </si>
  <si>
    <t>TC_Admin_211</t>
  </si>
  <si>
    <t>Blocklisted words should be deactivated successfully with success popup message with DONE button , when user clicks on DONE button user should be back to list view page.</t>
  </si>
  <si>
    <t>TC_Admin_212</t>
  </si>
  <si>
    <t>1. Login to Admin
 2. MasterData dashboard
 3. Blocklisted words
 4. +Create
 5. SAVE
 6. ListView page
 7. EDIT</t>
  </si>
  <si>
    <t>Verify the action when user click on the "edit option" button in Blocklisted words listview page.</t>
  </si>
  <si>
    <t>The user should land on the Blocklisted words Detail View page .</t>
  </si>
  <si>
    <t>TC_Admin_213</t>
  </si>
  <si>
    <t>To click on Save button after modifying the details under Blocklisted words edit page.</t>
  </si>
  <si>
    <t>Blocklisted words should be update successfully with success pop-up message with DONE button, when user clicks on DONE button should redirect user to Listview page.</t>
  </si>
  <si>
    <t>TC_Admin_214</t>
  </si>
  <si>
    <t>1. Login to Admin
 2. MasterData dashboard
 3. Blocklisted words
 4. +Create/ Edit</t>
  </si>
  <si>
    <t>User to click on other module or button to navigation somewhere else while in the Blocklisted words Create page .</t>
  </si>
  <si>
    <t>user should land up the link or feature clicked upon.</t>
  </si>
  <si>
    <t>TC_Admin_215</t>
  </si>
  <si>
    <t>TC_Admin_216</t>
  </si>
  <si>
    <t>when user clicks on virtual keyboard icon , virtual keyboard should be rendered in logged in language.</t>
  </si>
  <si>
    <t>TC_Admin_217</t>
  </si>
  <si>
    <t>The virtual keyboard button should open the keyboard in the country configured language, User should be able to create Blocklisted words successfully when inputs are given through virtual keyboard.</t>
  </si>
  <si>
    <t>TC_Admin_218</t>
  </si>
  <si>
    <t>TC_Admin_219</t>
  </si>
  <si>
    <t>1. Login to Admin
 2. MasterData dashboard
 3. Blocklisted words
 4. Listview page</t>
  </si>
  <si>
    <t>Verify column sort in Blocklisted words listview page</t>
  </si>
  <si>
    <t>TC_Admin_220</t>
  </si>
  <si>
    <t>1. Login to Admin
 2. MasterData dashboard
 3. Blocklisted words
 4. Listview page
 5. Filters</t>
  </si>
  <si>
    <t>TC_Admin_221</t>
  </si>
  <si>
    <t>TC_Admin_222</t>
  </si>
  <si>
    <t>TC_Admin_223</t>
  </si>
  <si>
    <t>TC_Admin_224</t>
  </si>
  <si>
    <t>Verify Filter search [Blocklisted words, Status]</t>
  </si>
  <si>
    <t>User should be able to fectch Blocklisted words based filter values , filter search should support matching sequence of character eg: **aaba**</t>
  </si>
  <si>
    <t>TC_Admin_225</t>
  </si>
  <si>
    <t>TC_Admin_226</t>
  </si>
  <si>
    <t>1. Login to Admin
 2. MasterData dashboard
 3. Blocklisted words
 4. Listview page
 5. +create/update</t>
  </si>
  <si>
    <t>User should be able to logout while present under Create Blocklisted words form page</t>
  </si>
  <si>
    <t>TC_Admin_227</t>
  </si>
  <si>
    <t>Verify Edit and status changes in multiple configured language</t>
  </si>
  <si>
    <t>update or status changes done in one language should reflect in other configured languages.</t>
  </si>
  <si>
    <t>TC_Admin_228</t>
  </si>
  <si>
    <t>MasterData-List-of-holiday</t>
  </si>
  <si>
    <t>Verify the presence List-of-holiday</t>
  </si>
  <si>
    <t>Masterdata dashboard should contain List-of-holiday feature.</t>
  </si>
  <si>
    <t>TC_Admin_229</t>
  </si>
  <si>
    <t>1. Login to Admin
 2. MasterData dashboard
 3. List-of-holiday</t>
  </si>
  <si>
    <t>Verify action when user clicks on List-of-holiday feature in MasterData dashboard</t>
  </si>
  <si>
    <t>user should land on List-of-holiday list view page which contains details List-of-holiday of previously created.</t>
  </si>
  <si>
    <t>TC_Admin_230</t>
  </si>
  <si>
    <t>1. Login to Admin
 2. MasterData dashboard
 3. List-of-holiday
 4. +Create</t>
  </si>
  <si>
    <t>Verify the action when user click on the "+create" button in List-of-holiday listview page.</t>
  </si>
  <si>
    <t>The user should land on the List-of-holiday Create Form</t>
  </si>
  <si>
    <t>TC_Admin_231</t>
  </si>
  <si>
    <t>1. Login to Admin
 2. MasterData dashboard
 3. List-of-holiday
 4. +Create
 5. SAVE</t>
  </si>
  <si>
    <t>To verify List-of-holiday creation when all mandatory fields are filled.</t>
  </si>
  <si>
    <t>The system will display a confirmation message on a pop-up asking for Administrator’s confirmation with buttons ‘Confirm’ and ‘Cancel’.
 Message on pop-up window: “You are about to create a List-of-holiday. Please ensure that all the information is correct. A List-of-holiday Code will be generated once you confirm”</t>
  </si>
  <si>
    <t>TC_Admin_232</t>
  </si>
  <si>
    <t>Verify action when user clicks on CONFIRM button on confirmation pop-up [ Incase of success]</t>
  </si>
  <si>
    <t>TC_Admin_233</t>
  </si>
  <si>
    <t>Verify action when user clicks on CONFIRM button on confirmation pop-up [ Incase of failure]</t>
  </si>
  <si>
    <t>TC_Admin_234</t>
  </si>
  <si>
    <t>To verify the existance of List-of-holiday created in List view page.</t>
  </si>
  <si>
    <t>List-of-holiday created should be in List-of-holiday list view page and status flag should be inactive.</t>
  </si>
  <si>
    <t>TC_Admin_235</t>
  </si>
  <si>
    <t>1. Login to Admin
 2. MasterData dashboard
 3. List-of-holiday
 4. +Create
 5. SAVE
 6. ListView page
 7. Activate</t>
  </si>
  <si>
    <t>Verify Activation of List-of-holiday created</t>
  </si>
  <si>
    <t>When user clicks on ellipses beside List-of-holiday record should have Activate button , when clicked system display confirmation pop-up message with CONFIRM and CANCEL button.
 Message on pop-up: "Do you want to Activate &lt;List-of-holiday Name&gt;?
 You can Deactivate it later if you wish. Till then it will be set as Active</t>
  </si>
  <si>
    <t>TC_Admin_236</t>
  </si>
  <si>
    <t>List-of-holiday should be activated successful with success popup message with DONE button , when user clicks on DONE button user should be back to list view page.</t>
  </si>
  <si>
    <t>TC_Admin_237</t>
  </si>
  <si>
    <t>TC_Admin_238</t>
  </si>
  <si>
    <t>1. Login to Admin
 2. MasterData dashboard
 3. List-of-holiday
 4. +Create
 5. SAVE
 6. ListView page
 7. Activate
 6. Resources&gt;&gt;Center</t>
  </si>
  <si>
    <t>Verify Active holiday consumption in Create and Update Registration center screen</t>
  </si>
  <si>
    <t>Active holiday Zone should be listed in dropdown , and when user selects the zone the holiday available in that zone should applied on Registration center 
 Validate this scenario-- when Pre reg is consuming this reg center the slots for holidate date should not be available.</t>
  </si>
  <si>
    <t>TC_Admin_239</t>
  </si>
  <si>
    <t>TC_Admin_240</t>
  </si>
  <si>
    <t>1. Login to Admin
 2. MasterData dashboard
 3. List-of-holiday
 4. +Create
 5. SAVE
 6. ListView page
 7. Deactivation</t>
  </si>
  <si>
    <t>Verify Deactivation of Active Holiday .</t>
  </si>
  <si>
    <t>When user clicks on ellipses beside Holiday record should have Deactive button , when clicked system display confirmation pop-up message with CONFIRM and CANCEL button.
 Message on pop-up: "Do you want to Deactivate &lt;Holiday Name&gt; ?
 You can Activate it later if you wish. Till then it will be set as Inactive".</t>
  </si>
  <si>
    <t>TC_Admin_241</t>
  </si>
  <si>
    <t>Holiday should be deactivated successfully with success popup message with DONE button , when user clicks on DONE button user should be back to list view page.</t>
  </si>
  <si>
    <t>TC_Admin_242</t>
  </si>
  <si>
    <t>Verify Deactivation of Active Holiday when mapping is present with Center.</t>
  </si>
  <si>
    <t>Should display failure message with DONE button saying " Mapping present Holiday cannot be deactivated". 
 when user clicks on DONE button user should be back to list view page.</t>
  </si>
  <si>
    <t>TC_Admin_243</t>
  </si>
  <si>
    <t>1. Login to Admin
 2. MasterData dashboard
 3. List-of-holiday
 4. +Create
 5. SAVE
 6. ListView page
 7. EDIT</t>
  </si>
  <si>
    <t>Verify the action when user click on the "edit option" button in List-of-holiday listview page.</t>
  </si>
  <si>
    <t>The user should land on the Holiday Detail View page .</t>
  </si>
  <si>
    <t>TC_Admin_244</t>
  </si>
  <si>
    <t>To click on Save button after modifying the details under Holiday edit page.</t>
  </si>
  <si>
    <t>The system will display a confirmation message on a pop-up asking for Administrator’s confirmation with buttons ‘Confirm’ and ‘Cancel’.
 Message on pop-up window " “You are about to update a holiday Please ensure that all the information is correct."</t>
  </si>
  <si>
    <t>TC_Admin_245</t>
  </si>
  <si>
    <t>Holiday should be update successfully , with success message with DONE button , when user clicks on DONE button should redirect user to Listview page.</t>
  </si>
  <si>
    <t>TC_Admin_246</t>
  </si>
  <si>
    <t>TC_Admin_247</t>
  </si>
  <si>
    <t>TC_Admin_248</t>
  </si>
  <si>
    <t>1. Login to Admin
 2. MasterData dashboard
 3. List-of-holiday
 4. +Create/ Edit</t>
  </si>
  <si>
    <t>User to click on other module or button to navigation somewhere else while in the Holiday Create page .</t>
  </si>
  <si>
    <t>TC_Admin_249</t>
  </si>
  <si>
    <t>All the filled data should be-retained and the Administrator should be re-directed back to the pre-filled Holiday Create form where they can continue the action</t>
  </si>
  <si>
    <t>TC_Admin_250</t>
  </si>
  <si>
    <t>TC_Admin_251</t>
  </si>
  <si>
    <t>TC_Admin_252</t>
  </si>
  <si>
    <t>Incase the Create form is rendered in two languages, virtual keyboard button should be available on both sides of the List-of-holiday Create form</t>
  </si>
  <si>
    <t>TC_Admin_253</t>
  </si>
  <si>
    <t>TC_Admin_254</t>
  </si>
  <si>
    <t>TC_Admin_255</t>
  </si>
  <si>
    <t>1. Login to Admin
 2. MasterData dashboard
 3. List-of-holiday
 4. Listview page
 5. clonning button</t>
  </si>
  <si>
    <t>Verify functionality of List-of-holiday clonning button</t>
  </si>
  <si>
    <t>When user clicks on clonning button should display list records that are not available in login language, when clicked on the record user should land on Holiday detail view page , when all are copied to login language Holiday should be created successfully when save button is clicked.</t>
  </si>
  <si>
    <t>TC_Admin_256</t>
  </si>
  <si>
    <t>TC_Admin_257</t>
  </si>
  <si>
    <t>Holiday should be clonned and status flag should be Active .</t>
  </si>
  <si>
    <t>TC_Admin_258</t>
  </si>
  <si>
    <t>Holiday should be clonned and status flag should be Deactive</t>
  </si>
  <si>
    <t>TC_Admin_259</t>
  </si>
  <si>
    <t>TC_Admin_260</t>
  </si>
  <si>
    <t>TC_Admin_261</t>
  </si>
  <si>
    <t>1. Login to Admin
 2. MasterData dashboard
 3.List-of-holiday
 4. Listview page</t>
  </si>
  <si>
    <t>Verify column sort in holiday listview page</t>
  </si>
  <si>
    <t>TC_Admin_262</t>
  </si>
  <si>
    <t>1. Login to Admin
 2. MasterData dashboard
 3. List-of-holiday
 4. Listview page
 5. Filters</t>
  </si>
  <si>
    <t>TC_Admin_263</t>
  </si>
  <si>
    <t>1. Login to Admin
 2. MasterData dashboard
 3. List-of-holiday
 4. Listview page</t>
  </si>
  <si>
    <t>TC_Admin_264</t>
  </si>
  <si>
    <t>TC_Admin_265</t>
  </si>
  <si>
    <t>TC_Admin_266</t>
  </si>
  <si>
    <t>Verify Filter search [holidaydate range , Status, Name]</t>
  </si>
  <si>
    <t>User should be able to fectch Holiday based filter values , filter search should support matching sequence of character eg: **aaba**</t>
  </si>
  <si>
    <t>TC_Admin_267</t>
  </si>
  <si>
    <t>TC_Admin_268</t>
  </si>
  <si>
    <t>Create holiday for passed away date's</t>
  </si>
  <si>
    <t>older date should be disabled for selection</t>
  </si>
  <si>
    <t>TC_Admin_269</t>
  </si>
  <si>
    <t>MasterData-Template</t>
  </si>
  <si>
    <t>Verify the presence Template</t>
  </si>
  <si>
    <t>Masterdata dashboard should contain Template feature.</t>
  </si>
  <si>
    <t>qa-single-rc2
qa-double-rc2</t>
  </si>
  <si>
    <t>TC_Admin_270</t>
  </si>
  <si>
    <t>1. Login to Admin
 2. MasterData dashboard
 3. Template</t>
  </si>
  <si>
    <t>Verify action when user clicks on Template feature in MasterData dashboard</t>
  </si>
  <si>
    <t>user should land on Template list view page which contains details Template of previously created.</t>
  </si>
  <si>
    <t>TC_Admin_271</t>
  </si>
  <si>
    <t>1. Login to Admin
 2. MasterData dashboard
 3. Template
 4. +Create</t>
  </si>
  <si>
    <t>Verify the action when user click on the "+create" button in Template listview page.</t>
  </si>
  <si>
    <t>The user should land on the Template Create Form</t>
  </si>
  <si>
    <t>TC_Admin_272</t>
  </si>
  <si>
    <t>1. Login to Admin
 2. MasterData dashboard
 3. Template
 4. +Create
 5. SAVE</t>
  </si>
  <si>
    <t>To verify Template creation when all mandatory fields are filled.</t>
  </si>
  <si>
    <t>The system will display a confirmation message on a pop-up asking for Administrator’s confirmation with buttons ‘Confirm’ and ‘Cancel’.
 Message on pop-up window: “You are about to create a Template. Please ensure that all the information is correct. A Template Code will be generated once you confirm”</t>
  </si>
  <si>
    <t>TC_Admin_273</t>
  </si>
  <si>
    <t>Verify action when user clicks on CONFIRM button on confirmation pop-up [ Incase of success ]</t>
  </si>
  <si>
    <t>On successful creation system should display Success pop-up message with DONE button , When User Clicks on DONE button user should be redirected Template LIST VIEW page.</t>
  </si>
  <si>
    <t>TC_Admin_274</t>
  </si>
  <si>
    <t>TC_Admin_275</t>
  </si>
  <si>
    <t>To verify the existance of Template created in Template List view page.</t>
  </si>
  <si>
    <t>Template created should be in Template list view page and status flag should be inactive.</t>
  </si>
  <si>
    <t>TC_Admin_276</t>
  </si>
  <si>
    <t>1. Login to Admin
 2. MasterData dashboard
 3. Template
 4. +Create
 5. SAVE
 6. ListView page
 7. Activate</t>
  </si>
  <si>
    <t>Verify Activation of Template created</t>
  </si>
  <si>
    <t>When user clicks on ellipses beside Template record should have Activate button , when clicked system display confirmation pop-up message with CONFIRM and CANCEL button.
 Message on pop-up: "Do you want to Activate &lt;Template Name&gt;?
 You can Deactivate it later if you wish. Till then it will be set as Active</t>
  </si>
  <si>
    <t>TC_Admin_277</t>
  </si>
  <si>
    <t>1. Login to Admin
 2. MasterData dashboard
 3. Template 
 4. +Create
 5. SAVE
 6. ListView page
 7. Activate</t>
  </si>
  <si>
    <t>Template should be activated successful with success popup message with DONE button , when user clicks on DONE button user should be back to list view page.</t>
  </si>
  <si>
    <t>TC_Admin_278</t>
  </si>
  <si>
    <t>TC_Admin_279</t>
  </si>
  <si>
    <t>1. Login to Admin
 2. MasterData dashboard
 3. Template
 4. +Create
 5. SAVE
 6. ListView page
 7. Activate
 6. Resources&gt;&gt;Center</t>
  </si>
  <si>
    <t>TC_Admin_280</t>
  </si>
  <si>
    <t>1. Login to Admin
 2. MasterData dashboard
 3. Template
 4. +Create
 5. SAVE
 6. ListView page
 7. Deactivation</t>
  </si>
  <si>
    <t>Verify Deactivation of Active Template</t>
  </si>
  <si>
    <t>When user clicks on ellipses beside Template record should have Deactive button , when clicked system display confirmation pop-up message with CONFIRM and CANCEL button.
 Message on pop-up: "Do you want to Deactivate &lt;TemplateName&gt; ?
 You can Activate it later if you wish. Till then it will be set as Inactive".</t>
  </si>
  <si>
    <t>TC_Admin_281</t>
  </si>
  <si>
    <t>Template should be deactivated successfully with success popup message with DONE button , when user clicks on DONE button user should be back to list view page.</t>
  </si>
  <si>
    <t>TC_Admin_282</t>
  </si>
  <si>
    <t>1. Login to Admin
 2. MasterData dashboard
 3. Template
 4. +Create
 5. SAVE
 6. ListView page
 7. EDIT</t>
  </si>
  <si>
    <t>Verify the action when user click on the "edit option" button in ellipses of Template record in List page</t>
  </si>
  <si>
    <t>The user should land on the Template Detail View page .</t>
  </si>
  <si>
    <t>TC_Admin_283</t>
  </si>
  <si>
    <t>To click on Save button after modifying the details under Template edit page.</t>
  </si>
  <si>
    <t>The system will display a confirmation message on a pop-up asking for Administrator’s confirmation with buttons ‘Confirm’ and ‘Cancel’.
 Message on pop-up window " “You are about to update a Template. Please ensure that all the information is correct."</t>
  </si>
  <si>
    <t>TC_Admin_284</t>
  </si>
  <si>
    <t>Template should be update successfully , with success message with DONE button , when user clicks on DONE button should redirect user to Listview page.</t>
  </si>
  <si>
    <t>TC_Admin_285</t>
  </si>
  <si>
    <t>TC_Admin_286</t>
  </si>
  <si>
    <t>TC_Admin_287</t>
  </si>
  <si>
    <t>1. Login to Admin
 2. MasterData dashboard
 3. Template
 4. +Create/ Edit</t>
  </si>
  <si>
    <t>User to click on other module or button to navigation somewhere else while in the Template Create page .</t>
  </si>
  <si>
    <t>TC_Admin_288</t>
  </si>
  <si>
    <t>All the filled data should be-retained and the Administrator should be re-directed back to the pre-filled Template Create form where they can continue the action</t>
  </si>
  <si>
    <t>TC_Admin_289</t>
  </si>
  <si>
    <t>TC_Admin_290</t>
  </si>
  <si>
    <t>TC_Admin_291</t>
  </si>
  <si>
    <t>Incase the Create form is rendered in two languages, virtual keyboard button should be available on both sides of the Template Create &amp; Edit form</t>
  </si>
  <si>
    <t>TC_Admin_292</t>
  </si>
  <si>
    <t>Verify the functionality of virtual keyboard</t>
  </si>
  <si>
    <t>The virtual keyboard button should open the keyboard in the country configured language, User should be able to create Template successfully when inputs are given through virtual keyboard.</t>
  </si>
  <si>
    <t>TC_Admin_293</t>
  </si>
  <si>
    <t>TC_Admin_294</t>
  </si>
  <si>
    <t>1. Login to Admin
 2. MasterData dashboard
 3. Template
 4. Listview page
 5. clonning button</t>
  </si>
  <si>
    <t>Verify functionality of Template clonning button</t>
  </si>
  <si>
    <t>When user clicks on clonning button should display list records that are not available in login language, upon click on the record user should land on Center type detail view page , when all are copied to login language Template should be created successfully when save button is clicked.</t>
  </si>
  <si>
    <t>TC_Admin_295</t>
  </si>
  <si>
    <t>TC_Admin_296</t>
  </si>
  <si>
    <t>Template should be clonned and status flag should be  inActive .</t>
  </si>
  <si>
    <t>TC_Admin_297</t>
  </si>
  <si>
    <t>Template should be clonned and status flag should be Deactive</t>
  </si>
  <si>
    <t>TC_Admin_298</t>
  </si>
  <si>
    <t>TC_Admin_299</t>
  </si>
  <si>
    <t>TC_Admin_300</t>
  </si>
  <si>
    <t>1. Login to Admin
 2. MasterData dashboard
 3. Template
 4. Listview page</t>
  </si>
  <si>
    <t>Verify column sort in Template listview page</t>
  </si>
  <si>
    <t>TC_Admin_301</t>
  </si>
  <si>
    <t>1. Login to Admin
 2. MasterData dashboard
 3. Template
 4. Listview page
 5. Filters</t>
  </si>
  <si>
    <t>TC_Admin_302</t>
  </si>
  <si>
    <t>TC_Admin_303</t>
  </si>
  <si>
    <t>TC_Admin_304</t>
  </si>
  <si>
    <t>TC_Admin_305</t>
  </si>
  <si>
    <t>Verify Filter search [ModuleName Status, Name]</t>
  </si>
  <si>
    <t>User should be able to fectch Template based filter values , filter search should support matching sequence of character eg: **aaba**</t>
  </si>
  <si>
    <t>TC_Admin_306</t>
  </si>
  <si>
    <t>TC_Admin_307</t>
  </si>
  <si>
    <t>MasterData-Dynamic field</t>
  </si>
  <si>
    <t>1. login to Admin
 2. MasterData</t>
  </si>
  <si>
    <t>Verify the presence of Dynamic fields section</t>
  </si>
  <si>
    <t>Masterdata dashboard should contain Dynamic feature section.</t>
  </si>
  <si>
    <t>TC_Admin_308</t>
  </si>
  <si>
    <t>1. login to Admin
 2. MasterData
 3. Dynamic field</t>
  </si>
  <si>
    <t>Verify create new dynamic field option.</t>
  </si>
  <si>
    <t>When Admin clicks on plus '+' icon should take user dynamic field detail view page.</t>
  </si>
  <si>
    <t>TC_Admin_309</t>
  </si>
  <si>
    <t>1. login to Admin
 2. MasterData
 3. Dynamic field
 4. Dynamic field detail view field</t>
  </si>
  <si>
    <t>check if Code and Value are vertically aligned</t>
  </si>
  <si>
    <t>In dynamic field detail viewpage Code and Value should be veritical aligned</t>
  </si>
  <si>
    <t>TC_Admin_310</t>
  </si>
  <si>
    <t>verify the action when user clicks on save button.</t>
  </si>
  <si>
    <t>should be able to create dynamic successfully ,with success pop up message , when user clicks on done button should navigate user back to list view page.</t>
  </si>
  <si>
    <t>TC_Admin_311</t>
  </si>
  <si>
    <t>1. login to Admin
 2. MasterData
 3. Dynamic field
 4. List view page</t>
  </si>
  <si>
    <t>Verify activation button</t>
  </si>
  <si>
    <t>ellipses beside each should have activate button , when user clicks on dynamic field should be activate successfully.</t>
  </si>
  <si>
    <t>TC_Admin_312</t>
  </si>
  <si>
    <t>Verify deactivation of active dynamic field</t>
  </si>
  <si>
    <t>when user clicks on deactivate button in ellipses dynamic field should be deactivated successfully.</t>
  </si>
  <si>
    <t>TC_Admin_313</t>
  </si>
  <si>
    <t>Verify edit option</t>
  </si>
  <si>
    <t>when user clicks on edit button which is in ellipses should take user to dynamic detail view</t>
  </si>
  <si>
    <t>TC_Admin_314</t>
  </si>
  <si>
    <t>verify the fields in edit mode</t>
  </si>
  <si>
    <t>In edit mode Name should be auto filled and same should be uneditable</t>
  </si>
  <si>
    <t>TC_Admin_315</t>
  </si>
  <si>
    <t>Verify fields in filter feature</t>
  </si>
  <si>
    <t>Filter fields in dynamic field should be description, code, value, status</t>
  </si>
  <si>
    <t>TC_Admin_316</t>
  </si>
  <si>
    <t>Verify navigation link</t>
  </si>
  <si>
    <t>The header should display the details of the dynamic field you are in like “dynamicfields/gender“</t>
  </si>
  <si>
    <t>TC_Admin_317</t>
  </si>
  <si>
    <t>verify the columns in list view page</t>
  </si>
  <si>
    <t>The column sequence should be ID, Name, Description, code, value, status, created date-time</t>
  </si>
  <si>
    <t>TC_Admin_318</t>
  </si>
  <si>
    <t>Verify description in dynamic field</t>
  </si>
  <si>
    <t>The dynamic field Name should not be an editable field, Description is editable provided if changed then same is applied to all other descriptions for that dynamic field.</t>
  </si>
  <si>
    <t>TC_Admin_319</t>
  </si>
  <si>
    <t>Verify status change and delete[swagger API] option</t>
  </si>
  <si>
    <t>status change &amp; delete in one language should also change/delete in other languages if dynamic is available.</t>
  </si>
  <si>
    <t>TC_Admin_320</t>
  </si>
  <si>
    <t>Verify display of dynamic field when created in login lang 1 and admin trying view same in other configured language.</t>
  </si>
  <si>
    <t>Admin should be able to see Name of the dynamic field when description is not created in logged in language.</t>
  </si>
  <si>
    <t>TC_Admin_321</t>
  </si>
  <si>
    <t>Verify the dynamic fields creation when inputs are given through Virtual keyboard.</t>
  </si>
  <si>
    <t>when inputs are given through virtual keyboard dynamic field creation should be successful.</t>
  </si>
  <si>
    <t>TC_Admin_322</t>
  </si>
  <si>
    <t>Verify functionality of dynamic field clonning button</t>
  </si>
  <si>
    <t>When user clicks on clonning button should display list records that are not available in login language, upon click on the record user should land on dynamic field detail view page , when all are copied to login language dynamic field should be created successfully when save button is clicked.</t>
  </si>
  <si>
    <t>TC_Admin_323</t>
  </si>
  <si>
    <t>TC_Admin_324</t>
  </si>
  <si>
    <t>dynamic field should be clonned and status flag should be Active .</t>
  </si>
  <si>
    <t>TC_Admin_325</t>
  </si>
  <si>
    <t>dynamic field should be clonned and status flag should be Deactive</t>
  </si>
  <si>
    <t>TC_Admin_326</t>
  </si>
  <si>
    <t>TC_Admin_327</t>
  </si>
  <si>
    <t>TC_Admin_328</t>
  </si>
  <si>
    <t>Verify column sort in dynamic field listview page</t>
  </si>
  <si>
    <t>TC_Admin_329</t>
  </si>
  <si>
    <t>TC_Admin_330</t>
  </si>
  <si>
    <t>TC_Admin_331</t>
  </si>
  <si>
    <t>TC_Admin_332</t>
  </si>
  <si>
    <t>TC_Admin_333</t>
  </si>
  <si>
    <t>TC_Admin_334</t>
  </si>
  <si>
    <t>MasterData-Device Type</t>
  </si>
  <si>
    <t>Verify the presence of Device Type feature</t>
  </si>
  <si>
    <t>Masterdata dashboard should contain Device Type feature.</t>
  </si>
  <si>
    <t>TC_Admin_335</t>
  </si>
  <si>
    <t>1. Login to Admin
 2. MasterData dashboard
 3. Device Type</t>
  </si>
  <si>
    <t>Verify action when user clicks on Device Type feature in MasterData dashboard</t>
  </si>
  <si>
    <t>user should land on Device Type list view page which contains Device types records which is created previously.</t>
  </si>
  <si>
    <t>TC_Admin_336</t>
  </si>
  <si>
    <t>1. Login to Admin
 2. MasterData dashboard
 3. Device Type
 4. +Create</t>
  </si>
  <si>
    <t>Verify the action when user click on the "+create" button in Device Type listview page.</t>
  </si>
  <si>
    <t>The user should land on the Device Type Create Form</t>
  </si>
  <si>
    <t>TC_Admin_337</t>
  </si>
  <si>
    <t>1. Login to Admin
 2. MasterData dashboard
 3. Device Type
 4. +Create
 5. SAVE</t>
  </si>
  <si>
    <t>To verify Device Type creation when all mandatory fields are filled.</t>
  </si>
  <si>
    <t>Device Type should be created successfully with success pop-up button which has DONE button, when DONE button is clicked user should land on the listview page.</t>
  </si>
  <si>
    <t>TC_Admin_338</t>
  </si>
  <si>
    <t>1. Login to Admin
 2. MasterData dashboard
 3. Device Type
 4. +Create
 5. SAVE
 6. Listview page</t>
  </si>
  <si>
    <t>To verify the existance of Device Type created in List view page.</t>
  </si>
  <si>
    <t>Device Type created should be in Device Type list view page and status flag should be inactive.</t>
  </si>
  <si>
    <t>TC_Admin_339</t>
  </si>
  <si>
    <t>1. Login to Admin
 2. MasterData dashboard
 3. Device Type
 4. +Create
 5. SAVE
 6. ListView page
 7. Activate</t>
  </si>
  <si>
    <t>Verify Activation of Device Type created</t>
  </si>
  <si>
    <t>When user clicks on ellipses beside Device Type record should have Activate button , when clicked system display confirmation pop-up message with CONFIRM and CANCEL button.
 Message on pop-up: "Do you want to Activate &lt;Device Type&gt;?
 You can Deactivate it later if you wish. Till then it will be set as Active</t>
  </si>
  <si>
    <t>TC_Admin_340</t>
  </si>
  <si>
    <t>Device Type should be activated successful with success popup message with DONE button , when user clicks on DONE button user should be back to list view page.</t>
  </si>
  <si>
    <t>TC_Admin_341</t>
  </si>
  <si>
    <t>TC_Admin_342</t>
  </si>
  <si>
    <t>TC_Admin_343</t>
  </si>
  <si>
    <t>1. Login to Admin
 2. MasterData dashboard
 3. Device Type
 4. +Create
 5. SAVE
 6. ListView page
 7. Deactivation</t>
  </si>
  <si>
    <t>Verify Deactivation of Active Device Type.</t>
  </si>
  <si>
    <t>When user clicks on ellipses beside Device Type record should have Deactive button , when clicked system display confirmation pop-up message with CONFIRM and CANCEL button.
 Message on pop-up: "Do you want to Deactivate &lt;Device Type&gt; ?
 You can Activate it later if you wish. Till then it will be set as Inactive".</t>
  </si>
  <si>
    <t>TC_Admin_344</t>
  </si>
  <si>
    <t>Device Type should be deactivated successfully with success popup message with DONE button , when user clicks on DONE button user should be back to list view page.</t>
  </si>
  <si>
    <t>TC_Admin_345</t>
  </si>
  <si>
    <t>Verify the action when User clicks on CONFIRM button in Deactivation confirmation pop-up [In case of failure]</t>
  </si>
  <si>
    <t>Should display failure message with DONE button , when user clicks on DONE button user should be back to list view page.
 Message: &lt;Mapping exists Device type cannot be deactivated &gt;</t>
  </si>
  <si>
    <t>TC_Admin_346</t>
  </si>
  <si>
    <t>1. Login to Admin
 2. MasterData dashboard
 3. Device Type
 4. +Create
 5. SAVE
 6. ListView page
 7. EDIT</t>
  </si>
  <si>
    <t>Verify the action when user click on the "edit option" button in ellipses in Device Type listview page.</t>
  </si>
  <si>
    <t>The user should land on the Device Type Detail View page .</t>
  </si>
  <si>
    <t>TC_Admin_347</t>
  </si>
  <si>
    <t>To click on Save button after modifying the details under Device Type edit page.</t>
  </si>
  <si>
    <t>Device Type should be update successfully with success pop-up message with DONE button, when user clicks on DONE button should redirect user to Listview page.</t>
  </si>
  <si>
    <t>TC_Admin_348</t>
  </si>
  <si>
    <t>1. Login to Admin
 2. MasterData dashboard
 3. Device Type
 4. +Create/ Edit</t>
  </si>
  <si>
    <t>User to click on other module or button to navigation somewhere else while in the Device Type Create page .</t>
  </si>
  <si>
    <t>TC_Admin_349</t>
  </si>
  <si>
    <t>Check if mapping is getting removed when we deactivate device type</t>
  </si>
  <si>
    <t xml:space="preserve">Mapping with device specification should be retained even after deactivating the Device type </t>
  </si>
  <si>
    <t>TC_Admin_350</t>
  </si>
  <si>
    <t>TC_Admin_351</t>
  </si>
  <si>
    <t>TC_Admin_352</t>
  </si>
  <si>
    <t>The virtual keyboard button should open the keyboard in the country configured language, User should be able to create Device Type successfully when inputs are given through virtual keyboard.</t>
  </si>
  <si>
    <t>TC_Admin_353</t>
  </si>
  <si>
    <t>TC_Admin_354</t>
  </si>
  <si>
    <t>1. Login to Admin
 2. MasterData dashboard
 3. Device Type
 4. Listview page</t>
  </si>
  <si>
    <t>Verify column sort in Device Type listview page</t>
  </si>
  <si>
    <t>TC_Admin_355</t>
  </si>
  <si>
    <t>1. Login to Admin
 2. MasterData dashboard
 3. Device Type
 4. Listview page
 5. Filters</t>
  </si>
  <si>
    <t>TC_Admin_356</t>
  </si>
  <si>
    <t>TC_Admin_357</t>
  </si>
  <si>
    <t>TC_Admin_358</t>
  </si>
  <si>
    <t>TC_Admin_359</t>
  </si>
  <si>
    <t>Verify Filter search Name, Status]</t>
  </si>
  <si>
    <t>User should be able to fectch Device type based filter values , filter search should support matching sequence of character eg: **aaba**</t>
  </si>
  <si>
    <t>TC_Admin_360</t>
  </si>
  <si>
    <t>TC_Admin_361</t>
  </si>
  <si>
    <t>1. Login to Admin
 2. MasterData dashboard
 3. Device Type
 4. Listview page
 5. +create/update</t>
  </si>
  <si>
    <t>TC_Admin_362</t>
  </si>
  <si>
    <t>Verify the Active device type drop down values in device specification screen</t>
  </si>
  <si>
    <t>All active Device type should be listed in dropdown field of Device specification Create and update screen.</t>
  </si>
  <si>
    <t>TC_Admin_363</t>
  </si>
  <si>
    <t>MasterData-Device type</t>
  </si>
  <si>
    <t>Create Device type which is already present and active</t>
  </si>
  <si>
    <t>system should displayed error message " Device type already exist".</t>
  </si>
  <si>
    <t>TC_Admin_364</t>
  </si>
  <si>
    <t>MasterData-Device Specification</t>
  </si>
  <si>
    <t>Verify the presence of Device Specification feature</t>
  </si>
  <si>
    <t>Masterdata dashboard should contain Device Specification feature.</t>
  </si>
  <si>
    <t>TC_Admin_365</t>
  </si>
  <si>
    <t>1. Login to Admin
 2. MasterData dashboard
 3. Device Specification</t>
  </si>
  <si>
    <t>Verify action when user clicks on Device Specification feature in MasterData dashboard</t>
  </si>
  <si>
    <t>user should land on Device Specification list view page which contains Device Specifications records which is created previously.</t>
  </si>
  <si>
    <t>TC_Admin_366</t>
  </si>
  <si>
    <t>1. Login to Admin
 2. MasterData dashboard
 3. Device Specification
 4. +Create</t>
  </si>
  <si>
    <t>Verify the action when user click on the "+create" button in Device Specification listview page.</t>
  </si>
  <si>
    <t>The user should land on the Device Specification Create Form</t>
  </si>
  <si>
    <t>TC_Admin_367</t>
  </si>
  <si>
    <t>1. Login to Admin
 2. MasterData dashboard
 3. Device Specification
 4. +Create
 5. SAVE</t>
  </si>
  <si>
    <t>To verify Device Specification creation when all mandatory fields are filled.</t>
  </si>
  <si>
    <t>Device Specification should be created successfully with success pop-up button which has DONE button, when DONE button is clicked user should land on the listview page.</t>
  </si>
  <si>
    <t>TC_Admin_368</t>
  </si>
  <si>
    <t>1. Login to Admin
 2. MasterData dashboard
 3. Device Specification
 4. +Create
 5. SAVE
 6. Listview page</t>
  </si>
  <si>
    <t>To verify the existance of Device Specification created in List view page.</t>
  </si>
  <si>
    <t>Device Specification created should be in Device Specification list view page and status flag should be inactive.</t>
  </si>
  <si>
    <t>TC_Admin_369</t>
  </si>
  <si>
    <t>1. Login to Admin
 2. MasterData dashboard
 3. Device Specification
 4. +Create
 5. SAVE
 6. ListView page
 7. Activate</t>
  </si>
  <si>
    <t>Verify Activation of Device Specification created</t>
  </si>
  <si>
    <t>When user clicks on ellipses beside Device Specification record should have Activate button , when clicked system display confirmation pop-up message with CONFIRM and CANCEL button.
 Message on pop-up: "Do you want to Activate &lt;Device Specification&gt;?
 You can Deactivate it later if you wish. Till then it will be set as Active</t>
  </si>
  <si>
    <t>TC_Admin_370</t>
  </si>
  <si>
    <t>Device Specification should be activated successful with success popup message with DONE button , when user clicks on DONE button user should be back to list view page.</t>
  </si>
  <si>
    <t>TC_Admin_371</t>
  </si>
  <si>
    <t>TC_Admin_372</t>
  </si>
  <si>
    <t>TC_Admin_373</t>
  </si>
  <si>
    <t>1. Login to Admin
 2. MasterData dashboard
 3. Device Specification
 4. +Create
 5. SAVE
 6. ListView page
 7. Deactivation</t>
  </si>
  <si>
    <t>Verify Deactivation of Active Device Specification.</t>
  </si>
  <si>
    <t>When user clicks on ellipses beside Device Specification record should have Deactive button , when clicked system display confirmation pop-up message with CONFIRM and CANCEL button.
 Message on pop-up: "Do you want to Deactivate &lt;Device Specification&gt; ?
 You can Activate it later if you wish. Till then it will be set as Inactive".</t>
  </si>
  <si>
    <t>TC_Admin_374</t>
  </si>
  <si>
    <t>Device Specification should be deactivated successfully with success popup message with DONE button , when user clicks on DONE button user should be back to list view page.</t>
  </si>
  <si>
    <t>TC_Admin_375</t>
  </si>
  <si>
    <t>1. Login to Admin
 2. MasterData dashboard
 3. Device specification
 4. +Create
 5. SAVE
 6. ListView page
 7. Deactivation</t>
  </si>
  <si>
    <t>Should display failure message with DONE button , when user clicks on DONE button user should be back to list view page.
 Message: &lt;Mapping exists Device specification cannot be deactivated &gt;</t>
  </si>
  <si>
    <t>TC_Admin_376</t>
  </si>
  <si>
    <t>1. Login to Admin
 2. MasterData dashboard
 3. Device Specification
 4. +Create
 5. SAVE
 6. ListView page
 7. EDIT</t>
  </si>
  <si>
    <t>Verify the action when user click on the "edit option" button in ellipses in Device Specification listview page.</t>
  </si>
  <si>
    <t>The user should land on the Device Specification Detail View page .</t>
  </si>
  <si>
    <t>TC_Admin_377</t>
  </si>
  <si>
    <t>To click on Save button after modifying the details under Device Specification edit page.</t>
  </si>
  <si>
    <t>Device Specification should be update successfully with success pop-up message with DONE button, when user clicks on DONE button should redirect user to Listview page.</t>
  </si>
  <si>
    <t>TC_Admin_378</t>
  </si>
  <si>
    <t>1. Login to Admin
 2. MasterData dashboard
 3. Device Specification
 4. +Create/ Edit</t>
  </si>
  <si>
    <t>User to click on other module or button to navigation somewhere else while in the Device Specification Create page .</t>
  </si>
  <si>
    <t>TC_Admin_379</t>
  </si>
  <si>
    <t>TC_Admin_380</t>
  </si>
  <si>
    <t>TC_Admin_381</t>
  </si>
  <si>
    <t>The virtual keyboard button should open the keyboard in the country configured language, User should be able to create Device Specification successfully when inputs are given through virtual keyboard.</t>
  </si>
  <si>
    <t>TC_Admin_382</t>
  </si>
  <si>
    <t>TC_Admin_383</t>
  </si>
  <si>
    <t>1. Login to Admin
 2. MasterData dashboard
 3. Device Specification
 4. Listview page</t>
  </si>
  <si>
    <t>Verify column sort in Device Specification listview page</t>
  </si>
  <si>
    <t>TC_Admin_384</t>
  </si>
  <si>
    <t>1. Login to Admin
 2. MasterData dashboard
 3. Device Specification
 4. Listview page
 5. Filters</t>
  </si>
  <si>
    <t>TC_Admin_385</t>
  </si>
  <si>
    <t>TC_Admin_386</t>
  </si>
  <si>
    <t>TC_Admin_387</t>
  </si>
  <si>
    <t>TC_Admin_388</t>
  </si>
  <si>
    <t>Verify Filter search Name, Status, Device type]</t>
  </si>
  <si>
    <t>User should be able to fectch Device specification based filter values , filter search should support matching sequence of character eg: **aaba**</t>
  </si>
  <si>
    <t>TC_Admin_389</t>
  </si>
  <si>
    <t>TC_Admin_390</t>
  </si>
  <si>
    <t>1. Login to Admin
 2. MasterData dashboard
 3. Device Specification
 4. Listview page
 5. +create/update</t>
  </si>
  <si>
    <t>TC_Admin_391</t>
  </si>
  <si>
    <t>Verify the Active Device Type in device specification screen</t>
  </si>
  <si>
    <t>All active Device type should be listed in dropdown field of Device specification Create and update screen, By consuming device type we should able create Device specification successfully.</t>
  </si>
  <si>
    <t>TC_Admin_392</t>
  </si>
  <si>
    <t>1. Login to Admin
 2. MasterData dashboard
 3. Device Specification
 4. Listview page
 5. +create/update
 6. Resources &gt;&gt; Device</t>
  </si>
  <si>
    <t>Verify Device specification mapping in different language logins</t>
  </si>
  <si>
    <t>Mapping should be displayed in listview page and in detail view page of Device .</t>
  </si>
  <si>
    <t>TC_Admin_393</t>
  </si>
  <si>
    <t>verify all the Active Device specification in Device Create and update screen</t>
  </si>
  <si>
    <t>All active Device specification should be listed in dropdown field of Device Create and update screen, By consuming device specification we should able create Device successfully.</t>
  </si>
  <si>
    <t>TC_Admin_394</t>
  </si>
  <si>
    <t>1. Login to Admin
 2. MasterData dashboard
 3. Device specification
 4. +Create</t>
  </si>
  <si>
    <t>Create Device specification which is already present and active</t>
  </si>
  <si>
    <t>system should displayed error message " Device specification already exist".</t>
  </si>
  <si>
    <t>TC_Admin_395</t>
  </si>
  <si>
    <t>MasterData-Machine Type</t>
  </si>
  <si>
    <t>Verify the presence of Machine Type feature</t>
  </si>
  <si>
    <t>Masterdata dashboard should contain Machine Type feature.</t>
  </si>
  <si>
    <t>TC_Admin_396</t>
  </si>
  <si>
    <t>1. Login to Admin
 2. MasterData dashboard
 3. Machine Type</t>
  </si>
  <si>
    <t>Verify action when user clicks on Machine Type feature in MasterData dashboard</t>
  </si>
  <si>
    <t>user should land on Machine Type list view page which contains Machine Types records which is created previously.</t>
  </si>
  <si>
    <t>TC_Admin_397</t>
  </si>
  <si>
    <t>1. Login to Admin
 2. MasterData dashboard
 3. Machine Type
 4. +Create</t>
  </si>
  <si>
    <t>Verify the action when user click on the "+create" button in Machine Type listview page.</t>
  </si>
  <si>
    <t>The user should land on the Machine Type Create Form</t>
  </si>
  <si>
    <t>TC_Admin_398</t>
  </si>
  <si>
    <t>1. Login to Admin
 2. MasterData dashboard
 3. Machine Type
 4. +Create
 5. SAVE</t>
  </si>
  <si>
    <t>To verify Machine Type creation when all mandatory fields are filled.</t>
  </si>
  <si>
    <t>Machine Type should be created successfully with success pop-up button which has DONE button, when DONE button is clicked user should land on the listview page.</t>
  </si>
  <si>
    <t>TC_Admin_399</t>
  </si>
  <si>
    <t>1. Login to Admin
 2. MasterData dashboard
 3. Machine Type
 4. +Create
 5. SAVE
 6. Listview page</t>
  </si>
  <si>
    <t>To verify the existance of Machine Type created in List view page.</t>
  </si>
  <si>
    <t>Machine Type created should be in Machine Type list view page and status flag should be inactive.</t>
  </si>
  <si>
    <t>TC_Admin_400</t>
  </si>
  <si>
    <t>1. Login to Admin
 2. MasterData dashboard
 3. Machine Type
 4. +Create
 5. SAVE
 6. ListView page
 7. Activate</t>
  </si>
  <si>
    <t>Verify Activation of Machine Type created</t>
  </si>
  <si>
    <t>When user clicks on ellipses beside Machine Type record should have Activate button , when clicked system display confirmation pop-up message with CONFIRM and CANCEL button.
 Message on pop-up: "Do you want to Activate &lt;Machine Type&gt;?
 You can Deactivate it later if you wish. Till then it will be set as Active</t>
  </si>
  <si>
    <t>TC_Admin_401</t>
  </si>
  <si>
    <t>Machine Type should be activated successful with success popup message with DONE button , when user clicks on DONE button user should be back to list view page.</t>
  </si>
  <si>
    <t>TC_Admin_402</t>
  </si>
  <si>
    <t>TC_Admin_403</t>
  </si>
  <si>
    <t>TC_Admin_404</t>
  </si>
  <si>
    <t>1. Login to Admin
 2. MasterData dashboard
 3. Machine Type
 4. +Create
 5. SAVE
 6. ListView page
 7. Deactivation</t>
  </si>
  <si>
    <t>Verify Deactivation of Active Machine Type.</t>
  </si>
  <si>
    <t>When user clicks on ellipses beside Machine Type record should have Deactive button , when clicked system display confirmation pop-up message with CONFIRM and CANCEL button.
 Message on pop-up: "Do you want to Deactivate &lt;Machine Type&gt; ?
 You can Activate it later if you wish. Till then it will be set as Inactive".</t>
  </si>
  <si>
    <t>TC_Admin_405</t>
  </si>
  <si>
    <t>Machine Type should be deactivated successfully with success popup message with DONE button , when user clicks on DONE button user should be back to list view page.</t>
  </si>
  <si>
    <t>TC_Admin_406</t>
  </si>
  <si>
    <t>Should display failure message with DONE button , when user clicks on DONE button user should be back to list view page.
 Message: &lt;Mapping exists Machine Type cannot be deactivated &gt;</t>
  </si>
  <si>
    <t>TC_Admin_407</t>
  </si>
  <si>
    <t>1. Login to Admin
 2. MasterData dashboard
 3. Machine Type
 4. +Create
 5. SAVE
 6. ListView page
 7. EDIT</t>
  </si>
  <si>
    <t>Verify the action when user click on the "edit option" button in ellipses in Machine Type listview page.</t>
  </si>
  <si>
    <t>The user should land on the Machine Type Detail View page .</t>
  </si>
  <si>
    <t>TC_Admin_408</t>
  </si>
  <si>
    <t>To click on Save button after modifying the details under Machine Type edit page.</t>
  </si>
  <si>
    <t>Machine Type should be update successfully with success pop-up message with DONE button, when user clicks on DONE button should redirect user to Listview page.</t>
  </si>
  <si>
    <t>TC_Admin_409</t>
  </si>
  <si>
    <t>1. Login to Admin
 2. MasterData dashboard
 3. Machine Type
 4. +Create/ Edit</t>
  </si>
  <si>
    <t>User to click on other module or button to navigation somewhere else while in the Machine Type Create page .</t>
  </si>
  <si>
    <t>TC_Admin_410</t>
  </si>
  <si>
    <t>TC_Admin_411</t>
  </si>
  <si>
    <t>TC_Admin_412</t>
  </si>
  <si>
    <t>The virtual keyboard button should open the keyboard in the country configured language, User should be able to create Machine Type successfully when inputs are given through virtual keyboard.</t>
  </si>
  <si>
    <t>TC_Admin_413</t>
  </si>
  <si>
    <t>TC_Admin_414</t>
  </si>
  <si>
    <t>1. Login to Admin
 2. MasterData dashboard
 3. Machine Type
 4. Listview page</t>
  </si>
  <si>
    <t>Verify column sort in Machine Type listview page</t>
  </si>
  <si>
    <t>TC_Admin_415</t>
  </si>
  <si>
    <t>1. Login to Admin
 2. MasterData dashboard
 3. Machine Type
 4. Listview page
 5. Filters</t>
  </si>
  <si>
    <t>TC_Admin_416</t>
  </si>
  <si>
    <t>TC_Admin_417</t>
  </si>
  <si>
    <t>TC_Admin_418</t>
  </si>
  <si>
    <t>TC_Admin_419</t>
  </si>
  <si>
    <t>Verify Filter search [Name, Status]</t>
  </si>
  <si>
    <t>User should be able to fectch Machine Type based filter values , filter search should support matching sequence of character eg: **aaba**</t>
  </si>
  <si>
    <t>TC_Admin_420</t>
  </si>
  <si>
    <t>TC_Admin_421</t>
  </si>
  <si>
    <t>1. Login to Admin
 2. MasterData dashboard
 3. Machine Type
 4. Listview page
 5. +create/update</t>
  </si>
  <si>
    <t>TC_Admin_422</t>
  </si>
  <si>
    <t>Verify the Active Machine Type in Machine Specification screen</t>
  </si>
  <si>
    <t>All active Machine Type should be listed in dropdown field of Machine Specification Create and update screen.</t>
  </si>
  <si>
    <t>TC_Admin_423</t>
  </si>
  <si>
    <t>Create Machine type which is already present and active</t>
  </si>
  <si>
    <t>system should displayed error message " Machine type already exist".</t>
  </si>
  <si>
    <t>TC_Admin_424</t>
  </si>
  <si>
    <t>MasterData-Machine Specification</t>
  </si>
  <si>
    <t>Verify the presence of Machine Specification feature</t>
  </si>
  <si>
    <t>Masterdata dashboard should contain Machine Specification feature.</t>
  </si>
  <si>
    <t>TC_Admin_425</t>
  </si>
  <si>
    <t>1. Login to Admin
 2. MasterData dashboard
 3. Machine Specification</t>
  </si>
  <si>
    <t>Verify action when user clicks on Machine Specification feature in MasterData dashboard</t>
  </si>
  <si>
    <t>user should land on Machine Specification list view page which contains Machine Specifications records which is created previously.</t>
  </si>
  <si>
    <t>TC_Admin_426</t>
  </si>
  <si>
    <t>1. Login to Admin
 2. MasterData dashboard
 3. Machine Specification
 4. +Create</t>
  </si>
  <si>
    <t>Verify the action when user click on the "+create" button in Machine Specification listview page.</t>
  </si>
  <si>
    <t>The user should land on the Machine Specification Create Form</t>
  </si>
  <si>
    <t>TC_Admin_427</t>
  </si>
  <si>
    <t>1. Login to Admin
 2. MasterData dashboard
 3. Machine Specification
 4. +Create
 5. SAVE</t>
  </si>
  <si>
    <t>To verify Machine Specification creation when all mandatory fields are filled.</t>
  </si>
  <si>
    <t>Machine Specification should be created successfully with success pop-up button which has DONE button, when DONE button is clicked user should land on the listview page.</t>
  </si>
  <si>
    <t>TC_Admin_428</t>
  </si>
  <si>
    <t>1. Login to Admin
 2. MasterData dashboard
 3. Machine Specification
 4. +Create
 5. SAVE
 6. Listview page</t>
  </si>
  <si>
    <t>To verify the existance of Machine Specification created in List view page.</t>
  </si>
  <si>
    <t>Machine Specification created should be in Machine Specification list view page and status flag should be inactive.</t>
  </si>
  <si>
    <t>TC_Admin_429</t>
  </si>
  <si>
    <t>1. Login to Admin
 2. MasterData dashboard
 3. Machine Specification
 4. +Create
 5. SAVE
 6. ListView page
 7. Activate</t>
  </si>
  <si>
    <t>Verify Activation of Machine Specification created</t>
  </si>
  <si>
    <t>When user clicks on ellipses beside Machine Specification record should have Activate button , when clicked system display confirmation pop-up message with CONFIRM and CANCEL button.
 Message on pop-up: "Do you want to Activate &lt;Machine Specification&gt;?
 You can Deactivate it later if you wish. Till then it will be set as Active</t>
  </si>
  <si>
    <t>TC_Admin_430</t>
  </si>
  <si>
    <t>Machine Specification should be activated successful with success popup message with DONE button , when user clicks on DONE button user should be back to list view page.</t>
  </si>
  <si>
    <t>TC_Admin_431</t>
  </si>
  <si>
    <t>TC_Admin_432</t>
  </si>
  <si>
    <t>TC_Admin_433</t>
  </si>
  <si>
    <t>1. Login to Admin
 2. MasterData dashboard
 3. Machine Specification
 4. +Create
 5. SAVE
 6. ListView page
 7. Deactivation</t>
  </si>
  <si>
    <t>Verify Deactivation of Active Machine Specification.</t>
  </si>
  <si>
    <t>When user clicks on ellipses beside Machine Specification record should have Deactive button , when clicked system display confirmation pop-up message with CONFIRM and CANCEL button.
 Message on pop-up: "Do you want to Deactivate &lt;Machine Specification&gt; ?
 You can Activate it later if you wish. Till then it will be set as Inactive".</t>
  </si>
  <si>
    <t>TC_Admin_434</t>
  </si>
  <si>
    <t>Machine Specification should be deactivated successfully with success popup message with DONE button , when user clicks on DONE button user should be back to list view page.</t>
  </si>
  <si>
    <t>TC_Admin_435</t>
  </si>
  <si>
    <t>1. Login to Admin
 2. MasterData dashboard
 3. Machine specification
 4. +Create
 5. SAVE
 6. ListView page
 7. Deactivation</t>
  </si>
  <si>
    <t>Should display failure message with DONE button , when user clicks on DONE button user should be back to list view page.
 Message: &lt;Mapping exists Machine specification cannot be deactivated &gt;</t>
  </si>
  <si>
    <t>TC_Admin_436</t>
  </si>
  <si>
    <t>1. Login to Admin
 2. MasterData dashboard
 3. Machine Specification
 4. +Create
 5. SAVE
 6. ListView page
 7. EDIT</t>
  </si>
  <si>
    <t>Verify the action when user click on the "edit option" button in ellipses in Machine Specification listview page.</t>
  </si>
  <si>
    <t>The user should land on the Machine Specification Detail View page .</t>
  </si>
  <si>
    <t>TC_Admin_437</t>
  </si>
  <si>
    <t>To click on Save button after modifying the details under Machine Specification edit page.</t>
  </si>
  <si>
    <t>Machine Specification should be update successfully with success pop-up message with DONE button, when user clicks on DONE button should redirect user to Listview page.</t>
  </si>
  <si>
    <t>TC_Admin_438</t>
  </si>
  <si>
    <t>1. Login to Admin
 2. MasterData dashboard
 3. Machine Specification
 4. +Create/ Edit</t>
  </si>
  <si>
    <t>User to click on other module or button to navigation somewhere else while in the Machine Specification Create page .</t>
  </si>
  <si>
    <t>TC_Admin_439</t>
  </si>
  <si>
    <t>TC_Admin_440</t>
  </si>
  <si>
    <t>TC_Admin_441</t>
  </si>
  <si>
    <t>The virtual keyboard button should open the keyboard in the country configured language, User should be able to create Machine Specification successfully when inputs are given through virtual keyboard.</t>
  </si>
  <si>
    <t>TC_Admin_442</t>
  </si>
  <si>
    <t>TC_Admin_443</t>
  </si>
  <si>
    <t>1. Login to Admin
 2. MasterData dashboard
 3. Machine Specification
 4. Listview page</t>
  </si>
  <si>
    <t>Verify column sort in Machine Specification listview page</t>
  </si>
  <si>
    <t>TC_Admin_444</t>
  </si>
  <si>
    <t>1. Login to Admin
 2. MasterData dashboard
 3. Machine Specification
 4. Listview page
 5. Filters</t>
  </si>
  <si>
    <t>TC_Admin_445</t>
  </si>
  <si>
    <t>TC_Admin_446</t>
  </si>
  <si>
    <t>TC_Admin_447</t>
  </si>
  <si>
    <t>TC_Admin_448</t>
  </si>
  <si>
    <t>Verify Filter search [Name,Machine Type, Status]</t>
  </si>
  <si>
    <t>User should be able to fectch Machine specification based filter values , filter search should support matching sequence of character eg: **aaba**</t>
  </si>
  <si>
    <t>TC_Admin_449</t>
  </si>
  <si>
    <t>TC_Admin_450</t>
  </si>
  <si>
    <t>1. Login to Admin
 2. MasterData dashboard
 3. Machine Specification
 4. Listview page
 5. +create/update</t>
  </si>
  <si>
    <t>TC_Admin_451</t>
  </si>
  <si>
    <t>All active Machine Type should be listed in dropdown field of Machine Specification Create and update screen, By consuming Machine Type we should able create Machine Specification successfully.</t>
  </si>
  <si>
    <t>TC_Admin_452</t>
  </si>
  <si>
    <t>1. Login to Admin
 2. MasterData dashboard
 3. Machine Specification
 4. Listview page
 5. +create/update
 6. Resources &gt;&gt; Machine</t>
  </si>
  <si>
    <t>verify all the Active Machine Specification in Machine Create and update screen</t>
  </si>
  <si>
    <t>All active Machine Specification should be listed in dropdown field of Device Create and update screen, By consuming Machine Specification we should able create Machine successfully.</t>
  </si>
  <si>
    <t>TC_Admin_453</t>
  </si>
  <si>
    <t>1. Login to Admin
 2. MasterData dashboard
 3. Machine Specification
 4. Listview page
 5. +create/update
 6. Resources &gt;&gt; Device</t>
  </si>
  <si>
    <t>Verify Machine specification mapping in different language logins</t>
  </si>
  <si>
    <t>TC_Admin_454</t>
  </si>
  <si>
    <t>verify all the Active Machine specification in Machine Create and update screen</t>
  </si>
  <si>
    <t>All active Machine specification should be listed in dropdown field of Machine Create and update screen, By consuming Machine specification we should able create Machine successfully.</t>
  </si>
  <si>
    <t>TC_Admin_455</t>
  </si>
  <si>
    <t>1. Login to Admin
 2. MasterData dashboard
 3. Machine specification
 4. +Create</t>
  </si>
  <si>
    <t>Create Machine specification which is already present and active</t>
  </si>
  <si>
    <t>system should displayed error message " Machine specification already exist".</t>
  </si>
  <si>
    <t>TC_Admin_456</t>
  </si>
  <si>
    <t>MasterData-Document type</t>
  </si>
  <si>
    <t>Verify the presence Document type</t>
  </si>
  <si>
    <t>Masterdata dashboard should contain Document type feature.</t>
  </si>
  <si>
    <t>TC_Admin_457</t>
  </si>
  <si>
    <t>1. Login to Admin
 2. MasterData dashboard
 3. Document type</t>
  </si>
  <si>
    <t>Verify action when user clicks on Document type feature in MasterData dashboard</t>
  </si>
  <si>
    <t>user should land on Document type list view page which contains details of Document type of previously created.</t>
  </si>
  <si>
    <t>TC_Admin_458</t>
  </si>
  <si>
    <t>1. Login to Admin
 2. MasterData dashboard
 3. Document type
 4. +Create</t>
  </si>
  <si>
    <t>Verify the action when user click on the "+create" button in Document type listview page.</t>
  </si>
  <si>
    <t>The user should land on the Document type Create Form</t>
  </si>
  <si>
    <t>TC_Admin_459</t>
  </si>
  <si>
    <t>1. Login to Admin
 2. MasterData dashboard
 3. Document type
 4. +Create
 5. SAVE</t>
  </si>
  <si>
    <t>To verify Document type creation when all mandatory fields are filled.</t>
  </si>
  <si>
    <t>The system will display a confirmation message on a pop-up asking for Administrator’s confirmation with buttons ‘Confirm’ and ‘Cancel’.
 Message on pop-up window: “You are about to create a Document type. Please ensure that all the information is correct. A Document type Code will be generated once you confirm”</t>
  </si>
  <si>
    <t>TC_Admin_460</t>
  </si>
  <si>
    <t>On successful creation system should display Success pop-up message with DONE button , When User Clicks on DONE button user should be redirected to Document type LIST VIEW page.</t>
  </si>
  <si>
    <t>TC_Admin_461</t>
  </si>
  <si>
    <t>TC_Admin_462</t>
  </si>
  <si>
    <t>To verify the existance of Document type created in Document type List view page.</t>
  </si>
  <si>
    <t>Document type created should be in Document type list view page and status flag should be inactive.</t>
  </si>
  <si>
    <t>TC_Admin_463</t>
  </si>
  <si>
    <t>1. Login to Admin
 2. MasterData dashboard
 3. Document type
 4. +Create
 5. SAVE
 6. ListView page
 7. Activate</t>
  </si>
  <si>
    <t>Verify Activation of Document type created</t>
  </si>
  <si>
    <t>When user clicks on ellipses beside Document type record should have Activate button , when clicked system display confirmation pop-up message with CONFIRM and CANCEL button.
 Message on pop-up: "Do you want to Activate &lt;Document Name&gt;?
 You can Deactivate it later if you wish. Till then it will be set as Active</t>
  </si>
  <si>
    <t>TC_Admin_464</t>
  </si>
  <si>
    <t>Document type should be activated successful with success popup message with DONE button , when user clicks on DONE button user should be back to list view page.</t>
  </si>
  <si>
    <t>TC_Admin_465</t>
  </si>
  <si>
    <t>TC_Admin_466</t>
  </si>
  <si>
    <t>1. Login to Admin
 2. MasterData dashboard
 3. Document type
 4. +Create
 5. SAVE
 6. ListView page
 7. Activate
 6. DocumentCategory-Type mapping</t>
  </si>
  <si>
    <t>Verify Active Document type in the DocumentCategory-Type mapping screen</t>
  </si>
  <si>
    <t>All the active Document type should be listed under the DocumentCategory-Type mapping and user should be able to map Document type to Active Document Category.</t>
  </si>
  <si>
    <t>TC_Admin_467</t>
  </si>
  <si>
    <t>1. Login to Admin
 2. MasterData dashboard
 3. Document type
 4. +Create
 5. SAVE
 6. ListView page
 7. Activate
 6. Resources&gt;&gt;Center</t>
  </si>
  <si>
    <t>TC_Admin_468</t>
  </si>
  <si>
    <t>1. Login to Admin
 2. MasterData dashboard
 3. Document type
 4. +Create
 5. SAVE
 6. ListView page
 7. Deactivation</t>
  </si>
  <si>
    <t>Verify Deactivation of Active Document type .</t>
  </si>
  <si>
    <t>When user clicks on ellipses beside Document type record should have Deactive button , when clicked system display confirmation pop-up message with CONFIRM and CANCEL button.
 Message on pop-up: "Do you want to Deactivate &lt;Document type Name&gt; ?
 You can Activate it later if you wish. Till then it will be set as Inactive".</t>
  </si>
  <si>
    <t>TC_Admin_469</t>
  </si>
  <si>
    <t>Document type should be deactivated successfully with success popup message with DONE button , when user clicks on DONE button user should be back to list view page.</t>
  </si>
  <si>
    <t>TC_Admin_470</t>
  </si>
  <si>
    <t>Verify Deactivation of Active Document type when mapping is present with Document Category</t>
  </si>
  <si>
    <t>Should display failure message with DONE button saying " Mapping present Document type cannot be deactivated". 
 when user clicks on DONE button user should be back to list view page.</t>
  </si>
  <si>
    <t>TC_Admin_471</t>
  </si>
  <si>
    <t>1. Login to Admin
 2. MasterData dashboard
 3. Document type
 4. +Create
 5. SAVE
 6. ListView page
 7. EDIT</t>
  </si>
  <si>
    <t>Verify the action when user click on the "edit option" button in ellipsis of Document type listview page.</t>
  </si>
  <si>
    <t>The user should land on the Document type Detail View page and CODE field should be disabled.</t>
  </si>
  <si>
    <t>TC_Admin_472</t>
  </si>
  <si>
    <t>To click on Save button after modifying the details under Document type edit page.</t>
  </si>
  <si>
    <t>The system will display a confirmation message on a pop-up asking for Administrator’s confirmation with buttons ‘Confirm’ and ‘Cancel’.
 Message on pop-up window " “You are about to update a Document type. Please ensure that all the information is correct."</t>
  </si>
  <si>
    <t>TC_Admin_473</t>
  </si>
  <si>
    <t>Document type should be update successfully , with success message with DONE button , when user clicks on DONE button should redirect user to Listview page.</t>
  </si>
  <si>
    <t>TC_Admin_474</t>
  </si>
  <si>
    <t>user should land on Document type update page with pre-entered data.</t>
  </si>
  <si>
    <t>TC_Admin_475</t>
  </si>
  <si>
    <t>TC_Admin_476</t>
  </si>
  <si>
    <t>1. Login to Admin
 2. MasterData dashboard
 3. Document type
 4. +Create/ Edit</t>
  </si>
  <si>
    <t>User to click on other module or button to navigation somewhere else while in the Document type Create page .</t>
  </si>
  <si>
    <t>TC_Admin_477</t>
  </si>
  <si>
    <t>All the filled data should be-retained and the Administrator should be re-directed back to the pre-filled Document type Create form where they can continue the action</t>
  </si>
  <si>
    <t>TC_Admin_478</t>
  </si>
  <si>
    <t>TC_Admin_479</t>
  </si>
  <si>
    <t>TC_Admin_480</t>
  </si>
  <si>
    <t>TC_Admin_481</t>
  </si>
  <si>
    <t>Incase the Create form is rendered in two languages, virtual keyboard button should be available on both sides of the Document type Create form</t>
  </si>
  <si>
    <t>TC_Admin_482</t>
  </si>
  <si>
    <t>The virtual keyboard button should open the keyboard in the country configured language, User should be able to create Document type successfully when inputs are given through virtual keyboard.</t>
  </si>
  <si>
    <t>TC_Admin_483</t>
  </si>
  <si>
    <t>TC_Admin_484</t>
  </si>
  <si>
    <t>1. Login to Admin
 2. MasterData dashboard
 3. Document type
 4. Listview page
 5. clonning button</t>
  </si>
  <si>
    <t>Verify functionality of Document type clonning button</t>
  </si>
  <si>
    <t>When user clicks on clonning button should display list records that are not available in login language, upon click on the record user should land on Document type detail view page , when all are copied to login language Document type should be created successfully when save button is clicked.</t>
  </si>
  <si>
    <t>TC_Admin_485</t>
  </si>
  <si>
    <t>TC_Admin_486</t>
  </si>
  <si>
    <t>Document type should be clonned and status flag should be Active .</t>
  </si>
  <si>
    <t>TC_Admin_487</t>
  </si>
  <si>
    <t>Document type should be clonned and status flag should be Deactive</t>
  </si>
  <si>
    <t>TC_Admin_488</t>
  </si>
  <si>
    <t>TC_Admin_489</t>
  </si>
  <si>
    <t>TC_Admin_490</t>
  </si>
  <si>
    <t>1. Login to Admin
 2. MasterData dashboard
 3. Document type
 4. Listview page</t>
  </si>
  <si>
    <t>Verify column sort in Document type listview page</t>
  </si>
  <si>
    <t>TC_Admin_491</t>
  </si>
  <si>
    <t>1. Login to Admin
 2. MasterData dashboard
 3. Document type
 4. Listview page
 5. Filters</t>
  </si>
  <si>
    <t>TC_Admin_492</t>
  </si>
  <si>
    <t>TC_Admin_493</t>
  </si>
  <si>
    <t>TC_Admin_494</t>
  </si>
  <si>
    <t>TC_Admin_495</t>
  </si>
  <si>
    <t>Verify Filter search [ Status, Name]</t>
  </si>
  <si>
    <t>User should be able to fectch Document type based filter values , filter search should support matching sequence of character eg: **aaba**</t>
  </si>
  <si>
    <t>TC_Admin_496</t>
  </si>
  <si>
    <t>TC_Admin_497</t>
  </si>
  <si>
    <t>Create Document type which is already present and active</t>
  </si>
  <si>
    <t>system should displayed error message " Document type already exist".</t>
  </si>
  <si>
    <t>TC_Admin_498</t>
  </si>
  <si>
    <t>MasterData-Document Category</t>
  </si>
  <si>
    <t>Verify the presence Document Category</t>
  </si>
  <si>
    <t>Masterdata dashboard should contain Document Category feature.</t>
  </si>
  <si>
    <t>TC_Admin_499</t>
  </si>
  <si>
    <t>1. Login to Admin
 2. MasterData dashboard
 3. Document Category</t>
  </si>
  <si>
    <t>Verify action when user clicks on Document Category feature in MasterData dashboard</t>
  </si>
  <si>
    <t>user should land on Document Category list view page which contains details of Document Category of previously created.</t>
  </si>
  <si>
    <t>TC_Admin_500</t>
  </si>
  <si>
    <t>1. Login to Admin
 2. MasterData dashboard
 3. Document Category
 4. +Create</t>
  </si>
  <si>
    <t>Verify the action when user click on the "+create" button in Document Category listview page.</t>
  </si>
  <si>
    <t>The user should land on the Document Category Create Form</t>
  </si>
  <si>
    <t>TC_Admin_501</t>
  </si>
  <si>
    <t>1. Login to Admin
 2. MasterData dashboard
 3. Document Category
 4. +Create
 5. SAVE</t>
  </si>
  <si>
    <t>To verify Document Category creation when all mandatory fields are filled.</t>
  </si>
  <si>
    <t>The system will display a confirmation message on a pop-up asking for Administrator’s confirmation with buttons ‘Confirm’ and ‘Cancel’.
 Message on pop-up window: “You are about to create a Document Category. Please ensure that all the information is correct. A Document Category Code will be generated once you confirm”</t>
  </si>
  <si>
    <t>TC_Admin_502</t>
  </si>
  <si>
    <t>On successful creation system should display Success pop-up message with DONE button , When User Clicks on DONE button user should be redirected to Document Category LIST VIEW page.</t>
  </si>
  <si>
    <t>TC_Admin_503</t>
  </si>
  <si>
    <t>TC_Admin_504</t>
  </si>
  <si>
    <t>To verify the existance of Document Category created in Document Category List view page.</t>
  </si>
  <si>
    <t>Document Category created should be in Document Category list view page and status flag should be inactive.</t>
  </si>
  <si>
    <t>TC_Admin_505</t>
  </si>
  <si>
    <t>1. Login to Admin
 2. MasterData dashboard
 3. Document Category
 4. +Create
 5. SAVE
 6. ListView page
 7. Activate</t>
  </si>
  <si>
    <t>Verify Activation of Document Category created</t>
  </si>
  <si>
    <t>When user clicks on ellipses beside Document Category record should have Activate button , when clicked system display confirmation pop-up message with CONFIRM and CANCEL button.
 Message on pop-up: "Do you want to Activate &lt;Document Name&gt;?
 You can Deactivate it later if you wish. Till then it will be set as Active</t>
  </si>
  <si>
    <t>TC_Admin_506</t>
  </si>
  <si>
    <t>Document Category should be activated successful with success popup message with DONE button , when user clicks on DONE button user should be back to list view page.</t>
  </si>
  <si>
    <t>TC_Admin_507</t>
  </si>
  <si>
    <t>TC_Admin_508</t>
  </si>
  <si>
    <t>1. Login to Admin
 2. MasterData dashboard
 3. Document Category
 4. +Create
 5. SAVE
 6. ListView page
 7. Activate
 6. DocumentCategory-Type mapping</t>
  </si>
  <si>
    <t>Verify Active Document Category in the DocumentCategory-Type mapping screen</t>
  </si>
  <si>
    <t>All the active Document Category should be listed under the DocumentCategory-Type mapping and user should be able to map Document Category to Active Document type</t>
  </si>
  <si>
    <t>TC_Admin_509</t>
  </si>
  <si>
    <t>1. Login to Admin
 2. MasterData dashboard
 3. Document Category
 4. +Create
 5. SAVE
 6. ListView page
 7. Activate
 6. Resources&gt;&gt;Center</t>
  </si>
  <si>
    <t>TC_Admin_510</t>
  </si>
  <si>
    <t>1. Login to Admin
 2. MasterData dashboard
 3. Document Category
 4. +Create
 5. SAVE
 6. ListView page
 7. Deactivation</t>
  </si>
  <si>
    <t>Verify Deactivation of Active Document Category .</t>
  </si>
  <si>
    <t>When user clicks on ellipses beside Document Category record should have Deactive button , when clicked system display confirmation pop-up message with CONFIRM and CANCEL button.
 Message on pop-up: "Do you want to Deactivate &lt;Document Category Name&gt; ?
 You can Activate it later if you wish. Till then it will be set as Inactive".</t>
  </si>
  <si>
    <t>TC_Admin_511</t>
  </si>
  <si>
    <t>Document Category should be deactivated successfully with success popup message with DONE button , when user clicks on DONE button user should be back to list view page.</t>
  </si>
  <si>
    <t>TC_Admin_512</t>
  </si>
  <si>
    <t>Verify Deactivation of Active Document Category when mapping is present with Document type</t>
  </si>
  <si>
    <t>Should display failure message with DONE button saying " Mapping present Document Category cannot be deactivated". 
 when user clicks on DONE button user should be back to list view page.</t>
  </si>
  <si>
    <t>TC_Admin_513</t>
  </si>
  <si>
    <t>1. Login to Admin
 2. MasterData dashboard
 3. Document Category
 4. +Create
 5. SAVE
 6. ListView page
 7. EDIT</t>
  </si>
  <si>
    <t>Verify the action when user click on the "edit option" button in ellipsis of Document Category listview page.</t>
  </si>
  <si>
    <t>The user should land on the Document Category Detail View page and CODE field should be disabled.</t>
  </si>
  <si>
    <t>TC_Admin_514</t>
  </si>
  <si>
    <t>To click on Save button after modifying the details under Document Category edit page.</t>
  </si>
  <si>
    <t>The system will display a confirmation message on a pop-up asking for Administrator’s confirmation with buttons ‘Confirm’ and ‘Cancel’.
 Message on pop-up window " “You are about to update a Document Category. Please ensure that all the information is correct."</t>
  </si>
  <si>
    <t>TC_Admin_515</t>
  </si>
  <si>
    <t>Document Category should be update successfully , with success message with DONE button , when user clicks on DONE button should redirect user to Listview page.</t>
  </si>
  <si>
    <t>TC_Admin_516</t>
  </si>
  <si>
    <t>user should land on Document Category update page with pre-entered data.</t>
  </si>
  <si>
    <t>TC_Admin_517</t>
  </si>
  <si>
    <t>TC_Admin_518</t>
  </si>
  <si>
    <t>1. Login to Admin
 2. MasterData dashboard
 3. Document Category
 4. +Create/ Edit</t>
  </si>
  <si>
    <t>User to click on other module or button to navigation somewhere else while in the Document Category Create page .</t>
  </si>
  <si>
    <t>TC_Admin_519</t>
  </si>
  <si>
    <t>All the filled data should be-retained and the Administrator should be re-directed back to the pre-filled Document Category Create form where they can continue the action</t>
  </si>
  <si>
    <t>TC_Admin_520</t>
  </si>
  <si>
    <t>TC_Admin_521</t>
  </si>
  <si>
    <t>TC_Admin_522</t>
  </si>
  <si>
    <t>TC_Admin_523</t>
  </si>
  <si>
    <t>Incase the Create form is rendered in two languages, virtual keyboard button should be available on both sides of the Document Category Create form</t>
  </si>
  <si>
    <t>TC_Admin_524</t>
  </si>
  <si>
    <t>The virtual keyboard button should open the keyboard in the country configured language, User should be able to create Document Category successfully when inputs are given through virtual keyboard.</t>
  </si>
  <si>
    <t>TC_Admin_525</t>
  </si>
  <si>
    <t>TC_Admin_526</t>
  </si>
  <si>
    <t>1. Login to Admin
 2. MasterData dashboard
 3. Document Category
 4. Listview page
 5. clonning button</t>
  </si>
  <si>
    <t>Verify functionality of Document Category clonning button</t>
  </si>
  <si>
    <t>When user clicks on clonning button should display list records that are not available in login language, upon click on the record user should land on Document Category detail view page , when all are copied to login language Document Category should be created successfully when save button is clicked.</t>
  </si>
  <si>
    <t>TC_Admin_527</t>
  </si>
  <si>
    <t>TC_Admin_528</t>
  </si>
  <si>
    <t>Document Category should be clonned and status flag should be Active .</t>
  </si>
  <si>
    <t>TC_Admin_529</t>
  </si>
  <si>
    <t>Document Category should be clonned and status flag should be Deactive</t>
  </si>
  <si>
    <t>TC_Admin_530</t>
  </si>
  <si>
    <t>TC_Admin_531</t>
  </si>
  <si>
    <t>TC_Admin_532</t>
  </si>
  <si>
    <t>1. Login to Admin
 2. MasterData dashboard
 3. Document Category
 4. Listview page</t>
  </si>
  <si>
    <t>Verify column sort in Document Category listview page</t>
  </si>
  <si>
    <t>TC_Admin_533</t>
  </si>
  <si>
    <t>1. Login to Admin
 2. MasterData dashboard
 3. Document Category
 4. Listview page
 5. Filters</t>
  </si>
  <si>
    <t>TC_Admin_534</t>
  </si>
  <si>
    <t>TC_Admin_535</t>
  </si>
  <si>
    <t>TC_Admin_536</t>
  </si>
  <si>
    <t>TC_Admin_537</t>
  </si>
  <si>
    <t>User should be able to fectch Document Category based filter values , filter search should support matching sequence of character eg: **aaba**</t>
  </si>
  <si>
    <t>TC_Admin_538</t>
  </si>
  <si>
    <t>TC_Admin_539</t>
  </si>
  <si>
    <t>Create Document Category which is already present and active</t>
  </si>
  <si>
    <t>system should displayed error message " Document Category already exist".</t>
  </si>
  <si>
    <t>TC_Admin_540</t>
  </si>
  <si>
    <t>Document Category - Type Mapping</t>
  </si>
  <si>
    <t>1. we should be able to map documents types to the document category, when "+" is clicked in Document Type list.
 2. When user clicks on cross mark beside mapped documents list , same should be unmapped from document category selected.</t>
  </si>
  <si>
    <t>TC_Admin_541</t>
  </si>
  <si>
    <t>MasterData-Center</t>
  </si>
  <si>
    <t>1. Login to Admin
 2. Resources</t>
  </si>
  <si>
    <t>Verify the presence Center</t>
  </si>
  <si>
    <t>Resources should contain Center feature.</t>
  </si>
  <si>
    <t>TC_Admin_542</t>
  </si>
  <si>
    <t>1. Login to Admin
 2. Resources
 3. Center</t>
  </si>
  <si>
    <t>Verify action when user clicks on Center feature in Resources</t>
  </si>
  <si>
    <t>user should land on Center list view page which contains details of Center of previously created.</t>
  </si>
  <si>
    <t>TC_Admin_543</t>
  </si>
  <si>
    <t>1. Login to Admin
 2. Resources
 3. Center
 4. +Create</t>
  </si>
  <si>
    <t>Verify the action when user click on the "+create" button in Center listview page.</t>
  </si>
  <si>
    <t>The user should land on the Center Create Form</t>
  </si>
  <si>
    <t>TC_Admin_544</t>
  </si>
  <si>
    <t>1. Login to Admin
 2. Resources
 3. Center
 4. +Create
 5. SAVE</t>
  </si>
  <si>
    <t>To verify Center creation when all mandatory fields are filled.</t>
  </si>
  <si>
    <t>The system will display a confirmation message on a pop-up asking for Administrator’s confirmation with buttons ‘Confirm’ and ‘Cancel’.
 Message on pop-up window: “You are about to create a Center. Please ensure that all the information is correct. A Center Code will be generated once you confirm”</t>
  </si>
  <si>
    <t>TC_Admin_545</t>
  </si>
  <si>
    <t>Verify action when user clicks on CONFIRM button on confirmation pop-up [ In case of success]</t>
  </si>
  <si>
    <t>On successful creation system should display Success pop-up message with DONE button , When User Clicks on DONE button user should be redirected to Center LIST VIEW page.</t>
  </si>
  <si>
    <t>TC_Admin_546</t>
  </si>
  <si>
    <t>Verify action when user clicks on CONFIRM button on confirmation pop-up [ In case of failure]</t>
  </si>
  <si>
    <t>TC_Admin_547</t>
  </si>
  <si>
    <t>To verify the existance of Center created in Center List view page.</t>
  </si>
  <si>
    <t>Center created should be in Center list view page and status flag should be inactive.</t>
  </si>
  <si>
    <t>TC_Admin_548</t>
  </si>
  <si>
    <t>1. Login to Admin
 2. Resources
 3. Center
 4. +Create
 5. SAVE
 6. ListView page
 7. Activate</t>
  </si>
  <si>
    <t>Verify Activation of Center created</t>
  </si>
  <si>
    <t>When user clicks on ellipses beside Center record should have Activate button , when clicked system display confirmation pop-up message with CONFIRM and CANCEL button.
 Message on pop-up: "Do you want to Activate &lt;Document Name&gt;?
 You can Deactivate it later if you wish. Till then it will be set as Active</t>
  </si>
  <si>
    <t>TC_Admin_549</t>
  </si>
  <si>
    <t>Center should be activated successful with success popup message with DONE button , when user clicks on DONE button user should be back to list view page.</t>
  </si>
  <si>
    <t>TC_Admin_550</t>
  </si>
  <si>
    <t>TC_Admin_551</t>
  </si>
  <si>
    <t>1. Login to Admin
 2. Resources
 3. Center
 4. +Create
 5. SAVE
 6. ListView page
 7. Activate
 6. Resources&gt;&gt;Center</t>
  </si>
  <si>
    <t>TC_Admin_552</t>
  </si>
  <si>
    <t>1. Login to Admin
 2. Resources
 3. Center
 4. +Create
 5. SAVE
 6. ListView page
 7. Deactivation</t>
  </si>
  <si>
    <t>Verify Deactivation of Active Center .</t>
  </si>
  <si>
    <t>When user clicks on ellipses beside Center record should have Deactive button , when clicked system display confirmation pop-up message with CONFIRM and CANCEL button.
 Message on pop-up: "Do you want to Deactivate &lt;Center Name&gt; ?
 You can Activate it later if you wish. Till then it will be set as Inactive".</t>
  </si>
  <si>
    <t>TC_Admin_553</t>
  </si>
  <si>
    <t>Center should be deactivated successfully with success popup message with DONE button , when user clicks on DONE button user should be back to list view page.</t>
  </si>
  <si>
    <t>TC_Admin_554</t>
  </si>
  <si>
    <t>Verify the action when User clicks on CONFIRM button in Deactivation confirmation pop-up [In case of Failure]</t>
  </si>
  <si>
    <t>Should display failure message with DONE button ,when user clicks on DONE button user should be back to list view page.</t>
  </si>
  <si>
    <t>TC_Admin_555</t>
  </si>
  <si>
    <t>1. Login to Admin
 2. Resources
 3. Center
 4. +Create
 5. SAVE
 6. ListView page
 7. EDIT</t>
  </si>
  <si>
    <t>Verify the action when user click on the "edit option" button in ellipsis of Center listview page.</t>
  </si>
  <si>
    <t>The user should land on the Center Detail View page .</t>
  </si>
  <si>
    <t>TC_Admin_556</t>
  </si>
  <si>
    <t>Verify Center Edit page.</t>
  </si>
  <si>
    <t>Edit should be rendered in 3 sections.
 1. Specific fields in Logged-in language With CANCEL &amp; UPDATE buttons.
 2. Specific fields in other configured language. Which has language selection dropdown language. With CANCEL &amp; CREATE buttons.
 3. Generic fields with CANCEL &amp; UPDATE buttons.</t>
  </si>
  <si>
    <t>TC_Admin_557</t>
  </si>
  <si>
    <t>Create Center in other configured language in Edit page</t>
  </si>
  <si>
    <t>When User fills data and clicks on Create button by selecting language in which center has to be created . Success pop-up message should be displayed with Done button, when user clicks on DONE button User should be back to edit page.</t>
  </si>
  <si>
    <t>TC_Admin_558</t>
  </si>
  <si>
    <t>Update Generic details by modifying clicking update button in edit page.</t>
  </si>
  <si>
    <t>Data should be updated successfully and user should be able to view same changes in other configured language if same center is created.</t>
  </si>
  <si>
    <t>TC_Admin_559</t>
  </si>
  <si>
    <t>upade center details only for logged in language.</t>
  </si>
  <si>
    <t>User should see changes only for center in logged in language .</t>
  </si>
  <si>
    <t>TC_Admin_560</t>
  </si>
  <si>
    <t>upade center details for other configured language</t>
  </si>
  <si>
    <t>User should see changes only for center in respective login language .</t>
  </si>
  <si>
    <t>TC_Admin_561</t>
  </si>
  <si>
    <t>Verify action when user click on CANCEL button in edit page</t>
  </si>
  <si>
    <t>user should land on Center update page with pre-entered data.</t>
  </si>
  <si>
    <t>TC_Admin_562</t>
  </si>
  <si>
    <t>1. Login to Admin
 2. Resources
 3. Center
 4. +Create/ Edit</t>
  </si>
  <si>
    <t>When user clicks on cancel button after filling all data in center detail view page .</t>
  </si>
  <si>
    <t>TC_Admin_563</t>
  </si>
  <si>
    <t>All the filled data should be-retained and the Administrator should be re-directed back to the pre-filled Center Create form where they can continue the action</t>
  </si>
  <si>
    <t>TC_Admin_564</t>
  </si>
  <si>
    <t>TC_Admin_565</t>
  </si>
  <si>
    <t>Incase the Edit form is rendered in two languages, virtual keyboard button should be available on both sides of the Center Create form</t>
  </si>
  <si>
    <t>TC_Admin_566</t>
  </si>
  <si>
    <t>The virtual keyboard button should open the keyboard in the country configured language, User should be able to create Center successfully when inputs are given through virtual keyboard.</t>
  </si>
  <si>
    <t>TC_Admin_567</t>
  </si>
  <si>
    <t>TC_Admin_568</t>
  </si>
  <si>
    <t>1. Login to Admin
 2. Resources
 3. Center
 4. Listview page
 5. clonning button</t>
  </si>
  <si>
    <t>Verify functionality of Center clonning button</t>
  </si>
  <si>
    <t>When user clicks on clonning button should display list records that are not available in login language, upon click on the record user should land on Center detail view page , when all are copied to login language Center should be created successfully when save button is clicked.</t>
  </si>
  <si>
    <t>TC_Admin_569</t>
  </si>
  <si>
    <t>TC_Admin_570</t>
  </si>
  <si>
    <t>Center should be clonned and status flag should be Active .</t>
  </si>
  <si>
    <t>TC_Admin_571</t>
  </si>
  <si>
    <t>Center should be clonned and status flag should be Deactive</t>
  </si>
  <si>
    <t>TC_Admin_572</t>
  </si>
  <si>
    <t>TC_Admin_573</t>
  </si>
  <si>
    <t>TC_Admin_574</t>
  </si>
  <si>
    <t>1. Login to Admin
 2. Resources
 3. Center
 4. Listview page</t>
  </si>
  <si>
    <t>Verify column sort in Center listview page</t>
  </si>
  <si>
    <t>TC_Admin_575</t>
  </si>
  <si>
    <t>1. Login to Admin
 2. Resources
 3. Center
 4. Listview page
 5. Filters</t>
  </si>
  <si>
    <t>TC_Admin_576</t>
  </si>
  <si>
    <t>TC_Admin_577</t>
  </si>
  <si>
    <t>TC_Admin_578</t>
  </si>
  <si>
    <t>TC_Admin_579</t>
  </si>
  <si>
    <t>Verify Filter search [Center,Center type, Status, locationcode]</t>
  </si>
  <si>
    <t>User should be able to fectch Center based filter values , filter search should support matching sequence of character eg: **aaba**</t>
  </si>
  <si>
    <t>TC_Admin_580</t>
  </si>
  <si>
    <t>TC_Admin_581</t>
  </si>
  <si>
    <t>1. Login to Admin
 2. Resources
 3. Center
 4. Listview page
 5. +create/update</t>
  </si>
  <si>
    <t>User should be able to logout while present under Create Center form page</t>
  </si>
  <si>
    <t>TC_Admin_582</t>
  </si>
  <si>
    <t>1. Login to Admin
 2. Resources
 3. Center
 4. Listview page
 5. +create/update
 5. List View page&gt;&gt; Ellipses</t>
  </si>
  <si>
    <t>Verify decomisson of Center</t>
  </si>
  <si>
    <t>Registration center should be decomissioned , And In DB Isactive should be set to False and IsDelete should be set to true.</t>
  </si>
  <si>
    <t>TC_Admin_583</t>
  </si>
  <si>
    <t>Create Center in lang 1 map same Center same to Device , Machine &amp; User login with lang2 and check the Center mapping in list page and in detail view of each module</t>
  </si>
  <si>
    <t>In lang1 login user should see Center mapping with the format [CenterName(CenterID)].
 In lang2 login user should see Center ID in listview and in detail view.</t>
  </si>
  <si>
    <t>MOSIP-12396</t>
  </si>
  <si>
    <t>Admin- Control the location hierarchy during Registration center creation</t>
  </si>
  <si>
    <t>TC_Admin_584</t>
  </si>
  <si>
    <t>Center-dynamicnature of location hierarchy</t>
  </si>
  <si>
    <t>1. Login to Admin 
 2. Resources
 3. center</t>
  </si>
  <si>
    <t>The user to create center as per the Hierarchy level set from 0-5 level</t>
  </si>
  <si>
    <t>Admin UI should have location hierarchy till level 5 User should be successfully able to create the Registration center
 changes in Hierarchy level in application-MZ property file.
 mosip.recommended.centers.locCode=5</t>
  </si>
  <si>
    <t>TC_Admin_585</t>
  </si>
  <si>
    <t>The user to create center as per the Hierarchy level is added and incremented to 0-6 from 0-5</t>
  </si>
  <si>
    <t>The User should be successfully able to create the center after making changes in Hierarchy level table.
 changes in Hierarchy level in application-MZ property file.
 mosip.recommended.centers.locCode=6.
 Hierarchy level and location mapping to the hierarchy should be done using Admin UI bulkuploads.</t>
  </si>
  <si>
    <t>TC_Admin_586</t>
  </si>
  <si>
    <t>The user to create center as per the Hierarchy level is added and decrement to 0-5 from 0-3</t>
  </si>
  <si>
    <t>Admin UI should have location hierarchy till level 5 User should be successfully able to create the Registration center
 changes in Hierarchy level in application-MZ property file.
 mosip.recommended.centers.locCode=3</t>
  </si>
  <si>
    <t>TC_Admin_587</t>
  </si>
  <si>
    <t>1. login to pre reg module 
 2. Book appointment</t>
  </si>
  <si>
    <t>Check if Pre-reg is able to book the appointment with center after Hierarchy level changes for decremental scenario</t>
  </si>
  <si>
    <t>User should be able to book appointment using the regcenter
 Changes in Hierarchy level in pre reg-mz property file.
 mosip.recommended.centers.locCode=3</t>
  </si>
  <si>
    <t>TC_Admin_588</t>
  </si>
  <si>
    <t>Check if Pre-reg is able to book the appointment with center after Hierarchy level changes for incremental scenario by adding attribute in UI spec and schema.</t>
  </si>
  <si>
    <t>User should be able to book appointment using the regcenter
 Changes in Hierarchy level in pre reg-mz property file.
 mosip.recommended.centers.locCode=6</t>
  </si>
  <si>
    <t>TC_Admin_589</t>
  </si>
  <si>
    <t>1. Login to regclient
 2. New Registration</t>
  </si>
  <si>
    <t>Check if Reg-cleint is able to create the application with center after Hierarchy level changes when PRID is synced for decremental process</t>
  </si>
  <si>
    <t>User is able to Create application and generate UIN</t>
  </si>
  <si>
    <t>TC_Admin_590</t>
  </si>
  <si>
    <t>Check if Reg-cleint is able to create the application with center after Hierarchy level changes when PRID is synced for incremental process</t>
  </si>
  <si>
    <t>TC_Admin_591</t>
  </si>
  <si>
    <t>Dynamic nature of working days</t>
  </si>
  <si>
    <t>https://qa-double-rc2.mosip.net/v1/masterdata/workingdays</t>
  </si>
  <si>
    <t>Check dynamic behaviour of working days while center creation by setting IsglobalWorking flag false for making week day to be removed from Admin UI Center page</t>
  </si>
  <si>
    <t>Respective week day has to be removed from Admin UI , Center creation should be successful after making changes.</t>
  </si>
  <si>
    <t>TC_Admin_592</t>
  </si>
  <si>
    <t>Check dynamic behaviour of working days while center creation by setting IsglobalWorking flag true for making week day to be added in Admin UI Center page</t>
  </si>
  <si>
    <t>TC_Admin_593</t>
  </si>
  <si>
    <t>MasterData-Device</t>
  </si>
  <si>
    <t>Verify the presence Device feature</t>
  </si>
  <si>
    <t>Resources should contain Device feature.</t>
  </si>
  <si>
    <t>TC_Admin_594</t>
  </si>
  <si>
    <t>1. Login to Admin
 2. Resources
 3. Device</t>
  </si>
  <si>
    <t>Verify action when user clicks on Device feature in Resources</t>
  </si>
  <si>
    <t>user should land on Device list view page which contains details of Device which is created previously</t>
  </si>
  <si>
    <t>TC_Admin_595</t>
  </si>
  <si>
    <t>1. Login to Admin
 2. Resources
 3. Device
 4. +Create</t>
  </si>
  <si>
    <t>Verify the action when user click on the "+create" button in Device listview page.</t>
  </si>
  <si>
    <t>The user should land on the Device Create Form</t>
  </si>
  <si>
    <t>TC_Admin_596</t>
  </si>
  <si>
    <t>1. Login to Admin
 2. Resources
 3. Device
 4. +Create
 5. SAVE</t>
  </si>
  <si>
    <t>To verify Device creation when all mandatory fields are filled.</t>
  </si>
  <si>
    <t>Device should be created successfully with success pop-up button which has DONE button, when DONE button is clicked user should land on the listview page.</t>
  </si>
  <si>
    <t>TC_Admin_597</t>
  </si>
  <si>
    <t>1. Login to Admin
 2. Resources
 3. Device
 4. +Create
 5. SAVE
 6. Listview page</t>
  </si>
  <si>
    <t>To verify the existance of Device created in Device List view page.</t>
  </si>
  <si>
    <t>Device created should be in Device list view page and status flag should be inactive.</t>
  </si>
  <si>
    <t>TC_Admin_598</t>
  </si>
  <si>
    <t>1. Login to Admin
 2. Resources
 3. Device
 4. +Create
 5. SAVE
 6. ListView page
 7. Activate</t>
  </si>
  <si>
    <t>Verify Activation of Device created</t>
  </si>
  <si>
    <t>When user clicks on ellipses beside Device record should have Activate button , when clicked system display confirmation pop-up message with CONFIRM and CANCEL button.
 Message on pop-up: "Do you want to Activate &lt;Device&gt;?
 You can Deactivate it later if you wish. Till then it will be set as Active</t>
  </si>
  <si>
    <t>TC_Admin_599</t>
  </si>
  <si>
    <t>Device should be activated successful with success popup message with DONE button , when user clicks on DONE button user should be back to list view page.</t>
  </si>
  <si>
    <t>TC_Admin_600</t>
  </si>
  <si>
    <t>TC_Admin_601</t>
  </si>
  <si>
    <t>TC_Admin_602</t>
  </si>
  <si>
    <t>1. Login to Admin
 2. Resources
 3. Device
 4. +Create
 5. SAVE
 6. ListView page
 7. Deactivation</t>
  </si>
  <si>
    <t>Verify Deactivation of Active Device.</t>
  </si>
  <si>
    <t>When user clicks on ellipses beside Device record should have Deactive button , when clicked system display confirmation pop-up message with CONFIRM and CANCEL button.
 Message on pop-up: "Do you want to Deactivate &lt;Device&gt; ?
 You can Activate it later if you wish. Till then it will be set as Inactive".</t>
  </si>
  <si>
    <t>TC_Admin_603</t>
  </si>
  <si>
    <t>Verify the action when User clicks on CONFIRM button in Deactivation confirmation pop-up</t>
  </si>
  <si>
    <t>Device should be deactivated successfully with success popup message with DONE button , when user clicks on DONE button user should be back to list view page.</t>
  </si>
  <si>
    <t>TC_Admin_604</t>
  </si>
  <si>
    <t>1. Login to Admin
 2. Resources
 3. Device
 4. +Create
 5. SAVE
 6. ListView page
 7. EDIT</t>
  </si>
  <si>
    <t>Verify the action when user click on the "edit option" button in Device listview page beside each device ellipses</t>
  </si>
  <si>
    <t>The user should land on the Device Detail View page .</t>
  </si>
  <si>
    <t>TC_Admin_605</t>
  </si>
  <si>
    <t>To click on Save button after modifying the details under Device edit page.</t>
  </si>
  <si>
    <t>The system will display a confirmation message on a pop-up asking for Administrator’s confirmation with buttons ‘Confirm’ and ‘Cancel’.
 Message on pop-up window " “You are about to update a Device. Please ensure that all the information is correct."</t>
  </si>
  <si>
    <t>TC_Admin_606</t>
  </si>
  <si>
    <t>Device should be update successfully , with success message with DONE button , when user clicks on DONE button should redirect user to Listview page.</t>
  </si>
  <si>
    <t>TC_Admin_607</t>
  </si>
  <si>
    <t>user should land on Device update page with pre-entered data.</t>
  </si>
  <si>
    <t>TC_Admin_608</t>
  </si>
  <si>
    <t>1. Login to Admin
 2. Resources
 3. Device
 4. +Create/ Edit</t>
  </si>
  <si>
    <t>TC_Admin_609</t>
  </si>
  <si>
    <t>The virtual keyboard button should open the keyboard in the country configured language, User should be able to create Device successfully when inputs are given through virtual keyboard.</t>
  </si>
  <si>
    <t>TC_Admin_610</t>
  </si>
  <si>
    <t>TC_Admin_611</t>
  </si>
  <si>
    <t>1. Login to Admin
 2. Resources
 3. Device
 4. Listview page</t>
  </si>
  <si>
    <t>Verify column sort in Device listview page</t>
  </si>
  <si>
    <t>TC_Admin_612</t>
  </si>
  <si>
    <t>1. Login to Admin
 2. Resources
 3. Device
 4. Listview page
 5. Filters</t>
  </si>
  <si>
    <t>TC_Admin_613</t>
  </si>
  <si>
    <t>TC_Admin_614</t>
  </si>
  <si>
    <t>TC_Admin_615</t>
  </si>
  <si>
    <t>TC_Admin_616</t>
  </si>
  <si>
    <t>Verify Filter search [DeviceName , Serial number,MacAdress,Device Type, Status]</t>
  </si>
  <si>
    <t>User should be able to fectch Device based filter values , filter search should support matching sequence of character eg: **aaba**</t>
  </si>
  <si>
    <t>TC_Admin_617</t>
  </si>
  <si>
    <t>TC_Admin_618</t>
  </si>
  <si>
    <t>1. Login to Admin
 2. Resources
 3. Device
 4. Listview page
 5. +create/update</t>
  </si>
  <si>
    <t>User should be able to logout while present under Create Device form page</t>
  </si>
  <si>
    <t>TC_Admin_619</t>
  </si>
  <si>
    <t>TC_Admin_620</t>
  </si>
  <si>
    <t>Check Device specification mapping in different logins in listview page and detail view page</t>
  </si>
  <si>
    <t>The Device type mapped to respective Device specification should show up in multiple login screen.</t>
  </si>
  <si>
    <t>TC_Admin_621</t>
  </si>
  <si>
    <t>Verify Decomission functionality</t>
  </si>
  <si>
    <t>When clicked on decomission button device should be removed from Listview page and in DB Isactive should be set to False and IsDeleted column to True.</t>
  </si>
  <si>
    <t>MOSIP-57</t>
  </si>
  <si>
    <t>UI: As the MOSIP Administrator, I should be able to map a Device to a Registration Center</t>
  </si>
  <si>
    <t>TC_Admin_622</t>
  </si>
  <si>
    <t>Map Device to Registration center</t>
  </si>
  <si>
    <t>Verify the Center Name field in create and update Device screen</t>
  </si>
  <si>
    <t>center Name should be added in Device Create and Update screen.</t>
  </si>
  <si>
    <t>TC_Admin_623</t>
  </si>
  <si>
    <t>Verify the dropdown values in Center Name field</t>
  </si>
  <si>
    <t>Center name dropdown should always reload based on the Administrative Zone of logged-in User's Zone.</t>
  </si>
  <si>
    <t>TC_Admin_624</t>
  </si>
  <si>
    <t>Create Device by associating Center with it</t>
  </si>
  <si>
    <t>Based on the administrative zone selected center from dropdown should show up the available center list , By selecting one center among that we should be able to create Device.</t>
  </si>
  <si>
    <t>TC_Admin_625</t>
  </si>
  <si>
    <t>update Device by associating Center with it</t>
  </si>
  <si>
    <t>previously mapped center should be remapped to center which is selected in update screen.</t>
  </si>
  <si>
    <t>TC_Admin_626</t>
  </si>
  <si>
    <t>Remove association of center</t>
  </si>
  <si>
    <t>1. The user should change the selected value in the Administration Zone field → this resets the value in the Centre field.
 2. Then change the value in the Administration Zone field to the previous value → center field still remains empty. Proceed to Save Device record.</t>
  </si>
  <si>
    <t>TC_Admin_627</t>
  </si>
  <si>
    <t>Change the administrative zone value</t>
  </si>
  <si>
    <t>User should be able to reselect the administrative value from dropdown and this resets the center field , Center can be selected for choosen administrative zone , User should be able save above changes.</t>
  </si>
  <si>
    <t>TC_Admin_628</t>
  </si>
  <si>
    <t>Save Device without selecting administrative zone</t>
  </si>
  <si>
    <t>User should get proper validation message to fill administrative zone</t>
  </si>
  <si>
    <t>TC_Admin_629</t>
  </si>
  <si>
    <t>Check audits for center mapping</t>
  </si>
  <si>
    <t>Audit should be captured in Audit table</t>
  </si>
  <si>
    <t>TC_Admin_630</t>
  </si>
  <si>
    <t>Check audits for center unmapping</t>
  </si>
  <si>
    <t>TC_Admin_631</t>
  </si>
  <si>
    <t>MasterData-Machine</t>
  </si>
  <si>
    <t>Verify the presence Machine feature</t>
  </si>
  <si>
    <t>Resources should contain Machine feature.</t>
  </si>
  <si>
    <t>TC_Admin_632</t>
  </si>
  <si>
    <t>1. Login to Admin
 2. Resources
 3. Machine</t>
  </si>
  <si>
    <t>Verify action when user clicks on Machine feature in Resources</t>
  </si>
  <si>
    <t>user should land on Machine list view page which contains details of Machine which is created previously</t>
  </si>
  <si>
    <t>TC_Admin_633</t>
  </si>
  <si>
    <t>1. Login to Admin
 2. Resources
 3. Machine
 4. +Create</t>
  </si>
  <si>
    <t>Verify the action when user click on the "+create" button in Machine listview page.</t>
  </si>
  <si>
    <t>The user should land on the Machine Create Form</t>
  </si>
  <si>
    <t>TC_Admin_634</t>
  </si>
  <si>
    <t>1. Login to Admin
 2. Resources
 3. Machine
 4. +Create
 5. SAVE</t>
  </si>
  <si>
    <t>To verify Machine creation when all mandatory fields are filled.</t>
  </si>
  <si>
    <t>Machine should be created successfully with success pop-up button which has DONE button, when DONE button is clicked user should land on the listview page.</t>
  </si>
  <si>
    <t>TC_Admin_635</t>
  </si>
  <si>
    <t>1. Login to Admin
 2. Resources
 3. Machine
 4. +Create
 5. SAVE
 6. Listview page</t>
  </si>
  <si>
    <t>To verify the existance of Machine created in Machine List view page.</t>
  </si>
  <si>
    <t>Machine created should be in Machine list view page and status flag should be inactive.</t>
  </si>
  <si>
    <t>TC_Admin_636</t>
  </si>
  <si>
    <t>1. Login to Admin
 2. Resources
 3. Machine
 4. +Create
 5. SAVE
 6. ListView page
 7. Activate</t>
  </si>
  <si>
    <t>Verify Activation of Machine created</t>
  </si>
  <si>
    <t>When user clicks on ellipses beside Machine record should have Activate button , when clicked system display confirmation pop-up message with CONFIRM and CANCEL button.
 Message on pop-up: "Do you want to Activate &lt;Machine&gt;?
 You can Deactivate it later if you wish. Till then it will be set as Active</t>
  </si>
  <si>
    <t>TC_Admin_637</t>
  </si>
  <si>
    <t>Machine should be activated successful with success popup message with DONE button , when user clicks on DONE button user should be back to list view page.</t>
  </si>
  <si>
    <t>TC_Admin_638</t>
  </si>
  <si>
    <t>TC_Admin_639</t>
  </si>
  <si>
    <t>TC_Admin_640</t>
  </si>
  <si>
    <t>1. Login to Admin
 2. Resources
 3. Machine
 4. +Create
 5. SAVE
 6. ListView page
 7. Deactivation</t>
  </si>
  <si>
    <t>Verify Deactivation of Active Machine.</t>
  </si>
  <si>
    <t>When user clicks on ellipses beside Machine record should have Deactive button , when clicked system display confirmation pop-up message with CONFIRM and CANCEL button.
 Message on pop-up: "Do you want to Deactivate &lt;Machine&gt; ?
 You can Activate it later if you wish. Till then it will be set as Inactive".</t>
  </si>
  <si>
    <t>TC_Admin_641</t>
  </si>
  <si>
    <t>Machine should be deactivated successfully with success popup message with DONE button , when user clicks on DONE button user should be back to list view page.</t>
  </si>
  <si>
    <t>TC_Admin_642</t>
  </si>
  <si>
    <t>1. Login to Admin
 2. Resources
 3. Machine
 4. +Create
 5. SAVE
 6. ListView page
 7. EDIT</t>
  </si>
  <si>
    <t>Verify the action when user click on the "edit option" button in Machine listview page beside each Machine ellipses</t>
  </si>
  <si>
    <t>The user should land on the Machine Detail View page .</t>
  </si>
  <si>
    <t>TC_Admin_643</t>
  </si>
  <si>
    <t>To click on Save button after modifying the details under Machine edit page.</t>
  </si>
  <si>
    <t>The system will display a confirmation message on a pop-up asking for Administrator’s confirmation with buttons ‘Confirm’ and ‘Cancel’.
 Message on pop-up window " “You are about to update a Machine. Please ensure that all the information is correct."</t>
  </si>
  <si>
    <t>TC_Admin_644</t>
  </si>
  <si>
    <t>Machine should be update successfully , with success message with DONE button , when user clicks on DONE button should redirect user to Listview page.</t>
  </si>
  <si>
    <t>TC_Admin_645</t>
  </si>
  <si>
    <t>user should land on Machine update page with pre-entered data.</t>
  </si>
  <si>
    <t>TC_Admin_646</t>
  </si>
  <si>
    <t>1. Login to Admin
 2. Resources
 3. Machine
 4. +Create/ Edit</t>
  </si>
  <si>
    <t>TC_Admin_647</t>
  </si>
  <si>
    <t>The virtual keyboard button should open the keyboard in the country configured language, User should be able to create Machine successfully when inputs are given through virtual keyboard.</t>
  </si>
  <si>
    <t>TC_Admin_648</t>
  </si>
  <si>
    <t>TC_Admin_649</t>
  </si>
  <si>
    <t>1. Login to Admin
 2. Resources
 3. Machine
 4. Listview page</t>
  </si>
  <si>
    <t>Verify column sort in Machine listview page</t>
  </si>
  <si>
    <t>TC_Admin_650</t>
  </si>
  <si>
    <t>1. Login to Admin
 2. Resources
 3. Machine
 4. Listview page
 5. Filters</t>
  </si>
  <si>
    <t>TC_Admin_651</t>
  </si>
  <si>
    <t>TC_Admin_652</t>
  </si>
  <si>
    <t>TC_Admin_653</t>
  </si>
  <si>
    <t>TC_Admin_654</t>
  </si>
  <si>
    <t>Filters[Machine Name , Machine Type, status, MAC Address , Serial Number]</t>
  </si>
  <si>
    <t>User should be able to fectch Machine based filter values , filter search should support matching sequence of character eg: **aaba**</t>
  </si>
  <si>
    <t>TC_Admin_655</t>
  </si>
  <si>
    <t>TC_Admin_656</t>
  </si>
  <si>
    <t>1. Login to Admin
 2. Resources
 3. Machine
 4. Listview page
 5. +create/update</t>
  </si>
  <si>
    <t>User should be able to logout while present under Create Machine form page</t>
  </si>
  <si>
    <t>TC_Admin_657</t>
  </si>
  <si>
    <t>TC_Admin_658</t>
  </si>
  <si>
    <t>Check Machine specification mapping in different logins in listview page and detail view page</t>
  </si>
  <si>
    <t>The Machine type mapped to respective Machine specification should show up in multiple login screen.</t>
  </si>
  <si>
    <t>TC_Admin_659</t>
  </si>
  <si>
    <t>Check for validation for incorrect public key and signed public key</t>
  </si>
  <si>
    <t>System should display validation error message" public key invalid " .</t>
  </si>
  <si>
    <t>TC_Admin_660</t>
  </si>
  <si>
    <t>Verify decommission functionality</t>
  </si>
  <si>
    <t>TC_Admin_661</t>
  </si>
  <si>
    <t>Create decomissioned Machine.</t>
  </si>
  <si>
    <t>Should display message " Machine exist already with &lt;Machine Name&gt;".</t>
  </si>
  <si>
    <t>MOSIP-58</t>
  </si>
  <si>
    <t>UI: As the MOSIP Administrator, I should be able to map Machines to a Registration Center</t>
  </si>
  <si>
    <t>TC_Admin_662</t>
  </si>
  <si>
    <t>Map Machine to Registration center</t>
  </si>
  <si>
    <t>Verify the Center Name field in create and update Machine screen</t>
  </si>
  <si>
    <t>center Name should be added in Machine Create and Update screen.</t>
  </si>
  <si>
    <t>TC_Admin_663</t>
  </si>
  <si>
    <t>TC_Admin_664</t>
  </si>
  <si>
    <t>Create machine by associating Center with it</t>
  </si>
  <si>
    <t>Based on the administrative zone selected center from dropdown should show up the available center list , By selecting one center among that we should be able to create Machine.</t>
  </si>
  <si>
    <t>TC_Admin_665</t>
  </si>
  <si>
    <t>update machine by associating Center with it</t>
  </si>
  <si>
    <t>TC_Admin_666</t>
  </si>
  <si>
    <t>1. The user should change the selected value in the Administration Zone field → this resets the value in the Centre field.
 2. Then change the value in the Administration Zone field to the previous value → center field still remains empty. Proceed to Save Machine record.</t>
  </si>
  <si>
    <t>TC_Admin_667</t>
  </si>
  <si>
    <t>TC_Admin_668</t>
  </si>
  <si>
    <t>Save Machine without selecting administrative zone</t>
  </si>
  <si>
    <t>TC_Admin_669</t>
  </si>
  <si>
    <t>TC_Admin_670</t>
  </si>
  <si>
    <t>MOSIP-11308</t>
  </si>
  <si>
    <t>As an admin, I should be able to configure the maximum bookable kiosk</t>
  </si>
  <si>
    <t>TC_Admin_671</t>
  </si>
  <si>
    <t>Machine-No.of kiosk field</t>
  </si>
  <si>
    <t>To check if the dependency of No of Kiosk getting created from machine master creation is removed.</t>
  </si>
  <si>
    <t>Machine_master table should not have Kiosk column.</t>
  </si>
  <si>
    <t>TC_Admin_672</t>
  </si>
  <si>
    <t>To verify that center under Resources has No. of kiosk label added and same is editable.</t>
  </si>
  <si>
    <t>Center creation page should have No. of kiosk field and same should be editable.</t>
  </si>
  <si>
    <t>TC_Admin_673</t>
  </si>
  <si>
    <t>To verify that user is able to enter only numeric value in No.of kiosk label.</t>
  </si>
  <si>
    <t>If Non-Numeric value enter user should get proper Validation error.</t>
  </si>
  <si>
    <t>TC_Admin_674</t>
  </si>
  <si>
    <t>To Verify No. of Kiosks Field with negative value.</t>
  </si>
  <si>
    <t>Proper field validation should be displayed to the User.
 ex: "Minimum value should be 0".</t>
  </si>
  <si>
    <t>TC_Admin_675</t>
  </si>
  <si>
    <t>To verify that the value entered in the no of kiosk field will be the maximum bookable machines or kiosks for that particular center.</t>
  </si>
  <si>
    <t>The value entered in the no of kiosk field will be the maximum bookable machines or slots available for the center while consuming it in pre registration book appointment screen.</t>
  </si>
  <si>
    <t>TC_Admin_676</t>
  </si>
  <si>
    <t>To check that center is not created when No. of Kiosks field is blank.</t>
  </si>
  <si>
    <t>Center creation should fail with proper error Message to the User
 ex: "No.of kiosk field is required".</t>
  </si>
  <si>
    <t>TC_Admin_677</t>
  </si>
  <si>
    <t>To check if user is able to update no. of kiosk field while updating the registration center details.</t>
  </si>
  <si>
    <t>User should be able to update value in No. of kiosk field while updating the registration center details.</t>
  </si>
  <si>
    <t>TC_Admin_678</t>
  </si>
  <si>
    <t>To check if all data are captured in DB ( registration center and history table.</t>
  </si>
  <si>
    <t>RegCenter table should have 'No.of kiosk' column with the value given while creating each center.</t>
  </si>
  <si>
    <t>MOSIP-8446</t>
  </si>
  <si>
    <t>UI: As the MOSIP Admin, I should be able to perform bulk operations on Master Data</t>
  </si>
  <si>
    <t>TC_Admin_679</t>
  </si>
  <si>
    <t>MasterData bulk upload</t>
  </si>
  <si>
    <t>1. Login to Admin
 2. Bulkupload
 3. MasterData</t>
  </si>
  <si>
    <t>To check if bulkupload module has MasterData feature to upload .Csv file.</t>
  </si>
  <si>
    <t>Bulkupload module should have MasterData feature which can be used to upload Csv files .</t>
  </si>
  <si>
    <t>TC_Admin_680</t>
  </si>
  <si>
    <t>Verify upload MasterData option</t>
  </si>
  <si>
    <t>User should land on MasterData upload screen when clicked on upload MasterData option.</t>
  </si>
  <si>
    <t>TC_Admin_681</t>
  </si>
  <si>
    <t>Check the dropdown values in "Operation field".</t>
  </si>
  <si>
    <t>Dropdown should contain 3 operation list INSERT , UPDATE, DELETE.</t>
  </si>
  <si>
    <t>TC_Admin_682</t>
  </si>
  <si>
    <t>Check the dropdown values in "Select Table Name field".</t>
  </si>
  <si>
    <t>Dropdown should contain active tables names which is present in mosip_master DB.</t>
  </si>
  <si>
    <t>TC_Admin_683</t>
  </si>
  <si>
    <t>Verify choose file button</t>
  </si>
  <si>
    <t>User should be able browser files and folder for Csv in their local machine , selectable files should be only Csv.</t>
  </si>
  <si>
    <t>TC_Admin_684</t>
  </si>
  <si>
    <t>Verify insert operation
 1. select operation as INSERT
 2. select the table for which data is to be uploaded.
 3. select a csv file by browsing through folders.
 4. click on UPLOAD button</t>
  </si>
  <si>
    <t>Confirmation pop-up window should apper with message , Message on the pop-up, “Bulk &lt;Operation&gt; on &lt;Table Name&gt; will be processed. Please ensure that all the information is correct. Transaction will start once you click on confirm.“
 with CANCEL and CONFIRM button.</t>
  </si>
  <si>
    <t>TC_Admin_685</t>
  </si>
  <si>
    <t>Verify confirm button on confirmation pop-up window.</t>
  </si>
  <si>
    <t>1. In case of successful upload , Success pop-up should display with Done button.
 When user clicks on Done button, User should be redirected back to the MasterData upload dashboard.
 Message on the pop-up, “Your file has been uploaded successfully. Data processing is currently in progress. Transaction ID: &lt;Transaction ID&gt;.“
 2. In case of failure during upload, user should see a failure pop-up window with Done button.
 When User clicks on Done button, user should be redirected back to MasterData upload screen with pre-populated data.
 Message on the pop-up, “File Upload failed because &lt;Message from server&gt;. Please retry later.“</t>
  </si>
  <si>
    <t>TC_Admin_686</t>
  </si>
  <si>
    <t>Verify cancel button on confirmation pop-up window</t>
  </si>
  <si>
    <t>When User clicks on CANCEL option user should be redirected back to the MasterData upload screen with pre-populated data</t>
  </si>
  <si>
    <t>TC_Admin_687</t>
  </si>
  <si>
    <t>Verify CANCEL button on MasterData upload screen</t>
  </si>
  <si>
    <t>When User clicks on CANCEL button or anywhere in the navigation bar, a alert pop-up window should display with leave or stay button, alerting the user that all the data will be lost if there is any data selected.
 Message on the pop-up, “Are you sure you want to navigate away from this page? Any unsaved data will be lost.“
 1. When User clicks on STAY should be redirecting user back to the MasterData upload screen with the pre-populated data.
 2. User clicks on LEAVE should be redirecting user to MasterData upload dashboard or the option clicked on the navigation bar.</t>
  </si>
  <si>
    <t>TC_Admin_688</t>
  </si>
  <si>
    <t>Verify MasterData upload dashboard</t>
  </si>
  <si>
    <t>1. When User navigates to MasterData upload screen user should be able to view the previous transactions.
 2. When user clicks on any transaction ID should navigate to transaction details screen which has details of selected transaction ID.</t>
  </si>
  <si>
    <t>TC_Admin_689</t>
  </si>
  <si>
    <t>Verify Back button or Bread crumb navigation in transaction detail screen</t>
  </si>
  <si>
    <t>when User clicks on BACK button or on the bread crumb should take user back to the MasterData upload dashboard</t>
  </si>
  <si>
    <t>TC_Admin_690</t>
  </si>
  <si>
    <t>Verify update operation
 1. select operation as UPDATE
 2. select the table for which data is to be modified.
 3. select a csv file by browsing through folders.
 4. click on UPLOAD button</t>
  </si>
  <si>
    <t>TC_Admin_691</t>
  </si>
  <si>
    <t>TC_Admin_692</t>
  </si>
  <si>
    <t>TC_Admin_693</t>
  </si>
  <si>
    <t>Verify Delete operation
 1. select operation as DELETE
 2. select the table for which data is to be deleted.
 3. select a csv file by browsing through folders.
 4. click on UPLOAD button</t>
  </si>
  <si>
    <t>TC_Admin_694</t>
  </si>
  <si>
    <t>TC_Admin_695</t>
  </si>
  <si>
    <t>TC_Admin_696</t>
  </si>
  <si>
    <t>Verify DataBase</t>
  </si>
  <si>
    <t>Insert, Update, Delete should be captured in respective tables and history table should be updated with each action performed.</t>
  </si>
  <si>
    <t>TC_Admin_697</t>
  </si>
  <si>
    <t>Check Audit logs for below scenario's:
 When the administrator clicks on ‘Upload option’</t>
  </si>
  <si>
    <t>Event ID: ADM-331
 Event Name: Click: Upload
 Event Type: Navigation: Click Event
 Component ID: ADM-BDU
 Component Name: admin-data-upload
 Description: User clicked on upload option on master data dashboard</t>
  </si>
  <si>
    <t>TC_Admin_698</t>
  </si>
  <si>
    <t>When administrator lands on a master data upload form</t>
  </si>
  <si>
    <t>Event ID: ADM-332
 Event name: Page View: Master Data Upload Form
 Event Type: Navigation: Page View Event
 Component ID: ADM-BDU
 Component Name: admin-data-upload
 Description: User visited master data upload screen</t>
  </si>
  <si>
    <t>TC_Admin_699</t>
  </si>
  <si>
    <t>When administrator clicks on ‘Upload’ button on Master Data Upload form</t>
  </si>
  <si>
    <t>Event ID: ADM-333
 Event name: Click: Upload Data
 Event Type: Navigation: Click Event
 Component ID: ADM-BDU
 Component Name: admin-data-upload
 Description: User clicked on 'Upload' button on master data upload form</t>
  </si>
  <si>
    <t>TC_Admin_700</t>
  </si>
  <si>
    <t>When administrator confirms upload on the confirmation pop-up</t>
  </si>
  <si>
    <t>Event ID: ADM-334
 Event name: Click: Confirm Upload
 Event Type: Navigation: Click Event
 Component ID: ADM-BDU
 Component Name: admin-data-upload
 Description: User confirmed upload of master data</t>
  </si>
  <si>
    <t>TC_Admin_701</t>
  </si>
  <si>
    <t>When administrator clicks on cancel button</t>
  </si>
  <si>
    <t>Event ID: ADM-335
 Event name: Click: Cancel Creation
 Event Type: Navigation: Click Event
 Component ID: ADM-BDU
 Component Name: admin-data-upload
 Description: User cancelled upload of master data</t>
  </si>
  <si>
    <t>TC_Admin_702</t>
  </si>
  <si>
    <t>When administrator Clicks on a transaction id</t>
  </si>
  <si>
    <t>Event ID: ADM-336
 Event name: Click: Select Transaction
 Event Type: Navigation: Click Event
 Component ID: ADM-BDU
 Component Name: admin-data-upload
 Description: User wants to views a master data transaction</t>
  </si>
  <si>
    <t>TC_Admin_703</t>
  </si>
  <si>
    <t>When administrator lands on a view transaction screen</t>
  </si>
  <si>
    <t>Event ID: ADM-337
 Event name: Click: View Transaction Details
 Event Type: Navigation: Page View Event
 Component ID: ADM-BDU
 Component Name: admin-data-upload
 Description: User views a master data transaction detail</t>
  </si>
  <si>
    <t>TC_Admin_704</t>
  </si>
  <si>
    <t>When administrator clicks on back button</t>
  </si>
  <si>
    <t>Event ID: ADM-338
 Event name: Click: Back from Transaction Details
 Event Type: Navigation: Click Event
 Component ID: ADM-BDU
 Component Name: admin-data-upload
 Description: User come back from view transaction details for master data</t>
  </si>
  <si>
    <t>MOSIP-8520</t>
  </si>
  <si>
    <t>API: As the MOSIP Admin, I should be see the status of a bulk upload transaction</t>
  </si>
  <si>
    <t>TC_Admin_705</t>
  </si>
  <si>
    <t>MasterData bulk upload transaction details.</t>
  </si>
  <si>
    <t>Verify transaction details in MasterData upload Dashboard while uploading CSV , operation : INSERT</t>
  </si>
  <si>
    <t>Transaction ID should generated , List page of Master Data dashboard should have below details:
 Transaction ID, Table, Operation, Count , Status, Uploaded by , Date Time.
 Where, 
 Table Name column displayes the Name of the Table selected by an user.
 Operation: INSERT
 Count: No. of lines read before upload
 Status: COMPLETED in case of successfull upload
 FAIL in case of failure.
 Uploaded By: Displayes logged-in user ID
 DateTime: date and time of the transaction</t>
  </si>
  <si>
    <t>TC_Admin_706</t>
  </si>
  <si>
    <t>Verify transaction details in MasterData upload Dashboard while uploading CSV , operation : UPDATE</t>
  </si>
  <si>
    <t>Transaction ID should generated , List page of Master Data dashboard should have below details:
 Transaction ID, Table, Operation, Count , Status, Uploaded by , Date Time.
 Where, 
 Table Name column displayes the Name of the Table selected by an user.
 Operation: UPDATE
  Count: No. of lines read before upload
 Status: COMPLETED in case of successfull upload
 FAIL in case of failure.
 Uploaded By: Displayes logged-in user ID
 DateTime: date and time of the transaction</t>
  </si>
  <si>
    <t>TC_Admin_707</t>
  </si>
  <si>
    <t>Verify transaction details in MasterData upload Dashboard while uploading CSV , operation : DELETE</t>
  </si>
  <si>
    <t>Transaction ID should generated , List page of Master Data dashboard should have below details:
 Transaction ID, Table, Operation, Count , Status, Uploaded by , Date Time.
 Where, 
 Table Name column displayes the Name of the Table selected by an user.
 Operation: DELETE
  Count: No. of lines read before upload
 Status: COMPLETED in case of successfull upload
 FAIL in case of failure.
 Uploaded By: Displayes logged-in user ID
 DateTime: date and time of the transaction</t>
  </si>
  <si>
    <t>TC_Admin_708</t>
  </si>
  <si>
    <t>Verify transaction dashboard for successful transaction</t>
  </si>
  <si>
    <t>When user clicks on transactionID , user should be redirected to the transaction details page which contains Transaction details such as Transaction ID, operation , Table Name, count , status, uploaded by , Date and time.</t>
  </si>
  <si>
    <t>TC_Admin_709</t>
  </si>
  <si>
    <t>Verify transaction dashboard for failed transaction</t>
  </si>
  <si>
    <t>When user clicks on transactionID , user should be redirected to the transaction details page which contains Transaction details such as Transaction ID, operation , Table Name, count , status, uploaded by , Date and time and failure description.</t>
  </si>
  <si>
    <t>TC_Admin_710</t>
  </si>
  <si>
    <t>Verify Bread crumb navigation link</t>
  </si>
  <si>
    <t>When user clicks on bread crumb navigation link User should be redirected back to the MasterData upload dashboard.</t>
  </si>
  <si>
    <t>TC_Admin_711</t>
  </si>
  <si>
    <t>Verify action when user uploads file other than .Csv</t>
  </si>
  <si>
    <t>should display error message " supported formated is only .Csv".</t>
  </si>
  <si>
    <t>TC_Admin_712</t>
  </si>
  <si>
    <t>Verify action when user uploads file where langcode passed is not configured in the environment</t>
  </si>
  <si>
    <t>should display error message " Language code is invalid".</t>
  </si>
  <si>
    <t>TC_Admin_713</t>
  </si>
  <si>
    <t>MasterData bulkupload</t>
  </si>
  <si>
    <t>Verify validation message for incorrect data paased in Csv, duplicate upload, incorrect column name, missing column name , Data type mismatch.</t>
  </si>
  <si>
    <t>Should give vaid error message for each case in user unstandable format.</t>
  </si>
  <si>
    <t>MOSIP-8556</t>
  </si>
  <si>
    <t>UI: As the MOSIP Admin I should be able to upload packets in Registration Processor</t>
  </si>
  <si>
    <t>TC_Admin_714</t>
  </si>
  <si>
    <t>Bulk Packet upload UI</t>
  </si>
  <si>
    <t>1. Login to Admin
 2. Bulkupload
 3. Packets</t>
  </si>
  <si>
    <t>To check if bulkupload module has packet feature to upload bulk packets</t>
  </si>
  <si>
    <t>Bulkupload module should have packet feature which can be used to upload packets to Registration processor DB.</t>
  </si>
  <si>
    <t>TC_Admin_715</t>
  </si>
  <si>
    <t>Verify upload packet option</t>
  </si>
  <si>
    <t>User should land on packet bulkupload screen when clicked on upload packet option.</t>
  </si>
  <si>
    <t>TC_Admin_716</t>
  </si>
  <si>
    <t>1. Login to Admin
 2. Bulkupload
 3. Packets 
 4. Packet upload screen</t>
  </si>
  <si>
    <t>User should be able browser files and folder for packets in their local machine</t>
  </si>
  <si>
    <t>TC_Admin_717</t>
  </si>
  <si>
    <t>Verify when other than zip file is choosen for upload</t>
  </si>
  <si>
    <t>System should display valid error message "Supported format is only zip file".</t>
  </si>
  <si>
    <t>TC_Admin_718</t>
  </si>
  <si>
    <t>Verify confirmation pop up message when user clicks on upload option by selecting multiple zipped packets.</t>
  </si>
  <si>
    <t>Confirmation pop-up window should apper with message , Count of packets selected along with transaction starting message with Cancel and confirm button.
 Message on the pop-up, “&lt;number of packets&gt; will be processed. Please ensure that all the information is correct. Transaction will start when you click on confirm.“</t>
  </si>
  <si>
    <t>TC_Admin_719</t>
  </si>
  <si>
    <t>When User clicks on CANCEL option user should be redirected back to the packet upload screen with pre-populated data</t>
  </si>
  <si>
    <t>TC_Admin_720</t>
  </si>
  <si>
    <t>Verify confirm button on confirmation pop-up window when transaction is successful.</t>
  </si>
  <si>
    <t>In case of successful upload , Success pop-up should display with Done button.
 When user clicks on Done button, User should be redirected back to the packet upload dashboard.
 Message on the pop-up, “Your files have been uploaded successfully. Data processing is currently in progress. Transaction ID: &lt;Transaction ID&gt;.“</t>
  </si>
  <si>
    <t>TC_Admin_721</t>
  </si>
  <si>
    <t>Verify confirm button on confirmation pop-up window when transaction is failed.</t>
  </si>
  <si>
    <t>In case of failure during upload, user should see a failure pop-up window with Done button.
 When User clicks on Done button, user should be redirected back to packet upload screen with pre-populated data.
 Message on the pop-up, “Packet Upload failed because &lt;Message from server&gt;. Please retry later“</t>
  </si>
  <si>
    <t>TC_Admin_722</t>
  </si>
  <si>
    <t>Verify CANCEL button on packet upload screen</t>
  </si>
  <si>
    <t>When User clicks on CANCEL button or anywhere in the navigation bar, a alert pop-up window should display with leave or stay button, alerting the user that all the data will be lost if there is any data selected.
 Message on the pop-up, “Are you sure you want to navigate away from this page? Any unsaved data will be lost.“
 1. When User clicks on STAY should be redirecting user back to the packet upload screen with the pre-populated data.
 2. User clicks on LEAVE should be redirecting user to packet upload dashboard or the option clicked on the navigation bar.</t>
  </si>
  <si>
    <t>TC_Admin_723</t>
  </si>
  <si>
    <t>1. Login to Admin
 2. Bulkupload
 3. Packets 
 4. Packet upload dashboard</t>
  </si>
  <si>
    <t>Verify packet upload dashboard</t>
  </si>
  <si>
    <t>When User navigates to packet upload screen should be able to view the previous transactions.</t>
  </si>
  <si>
    <t>TC_Admin_724</t>
  </si>
  <si>
    <t>1. Login to Admin
 2. Bulkupload
 3. Packets 
 4. Packet upload dashboard
 5. Transaction detail screen</t>
  </si>
  <si>
    <t>View transaction details</t>
  </si>
  <si>
    <t>When user clicks on  transaction ID should navigate to transaction details screen which has details of selected transaction.</t>
  </si>
  <si>
    <t>TC_Admin_725</t>
  </si>
  <si>
    <t>when User clicks on BACK button or on the bread crumb should take user back to the packet upload dashboard</t>
  </si>
  <si>
    <t>TC_Admin_726</t>
  </si>
  <si>
    <t>1. Audit Table</t>
  </si>
  <si>
    <t>Check Audit When the administrator clicks on ‘Upload option’.</t>
  </si>
  <si>
    <t>Event ID: ADM-339
 Event Name: Click: Upload
 Event Type: Navigation: Click Event
 Component ID: ADM-BDU
 Component Name: admin-data-upload
 Description: User clicked on upload button on packet upload dashboard</t>
  </si>
  <si>
    <t>TC_Admin_727</t>
  </si>
  <si>
    <t>Event ID: ADM-340
 Event name: Page View: Master Data Upload Form
 Event Type: Navigation: Page View Event
 Component ID: ADM-BDU
 Component Name: admin-data-upload
 Description: User visited Master Data Upload Screen</t>
  </si>
  <si>
    <t>TC_Admin_728</t>
  </si>
  <si>
    <t>Event ID: ADM-341
 Event name: Click: Upload Data
 Event Type: Navigation: Click Event
 Component ID: ADM-BDU
 Component Name: admin-data-upload
 Description: User clicked on 'Upload' button on Packet Upload form</t>
  </si>
  <si>
    <t>TC_Admin_729</t>
  </si>
  <si>
    <t>Event ID: ADM-342
 Event name: Click: Confirm Upload
 Event Type: Navigation: Click Event
 Component ID: ADM-BDU
 Component Name: admin-data-upload
 Description: User confirmed upload of packets</t>
  </si>
  <si>
    <t>TC_Admin_730</t>
  </si>
  <si>
    <t>Event ID: ADM-343
 Event name: Click: Cancel Creation
 Event Type: Navigation: Click Event
 Component ID: ADM-BDU
 Component Name: admin-data-upload
 Description: User cancelled upload of packets</t>
  </si>
  <si>
    <t>TC_Admin_731</t>
  </si>
  <si>
    <t>Event ID: ADM-344
 Event name: Click: Select Transaction
 Event Type: Navigation: Click Event
 Component ID: ADM-BDU
 Component Name: admin-data-upload
 Description: User wants to views a packet upload transaction</t>
  </si>
  <si>
    <t>TC_Admin_732</t>
  </si>
  <si>
    <t>Event ID: ADM-345
 Event name: Click: View Transaction Details
 Event Type: Navigation: Page View Event
 Component ID: ADM-BDU
 Component Name: admin-data-upload
 Description: User views a packet upload transaction detail</t>
  </si>
  <si>
    <t>TC_Admin_733</t>
  </si>
  <si>
    <t>Event ID: ADM-335
 Event name: Click: Back from Transaction Details
 Event Type: Navigation: Click Event
 Component ID: ADM-BDU
 Component Name: admin-data-upload
 Description: User come back from packet upload view transaction details</t>
  </si>
  <si>
    <t>TC_Admin_734</t>
  </si>
  <si>
    <t>Upload packets that are synced but not uploaded in Regclient</t>
  </si>
  <si>
    <t>Upload should be successful in Admin UI with transaction ID, when user naviagates back to packet upload dashboard should see the transaction ID should was generate upon upload , when user clicks on transaction ID should take to the transaction detail view screen which contains all details of packet with status.</t>
  </si>
  <si>
    <t>TC_Admin_735</t>
  </si>
  <si>
    <t>Upload packets that are not synced and not uploaded in Regclient</t>
  </si>
  <si>
    <t>Should display error message " packet not found in sync table".</t>
  </si>
  <si>
    <t>TC_Admin_736</t>
  </si>
  <si>
    <t>upload a zip file that exceeds the permitted limit</t>
  </si>
  <si>
    <t>UI should display error message " file size is too large"</t>
  </si>
  <si>
    <t>MOSIP-8572</t>
  </si>
  <si>
    <t>API: For Packet Upload</t>
  </si>
  <si>
    <t>TC_Admin_737</t>
  </si>
  <si>
    <t>Packet upload</t>
  </si>
  <si>
    <t>1. Login to Admin 
 2. Packet bulkupload</t>
  </si>
  <si>
    <t>Verify X valid packets upload from Admin portal</t>
  </si>
  <si>
    <t>1. packet should first store in Admin server
 2. All the packets are stored in a temporary location (location name can be transaction id)
 3. A response is sent to the sever stating all the packets are uploaded successfully and processing has started.
 4. Server then starts sending packets to registration processor one by one
 5. If all the packets reach processor successfully, server updates the transaction as success with 'X' number of packets uploaded.</t>
  </si>
  <si>
    <t>TC_Admin_738</t>
  </si>
  <si>
    <t>Verify X valid &amp; invalid packets upload from Admin portal</t>
  </si>
  <si>
    <t>1. packet should first store in Admin server
 2. All the packets are stored in a temporary location (location name can be transaction id)
 5. A response is sent to the sever stating all the packets are uploaded successfully and processing has started.
 6. Server then starts sending packets to registration processor one by one
 7. Even if a single packet fails in registration processor, server tries to send all other packets
 8. Overall result here will be failed with 'Y' number of packets uploaded (where Y is less than X )</t>
  </si>
  <si>
    <t>TC_Admin_739</t>
  </si>
  <si>
    <t>Check Packet Status</t>
  </si>
  <si>
    <t>1. login to Admin
 2. Packet status</t>
  </si>
  <si>
    <t>Check packet status in Admin UI before packet upload to registration processor from Regclient</t>
  </si>
  <si>
    <t>System should display error message " packet not found".</t>
  </si>
  <si>
    <t>TC_Admin_740</t>
  </si>
  <si>
    <t>Check packet status in Admin UI after packet upload to registration processor from Regclient</t>
  </si>
  <si>
    <t>User should see all the stages that packet undergo once after upload</t>
  </si>
  <si>
    <t>TC_Admin_741</t>
  </si>
  <si>
    <t>Check packet status in Admin UI when packets are upload through Admin packet upload feature</t>
  </si>
  <si>
    <t>TC_Admin_742</t>
  </si>
  <si>
    <t>Check packet status in different login language that is configured</t>
  </si>
  <si>
    <t>the message under each stage should be in logged-in language</t>
  </si>
  <si>
    <t>MOSIP-11647</t>
  </si>
  <si>
    <t>Remove History tables from the drop down list in bulk upload</t>
  </si>
  <si>
    <t>TC_Admin_743</t>
  </si>
  <si>
    <t>History tables</t>
  </si>
  <si>
    <t>History table</t>
  </si>
  <si>
    <t>Verify that bulk upload UI does not contain history tables in dropdown.</t>
  </si>
  <si>
    <t>Bulkupload UI should not have the history tables in the Dropdown.</t>
  </si>
  <si>
    <t>TC_Admin_744</t>
  </si>
  <si>
    <t>Verify that insertion via bulkupload reflects the respective history table.</t>
  </si>
  <si>
    <t>On Inserting records should also insert in history table.</t>
  </si>
  <si>
    <t>TC_Admin_745</t>
  </si>
  <si>
    <t>Verify that updating record in main table reflects the respective history table</t>
  </si>
  <si>
    <t>On updating records should also update in history table.</t>
  </si>
  <si>
    <t>TC_Admin_746</t>
  </si>
  <si>
    <t>Verify that on deleting the record in main table should delete record in history table</t>
  </si>
  <si>
    <t>On deleting records should also delete in history table.</t>
  </si>
  <si>
    <t>TC_Admin_747</t>
  </si>
  <si>
    <t>Verify that on insert , update , delete for multiple records ,history table should save the copy according to the operation preformed in below tables Device_master,Machine_master, Registration_center,User_detail,Zone_user</t>
  </si>
  <si>
    <t>All changes made should be updated in history table</t>
  </si>
  <si>
    <t>MOSIP-13761</t>
  </si>
  <si>
    <t>Disable Auth and enable cache for non sensitive masterdata service API</t>
  </si>
  <si>
    <t>TC_Admin_748</t>
  </si>
  <si>
    <t>MasterData-Cache</t>
  </si>
  <si>
    <t>MasterData API</t>
  </si>
  <si>
    <t>Perform CRUD operation in API</t>
  </si>
  <si>
    <t>Check all the operation performed on masterdata are quickly updated on browser refresh in Admin console and in masterDB.</t>
  </si>
  <si>
    <t>TC_Admin_749</t>
  </si>
  <si>
    <t>Disable AUTH and invoke GET API</t>
  </si>
  <si>
    <t>API should retrieve the requested record with out auth token .</t>
  </si>
  <si>
    <t>TC_Admin_750</t>
  </si>
  <si>
    <t>1. Create new user in keycloak.
 2. set password.
 3. Donot assign any role
 4. Create Auth token by login using Authmanager
 5. Retreive data from GET API</t>
  </si>
  <si>
    <t>Get API should retrieve the data even if logged user does not contain any role assigned.</t>
  </si>
  <si>
    <t>MOSIP-8938</t>
  </si>
  <si>
    <t>sync_job_def table will be moved to Master DB from Kernel</t>
  </si>
  <si>
    <t>TC_Admin_751</t>
  </si>
  <si>
    <t>Sync_job_def to Master DB</t>
  </si>
  <si>
    <t>SyncData API</t>
  </si>
  <si>
    <t>To check if sync_job_def table is removed from mosip_kernel DB</t>
  </si>
  <si>
    <t>sync_job_def table should not be available in mosip_kernel DB</t>
  </si>
  <si>
    <t>TC_Admin_752</t>
  </si>
  <si>
    <t>To check if sync_job_def table is added in mosip_master DB</t>
  </si>
  <si>
    <t>sync_job_def table should be available in mosip_master DB</t>
  </si>
  <si>
    <t>MOSIP-8530</t>
  </si>
  <si>
    <t>API changes in Admin and Kernel post DB changes</t>
  </si>
  <si>
    <t>TC_Admin_753</t>
  </si>
  <si>
    <t>Device controller</t>
  </si>
  <si>
    <t>Verify ZoneCode label &amp; regcenterId label in POST &amp; PUT Device API controllers</t>
  </si>
  <si>
    <t>Create and update API of Device controller should have ZoneCode field and RegcenterId field added in the request.</t>
  </si>
  <si>
    <t>TC_Admin_754</t>
  </si>
  <si>
    <t>validate ZoneCode used for mapping Device API</t>
  </si>
  <si>
    <t>Allowed zoneCode should be only that belongs to logged-in user's Administrative zone.</t>
  </si>
  <si>
    <t>TC_Admin_755</t>
  </si>
  <si>
    <t>Check validation message when Zonecode used which does not belong to logged-in user's Administrative zone in Device API</t>
  </si>
  <si>
    <t>System should display valid message saying " Admin not authorized to access the Zone".</t>
  </si>
  <si>
    <t>TC_Admin_756</t>
  </si>
  <si>
    <t>Validate regcenterid used for mapping in Device API</t>
  </si>
  <si>
    <t>Allowed regcenterId should be based on the Zonecode given in the POST &amp; PUT REQUEST</t>
  </si>
  <si>
    <t>TC_Admin_757</t>
  </si>
  <si>
    <t>Check validation message when regcenterId used which does not belong to logged-in user's Administrative zone in Device API</t>
  </si>
  <si>
    <t>System should display valid message saying " The zone of the  registration center in the request does not match the zone of the device".</t>
  </si>
  <si>
    <t>TC_Admin_758</t>
  </si>
  <si>
    <t>Check validation message when regcenterId used which does not belong to Zonecode used which is of Logged-in administrative Zone in Device API</t>
  </si>
  <si>
    <t>System should display valid message saying " Not authorized to access the Zone".</t>
  </si>
  <si>
    <t>TC_Admin_759</t>
  </si>
  <si>
    <t>Validate success response for POST request in Device API</t>
  </si>
  <si>
    <t>Response should contain ZoneCode and regcenterId label and should be same as in request upon success.</t>
  </si>
  <si>
    <t>TC_Admin_760</t>
  </si>
  <si>
    <t>Validate success response for PUT request in Device API</t>
  </si>
  <si>
    <t>TC_Admin_761</t>
  </si>
  <si>
    <t>Machine controller</t>
  </si>
  <si>
    <t>Verify ZoneCode label &amp; regcenterId label in POST &amp; PUT Machine API controllers</t>
  </si>
  <si>
    <t>Create and update API of Machine controller should have ZoneCode field and RegcenterId field added in the request.</t>
  </si>
  <si>
    <t>TC_Admin_762</t>
  </si>
  <si>
    <t>validate ZoneCode used for mapping Machine API</t>
  </si>
  <si>
    <t>TC_Admin_763</t>
  </si>
  <si>
    <t>Check validation message when Zonecode used which does not belong to logged-in user's Administrative zone in Machine API</t>
  </si>
  <si>
    <t>TC_Admin_764</t>
  </si>
  <si>
    <t>Validate regcenterid used for mapping in Machine API</t>
  </si>
  <si>
    <t>TC_Admin_765</t>
  </si>
  <si>
    <t>Check validation message when regcenterId used which does not belong to logged-in user's Administrative zone in Machine API</t>
  </si>
  <si>
    <t>TC_Admin_766</t>
  </si>
  <si>
    <t>Check validation message when regcenterId used which does not belong to Zonecode used which is of Logged-in administrative Zone in Machine API</t>
  </si>
  <si>
    <t>TC_Admin_767</t>
  </si>
  <si>
    <t>Validate success response for POST request in Machine API</t>
  </si>
  <si>
    <t>TC_Admin_768</t>
  </si>
  <si>
    <t>Validate success response for PUT request in Machine API</t>
  </si>
  <si>
    <t>TC_Admin_769</t>
  </si>
  <si>
    <t>SyncDataAPI</t>
  </si>
  <si>
    <t>Verify syncdata/v2/clientsettings API</t>
  </si>
  <si>
    <t>By entering valid Keyindex which is already stored in DB ,Should get success response with all client setting details which includes SyncJobDef entity.</t>
  </si>
  <si>
    <t>TC_Admin_770</t>
  </si>
  <si>
    <t>Verify /syncdata/userdetails API</t>
  </si>
  <si>
    <t>Should get success response with Userdetails in encrypted form</t>
  </si>
  <si>
    <t>TC_Admin_771</t>
  </si>
  <si>
    <t>Verify syncdata/tpm/publickey API</t>
  </si>
  <si>
    <t>Should get encrypted public key for given machine ID</t>
  </si>
  <si>
    <t>TC_Admin_772</t>
  </si>
  <si>
    <t>Verify syncdata/tpm/publickey/verify API</t>
  </si>
  <si>
    <t>Should get success response with valid Machine signed keyindex of entered Tpm values.</t>
  </si>
  <si>
    <t>TC_Admin_773</t>
  </si>
  <si>
    <t>verify /syncdata/scripts/ API</t>
  </si>
  <si>
    <t>Should get the property file which is called from Mosip-config</t>
  </si>
  <si>
    <t>TC_Admin_774</t>
  </si>
  <si>
    <t>/syncdata/publickey/ API</t>
  </si>
  <si>
    <t>Should get publickey based on application ID</t>
  </si>
  <si>
    <t>TC_Admin_775</t>
  </si>
  <si>
    <t>verify getLatestPublishedIdSchema API</t>
  </si>
  <si>
    <t>Should be able to fetch Id schema based on version specified.</t>
  </si>
  <si>
    <t>TC_Admin_776</t>
  </si>
  <si>
    <t>Verify getCACertificates API</t>
  </si>
  <si>
    <t>Should get Ca certificate</t>
  </si>
  <si>
    <t>TC_Admin_777</t>
  </si>
  <si>
    <t>Verify getCertificate API</t>
  </si>
  <si>
    <t>Should get Certificate respective Application ID</t>
  </si>
  <si>
    <t>TC_Admin_778</t>
  </si>
  <si>
    <t>verify /getMachineConfigDetails API</t>
  </si>
  <si>
    <t>Should get response with encrypted data of Config</t>
  </si>
  <si>
    <t>TC_Admin_779</t>
  </si>
  <si>
    <t>Verify syncClientSettings API</t>
  </si>
  <si>
    <t>TC_Admin_780</t>
  </si>
  <si>
    <t>Verify downloadEntityData API</t>
  </si>
  <si>
    <t>Should be able to download data based on the entity identifier
ex: mosip.sync.entity.url.LOCATION=http://localhost:8089/v1/syncdata/clientsettings/location
mosip.sync.entity.auth-required.LOCATION=true
mosip.sync.entity.auth-token.LOCATION=Authorization:OAUTH
mosip.sync.entity.encrypted.LOCATION=true
mosip.sync.entity.headers.LOCATION=
mosip.sync.entity.only-on-fullsync.LOCATION=true
keyindex: B5:70:23:28:D4:C1:E2:C4:1C:C1:2A:E8:62:A9:18:3F:28:93:F9:3D:EB:AE:F7:56:FA:0B:9D:D0:3E:87:25:48</t>
  </si>
  <si>
    <t>TC_Admin_781</t>
  </si>
  <si>
    <t>MasterData &amp; Resources</t>
  </si>
  <si>
    <t>Created By and time</t>
  </si>
  <si>
    <t>Verify created time and created by in detail view page and in list view page for each MasterData and Resources creation</t>
  </si>
  <si>
    <t>Created time[Time during creation] and Created by [login user ID] should be displayed in both list and detail view page of each MasterData and resources.</t>
  </si>
  <si>
    <t>TC_Admin_782</t>
  </si>
  <si>
    <t>Updated By and time</t>
  </si>
  <si>
    <t>Verify updatedOn and updatedby in detail view page and in list view page for each MasterData and Resources Edit &amp; status changes.</t>
  </si>
  <si>
    <t>[Time during creation] and Created by [login user ID] should be displayed in both list and detail view page of each MasterData and resources.</t>
  </si>
  <si>
    <t>MOSIP-12430</t>
  </si>
  <si>
    <t>Admin Feature to process a request to retrieve lost RID (Request ID - Of New Registration)</t>
  </si>
  <si>
    <t>TC_Admin_783</t>
  </si>
  <si>
    <t>Retrieve LOST RID</t>
  </si>
  <si>
    <t>1. Login to Admin
 2. Retrieve LOST RID</t>
  </si>
  <si>
    <t>Verify the action when user clicks on the Retrieve LostRID</t>
  </si>
  <si>
    <t>User should land Retrieve LOST RID detailview page.</t>
  </si>
  <si>
    <t>TC_Admin_784</t>
  </si>
  <si>
    <t>1. Login to Admin
 2. Retrieve LOST RID 
 3. Detail view page</t>
  </si>
  <si>
    <t>Verify the input parameters in detail view screen</t>
  </si>
  <si>
    <t>name(mandatory)(String)
 email(Non mandatory)(String)
 phone(Non mandatory)(String)
 locationCode(mandatory)(String)
 registrationDate (mandatory range should be less than equals to 1 month)2021-10-25(Date)
 centerId(Non mandatory)(String) should be non-mandatory from API</t>
  </si>
  <si>
    <t>TC_Admin_785</t>
  </si>
  <si>
    <t>verify location code dropdown</t>
  </si>
  <si>
    <t>based on the location code center should be loaded in center dropdown field.</t>
  </si>
  <si>
    <t>TC_Admin_786</t>
  </si>
  <si>
    <t>Verify the center display format in Center dropdown field.</t>
  </si>
  <si>
    <t>The center should display in the format center Name (code)</t>
  </si>
  <si>
    <t>TC_Admin_787</t>
  </si>
  <si>
    <t>Verify the location hierarchy level</t>
  </si>
  <si>
    <t>Location displayed should be based on last level of configured hierarchy level.</t>
  </si>
  <si>
    <t>TC_Admin_788</t>
  </si>
  <si>
    <t>Verify calendar icon</t>
  </si>
  <si>
    <t>when clicked on calendar Icon should should up past and furture months with year.</t>
  </si>
  <si>
    <t>TC_Admin_789</t>
  </si>
  <si>
    <t>Verify Search option</t>
  </si>
  <si>
    <t>When Admin clicks on search button after filling all mandatory fields RID should be retrieved if RID exist which matches the demographic details.</t>
  </si>
  <si>
    <t>TC_Admin_790</t>
  </si>
  <si>
    <t>verify clear button</t>
  </si>
  <si>
    <t>when Admin clicks on clear button all data entered field should reset to empty fields.</t>
  </si>
  <si>
    <t>TC_Admin_791</t>
  </si>
  <si>
    <t>Check if we are able to retrieve RID when all demographic details are matches with one which is present in DB</t>
  </si>
  <si>
    <t>Based on the matching character of demo details available RID should be fetched.</t>
  </si>
  <si>
    <t>TC_Admin_792</t>
  </si>
  <si>
    <t>Verify the registration date limit</t>
  </si>
  <si>
    <t>Config: registration-processor-default-dmz.properties
 mosip.registration.processor.lostrid.max-registration-date-filter-interval=15
 The error popup message should be displayed when registration date exceeds the configured range.</t>
  </si>
  <si>
    <t>TC_Admin_793</t>
  </si>
  <si>
    <t>Verify the lostrid.max.registrationid to be displayed while retrieval of RID</t>
  </si>
  <si>
    <t>Config: registration-processor-default-dmz.properties
 registration.processor.lostrid.max.registrationid=3
 The error popup message should be displayed when RID found is equal to the configured value.
 Error msg "please narrow down your search".</t>
  </si>
  <si>
    <t>TC_Admin_794</t>
  </si>
  <si>
    <t>Verify the column that displayed after retrieval of RID</t>
  </si>
  <si>
    <t>Should have Registration ID, Registration Date, Name [should also include phone number and email ID if provided as an input].</t>
  </si>
  <si>
    <t>TC_Admin_795</t>
  </si>
  <si>
    <t>Verify if Name column</t>
  </si>
  <si>
    <t>Name should be displayed correctly and should also include details like phone, emailID if provided as an input.</t>
  </si>
  <si>
    <t>TC_Admin_796</t>
  </si>
  <si>
    <t>1. Admin login</t>
  </si>
  <si>
    <t>Verify Logout link in Admin UI screen</t>
  </si>
  <si>
    <t>When logged in user clicks on User Name in right top most header section one should see the Logout button when Admin clicks on Logout button should take User to Login screen</t>
  </si>
  <si>
    <t>Sub feature</t>
  </si>
  <si>
    <t>VID</t>
  </si>
  <si>
    <t>Generate VID(temporary/Perpetual/onetimeuse/custom vid types)</t>
  </si>
  <si>
    <t>Revoke VID</t>
  </si>
  <si>
    <t>Config properties testing</t>
  </si>
  <si>
    <t>Request OTP</t>
  </si>
  <si>
    <t>Request otp when otp channel is email/phone using UIN/VID</t>
  </si>
  <si>
    <t>Request otp when otp channel is only phone using UIN/VID</t>
  </si>
  <si>
    <t>Request otp when otp channel is only email using UIN/VID</t>
  </si>
  <si>
    <t>Request otp with invalid details for UIN/VID</t>
  </si>
  <si>
    <t>otp request when otp flooding</t>
  </si>
  <si>
    <t>Request for otp using child(infant)UIN</t>
  </si>
  <si>
    <t>To update the property to remove the SMS under application.mz property mosip.notificationtype = EMAIL mosip.kernel.sms.proxy-sms = false</t>
  </si>
  <si>
    <t>To updated the property to remove the EMAIL under application.mz property mosip.notificationtype = SMS
 mosip.kernel.sms.proxy-Email = false</t>
  </si>
  <si>
    <t>Credentail Issuance</t>
  </si>
  <si>
    <t>Request credentail</t>
  </si>
  <si>
    <t>credentail request for UIN/VID as credential type euin/reprint/qrcode/custom credenatial</t>
  </si>
  <si>
    <t>Credential request for UIN/VID when otp is invalid/expired</t>
  </si>
  <si>
    <t>Credential request for UIN/VID when transcationid is invalid</t>
  </si>
  <si>
    <t>credentail request for UIN/VID by adding shareable attributes</t>
  </si>
  <si>
    <t>Check credenatil id status</t>
  </si>
  <si>
    <t>Check status for credentail id generated from UIN/VID</t>
  </si>
  <si>
    <t>Cancel credentail request</t>
  </si>
  <si>
    <t>Resident tries to cancel credentail request</t>
  </si>
  <si>
    <t>Download card</t>
  </si>
  <si>
    <t>Download UIN card using credentail id generated from UIN/VID</t>
  </si>
  <si>
    <t>Download UIN card using credentail id which is cancelled</t>
  </si>
  <si>
    <t>lock /unlock</t>
  </si>
  <si>
    <t>Auth lock</t>
  </si>
  <si>
    <t>Auth lock for demo/bio using resident UIN/VID and perform auth on the same</t>
  </si>
  <si>
    <t>Try to auth lock demo/bio auth using Child UIN and perform auth on the same</t>
  </si>
  <si>
    <t>Auth unlock</t>
  </si>
  <si>
    <t>Auth unlock for demo/bio using resident UIN/VID and perform auth on the same</t>
  </si>
  <si>
    <t>Try to auth unlock demo/bio auth using Child UIN and perform auth on the same</t>
  </si>
  <si>
    <t>Auth unlock for seconds</t>
  </si>
  <si>
    <t>Unlock for demo/bio auth for specified time using resident UIN/VID</t>
  </si>
  <si>
    <t>To lock multiple times demo/bio auth between the specified time for resident UIN/VID</t>
  </si>
  <si>
    <t>Perform demo/bio auth/ekyc between the specified time using Resident UIN/VID</t>
  </si>
  <si>
    <t>Perform demo/bio auth/ekyc between after the specified time using Resident UIN/VID</t>
  </si>
  <si>
    <t>Auth history</t>
  </si>
  <si>
    <t>fetch auth history using UIN/VID</t>
  </si>
  <si>
    <t>Hotlist</t>
  </si>
  <si>
    <t>Hotlist UIN and send Otp using UIN</t>
  </si>
  <si>
    <t>Hotlist VID and send Otp using VID</t>
  </si>
  <si>
    <t>Unblock UIN/vid and request for otp</t>
  </si>
  <si>
    <t>Update UIN</t>
  </si>
  <si>
    <t>Update Demo and bio details for resident</t>
  </si>
  <si>
    <t>Perform auth using the same details</t>
  </si>
  <si>
    <t>RID status</t>
  </si>
  <si>
    <t>Check status for RID after updtae UIN</t>
  </si>
  <si>
    <t>check Rid status for new packet from reg client</t>
  </si>
  <si>
    <t>Type</t>
  </si>
  <si>
    <t xml:space="preserve">Test case </t>
  </si>
  <si>
    <t>steps to reproduce</t>
  </si>
  <si>
    <t>MOSIP-8955</t>
  </si>
  <si>
    <t>Automatic lock and Unlock</t>
  </si>
  <si>
    <t>testCase_No 01</t>
  </si>
  <si>
    <t>Lock</t>
  </si>
  <si>
    <t>Verify to do demo auth lock for UIN</t>
  </si>
  <si>
    <t>Authentication using locked UIN</t>
  </si>
  <si>
    <r>
      <rPr>
        <rFont val="Calibri"/>
        <color rgb="FF000000"/>
        <sz val="11.0"/>
      </rPr>
      <t xml:space="preserve">1. Request Otp for the resident
</t>
    </r>
    <r>
      <rPr>
        <rFont val="Calibri"/>
        <color rgb="FF1155CC"/>
        <sz val="11.0"/>
        <u/>
      </rPr>
      <t>2.</t>
    </r>
    <r>
      <rPr>
        <rFont val="Calibri"/>
        <color rgb="FF000000"/>
        <sz val="11.0"/>
      </rPr>
      <t xml:space="preserve"> Do auth lock for demo</t>
    </r>
  </si>
  <si>
    <t>Demo auth to be locked</t>
  </si>
  <si>
    <t>testCase_No 02</t>
  </si>
  <si>
    <t>Verify to do bio auth lock for UIN</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</si>
  <si>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lock for Bio</t>
    </r>
  </si>
  <si>
    <t>Bio auth to be locked</t>
  </si>
  <si>
    <t>testCase_No 03</t>
  </si>
  <si>
    <t>verify to do auth lock for UIN by giving invaild otp</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</si>
  <si>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lock by giving invalid otp</t>
    </r>
  </si>
  <si>
    <t>Auth types should not get locked</t>
  </si>
  <si>
    <t>testCase_No 04</t>
  </si>
  <si>
    <t xml:space="preserve">verify to do auth lock for UIN by removing individualidtype </t>
  </si>
  <si>
    <t>Auth lock when individualidtype is removed</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</si>
  <si>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lock by removing individualidtype invalid</t>
    </r>
  </si>
  <si>
    <t>Auth types should get locked</t>
  </si>
  <si>
    <t>testCase_No 05</t>
  </si>
  <si>
    <t>Unlock</t>
  </si>
  <si>
    <t>Verify to do demo auth unlock for UIN</t>
  </si>
  <si>
    <t>Authentication using unlocked UIN</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</si>
  <si>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unlock for demo</t>
    </r>
  </si>
  <si>
    <t>Demo auth to be unlocked</t>
  </si>
  <si>
    <t>testCase_No 06</t>
  </si>
  <si>
    <t>Verify to do bio auth unlock for UIN</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</si>
  <si>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unlock for Bio</t>
    </r>
  </si>
  <si>
    <t>Bio auth to be unlocked</t>
  </si>
  <si>
    <t>testCase_No 07</t>
  </si>
  <si>
    <t>Verify to do demo auth unlock for UIN by 
 unlockforseconds</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</si>
  <si>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demo auth unlock for unlockforseconds</t>
    </r>
  </si>
  <si>
    <t>Demo auth to be unlocked for specifed time then it should go to lock</t>
  </si>
  <si>
    <t>testCase_No 08</t>
  </si>
  <si>
    <t>Verify to do bio auth unlock for UIN by 
 unlockforseconds</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</si>
  <si>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bio auth unlock for unlockforseconds</t>
    </r>
  </si>
  <si>
    <t>Bio auth to be unlocked for specifed time then it should go to lock</t>
  </si>
  <si>
    <t>testCase_No 09</t>
  </si>
  <si>
    <t>Check for the correct message when wrong value is sent in unlockForSeconds</t>
  </si>
  <si>
    <t>Auth unlock when unlockforseconds is wrong</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</si>
  <si>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unlock with wrong vlue for unlockforseconds</t>
    </r>
  </si>
  <si>
    <t>User should get proper message</t>
  </si>
  <si>
    <t>MOSIP-11498</t>
  </si>
  <si>
    <t>We should be able to send
  best two fingers to print 
 partner</t>
  </si>
  <si>
    <t>Resident Service_Best two Fingers_01</t>
  </si>
  <si>
    <t>Best two fingers</t>
  </si>
  <si>
    <t>Verify QR code having the best two finger</t>
  </si>
  <si>
    <t>1. update qrcode/euin/reprint policy by adding
{
                        "attributeName": "bestTwoFingers",
                        "group": "CBEFF",
                        "source": [
                                {
                                        "attribute": "individualBiometrics",
                                        "filter": [
                                                {
                                                        "type": "Finger",
                                                        "subType": [
                                                                "Right RingFinger",
                                                                "Left IndexFinger",
                                                                "Left RingFinger"
                                                        ]}]}],                            
                        "encrypted": false,
                        "format":"bestTwoFingers"                
                }
2. Change typeofshare to datashare in policy 
3. Issue credential in credentail service swagger
4. Check the url in browser</t>
  </si>
  <si>
    <t>QR code should have best two fingers</t>
  </si>
  <si>
    <t>Resident Service_Best two Fingers_02</t>
  </si>
  <si>
    <t>Verify QR code having the best fingers with having only specific fingers in policy</t>
  </si>
  <si>
    <t>QRcode should have best two fingers based on fingers
  mentioned in policy</t>
  </si>
  <si>
    <t>qa-double-rc3</t>
  </si>
  <si>
    <t>Resident Service_Best two Fingers_03</t>
  </si>
  <si>
    <t>Verify QR code having the best fingers by not giving specific fingers in policy</t>
  </si>
  <si>
    <t>1. add  below attribute in policy if need to get best 2 fingers comparing all fingers
        {
                        "attributeName": "bestTwoFingers",
                        "group": "CBEFF",
                        "source": [
                                {
                                        "attribute": "individualBiometrics",
                                        "filter": [
                                                {
                                                        "type": "Finger"
                                                }
                                        ]
                                }
                        ],
                        "encrypted": false,
                        "format":"bestTwoFingers"                
                }
2. Change typeofshare to datashare in policy 
3. Issue credential in credentail service swagger
4. Check the url in browser</t>
  </si>
  <si>
    <t>QRcode should have best two fingers by comparing 
 score of all the fingers</t>
  </si>
  <si>
    <t>qa-double-rc4</t>
  </si>
  <si>
    <t>Resident Service_Best two Fingers_04</t>
  </si>
  <si>
    <t>Verify rank for best fingers given based on score</t>
  </si>
  <si>
    <t>1. add  below attribute in policy if need to get best 2 fingers comparing all fingers
        {
                        "attributeName": "bestTwoFingers",
                        "group": "CBEFF",
                        "source": [
                                {
                                        "attribute": "individualBiometrics",
                                        "filter": [
                                                {
                                                        "type": "Finger"
                                                }
                                        ]
                                }
                        ],
                        "encrypted": false,
                        "format":"bestTwoFingers"                
                }
2. Change typeofshare to datashare in policy 
3. Issue credential in credentail service swagger
4. Check the url in browser</t>
  </si>
  <si>
    <t>Rank for best fingers should be based on score and 
 rank one finger should be first and rank two finger 
 should be second</t>
  </si>
  <si>
    <t>qa-double-rc5</t>
  </si>
  <si>
    <t>MOSIP-11478</t>
  </si>
  <si>
    <t>Prepend thumbprint changes 
 for authentication request</t>
  </si>
  <si>
    <t>Residentservice_Thumbprint_01</t>
  </si>
  <si>
    <t>Thumbprint</t>
  </si>
  <si>
    <t>Verify Update UIN by making thumbprint enable 
 in ida properties</t>
  </si>
  <si>
    <t>Update UIN should work</t>
  </si>
  <si>
    <t>Not a valid story in LTS, as thumbprint is by default enabled in keymanager, enable disable option was only in 1.1.3</t>
  </si>
  <si>
    <t>Residentservice_Thumbprint_02</t>
  </si>
  <si>
    <t>thumbprint</t>
  </si>
  <si>
    <t>Verify credential issuance by making thumbprint
 enable in ida properties</t>
  </si>
  <si>
    <t>Credential issuance should work</t>
  </si>
  <si>
    <t>Residentservice_Thumbprint_03</t>
  </si>
  <si>
    <t>Verify Authhistory by making thumbprint enable 
 in ida properties</t>
  </si>
  <si>
    <t>Authhistory should work</t>
  </si>
  <si>
    <t>MOSIP-11303</t>
  </si>
  <si>
    <t>Resident services should have generate 
 OTP api instead of generating otp via IDA</t>
  </si>
  <si>
    <t>Resident service_OTP_01</t>
  </si>
  <si>
    <t>Verify request OTP through new resident OTP service</t>
  </si>
  <si>
    <t>Request for otp using resident UIN</t>
  </si>
  <si>
    <t>1. Request for otp using resident uin</t>
  </si>
  <si>
    <t>Resident should receive OTP</t>
  </si>
  <si>
    <t>qa-double-rc2 env</t>
  </si>
  <si>
    <t>Resident service_OTP_02</t>
  </si>
  <si>
    <t>Verify request OTP using invalid data</t>
  </si>
  <si>
    <t>Request for otp using resident UIN with invalid data</t>
  </si>
  <si>
    <t>1. Give invalid data 
2.Request for otp using resident uin</t>
  </si>
  <si>
    <t>OTP should not be send to resident and should get appropriate error/ validation message</t>
  </si>
  <si>
    <t>Resident service_OTP_03</t>
  </si>
  <si>
    <t>Verify OTP received through EMAIL/MOBILE number</t>
  </si>
  <si>
    <t>Request for otp when otp channel is both email/phone</t>
  </si>
  <si>
    <t>1.Request for otp using resident uin
2. Chcek email/sms notifications for otp</t>
  </si>
  <si>
    <t>MOSIP-10831</t>
  </si>
  <si>
    <t>As a MOSIP partner, I should be able to fetch the policy details based on the credential type and partner ID</t>
  </si>
  <si>
    <t>Resident service_Policy details_01</t>
  </si>
  <si>
    <t>Policy details</t>
  </si>
  <si>
    <t>Mosip partner should be able to fetch policy details using credential type and partner id</t>
  </si>
  <si>
    <t>1. Go to https://qa-triple-rc2.mosip.net/resident/v1/swagger-ui/index.html?configUrl=/resident/v1/v3/api-docs/swagger-config#/resident-controller
2. Search for getpolicyby credentailtype</t>
  </si>
  <si>
    <t>Partner should get policy details</t>
  </si>
  <si>
    <t>Resident service_Policy details_02</t>
  </si>
  <si>
    <t>Verify by not giving mandatory input parameters
 (Credential Type and Partner ID)</t>
  </si>
  <si>
    <t>1. Go to https://qa-triple-rc2.mosip.net/resident/v1/swagger-ui/index.html?configUrl=/resident/v1/v3/api-docs/swagger-config#/resident-controller
2. Search for getpolicyby credentailtype
3. Donot mention mandatory fileds</t>
  </si>
  <si>
    <t>Partner should not get policy details</t>
  </si>
  <si>
    <t>Resident service_Policy details_03</t>
  </si>
  <si>
    <t>Verify by giving invalid data in credential type</t>
  </si>
  <si>
    <t>1. Go to https://qa-triple-rc2.mosip.net/resident/v1/swagger-ui/index.html?configUrl=/resident/v1/v3/api-docs/swagger-config#/resident-controller
2. Search for getpolicyby credentailtype
3. mention invalid credentialtype</t>
  </si>
  <si>
    <t>Resident service_Policy details_04</t>
  </si>
  <si>
    <t>Verify by giving invalid data in partner id</t>
  </si>
  <si>
    <t>1. Go to https://qa-triple-rc2.mosip.net/resident/v1/swagger-ui/index.html?configUrl=/resident/v1/v3/api-docs/swagger-config#/resident-controller
2. Search for getpolicyby credentailtype
3. mention partner id</t>
  </si>
  <si>
    <t>MOSIP-15617</t>
  </si>
  <si>
    <t>Notifications preferred language(s)/default template</t>
  </si>
  <si>
    <t>Notification 01</t>
  </si>
  <si>
    <t>Notification</t>
  </si>
  <si>
    <t xml:space="preserve">Send otp request </t>
  </si>
  <si>
    <t>Request for otp and check notification lang</t>
  </si>
  <si>
    <t>Configure below mentioned settings in application-mz.properties.
 1. mosip.default.user-preferred-language-attribute=preferredLang and mosip.default.template-languages=eng,ara
 2. mosip.mandatory-languages=eng
 mosip.optional-languages=ara,eng
3. Notification selected in regclient is ara
3. Create UIN
4. Request for otp using the same</t>
  </si>
  <si>
    <t>Notification should be sent in English and arabic</t>
  </si>
  <si>
    <t>Notification 02</t>
  </si>
  <si>
    <t>Auth lock UIN</t>
  </si>
  <si>
    <t>Do auth lock for UIN and check notification lang</t>
  </si>
  <si>
    <t>Configure below mentioned settings in application-mz.properties.
 1. mosip.default.user-preferred-language-attribute=preferredLang and mosip.default.template-languages=eng,ara
 2. mosip.mandatory-languages=eng 
 mosip.optional-languages=ara,eng
 3. Notification Language selected in RegClient is English.</t>
  </si>
  <si>
    <t>Notification should be sent in English language.</t>
  </si>
  <si>
    <t>Notification 03</t>
  </si>
  <si>
    <t>1. Generate Perpetual VID 
 2. Verify email notification sent to resident.</t>
  </si>
  <si>
    <t>Generate perpetual VID for resident UIn and check notification lang</t>
  </si>
  <si>
    <t>Configure below mentioned settings in application-mz.properties.
 1. mosip.default.user-preferred-language-attribute=Null and mosip.default.template-languages=eng,ara,kan
 2. mosip.mandatory-languages=eng, kan and
 mosip.optional-languages=ara,eng
 3. Notification Language selected in RegClient is English.</t>
  </si>
  <si>
    <t>Notifications to be received in english arabic and kannada</t>
  </si>
  <si>
    <t>Notification 04</t>
  </si>
  <si>
    <t>1. Generate temporary VID
 2. Verify email notification sent to resident.</t>
  </si>
  <si>
    <t>Generate temporary VID for resident UIn and check notification lang</t>
  </si>
  <si>
    <t>Configure below mentioned settings in application-mz.properties.
 1. mosip.default.user-preferred-language-attribute=Null and mosip.default.template-languages=Null
 2. mosip.mandatory-languages=eng, kan and
 mosip.optional-languages=ara,eng
 3. Notification Language selected in RegClient is English.
 4. User selected eng,kan</t>
  </si>
  <si>
    <t>Notification should be sent in English and Kannada languages.</t>
  </si>
  <si>
    <t>Notification 05</t>
  </si>
  <si>
    <t>1. Do auth lock VID
 2. Verify email notification sent to resident.</t>
  </si>
  <si>
    <t>Do auth lock for VID and check notification lang</t>
  </si>
  <si>
    <t xml:space="preserve">Configure below mentioned settings in application-mz.properties.
 1. mosip.default.user-preferred-language-attribute=preferredLang and mosip.default.template-languages=eng,kan
 2. mosip.mandatory-languages=eng and
 mosip.optional-languages=ara,eng
</t>
  </si>
  <si>
    <t>Notification should be sent in preferred lang &amp; in English language.</t>
  </si>
  <si>
    <t>Notification 06</t>
  </si>
  <si>
    <t>1. Do auth unlock VID
 2. Verify email notification sent to resident.</t>
  </si>
  <si>
    <t>Do auth unlock for VID and check notification lang</t>
  </si>
  <si>
    <t xml:space="preserve">Configure below mentioned settings in application-mz.properties.
 1. mosip.default.user-preferred-language-attribute=preferredLang and mosip.default.template-languages=eng,ara
 2. mosip.mandatory-languages=eng and
 mosip.optional-languages=ara,eng
</t>
  </si>
  <si>
    <t xml:space="preserve">Notification should be sent in preferred lang &amp; in English </t>
  </si>
  <si>
    <t>Notification 07</t>
  </si>
  <si>
    <t>1. Send Otp request using VID
 2. Verify email notification sent to resident.</t>
  </si>
  <si>
    <t>request for otp using VID and check notification lang</t>
  </si>
  <si>
    <t>Notification 08</t>
  </si>
  <si>
    <t>1.Update UIN
 2. Verify email notification sent to resident.</t>
  </si>
  <si>
    <t>Update UIN details and check notification lang</t>
  </si>
  <si>
    <t>Notification should be sent in English, kannada languages.</t>
  </si>
  <si>
    <t>Update uin is not  working</t>
  </si>
  <si>
    <t>Notification 09</t>
  </si>
  <si>
    <t>1. Send credential request
 2. Verify email notification sent to resident.</t>
  </si>
  <si>
    <t>Reuqest for credentail and check notification lang</t>
  </si>
  <si>
    <t>Notification 10</t>
  </si>
  <si>
    <t>1. Auth unlock for UIN
 2. Verify email notification sent to resident.</t>
  </si>
  <si>
    <t>Auth unlock using UIN and check notifiction lang</t>
  </si>
  <si>
    <t>Configure below mentioned settings in application-mz.properties.
 1. mosip.default.user-preferred-language-attribute=preferredLang and mosip.default.template-languages=eng,ara
 2. mosip.mandatory-languages=eng and
 mosip.optional-languages=ara,eng
 3. Notification Language selected in RegClient is English.</t>
  </si>
  <si>
    <t>Notifications are not working</t>
  </si>
  <si>
    <t>MOSIP-11056</t>
  </si>
  <si>
    <t>After the VID is expired, the same VID 
 should not be released to the pool - 
 This is a privacy issue!</t>
  </si>
  <si>
    <t>resident 01</t>
  </si>
  <si>
    <t>Generate temporary VID for UIN</t>
  </si>
  <si>
    <t>1. Send otp request for UIN
 2. Generate temporary vid</t>
  </si>
  <si>
    <t>Temporary vid to get generated and 
 data to be populated in VID_ assigned table under mosip.kernel database</t>
  </si>
  <si>
    <t>resident 02</t>
  </si>
  <si>
    <t>Revoke same temporary VID</t>
  </si>
  <si>
    <t>1. Send otp request for UIN
 2. Revoke temporary vid</t>
  </si>
  <si>
    <t>Temporary vid to get revoked and data to be erased from VID_assigned table under mosip.kernel database after 5 days as per the config properties(mosip.kernel.vid.time-to-release-after-expiry=5)</t>
  </si>
  <si>
    <t>resident 03</t>
  </si>
  <si>
    <t>Regenerate temporary VID after 
 revoke</t>
  </si>
  <si>
    <t>temporary vid should get generated but should not be repeated vid(Vid should not go back to pool after expiry)</t>
  </si>
  <si>
    <t>resident 04</t>
  </si>
  <si>
    <t>Generate Perpetual VID for UIN</t>
  </si>
  <si>
    <t>1. Send otp request for UIN
 2. Generate perpetual vid</t>
  </si>
  <si>
    <t>Perpetual vid to get generated and 
 data to be populated in VID_ assigned table under mosip.kernel database</t>
  </si>
  <si>
    <t>resident 05</t>
  </si>
  <si>
    <t>Revoke same perpetual VID</t>
  </si>
  <si>
    <t>1. Send otp request for UIN
 2. Revoke perpetual vid</t>
  </si>
  <si>
    <t>Perpetual vid to get revoked and data to be erased from VID_assigned table under mosip.kernel database after 5 days as per the config properties(mosip.kernel.vid.time-to-release-after-expiry=5)</t>
  </si>
  <si>
    <t>resident 06</t>
  </si>
  <si>
    <t>1. Send otp request for UIN
 2. Generate Perpetual vid</t>
  </si>
  <si>
    <t>Perpetual vid should get generated but should not be repeated vid(Vid should not go back to pool after expiry)</t>
  </si>
  <si>
    <t>resident 07</t>
  </si>
  <si>
    <t>Config</t>
  </si>
  <si>
    <t>change config propeties for expiry
  and revoke vid</t>
  </si>
  <si>
    <t>1. Go to https://github.com/mosip/mosip-config/blob/qa-triple-lang/sandbox/kernel-mz.properties
 2. and change mosip.kernel.vid.time-to-release-after-expiry =</t>
  </si>
  <si>
    <t>Vid should get revoked and data to be erased from vid_assigned tavle under mosip.kernel database as per the config properties</t>
  </si>
  <si>
    <t>MOSIP-10796</t>
  </si>
  <si>
    <t>As a resident I should be able to Get the 
 UIN card through request ID</t>
  </si>
  <si>
    <t>Downlaod card using UIN/VID</t>
  </si>
  <si>
    <t>Get UIN card by requestid generated for UIN</t>
  </si>
  <si>
    <t>1. Send Otp request for resident
 2. Request for credential id as credential type as euin
 3. Download card with requestid generated using UIN</t>
  </si>
  <si>
    <t>Can download UIN card</t>
  </si>
  <si>
    <t>Get UIN card by requestid generated for VID</t>
  </si>
  <si>
    <t>1. Send Otp request for VID
 2. Request for credential id as credential type as euin
 3. Download card with requestid generated using VID</t>
  </si>
  <si>
    <t>1. Send Otp request for resident
 2. Request for credential id as credential type as reprint
 3. Download card with requestid generated using UIN</t>
  </si>
  <si>
    <t>Can download uin card</t>
  </si>
  <si>
    <t>1. Send Otp request for VID
 2. Request for credential id as credential type as reprint
 3. Download card with requestid generated using VID</t>
  </si>
  <si>
    <t>1. Send Otp request for resident
 2. Request for credential id as credential type as qrcode
 3. Download card with requestid generated using UIN</t>
  </si>
  <si>
    <t>1. Send Otp request for VID
 2. Request for credential id as credential type as qrcode
 3. Download card with requestid generated using VID</t>
  </si>
  <si>
    <t>Get UIN card by requestid generated for UIN by giving invalid requestid</t>
  </si>
  <si>
    <t>1. Send Otp request for resident
 2. Request for credential id as credential type as euin
 3.Download card with invalid requestid</t>
  </si>
  <si>
    <t>Cannot download UIN card</t>
  </si>
  <si>
    <t>resident 08</t>
  </si>
  <si>
    <t>Get UIN card by requestid generated for VID 
 by giving invalid requestid</t>
  </si>
  <si>
    <t>1. Send Otp request for VID
 2. Request for credential as credential type as euin
 3. Download card with requestid generated using UIN</t>
  </si>
  <si>
    <t>MOSIP-9233</t>
  </si>
  <si>
    <t>Integrate packet manager changes
  in resident services</t>
  </si>
  <si>
    <t>Resident 01</t>
  </si>
  <si>
    <t>update</t>
  </si>
  <si>
    <t>Update UIN deatails</t>
  </si>
  <si>
    <t>Update DOB of resident</t>
  </si>
  <si>
    <t>1. Send otp request for Resident
 2.Update DOB of resident</t>
  </si>
  <si>
    <t>DOB of resident should get updated</t>
  </si>
  <si>
    <t>Update uin is not working</t>
  </si>
  <si>
    <t>Resident 02</t>
  </si>
  <si>
    <t>Update name of resident</t>
  </si>
  <si>
    <t>1. Send otp request for Resident
 2.Update name of resident</t>
  </si>
  <si>
    <t>Name of resident should get updated</t>
  </si>
  <si>
    <t>Resident 03</t>
  </si>
  <si>
    <t>Update address of resident</t>
  </si>
  <si>
    <t>1. Send otp request for Resident
 2.Update address of resident</t>
  </si>
  <si>
    <t>Address of resident should get updated</t>
  </si>
  <si>
    <t>Resident 04</t>
  </si>
  <si>
    <t>Update Email of resident</t>
  </si>
  <si>
    <t>1. Send otp request for Resident
 2.Update Email of resident</t>
  </si>
  <si>
    <t>Email of resident should get updated</t>
  </si>
  <si>
    <t>Resident 05</t>
  </si>
  <si>
    <t>Update Phone number of resident</t>
  </si>
  <si>
    <t>1. Send otp request for Resident
 2.Update Phone number of resident</t>
  </si>
  <si>
    <t>Phone number of resident should get updated</t>
  </si>
  <si>
    <t>Resident 06</t>
  </si>
  <si>
    <t>Update Dob of resident with invalid format</t>
  </si>
  <si>
    <t>1. Send otp request for Resident
 2.Update DOB of resident as yyyy/MM/DD</t>
  </si>
  <si>
    <t>DOB of resident should not get updated</t>
  </si>
  <si>
    <t>MOSIP-8553</t>
  </si>
  <si>
    <t>Status Support for Print Request
  / Credential Issuance / RIDs</t>
  </si>
  <si>
    <t>Check status</t>
  </si>
  <si>
    <t>Check whether API support to 
 check status of RID is present</t>
  </si>
  <si>
    <t>1.Go to https://qa-single-rc2.mosip.net/resident/v1/swagger-ui/
 index.html?configUrl=/resident/v1/v3/api-docs/swagger-config#/resident-controller/getRidStatus
 2. check for get rid status</t>
  </si>
  <si>
    <t>API to check RID status to be present
 {{url}}/resident/v1/rid/check-status</t>
  </si>
  <si>
    <t>Check whether API support to 
 check status of credential issuance is there</t>
  </si>
  <si>
    <t>1.Go to https://qa-single-rc2.mosip.net/resident/v1/swagger-ui/
 index.html?configUrl=/resident/v1/v3/api-docs/swagger-config#/resident-controller/getRidStatus
 2. check for get credentail status</t>
  </si>
  <si>
    <t>API to check credential status to be present
 {{url}}resident/v1/req/credential/status/{{requestid}}</t>
  </si>
  <si>
    <t xml:space="preserve">Check credential request id status </t>
  </si>
  <si>
    <t>1. send otp request
2. Request for credential requestid
3. check status of request id</t>
  </si>
  <si>
    <t>Credentail request id status should be 
New--&gt;issued--&gt;printing</t>
  </si>
  <si>
    <t>To update uin and check RID status for the same</t>
  </si>
  <si>
    <t>1. Send Otp request
 2. Update Any field of UIN
 3. Check status for RID got from update UIN</t>
  </si>
  <si>
    <t>UIN to get updated and should get 
 RID status</t>
  </si>
  <si>
    <t>Check RID status should work irrespective of length of reg-id 29/14 digits</t>
  </si>
  <si>
    <t>1. Check RID status irrespective of length 14/29 digits</t>
  </si>
  <si>
    <t>Should get RID status</t>
  </si>
  <si>
    <t>Check RID different types of status is</t>
  </si>
  <si>
    <t>1. check RID statusof reg_id</t>
  </si>
  <si>
    <t>Types of RID status should be 
 UNDER PROCESSING
 REJECTED
 FAILED 
 RESEND
 REREGISTER</t>
  </si>
  <si>
    <t>MOSIP-8548</t>
  </si>
  <si>
    <t>Integration with Credential 
 Issuance Service</t>
  </si>
  <si>
    <t>Credentail request</t>
  </si>
  <si>
    <t>Check whether API for credentialreq is present</t>
  </si>
  <si>
    <t>1. Go to https://qa-triple-rc2.mosip.net/resident/v1/swagger-ui/index.html?configUrl=/resident/v1/v3/api-docs/swagger-config#/resident-controller
 2. Chek for reqcredential API</t>
  </si>
  <si>
    <t>Api for request credentail id should be present</t>
  </si>
  <si>
    <t>Validate otp while requesting for requestid</t>
  </si>
  <si>
    <t>1. Send otp request for resident uin
 2. request credentail id using valid otp</t>
  </si>
  <si>
    <t>Otp should be validate to get requestid</t>
  </si>
  <si>
    <t>Request for credentail requestid for UIN by giving credentail type as euin</t>
  </si>
  <si>
    <t>1. Send otp request for resident uin
 2. request credentail id for credentail type as euin</t>
  </si>
  <si>
    <t>Response should contain requestid</t>
  </si>
  <si>
    <t>Request for credentail requestid for UIN by giving credentail type as reprint</t>
  </si>
  <si>
    <t>1. Send otp request for resident uin
 2. request credentail id for credentail type as reprint</t>
  </si>
  <si>
    <t>Request for credentail requestid for UIN by giving credentail type as qrcode</t>
  </si>
  <si>
    <t>1. Send otp request for resident uin
 2. request credentail id for credentail type as qrcode</t>
  </si>
  <si>
    <t>Request for credential request id by giving invalid otp</t>
  </si>
  <si>
    <t>1. Send otp request for resident uin
 2. request credentail id by giving invalid otp</t>
  </si>
  <si>
    <t>Request id generation should fail with error Otp is invalid</t>
  </si>
  <si>
    <t>MOSIP-8551</t>
  </si>
  <si>
    <t>Credential Subscription (Event Sink)</t>
  </si>
  <si>
    <t>Issue the credentail and Check the status in credential_transcation table once credentail is issued</t>
  </si>
  <si>
    <t>1. Send otp request for resident uin
 2. request credentail id 
3. Check in credential transaction table in mosip credentail db</t>
  </si>
  <si>
    <t>Issue the credentail and Check the status in credential_transcation table once credentail is isssed</t>
  </si>
  <si>
    <t>MOSIP-8595</t>
  </si>
  <si>
    <t>Implement user PIN support in credential generation</t>
  </si>
  <si>
    <t xml:space="preserve">Check for PIN support in credentail generation </t>
  </si>
  <si>
    <t>Check whether we have encryptionkey in credenatil generation</t>
  </si>
  <si>
    <t xml:space="preserve">1. Go to Request credentil API. 
2. check for encryptionkey </t>
  </si>
  <si>
    <t>Encryption key should be availble in creentail generator API request</t>
  </si>
  <si>
    <t>1.VID</t>
  </si>
  <si>
    <t>1. Generate temporary VID for resident UIN</t>
  </si>
  <si>
    <t>Generate temporary VID</t>
  </si>
  <si>
    <t>1. Send Otp Request
 2. Generate temporary VID
 3. Check email/sms notifiaction for VID</t>
  </si>
  <si>
    <t>Temporary vid should get generated</t>
  </si>
  <si>
    <t>Perform demo/bio authentication using same VID</t>
  </si>
  <si>
    <t>1. Send Otp Request
 2. Generate temporary VID
 3.Perform demo/bio auth using temporary VID
 4.Email should trigger for demo auth success</t>
  </si>
  <si>
    <t>Demo/bio auth should get success with temporary VID</t>
  </si>
  <si>
    <t>Perform otp auth/ekyc authentication using same VID</t>
  </si>
  <si>
    <t>1. Send Otp Request
 2. Generate temporary VID
 3.Perform otp auth/ekyc using temporary VID
 4.Email should trigger for otp auth success</t>
  </si>
  <si>
    <t>otp auth/ekyc should get success with temporary VID</t>
  </si>
  <si>
    <t>Perform ekyc demo/bio authentication using same VID</t>
  </si>
  <si>
    <t>1. Send Otp Request
 2. Generate temporary VID
 3.perform ekyc demo/bio auth using temporary VID
 4.Email should trigger for ekyc demo auth success</t>
  </si>
  <si>
    <t>ekyc demo/bio auth should get success with temporary VID</t>
  </si>
  <si>
    <t>Generate temporary VID when OTP is invalid</t>
  </si>
  <si>
    <t>1. Send Otp request 
 2. generate temporary by giving invalid otp
 3. email/sms should trigger for generation of vid failure</t>
  </si>
  <si>
    <t>Generation of temporary vid should get fail</t>
  </si>
  <si>
    <t>Generate temporary VID when OTP is expired</t>
  </si>
  <si>
    <t>1. Send Otp request 
 2. generate temporary when otp is expired
 3. email/sms should trigger for generation of vid failure</t>
  </si>
  <si>
    <t>Resident 07</t>
  </si>
  <si>
    <t>Generate temporary VID when transcationid is invalid</t>
  </si>
  <si>
    <t>Resident 08</t>
  </si>
  <si>
    <t>2. Revoke Temporary VID</t>
  </si>
  <si>
    <t>Revoke temporary VID</t>
  </si>
  <si>
    <t>1. Send Otp request 
 2. Revoke temporary Vid
 3. check email/sms notification for revoke success notification</t>
  </si>
  <si>
    <t>Revoke of temporary Vid should get success</t>
  </si>
  <si>
    <t>Resident 09</t>
  </si>
  <si>
    <t>Perform demo/bio auth/ekyc using revoked temporary vid</t>
  </si>
  <si>
    <t>1. Send Otp request 
 2. Revoke temporary Vid
 3.demo/bio auth/ekyc should get fail for revoked VID
 4. Check email notification for demo/bio auth failure</t>
  </si>
  <si>
    <t>Demo/bio auth/ekyc should get fail with revoked temporary VID</t>
  </si>
  <si>
    <t>auth getting success with revoked vid</t>
  </si>
  <si>
    <t>Resident 10</t>
  </si>
  <si>
    <t>perform otp auth /ekyc using revoked temporary vid</t>
  </si>
  <si>
    <t>1. Send Otp request 
 2. Revoke temporary Vid
 3.otp auth/ekyc should get fail for revoked VID
 4. Email should trigger for otp auth/ekyc failure</t>
  </si>
  <si>
    <t>Otp auth/ekyc should get fail with revoked temporary VID</t>
  </si>
  <si>
    <t>Resident 11</t>
  </si>
  <si>
    <t>Revoke of an expired vid</t>
  </si>
  <si>
    <t>1. Request for otp
 2.Generate temporary vid
 3.Revoke already expired vid</t>
  </si>
  <si>
    <t>{
            "errorCode": "RES-SER-29",
            "message": "Invalid id::VID is EXPIRED"
        }</t>
  </si>
  <si>
    <t>Resident 12</t>
  </si>
  <si>
    <t>3.Config properties for temporary VID</t>
  </si>
  <si>
    <t>{
  "vidType": "Temporary",
  "vidPolicy": {
  "validForInMinutes": 30,
  "transactionsAllowed": 1,
  "instancesAllowed": 5,
  "autoRestoreAllowed": false,
  "restoreOnAction": "REGENERATE"
  }</t>
  </si>
  <si>
    <t>1. Go to https://github.com/mosip/mosip-config/blob/qa-triple-rc2/sandbox/mosip-vid-policy.json
 2. check for temporary vid type config properties
 3. Generate VID</t>
  </si>
  <si>
    <t>According to config properties 
 a. temporary vid should get revoked after 30min
 b. temporary vid can be used at only one instance
 3. Only 5 temporary is allowed to be active at a time
 4. First temporary vid should not be auto revoked when second temporary vid generated</t>
  </si>
  <si>
    <t>Resident 13</t>
  </si>
  <si>
    <t>With the same above config properties Generate 6 temporary vids</t>
  </si>
  <si>
    <t>1. Send otp request using resident UIN
 2. Generate 6 temporary VIDs</t>
  </si>
  <si>
    <t>6th temporary should not get generated as only 5 active vids is allowed at at time</t>
  </si>
  <si>
    <t>Resident 14</t>
  </si>
  <si>
    <t>With the same above config properties with already generated vid try to do transcation after 30min</t>
  </si>
  <si>
    <t>1. Send otp request using resident UIN
 2. Generate temporary VID
 3. After 30min try to send otp with same temporary vid</t>
  </si>
  <si>
    <t>Temporary vid should get expired after 30min, otp request should get fail</t>
  </si>
  <si>
    <t>Resident 15</t>
  </si>
  <si>
    <t>With the same above config properties with already generated vid try to do transcation more than once</t>
  </si>
  <si>
    <t>1. Send otp request using temporary
 2. request dor credentail id
 3. Do auth history</t>
  </si>
  <si>
    <t>Temporary vid should get allowed to use at only one instance, Auth history should fail</t>
  </si>
  <si>
    <t>Resident 16</t>
  </si>
  <si>
    <t>Change the config proerties and test the same 
 {
  "vidType": "Temporary",
  "vidPolicy": {
  "validForInMinutes": 2,
  "transactionsAllowed":2,
  "instancesAllowed": 3,
  "autoRestoreAllowed": false
  "restoreOnAction": "Regenrate"
  }</t>
  </si>
  <si>
    <t>1. Go to https://github.com/mosip/mosip-config/blob/qa-triple-rc2/sandbox/mosip-vid-policy.json
 2. Check for temporary vid type config properties and edit
 3. Generate VID</t>
  </si>
  <si>
    <t>According to changed config properties 
 a. temporary vid should get revoked after 2min
 b. temporary vid can be used at only 2 instance
 3. Only 3 temporary is allowed to be active at a time
 4. First temporary vid should not be auto revoked when second temporary vid is generated</t>
  </si>
  <si>
    <t>Transcations allowed is not working properly</t>
  </si>
  <si>
    <t>Resident 17</t>
  </si>
  <si>
    <t>With the same above config properties Generate 4 temporary vids</t>
  </si>
  <si>
    <t>1. Send otp request using resident UIN
 2. Generate 4 temporary VIDs</t>
  </si>
  <si>
    <t>4th temporary should not get generated as only 3 active vids is allowed at at time</t>
  </si>
  <si>
    <t>Resident 18</t>
  </si>
  <si>
    <t>With the same above config properties with already generated vid try to do transcation after 2min</t>
  </si>
  <si>
    <t>1. Send otp request using resident UIN
 2. Generate temporary VID
 3. After 2min try to send otp with same temporary vid</t>
  </si>
  <si>
    <t>Temporary vid should get expired after 5min, otp request should get fail</t>
  </si>
  <si>
    <t>Resident 19</t>
  </si>
  <si>
    <t>With the same above config properties with already generated vid try to do transcation more than twice</t>
  </si>
  <si>
    <t xml:space="preserve">1. Send otp request using temporary
 2. request for credentail id
 3. Do auth lock
 4. Do auth unlock
</t>
  </si>
  <si>
    <t>Temporary vid should get allowed to use at only 3 times, Auth unlock should get fail</t>
  </si>
  <si>
    <t>Able to use in only one transaction</t>
  </si>
  <si>
    <t>Resident 20</t>
  </si>
  <si>
    <t>perform authentication with expired temporary VID</t>
  </si>
  <si>
    <t>1. Send otp request
 2. generate temporary VID
 3. Perform auth using same vid after 30min</t>
  </si>
  <si>
    <t>Auth should get fail</t>
  </si>
  <si>
    <t>Resident 21</t>
  </si>
  <si>
    <t>1. Generate perpetual VID for resident UIN</t>
  </si>
  <si>
    <t>Generate perpetual VID</t>
  </si>
  <si>
    <t>1. Send Otp Request
 2. Generate perpetual VID</t>
  </si>
  <si>
    <t>perpetual Vid generation should get success</t>
  </si>
  <si>
    <t>Resident 22</t>
  </si>
  <si>
    <t>1. Send Otp Request
 2. Generate perpetual VID
 3.Perform demo auth using perpetual VID</t>
  </si>
  <si>
    <t>Demo/bio auth should get success with perpetual VID</t>
  </si>
  <si>
    <t>Resident 23</t>
  </si>
  <si>
    <t>Perform otp auth/ekyc using same VID</t>
  </si>
  <si>
    <t>1. Send Otp Request
 2. Generate perpetual VID
 3.Perform otp auth using perpetual VID</t>
  </si>
  <si>
    <t>otp auth/ekyc should get success with perpetual VID</t>
  </si>
  <si>
    <t>Resident 24</t>
  </si>
  <si>
    <t>1. Send Otp Request
 2. Generate perpetual VID
 3.perform ekyc demo auth using perpetual VID</t>
  </si>
  <si>
    <t>ekyc demo/bio auth should get success with perpetual VID</t>
  </si>
  <si>
    <t>Resident 25</t>
  </si>
  <si>
    <t>Generate perpetual VID when OTP is invalid</t>
  </si>
  <si>
    <t>1. Send Otp request 
 2. generate perpetual by giving invalid otp</t>
  </si>
  <si>
    <t>Generation of perpetual vid should get fail</t>
  </si>
  <si>
    <t>Resident 26</t>
  </si>
  <si>
    <t>Generate perpetual VID when OTP is expired</t>
  </si>
  <si>
    <t>1. Send Otp request 
 2. generate perpetual when otp is expired</t>
  </si>
  <si>
    <t>Resident 27</t>
  </si>
  <si>
    <t>Generate perpetual VID when transcationid is invalid</t>
  </si>
  <si>
    <t>1. Send Otp request 
 2. generate perpetual when transcation id is invalid</t>
  </si>
  <si>
    <t>Resident 28</t>
  </si>
  <si>
    <t>2. Revoke perpetual VID</t>
  </si>
  <si>
    <t>Revoke perpetual VID</t>
  </si>
  <si>
    <t>1. Send Otp request 
 2. Revoke perpetual Vid</t>
  </si>
  <si>
    <t>Revoke of perpetual Vid should get success</t>
  </si>
  <si>
    <t>Resident 29</t>
  </si>
  <si>
    <t>Perform demo/bio auth using revoked perpetual vid</t>
  </si>
  <si>
    <t>1. Send Otp request 
 2. Revoke perpetual Vid
 3.Perform demo/bio auth using revoked VID</t>
  </si>
  <si>
    <t>Demo/bio auth should get fail with revoked perpetual VID</t>
  </si>
  <si>
    <t>Resident 30</t>
  </si>
  <si>
    <t>Perform ekyc demo/bio auth using revoked perpetual vid</t>
  </si>
  <si>
    <t>1. Send Otp request 
 2. Revoke perpetual Vid
 3.Perform ekyc demo/bio auth using revoked VID</t>
  </si>
  <si>
    <t>ekyc Demo/bio auth should get fail with revoked perpetual VID</t>
  </si>
  <si>
    <t>Resident 31</t>
  </si>
  <si>
    <t>Perform otp auth/ekyc using revoked perpetual Vid</t>
  </si>
  <si>
    <t>1. Send Otp request 
 2. Revoke perpetual Vid
 3.Perform otp auth/ekyc using revoked VID</t>
  </si>
  <si>
    <t>otp auth/ekyc should get fail with revoked perpetual VID</t>
  </si>
  <si>
    <t>Resident 32</t>
  </si>
  <si>
    <t>3.Config properties for perpetual VID</t>
  </si>
  <si>
    <t>{
  "vidType": "Perpetual",
  "vidPolicy": {
  "validForInMinutes": null,
  "transactionsAllowed": null,
  "instancesAllowed": 1,
  "autoRestoreAllowed": true,
  "restoreOnAction": "REVOKED"
  }</t>
  </si>
  <si>
    <t>1. Go to https://github.com/mosip/mosip-config/blob/qa-triple-rc2/sandbox/mosip-vid-policy.json
 2. check for perpetual vid type config properties
 3. Generate perpetual VID</t>
  </si>
  <si>
    <t>According to config properties 
 a.No time limit for perpetual Vid
 b. Perpetual Vid can be used multiple times
 3. Only 1 perpetual vid is allowed to be active at a time
 4. First perpetual vid should get auto revoked when second perpetual vid generated</t>
  </si>
  <si>
    <t>Resident 33</t>
  </si>
  <si>
    <t>With the same above config properties Generate 2 perpetual vids</t>
  </si>
  <si>
    <t>1. Request for otp using uin
 2. Generate 2 perpetual vids</t>
  </si>
  <si>
    <t>2nd perpetual vid should get generated and 1st vid gets auto revoked</t>
  </si>
  <si>
    <t>Resident 34</t>
  </si>
  <si>
    <t>With the same above config properties with already generated vid try to do transcation 10 times</t>
  </si>
  <si>
    <t>1. Request for otp using uin
 2. Generate perpetual vids
 3. Use the same perpetual vid in multiple transcations</t>
  </si>
  <si>
    <t>perpetual vid should get allowed to use multiple times</t>
  </si>
  <si>
    <t>Resident 35</t>
  </si>
  <si>
    <t>With the same above config properties check auto revoke of perpetual vid is happening</t>
  </si>
  <si>
    <t>1st generated vid should get auto revoked when 2nd perpetual vid is genertaed</t>
  </si>
  <si>
    <t>Able to request otp using 1st perpetual vid</t>
  </si>
  <si>
    <t>Resident 36</t>
  </si>
  <si>
    <t>{
  "vidType": "Perpetual",
  "vidPolicy": {
  "validForInMinutes": 5,
  "transactionsAllowed": 2,
  "instancesAllowed": 2,
  "autoRestoreAllowed": true,
  "restoreOnAction": "Revoked"
  }</t>
  </si>
  <si>
    <t>1. Go to https://github.com/mosip/mosip-config/blob/qa-triple-rc2/sandbox/mosip-vid-policy.json
 2. Check for perpetual vid type config properties and edit
 3. Generate VID</t>
  </si>
  <si>
    <t>According to changed config properties 
 a. Perpetual vid should get revoked after 5min
 b. Perpetual vid should be allowed to use at 2 transactions
 3. Only 2 perpetual is allowed to be active at a time
 4. First perpetual vid should get auto revoked when second perpetual vid is generated</t>
  </si>
  <si>
    <t>transcationsallowed not working properly</t>
  </si>
  <si>
    <t>Resident 37</t>
  </si>
  <si>
    <t>With the same above config properties Generate 3 perpetual vids</t>
  </si>
  <si>
    <t xml:space="preserve">3rd perpetual vid should get generated </t>
  </si>
  <si>
    <t>Resident 38</t>
  </si>
  <si>
    <t>With the same above config properties with already generated vid try to do more than 2 transcation</t>
  </si>
  <si>
    <t>1. Request for otp using uin
 2. Generate perpetual vids
 3. Use the same perpetual vid for transcations</t>
  </si>
  <si>
    <t>perpetual vid should be allowed to use only twice</t>
  </si>
  <si>
    <t>Allowed to use only once</t>
  </si>
  <si>
    <t>Resident 39</t>
  </si>
  <si>
    <t>With the same above config properties with already generated vid try to do any transcation after 5min</t>
  </si>
  <si>
    <t>1. Request for otp using uin
 2. Generate perpetual vids
 3. Use the same perpetual vid after 5min</t>
  </si>
  <si>
    <t>perpetual vid should get expired after 5min</t>
  </si>
  <si>
    <t>Resident 40</t>
  </si>
  <si>
    <t>Perform authentication using expired perpetual vid</t>
  </si>
  <si>
    <t>1. Request for otp using uin
 2. Generate perpetual vids
 3. Use the same perpetual vid after 15min</t>
  </si>
  <si>
    <t>Authentication should get fail</t>
  </si>
  <si>
    <t>Resident 41</t>
  </si>
  <si>
    <t>1. Generate onetimeuse VID for resident UIN</t>
  </si>
  <si>
    <t>Generate onetimeuse VID</t>
  </si>
  <si>
    <t>1. Send otp Request
 2. generate Onetimeuse VID</t>
  </si>
  <si>
    <t>Genration of onetimeuse vid shpuld get success</t>
  </si>
  <si>
    <t>Resident 42</t>
  </si>
  <si>
    <t>2. Generate Custom vidtype VID</t>
  </si>
  <si>
    <t>Generate VID with custom name vidtype</t>
  </si>
  <si>
    <t>1. Send otp Request
 2. Generate cutsom name vidtype</t>
  </si>
  <si>
    <t>Generation of custom vidtype should fail(vid type which is not in config properties)</t>
  </si>
  <si>
    <t>Resident 43</t>
  </si>
  <si>
    <t>3. Generate Vid using Vid</t>
  </si>
  <si>
    <t>Genereate Vid when individualid is vid</t>
  </si>
  <si>
    <t>1. request otp using VID
 2. Generate VID</t>
  </si>
  <si>
    <t>Generation of vid for vid is not allowed</t>
  </si>
  <si>
    <t>Resident 44</t>
  </si>
  <si>
    <t>2. Request OTP</t>
  </si>
  <si>
    <t>1. Request otp for resident UIN</t>
  </si>
  <si>
    <t>Request for resident OTP when otp channel is email, phone</t>
  </si>
  <si>
    <t>1. Mention Otp channel as email, phone
 2. Send otp request</t>
  </si>
  <si>
    <t>Otp should be received in both email and phone</t>
  </si>
  <si>
    <t>Resident 45</t>
  </si>
  <si>
    <t>Request for resident OTP when otp channel as only email</t>
  </si>
  <si>
    <t>1. Mention Otp channel as only email
 2. Send otp request</t>
  </si>
  <si>
    <t>Otp should be received only in email</t>
  </si>
  <si>
    <t>Resident 46</t>
  </si>
  <si>
    <t>Request for resident OTP when otp channel as only phone</t>
  </si>
  <si>
    <t>1. Mention Otp channel as only phone
 2. Send otp request</t>
  </si>
  <si>
    <t>Otp should be received only in phone</t>
  </si>
  <si>
    <t>Resident 47</t>
  </si>
  <si>
    <t>Request for resident otp when otp channel is empty</t>
  </si>
  <si>
    <t>1. Leave Otp channel as empty
 2. Send otp request</t>
  </si>
  <si>
    <t>Otp request should fail</t>
  </si>
  <si>
    <t>Resident 48</t>
  </si>
  <si>
    <t>2. Request otp for resident VID</t>
  </si>
  <si>
    <t>1. Mention Otp channel as email, phone
 2. Send otp request
 3. Notification to be received in both email and phone</t>
  </si>
  <si>
    <t>Resident 49</t>
  </si>
  <si>
    <t>1. Mention Otp channel as only email
 2. Send otp request
 3. 3. Notification to be received only in email</t>
  </si>
  <si>
    <t>Resident 50</t>
  </si>
  <si>
    <t>1. Mention Otp channel as only phone
 2. Send otp request
 3. Notification to be received only in ohone</t>
  </si>
  <si>
    <t>Resident 51</t>
  </si>
  <si>
    <t>Resident 52</t>
  </si>
  <si>
    <t>Request for otp with revoked VID</t>
  </si>
  <si>
    <t>1.Revoke VID
 2. Use same VID for reuqesting otp
 3. check email notification for otp failure</t>
  </si>
  <si>
    <t>Otp request should fail with email/sms notification</t>
  </si>
  <si>
    <t>Resident 53</t>
  </si>
  <si>
    <t>3. To update the property to remove the SMS under application.mz property, 
mosip.notificationtype = EMAIL mosip.kernel.sms.proxy-sms = false</t>
  </si>
  <si>
    <t>Request otp resident UIN/VID when otp channel as only phone</t>
  </si>
  <si>
    <t>Resident should not receive otp</t>
  </si>
  <si>
    <t>Resident 54</t>
  </si>
  <si>
    <t>With same config properties mention otp channel as only email</t>
  </si>
  <si>
    <t>Resident should receive otp</t>
  </si>
  <si>
    <t>Resident 55</t>
  </si>
  <si>
    <t>4. To updated the property to remove the EMAIL under application.mz property mosip.notificationtype = SMS
 mosip.kernel.sms.proxy-Email = false</t>
  </si>
  <si>
    <t>Request otp resident UIN/VID when otp channel as only email</t>
  </si>
  <si>
    <t>Resident 56</t>
  </si>
  <si>
    <t>With same config properties mention otp channel as only phone</t>
  </si>
  <si>
    <t>Resident 57</t>
  </si>
  <si>
    <t>Otp Flooding</t>
  </si>
  <si>
    <t>Resend otp several times</t>
  </si>
  <si>
    <t>1.Request OTP's ''4" times based on configuration # *********** Otp Flooding ************
 # Configure Time limit for OTP Flooding scenario (in minutes) 
 otp.request.flooding.duration=1
 # Configure no of requests for OTP Flooding scenario
 otp.request.flooding.max-count=3</t>
  </si>
  <si>
    <t>After 3 Otps, Otp generation shoul dget denayed. As per the config in 1min only 3 otp can be requested</t>
  </si>
  <si>
    <t>Resident 58</t>
  </si>
  <si>
    <t>3. Request credentail</t>
  </si>
  <si>
    <t>1. Request for credentail id using UIN as individual id</t>
  </si>
  <si>
    <t>Send request credential using resident UIN, credentail type as euin</t>
  </si>
  <si>
    <t>1. Send otp request
 2.Request for credentail id by giving credentail type as euin
 3. Notification to be received with requestid</t>
  </si>
  <si>
    <t>Response should get request id</t>
  </si>
  <si>
    <t>Resident 59</t>
  </si>
  <si>
    <t>Send request credential using resident UIN, credentail type as reprint</t>
  </si>
  <si>
    <t>1. Send otp request
 2.Request for credentail id by giving credentail type as reprint
 3. Notification to be received with requestid</t>
  </si>
  <si>
    <t>Resident 60</t>
  </si>
  <si>
    <t>Send request credential using resident UIN, credentail type as qrcode</t>
  </si>
  <si>
    <t>1. Send otp request
 2.Request for credentail id by giving credentail type as qrcode
 3. Notification to be received with requestid</t>
  </si>
  <si>
    <t>Resident 61</t>
  </si>
  <si>
    <t>Verify to request credentail for resident UIN by giving invalid otp</t>
  </si>
  <si>
    <t>1. Send otp request
 2.Request for credentail id by giving invalid otp
 3. Notification to be received for failure</t>
  </si>
  <si>
    <t>Resident should not receive request id</t>
  </si>
  <si>
    <t>Resident 62</t>
  </si>
  <si>
    <t>Verify to request credentail for resident UIN after otp is expired</t>
  </si>
  <si>
    <t>1. Send otp request
 2.Request for credentail id when otp is expired
 3. Notification to be received for failure</t>
  </si>
  <si>
    <t>Resident 63</t>
  </si>
  <si>
    <t>Request credential for resident UIN by giving invalid transcationid</t>
  </si>
  <si>
    <t>1. Send otp request
 2.Request for credentail id by giving transcationd invalid
 3. Notification to be received for failure</t>
  </si>
  <si>
    <t>Resident 64</t>
  </si>
  <si>
    <t>Request credential for resident UIN by giving encryptionkey as ""</t>
  </si>
  <si>
    <t>1. Send otp request
 2.Request for credentail id by giving encryptionkey as ""
 3. Notification to be received</t>
  </si>
  <si>
    <t>Resident should receive request id</t>
  </si>
  <si>
    <t>Resident 65</t>
  </si>
  <si>
    <t>Request credential for resident UIN by giving encryptionkey as "null"</t>
  </si>
  <si>
    <t>1. Send otp request
 2.Request for credentail id by giving encryptionkey as "null"
 3. Notification to be received</t>
  </si>
  <si>
    <t>Resident 66</t>
  </si>
  <si>
    <t>Request credential for resident UIN by removing encryptionkey field</t>
  </si>
  <si>
    <t>1. Send otp request
 2.Request for credentail id by removing encryptionkey field
 3. Notification to be received</t>
  </si>
  <si>
    <t>Resident should not receive request id with error null</t>
  </si>
  <si>
    <t>Resident 67</t>
  </si>
  <si>
    <t>Request credential for resident UIN by giving encrypt as false</t>
  </si>
  <si>
    <t>1. Send otp request
 2.Request for credentail id by giving encrypt as false
 3. Notification to be received</t>
  </si>
  <si>
    <t>Resident 68</t>
  </si>
  <si>
    <t>Request credential for resident UIN by giving additional data value</t>
  </si>
  <si>
    <t>1. Send otp request
 2.Request for credentail id by giving additional data value
 3. Notification to be received</t>
  </si>
  <si>
    <t>Resident 69</t>
  </si>
  <si>
    <t>Request credentail for resident UIN by adding shareable attributes</t>
  </si>
  <si>
    <t>1. Send otp request
 2.Request for credentail id by adding sharable attributes
 3. Notification to be received</t>
  </si>
  <si>
    <t>Resident 70</t>
  </si>
  <si>
    <t>2. Request for credentail id using VID as individual id</t>
  </si>
  <si>
    <t>Send request credential using resident VID, credentail type as euin</t>
  </si>
  <si>
    <t>Resident 71</t>
  </si>
  <si>
    <t>Send request credential using resident VID, credentail type as reprint</t>
  </si>
  <si>
    <t>Resident 72</t>
  </si>
  <si>
    <t>Send request credential using resident VID, credentail type as qrcode</t>
  </si>
  <si>
    <t>1. Send otp request
 2.Request for credentail id by giving credentail type as qrcode
 3. Notification to be received with requestid
 3. Notification to be received with requestid</t>
  </si>
  <si>
    <t>Resident 73</t>
  </si>
  <si>
    <t>Verify to request credentail for resident VID by giving invalid otp</t>
  </si>
  <si>
    <t>1. Send otp request
 2.Request for credentail id by giving invalid otp</t>
  </si>
  <si>
    <t>Resident 74</t>
  </si>
  <si>
    <t>Verify to request credentail for resident VID after otp is expired</t>
  </si>
  <si>
    <t>1. Send otp request
 2.Request for credentail id when otp is expired</t>
  </si>
  <si>
    <t>Resident 75</t>
  </si>
  <si>
    <t>Request credential for resident VID by giving invalid transcationid</t>
  </si>
  <si>
    <t>1. Send otp request
 2.Request for credentail id by giving transcationd invalid</t>
  </si>
  <si>
    <t>Resident 76</t>
  </si>
  <si>
    <t>Request credential for resident VID by giving encryptionkey as ""</t>
  </si>
  <si>
    <t>Resident 77</t>
  </si>
  <si>
    <t>Request credential for resident VID by giving encryptionkey as "null"</t>
  </si>
  <si>
    <t>Resident 78</t>
  </si>
  <si>
    <t>Request credential for resident VID by removing encryptionkey field</t>
  </si>
  <si>
    <t>Resident 79</t>
  </si>
  <si>
    <t>Request credential for resident VID by giving encrypt as false</t>
  </si>
  <si>
    <t>Resident 80</t>
  </si>
  <si>
    <t>Request credential for resident VID by giving additionldata value</t>
  </si>
  <si>
    <t>Resident 81</t>
  </si>
  <si>
    <t>Request credentail for resident VID by adding shareable attributes</t>
  </si>
  <si>
    <t>Resident 82</t>
  </si>
  <si>
    <t>4. Check credentail status</t>
  </si>
  <si>
    <t>1. Check status for request id generated using UIN</t>
  </si>
  <si>
    <t>Check the status of credentail request id genertaed using UIN</t>
  </si>
  <si>
    <t>1. Send otp request
 2. Request for credentail id using UIN
 3. Check the credenatil status for request id
 4. check notification for status</t>
  </si>
  <si>
    <t>Resident Should be able to check the status which should move from NEW--&gt;ISSUED--&gt;PRINTING</t>
  </si>
  <si>
    <t>Resident 83</t>
  </si>
  <si>
    <t>2. Check status for request id generated using VID</t>
  </si>
  <si>
    <t>Check the status of credentail request id genertaed using VID</t>
  </si>
  <si>
    <t>1. Send otp request
 2. Request for credentail id using VID
 3. Check the credenatil status for request id
 4. check notification for status</t>
  </si>
  <si>
    <t>Resident 84</t>
  </si>
  <si>
    <t>5.Canel credentail status</t>
  </si>
  <si>
    <t>1. Cancel credential id generated using UIN</t>
  </si>
  <si>
    <t>Cancel the credential request id which is in new state</t>
  </si>
  <si>
    <t>1. Send otp request
 2. Request for credentail id using UIN
 3. cancel the request id which is in new state</t>
  </si>
  <si>
    <t>resident Should be able to cancel request id which is in new state</t>
  </si>
  <si>
    <t>Resident 85</t>
  </si>
  <si>
    <t>Cancel the credential request id which is in issued state</t>
  </si>
  <si>
    <t>1. Send otp request
 2. Request for credentail id using UIN
 3. cancel the request id which is in issued state</t>
  </si>
  <si>
    <t>resident Should not be able to cancel request id which is in issued state</t>
  </si>
  <si>
    <t>Resident 86</t>
  </si>
  <si>
    <t>Cancel the credential request id which is in Printing state</t>
  </si>
  <si>
    <t>1. Send otp request
 2. Request for credentail id using UIN
 3. cancel the request id which is in printing state</t>
  </si>
  <si>
    <t>resident Should not be able to cancel request id which is in printing state</t>
  </si>
  <si>
    <t>Resident 87</t>
  </si>
  <si>
    <t>2. Cancel credential id generated using VID</t>
  </si>
  <si>
    <t>1. Send otp request
 2. Request for credentail id using VID
 3. cancel the request id which is in new state</t>
  </si>
  <si>
    <t>Resident 88</t>
  </si>
  <si>
    <t>1. Send otp request
 2. Request for credentail id using VID
 3. cancel the request id which is in issued state</t>
  </si>
  <si>
    <t>Resident 89</t>
  </si>
  <si>
    <t>1. Send otp request
 2. Request for credentail id using VID
 3. cancel the request id which is in printing state</t>
  </si>
  <si>
    <t>Resident 90</t>
  </si>
  <si>
    <t>6. Download card</t>
  </si>
  <si>
    <t>1. Download card with request id generated using UIN</t>
  </si>
  <si>
    <t>Download uin card when credentail request is in new state</t>
  </si>
  <si>
    <t>1. Send otp request
 2. Request for credentail id using UIN
 3. Download card</t>
  </si>
  <si>
    <t>Resident is not allowed to download card</t>
  </si>
  <si>
    <t>Resident 91</t>
  </si>
  <si>
    <t>Download uin card when credentail request is in new state and request id is cancelled</t>
  </si>
  <si>
    <t>Resident 92</t>
  </si>
  <si>
    <t>Download uin card when credentail request is in issued state</t>
  </si>
  <si>
    <t>Resident 93</t>
  </si>
  <si>
    <t>Download uin card when credentail request is in printing state</t>
  </si>
  <si>
    <t>Resident is allowed to download card</t>
  </si>
  <si>
    <t>Resident 94</t>
  </si>
  <si>
    <t>2.Download card with request id generated using VID</t>
  </si>
  <si>
    <t>1. Send otp request
 2. Request for credentail id using VID
 3. Download card</t>
  </si>
  <si>
    <t>Resident 95</t>
  </si>
  <si>
    <t>Resident 96</t>
  </si>
  <si>
    <t>Resident 97</t>
  </si>
  <si>
    <t>Resident 98</t>
  </si>
  <si>
    <t>7.Auth lock/unlock</t>
  </si>
  <si>
    <t>1. Auth lock for demo/bio using UIN</t>
  </si>
  <si>
    <t>Auth lock for demo authentication for UIN</t>
  </si>
  <si>
    <t>1. send otp request 
 2. Auth lock for demo authentication</t>
  </si>
  <si>
    <t>Demo authentication for UIN should get locked</t>
  </si>
  <si>
    <t>Resident 99</t>
  </si>
  <si>
    <t>Auth lock for bio(finger/iris/face) authentication for UIN</t>
  </si>
  <si>
    <t>1. send otp request 
 2. Auth lock for bio(finger/face/iris) authentication</t>
  </si>
  <si>
    <t>bio authentication for UIN should get locked</t>
  </si>
  <si>
    <t>Resident 100</t>
  </si>
  <si>
    <t>Auth lock for OTP authentication for UIN</t>
  </si>
  <si>
    <t>1. send otp request 
 2. Auth lock for OTP authentication</t>
  </si>
  <si>
    <t>OTP authentication for UIN should get locked</t>
  </si>
  <si>
    <t>Resident 101</t>
  </si>
  <si>
    <t>Perform demo/bio authentication for the same UIN</t>
  </si>
  <si>
    <t>1. send otp request 
 2. Auth lock for demo/bio authentication
 3. Perform demo/bio authentication</t>
  </si>
  <si>
    <t>Demo/bio autentication for UIN should get fail</t>
  </si>
  <si>
    <t>Resident 102</t>
  </si>
  <si>
    <t>Perform demo/bio ekyc for the same UIN</t>
  </si>
  <si>
    <t>1. send otp request 
 2. Auth lock for demo/bio authentication
 3. Perform demo/bio ekyc</t>
  </si>
  <si>
    <t>Demo/bio ekyc for UIN should get fail</t>
  </si>
  <si>
    <t>Resident 103</t>
  </si>
  <si>
    <t>Perform  OTP auth/ekyc for the same UIN</t>
  </si>
  <si>
    <t>1. send otp request 
 2. Auth lock for otp authentication
 3. Perform otp auth/ekyc</t>
  </si>
  <si>
    <t>otp auth/ekyc for UIN should get fail</t>
  </si>
  <si>
    <t>lock otp is not working from resident</t>
  </si>
  <si>
    <t>Resident 104</t>
  </si>
  <si>
    <t>Auth lock for demo/bio using UIN with invalid otp</t>
  </si>
  <si>
    <t>1. send otp request
 2. Auth lock for demo/bio with invalid otp</t>
  </si>
  <si>
    <t>auth lock should fail for demo/bio authentication</t>
  </si>
  <si>
    <t>Resident 105</t>
  </si>
  <si>
    <t>Auth lock for demo/bio using UIN after otp expiry</t>
  </si>
  <si>
    <t>1. send otp request
 2. Auth lock for demo/bio after otp expiry</t>
  </si>
  <si>
    <t>Resident 106</t>
  </si>
  <si>
    <t>Perform demo/bio authentication using VID when demo/bio auth is locked using UIN</t>
  </si>
  <si>
    <t>1. request for otp using uin
 2. Auth lock demo/bio for UIN
 3. perform authentication using VID associated with uin</t>
  </si>
  <si>
    <t>Resident 107</t>
  </si>
  <si>
    <t>Auth lock for demo using child UIN and perform demo authentication</t>
  </si>
  <si>
    <t>1. request for otp using uin
 2. auth lock for demo uin
 3. perform demo auth using the same uin</t>
  </si>
  <si>
    <t>Auth hsould get fail</t>
  </si>
  <si>
    <t>Resident 108</t>
  </si>
  <si>
    <t>2 Auth lock for demo/bio using VID</t>
  </si>
  <si>
    <t>Auth lock for demo authentication for VID</t>
  </si>
  <si>
    <t>Demo authentication for VID should get locked</t>
  </si>
  <si>
    <t>Resident 109</t>
  </si>
  <si>
    <t>Auth lock for bio(finger/face/iris) authentication for VID</t>
  </si>
  <si>
    <t>bio authentication for VID should get locked</t>
  </si>
  <si>
    <t>Resident 110</t>
  </si>
  <si>
    <t>Auth lock for otp authentication for VID</t>
  </si>
  <si>
    <t>1. send otp request 
 2. Auth lock for otp authentication</t>
  </si>
  <si>
    <t>otp authentication for VID should get locked</t>
  </si>
  <si>
    <t>Resident 111</t>
  </si>
  <si>
    <t>Perform demo/bio authentication for the same VID</t>
  </si>
  <si>
    <t>Demo/bio autentication for VID should get fail</t>
  </si>
  <si>
    <t>Resident 112</t>
  </si>
  <si>
    <t>Do demo/bio auth lock on one VID and perform demo/bio auth using other vid generated from same UIN</t>
  </si>
  <si>
    <t>1. request for otp using
 2. auth lock for vid
 3. perform auth using UIN from which vid is generated</t>
  </si>
  <si>
    <t>demo/bio auth for VID should get fail</t>
  </si>
  <si>
    <t>Resident 113</t>
  </si>
  <si>
    <t>Auth lock for demo and perform bio auth</t>
  </si>
  <si>
    <t>1. request for otp using
 2. demo auth lock for vid
 3. perform bio auth using vid</t>
  </si>
  <si>
    <t>bio auth should get success</t>
  </si>
  <si>
    <t>Resident 114</t>
  </si>
  <si>
    <t>Auth lock for bio and perform demo auth</t>
  </si>
  <si>
    <t>1. request for otp using
 2. bio auth lock for vid
 3. perform demo auth using vid</t>
  </si>
  <si>
    <t>demo auth should get success</t>
  </si>
  <si>
    <t>Resident 115</t>
  </si>
  <si>
    <t>Auth lock for demo/bio using VID with invalid otp</t>
  </si>
  <si>
    <t>Resident 116</t>
  </si>
  <si>
    <t>Auth lock for demo/bio using VID after otp expiry</t>
  </si>
  <si>
    <t>Resident 117</t>
  </si>
  <si>
    <t>1. Auth unlock for demo/bio using UIN</t>
  </si>
  <si>
    <t>Auth unlock for demo authentication for UIN</t>
  </si>
  <si>
    <t>1. send otp request 
 2. Auth unlock for demo authentication</t>
  </si>
  <si>
    <t>Demo authentication for UIN should get unlocked</t>
  </si>
  <si>
    <t>Resident 118</t>
  </si>
  <si>
    <t>Auth unlock for bio(finger/iris/face) authentication for UIN</t>
  </si>
  <si>
    <t>1. send otp request 
 2. Auth unlock for bio authentication</t>
  </si>
  <si>
    <t>bio authentication for UIN should get unlocked</t>
  </si>
  <si>
    <t>Resident 119</t>
  </si>
  <si>
    <t>Auth unlock for otp authentication for UIN</t>
  </si>
  <si>
    <t>1. send otp request 
 2. Auth unlock for otp authentication</t>
  </si>
  <si>
    <t>otp authentication for UIN should get unlocked</t>
  </si>
  <si>
    <t>Resident 120</t>
  </si>
  <si>
    <t>1. send otp request 
 2. Auth unlock for demo/bio authentication
 3. Perform demo/bio authentication</t>
  </si>
  <si>
    <t>Demo/bio autentication for UIN should get success</t>
  </si>
  <si>
    <t>Resident 121</t>
  </si>
  <si>
    <t>Auth unlock for demo/bio using UIN with invalid otp</t>
  </si>
  <si>
    <t>1. send otp request
 2. Auth unlock for demo/bio with invalid otp</t>
  </si>
  <si>
    <t>auth unlock should fail for demo/bio authentication</t>
  </si>
  <si>
    <t>Resident 122</t>
  </si>
  <si>
    <t>Auth unlock for demo/bio using UIN after otp expiry</t>
  </si>
  <si>
    <t>1. send otp request
 2. Auth unlock for demo/bio after otp expiry</t>
  </si>
  <si>
    <t>Resident 123</t>
  </si>
  <si>
    <t>Perform demo/bio authentication using VID when demo/bio auth is unlocked using UIN</t>
  </si>
  <si>
    <t>1. Request for otp 
 2. DO auth unlock for UIN
 3. perform authentication using vid associated with vid</t>
  </si>
  <si>
    <t>demo/bio authentication for VID should get success</t>
  </si>
  <si>
    <t>Resident 124</t>
  </si>
  <si>
    <t>Auth unlock for demo using child UIN and perform demo authemtication</t>
  </si>
  <si>
    <t>1. request for otp
 2. Demo auth unlock 
 3. perform demo auth</t>
  </si>
  <si>
    <t>Auth should get success</t>
  </si>
  <si>
    <t>Resident 125</t>
  </si>
  <si>
    <t>2 Auth unlock for demo/bio using VID</t>
  </si>
  <si>
    <t>Auth unlock for demoauthentication for VID</t>
  </si>
  <si>
    <t>Demo authentication for VID should get unlocked</t>
  </si>
  <si>
    <t>Resident 126</t>
  </si>
  <si>
    <t>Auth unlock for bio(finger/iris/face) authentication for VID</t>
  </si>
  <si>
    <t>bio authentication for VID should get unlocked</t>
  </si>
  <si>
    <t>Resident 127</t>
  </si>
  <si>
    <t>1. send otp request 
 2. Auth unlock for demo/bio authentication
 3. Perform demo authentication</t>
  </si>
  <si>
    <t>Demo/bio autentication for VID should get success</t>
  </si>
  <si>
    <t>Resident 128</t>
  </si>
  <si>
    <t>Auth unlock for demo/bio using VID with invalid otp</t>
  </si>
  <si>
    <t>Resident 129</t>
  </si>
  <si>
    <t>Auth unlock for demo/bio using VID after otp expiry</t>
  </si>
  <si>
    <t>Resident 130</t>
  </si>
  <si>
    <t>1. Auth unlock for UIN for specified time</t>
  </si>
  <si>
    <t>Unlock for demo/bio auth for specified time</t>
  </si>
  <si>
    <t>1. Send otp request
 2. Auth unlock for demo/bio for specifed time</t>
  </si>
  <si>
    <t>Demo/bio auth should be unlocked after specified time then automatically gets locked after specfied time</t>
  </si>
  <si>
    <t>Resident 131</t>
  </si>
  <si>
    <t>1. Send otp request
 2. Auth unlock for demo/bio for specifed time
 3. perform demo/bio authentication</t>
  </si>
  <si>
    <t>Demo/bio auth should get success for specifed time and demo auth should get fail after the specified time</t>
  </si>
  <si>
    <t>Resident 132</t>
  </si>
  <si>
    <t>2. Auth unlock for VID for specified time</t>
  </si>
  <si>
    <t>Resident 133</t>
  </si>
  <si>
    <t>Resident 134</t>
  </si>
  <si>
    <t>8.Update</t>
  </si>
  <si>
    <t>1. Update resdient details</t>
  </si>
  <si>
    <t>Update resident DOB</t>
  </si>
  <si>
    <t>1. Send otp request
 2. Update DOB of resdient using identity json
 ew0KCSJpZGVudGl0eSI6IHsNCgkJImRhdGVPZkJpcnRoIjogIjE5ODcvMDkvMDkiLA0KCQkiSURTY2hlbWFWZXJzaW9uIjogMC4yLA0KCQkiVUlOIjogIjQ2MzU3ODQzODYiDQoJfQ0KfQ</t>
  </si>
  <si>
    <t>Update of DOB should get success</t>
  </si>
  <si>
    <t>update is not working</t>
  </si>
  <si>
    <t>Resident 135</t>
  </si>
  <si>
    <t>Perform demo authentication for updated DOB using resident UIN</t>
  </si>
  <si>
    <t>Perform demo auth using same updated resident UIN</t>
  </si>
  <si>
    <t>Demo Auth should get success with updated dob</t>
  </si>
  <si>
    <t>Resident 136</t>
  </si>
  <si>
    <t>Update resident name</t>
  </si>
  <si>
    <t>1. Send otp request
 2. Update name of resdient using identity json
 ew0KCSJpZGVudGl0eSI6IHsNCgkJImZ1bGxOYW1lIjogWw0KICAgICAgICAgICAgICAgIHsNCiAgICAgICAgICAgICAgICAgICAgImxhbmd1YWdlIjogImhpbiIsDQogICAgICAgICAgICAgICAgICAgICJ2YWx1ZSI6ICJUZXN0UUEiDQogICAgICAgICAgICAgICAgfSwNCiAgICAgICAgICAgICAgICB7DQogICAgICAgICAgICAgICAgICAgICJsYW5ndWFnZSI6ICJrYW4iLA0KICAgICAgICAgICAgICAgICAgICAidmFsdWUiOiAi4LKq4LKw4LOA4LKV4LON4LK34LOGIg0KICAgICAgICAgICAgICAgIH0sDQogICAgICAgICAgICAgICAgew0KICAgICAgICAgICAgICAgICAgICAibGFuZ3VhZ2UiOiAidGFtIiwNCiAgICAgICAgICAgICAgICAgICAgInZhbHVlIjogIuCumuCvi+CupOCuqeCviCINCiAgICAgICAgICAgICAgICB9DQogICAgICAgICAgICBdLA0KCQkiSURTY2hlbWFWZXJzaW9uIjogMC4yLA0KCQkiVUlOIjogIjQ2MzU3ODQzODYiDQoJfQ0KfQ</t>
  </si>
  <si>
    <t>Update of resdient name should get success</t>
  </si>
  <si>
    <t>Resident 137</t>
  </si>
  <si>
    <t>Perform demo authentication for updated name using resident UIN</t>
  </si>
  <si>
    <t>Demo Auth should get success with updated name</t>
  </si>
  <si>
    <t>Resident 138</t>
  </si>
  <si>
    <t>Update resident phone number</t>
  </si>
  <si>
    <t>1. Send otp request
 2. Update name of resdient using identity json
 ew0KCSJpZGVudGl0eSI6IHsNCgkJICJwaG9uZSI6ICI5ODc4Njc1NDM0IiwNCgkJIklEU2NoZW1hVmVyc2lvbiI6IDAuMiwNCgkJIlVJTiI6ICI0NjM1Nzg0Mzg2Ig0KCX0NCn0</t>
  </si>
  <si>
    <t>Update of resident phone number should get success</t>
  </si>
  <si>
    <t>Resident 139</t>
  </si>
  <si>
    <t>Perform demo authentication for updated phone number using resident UIN</t>
  </si>
  <si>
    <t>Demo Auth should get success with updated phone number</t>
  </si>
  <si>
    <t>Resident 140</t>
  </si>
  <si>
    <t>Update resident Email</t>
  </si>
  <si>
    <t>1. Send otp request
 2. Update name of resdient using identity json
 ew0KCSJpZGVudGl0eSI6IHsNCgkJICJlbWFpbCI6ICIxMjM0NUBnbWFpbC5jb20iLA0KCQkiSURTY2hlbWFWZXJzaW9uIjogMC4yLA0KCQkiVUlOIjogIjQ2MzU3ODQzODYiDQoJfQ0KfQ</t>
  </si>
  <si>
    <t>Update of resident email should get success</t>
  </si>
  <si>
    <t>Resident 141</t>
  </si>
  <si>
    <t>Perform demo authentication for updated Email using resident UIN</t>
  </si>
  <si>
    <t>Demo Auth should get success with updated email</t>
  </si>
  <si>
    <t>Resident 142</t>
  </si>
  <si>
    <t>Update DOB of resident in invalid format</t>
  </si>
  <si>
    <t>1. Send otp request
 2. Update name of resdient using identity json
 ew0KCSJpZGVudGl0eSI6IHsNCgkJImRhdGVPZkJpcnRoIjogIjE5ODYiLA0KCQkiSURTY2hlbWFWZXJzaW9uIjogMC4yLA0KCQkiVUlOIjogIjQ2MzU3ODQzODYiDQoJfQ0KfQ</t>
  </si>
  <si>
    <t>Update of DOB should get fail with invalid format</t>
  </si>
  <si>
    <t>Resident 143</t>
  </si>
  <si>
    <t>9. RID status</t>
  </si>
  <si>
    <t>Check RID status</t>
  </si>
  <si>
    <t>Check status of RID generated after update of resident details</t>
  </si>
  <si>
    <t>1. request for otp
 2.Update uin details
 3. Check status of RID after updtae</t>
  </si>
  <si>
    <t>Status of rid should be 
 UNDER PROCESSING
 REJECTED
 FAILED
 RESEND
 REREGISTER"</t>
  </si>
  <si>
    <t>Update is not working</t>
  </si>
  <si>
    <t>Resident 144</t>
  </si>
  <si>
    <t>Check status of RID of length 14 digits application iD</t>
  </si>
  <si>
    <t>Check status of Application id (RID)</t>
  </si>
  <si>
    <t>Resident 145</t>
  </si>
  <si>
    <t>Check status of RID of length 29 digits</t>
  </si>
  <si>
    <t>Check status of RID from regclient</t>
  </si>
  <si>
    <t>Resident 146</t>
  </si>
  <si>
    <t>Check status for new packet generation RID</t>
  </si>
  <si>
    <t>Check status of newly created packet</t>
  </si>
  <si>
    <t>Resident 147</t>
  </si>
  <si>
    <t>Check status for Correction RID</t>
  </si>
  <si>
    <t>Check status of correction packet</t>
  </si>
  <si>
    <t>Resident 148</t>
  </si>
  <si>
    <t>Check status for Lost RID</t>
  </si>
  <si>
    <t>Check status of lost RID packet</t>
  </si>
  <si>
    <t>Resident 149</t>
  </si>
  <si>
    <t>10. Auth History</t>
  </si>
  <si>
    <t>Check auth history using UIN</t>
  </si>
  <si>
    <t>1. Request for otp using uin
 2.Send auth history request using the same uin</t>
  </si>
  <si>
    <t>Resident should be able to fetch auth history of UIN</t>
  </si>
  <si>
    <t>Resident 150</t>
  </si>
  <si>
    <t>Check auth history using VID</t>
  </si>
  <si>
    <t>1. Request for otp using vid
 2.Send auth history request using the same vid</t>
  </si>
  <si>
    <t>Resident should be able to fetch auth history of VID</t>
  </si>
  <si>
    <t>Resident 151</t>
  </si>
  <si>
    <t>Perform 10 transcations using UIN and give page start 0 and page fetch as 9</t>
  </si>
  <si>
    <t>1. Request for otp using uin
 2.Perform 10 transcations uing the uin
 3.Send auth history request by giving page start as 0 and page fetch as 9,</t>
  </si>
  <si>
    <t>Resident should be able to fetch auth history of uin</t>
  </si>
  <si>
    <t>Resident 152</t>
  </si>
  <si>
    <t>Check auth history when otp is expired</t>
  </si>
  <si>
    <t>1. request for otp using UIN
 2. send auth history after otp is expired</t>
  </si>
  <si>
    <t>Auth history fetch should fail with notification</t>
  </si>
  <si>
    <t>Resident 153</t>
  </si>
  <si>
    <t>Check auth history when otp is invalid</t>
  </si>
  <si>
    <t>1. request for otp using UIN
 2. send auth history by giving invalid otp</t>
  </si>
  <si>
    <t>Resident 154</t>
  </si>
  <si>
    <t>11. Hotlist</t>
  </si>
  <si>
    <t>1.Hotlist UIN</t>
  </si>
  <si>
    <t>Hotlist resident UIN and request for otp</t>
  </si>
  <si>
    <t>go to id-authentication mz properties, ida.mosip.internal.auth.filter.classes.in.execution.order= hotlistfilter.impl to be added in git hub
 1. Hotlist UIN
 2. Send otp request of the same UIN</t>
  </si>
  <si>
    <t>Send otp request should fail on condition, in id-authentication mz properties, ida.mosip.internal.auth.filter.classes.in.execution.order= hotlistfilter.impl to be added</t>
  </si>
  <si>
    <t>Resident 155</t>
  </si>
  <si>
    <t>2.Hotlist VID</t>
  </si>
  <si>
    <t>Hotlist resident VID and request for otp</t>
  </si>
  <si>
    <t>go to id-authentication mz properties, ida.mosip.internal.auth.filter.classes.in.execution.order= hotlistfilter.impl to be added in git hub
 1. Hotlist VID
 2. Send otp request of the same VID</t>
  </si>
  <si>
    <t>Resident 156</t>
  </si>
  <si>
    <t>12. Notification</t>
  </si>
  <si>
    <t>Check for email notifcations</t>
  </si>
  <si>
    <t>Request for credentail id for UIN and check notifications</t>
  </si>
  <si>
    <t>1.Send otp request for UIN
 2. Request for credential id and check email for notification</t>
  </si>
  <si>
    <t>Resident should receive email notifications</t>
  </si>
  <si>
    <t>Resident 157</t>
  </si>
  <si>
    <t>Check status of credentail request id and check notification</t>
  </si>
  <si>
    <t>1.Send otp request for UIN
 2. check status of credentail request id and check email for notification</t>
  </si>
  <si>
    <t>Resident 158</t>
  </si>
  <si>
    <t>Auth lock for UIN and check for notifications</t>
  </si>
  <si>
    <t>1.Send otp request for UIN
 2. Auth lock for UIN and check email for notifications</t>
  </si>
  <si>
    <t>Resident 159</t>
  </si>
  <si>
    <t>Auth unlock for UIN and check for notifications</t>
  </si>
  <si>
    <t>1.Send otp request for UIN
 2. Auth unlock for UIN and check email for notifications</t>
  </si>
  <si>
    <t>Resident 160</t>
  </si>
  <si>
    <t>Generate VID and check for notification</t>
  </si>
  <si>
    <t>1.Send otp request for UIN
 2. Generate VID and check email for notifications</t>
  </si>
  <si>
    <t>Resident 161</t>
  </si>
  <si>
    <t>Notification for failed Vid generation</t>
  </si>
  <si>
    <t>1.Send otp request for UIN
 2. Generate VID is failed and check email for notifications</t>
  </si>
  <si>
    <t>Resident should receive email for failed generate vid notifications</t>
  </si>
  <si>
    <t>Resident 162</t>
  </si>
  <si>
    <t>Update resident details and check for RID in notification</t>
  </si>
  <si>
    <t>1.Send otp request for UIN
 2. Update resident detailsand check for RID in email notification</t>
  </si>
  <si>
    <t>Resident should receive RID email notifications</t>
  </si>
  <si>
    <t>Scenario Key</t>
  </si>
  <si>
    <t>Role based menu &amp; activites</t>
  </si>
  <si>
    <t>Partner Admin</t>
  </si>
  <si>
    <t>Partner Admin - creation in keycloak</t>
  </si>
  <si>
    <t>Create a new user in keyclock and assign the partner admin role</t>
  </si>
  <si>
    <t>Partner Admin - login/logout</t>
  </si>
  <si>
    <t>Verify if partner admin is able to login/logout to/from the partner portal using user id and password</t>
  </si>
  <si>
    <t>Partner Admin - menus</t>
  </si>
  <si>
    <t>Verify if post login partner admin is able to view the below menus options - Home, Policy, Partner, Device details, FTM details, SBI details, Partner-Policy mapping, CA/Sub-CA certificate upload</t>
  </si>
  <si>
    <t>Partner Admin - policy group</t>
  </si>
  <si>
    <t>Verify if partner admin is allowed to create create, filter, update, de-activate policy group (in policy menu)</t>
  </si>
  <si>
    <t>Partner Admin - auth policy</t>
  </si>
  <si>
    <t>Verify if partner admin allowed to create, publish, filter, update auth policy (in policy menu)</t>
  </si>
  <si>
    <t>Partner Admin - datashare policy</t>
  </si>
  <si>
    <t>Verify if partner admin allowed to create, publish, filter, update datashare policy (in policy menu)</t>
  </si>
  <si>
    <t>Partner Admin - partners</t>
  </si>
  <si>
    <t>Verify if partner admin is able to
1. View all the partners
2. Upload certificate, view certificate, activate/deactivate partner</t>
  </si>
  <si>
    <t>Partner Admin - devices</t>
  </si>
  <si>
    <t>Verify if partner admin is able to 
1. View list of all device details
2. Create, approve/reject, filter/update devices and map to SBI details</t>
  </si>
  <si>
    <t>Partner Admin - FTM</t>
  </si>
  <si>
    <t>Verify if partner admin is able to 
1. View all FTM details
2. Create, upload/view certificate, activate/deactivate, filter FTMs</t>
  </si>
  <si>
    <t>Partner Admin - SBI</t>
  </si>
  <si>
    <t>Verify if partner admin is able to
1. View all SBI details
2. Create, approve/reject, update SBI</t>
  </si>
  <si>
    <t>Partner Admin - mapping of partner to policy</t>
  </si>
  <si>
    <t>Verify if partner admin is able to 
1. View all partners partner policy mappings 
2. Map policy with partners, approve/reject mapping requests, deactivaye API key</t>
  </si>
  <si>
    <t>Partner Admin - CA/Sub-CA certificate</t>
  </si>
  <si>
    <t>Verify if partner admin is able add CAs/Sub-CAs</t>
  </si>
  <si>
    <t>Policy Manager</t>
  </si>
  <si>
    <t>Policy Manager - creation in keycloak</t>
  </si>
  <si>
    <t>Create a new user in keyclock and assign the policy manager role</t>
  </si>
  <si>
    <t>Policy Manager - login/logout</t>
  </si>
  <si>
    <t>Verify if policy manager is able to login/logout to/from the partner portal using user id and password</t>
  </si>
  <si>
    <t>Policy Manager - menu</t>
  </si>
  <si>
    <t>Verify if post login partner admin is able to view the below menus options - Home, Policy</t>
  </si>
  <si>
    <t>Policy Manager - policy group</t>
  </si>
  <si>
    <t>Policy Manager - auth policy</t>
  </si>
  <si>
    <t>Policy Manager - datashare policy</t>
  </si>
  <si>
    <t>Authentication Partner</t>
  </si>
  <si>
    <t>Auth Partner - self registration</t>
  </si>
  <si>
    <t>Verify if the authentication partner should be able to register in the partner portal</t>
  </si>
  <si>
    <t>Auth Partner - login</t>
  </si>
  <si>
    <t>Verify if the authentication partner is able to login using the credentails provided during registration</t>
  </si>
  <si>
    <t>Auth Partner - menu</t>
  </si>
  <si>
    <t>Verify if post login the authentication partner should be able to view the below menus - Home, Partner Policy Mapping</t>
  </si>
  <si>
    <t>Auth Partner - user details</t>
  </si>
  <si>
    <t>Verify if in the home screen the authentication partner should be able to see all his/her details</t>
  </si>
  <si>
    <t>Auth Partner - certificate upload</t>
  </si>
  <si>
    <t>Verify if the authentication partner is able to upload/view his/her certificate</t>
  </si>
  <si>
    <t>Auth Partner - policy request</t>
  </si>
  <si>
    <t>Verify if the authentication partner is able to request for a policy, and generate an API key for an approved policy</t>
  </si>
  <si>
    <t>Auth Partner - API keys</t>
  </si>
  <si>
    <t>Verify if the authentication partner is able to view all his/her partner policy mapping and details of all the API keys generated</t>
  </si>
  <si>
    <t>Auth Partner - logout</t>
  </si>
  <si>
    <t>Verify if the authentication partner is able to logout from the PMS portal</t>
  </si>
  <si>
    <t>Credential 
 partner</t>
  </si>
  <si>
    <t>Credential Partner - self registration</t>
  </si>
  <si>
    <t>Verify if the credential partner should be able to register in the partner portal</t>
  </si>
  <si>
    <t>Credential Partner - login</t>
  </si>
  <si>
    <t>Verify if the credential partner is able to login using the credentails provided during registration</t>
  </si>
  <si>
    <t>Credential Partner - menu</t>
  </si>
  <si>
    <t>Verify if post login the credential partner should be able to view the below menus - Home, Partner Policy Mapping</t>
  </si>
  <si>
    <t>Credential Partner - home</t>
  </si>
  <si>
    <t>Verify if in the home screen the credential partner should be able to see all his/her details</t>
  </si>
  <si>
    <t>Credential Partner - certificate upload</t>
  </si>
  <si>
    <t>Verify if the credential partner is able to upload/view his/her certificate</t>
  </si>
  <si>
    <t>Credential Partner - request policy</t>
  </si>
  <si>
    <t>Verify if the credential partner is able to request for a policy, and generate an API key for an approved policy</t>
  </si>
  <si>
    <t>Credential Partner - API keys</t>
  </si>
  <si>
    <t>Verify if the credential partner is able to view all his/her partner policy mapping and details of all the API keys generated</t>
  </si>
  <si>
    <t>Credential Partner - logout</t>
  </si>
  <si>
    <t>Verify if the credential partner is able to logout from the PMS portal</t>
  </si>
  <si>
    <t>Device Provider</t>
  </si>
  <si>
    <t>Device Provider - self registration</t>
  </si>
  <si>
    <t>Verify if the Device provider should be able to register in the partner portal</t>
  </si>
  <si>
    <t>Device Provider - login</t>
  </si>
  <si>
    <t>Verify if the device provider is able to login using the credentails provided during registration</t>
  </si>
  <si>
    <t>Device Provider - menu</t>
  </si>
  <si>
    <t>Verify if post login the credential partner should be able to view the below menu - home, device details, SBI details</t>
  </si>
  <si>
    <t>Device Provider - user details</t>
  </si>
  <si>
    <t>Verify if in the home screen the device provider partner should be able to see all his/her details</t>
  </si>
  <si>
    <t>Device Provider - certificate upload</t>
  </si>
  <si>
    <t>Verify if the device provider partner is able to upload/view his/her certificate</t>
  </si>
  <si>
    <t>Device Provider - device details</t>
  </si>
  <si>
    <t>Verify if the device provider is able to 
1. View all his/her device details should be visible
2. Create, edit, map to SBI, filter device details</t>
  </si>
  <si>
    <t>Device Provider - SBI details</t>
  </si>
  <si>
    <t>Verify if the device provider is able to 
1. View all his/her SBI details should be visible
2. Create, edit, SBI details</t>
  </si>
  <si>
    <t>Device Provider - logout</t>
  </si>
  <si>
    <t>Verify if the device provider is able to logout from the PMS portal</t>
  </si>
  <si>
    <t>FTM provider</t>
  </si>
  <si>
    <t>FTM Provider - self registration</t>
  </si>
  <si>
    <t>Verify if the FTM provider should be able to register in the partner portal</t>
  </si>
  <si>
    <t>FTM Provider - login</t>
  </si>
  <si>
    <t>Verify if the FTM provider is able to login using the credentails provided during registration</t>
  </si>
  <si>
    <t>FTM Provider - menu</t>
  </si>
  <si>
    <t>Verify if in the home screen the FTM provider partner should be able to see all his/her details</t>
  </si>
  <si>
    <t>FTM Provider - user details</t>
  </si>
  <si>
    <t>FTM Provider - certificate Upload</t>
  </si>
  <si>
    <t>Verify if the FTM provider is able upload/view partner certificate</t>
  </si>
  <si>
    <t>FTM Provider - FTM details</t>
  </si>
  <si>
    <t>Verify if the FTM provider is able to 
1. Create and edit FTM details
2. View his/her partner ftm details should be visible</t>
  </si>
  <si>
    <t>FTM Provider - logout</t>
  </si>
  <si>
    <t>Verify if the FTM provider is able to logout from the PMS portal</t>
  </si>
  <si>
    <t>MISP partner</t>
  </si>
  <si>
    <t>MISP - registration</t>
  </si>
  <si>
    <t>Verify if the MISP partner should be able to register using APIs</t>
  </si>
  <si>
    <t>MISP - licence key generation</t>
  </si>
  <si>
    <t>Verify to generate MISP license using the same MISP partner</t>
  </si>
  <si>
    <t>MISP - licence key deactivation</t>
  </si>
  <si>
    <t xml:space="preserve">Verify to activate/deactivate MISP license </t>
  </si>
  <si>
    <t>PMS_IDA</t>
  </si>
  <si>
    <t>Integration - Performing authentication</t>
  </si>
  <si>
    <t xml:space="preserve">Pre-req:
1. Auth partner (relying party) registers itself in Partner Portal 
2. Auth partner requests for policy under its policy group
3. Auth partner generate API key
4. MISP partner registers and generates MISP license key </t>
  </si>
  <si>
    <t>S1: Verify if the combination of MISP license/Partner ID/API key is used performing authentication</t>
  </si>
  <si>
    <t>S2: Verify if authentication fails when we deactivate the relying party</t>
  </si>
  <si>
    <t>S3: Verify if authentication fails when we deactivate the API key</t>
  </si>
  <si>
    <t>S4: Verify if authentication fails when we deactivate the MISP license key</t>
  </si>
  <si>
    <t>Integration - Authentication policy</t>
  </si>
  <si>
    <t>1. Self register for auth partner, 
2. map partner to different policy under partner's policy group
3. Generate multiple API key under single policy
4. self register for MISP partner and generate misp license key
5. use the combination of misplicense/partner/APikey in authentication</t>
  </si>
  <si>
    <t>Verify to remove OTP allowed authtype while creating policy, map same policy to partner, generate API and perform authentication</t>
  </si>
  <si>
    <t>Verify to mark OTP allowed authtype "true" while creating policy, map same policy to partner, generate API and perform authentication</t>
  </si>
  <si>
    <t>Verify to remove bio(finger) allowed authtype while creating policy, map same policy to partner, generate API and perform authentication</t>
  </si>
  <si>
    <t>Verify to mark demo allowed authtype "true" while creating policy, map same policy to partner, generate API and perform authentication</t>
  </si>
  <si>
    <t>Verify to remove kyclanguages while creating policy, map same policy to partner, generate API and perform authentication</t>
  </si>
  <si>
    <t>Integration -Auth policy based on authtoken type</t>
  </si>
  <si>
    <t>Verify to give authtoken type as "partner " while creating policy, map policy to partner generate API key and perform auth/ekyc</t>
  </si>
  <si>
    <t>Verify to give authtoken type as "random " while creating policy, map policy to partner generate API key and perform auth/ekyc</t>
  </si>
  <si>
    <t>Integration -datashare policy</t>
  </si>
  <si>
    <t>Verify to remove attribute 'dateofbirth' while creating datashare policy, issue credentail using the  same policy and perform authentication</t>
  </si>
  <si>
    <t>Verify to mark encrypted as false for email atribute from data share shareableAttributes and perform auth/kyc for email attribute</t>
  </si>
  <si>
    <t xml:space="preserve">Verify to mark "typeOfShare" to " " while creating datashare policy, issue credential for the same policy and  perform auth
</t>
  </si>
  <si>
    <t>Verify to Add bio extractors only for iris and check only iris data is extracting</t>
  </si>
  <si>
    <t>Verify to Add bio extractors only for iris &amp; face and check only iris &amp; face data is extracting</t>
  </si>
  <si>
    <t>PMS- Resident</t>
  </si>
  <si>
    <t>Reprint policy</t>
  </si>
  <si>
    <t>Verify to create datshare policy for reprint by giving typeofshare as url</t>
  </si>
  <si>
    <t>Verfiy to create reprint policy by giving DOB format as DD/MM/YYYY and  download card</t>
  </si>
  <si>
    <t xml:space="preserve">Verfiy to create reprint policy by updating the biometrics attribute  and print the UIN card
</t>
  </si>
  <si>
    <t>Verify to create reprint policy by removing gender attribute in shareable attributes and print UIN card</t>
  </si>
  <si>
    <t>Verify to create reprint policy by removing gender attribute in shareable attributes and print UIn card</t>
  </si>
  <si>
    <t xml:space="preserve"> </t>
  </si>
  <si>
    <t>Steps to Reproduce</t>
  </si>
  <si>
    <t>MOSIP-11667</t>
  </si>
  <si>
    <t>Notifications needs to be sent to partners whenever there is change in the partner or policy status</t>
  </si>
  <si>
    <t>Notification_01</t>
  </si>
  <si>
    <t>Verify partner gets a notification to his email on self registration</t>
  </si>
  <si>
    <t>1 Login as partneradmin
2. Self register for partner
3.Check email notofication</t>
  </si>
  <si>
    <t>Partner should receive email notification</t>
  </si>
  <si>
    <t>Notification_02</t>
  </si>
  <si>
    <t>Verify partner gets a notification to his email on partner activation/deactivation</t>
  </si>
  <si>
    <t>1. Login as partneradmin
2.Active/Deactivate partner
3. check email notification</t>
  </si>
  <si>
    <t>Notification_03</t>
  </si>
  <si>
    <t>Verify partner gets a notification to his email on api key activation/deactivation/key expiry</t>
  </si>
  <si>
    <t>1. Login as partneradmin
2.Active/Deactivate API key
3. check email notification</t>
  </si>
  <si>
    <t>Notification_04</t>
  </si>
  <si>
    <t>Verify the contect of the email  by Partner</t>
  </si>
  <si>
    <t>1. Login as partneradmin
2.Self register for partner
3. check email content in email notification</t>
  </si>
  <si>
    <t>The content subject should be proper</t>
  </si>
  <si>
    <t>MOSIP-11882</t>
  </si>
  <si>
    <t>Use Partner/Policy data from IDA DB for the MISP/PARTNER validation, remove call to partner management</t>
  </si>
  <si>
    <t>IDA_PartnerData_01</t>
  </si>
  <si>
    <t>PartnerData</t>
  </si>
  <si>
    <t>To Create the partner and see of the data is copied under Tables
  ida.api_key_data
  ida.misp_license_data
  ida.policy_data
  ida.partner_data
  ida.partner_mapping</t>
  </si>
  <si>
    <t>The data created using Partner Management API should be present in IDA database</t>
  </si>
  <si>
    <t>IDA_PartnerData_02</t>
  </si>
  <si>
    <t>Perform IDA after making partner service Down once the data is copied in IDA Table</t>
  </si>
  <si>
    <t>The User should be able to do Auth even the partner service is down as validation is happening from IDA</t>
  </si>
  <si>
    <t>MOSIP-8718</t>
  </si>
  <si>
    <t>Status Changes &amp; Audits</t>
  </si>
  <si>
    <t>PM_Audit_01</t>
  </si>
  <si>
    <t>Policy Audit</t>
  </si>
  <si>
    <t>Verify Create policy group as entry in audit_log</t>
  </si>
  <si>
    <t>Entry should be in audit_log</t>
  </si>
  <si>
    <t>PM_Audit_02</t>
  </si>
  <si>
    <t>Verify Create policy group as entry in audit_log by giving wrong data</t>
  </si>
  <si>
    <t>PM_Audit_03</t>
  </si>
  <si>
    <t>Verify define Auth policy as entry in audit_log</t>
  </si>
  <si>
    <t>PM_Audit_04</t>
  </si>
  <si>
    <t>Verify define Auth policy as entry in audit_log by giving wrong data</t>
  </si>
  <si>
    <t>PM_Audit_05</t>
  </si>
  <si>
    <t>Verify publish policy as entry in audit_log</t>
  </si>
  <si>
    <t>PM_Audit_06</t>
  </si>
  <si>
    <t>Verify publish policy as entry in audit_log by giving wrong id</t>
  </si>
  <si>
    <t>PM_Audit_07</t>
  </si>
  <si>
    <t>Partner Audit</t>
  </si>
  <si>
    <t>Verify partner self registration as entry in audit_log</t>
  </si>
  <si>
    <t>PM_Audit_08</t>
  </si>
  <si>
    <t>Verify partner self registration as entry in audit_log by giving wrong data</t>
  </si>
  <si>
    <t>PM_Audit_09</t>
  </si>
  <si>
    <t>Verify submit partnerapikey as entry in audit_log</t>
  </si>
  <si>
    <t>PM_Audit_10</t>
  </si>
  <si>
    <t>Verify submit partnerapikey as entry in audit_log by giving wrong data</t>
  </si>
  <si>
    <t>PM_Audit_11</t>
  </si>
  <si>
    <t>Partner Manager Audit</t>
  </si>
  <si>
    <t>Verify approve partnerapikey as entry in audit_log</t>
  </si>
  <si>
    <t>PM_Audit_12</t>
  </si>
  <si>
    <t>Verify approve partnerapikey as entry in audit_log by giving wrong data</t>
  </si>
  <si>
    <t>PM_Audit_13</t>
  </si>
  <si>
    <t>Verify get partnerapi key as entry in audit_log</t>
  </si>
  <si>
    <t>PM_Audit_14</t>
  </si>
  <si>
    <t>Verify get partnerapi key as entry in audit_log by giving wrong data</t>
  </si>
  <si>
    <t>PM_Audit_15</t>
  </si>
  <si>
    <t>Verify get partnerapi key as entry in audit_log b</t>
  </si>
  <si>
    <t>PM_Audit_16</t>
  </si>
  <si>
    <t>Verify get partner certificate as entry in audit_log by giving wrong data</t>
  </si>
  <si>
    <t>PM_Audit_17</t>
  </si>
  <si>
    <t>Verify upload partner certificate as entry in audit_log</t>
  </si>
  <si>
    <t>PM_Audit_18</t>
  </si>
  <si>
    <t>Verify upload partner certificate as entry in audit_log by giving wrong data</t>
  </si>
  <si>
    <t>PM_Audit_19</t>
  </si>
  <si>
    <t>Verify update policy as entry in audit_log by giving wrong data</t>
  </si>
  <si>
    <t>PM_Audit_20</t>
  </si>
  <si>
    <t>Verify getpolicy as entry in audit_log</t>
  </si>
  <si>
    <t>PM_Audit_21</t>
  </si>
  <si>
    <t>Verify getpolicy as entry in audit_log by giving wrong data</t>
  </si>
  <si>
    <t>PM_Audit_22</t>
  </si>
  <si>
    <t>Verify getpolicy by api as entry in audit_log</t>
  </si>
  <si>
    <t>PM_Audit_23</t>
  </si>
  <si>
    <t>Verify getpolicy by api as entry in audit_log by giving wrong data</t>
  </si>
  <si>
    <t>PM_Audit_24</t>
  </si>
  <si>
    <t>Verify active/deative policy as entry in audit_log by giving wrong data</t>
  </si>
  <si>
    <t>PM_Audit_25</t>
  </si>
  <si>
    <t>Verify active/deative partner as entry in audit_log</t>
  </si>
  <si>
    <t>PM_Audit_26</t>
  </si>
  <si>
    <t>Partner manager Audit</t>
  </si>
  <si>
    <t>Verify active/deative partner as entry in audit_log by giving wrong data</t>
  </si>
  <si>
    <t>PM_Audit_27</t>
  </si>
  <si>
    <t>Verify get partner details as entry in audit_log</t>
  </si>
  <si>
    <t>PM_Audit_28</t>
  </si>
  <si>
    <t>Verify get partner details as entry in audit_log by giving wrong data</t>
  </si>
  <si>
    <t>PM_Audit_29</t>
  </si>
  <si>
    <t>Device Provider Audit</t>
  </si>
  <si>
    <t>Verify add device detail as entry in audit_log</t>
  </si>
  <si>
    <t>PM_Audit_30</t>
  </si>
  <si>
    <t>Verify add device detail as entry in audit_log by giving wrong data</t>
  </si>
  <si>
    <t>PM_Audit_31</t>
  </si>
  <si>
    <t>Verify approve/reject device detail as entry in audit_log</t>
  </si>
  <si>
    <t>PM_Audit_32</t>
  </si>
  <si>
    <t>Verify approve/reject device detail as entry in audit_log by giving wrong data</t>
  </si>
  <si>
    <t>PM_Audit_33</t>
  </si>
  <si>
    <t>Verify create SBI as entry in audit_log</t>
  </si>
  <si>
    <t>PM_Audit_34</t>
  </si>
  <si>
    <t>Verify create SBI as entry in audit_log by giving wrong data</t>
  </si>
  <si>
    <t>PM_Audit_35</t>
  </si>
  <si>
    <t>Verify approve/reject SBIas entry in audit_log</t>
  </si>
  <si>
    <t>PM_Audit_36</t>
  </si>
  <si>
    <t>Verify approve/reject SBI as entry in audit_log by giving wrong data</t>
  </si>
  <si>
    <t>PM_Audit_37</t>
  </si>
  <si>
    <t>Verify validatedeviceprovider as entry in audit_log</t>
  </si>
  <si>
    <t>PM_Audit_38</t>
  </si>
  <si>
    <t>Verify validatedeviceprovider as entry in audit_log by giving wrong data</t>
  </si>
  <si>
    <t>PM_Audit_39</t>
  </si>
  <si>
    <t>MISP Audit</t>
  </si>
  <si>
    <t>Verify generateLicense key as entry in audit_log</t>
  </si>
  <si>
    <t>PM_Audit_40</t>
  </si>
  <si>
    <t>Verify generateLicense key as entry in audit_log by giving invalid data</t>
  </si>
  <si>
    <t>PM_Audit_41</t>
  </si>
  <si>
    <t>Verify regenerate license key as entry in audit_log</t>
  </si>
  <si>
    <t>PM_Audit_42</t>
  </si>
  <si>
    <t>Verify regenerate license key as entry in audit_log by invalid data</t>
  </si>
  <si>
    <t>PM_Audit_43</t>
  </si>
  <si>
    <t>Verify update license key as entry in audit_log</t>
  </si>
  <si>
    <t>PM_Audit_44</t>
  </si>
  <si>
    <t>Verify update license key as entry in audit_log by giving invalid data</t>
  </si>
  <si>
    <t>PM_Audit_45</t>
  </si>
  <si>
    <t>Verify get license details as entry in audit_log</t>
  </si>
  <si>
    <t>PM_Audit_46</t>
  </si>
  <si>
    <t>Verify get license details as entry in audit_log by giving invalid data</t>
  </si>
  <si>
    <t>PM_Audit_47</t>
  </si>
  <si>
    <t>Verify Uploaded CA certificate as entry in audit _log</t>
  </si>
  <si>
    <t>PM_Audit_48</t>
  </si>
  <si>
    <t>Verify add contact as entry in audit_log</t>
  </si>
  <si>
    <t>PM_Audit_49</t>
  </si>
  <si>
    <t>Verify getpartners as entry in audit_log</t>
  </si>
  <si>
    <t>PM_Audit_50</t>
  </si>
  <si>
    <t>Verify getpolicies as entry in audit_log</t>
  </si>
  <si>
    <t>PM_Audit_51</t>
  </si>
  <si>
    <t>PM_Audit_52</t>
  </si>
  <si>
    <t>Verify getpartnerspolicy as entry in audit_log</t>
  </si>
  <si>
    <t>PM_Audit_53</t>
  </si>
  <si>
    <t>Verify getpolicygroup by policy group id as entry in audit_log</t>
  </si>
  <si>
    <t>PM_Audit_54</t>
  </si>
  <si>
    <t>Verify getpolicygroup as entry in audit_log</t>
  </si>
  <si>
    <t>MOSIP-17855</t>
  </si>
  <si>
    <t>As a policy admin, I should be able to create and manage policy groups</t>
  </si>
  <si>
    <t>TC 01</t>
  </si>
  <si>
    <t>policy Manager</t>
  </si>
  <si>
    <t>Create user, add policy manager role and login using the same credentials</t>
  </si>
  <si>
    <t>1. Create a user in keycloak.
  2. Add the Policy manager role in role mapping.
  3. Login to the Partner management portal using the same credentials.</t>
  </si>
  <si>
    <t>User should be allowed to login to the Partner management tool.
  The following menu should be available for the user:
  1. Policy</t>
  </si>
  <si>
    <t>qa-double-rc2
 qa-triple-rc2</t>
  </si>
  <si>
    <t>TC 02</t>
  </si>
  <si>
    <t xml:space="preserve">Create user, remove policy manager role and login using same credentails </t>
  </si>
  <si>
    <t>1. Create a user in keycloak.
  2. Remove the Policy manager role in role mapping.
  3. Login to the Partner management portal using the same credentials.</t>
  </si>
  <si>
    <t>User should be allowed to login to the Partner management tool.
  The Policy menu should not be available for the user.</t>
  </si>
  <si>
    <t>TC 03</t>
  </si>
  <si>
    <t>POlicy group</t>
  </si>
  <si>
    <t>Creation of policy group without manadtory fields</t>
  </si>
  <si>
    <t>1. Login to PMS.
  2. Click on Policy -&gt; Policy Group.
  3. Click on Create new policy.
  4. Do not enter the mandatory details.
  5. Click on Save.</t>
  </si>
  <si>
    <t>A message should be displayed to the user to enter the mandatory fields.</t>
  </si>
  <si>
    <t>TC 04</t>
  </si>
  <si>
    <t>Creation of policy group with all manadtory fields</t>
  </si>
  <si>
    <t>1. Login to PMS.
  2. Click on Policy -&gt; Policy Group.
  3. Click on Create new policy.
  4. Enter the mandatory details.
  5. Click on Save.</t>
  </si>
  <si>
    <t>"Policy Group successfully created" message should be displayed and the Policy group should be created.</t>
  </si>
  <si>
    <t>TC 05</t>
  </si>
  <si>
    <t xml:space="preserve">Creation of duplicate policy group </t>
  </si>
  <si>
    <t>1. Login to PMS.
  2. Click on Policy -&gt; Policy Group.
  3. Click on Create new policy.
  4. Enter the existing policy name.
  5. Click on Save.</t>
  </si>
  <si>
    <t>"Policy group already exists" message should be displayed.
  Duplicate policy group names should not be created.</t>
  </si>
  <si>
    <t>TC 06</t>
  </si>
  <si>
    <t>Creation of policy group and dont save</t>
  </si>
  <si>
    <t>1. Login to PMS.
  2. Click on Policy -&gt; Policy Group.
  3. Click on Create new policy.
  4. Do not enter the mandatory details.
  5. Click on Cancel.</t>
  </si>
  <si>
    <t>The Policy group should not be created and the user should be navigated back to the policy group list.</t>
  </si>
  <si>
    <t>TC 07</t>
  </si>
  <si>
    <t>Update policy group</t>
  </si>
  <si>
    <t>Update policy group details</t>
  </si>
  <si>
    <t>1. Click on Policy-&gt; Policy group.
  2. Click on Ellipsis.
  3. Choose to edit.
  4. Make the changes to the policy name and/or description.
  5. Click on Save.</t>
  </si>
  <si>
    <t>"Policy group updated successfully" message should be displayed.
 Only if no active policies are under policy group</t>
  </si>
  <si>
    <t>TC 08</t>
  </si>
  <si>
    <t>Editing of Policy group.</t>
  </si>
  <si>
    <t>Update policy group details and dont save</t>
  </si>
  <si>
    <t>1. Click on Policy-&gt; Policy group.
  2. Click on Ellipsis.
  3. Choose to edit.
  4. Make the changes to the policy name and/or description.
  5. Click on Cancel.</t>
  </si>
  <si>
    <t>The changes made to the policy group should not be saved.</t>
  </si>
  <si>
    <t>TC 09</t>
  </si>
  <si>
    <t>Filtering the Policies.</t>
  </si>
  <si>
    <t>Filter policy group using name/ description</t>
  </si>
  <si>
    <t>1. Click on Policy-&gt; Policy group.
  2. Click on filter.
  3. Enter the filter for the fields name and/or description.
  4. Click on apply.</t>
  </si>
  <si>
    <t>The search should be performed and the matching results should be displayed.</t>
  </si>
  <si>
    <t>TC 10</t>
  </si>
  <si>
    <t>Filter policy group using name/ description and click cancel</t>
  </si>
  <si>
    <t>1. Click on Policy-&gt; Policy group.
  2. Click on filter.
  3. Enter the filter for the fields name and/or description.
  4. Click on cancel.</t>
  </si>
  <si>
    <t>The search should not be performed.</t>
  </si>
  <si>
    <t>TC 11</t>
  </si>
  <si>
    <t>Filter policy group using name/ description and reset</t>
  </si>
  <si>
    <t>1. Click on Policy-&gt; Policy group.
  2. Click on filter.
  3. Enter the filter for the fields name and/or description.
  4. Click on apply.
  5. Click on filter and reset and then apply.</t>
  </si>
  <si>
    <t>Reset should discard all the search criteria entered and display the complete list of records.</t>
  </si>
  <si>
    <t>TC 12</t>
  </si>
  <si>
    <t>Auth policy</t>
  </si>
  <si>
    <t>Deactivate auth polices</t>
  </si>
  <si>
    <t>1. Click on Policy-&gt; Policy group.
  2. Choose a policy which is mapped to the Auth policy that are active.
  3. Click on Ellipsis.
  4. Choose to de-activate.</t>
  </si>
  <si>
    <t>Auth policy cannot deactivate once publishes, Should not have option of deactive in ellipsis</t>
  </si>
  <si>
    <t>TC 13</t>
  </si>
  <si>
    <t>Datasahe policy</t>
  </si>
  <si>
    <t>Deactivate datashare polices</t>
  </si>
  <si>
    <t>1. Click on Policy-&gt; Policy group.
  2. Choose a policy which is mapped to the data share policy that are inactive.
  3. Click on Ellipsis.
  4. Choose to de-activate.</t>
  </si>
  <si>
    <t>datashare policy cannot deactivate once publishes, Should not have option of deactive in ellipsis</t>
  </si>
  <si>
    <t>MOSIP-17958</t>
  </si>
  <si>
    <t>Remove the registration and 
  de-registration device APIs</t>
  </si>
  <si>
    <t>Test case 01</t>
  </si>
  <si>
    <t>Device APIs</t>
  </si>
  <si>
    <t>Verify to check whether the registered devices API is 
 removed or not</t>
  </si>
  <si>
    <t>1. go to link
  https://qa-double-rc2.mosip.net/v1/partnermanager/
 swagger-ui/index.html?configUrl=/v1/partnermanager/
 v3/api-docs/swagger-config#/
  2. search for registered devices</t>
  </si>
  <si>
    <t>Registered devices to be removed</t>
  </si>
  <si>
    <t>qa-double-rc2 env
 LTS sprint1</t>
  </si>
  <si>
    <t>Test case 02</t>
  </si>
  <si>
    <t>Verify to check whether the deregister registered devices
  API is removed or not</t>
  </si>
  <si>
    <t>1. go to link
  https://qa-double-rc2.mosip.net/v1/partnermanager/
 swagger-ui/index.html?configUrl=/v1/partnermanager/
 v3/api-docs/swagger-config#/
  2. search for Deregister registered devices</t>
  </si>
  <si>
    <t>Deregister registered devices to 
  be removed</t>
  </si>
  <si>
    <t>Test case 03</t>
  </si>
  <si>
    <t>Verify to check whether the search for registered devices API is removed or not</t>
  </si>
  <si>
    <t>1. go to link
  https://qa-double-rc2.mosip.net/v1/partnermanager/
 swagger-ui/index.html?configUrl=/v1/partnermanager/
 v3/api-docs/swagger-config#/
  2. Search for search registered devices</t>
  </si>
  <si>
    <t>Search for registerd devices to be 
  removed</t>
  </si>
  <si>
    <t>MOSIP-11666</t>
  </si>
  <si>
    <t>IDA --&gt;PMP Instead of pull mechanism,
  publish (partner Id, policy id,misp)</t>
  </si>
  <si>
    <t>IDA_Table_01</t>
  </si>
  <si>
    <t>Table</t>
  </si>
  <si>
    <t>To Verify that data created using Partner Management is present under table ida.partner_data</t>
  </si>
  <si>
    <t xml:space="preserve">1. Self register for partner
2. </t>
  </si>
  <si>
    <t>ida.partner_data table should contain value 
 with Fields
  partnerId -- String,
  partnerName -- String,
  certificateData -- String,
  partnerStatus -- String(ACTIVE/NOT_ACTIVE)</t>
  </si>
  <si>
    <t>qa-single-rc2
 LTS sprint2</t>
  </si>
  <si>
    <t>IDA_Table_02</t>
  </si>
  <si>
    <t>To Verify that data created using Partner Management is present under table ida.policyData</t>
  </si>
  <si>
    <t>ida.partner_data table should contain value 
 with Fields
  policyId -- String,
  policy -- JSONObject,
  policyName -- String,
  policyStatus -- String(ACTIVE/NOT_ACTIVE),
  policyDescription -- String,
  policyCommenceOn -- LocalDateTime,
  policyExpiresOn -- LocalDateTime</t>
  </si>
  <si>
    <t>IDA_Table_03</t>
  </si>
  <si>
    <t>To Verify that data created using Partner Management is
  present under table ida.apiKeyData</t>
  </si>
  <si>
    <t>ida.apiKeyData table should contain value
  with Fields
  apiKeyId -- String,
  apiKeyCommenceOn -- LocalDateTime,
  apiKeyExpiresOn -- LocalDateTime,
  apiKeyStatus -- String(ACTIVE/NOT_ACTIVE)</t>
  </si>
  <si>
    <t>IDA_Table_04</t>
  </si>
  <si>
    <t>To Verify that data created using Partner Management is 
 present under table ida.misp_license_data</t>
  </si>
  <si>
    <t>ida.misp_license table should contain value 
 with Fields
  mispId -- String
  licenseKey -- String
  mispCommenceOn -- LocalDateTime,
  mispExpiresOn -- LocalDateTime,
  mispStatus -- String(ACTIVE/NOT_ACTIVE),</t>
  </si>
  <si>
    <t>MOSIP-11523</t>
  </si>
  <si>
    <t>API: Search API in Partner Management 
 System</t>
  </si>
  <si>
    <t>Search 01</t>
  </si>
  <si>
    <t>Search</t>
  </si>
  <si>
    <t>Verify admin is able to search for a specific policy</t>
  </si>
  <si>
    <t>The searched policy should be returned</t>
  </si>
  <si>
    <t xml:space="preserve">qa-single-rc2
</t>
  </si>
  <si>
    <t>Search 02</t>
  </si>
  <si>
    <t>Verify admin is able to search for a specific policygroup</t>
  </si>
  <si>
    <t>The searched policygroup should be returned</t>
  </si>
  <si>
    <t>Search 03</t>
  </si>
  <si>
    <t>Verify admin is able to search for a specific device type</t>
  </si>
  <si>
    <t>Search 04</t>
  </si>
  <si>
    <t>Verify admin is able to search for a specific device</t>
  </si>
  <si>
    <t>Search 05</t>
  </si>
  <si>
    <t>Verify admin is able to search for a specific registered device</t>
  </si>
  <si>
    <t>Search 06</t>
  </si>
  <si>
    <t>Verify admin is able to search for a Secure Biometric Interface</t>
  </si>
  <si>
    <t>The searched Secure Biometric Interface should be returned</t>
  </si>
  <si>
    <t>Search 07</t>
  </si>
  <si>
    <t>Verify admin is able to search for a Partner</t>
  </si>
  <si>
    <t>The searched partner should be returned</t>
  </si>
  <si>
    <t>Search 08</t>
  </si>
  <si>
    <t>Verify admin is able to search for a partner type</t>
  </si>
  <si>
    <t>The searched partner type should be returned</t>
  </si>
  <si>
    <t>Search 09</t>
  </si>
  <si>
    <t>Verify admin is able to search based on multiple fields</t>
  </si>
  <si>
    <t>The results should be search on chosen fields</t>
  </si>
  <si>
    <t>Search 10</t>
  </si>
  <si>
    <t>Verify the different type of filters : Exact Search, 
 in Between search, contains search, Starts with Search</t>
  </si>
  <si>
    <t>Search should work as expected</t>
  </si>
  <si>
    <t>Search 11</t>
  </si>
  <si>
    <t>Verify default sort is done on date</t>
  </si>
  <si>
    <t>Default sort should be done on date</t>
  </si>
  <si>
    <t>Search 12</t>
  </si>
  <si>
    <t>Verify default sort type is ascending</t>
  </si>
  <si>
    <t>Default sort type should be in ascending order</t>
  </si>
  <si>
    <t>Search 13</t>
  </si>
  <si>
    <t>Verify pagination is defaulted to 10 rows</t>
  </si>
  <si>
    <t>Pagination should be defaulted to 10 rows per page</t>
  </si>
  <si>
    <t>Search 14</t>
  </si>
  <si>
    <t>Verify pagination works as expected (verify from and to pages)</t>
  </si>
  <si>
    <t>Pagination must be displayed for the search results</t>
  </si>
  <si>
    <t>Search 15</t>
  </si>
  <si>
    <t>Verify admin is able to search only using Filter Criteria</t>
  </si>
  <si>
    <t>It should be able search using only Filter</t>
  </si>
  <si>
    <t>Search 16</t>
  </si>
  <si>
    <t>Verify admin is able to search only using Sort Criteria</t>
  </si>
  <si>
    <t>It should be able search using only sort</t>
  </si>
  <si>
    <t>Search 17</t>
  </si>
  <si>
    <t>Verify admin is able to search only using Pagination Criteria</t>
  </si>
  <si>
    <t>It should be able search using only Pagination</t>
  </si>
  <si>
    <t>MOSIP-11389</t>
  </si>
  <si>
    <t>As a MOSIP Partner, I should have a new approval flow for the Policies</t>
  </si>
  <si>
    <t>Approval 01</t>
  </si>
  <si>
    <t>Approval</t>
  </si>
  <si>
    <t>verify new partner with new policy request for api key</t>
  </si>
  <si>
    <t>1. Login as policy manager
2.Map new partner with new policy
3. Approve Apikey manually</t>
  </si>
  <si>
    <t>It should be manual approval</t>
  </si>
  <si>
    <t>Approval 02</t>
  </si>
  <si>
    <t>verify same partner with same policy request for api key
  for subsequent times</t>
  </si>
  <si>
    <t>1. Login as policy manager
2.Map same partner with same policy
3. Apieky should be auto approved</t>
  </si>
  <si>
    <t>it should be auto approval</t>
  </si>
  <si>
    <t>Approval 03</t>
  </si>
  <si>
    <t>verify same partner with different policy request for api key</t>
  </si>
  <si>
    <t>1. Login as policy manager
2.Map same partner with new policy
3. Approve Apikey manually</t>
  </si>
  <si>
    <t>Approval 04</t>
  </si>
  <si>
    <t>verify same partner with same policy request for api key but policy deactivated</t>
  </si>
  <si>
    <t>1. Login as policy manager
2.Map same partner with new policy
3. Approve Apikey</t>
  </si>
  <si>
    <t>Policy is not active</t>
  </si>
  <si>
    <t>Approval 05</t>
  </si>
  <si>
    <t>verify same partner with same policy request for api key but partner deactivated</t>
  </si>
  <si>
    <t>Partner is not active</t>
  </si>
  <si>
    <t>Approval 06</t>
  </si>
  <si>
    <t>verify same partner with same policy request for api key for subsequent times and try to do manual approval</t>
  </si>
  <si>
    <t>1. Login as policy manager
2.Map same partner with same policy
3. Approve Apikey manually</t>
  </si>
  <si>
    <t>it should get already approved</t>
  </si>
  <si>
    <t>MOSIP-9059</t>
  </si>
  <si>
    <t>Partner Management APIs for View Screens</t>
  </si>
  <si>
    <t>PMS_01</t>
  </si>
  <si>
    <t>PMS_02</t>
  </si>
  <si>
    <t>PMS_03</t>
  </si>
  <si>
    <t>The searched devicetype should be returned</t>
  </si>
  <si>
    <t>PMS_04</t>
  </si>
  <si>
    <t>The searched device should be returned</t>
  </si>
  <si>
    <t>PMS_06</t>
  </si>
  <si>
    <t>PMS_07</t>
  </si>
  <si>
    <t>PMS_08</t>
  </si>
  <si>
    <t>PMS_09</t>
  </si>
  <si>
    <t>Filter</t>
  </si>
  <si>
    <t>Verify admin is able to filter based on policy</t>
  </si>
  <si>
    <t>The results should be filtered on the policy</t>
  </si>
  <si>
    <t>PMS_10</t>
  </si>
  <si>
    <t>Verify admin is able to filter based on policygroup</t>
  </si>
  <si>
    <t>The results should be filtered on the policygroup</t>
  </si>
  <si>
    <t>PMS_11</t>
  </si>
  <si>
    <t>Verify admin is able to filter based on device type</t>
  </si>
  <si>
    <t>The results should be filtered on the devicetype</t>
  </si>
  <si>
    <t>PMS_12</t>
  </si>
  <si>
    <t>Verify admin is able to filter based on device</t>
  </si>
  <si>
    <t>The results should be filtered on the device</t>
  </si>
  <si>
    <t>PMS_14</t>
  </si>
  <si>
    <t>Verify admin is able to filter based on Secure Biometric Interface</t>
  </si>
  <si>
    <t>The results should be filtered on Secure Biometric Interface</t>
  </si>
  <si>
    <t>PMS_15</t>
  </si>
  <si>
    <t>Verify admin is able to filter based on Partner</t>
  </si>
  <si>
    <t>The results should be filtered on the partner</t>
  </si>
  <si>
    <t>PMS_16</t>
  </si>
  <si>
    <t>Verify admin is able to filter based on partner type</t>
  </si>
  <si>
    <t>The results should be filtered on the partnertype</t>
  </si>
  <si>
    <t>PMS_17</t>
  </si>
  <si>
    <t>Verify admin is able to search/filter based on multiple fields</t>
  </si>
  <si>
    <t>The results should be filtered on chosen fields</t>
  </si>
  <si>
    <t>PMS_18</t>
  </si>
  <si>
    <t>Verify the different type of filters : Exact Search, in Between
  search, contains search, Starts with Search</t>
  </si>
  <si>
    <t>Search/Filter should work as expected</t>
  </si>
  <si>
    <t>PMS_19</t>
  </si>
  <si>
    <t>PMS_20</t>
  </si>
  <si>
    <t>PMS_21</t>
  </si>
  <si>
    <t>PMS_22</t>
  </si>
  <si>
    <t>Pagination must be displayed for the filter results</t>
  </si>
  <si>
    <t>MOSIP-8946</t>
  </si>
  <si>
    <t>Separate database to be created for 
device management</t>
  </si>
  <si>
    <t>DB-01</t>
  </si>
  <si>
    <t>Database</t>
  </si>
  <si>
    <t>Verify to check whether device management tables 
were there in master database before separting</t>
  </si>
  <si>
    <t>1. login to database
2. search for specific environment
3. check for mosip_master database for device related tables</t>
  </si>
  <si>
    <t>old master database should have device 
related tables</t>
  </si>
  <si>
    <t>DB-02</t>
  </si>
  <si>
    <t>Verify to check whether new database for authdevice</t>
  </si>
  <si>
    <t xml:space="preserve">1. login to database
2. Search for specific environment 
3. Check for mosip_authdevice database </t>
  </si>
  <si>
    <t>new database has created as mosip_authdevice</t>
  </si>
  <si>
    <t>DB-03</t>
  </si>
  <si>
    <t>Verify to check whether new database for register device</t>
  </si>
  <si>
    <t xml:space="preserve">1. login to database
2. Search for specific environment 
3. Check for mosip_regdevice database </t>
  </si>
  <si>
    <t xml:space="preserve">new database has created as mosip_regdevice
</t>
  </si>
  <si>
    <t>MOSIP-482</t>
  </si>
  <si>
    <t>Validate MISP License key
  (input parameter license key)</t>
  </si>
  <si>
    <t>PMS 01</t>
  </si>
  <si>
    <t>Misp status</t>
  </si>
  <si>
    <t>Check the status of MISP license key</t>
  </si>
  <si>
    <t>1. login as policy manager
 2. Regenerate the misp license to check status</t>
  </si>
  <si>
    <t>Status of Misp license should be active/deactive</t>
  </si>
  <si>
    <t>PMS 02</t>
  </si>
  <si>
    <t>Check the status of MISP license key after deactivate</t>
  </si>
  <si>
    <t>1. login as policy manager
 2. Deactive the misp license
 3. Regenerate the misp license to check the status</t>
  </si>
  <si>
    <t>Status of Misp license should be deactive</t>
  </si>
  <si>
    <t>PMS 03</t>
  </si>
  <si>
    <t>Check the MISP license key after deactivating misp partner</t>
  </si>
  <si>
    <t>1. login as policy manager
 2.Deactive the misp partner
 3. Regenerate the misp license to check status</t>
  </si>
  <si>
    <t>Response should be partner is not active</t>
  </si>
  <si>
    <t>PMS 04</t>
  </si>
  <si>
    <t>Check the status of misp license key after activating</t>
  </si>
  <si>
    <t>Status of misp license should be active</t>
  </si>
  <si>
    <t>MOSIP-8570</t>
  </si>
  <si>
    <t>Upgrade policy manager to support 
 policies for different types of partners</t>
  </si>
  <si>
    <t>Policy API 01</t>
  </si>
  <si>
    <t>Policy manager</t>
  </si>
  <si>
    <t>Create policy group</t>
  </si>
  <si>
    <t>1.Login as policy manager
 2.Create policy group</t>
  </si>
  <si>
    <t>policy manager Should be able to create policy group</t>
  </si>
  <si>
    <t>Policy API 02</t>
  </si>
  <si>
    <t>Create an auth policy under the same policy group</t>
  </si>
  <si>
    <t>1.Login as policy manager
 2.Create auth policy under same policy group</t>
  </si>
  <si>
    <t>Policy manager Should be able to create auth policy</t>
  </si>
  <si>
    <t>Policy API 03</t>
  </si>
  <si>
    <t>Create auth policy without policygroupname field</t>
  </si>
  <si>
    <t>1.Login as policy manager
 2.Create auth policy without giving policygroupname</t>
  </si>
  <si>
    <t>Policy manager should not be allowed to create auth policy</t>
  </si>
  <si>
    <t>Policy API 04</t>
  </si>
  <si>
    <t>Check whether policy is in deactive state when created</t>
  </si>
  <si>
    <t>1. Login as policy manager
 2. create auth policy
 3. Check for status of policy</t>
  </si>
  <si>
    <t>when created policy should be in deactive state</t>
  </si>
  <si>
    <t>Policy API 05</t>
  </si>
  <si>
    <t>Create auth policy by giving auth token type as partner</t>
  </si>
  <si>
    <t>1. Login as policy manager
 2.Create auth policy by giving authtokentype as partner</t>
  </si>
  <si>
    <t>Policy manager should be able to create auth policy 
 with auth token type as partner</t>
  </si>
  <si>
    <t>Policy API 06</t>
  </si>
  <si>
    <t>Create auth policy by giving auth token type as random</t>
  </si>
  <si>
    <t>1. Login as policy manager
 2.Create auth policy by giving authtokentype as random</t>
  </si>
  <si>
    <t>Policy manager should be able to create auth policy 
 with auth token type as random</t>
  </si>
  <si>
    <t>Policy API 07</t>
  </si>
  <si>
    <t>Create auth policy by giving auth token type as policy</t>
  </si>
  <si>
    <t>1. Login as policy manager
 2.Create auth policy by giving authtokentype as policy</t>
  </si>
  <si>
    <t>Policy manager should be able to create auth policy 
 with auth token type as policy</t>
  </si>
  <si>
    <t>Policy API 08</t>
  </si>
  <si>
    <t>Check in auth policy by default allowed auth types mandatory field is set to false</t>
  </si>
  <si>
    <t>1. login as policy manager
 2. create auth policy
 3.check allowed auth types mandatory field is set for false</t>
  </si>
  <si>
    <t>Auth policy allowed auth types mandatory should be false by defalut</t>
  </si>
  <si>
    <t>Policy API 09</t>
  </si>
  <si>
    <t>Create auth policy by changing allowed auth types 
 mandatory field for demo is true</t>
  </si>
  <si>
    <t>1. login as policy manager
 2. create auth policy by changing allowed auth type mandatory field for demo to true</t>
  </si>
  <si>
    <t>Policy manage should be able to create auth policy by changing allowed auth types mandatoy foe demo to true</t>
  </si>
  <si>
    <t>Policy API 10</t>
  </si>
  <si>
    <t>Perform bio auth when demo field is set to true</t>
  </si>
  <si>
    <t>Perform demo authentication</t>
  </si>
  <si>
    <t>Bio auth should fail with error Demo auth is mandatory for the policy</t>
  </si>
  <si>
    <t>Policy API 11</t>
  </si>
  <si>
    <t>Create auth policy by removing allowed auth type demo</t>
  </si>
  <si>
    <t>1. Login as policy manager
 2. remove allowed auth type demo and create auth policy</t>
  </si>
  <si>
    <t>Policy manager should be able to create auth policy by removing demo auth type</t>
  </si>
  <si>
    <t>Policy API 12</t>
  </si>
  <si>
    <t>Perform demo auth using same auth policy</t>
  </si>
  <si>
    <t>Demo auth should fail with error demo auth is not allowed</t>
  </si>
  <si>
    <t>Policy API 13</t>
  </si>
  <si>
    <t>Create datashare policy</t>
  </si>
  <si>
    <t>1. Login as policy manager
 2. create datashare policy</t>
  </si>
  <si>
    <t>Policy manager should be able to create datashare policy</t>
  </si>
  <si>
    <t>Policy API 14</t>
  </si>
  <si>
    <t>To edit remove email attribure from datashare policy and perform auth/ekyc</t>
  </si>
  <si>
    <t>Perform auth/ekyc</t>
  </si>
  <si>
    <t>Auth/ekyc authentication for email should fail</t>
  </si>
  <si>
    <t>Policy API 15</t>
  </si>
  <si>
    <t>To edit encrpted as false for gender and perform auth/ekyc</t>
  </si>
  <si>
    <t>MOSIP-11027</t>
  </si>
  <si>
    <t>Separate database to be 
 created for device management</t>
  </si>
  <si>
    <t>Table 01</t>
  </si>
  <si>
    <t>table</t>
  </si>
  <si>
    <t>Verify CA certificate for AUTH partner are stored in IDA.ca_cert_store table</t>
  </si>
  <si>
    <t>1. login to Database
 2. Serach for specific environment
 3.Upload ca certificate for partner
 4. Check for ca certificate for auth partner in IDA.ca_cert_store table in mosip_ida database</t>
  </si>
  <si>
    <t>certificate should get inserted in table</t>
  </si>
  <si>
    <t>Table 02</t>
  </si>
  <si>
    <t>Verify SUBCA certificate for AUTH partner are stored in IDA.ca_cert_store table</t>
  </si>
  <si>
    <t>1. login to Database
 2. Serach for specific environment
 3. upload subca certifictae for patner
 4. Check for Subca certificate for auth partner in IDA.ca_cert_store table in mosip_ida database</t>
  </si>
  <si>
    <t>Table 03</t>
  </si>
  <si>
    <t>Verify PARTNER certificate for AUTH partner are stored in IDA.ca_cert_store table</t>
  </si>
  <si>
    <t>1. login to Database
 2. Serach for specific environment
 3. upload partner certificate
 4. Check for partner certificate for auth partner in IDA.ca_cert_store table in mosip_ida database</t>
  </si>
  <si>
    <t>Table 04</t>
  </si>
  <si>
    <t>Verify CA certificate for Device partner are stored in IDA.ca_cert_store table</t>
  </si>
  <si>
    <t>1. login to Database
 2. Serach for specific environment
 3.Upload ca certificate for device partner
 4. Check for ca certificate for Device partner in IDA.ca_cert_store table in mosip_ida database</t>
  </si>
  <si>
    <t>Table 05</t>
  </si>
  <si>
    <t>Verify SUBCA certificate for Device partner are stored in IDA.ca_cert_store table</t>
  </si>
  <si>
    <t>1. login to Database
 2. Serach for specific environment
 3.Upload subca certificate for device partner
 4. Check for Subca certificate for Device partner in IDA.ca_cert_store table in mosip_ida database</t>
  </si>
  <si>
    <t>Table 06</t>
  </si>
  <si>
    <t>Verify PARTNER certificate for Device partner are stored in IDA.ca_cert_store table</t>
  </si>
  <si>
    <t>1. login to Database
 2. Serach for specific environment
 3.Upload partner certifictae
 4. Check for partner certificate for Device partner in IDA.ca_cert_store table in mosip_ida database</t>
  </si>
  <si>
    <t>Table 07</t>
  </si>
  <si>
    <t>Verify CA certificate for FTM partner are stored in IDA.ca_cert_store table</t>
  </si>
  <si>
    <t>1. login to Database
 2. Serach for specific environment
 3.Upload ca certificate for partner
 4. Check for ca certificate for FTM partner in IDA.ca_cert_store table in mosip_ida database</t>
  </si>
  <si>
    <t>Table 08</t>
  </si>
  <si>
    <t>Verify SUBCA certificate for FTM partner are stored in IDA.ca_cert_store table</t>
  </si>
  <si>
    <t>1. login to Database
 2. Serach for specific environment
 3.Upload subca certificate for partner
 4. Check for Subca certificate for FTM partner in IDA.ca_cert_store table in mosip_ida database</t>
  </si>
  <si>
    <t>Table 09</t>
  </si>
  <si>
    <t>Verify PARTNER certificate for FTM partner are stored in IDA.ca_cert_store table</t>
  </si>
  <si>
    <t>1. login to Database
 2. Serach for specific environment
 3.Upload partner certificate
 4. Check for partner certificate for FTM partner in IDA.ca_cert_store table in mosip_ida database</t>
  </si>
  <si>
    <t>MOSIP-11391</t>
  </si>
  <si>
    <t>Merge all partner service into single
 service</t>
  </si>
  <si>
    <t>Swagger_01</t>
  </si>
  <si>
    <t>policy manager</t>
  </si>
  <si>
    <t>Verify the url for Create group has changed from 
 /policies/policyGroup to /policies/group/new</t>
  </si>
  <si>
    <t>1. Go to https://qa-single-rc2.mosip.net/v1/policymanager/swagger-ui/index.html?configUrl=/v1/policymanager/v3/api-docs/swagger-config#/
 2. In policy Management controller search for create group, check the URL</t>
  </si>
  <si>
    <t>POST request Url should be replaced with new url</t>
  </si>
  <si>
    <t>Swagger_02</t>
  </si>
  <si>
    <t>Verify get all policy groups url has changed from 
 /policies/policyGroups to /policies/group/all</t>
  </si>
  <si>
    <t>1. Go to https://qa-single-rc2.mosip.net/v1/policymanager/swagger-ui/index.html?configUrl=/v1/policymanager/v3/api-docs/swagger-config#/
 2. In policy Management controller search for get all policy groups, check the URL</t>
  </si>
  <si>
    <t>GET request Url should be replaced with new url</t>
  </si>
  <si>
    <t>Swagger_03</t>
  </si>
  <si>
    <t>verify update policy group url has changed from 
 /policies/policyGroup/{policyGroupId} to /polices/group/{policygroupid}</t>
  </si>
  <si>
    <t>1. Go to https://qa-single-rc2.mosip.net/v1/policymanager/swagger-ui/index.html?configUrl=/v1/policymanager/v3/api-docs/swagger-config#/
 2. In policy Management controller search for update policy group, check the URL</t>
  </si>
  <si>
    <t>PUT request Url should be replaced with new url</t>
  </si>
  <si>
    <t>Swagger_04</t>
  </si>
  <si>
    <t>Verify get policy group url has changed from 
 /policies/policyGroupId/{policyGroupId} to /policies/group/{policygroupId}</t>
  </si>
  <si>
    <t>1. Go to https://qa-single-rc2.mosip.net/v1/policymanager/swagger-ui/index.html?configUrl=/v1/policymanager/v3/api-docs/swagger-config#/
 2. In policy Management controller search for get policy group, check the URL</t>
  </si>
  <si>
    <t>Swagger_05</t>
  </si>
  <si>
    <t>Verify filter policy groups url has been changed from /policyGroup/filtervalues to /policies/group/filtervalues</t>
  </si>
  <si>
    <t>1. Go to https://qa-single-rc2.mosip.net/v1/policymanager/swagger-ui/index.html?configUrl=/v1/policymanager/v3/api-docs/swagger-config#/
 2. In policy Management controller search for filter policy group, check the URL</t>
  </si>
  <si>
    <t>POST request Url to be changedshould be replaced with new url</t>
  </si>
  <si>
    <t>Swagger_06</t>
  </si>
  <si>
    <t>Veify search policy group url has changed from 
 /policyGroup/search to /policies/group/search</t>
  </si>
  <si>
    <t>1. Go to https://qa-single-rc2.mosip.net/v1/policymanager/swagger-ui/index.html?configUrl=/v1/policymanager/v3/api-docs/swagger-config#/
 2. In policy Management controller search for search policy group, check the URL</t>
  </si>
  <si>
    <t>Swagger_07</t>
  </si>
  <si>
    <t>Verify create new auth/datashare/credenitail policy url has changed from /policies to /policies</t>
  </si>
  <si>
    <t>1. Go to https://qa-single-rc2.mosip.net/v1/policymanager/swagger-ui/index.html?configUrl=/v1/policymanager/v3/api-docs/swagger-config#/
 2. In policy Management controller search for create new policy, check the URL</t>
  </si>
  <si>
    <t>Swagger_08</t>
  </si>
  <si>
    <t>Verify get polices url has changed from /policies to /policies</t>
  </si>
  <si>
    <t>1. Go to https://qa-single-rc2.mosip.net/v1/policymanager/swagger-ui/index.html?configUrl=/v1/policymanager/v3/api-docs/swagger-config#/
 2. In policy Management controller search for get polices, check the URL</t>
  </si>
  <si>
    <t>Swagger_09</t>
  </si>
  <si>
    <t>Verify update policy details url has changed from /policies/{policyID} to /policies/{policyId}</t>
  </si>
  <si>
    <t>1. Go to https://qa-single-rc2.mosip.net/v1/policymanager/swagger-ui/index.html?configUrl=/v1/policymanager/v3/api-docs/swagger-config#/
 2. In policy Management controller search for update policy details, check the URL</t>
  </si>
  <si>
    <t>Swagger_10</t>
  </si>
  <si>
    <t>Verify get policy url has changed from /policies/policyId/{policyID} to /policies/{policyId}</t>
  </si>
  <si>
    <t>1. Go to https://qa-single-rc2.mosip.net/v1/policymanager/swagger-ui/index.html?configUrl=/v1/policymanager/v3/api-docs/swagger-config#/
 2. In policy Management controller search for get policy, check the URL</t>
  </si>
  <si>
    <t>Swagger_11</t>
  </si>
  <si>
    <t>Verify filter policy details url has changed from /policy/filtervalues to /policies/filtervalues</t>
  </si>
  <si>
    <t>1. Go to https://qa-single-rc2.mosip.net/v1/policymanager/swagger-ui/index.html?configUrl=/v1/policymanager/v3/api-docs/swagger-config#/
 2. In policy Management controller search for filter policy details, check the URL</t>
  </si>
  <si>
    <t>Swagger_12</t>
  </si>
  <si>
    <t>Verify search policies url has changed from /policy/search 
 to /policies/search</t>
  </si>
  <si>
    <t>1. Go to https://qa-single-rc2.mosip.net/v1/policymanager/swagger-ui/index.html?configUrl=/v1/policymanager/v3/api-docs/swagger-config#/
 2. In policy Management controller search for search polices, check the URL</t>
  </si>
  <si>
    <t>Swagger_13</t>
  </si>
  <si>
    <t>Verify to get mapped policy using APIKEY url has chanegd from /policies/partnerApiKey/{partnerApiKey} to /policies/apikey/{apikey}</t>
  </si>
  <si>
    <t>1. Go to https://qa-single-rc2.mosip.net/v1/policymanager/swagger-ui/index.html?configUrl=/v1/policymanager/v3/api-docs/swagger-config#/
 2. In policy Management controller search for get mapped policy using apikey, check the URL</t>
  </si>
  <si>
    <t>Swagger_14</t>
  </si>
  <si>
    <t>Verify to update policy status url has changed from /policies/policyGroupId/{policyGroupId}/policyId/{policyID} to /policies/{policyId}/group/{policygroupId}</t>
  </si>
  <si>
    <t>1. Go to https://qa-single-rc2.mosip.net/v1/policymanager/swagger-ui/index.html?configUrl=/v1/policymanager/v3/api-docs/swagger-config#/
 2. In policy Management controller search for update policy status, check the URL</t>
  </si>
  <si>
    <t>PATCH request Url should be replaced with new url</t>
  </si>
  <si>
    <t>Swagger_15</t>
  </si>
  <si>
    <t>Veify publish policy url has changed from /policies/publishPolicy/policyGroupId/{policyGroupId}/policyId/{policyId} to /policies/{policyId}/group/{policygroupId}/publish</t>
  </si>
  <si>
    <t>1. Go to https://qa-single-rc2.mosip.net/v1/policymanager/swagger-ui/index.html?configUrl=/v1/policymanager/v3/api-docs/swagger-config#/
 2. In policy Management controller search for publish policy, check the URL</t>
  </si>
  <si>
    <t>Swagger_16</t>
  </si>
  <si>
    <t>Veify to get policy by using partner and policy id url has changed from /policies/partnerId/{partnerId}/policyId/{policyId} to /policies/{policyId}/partner/{partnerId}</t>
  </si>
  <si>
    <t>1. Go to https://qa-single-rc2.mosip.net/v1/policymanager/swagger-ui/index.html?configUrl=/v1/policymanager/v3/api-docs/swagger-config#/
 2. In policy Management controller search for get policy by partner and policy id, check the URL</t>
  </si>
  <si>
    <t>Swagger_17</t>
  </si>
  <si>
    <t>Verify to get value for congif key url has changed from /policies/key/{key} to /policies/config/{key}</t>
  </si>
  <si>
    <t>1. Go to https://qa-single-rc2.mosip.net/v1/policymanager/swagger-ui/index.html?configUrl=/v1/policymanager/v3/api-docs/swagger-config#/
 2. In policy Management controller search for get value for config key, check the URL</t>
  </si>
  <si>
    <t>Swagger_18</t>
  </si>
  <si>
    <t>Partner service</t>
  </si>
  <si>
    <t>Verify self registeration for partner url has changed from /partners to /partners</t>
  </si>
  <si>
    <t>1. Go to https://qa-single-rc2.mosip.net/v1/partnermanager/swagger-ui/index.html?configUrl=/v1/partnermanager/v3/api-docs/swagger-config#/ 
 2. In partner service search for self registration, Check for URL</t>
  </si>
  <si>
    <t>Swagger_19</t>
  </si>
  <si>
    <t>Verify get partner details url has changed from /partners/{partnerId} to /partners/{partnerId}</t>
  </si>
  <si>
    <t>1. Go to https://qa-single-rc2.mosip.net/v1/partnermanager/swagger-ui/index.html?configUrl=/v1/partnermanager/v3/api-docs/swagger-config#/ 
 2. In partner service search for get partner details, Check for URL</t>
  </si>
  <si>
    <t>Swagger_20</t>
  </si>
  <si>
    <t>Verify update partner details url has changed from /partners/{partnerId} to /partners/{partnerId}</t>
  </si>
  <si>
    <t>1. Go to https://qa-single-rc2.mosip.net/v1/partnermanager/swagger-ui/index.html?configUrl=/v1/partnermanager/v3/api-docs/swagger-config#/ 
 2. In partner service search for update partner details, Check for URL</t>
  </si>
  <si>
    <t>Swagger_21</t>
  </si>
  <si>
    <t>Verify to add additional contact details for partner url has 
 changed from /partners/{partnerId}/addcontact to /partners/{partnerId}/contact/add</t>
  </si>
  <si>
    <t>1. Go to https://qa-single-rc2.mosip.net/v1/partnermanager/swagger-ui/index.html?configUrl=/v1/partnermanager/v3/api-docs/swagger-config#/ 
 2. In partner service search for add additional contact details, Check for URL</t>
  </si>
  <si>
    <t>Swagger_22</t>
  </si>
  <si>
    <t>Veify to filter partner details url has changed from /partners/filtervalues to /partners/filtervalues</t>
  </si>
  <si>
    <t>1. Go to https://qa-single-rc2.mosip.net/v1/partnermanager/swagger-ui/index.html?configUrl=/v1/partnermanager/v3/api-docs/swagger-config#/ 
 2. In partner service search for filter partne details, Check for URL</t>
  </si>
  <si>
    <t>Swagger_23</t>
  </si>
  <si>
    <t>Verify to serach partner types url has changed from /partners/partnerType/search to /partners/partnertype/search</t>
  </si>
  <si>
    <t>1. Go to https://qa-single-rc2.mosip.net/v1/partnermanager/swagger-ui/index.html?configUrl=/v1/partnermanager/v3/api-docs/swagger-config#/ 
 2. In partner service search for serach partner types, Check for URL</t>
  </si>
  <si>
    <t>Swagger_24</t>
  </si>
  <si>
    <t>verify to request apikey url has changed from /partners/{partnerId}/partnerAPIKeyRequests to /partners/{partnerId}/apikey/request</t>
  </si>
  <si>
    <t>1. Go to https://qa-single-rc2.mosip.net/v1/partnermanager/swagger-ui/index.html?configUrl=/v1/partnermanager/v3/api-docs/swagger-config#/ 
 2. In partner service search for request apikey, Check for URL</t>
  </si>
  <si>
    <t>Swagger_25</t>
  </si>
  <si>
    <t>Verify to filter apikey request url has chenged from 
 /partners/apikeyRequest/filtervalues to /partners/apikey/request/filtervalues</t>
  </si>
  <si>
    <t>1. Go to https://qa-single-rc2.mosip.net/v1/partnermanager/swagger-ui/index.html?configUrl=/v1/partnermanager/v3/api-docs/swagger-config#/ 
 2. In partner service search for filter apikey request, Check for URL</t>
  </si>
  <si>
    <t>Swagger_26</t>
  </si>
  <si>
    <t>Verify to search apikey request url has chenged from 
 /partners/apikeyRequest/search to /partners/apikey/request/search</t>
  </si>
  <si>
    <t>1. Go to https://qa-single-rc2.mosip.net/v1/partnermanager/swagger-ui/index.html?configUrl=/v1/partnermanager/v3/api-docs/swagger-config#/ 
 2. In partner service search for search apikey request, Check for URL</t>
  </si>
  <si>
    <t>Swagger_27</t>
  </si>
  <si>
    <t>Verify to get apikey requests for partner url has changed from /partners/{partnerId}/partnerAPIKeyRequests to /partners/{partnerId}/apikey/request</t>
  </si>
  <si>
    <t>1. Go to https://qa-single-rc2.mosip.net/v1/partnermanager/swagger-ui/index.html?configUrl=/v1/partnermanager/v3/api-docs/swagger-config#/ 
 2. In partner service search for get apikey for partner, Check for URL</t>
  </si>
  <si>
    <t>Swagger_28</t>
  </si>
  <si>
    <t>Verify to get apikey request status url has changed from /partners/{partnerId}/partnerAPIKeyRequests/{apiKeyReqId} to /partners/{partnerId}/apikey/{apikeyreqId}</t>
  </si>
  <si>
    <t>1. Go to https://qa-single-rc2.mosip.net/v1/partnermanager/swagger-ui/index.html?configUrl=/v1/partnermanager/v3/api-docs/swagger-config#/ 
 2. In partner service search for get apikey request, Check for URL</t>
  </si>
  <si>
    <t>Swagger_29</t>
  </si>
  <si>
    <t>verify to add bioextractors url has changed from /partners/partnerId/{partnerId}/policyId/{policyId} to /partners/{partnerId}/bioextractor/{policyid}</t>
  </si>
  <si>
    <t>1. Go to https://qa-single-rc2.mosip.net/v1/partnermanager/swagger-ui/index.html?configUrl=/v1/partnermanager/v3/api-docs/swagger-config#/ 
 2. In partner service search for add bioextractors, Check for URL</t>
  </si>
  <si>
    <t>Swagger_30</t>
  </si>
  <si>
    <t>verify to get bioextractors url has changed from /partners/partnerId/{partnerId}/policyId/{policyId} to /partners/{partnerId}/bioextractor/{policyId}</t>
  </si>
  <si>
    <t>1. Go to https://qa-single-rc2.mosip.net/v1/partnermanager/swagger-ui/index.html?configUrl=/v1/partnermanager/v3/api-docs/swagger-config#/ 
 2. In partner service search for self registrationget bioextractors, Check for URL</t>
  </si>
  <si>
    <t>Swagger_31</t>
  </si>
  <si>
    <t>Verify to search api key request url has changed from /partners/apikey/search to /partners/apikey/search</t>
  </si>
  <si>
    <t>1. Go to https://qa-single-rc2.mosip.net/v1/partnermanager/swagger-ui/index.html?configUrl=/v1/partnermanager/v3/api-docs/swagger-config#/ 
 2. In partner service search for search api key, Check for URL</t>
  </si>
  <si>
    <t>Swagger_32</t>
  </si>
  <si>
    <t>Verify to upload ca certificate url has changed from /partners/uploadCACertificate to /partners/certificate/ca/upload</t>
  </si>
  <si>
    <t>Swagger_33</t>
  </si>
  <si>
    <t>Verify to upload partner certificate url has changed from 
 /partners/uploadPartnerCertificate to /partners/certificate/upload</t>
  </si>
  <si>
    <t>1. Go to https://qa-single-rc2.mosip.net/v1/partnermanager/swagger-ui/index.html?configUrl=/v1/partnermanager/v3/api-docs/swagger-config#/ 
 2. In partner service search for upload partner certificate, Check for URL</t>
  </si>
  <si>
    <t>Swagger_34</t>
  </si>
  <si>
    <t>Verify to get partner certificate url has changed from 
 /partners/getPartnerCertificate/{partnerId} to /partners/{partnerId}/certificate</t>
  </si>
  <si>
    <t>1. Go to https://qa-single-rc2.mosip.net/v1/partnermanager/swagger-ui/index.html?configUrl=/v1/partnermanager/v3/api-docs/swagger-config#/ 
 2. In partner service search for get partner certificate, Check for URL</t>
  </si>
  <si>
    <t>Swagger_35</t>
  </si>
  <si>
    <t>Verify to map partner and policy to credenatial type url has changed from /partners/partnerId/{partnerId}/policyId/{policyId}/credentialType/{credentialType} to /partners/{partnerId}/credentialtype/{credentialType}/policies/{policyId}</t>
  </si>
  <si>
    <t>1. Go to https://qa-single-rc2.mosip.net/v1/partnermanager/swagger-ui/index.html?configUrl=/v1/partnermanager/v3/api-docs/swagger-config#/ 
 2. In partner service search for map partner and policy to credentail type, Check for URL</t>
  </si>
  <si>
    <t>Swagger_36</t>
  </si>
  <si>
    <t>Verify to map partner and policy to credenatial type url has changed from /partners/partnerId/{partnerId}/credentialType/{credentialType} GET to /partners/{partnerId}/credentialtype/{credentialType}/policies</t>
  </si>
  <si>
    <t>1. Go to https://qa-single-rc2.mosip.net/v1/partnermanager/swagger-ui/index.html?configUrl=/v1/partnermanager/v3/api-docs/swagger-config#/ 
 2. In partner service search for map partner and policy to credential type, Check for URL</t>
  </si>
  <si>
    <t>Swagger_37</t>
  </si>
  <si>
    <t>Partner manager</t>
  </si>
  <si>
    <t>Verify to activate/deactivate partner url has changed from 
 /pmpartners/{partnerId} to /partners/{partnerId}</t>
  </si>
  <si>
    <t>1. Go to https://qa-single-rc2.mosip.net/v1/partnermanager/swagger-ui/index.html?configUrl=/v1/partnermanager/v3/api-docs/swagger-config#/ 
 2. In partner Manager search for activate/deactivate partner, Check for URL</t>
  </si>
  <si>
    <t>Swagger_38</t>
  </si>
  <si>
    <t>Verify to approve/reject api key  url has changed from /pmpartners/PartnerAPIKeyRequests/{apiKeyReqId} to /partners/apikey/{apikey}</t>
  </si>
  <si>
    <t>1. Go to https://qa-single-rc2.mosip.net/v1/partnermanager/swagger-ui/index.html?configUrl=/v1/partnermanager/v3/api-docs/swagger-config#/ 
 2. In partner service search for approve/reject apikey, Check for URL</t>
  </si>
  <si>
    <t>Swagger_39</t>
  </si>
  <si>
    <t>Verify to activate/deactivate api key  url has changed from /pmpartners/{partnerId}/{partnerApiKey} to /partners/{partnerId}/apikey/{apikey}</t>
  </si>
  <si>
    <t>1. Go to https://qa-single-rc2.mosip.net/v1/partnermanager/swagger-ui/index.html?configUrl=/v1/partnermanager/v3/api-docs/swagger-config#/ 
 2. In partner service search for self registrationactivaye/deactivate apikey, Check for URL</t>
  </si>
  <si>
    <t>PATCH request Url to be changed</t>
  </si>
  <si>
    <t>Swagger_40</t>
  </si>
  <si>
    <t>verify to update polices against to api key url has changed from /pmpartners/{partnerId}/{partnerApiKey} to /partners/{partnerId}/apikey/{apikey}/policies</t>
  </si>
  <si>
    <t>1. Go to https://qa-single-rc2.mosip.net/v1/partnermanager/swagger-ui/index.html?configUrl=/v1/partnermanager/v3/api-docs/swagger-config#/ 
 2. In partner service search for update polices against to apikey, Check for URL</t>
  </si>
  <si>
    <t>Swagger_41</t>
  </si>
  <si>
    <t>Veify to get policy for given api key url has changed from /pmpartners/{partnerId}/{partnerApiKey} to /partners/{partnerId}/apikey/{apikey}</t>
  </si>
  <si>
    <t>1. Go to https://qa-single-rc2.mosip.net/v1/partnermanager/swagger-ui/index.html?configUrl=/v1/partnermanager/v3/api-docs/swagger-config#/ 
 2. In partner service search for get policy fo given api key, Check for URL</t>
  </si>
  <si>
    <t>Swagger_42</t>
  </si>
  <si>
    <t>verify to validate partner and misp details url has changed from /pmpartners/validatePartnerMisp/partnerId/{partnerId}/partnerApiKey/{partner_api_key}/mispLicenseKey/{misp_license_key} to /partners/{partnerId}/apikey/{apikey}/misp/{misplicensekey}/validate</t>
  </si>
  <si>
    <t>1. Go to https://qa-single-rc2.mosip.net/v1/partnermanager/swagger-ui/index.html?configUrl=/v1/partnermanager/v3/api-docs/swagger-config#/ 
 2. In partner service search for validate partner &amp; misp details Check for URL</t>
  </si>
  <si>
    <t>Swagger_43</t>
  </si>
  <si>
    <t>verify to get apikey requests url has changed from /pmpartners/PartnerAPIKeyRequests to /partners/apikey</t>
  </si>
  <si>
    <t>1. Go to https://qa-single-rc2.mosip.net/v1/partnermanager/swagger-ui/index.html?configUrl=/v1/partnermanager/v3/api-docs/swagger-config#/ 
 2. In partner service search for get apikey requests, Check for URL</t>
  </si>
  <si>
    <t>Swagger_44</t>
  </si>
  <si>
    <t>verify to get apikey url has changed from /pmpartners/PartnerAPIKeyRequests/{apiKeyReqId} to /partners/apikey/{apikey}</t>
  </si>
  <si>
    <t>1. Go to https://qa-single-rc2.mosip.net/v1/partnermanager/swagger-ui/index.html?configUrl=/v1/partnermanager/v3/api-docs/swagger-config#/ 
 2. In partner service search for get apikey, Check for URL</t>
  </si>
  <si>
    <t>MOSIP-10473</t>
  </si>
  <si>
    <t>Return partner certificate on demand
  in ValidatePartnerMisp API</t>
  </si>
  <si>
    <t>TC_01</t>
  </si>
  <si>
    <t>To Check API for validate misplicensekey</t>
  </si>
  <si>
    <t>1. Go to https://qa-singlerc2.mosip.net/v1/partnermanager/swagger-ui/index.html?configUrl=/v1/partnermanager/v3/api-docs/swagger-config#/partner-management-controller/validatePartnerAndMisp
 2. serach for validate partner and misp details
 3. execute api</t>
  </si>
  <si>
    <t>API should present for misplicensekey validation</t>
  </si>
  <si>
    <t>TC_02</t>
  </si>
  <si>
    <t>To check whether API has new query param needPartnerCert</t>
  </si>
  <si>
    <t>API should have new query param needPartnerCert</t>
  </si>
  <si>
    <t>TC_03</t>
  </si>
  <si>
    <t>To check whether API returning partner 
 certificate on demand</t>
  </si>
  <si>
    <t>API should return partner certificate on demand</t>
  </si>
  <si>
    <t>TC_04</t>
  </si>
  <si>
    <t>To check whether API returning partner 
 certificate when needpartnercert as false</t>
  </si>
  <si>
    <t>API should not return partner certificate</t>
  </si>
  <si>
    <t>TC_05</t>
  </si>
  <si>
    <t>To check whether API returning partner 
 certificate when needpartnercert as null</t>
  </si>
  <si>
    <t>TC_06</t>
  </si>
  <si>
    <t>To check whether API returning partner 
 certificate when needpartnercert as true</t>
  </si>
  <si>
    <t>API should return partner certificate</t>
  </si>
  <si>
    <t>TC_07</t>
  </si>
  <si>
    <t>To check whether API returning partner 
 certificate when needpartnercert as true and apikey is invalid</t>
  </si>
  <si>
    <t>API should not return partner certificate with error 
 partner not mapped to policy</t>
  </si>
  <si>
    <t>TC_08</t>
  </si>
  <si>
    <t>To check whether API returning partner 
 certificate when needpartnercert as true and misplicensekey is invalid</t>
  </si>
  <si>
    <t>API should not return partner certificate with error 
 misplicense key not exists</t>
  </si>
  <si>
    <t>TC_09</t>
  </si>
  <si>
    <t>To check whether API returning partner 
 certificate when needpartnercert as true and patner is invalid</t>
  </si>
  <si>
    <t>TC_10</t>
  </si>
  <si>
    <t>To check whether API returning partner 
 certificate when needpartnercert as false and patner is invalid</t>
  </si>
  <si>
    <t>TC_11</t>
  </si>
  <si>
    <t>To check whether API returning partner 
 certificate when needpartnercert as false and apikey is invalid</t>
  </si>
  <si>
    <t>TC_12</t>
  </si>
  <si>
    <t>To check whether API returning partner 
 certificate when needpartnercert as false and misplicensekey is invalid</t>
  </si>
  <si>
    <t>TC_13</t>
  </si>
  <si>
    <t>To check whether API returning partner 
 certificate when partnerid is not given</t>
  </si>
  <si>
    <t>API exceution should fail as manadatory field not having values</t>
  </si>
  <si>
    <t>TC_14</t>
  </si>
  <si>
    <t>To check whether API returning partner 
 certificate when APIkey is not given</t>
  </si>
  <si>
    <t>TC_15</t>
  </si>
  <si>
    <t>To check whether API returning partner 
 certificate when misplicensekey is not given</t>
  </si>
  <si>
    <t>MOSIP-11401</t>
  </si>
  <si>
    <t>Self-registration for Partner in Partner Management Portal</t>
  </si>
  <si>
    <t>Tc 01</t>
  </si>
  <si>
    <t>Partner self registration using IAM</t>
  </si>
  <si>
    <t>Self registration with existing email id</t>
  </si>
  <si>
    <t>1. Navigate to the PMS portal.
 2. Select the language.
 3. Look for Register url in the login page.</t>
  </si>
  <si>
    <t>"Register" should be a url present on the login screen of PMS portal.
 The "register" url should be displayed in the same language the user chooses in the dropdown.</t>
  </si>
  <si>
    <t>Tc 02</t>
  </si>
  <si>
    <t>Navigation to the Partner self registration</t>
  </si>
  <si>
    <t>1. Navigate to the PMS portal.
 2. Select the language.
 3. Click on Register url in the login page.</t>
  </si>
  <si>
    <t>User should be navigated to the Partner self registration portal in the selected language.
 The following fields should be available for the user to fill the details:
 Organization Name
 Partner Type in dropdown, Device Provider, FTM, Authentication Partner, Credential Partner or ISP
 Address
 Email
 Email Verification (optional)
 Phone Number
 User ID
 Password
 Confirm Password
 Captcha (optional)</t>
  </si>
  <si>
    <t>Tc 03</t>
  </si>
  <si>
    <t>Navigation back to the login screen</t>
  </si>
  <si>
    <t>1. Navigate to the PMS portal.
 2. Click on Register url in the login page.
 3. Click on Back to Login</t>
  </si>
  <si>
    <t>User should be navigated to the Partner portal login page.</t>
  </si>
  <si>
    <t>Tc 04</t>
  </si>
  <si>
    <t>Data entry for the partner registration</t>
  </si>
  <si>
    <t>1. Navigate to the Partner registration page.
 2. Do not enter the mandatory details.
 3. Click on submit.</t>
  </si>
  <si>
    <t>User should be prompted to enter the mandatory details. Mandatory field details should be highlighted or field names to be mentioned in the message.</t>
  </si>
  <si>
    <t>Tc 05</t>
  </si>
  <si>
    <t>1. Navigate to the Partner registration page.
 2. Enter all the mandatory details.
 3. Click on submit.</t>
  </si>
  <si>
    <t>Partner should be registered in IAM.
 Partner should be logged into the PMS portal.
 The menu should be displayed based on the selected partner type only.
 A record entry should be created in pms.partner table.</t>
  </si>
  <si>
    <t>Tc 06</t>
  </si>
  <si>
    <t>1. Navigate to the Partner registration page.
 2. Enter all the mandatory details with the existing email id.
 3. Click on submit.</t>
  </si>
  <si>
    <t>"The email id already exists" message should be displayed.</t>
  </si>
  <si>
    <t>Tc 07</t>
  </si>
  <si>
    <t>1. Navigate to the login portal for PMS.
 2. Provide the credentials used to create the partner login:
 User ID
 Password
 Captcha (optional)</t>
  </si>
  <si>
    <t>Partner should be successfully authenticated and allowed to login to the portal. 
 The menu should be displayed based on the selected partner type only.</t>
  </si>
  <si>
    <t>Tc 08</t>
  </si>
  <si>
    <t>Login for the Partner</t>
  </si>
  <si>
    <t>1. Login to the PMS portal as a partner.</t>
  </si>
  <si>
    <t>User is navigated to the Home page.
 Details should be displayed as Username/email, password, login</t>
  </si>
  <si>
    <t>Tc 09</t>
  </si>
  <si>
    <t>Login for the Auth partner type</t>
  </si>
  <si>
    <t>1. Self register as an Auth partner.
 2. Login with the credentials.</t>
  </si>
  <si>
    <t>User is navigated to the Home page.
 Enter Username/email and password
 click on login. User should be able to login successfully</t>
  </si>
  <si>
    <t>Tc 10</t>
  </si>
  <si>
    <t>View certificate without upload.</t>
  </si>
  <si>
    <t>1. Login to the PMS portal as a partner.
 2. Do not upload the certificate.
 3. Click on view certificate.</t>
  </si>
  <si>
    <t>"Certficate is not uploaded for the selected partner." pop message should be displayed.</t>
  </si>
  <si>
    <t>Tc 11</t>
  </si>
  <si>
    <t>Certificate upload for the Partner</t>
  </si>
  <si>
    <t>1. Login to the PMS portal as a partner.
 2. Click on upload certificate.</t>
  </si>
  <si>
    <t>Upload certificate page should be displayed with below details:
 Partner domain (dropdown)
 Choose file(to browse) 
 with cancel and upload buttons.</t>
  </si>
  <si>
    <t>Tc 12</t>
  </si>
  <si>
    <t>Certificate upload for the Partner without choosing the partner domain</t>
  </si>
  <si>
    <t>1. Login to the PMS portal as a partner.
 2. Do not select the partner domain.
 3. Click on upload certificate.
 3. Choose a certificate. 
 4. Click on upload.</t>
  </si>
  <si>
    <t>Upload should fail and approprraite error message for mandatory field to be displayed</t>
  </si>
  <si>
    <t>Tc 13</t>
  </si>
  <si>
    <t>Partner certificate format validation for upload</t>
  </si>
  <si>
    <t>1. Login to the PMS portal as a partner.
 2. Click on upload certificate.
 3. Choose a certificate with with a different format (other than .cer)</t>
  </si>
  <si>
    <t>Upload should fail with approriate error messsage</t>
  </si>
  <si>
    <t>Tc 14</t>
  </si>
  <si>
    <t>Cancel upload of partner certificate</t>
  </si>
  <si>
    <t>1. Login to the PMS portal as a partner.
 2. Do not select the partner domain.
 3. Click on upload certificate.
 3. Choose a certificate. 
 4. Click on cancel.</t>
  </si>
  <si>
    <t>The certificate should not get uploaded.</t>
  </si>
  <si>
    <t>Tc 15</t>
  </si>
  <si>
    <t>Actions that can be performed without uploading partner ceritficate.</t>
  </si>
  <si>
    <t>1. Login to the PMS portal as a partner.
 2. Do not upload the certificate.
 2. Perform action in other pages such as adding device details/partner policy mapping.</t>
  </si>
  <si>
    <t>User should not be allowed to perform any action until the partner certificates are uploaded.</t>
  </si>
  <si>
    <t>Tc 16</t>
  </si>
  <si>
    <t>1. Login to the PMS portal as a partner.
 2. Do upload the certificate.
 2. Perform action in other pages such as adding device details/partner policy mapping.</t>
  </si>
  <si>
    <t>The application checks for a valid partner certificate, then the partner can proceed with further actions.</t>
  </si>
  <si>
    <t>MOSIP- 17920</t>
  </si>
  <si>
    <t>As a policy admin, I should be able to create and manage different types of policies</t>
  </si>
  <si>
    <t>Policy Manager UI</t>
  </si>
  <si>
    <t>User with Policy manager role to log into the PMS portal.</t>
  </si>
  <si>
    <t>1. Create a user in keycloak.
 2. Add the Policy manager role in role mapping.
 3. Login to the Partner management portal using the same credentials.</t>
  </si>
  <si>
    <t>User should be allowed to login to the Partner management tool.
 The following menu should be available for the user:
 1. Policy</t>
  </si>
  <si>
    <t>User without Policy manager role to log into the PMS portal.</t>
  </si>
  <si>
    <t>1. Create a user in keycloak.
 2. Remove the Policy manager role in role mapping.
 3. Login to the Partner management portal using the same credentials.</t>
  </si>
  <si>
    <t>User should be allowed to login to the Partner management tool.
 The Policy menu should not be available for the user.</t>
  </si>
  <si>
    <t>1. Login to PMS.
 2. Click on Policy -&gt; policy group
 3. Click on Create policy group.
 4. Do not enter the mandatory details.
 5. Click on Save.</t>
  </si>
  <si>
    <t>1. Login to PMS.
 2. Click on Policy -&gt; policy group
 3. Click on Create policy group.
 4. enter the mandatory details.
 5. Click on Save.</t>
  </si>
  <si>
    <t>policy group should get created, with message policy group created successfully</t>
  </si>
  <si>
    <t>Create duplicate policy group</t>
  </si>
  <si>
    <t>1. Login to PMS.
 2. Click on Policy -&gt; policy group
 3. Click on Create policy group.
 4. Enter mandatory details with already existing name and description
 5. Click on Save.</t>
  </si>
  <si>
    <t>policu group should not get created with error message Policy group already exists</t>
  </si>
  <si>
    <t>Updation of policy group</t>
  </si>
  <si>
    <t>1. Login to PMS.
 2. Click on Policy -&gt; policy group
 3. search for policy gropu created, click on elipics and edit
 4. edit details and save</t>
  </si>
  <si>
    <t>Policy group get should get updated successfully</t>
  </si>
  <si>
    <t>Updation of policy group after publish</t>
  </si>
  <si>
    <t>Policy group should not get updated once published</t>
  </si>
  <si>
    <t>Able to update name/description after publish</t>
  </si>
  <si>
    <t>Deactive policy group after publish</t>
  </si>
  <si>
    <t>1. Login to PMS.
 2. Click on Policy -&gt; policy group
 3. search for policy gropu created, click on elipics and deactivate</t>
  </si>
  <si>
    <t xml:space="preserve">Policy group should not get decative once published </t>
  </si>
  <si>
    <t>Creation of Auth policy</t>
  </si>
  <si>
    <t>1. Login to PMS.
 2. Click on Policy -&gt; Auth Policy.
 3. Click on Create policy.
 4. Do enter the mandatory details.
 5. Click on Save.</t>
  </si>
  <si>
    <t>"Auth Policy successfully created" message should be displayed and the Auth policy should be created.</t>
  </si>
  <si>
    <t>Creation of Auth policy without mandatory details.</t>
  </si>
  <si>
    <t>1. Login to PMS.
 2. Click on Policy -&gt; Auth Policy.
 3. Click on Create policy.
 4. Do not enter the mandatory details.
 5. Click on Save.</t>
  </si>
  <si>
    <t>Create multiple auth polices under single policy group</t>
  </si>
  <si>
    <t>1. Login to PMS portal as policy manager
 2. click on policy --&gt; auth policy
 3. choose same policy group to create multiple auth/datashare polices</t>
  </si>
  <si>
    <t>Auth/datashare policy should get created</t>
  </si>
  <si>
    <t>Creation of Auth policy under inactive policy group</t>
  </si>
  <si>
    <t>1. Login to PMS.
 2. Click on Policy -&gt; Auth Policy.
 3. Click on Create policy.
 4. Choose for inactive policy group
 5. Click on Save.</t>
  </si>
  <si>
    <t>Auth policy should not get created and inactive policy group should not be displayed in dropdown</t>
  </si>
  <si>
    <t>Creation of Auth policy with duplicate policy name.</t>
  </si>
  <si>
    <t>1. Login to PMS.
 2. Click on Policy -&gt; Auth Policy.
 3. Click on Create policy.
 4. Enter the mandatory details.
5. Enter an existing name and choose the same policy group associated.
 6.Click on Save.</t>
  </si>
  <si>
    <t>"Policy name already exists" message should be displayed.
 Duplicate policy names should not be created.</t>
  </si>
  <si>
    <t>TC 14</t>
  </si>
  <si>
    <t>Cancel of creating auth policy.</t>
  </si>
  <si>
    <t>1. Login to PMS.
 2. Click on Policy -&gt; Auth policy.
 3. Click on Create policy.
 4. Do not enter the mandatory details.
 5. Click on Cancel.</t>
  </si>
  <si>
    <t>The Auth policy should not be created and the user should be navigated back to the auth policy list</t>
  </si>
  <si>
    <t>TC 15</t>
  </si>
  <si>
    <t>Editing of active auth policy</t>
  </si>
  <si>
    <t>1. Click on Policy-&gt;Auth Policy.
 2. Click on Ellipsis in the list.
 3. Choose to edit the record.
 4. Make the changes to the policy details.
 5. Click on Save.</t>
  </si>
  <si>
    <t>Policy once active cannot be updated, with appropriate message published policy cannot be updated</t>
  </si>
  <si>
    <t>TC 16</t>
  </si>
  <si>
    <t>Editing of inactive auth policy</t>
  </si>
  <si>
    <t>1. Click on Policy-&gt; Auth policy.
 2. Click on Ellipsis in the list.
 3. Choose to edit the record which is inactive.
 4. Make the changes to the policy name and/or description.
 5. Click on save</t>
  </si>
  <si>
    <t>"Auth policy updated successfully" message should be displayed.</t>
  </si>
  <si>
    <t>TC 17</t>
  </si>
  <si>
    <t>Editing of inactive auth policy without saving</t>
  </si>
  <si>
    <t>1. Click on Policy-&gt; Auth policy.
 2. Click on Ellipsis in the list.
 3. Choose to edit the record which is inactive.
 4. Make the changes to the policy name and/or description.
 5. Click on Cancel.</t>
  </si>
  <si>
    <t>The changes made to the auth policy should not be saved.</t>
  </si>
  <si>
    <t>TC 18</t>
  </si>
  <si>
    <t>Filtering the policies</t>
  </si>
  <si>
    <t>1. Click on Policy-&gt; Auth policy.
 2. Click on filter.
 3. Enter the filter for the fields name and/or description, policy group.
 4. Click on apply.</t>
  </si>
  <si>
    <t>TC 19</t>
  </si>
  <si>
    <t>Filtering the policies and cancel search</t>
  </si>
  <si>
    <t>1. Click on Policy-&gt; Auth Policy.
 2. Click on filter.
 3. Enter the filter for the fields name and/or description.
 4. Click on cancel.</t>
  </si>
  <si>
    <t>using policy group search failed</t>
  </si>
  <si>
    <t>TC 20</t>
  </si>
  <si>
    <t>Filtering the policies enter details reset and apply</t>
  </si>
  <si>
    <t>1. Click on Policy-&gt; Auth Policy.
 2. Click on filter.
 3. Enter the filter for the fields name and/or description.
 4. Click on apply.
 5. Click on filter and reset and then apply.</t>
  </si>
  <si>
    <t>TC 21</t>
  </si>
  <si>
    <t>Activate the policies.</t>
  </si>
  <si>
    <t>1. Click on Policy-&gt; auth policy.
 2. Choose a policy that is inactive.
 3. Click on Ellipsis.
 4. Choose to activate.</t>
  </si>
  <si>
    <t>Auth policy should get activated</t>
  </si>
  <si>
    <t>TC 22</t>
  </si>
  <si>
    <t>Deactivate the policies.</t>
  </si>
  <si>
    <t>1. Click on Policy-&gt; auth policy.
 2. Choose a policy that is active
 3. Click on Ellipsis and search for decativate</t>
  </si>
  <si>
    <t>deactivate option should not be available Auth policy should not get deactivate once published.</t>
  </si>
  <si>
    <t>TC 23</t>
  </si>
  <si>
    <t>Creation of data share policy without mandatory details.</t>
  </si>
  <si>
    <t>1. Login to PMS.
 2. Click on Policy -&gt; data share Policy.
 3. Click on Create policy.
 4. Do not enter the mandatory details.
 5. Click on Save.</t>
  </si>
  <si>
    <t>TC 24</t>
  </si>
  <si>
    <t>Creation of data share policy with mandatory details.</t>
  </si>
  <si>
    <t>1. Login to PMS.
 2. Click on Policy -&gt; data share Policy.
 3. Click on Create policy.
 4. Enter the mandatory details.
 5. Choose the Policy group that is active.
 6. Click on Save.</t>
  </si>
  <si>
    <t>"data share Policy successfully created" message should be displayed and the data share policy should be created.</t>
  </si>
  <si>
    <t>TC 25</t>
  </si>
  <si>
    <t>Creation of data share policy under inactive policy group.</t>
  </si>
  <si>
    <t>1. Login to PMS.
 2. Click on Policy -&gt; data share Policy.
 3. Click on Create policy.
 4. Search for inactive policy group
 5. save</t>
  </si>
  <si>
    <t>Inactive policy group should not get displayed in dropdown and Datashare policy should not get created</t>
  </si>
  <si>
    <t>TC 26</t>
  </si>
  <si>
    <t xml:space="preserve">Creation of duplicate data share policy </t>
  </si>
  <si>
    <t>1. Login to PMS.
 2. Click on Policy -&gt; data share Policy.
 3. Click on Create policy.
 4. Enter the mandatory details.
 5. Choose the Policy group that is active.
 6. Enter an existing name and choose the same policy group associated.
 7.Click on Save.</t>
  </si>
  <si>
    <t>"Datashare policy exists with name" message should be displayed.
 Datashare policy should not get created</t>
  </si>
  <si>
    <t>TC 27</t>
  </si>
  <si>
    <t>Cancelling the create data share policy.</t>
  </si>
  <si>
    <t>1. Login to PMS.
 2. Click on Policy -&gt; data share policy.
 3. Click on Create policy.
 4. Do not enter the mandatory details.
 5. Click on Cancel.</t>
  </si>
  <si>
    <t>The data share policy should not be created and the user should be navigated back to data share policies list</t>
  </si>
  <si>
    <t>TC 28</t>
  </si>
  <si>
    <t>Editing of Active data share policy</t>
  </si>
  <si>
    <t>1. Click on Policy-&gt;data share Policy.
 2. Click on Ellipsis in the list.
 3. Choose to edit the record.
 4. Make the changes to the policy details.
 5. Click on Save.</t>
  </si>
  <si>
    <t>"Datashare policy should not get updated once published"</t>
  </si>
  <si>
    <t>TC 29</t>
  </si>
  <si>
    <t>Editing of inActive data share policy</t>
  </si>
  <si>
    <t>"Datashare policy should get updated successfully"</t>
  </si>
  <si>
    <t>TC 30</t>
  </si>
  <si>
    <t>Editing of data share policy and cancel</t>
  </si>
  <si>
    <t>1. Click on Policy-&gt; data share policy.
 2. Click on Ellipsis in the list.
 3. Choose to edit the record which is inactive.
 4. Make the changes to the policy name and/or description.
 5. Click on Cancel.</t>
  </si>
  <si>
    <t>The changes made to the data share policy should not be saved.</t>
  </si>
  <si>
    <t>TC 31</t>
  </si>
  <si>
    <t>1. Click on Policy-&gt; data share policy.
 2. Click on filter.
 3. Enter the filter for the fields name and/or description, policy group
 4. Click on apply.</t>
  </si>
  <si>
    <t>search with policy group is failed</t>
  </si>
  <si>
    <t>TC 32</t>
  </si>
  <si>
    <t>Filtering the policies enter details and cancel</t>
  </si>
  <si>
    <t>1. Click on Policy-&gt; data share Policy.
 2. Click on filter.
 3. Enter the filter for the fields name and/or description.
 4. Click on cancel.</t>
  </si>
  <si>
    <t>TC 33</t>
  </si>
  <si>
    <t>Filtering the policies enter details and reset</t>
  </si>
  <si>
    <t>1. Click on Policy-&gt; data share Policy.
 2. Click on filter.
 3. Enter the filter for the fields name and/or description.
 4. Click on apply.
 5. Click on filter and reset and then apply.</t>
  </si>
  <si>
    <t>TC 34</t>
  </si>
  <si>
    <t>Logout from the portal using same userid</t>
  </si>
  <si>
    <t>1. Go to  the top right corner 
2. click on the userid 
3. Logout</t>
  </si>
  <si>
    <t>User should be able to logout from portal successfully</t>
  </si>
  <si>
    <t>MOSIP-17921</t>
  </si>
  <si>
    <t>As a partner admin, I should be able to manage partners and approve their requests</t>
  </si>
  <si>
    <t>Partner admin Activities UI</t>
  </si>
  <si>
    <t>Login as user with Partner admin role.</t>
  </si>
  <si>
    <t>1. Login to Keycloak.
 2. Create a user.
 3. Assign partner admin role.
 4. Login to PMS ui using the same user credentials.</t>
  </si>
  <si>
    <t>User should be able to login to the PMS ui.</t>
  </si>
  <si>
    <t>Login as user without Partner admin role.</t>
  </si>
  <si>
    <t>1. Login to Keycloak.
 2. Update the user role by excluding the partner admin role.
 3. Login to PMS ui using the same user credentials.</t>
  </si>
  <si>
    <t>User should be able to login to the PMS ui.
 No menu should be displayed for the user.</t>
  </si>
  <si>
    <t>Menu for partner admin</t>
  </si>
  <si>
    <t>1. Login to PMS portal as partner admin
2. Check for menu</t>
  </si>
  <si>
    <t>Menu for partner admin should be Home, Policy, Partner, Device details, FTM details, SBI details, Partner-Policy mapping, CA/Sub-CA certificate upload</t>
  </si>
  <si>
    <t>Verify partner admin is able to view all the list of policy groups</t>
  </si>
  <si>
    <t>1. Login to PMS UI using partner admin
 2. go to policy --&gt; policy group</t>
  </si>
  <si>
    <t>Partner admin should be able to view all list of policy groups</t>
  </si>
  <si>
    <t>Verify partner admin is able to edit all the list of policy groups which are not published</t>
  </si>
  <si>
    <t>Partner admin should be allowed to edit all policy groups which are not published</t>
  </si>
  <si>
    <t>Verify partner admin is able to deactivate all the of policy groups which are not published</t>
  </si>
  <si>
    <t>Partner admin should be allowed to deactivate all policy groups which are not published</t>
  </si>
  <si>
    <t>Verify partner admin is able to view all the list of auth/datashare polices</t>
  </si>
  <si>
    <t>1. Login to PMS UI using partner admin
 2. go to policy --&gt; auth/datashare policies</t>
  </si>
  <si>
    <t xml:space="preserve">Partner admin should be able to view all list of auth/datashare policies </t>
  </si>
  <si>
    <t>Verify partner admin is able to edit all the list of auth/dayashare polices which are not published</t>
  </si>
  <si>
    <t>Partner admin should be allowed to edit all auth/datshare policies which are not published</t>
  </si>
  <si>
    <t>Verify partner admin is able to deactivate auth/dayashare polices which are not published</t>
  </si>
  <si>
    <t>Partner admin should be allowed to deactivate all auth/datashare policies which are not published</t>
  </si>
  <si>
    <t>Uploading CA/sub CA certificate with .cer /.pem file format</t>
  </si>
  <si>
    <t>1. Login to PMS ui using Partner admin role.
 2. Navigate to Upload CA certificate.
 3. Choose the domain.
 4. Browse a file with .cer format with the partner details.</t>
  </si>
  <si>
    <t>partner admin should be able to upload the CA certificate succesfully.</t>
  </si>
  <si>
    <t>Uploading CA/sub CA certificate with invalid file format</t>
  </si>
  <si>
    <t>1. Login to PMS ui using Partner admin role.
 2. Navigate to Upload CA certificate.
 3. Choose the domain.
 4. Browse a file with different format other than .cer/ .pem format with the partner details.</t>
  </si>
  <si>
    <t>Partner admin should not be able to upload the CA certificate.</t>
  </si>
  <si>
    <t>Uploading certificate with invalid data</t>
  </si>
  <si>
    <t>1. Login to PMS ui using Partner admin role.
 2. Navigate to Upload CA certificate.
 3. Choose the domain.
 4. Browse a file with  format  .cer/ .pem format but invalid data</t>
  </si>
  <si>
    <t>view partner certificate before uploading certificate</t>
  </si>
  <si>
    <t>1. Login to PMS ui using Partner admin role.
 2. Navigate to Partner page.
 3. Choose a record and click on ellipsis.
 4. Click on View certificate for a before uploading</t>
  </si>
  <si>
    <t>"Certficate is not uploaded for the selected partner" message should be displayed.</t>
  </si>
  <si>
    <t>view partner certificate after uploading certificate</t>
  </si>
  <si>
    <t>1. Login to PMS ui using Partner admin role.
 2. Navigate to Partner page.
 3. Choose a record and click on ellipsis.
 4. Click on View certificate for a partner after uploading</t>
  </si>
  <si>
    <t>Respective partner certificate should be displayed.</t>
  </si>
  <si>
    <t>Reuploading CA/sub CA certificate</t>
  </si>
  <si>
    <t>Re upload the partner certificate for a partner with already having a certificate.</t>
  </si>
  <si>
    <t>Patrner should be able to reupload the partner certificate</t>
  </si>
  <si>
    <t>Downloading the partner certificate.</t>
  </si>
  <si>
    <t>1. Login to PMS ui using Partner admin role.
 2. Navigate to Partner page.
 3. Choose a record and click on ellipsis.
 4. Click on View certificate for a partner with certificate.</t>
  </si>
  <si>
    <t>Download option should be available for the user to download and save the certificate.</t>
  </si>
  <si>
    <t>Download not implemented</t>
  </si>
  <si>
    <t>The partner admin should be able to view all partners (active, inactive and pending approval)</t>
  </si>
  <si>
    <t>1. Login to PMS ui using Partner admin role.
 2. Navigate to Partner page.
 3. Check for the status of the partners.</t>
  </si>
  <si>
    <t>The status of the partner should be one of the following:
 Active/inactive/inprogress/approved</t>
  </si>
  <si>
    <t>Status - In progress</t>
  </si>
  <si>
    <t>1. Login to PMS ui using Partner admin role.
 2. Navigate to Partner page.
 3. Look for partners without certificate.</t>
  </si>
  <si>
    <t>The status of the partner should be displayed as In Progress.</t>
  </si>
  <si>
    <t>Status - Approved</t>
  </si>
  <si>
    <t>1. Login to PMS ui using Partner admin role.
 2. Navigate to Partner page.
 3. Upload the certificate for the partner.
 4. View the status.</t>
  </si>
  <si>
    <t>The status of the partner should get auto changed to approved status.</t>
  </si>
  <si>
    <t>Status- active/inactive</t>
  </si>
  <si>
    <t>1. Login to PMS ui using Partner admin role.
 2. Navigate to Partner page.
 3. Upload the certificate for the partner.
 4. View the status for active/inactive</t>
  </si>
  <si>
    <t>The status of the partner should be active/inactive</t>
  </si>
  <si>
    <t>Filter option</t>
  </si>
  <si>
    <t>1. Login to PMS ui using Partner admin role.
 2. Navigate to Partner page.
 3. Click on filter.</t>
  </si>
  <si>
    <t>The filter pop up should be displayed with fields to search.</t>
  </si>
  <si>
    <t>Search using filter</t>
  </si>
  <si>
    <t>1. Login to PMS ui using Partner admin role.
 2. Navigate to Partner page.
 3. Click on filter.
 4. Enter the details to search.</t>
  </si>
  <si>
    <t>Matching results should be fetched and displayed.</t>
  </si>
  <si>
    <t>Activities for auth/credentail partner</t>
  </si>
  <si>
    <t>1. Register a partner with either Credential or authentication partner.
 2. Login to PMS ui using the Partner admin role.
 3. Partner admin should be able to view all partner policy mapping</t>
  </si>
  <si>
    <t>Partner admin should be able to view all list of partner policy mapping</t>
  </si>
  <si>
    <t>Verify if partner admin able to Map partner to various policies under the partner's policy group</t>
  </si>
  <si>
    <t>1. Login as partner admin
 2.Map the partner to various policies in the partner's policy group.</t>
  </si>
  <si>
    <t>Partner admin Should be able to map partner to varios polices under partner's policy group</t>
  </si>
  <si>
    <t>verify if partner admin able to Approve  partner policy mapping</t>
  </si>
  <si>
    <t>1. Login as partner admin
 2.Map the partner to various policies in the partner's policy group.
 3. Approve partner policy mapping</t>
  </si>
  <si>
    <t>Partner admin should be able to approve partner policy mapping</t>
  </si>
  <si>
    <t>verify if partner admin able to Reject partner policy mapping</t>
  </si>
  <si>
    <t>1. Login as partner admin
 2.Map the partner to various policies in the partner's policy group.
 3. Reject partner policy mapping</t>
  </si>
  <si>
    <t>Partner admin should be able to Reject partner policy mapping</t>
  </si>
  <si>
    <t>verify if partner admin able to generate API key for approved partner policy mapping</t>
  </si>
  <si>
    <t>Partner policy mapping is approved.
 1.Click to edit the mapping.
 2.Enter the label details.
 3.Click on generate the api key.</t>
  </si>
  <si>
    <t>The api key should be generated.</t>
  </si>
  <si>
    <t>Verify of Partner admin is able to view all device models</t>
  </si>
  <si>
    <t>1.Login as Partner admin.
 2.Navigate to device details page.</t>
  </si>
  <si>
    <t>The partner admin should be able to view all types of device models</t>
  </si>
  <si>
    <t>Verify of Partner admin is able to filter all device models</t>
  </si>
  <si>
    <t>1.Login as Partner admin.
 2.Navigate to device details page.
 3.Filter the device on make/model.</t>
  </si>
  <si>
    <t>The partner admin should be able to filter all types of device make/models.</t>
  </si>
  <si>
    <t>Verify of Partner admin is able to create device models</t>
  </si>
  <si>
    <t>1.Login as Partner admin.
 2.Navigate to device details page.
 3.Click on Create Device.</t>
  </si>
  <si>
    <t>The partner admin should be able to create the device model details</t>
  </si>
  <si>
    <t>Verify of Partner admin is able to edit  device models</t>
  </si>
  <si>
    <t>1.Login as Partner admin.
 2.Navigate to device details page.
 3.Choose the created device.
 4.Click on ellipsis and edit the record.</t>
  </si>
  <si>
    <t>The partner admin should be able to modify the device model details.
 Admin should not be able to change the partner name.</t>
  </si>
  <si>
    <t>verify if Partner admin is able to approve model request by device partner</t>
  </si>
  <si>
    <t>1.Login as Partner admin.
 2.Navigate to device details page.
 3.Choose a device.
 4.Click on ellipsis and approve the record.</t>
  </si>
  <si>
    <t>The partner admin should be able to approve a model request by device partner.
  The status should change to approved in the list.</t>
  </si>
  <si>
    <t>verify if Partner admin is able to reject model request by device partner</t>
  </si>
  <si>
    <t>1.Login as Partner admin.
 2.Navigate to device details page.
 3. Choose a device.
 4.Click on ellipsis and reject the record.</t>
  </si>
  <si>
    <t>The partner admin should be able to reject a model request by device partner.
  The status should change to rejected in the list.</t>
  </si>
  <si>
    <t>Verify of Partner admin is able to view all SBI models</t>
  </si>
  <si>
    <t>1.Login as Partner admin.
 2.Navigate to SBI details page.</t>
  </si>
  <si>
    <t>The partner admin should be able to view all types of SBI details</t>
  </si>
  <si>
    <t>TC 35</t>
  </si>
  <si>
    <t xml:space="preserve">Veify if partner admin able to create SBI </t>
  </si>
  <si>
    <t>1.Login as Partner admin.
 2.Navigate to sbi details page.
 3.Click on create SBI.
 4.Provide the partner name and create the sbi.</t>
  </si>
  <si>
    <t>SBI should be created successfully.</t>
  </si>
  <si>
    <t>TC 36</t>
  </si>
  <si>
    <t xml:space="preserve">Veify if partner admin able to update SBI </t>
  </si>
  <si>
    <t>1.Login as Partner admin.
 2.Navigate to sbi details page.
 3.Choose a record.
 4.Click on ellipsis and edit the record.</t>
  </si>
  <si>
    <t>Admin should be able to edit the sbi details.
 Admin should not be able to change the partner name.</t>
  </si>
  <si>
    <t>TC 37</t>
  </si>
  <si>
    <t>Verify of Partner admin is able to filter all SBI models</t>
  </si>
  <si>
    <t>1.Login as Partner admin.
 2.Navigate to SBI details page
3. Click on filter</t>
  </si>
  <si>
    <t>The partner admin should be able to filter SBI details</t>
  </si>
  <si>
    <t>TC 38</t>
  </si>
  <si>
    <t>Verify if partner admin able to map SBI details to the device</t>
  </si>
  <si>
    <t>1.Login as Partner admin.
 2.Navigate to device details page.
 3.Choose the created device.
 Click on ellipsis and edit the record.
 4.Select the sbi and map it to the device.</t>
  </si>
  <si>
    <t>Admin should be able to map the sbi to the device details.</t>
  </si>
  <si>
    <t>TC 39</t>
  </si>
  <si>
    <t xml:space="preserve">Verify if partner admin able to Approve  sbi request </t>
  </si>
  <si>
    <t>1.Login as Partner admin.
 2.Navigate to sbi details page.
 3.Choose a record.
 Click on ellipsis and approve the record.</t>
  </si>
  <si>
    <t>The partner admin should be able to approve an SBI request from a partner admin. The status should change to approved in the list.</t>
  </si>
  <si>
    <t>TC 40</t>
  </si>
  <si>
    <t xml:space="preserve">Verify if partner admin able to reject sbi request </t>
  </si>
  <si>
    <t>1.Login as Partner admin.
 2.Navigate to sbi details page.
 3.Choose a record.
 Click on ellipsis and reject the record.</t>
  </si>
  <si>
    <t>The partner admin should be able to reject an SBI request from a partner admin. The status should change to rejected in the list.</t>
  </si>
  <si>
    <t>TC 41</t>
  </si>
  <si>
    <t>Verify if partner admin able to  view all FTM models</t>
  </si>
  <si>
    <t>1.Login as Partner admin.
 2.Navigate to the FTM details page.</t>
  </si>
  <si>
    <t>The partner admin should be able to view all types of FTM models.</t>
  </si>
  <si>
    <t>TC 42</t>
  </si>
  <si>
    <t>Verify if partner admin able to filter  all FTM models</t>
  </si>
  <si>
    <t>1.Login as Partner admin.
 2.Navigate to FTM details page.
 3.Click on filter and search for the details.</t>
  </si>
  <si>
    <t>The partner admin should be able to filter all types of FTM details.</t>
  </si>
  <si>
    <t>TC 43</t>
  </si>
  <si>
    <t>Verify if partner admin able to create FTM models</t>
  </si>
  <si>
    <t>1.Login as Partner admin.
 2.Navigate to FTM details page.
 3.Click on Create FTM detail.</t>
  </si>
  <si>
    <t>The partner admin should be able to create the FTM details</t>
  </si>
  <si>
    <t>TC 44</t>
  </si>
  <si>
    <t>Verify if partner admin able to edit  all FTM models</t>
  </si>
  <si>
    <t>1.Login as Partner admin.
 2.Navigate to FTM details page.
 3. Choose the created FTM.
 Click on ellipsis and edit the record.</t>
  </si>
  <si>
    <t>The partner admin should be able to modify the FTM details.</t>
  </si>
  <si>
    <t>TC 45</t>
  </si>
  <si>
    <t>Verify if partner admin able to activate FTM model request</t>
  </si>
  <si>
    <t>1.Login as Partner admin.
 2.Navigate to FTM details page.
 3.Choose a record.
 Click on ellipsis and activate the record.</t>
  </si>
  <si>
    <t>The partner admin should be able to approve FTM details request by a partner admin. The status should change to Active in the list.</t>
  </si>
  <si>
    <t>not able to activate</t>
  </si>
  <si>
    <t>TC 46</t>
  </si>
  <si>
    <t>Verify if partner admin able to deactive FTM model request</t>
  </si>
  <si>
    <t>1.Login as Partner admin.
 2.Navigate to FTM details page.
 3.Choose a record.
 Click on ellipsis and deactivate the record.</t>
  </si>
  <si>
    <t>The partner admin should be able to reject FTM details request by a partner admin. The status should change to inactive in the list.</t>
  </si>
  <si>
    <t>TC 47</t>
  </si>
  <si>
    <t>Verify if partner admin able to upload partner certificate</t>
  </si>
  <si>
    <t>1. Login as Partner admin.
 2. Navigate to partner 
 3. choose pending approval partner and upload partner cetificate</t>
  </si>
  <si>
    <t>The partner admin should be able to upload partner certificate</t>
  </si>
  <si>
    <t>MOSIP- 17959</t>
  </si>
  <si>
    <t>As a partner, I should be able to view my details and perform my day to day activites</t>
  </si>
  <si>
    <t>Auth partner activities</t>
  </si>
  <si>
    <t>Verify if auth partner able to Register in PMS portal</t>
  </si>
  <si>
    <t>1. In PMS portal login page search for register
2. enter all details and select partner type is authentication partner and register</t>
  </si>
  <si>
    <t>Partner should be able to register successfully as a authentication partner</t>
  </si>
  <si>
    <t>Verify if authentication partner able to login</t>
  </si>
  <si>
    <t>1. Login to the PMS portal using the authentication partner credentials which is already created.</t>
  </si>
  <si>
    <t>The partner should be able to login successfully.</t>
  </si>
  <si>
    <t>Verify the menu for auth partner login</t>
  </si>
  <si>
    <t>1. Login to the PMS portal as authentication partner
 2. Look for menu</t>
  </si>
  <si>
    <t>Menu for auth partnerre login should be only Home, Partner Policy Mapping</t>
  </si>
  <si>
    <t>Verify if the auth partner home page dispalying his.her details</t>
  </si>
  <si>
    <t>1. Login to the PMS portal as authentication partner
 2. Look for menu
3. go to home page</t>
  </si>
  <si>
    <t>Home page in menu list should dispaly all partner details</t>
  </si>
  <si>
    <t>Verify if auth partner able to upload CA certificate</t>
  </si>
  <si>
    <t>1. Login to the PMS portal as auth partner
 2. Upload CA certificate.</t>
  </si>
  <si>
    <t>The auth partner should not be able to upload CA-signed certificates</t>
  </si>
  <si>
    <t>Verify if auth partner able to upload partner  certificate</t>
  </si>
  <si>
    <t>1. Login to the PMS portal as auth/credentail partner
 2. Upload partner certificate.</t>
  </si>
  <si>
    <t>The auth partner should be able to upload partner certificates</t>
  </si>
  <si>
    <t>Verify if auth partner able to view partner  certificate</t>
  </si>
  <si>
    <t>1. Login to the PMS portal as auth/credentail partner
 2. view partner certificate.</t>
  </si>
  <si>
    <t>Verify if auth partner able to download  partner  certificate</t>
  </si>
  <si>
    <t>1. Login to the PMS portal as auth/credentail partner
 2. Download partner certificate.</t>
  </si>
  <si>
    <t>The partner should be able to download partner certificate</t>
  </si>
  <si>
    <t>Download option not implemented</t>
  </si>
  <si>
    <t>Partner policy mapping for auth partner</t>
  </si>
  <si>
    <t>1. Login to the PMS portal as auth partner
 2. Map partner to polices under partner's policy group</t>
  </si>
  <si>
    <t>The auth partner should be able to map partner with  polices under partner's policy group</t>
  </si>
  <si>
    <t>Generate API key for partner</t>
  </si>
  <si>
    <t>1. Login to the PMS portal as auth partner
 2. Generate API key for partner policy mapping</t>
  </si>
  <si>
    <t>The auth partner should be able to generate API key for partner policy mapping</t>
  </si>
  <si>
    <t>Credentail partner activites</t>
  </si>
  <si>
    <t>Verify if  partner able to Register as credentail partner in PMS portal</t>
  </si>
  <si>
    <t>1. In PMS portal login page search for register
2. enter all details and select partner type is credentail partner and register</t>
  </si>
  <si>
    <t>Partner should be able to register successfully as a credentail partner</t>
  </si>
  <si>
    <t>Verify if credentail partner able to login</t>
  </si>
  <si>
    <t>1. Login to the PMS portal using the credentail partner credentials which is already created.</t>
  </si>
  <si>
    <t>Verify the menu for credentail partner login</t>
  </si>
  <si>
    <t>1. Login to the PMS portal as credentail partner
 2. Look for menu</t>
  </si>
  <si>
    <t>Menu for credentail partnerre login should be only Home, Partner Policy Mapping</t>
  </si>
  <si>
    <t>Verify if the credentail partner home page dispalying his.her details</t>
  </si>
  <si>
    <t>1. Login to the PMS portal as credentail partner
 2. Look for menu
3. go to home page</t>
  </si>
  <si>
    <t>Verify if credentail partner able to upload CA certificate</t>
  </si>
  <si>
    <t>1. Login to the PMS portal as credentail partner
 2. Upload CA certificate.</t>
  </si>
  <si>
    <t>The credentail partner should not be able to upload CA-signed certificates</t>
  </si>
  <si>
    <t>Verify if credentail partner able to upload partner  certificate</t>
  </si>
  <si>
    <t>1. Login to the PMS portal as credentail partner
 2. Upload partner certificate.</t>
  </si>
  <si>
    <t>The credentail partner should be able to upload partner certificates</t>
  </si>
  <si>
    <t>Verify if credentail partner able to view partner  certificate</t>
  </si>
  <si>
    <t>1. Login to the PMS portal as credentail partner
 2. view partner certificate.</t>
  </si>
  <si>
    <t>The credentail partner should be able to view partner certificates</t>
  </si>
  <si>
    <t>Verify if credentail partner able to download  partner  certificate</t>
  </si>
  <si>
    <t>1. Login to the PMS portal as credentail partner
 2. Download partner certificate.</t>
  </si>
  <si>
    <t>The credentail should be able to download partner certificate</t>
  </si>
  <si>
    <t>download not implemented</t>
  </si>
  <si>
    <t>Partner policy mapping for credentail partner</t>
  </si>
  <si>
    <t>1. Login to the PMS portal as credentail partner
 2. Map partner to polices under partner's policy group</t>
  </si>
  <si>
    <t>The credentail partner should be able to map partner with  polices under partner's policy group</t>
  </si>
  <si>
    <t xml:space="preserve">Verify if credentail partner able to genertae APIkey </t>
  </si>
  <si>
    <t>1. Login to the PMS portal as credentail partner
 2. Generate API key for partner policy mapping</t>
  </si>
  <si>
    <t>The credentail partner should be able to generate API key for partner policy mapping</t>
  </si>
  <si>
    <t>Device provider activites</t>
  </si>
  <si>
    <t>Verify if  partner able to Register as device provider in PMS portal</t>
  </si>
  <si>
    <t>1. In PMS portal login page search for register
2. enter all details and select partner type is provider partner and register</t>
  </si>
  <si>
    <t>Partner should be able to register successfully as a device provider partner</t>
  </si>
  <si>
    <t>Verify if device provider partner able to login</t>
  </si>
  <si>
    <t>1. Login to PMS portal as Device partner.</t>
  </si>
  <si>
    <t xml:space="preserve">The partner should be login using device credentails </t>
  </si>
  <si>
    <t>Verify the menu for device provider login</t>
  </si>
  <si>
    <t>Menu for credentail partnerre login should be only Home, dveice details, SBI details</t>
  </si>
  <si>
    <t>Verify if the device provider partner home page dispalying his/her details</t>
  </si>
  <si>
    <t>Verify if the device provider partner SBi details page dispalying his/her details</t>
  </si>
  <si>
    <t>1. Login to PMS portal as Device partner. 
 2. Navigate to SBI details page.</t>
  </si>
  <si>
    <t>The partner should be able to view the list of SBI devices mapped to his/her partner id</t>
  </si>
  <si>
    <t>Verify if the device provider partner device details page dispalying his/her details</t>
  </si>
  <si>
    <t>1. Login to PMS portal as Device partner. 
 2. Navigate to Device details page.</t>
  </si>
  <si>
    <t>The partner should be able to view the list of devices mapped to his/her partner id</t>
  </si>
  <si>
    <t>Upload partner certificate when logged in as device partner</t>
  </si>
  <si>
    <t>1. Login to PMS portal as Device partner. 
 2. Upload partner certificate</t>
  </si>
  <si>
    <t>Device partner login should be able to upload partner certificate for his/her partner</t>
  </si>
  <si>
    <t>Verify if device provdider partner able to view partner  certificate</t>
  </si>
  <si>
    <t>1. Login to the PMS portal as device partner
 2. view partner certificate.</t>
  </si>
  <si>
    <t>The device partner should be able to view partner certificates</t>
  </si>
  <si>
    <t>Verify if device provdider partner able to download partner  certificate</t>
  </si>
  <si>
    <t>The device partner should be able to download partner certificate</t>
  </si>
  <si>
    <t>Verify id device provider able to create device details</t>
  </si>
  <si>
    <t>1. Login to PMS portal as Device partner. 
 2. Navigate to Device details page.
 3. Click on create Device.</t>
  </si>
  <si>
    <t>The device provider partner should be able to create device models under the partner id</t>
  </si>
  <si>
    <t>Verify id device provider able to update  device details</t>
  </si>
  <si>
    <t>1. Login to PMS portal as Device partner. 
 2. Navigate to Device details page.
 3. Click on update Device.</t>
  </si>
  <si>
    <t>The device provider partner should be able to edit device models under the partner id</t>
  </si>
  <si>
    <t>Verify id device provider able to create SBI device details</t>
  </si>
  <si>
    <t>1. Login to PMS portal as Device partner. 
 2. Navigate to SBI details page.
 3. Click on create SBI.</t>
  </si>
  <si>
    <t>The device provider partner should be able to create an SBI under the partner id</t>
  </si>
  <si>
    <t>Verify id device provider able to update SBI device details</t>
  </si>
  <si>
    <t>1. Login to PMS portal as Device partner. 
 2. Navigate to SBI details page.
 3. Click on update SBI.</t>
  </si>
  <si>
    <t>The device provider partner should be able to update an SBI under the partner id</t>
  </si>
  <si>
    <t>Map sbi to device models</t>
  </si>
  <si>
    <t>1. Login to PMS portal as Device partner. 
 2. Navigate to SBI details page.
 3.Map devices models to SBIs</t>
  </si>
  <si>
    <t>The partner should be able to map the SBIs to the device models</t>
  </si>
  <si>
    <t>FTM provider activites</t>
  </si>
  <si>
    <t>Verify if  partner able to Register as FTM partner in PMS portal</t>
  </si>
  <si>
    <t>1. In PMS portal login page search for register
2. enter all details and select partner type is FTM provider partner and register</t>
  </si>
  <si>
    <t>Partner should be able to register successfully as a FTM partner</t>
  </si>
  <si>
    <t>Verify if FTM  partner able to login</t>
  </si>
  <si>
    <t>1. Login to the PMS portal using the FTM  partner credentials which is already created.</t>
  </si>
  <si>
    <t>The FTM  partner should be able to login successfully.</t>
  </si>
  <si>
    <t>Verify the menu for FTM partner login</t>
  </si>
  <si>
    <t>1. Login to the PMS portal as FTM partner
 2. Look for menu</t>
  </si>
  <si>
    <t>Menu for FTM partnerre login should be only Home, FTm details</t>
  </si>
  <si>
    <t>Verify if the FTM partner home page dispalying his.her details</t>
  </si>
  <si>
    <t>1. Login to the PMS portal as FTM partner
 2. Look for menu
3. go to home page</t>
  </si>
  <si>
    <t>Verify if FTM partner able to upload CA certificate</t>
  </si>
  <si>
    <t>1. Login to the PMS portal as FTM  partner
 2. Upload CA certificate.</t>
  </si>
  <si>
    <t>The FTM  partner should not be able to upload CA-signed certificates</t>
  </si>
  <si>
    <t>Verify if FTM partner able to upload partner  certificate</t>
  </si>
  <si>
    <t>1. Login to the PMS portal as FTM  partner
 2. Upload partner certificate.</t>
  </si>
  <si>
    <t>The FTM  partner should be able to upload partner certificates</t>
  </si>
  <si>
    <t>Verify if FTM partner able to view partner  certificate</t>
  </si>
  <si>
    <t>1. Login to the PMS portal as FTM partner
 2. view partner certificate.</t>
  </si>
  <si>
    <t>The FTM partner should be able to view partner certificates</t>
  </si>
  <si>
    <t>Verify if FTM partner able to download  partner  certificate</t>
  </si>
  <si>
    <t>1. Login to the PMS portal as FTM partner
 2. Download partner certificate.</t>
  </si>
  <si>
    <t>The FTM  partner should be able to download partner certificate</t>
  </si>
  <si>
    <t>download not implemeted</t>
  </si>
  <si>
    <t>Verify if FTM partner able to create FTM details</t>
  </si>
  <si>
    <t>1. Login to PMS portal as FTM partner. 
 2. Navigate to ftm details page.
 3. Click on create Device.</t>
  </si>
  <si>
    <t>FTM partner should be able to create ftm details device</t>
  </si>
  <si>
    <t>Verify if FTM partner able to edit FTM details</t>
  </si>
  <si>
    <t>1. Login to PMS portal as FTM partner. 
 2. Navigate to ftm details page.
 3. click on any ftm details
click on ellipsis edit and change details</t>
  </si>
  <si>
    <t>FTM partner should be able to edit ftm details device</t>
  </si>
  <si>
    <t>MOSIP-18350</t>
  </si>
  <si>
    <t>Partner Policy Mapping and API key generation</t>
  </si>
  <si>
    <t>Partner policy mapping</t>
  </si>
  <si>
    <t>Verify to map partner to policy</t>
  </si>
  <si>
    <t>1. Login as auth/Credential partner or partner admin
 2. partner policy mapping of partner page
3. map policy</t>
  </si>
  <si>
    <t>Auth/credentail partner or partner admin should be able to map partner and policy</t>
  </si>
  <si>
    <t>Map partner to multiple polices under partner's policy group</t>
  </si>
  <si>
    <t>1. Login as auth/Credential partner or partner admin
 2. partner policy mapping of partner page
3. map policy choose different policies under partner's policy group</t>
  </si>
  <si>
    <t>Auth/credentail partner or partern admin should be able to map partner and multiple polices to partner under partner's policy group</t>
  </si>
  <si>
    <t>Verify to Map partner to already mapped policy</t>
  </si>
  <si>
    <t>1. Login as auth/Credential partner or partner admin
 2. map partner to already mapped policy</t>
  </si>
  <si>
    <t>Should not be able to map partner to already mapped policy with error Active mapping exists for given policy and partner.</t>
  </si>
  <si>
    <t>Verify to map partner to inactive policy</t>
  </si>
  <si>
    <t>1. Login as auth/Credential partner or partner admin
 2. partner policy mapping page
3. map policy,  try to map to inctive plicy</t>
  </si>
  <si>
    <t>auth/Credential partner or partner admin should not be able to map partner to inactive policy and inactive policy shoul dnot be visible in dropdown</t>
  </si>
  <si>
    <t>Verify to map policy to partner which is in inprogress state</t>
  </si>
  <si>
    <t xml:space="preserve">1. Login as auth/Credential partner or partner admin
 2. partner policy mapping page
3. map policy,  map policy to partner which is in inprogress state </t>
  </si>
  <si>
    <t>auth/Credential partner or partner admin should not be able to map policy to partner which is inprogress and inprogress partner should not be visible in dropdown</t>
  </si>
  <si>
    <t>Verify to partner admin able to approve partner policy mapping</t>
  </si>
  <si>
    <t>1. Login as partner admin
 2. Approve partner policy mapping</t>
  </si>
  <si>
    <t>Verify to partner admin able to reject partner policy mapping</t>
  </si>
  <si>
    <t>1. Login as partner admin
 2. Rejection partner policy mapping</t>
  </si>
  <si>
    <t>Partner admin should be able to reject partner policy mapping</t>
  </si>
  <si>
    <t>verify to Generate Api key for rejected partner policy mapping</t>
  </si>
  <si>
    <t>1. Login as  auth/credentail partner
 2. generate API key for rejected partner policy mapping</t>
  </si>
  <si>
    <t xml:space="preserve"> auth/credentail partner should not be able to generate API key for rejected partner policy mapping</t>
  </si>
  <si>
    <t>Generate Api key for Approved partner policy mapping</t>
  </si>
  <si>
    <t>1. Login as auth/credentail partner
 2. generate API key for approved partner policy mapping</t>
  </si>
  <si>
    <t>auth/credentail partner should be able to generate API key for Approved partner policy mapping</t>
  </si>
  <si>
    <t>Generate Api key for inprogress partner policy mapping</t>
  </si>
  <si>
    <t>1. Login as auth/credentail partner
 2. generate API key for inprogress  partner policy mapping</t>
  </si>
  <si>
    <t>auth/credentail partner should not be able to generate API key for inprogress partner policy mapping</t>
  </si>
  <si>
    <t>Verify to generate API key  without giving label</t>
  </si>
  <si>
    <t>1. Login as  auth/credentail partner
 2.Navigate to partner policy mapping screen with partner login.
 3. Choose the approved mapping.
 4. Click on edit.
 5. Do not enter the label.
 6. Click on generate.</t>
  </si>
  <si>
    <t>"Enter label" message should be displayed.</t>
  </si>
  <si>
    <t>Verify to generate API key with unique label</t>
  </si>
  <si>
    <t>1. Login as auth/credentail partner
 2.Navigate to partner policy mapping screen with partner login.
 3. Choose the approved mapping.
 4. Click on edit.
 5.enter unique label
 6. Click on generate.</t>
  </si>
  <si>
    <t>with unique label Api key generated successfully message should be displayed.
 Labels should be listed on the page.
 The policy_api_key in the pms.partner_policy table in db should be the primary key(unique).</t>
  </si>
  <si>
    <t>Verify to generate API key with duplicate label</t>
  </si>
  <si>
    <t>1. Login as auth/credentail partner
 2.Navigate to partner policy mapping screen with partner login.
 3. Choose the approved mapping.
 4. Click on edit.
 5. enter label with already existing label
 6. Click on generate.</t>
  </si>
  <si>
    <t>"The label name already exists" message should be displayed to the user.</t>
  </si>
  <si>
    <t>API key visibility</t>
  </si>
  <si>
    <t>1. Navigate to partner policy mapping screen with partner login.
 2. Choose the approved mapping.
 3. Click on edit.
 4. Enter the label.
 5. Click on generate and look for the api key.</t>
  </si>
  <si>
    <t>The api key should be visible to the user only when the user clicks on generate in the pop up and should not be listed again on the page.</t>
  </si>
  <si>
    <t>Verify to deactivate API key</t>
  </si>
  <si>
    <t>1. Login Auth/credentail partner
2. Partner policy mapping page
3. search for partner, click on ellipsis and edit
4. deactivate label</t>
  </si>
  <si>
    <t>Label Should get deactivates, Associated API shoul get deactivated</t>
  </si>
  <si>
    <t>Verify to edit the partner policy details after approved</t>
  </si>
  <si>
    <t>Should not be able to edit partner policy details once approved</t>
  </si>
  <si>
    <t>Verify to deactivate the partner policy details</t>
  </si>
  <si>
    <t>1. Login as partner admin
2. Partner policy mapping page
3. search for partner, click on ellipsis and edit
4. deactivate label</t>
  </si>
  <si>
    <t>Should be able to deactivate partner policy mapping only when all API key for mapping are deactivated</t>
  </si>
  <si>
    <t>deactivate not implemented yet</t>
  </si>
  <si>
    <t>Verify to edit the partner policy details after rejected</t>
  </si>
  <si>
    <t xml:space="preserve">1. Login as auth/credential partner
2. Partner policy mapping page
3. search for partner, click on ellipsis reject and then edit
</t>
  </si>
  <si>
    <t>Should not be able to edit partner policy details once rejected(no option to edit)</t>
  </si>
  <si>
    <t>MOSIP-12001</t>
  </si>
  <si>
    <t>Mapping of SBI to mutliple
  device make and models</t>
  </si>
  <si>
    <t>Mapping device-sbi</t>
  </si>
  <si>
    <t>Verify to Create device details</t>
  </si>
  <si>
    <t>1. Login as device provider/partner admin
 2. Go to device details--&gt; create device</t>
  </si>
  <si>
    <t>Should be able to create device detilas</t>
  </si>
  <si>
    <t>Verify to Create device details with same make and model and different device type and device subtype</t>
  </si>
  <si>
    <t>1. Login as device provider/partner admin
 2. Go to device details--&gt; create device 
 give same make and model, different device type-subtype</t>
  </si>
  <si>
    <t>Should be able to create device detilas with same make-model and different device type-subtype</t>
  </si>
  <si>
    <t>Verify to Create device details with same make and model and same device type and different device subtype</t>
  </si>
  <si>
    <t>1. Login as device provider/partner admin
 2. Go to device details--&gt; create device 
 give same make and model, same device type different device subtype</t>
  </si>
  <si>
    <t>Should be able to create device detilas with same make-model and same device type, different device -subtype</t>
  </si>
  <si>
    <t>Verify to Create device details with different make and model and same device type and device subtype</t>
  </si>
  <si>
    <t>1. Login as device provider/partner admin
 2. Go to device details--&gt; create device 
 givedifferent make and model, same device type-device subtype</t>
  </si>
  <si>
    <t>Should be able to create device detilas with different make-model and same device type -subtype</t>
  </si>
  <si>
    <t>Verify to Create device details with same make and model and same device type and device subtype</t>
  </si>
  <si>
    <t>1. Login as device provider/partner admin
 2. Go to device details--&gt; create device 
 give same make and model, same device type-device subtype</t>
  </si>
  <si>
    <t>Should not be able to create device detilas with same make-model and same device type -subtype</t>
  </si>
  <si>
    <t>Verify to create SBI details</t>
  </si>
  <si>
    <t>1. Login as device provider/partner admin
 2. Go to SBI details--&gt; create device</t>
  </si>
  <si>
    <t>Should be able to create SBI details</t>
  </si>
  <si>
    <t>Verify to Create Dupliacte of SBI details</t>
  </si>
  <si>
    <t>1. Login as device provider/partner admin
 2. Go to SBI details--&gt; create device
 mention same details as already exists SBI</t>
  </si>
  <si>
    <t>Should not be able to create duplicate SBI details, Version should be unique</t>
  </si>
  <si>
    <t>Verify to Reject device details and map to SBI</t>
  </si>
  <si>
    <t>1. Login as partne admin
 2. go to device details, click on elipics reject device, 
 3. try to maprejected to to SBI</t>
  </si>
  <si>
    <t>Should not be able to map SBI to rejected device</t>
  </si>
  <si>
    <t>Verify to Reject SBI details and map to device</t>
  </si>
  <si>
    <t>1. Login as partne admin
 2. go to SBI details, click on elipics reject device, 
 3. try to device to rejected SBI</t>
  </si>
  <si>
    <t>Should not be able to device with rejeted SBI</t>
  </si>
  <si>
    <t>Verify to Update device details aftere approved</t>
  </si>
  <si>
    <t>1. login as partner admin
 2. Go to device details, click on elipics approve device
 3. try to update device details</t>
  </si>
  <si>
    <t>Should not be able to update device details after approve</t>
  </si>
  <si>
    <t>Verify to Update device details when in pending approval state</t>
  </si>
  <si>
    <t>1. login as partner admin/device provider
 2. Go to device details, create device click on elipics
 3. try to update device details</t>
  </si>
  <si>
    <t>Should be able to update device details when in pending approval state</t>
  </si>
  <si>
    <t>Verify to Update device details after rejected</t>
  </si>
  <si>
    <t>1. login as partner admin
 2. Go to device details, click on elipics reject device
 3. try to update device details</t>
  </si>
  <si>
    <t>Should be abe to update device details once rejected</t>
  </si>
  <si>
    <t>Verify to Update SBI details after approved</t>
  </si>
  <si>
    <t>1. login as partner admin
 2. Go to SBI details, click on elipics approve device
 3. try to update SBI details</t>
  </si>
  <si>
    <t>Should not be abe to updated device details once approved</t>
  </si>
  <si>
    <t>1. login as partner admin/device provider
 2. Go to SBI details, create device click on elipics
 3. try to update SBI details</t>
  </si>
  <si>
    <t>Should not be able to update SBI details when in pending approval state</t>
  </si>
  <si>
    <t>Verify to Update SBI details after rejected</t>
  </si>
  <si>
    <t>1. login as partner admin
 2. Go to SBI details, click on elipics reject device
 3. try to update SBI details</t>
  </si>
  <si>
    <t>Should  be bale to update SBI details after rejected</t>
  </si>
  <si>
    <t>Verify to Map one device to mutilpe SBI created under same vendor</t>
  </si>
  <si>
    <t>1. Login as partner admin/device provider
 2.go to device details, click on elipics edit
 add multiple SBI to single device</t>
  </si>
  <si>
    <t>Should be able to map single device to multiple SBI</t>
  </si>
  <si>
    <t>Misp partner</t>
  </si>
  <si>
    <t>verify to self register for Misp partner</t>
  </si>
  <si>
    <t>1. Login as partner admin
 2. Self register for misp partner</t>
  </si>
  <si>
    <t>Misp partner should get self registered</t>
  </si>
  <si>
    <t>Verify  To generate Misp license for Misp partner</t>
  </si>
  <si>
    <t>1. Login as partner admin
 2. Self register for misp partner
 3. Generate misp license key</t>
  </si>
  <si>
    <t>Generate misp license should get success</t>
  </si>
  <si>
    <t>Verify  To check for deactivate misp license key</t>
  </si>
  <si>
    <t>1. Login as partner admin
 2. deactivate misp license key</t>
  </si>
  <si>
    <t>deactivate of misp license should get success</t>
  </si>
  <si>
    <t>Verify  To check for activate misp license key</t>
  </si>
  <si>
    <t>1. Login as partner admin
 2. Actiavte misp license key</t>
  </si>
  <si>
    <t>Activate of misp license should get success</t>
  </si>
  <si>
    <t>Verify To check for deactivate misp partner</t>
  </si>
  <si>
    <t>deactivate of misp partner should get success</t>
  </si>
  <si>
    <t>Verify  To check for activate misp partner</t>
  </si>
  <si>
    <t>Activate of misp partner should get success</t>
  </si>
  <si>
    <t>Verify to generate misp license key using deactivated misp partner</t>
  </si>
  <si>
    <t>1. Login as partner admin
 2. deactivate misp license key
3. generate misp license key for the same</t>
  </si>
  <si>
    <t>Should not be able to generate misp license key for deactivate misp partner</t>
  </si>
  <si>
    <t>integartion 01</t>
  </si>
  <si>
    <t>PMS -IDA</t>
  </si>
  <si>
    <t>Perform authentication using auth partner</t>
  </si>
  <si>
    <t>1. Self register for auth partner using PMS ui portal
 2. using the same auth partner perform demo/bio /otp authentication</t>
  </si>
  <si>
    <t>demo/bio auth should get success using auth partner</t>
  </si>
  <si>
    <t>integartion 02</t>
  </si>
  <si>
    <t>Perform auth with deactivated partner</t>
  </si>
  <si>
    <t>1. login as partner admin
 2. Deactivate partner
 3. perform the demo/bio/otp auth using the same partner</t>
  </si>
  <si>
    <t>Demo/bio/otp auth should get failed with deactivated partner with error 'Partner is deactivated'</t>
  </si>
  <si>
    <t>integartion 03</t>
  </si>
  <si>
    <t>Perform ekyc with deactivated partner</t>
  </si>
  <si>
    <t>1. login as partner admin
 2. Deactivate partner
 3. perform the demo/bio/otp ekyc using the same partner</t>
  </si>
  <si>
    <t>Demo/bio/otp ekyc should get failed with deactivated partner 'Partner is deactivated'</t>
  </si>
  <si>
    <t>integartion 04</t>
  </si>
  <si>
    <t>Perform auth using API key</t>
  </si>
  <si>
    <t>1. login as partner admin or auth/credentail partner
 2.Generate API key
 3. perform the demo/bio/ otp auth using the same API key</t>
  </si>
  <si>
    <t>demo/bio/otp auth should get success using API key</t>
  </si>
  <si>
    <t>integartion 05</t>
  </si>
  <si>
    <t>Perform ekyc using API key</t>
  </si>
  <si>
    <t>1. login as partner admin or auth/credentail partner
 2.Generate API key
 3. perform the demo/bio/otp ekyc using the same API key</t>
  </si>
  <si>
    <t>demo/bio/otp ekyc should get success using API key</t>
  </si>
  <si>
    <t>integartion 06</t>
  </si>
  <si>
    <t>Perform auth using deactivated API key</t>
  </si>
  <si>
    <t>1. login as partner admin
 2.Deactivate API key
 3. perform the demo/bio auth using the same API key</t>
  </si>
  <si>
    <t>demo/bio/otp auth should get success using deactivated API key 'Partner is deactivated'</t>
  </si>
  <si>
    <t>integartion 07</t>
  </si>
  <si>
    <t>Perform ekyc using deactivated API key</t>
  </si>
  <si>
    <t>demo/bio/otp ekyc should get success using deactivated API key</t>
  </si>
  <si>
    <t>integartion 08</t>
  </si>
  <si>
    <t>Perform authentication using deactivated policy</t>
  </si>
  <si>
    <t>1. login as partner admin
 2.Deactivate policy
 3. perform the demo/bio auth using the same API key</t>
  </si>
  <si>
    <t>policy cannot be deactivated once published</t>
  </si>
  <si>
    <t>integartion 09</t>
  </si>
  <si>
    <t>Integartion auth policy</t>
  </si>
  <si>
    <t>To remove OTP allowed authtype while creating policy and do auth with the same</t>
  </si>
  <si>
    <t>1. login as policy manager/partner admin
 2. remove allowed auth types OTP while creating policy
 3. perform otp authentication with the same policy</t>
  </si>
  <si>
    <t>Otp authentication should get fail</t>
  </si>
  <si>
    <t>integartion 10</t>
  </si>
  <si>
    <t>To remove demo allowed authtype while creating policy and do auth with the same</t>
  </si>
  <si>
    <t>1. login as policy manager/partner admin
 2. remove allowed auth types demo while creating policy
 3. perform demo authentication with the same policy</t>
  </si>
  <si>
    <t>Demo authentication should get fail</t>
  </si>
  <si>
    <t>integartion 11</t>
  </si>
  <si>
    <t>To remove bio(iris/face/finger) allowed authtype while creating policy and do auth with the same</t>
  </si>
  <si>
    <t>1. login as policy manager/partner admin
 2. remove allowed auth types bio(iris/finger/finger) while creating policy
 3. perform bio authentication with the same policy</t>
  </si>
  <si>
    <t>Bio authentication should get fail</t>
  </si>
  <si>
    <t>integartion 12</t>
  </si>
  <si>
    <t>To mark allowed auth types while policy creation, IRIS as true and do demo auth</t>
  </si>
  <si>
    <t>1. login as policy manager/partner admin
 2. mark allowed auth types bio iris as "true" while creating policy
 3. perform demo authentication with the same policy</t>
  </si>
  <si>
    <t>Demo authentication should get fail with appropriate error bio iris auth is mandatory as per the policy</t>
  </si>
  <si>
    <t>integartion 13</t>
  </si>
  <si>
    <t>To mark allowed auth types while policy creation, face as true and do IRIS auth</t>
  </si>
  <si>
    <t>1. login as policy manager/partner admin
 2. mark allowed auth types bio face as "true" while creating policy
 3. perform IRIS authentication with the same policy</t>
  </si>
  <si>
    <t>bio- IRIS authentication should get fail with appropriate error bio face auth is mandatory as per the policy</t>
  </si>
  <si>
    <t>integartion 14</t>
  </si>
  <si>
    <t>To mark allowed auth types while policy creation, Demo as true and do OTP auth</t>
  </si>
  <si>
    <t>1. login as policy manager/partner admin
 2. mark allowed auth types Demo as "true" while creating policy
 3. perform OTP authentication with the same policy</t>
  </si>
  <si>
    <t>OTP authentication should get fail with appropriate error demo auth is mandatory as per the policy</t>
  </si>
  <si>
    <t>integartion 15</t>
  </si>
  <si>
    <t>To mark allowed auth types while policy creation, Otp as true and do Finger auth</t>
  </si>
  <si>
    <t>1. login as policy manager/partner admin
 2. mark allowed auth types OTP as "true" while creating policy
 3. perform bio finger authentication with the same policy</t>
  </si>
  <si>
    <t>Bio finger authentication should get fail with appropriate error otp auth is mandatory as per the policy</t>
  </si>
  <si>
    <t>integartion 16</t>
  </si>
  <si>
    <t>Perform demo/bio authentication using deactivated misp license</t>
  </si>
  <si>
    <t>1. Login as partner admin
 2. Deactivate misp license 
 3. use the same misp license while doing auth/ekyc</t>
  </si>
  <si>
    <t>demo/bio authentication should get fail with deactivated misp license key</t>
  </si>
  <si>
    <t>integartion 17</t>
  </si>
  <si>
    <t>Perform demo/bio authentication using actiavted misp license</t>
  </si>
  <si>
    <t>1. Login as partner admin
 2. Register for Misp partner
 3. generate Misp license
 4. use the same misp license perform auth/ekyc</t>
  </si>
  <si>
    <t>demo/bio authentication should get success with deactivated misp license key</t>
  </si>
  <si>
    <t>integartion 18</t>
  </si>
  <si>
    <t>Verify to do eKyc Demo Auth for multilang fields</t>
  </si>
  <si>
    <t>1. Login as policy manager
 2. create auth policy with ekyc lang in policy as only 'ara' 
 4.perform demo authentiaction</t>
  </si>
  <si>
    <t>Auth should be success with ekyc 
 response should be only in ara lang</t>
  </si>
  <si>
    <t>integartion 19</t>
  </si>
  <si>
    <t>1. Login as policy manager
 2. create auth policy with ekyc lang in policy as only 'eng' 
 4.perform demo authentiaction</t>
  </si>
  <si>
    <t>Auth should be success with ekyc 
 response should be only in eng lang</t>
  </si>
  <si>
    <t>integartion 20</t>
  </si>
  <si>
    <t>1. Login as policy manager
 2. create auth policy with ekyc lang in policy as both 'eng' &amp; 'ara'
 4.perform demo authentiaction</t>
  </si>
  <si>
    <t>Auth should be success with ekyc 
 response in both eng &amp; ara</t>
  </si>
  <si>
    <t>integartion 21</t>
  </si>
  <si>
    <t>1. Login as policy manager
 2. create auth policy without ekyc lang in policy 
 4.perform demo authentiaction</t>
  </si>
  <si>
    <t>integartion 22</t>
  </si>
  <si>
    <t>1. Login as policy manager
 2. create auth policy with ekyc lang in policy as only 'hin' 
 4.perform demo authentiaction</t>
  </si>
  <si>
    <t>Auth should be success with ekyc 
 response should be only in hin</t>
  </si>
  <si>
    <t>integartion 23</t>
  </si>
  <si>
    <t>1. Login as policy manager
 2. create auth policy with ekyc lang in policy as only 'kan' 
 4.perform demo authentiaction</t>
  </si>
  <si>
    <t>Auth should be success with ekyc 
 response should be only in kan</t>
  </si>
  <si>
    <t>integartion 24</t>
  </si>
  <si>
    <t>1. Login as policy manager
 2. create auth policy with ekyc lang in policy as only 'tam' 
 4.perform demo authentiaction</t>
  </si>
  <si>
    <t>integartion 25</t>
  </si>
  <si>
    <t>1. Login as policy manager
 2. create auth policy with ekyc lang in policy hin, kan,tam
 4.perform demo authentiaction</t>
  </si>
  <si>
    <t>Auth should be success with ekyc 
 response in hin,tam,kan</t>
  </si>
  <si>
    <t>integartion 26</t>
  </si>
  <si>
    <t>1. Login as policy manager
 2. create auth policy without ekyc lang 
 4.perform demo authentiaction</t>
  </si>
  <si>
    <t>integartion 27</t>
  </si>
  <si>
    <t>Verify to create auth policy with authtokentype as "policy" and perform authentication using the same</t>
  </si>
  <si>
    <t>1. Login as policy manager
 2.Create auth policy with authtokentype as policy
 3. map partner to policy
 4. Genarate API key
 5. perform authentication</t>
  </si>
  <si>
    <t>Auth token should be based on policy(I,e Policy - the token will be created using Policy ID and UIN)</t>
  </si>
  <si>
    <t>integartion 28</t>
  </si>
  <si>
    <t>Verify to create auth policy with authtokentype as "Partner" and perform authentication using the same</t>
  </si>
  <si>
    <t>1. Login as policy manager
 2.Create auth policy with authtokentype as partner
 3. map partner to policy
 4. Genarate API key
 5. perform authentication</t>
  </si>
  <si>
    <t>Auth token should be based on policy(I,e Partner - the token will be generated (based on Partner ID and UIN)</t>
  </si>
  <si>
    <t>integartion 29</t>
  </si>
  <si>
    <t>Verify to create auth policy with authtokentype as "random" and perform authentication using the same</t>
  </si>
  <si>
    <t>1. Login as policy manager
 2.Create auth policy with authtokentype as Random
 3. map partner to policy
 4. Genarate API key
 5. perform authentication</t>
  </si>
  <si>
    <t>Auth token should be based on policy(I,e Random - each time of the authentication, new random token should be generated (default value if the attribute is not available)</t>
  </si>
  <si>
    <t>integartion 30</t>
  </si>
  <si>
    <t>verify when authTokenType as null while creating policy</t>
  </si>
  <si>
    <t>1. Login as policy manager
 2.Create auth policy with authtokentype as ""</t>
  </si>
  <si>
    <t>we should get error like "errors": [
 {
 "errorCode": "PMS-PV-005",
 "message": "Invalid input parameter - authTokenType"
 }</t>
  </si>
  <si>
    <t>integartion 31</t>
  </si>
  <si>
    <t>verify when authTokenType as invalid data other that patner/policy/random while creating policy</t>
  </si>
  <si>
    <t>1. Login as policy manager
 2.Create auth policy with authtokentype as "custom type"</t>
  </si>
  <si>
    <t>"errors": [
 {
 "errorCode": "PMS-PV-005",
 "message": "Invalid input parameter - authTokenType"
 }</t>
  </si>
  <si>
    <t>integartion 32</t>
  </si>
  <si>
    <t>verify if we don’t pass authTokenType attribute itself while creating policy</t>
  </si>
  <si>
    <t>1. Login as policy manager
 2.Create auth policy without authtokentype field</t>
  </si>
  <si>
    <t>we should get error like "errors": [
 {
 "errorCode": "PMS-PV-006",
 "message": "Missing input parameter - authTokenType"
 }
 ]</t>
  </si>
  <si>
    <t>integartion 33</t>
  </si>
  <si>
    <t>integartion Datashare policy</t>
  </si>
  <si>
    <t>To mark encrypted as false any atribute from data share shareableAttributes and issue credential</t>
  </si>
  <si>
    <t>1. Login as partner admin/policy manager
 2.Create Datashare policy by giving Encrypted as false any attribute 
 3. Issue credential</t>
  </si>
  <si>
    <t>Attribute which is marked encrypted false should be readable format. 
 Check table identity cache under mosip.ida DB</t>
  </si>
  <si>
    <t>integartion 34</t>
  </si>
  <si>
    <t>To remove the any attribute from data share shareableAttributes and issue credential</t>
  </si>
  <si>
    <t>1. Login as partner admin/policy manager
 2.Create Datashare policy by removing any attribute 
 3. Issue credential</t>
  </si>
  <si>
    <t>Removed attribute entry should not get issued in table identity cache under mosip.ida DB</t>
  </si>
  <si>
    <t>integartion 35</t>
  </si>
  <si>
    <t>To update format as " " for individualBiometrics atribute from data share shareableAttributes and issue credential</t>
  </si>
  <si>
    <t>1. Login as partner admin/policy manager
 2.Create Datashare policy by giving individual biometrics format as "" 
 3. Issue credential</t>
  </si>
  <si>
    <t>Biometrics should get issued.</t>
  </si>
  <si>
    <t>integartion 36</t>
  </si>
  <si>
    <t>To mark the individualBiometrics attribute name in Datashare as below and issue credentail
"attributeName":"individualBiomet",
"source": [{
"attribute": "individualBiometrics"}]</t>
  </si>
  <si>
    <t>1. Login as partner admin/policy manager
 2.Create Datashare policy by giving individual biometrics as "attributeName":"individualBiomet",
"source": [{
"attribute": "individualBiometrics"}]
 3. Issue credential</t>
  </si>
  <si>
    <t>integartion 37</t>
  </si>
  <si>
    <t>To mark the individualBiometrics attribute name in Datashare as below and issue credentail
"attributeName":"Zipcode",
"source": [{
"attribute": "pincode"}]</t>
  </si>
  <si>
    <t>1. Login as partner admin/policy manager
 2.Create Datashare policy by giving individual biometrics as "attributeName":"zipcode",
"source": [{
"attribute": "pincode"}]
 3. Issue credential</t>
  </si>
  <si>
    <t>Credentail to get issed with attribute name zipcode</t>
  </si>
  <si>
    <t>integartion 38</t>
  </si>
  <si>
    <t>To create datashare policy by removing any attribute from the policy</t>
  </si>
  <si>
    <t>Removed attribute should not be in credentail issuance</t>
  </si>
  <si>
    <t>integartion 39</t>
  </si>
  <si>
    <t>To make typeofshare in datasharepolices as " "and issue credentail</t>
  </si>
  <si>
    <t>1. Login as partner admin/policy manager
 2.Create Datashare policy by giving typeofshare in datasharepolices as "" 
 3. Issue credential</t>
  </si>
  <si>
    <t>Credential should not get issued</t>
  </si>
  <si>
    <t>integartion 40</t>
  </si>
  <si>
    <t>To make typeofshare in datasharepolices as "Direct"and issue credentail</t>
  </si>
  <si>
    <t>1. Login as partner admin/policy manager
 2.Create Datashare policy by giving typeofshare in datasharepolices as "direct" 
 3. Issue credential</t>
  </si>
  <si>
    <t>Credential should get issued and entry to be there in identity cache table under mosip.master DB</t>
  </si>
  <si>
    <t>integartion 41</t>
  </si>
  <si>
    <t>To make typeofshare in datasharepolices as "Data share"and issue credentail</t>
  </si>
  <si>
    <t>1. Login as partner admin/policy manager
 2.Create Datashare policy by giving typeofshare in datasharepolices as "data share" 
 3. Issue credential</t>
  </si>
  <si>
    <t>integartion 42</t>
  </si>
  <si>
    <t>To check for validforminutes when typeofshare in datasharepolices as "datashare" and issue credentail</t>
  </si>
  <si>
    <t>1. Login as partner admin/policy manager
 2.Create Datashare policy by giving typeofshare in datasharepolices as "datashare" 
 3. Issue credential
 4. Check for url validity</t>
  </si>
  <si>
    <t>Credential should get issued and url to get expired after validforminutes in policy</t>
  </si>
  <si>
    <t>Able to access url after validinforminutes also</t>
  </si>
  <si>
    <t>integartion 43</t>
  </si>
  <si>
    <t>To check for transcationallowed when typeofshare in datasharepolices as "datashare" and issue credentail</t>
  </si>
  <si>
    <t>1. Login as partner admin/policy manager
 2.Create Datashare policy by giving typeofshare in datasharepolices as "datashare" 
 3. Issue credential
 4. Check for transcationallowed for url</t>
  </si>
  <si>
    <t>Credential should get issued and url to get expired after specified transcation allowed in policy</t>
  </si>
  <si>
    <t>integartion 44</t>
  </si>
  <si>
    <t>To change sharedomain as "https" while creating datashare policy and issue credential</t>
  </si>
  <si>
    <t>1. Login as partner admin/policy manager
 2. update the property mosip.data.share.protocol = https in idrepo and datashare mz propperties
3.Create Datashare policy by giving sharedomain in datasharepolices as "https"  
 4. Issue credential</t>
  </si>
  <si>
    <t>Credential should get issued</t>
  </si>
  <si>
    <t>integartion 45</t>
  </si>
  <si>
    <t xml:space="preserve">Verify to create datashare policy by giving encryption type as "none" in datashare polices </t>
  </si>
  <si>
    <t>1. Login as partner admin/policy manager
 2.Create Datashare policy by giving encryptiontype as"none" in datashare polices
 3. Issue credential</t>
  </si>
  <si>
    <t>credentail should get issued and data should be in readble format</t>
  </si>
  <si>
    <t>integartion 46</t>
  </si>
  <si>
    <t>Verify to create datashare policy by changing attribute name as custom name</t>
  </si>
  <si>
    <t>1. Login as partner admin/policy manager
 2.Create Datashare policy by giving attribute name as custom name and attribute is existing name 
 3. Issue credential</t>
  </si>
  <si>
    <t>Credentail issuance should get success with the name given</t>
  </si>
  <si>
    <t>integartion 47</t>
  </si>
  <si>
    <t>Verify to create datashare policy by changing attribute name as custom name inside source</t>
  </si>
  <si>
    <t>1. Login as partner admin/policy manager
 2.Create Datashare policy by giving inside source attribute with custom name
 3. Issue credential</t>
  </si>
  <si>
    <t>Credentail issuance for that attribute should fail</t>
  </si>
  <si>
    <t>integartion 48</t>
  </si>
  <si>
    <t>1. Login as partner admin/policy manager
 2.Add bio extractors only for iris and check only iris data is extracting
 3. peform auth/ekyc using the same</t>
  </si>
  <si>
    <t>Only iris data should get extracted</t>
  </si>
  <si>
    <t>integartion 49</t>
  </si>
  <si>
    <t>1. Login as partner admin/policy manager
 2.Add bio extractors only for iris &amp; face and check only iris &amp; face data is extracting
 3. peform auth/ekyc using the same</t>
  </si>
  <si>
    <t>Only iris &amp; face data should get extracted</t>
  </si>
  <si>
    <t>integartion 50</t>
  </si>
  <si>
    <t>PMS-Resident</t>
  </si>
  <si>
    <t>Verify to create datshare policy for reprint by giving typeofshare as datashare</t>
  </si>
  <si>
    <t>1. Login to partner admin/policy manager
 2.Create datashare policy for reprint by giving typeofshare as 'datashare'
 3.Download card</t>
  </si>
  <si>
    <t>Resident should download card</t>
  </si>
  <si>
    <t>integartion 51</t>
  </si>
  <si>
    <t>Verfiy to create reprint policy by giving DOB format as DD/MM/YYYY and download card</t>
  </si>
  <si>
    <t>1. Login to partner admin/policy manager
 2.Create datashare policy for reprint by giving DOB format as DD/MM/YYY
 3.Download card</t>
  </si>
  <si>
    <t>Dob format In card should be DD/MM/YYYY</t>
  </si>
  <si>
    <t>integartion 52</t>
  </si>
  <si>
    <t xml:space="preserve">Verfiy to create reprint policy by giving langugae filter in name attribute, </t>
  </si>
  <si>
    <t>1. Login to partner admin/policy manager
 2.Create datashare policy for reprint by language filter for name attribute
 3.Download card</t>
  </si>
  <si>
    <t>Name shoul dnot get printed in downloded card</t>
  </si>
  <si>
    <t>integartion 53</t>
  </si>
  <si>
    <t>Verfiy to create reprint policy by updating the biometrics attribute and print the UIN card</t>
  </si>
  <si>
    <t>1. Login to partner admin/policy manager
 2.Create datashare policy for reprint by updating biometrics attribute
 3.Download card</t>
  </si>
  <si>
    <t>integartion 54</t>
  </si>
  <si>
    <t>Verify to create reprint policy by removing any attribute in shareable attributes and print UIN card</t>
  </si>
  <si>
    <t>1. Login to partner admin/policy manager
 2.Create datashare policy for reprint by removing gender attribute
3. Remove attribute in template and identity json from config also 
 3.Download card</t>
  </si>
  <si>
    <t>Removed attribute details should not be displayed in dowloaded card</t>
  </si>
  <si>
    <t>integartion 55</t>
  </si>
  <si>
    <t>Verify to create reprint policy by marking encrypted as true for any attribute in shareable attributes and print UIN card</t>
  </si>
  <si>
    <t>1. Login to partner admin/policy manager
 2.Create datashare policy for reprint by giving encrypted as true for any attribute 
 3.Download card</t>
  </si>
  <si>
    <t>Attribute marked as encrypted true should not be in readable format in downloaded card</t>
  </si>
  <si>
    <t>Demographic authentication</t>
  </si>
  <si>
    <t>Authenticate using UIN with Valid field value /name/dob/gender/region/province/email/phone/residentStatus</t>
  </si>
  <si>
    <t>Authenticate using UIN with invalid field value /name/dob/gender/region/province/email/phone/residentStatus</t>
  </si>
  <si>
    <t>Authenticate using UIN by passing Valid lang code.</t>
  </si>
  <si>
    <t>Authenticate using UIN by passing InValid lang code.</t>
  </si>
  <si>
    <t>Authentication without individual type ID.</t>
  </si>
  <si>
    <t>Authentication for update UIN data /name/dob/gender/email/phone.</t>
  </si>
  <si>
    <t>Authenticate using VID with Valid field value /name/dob/gender/region/province/email/phone/residentStatus</t>
  </si>
  <si>
    <t>Authenticate using VID with invalid field value /name/dob/gender/region/province/email/phone/residentStatus</t>
  </si>
  <si>
    <t>Authentication with OneTimeUse VID</t>
  </si>
  <si>
    <t>Authentication with Temporary VID</t>
  </si>
  <si>
    <t>Authentication with Permanent VID</t>
  </si>
  <si>
    <t>Authentication with Revoked VID</t>
  </si>
  <si>
    <t>Authentication with expiry vid</t>
  </si>
  <si>
    <t>Authenticate using VID by passing Valid lang code.</t>
  </si>
  <si>
    <t>Authenticate using VID by passing InValid lang code.</t>
  </si>
  <si>
    <t>Authentication using VID by providing invalid transactionID</t>
  </si>
  <si>
    <t>Authentication using VID without individual type ID.</t>
  </si>
  <si>
    <t>Authenticate using VID /name/dob/age/location/partial location/gender</t>
  </si>
  <si>
    <t>Authenticaton when the time is exceeded than the time period.</t>
  </si>
  <si>
    <t>Authentication with child/infant data</t>
  </si>
  <si>
    <t>Demo auth with infant UIN.</t>
  </si>
  <si>
    <t>OTP auth with infant UIN.</t>
  </si>
  <si>
    <t>Bio auth with infant UIN.</t>
  </si>
  <si>
    <t>Normalized demographic authentication</t>
  </si>
  <si>
    <t>Normalization of address and name authentication for English language.EX : address as "HSR Rd" instead of "HSR Road 2".</t>
  </si>
  <si>
    <t>Normalization of address and name authentication for different language.</t>
  </si>
  <si>
    <t>Biometric authentication</t>
  </si>
  <si>
    <t>Authentication with Finger</t>
  </si>
  <si>
    <t>Authentication with iris</t>
  </si>
  <si>
    <t>Authentication with Face</t>
  </si>
  <si>
    <t>Authentication with Multifactor (Ex: finger and iris )</t>
  </si>
  <si>
    <t>Authentication with Multifactor (Ex: finger and face )</t>
  </si>
  <si>
    <t>Authentication with Multifactor (Ex: finger,iris and face )</t>
  </si>
  <si>
    <t>Authentication with Biometric exception resident data.</t>
  </si>
  <si>
    <t>Authentication by passing invalid Bio-Type value as FIR instead of Finger</t>
  </si>
  <si>
    <t>Authentication by passing invalid Bio-Type value as FC instead of Face</t>
  </si>
  <si>
    <t>Authentication by passing invalid Bio-Type value as IR instead of iris</t>
  </si>
  <si>
    <t>Authentication by passing valid bioType and valid digitalId.type(ex: bioType as finger ,digitalId.type as finger)</t>
  </si>
  <si>
    <t>Authentication by passing valid bioType and invalid digitalId.type(ex: bioType as finger ,digitalId.type as FIR</t>
  </si>
  <si>
    <t>Authentication with all bioSubType of fingers like Left RingFinger,Left MiddleFinger,Left IndexFinger,Left LittleFinger,Right IndexFinger,Right RingFinger,Right MiddleFinger,Right LittleFinger,Left Thumb,Right Thumb.</t>
  </si>
  <si>
    <t>Authentication when bio data is mismatched</t>
  </si>
  <si>
    <t>Authentication when digital signature is wrong</t>
  </si>
  <si>
    <t>Ekyc Authentication</t>
  </si>
  <si>
    <t>Ekyc Authenticate using UIN with Valid field value /name/dob/gender/region/province/email/phone/residentStatus</t>
  </si>
  <si>
    <t>Ekyc Authenticate using UIN with invalid field value /name/dob/gender/region/province/email/phone/residentStatus</t>
  </si>
  <si>
    <t>Ekyc Authenticate using UIN by passing Valid lang code.</t>
  </si>
  <si>
    <t>Ekyc Authenticate using UIN by passing InValid lang code.</t>
  </si>
  <si>
    <t>Ekyc Authenticate using VID with Valid field value /name/dob/gender/region/province/email/phone/residentStatus</t>
  </si>
  <si>
    <t>Ekyc Authenticate using VID with invalid field value /name/dob/gender/region/province/email/phone/residentStatus</t>
  </si>
  <si>
    <t>Ekyc Authenticate using VID by passing Valid lang code.</t>
  </si>
  <si>
    <t>Ekyc Authenticate using VID by passing InValid lang code.</t>
  </si>
  <si>
    <t>Ekyc authentication with OneTimeUse VID</t>
  </si>
  <si>
    <t>Ekyc authentication with Temporary VID</t>
  </si>
  <si>
    <t>Ekyc authentication with Permanent VID</t>
  </si>
  <si>
    <t>Ekyc authentication with Revoked VID</t>
  </si>
  <si>
    <t>Ekyc authentication with expiry vid</t>
  </si>
  <si>
    <t>Create a policy by removing demo allowed attritubes and perform Authentication.</t>
  </si>
  <si>
    <t>Create a policy by adding kyc attributes like dateOfBirth,photo and perform Authentication.</t>
  </si>
  <si>
    <t>Modify policy to add information and check if its reflecting in ekyc</t>
  </si>
  <si>
    <t>Make the FINGER as mandatory in the allowedAuthTypes in the auth policy and perform bio auth with finger</t>
  </si>
  <si>
    <t>Make the FINGER as mandatory in the allowedAuthTypes in the auth policy and perform bio auth with iris.</t>
  </si>
  <si>
    <t>authTokenType</t>
  </si>
  <si>
    <t>Create new policy with authTokenType as policy and perform authentication</t>
  </si>
  <si>
    <t>Create new policy with authTokenType as partner and perform authentication</t>
  </si>
  <si>
    <t>Create new policy with authTokenType as random and perform authentication</t>
  </si>
  <si>
    <t>Create policy with invalid authTokenType other than patner/policy/random and perform authentication</t>
  </si>
  <si>
    <t>Based on preferred lang success email notification should trigger. Example: if preferred lang set to "eng" then notification should get with eng lang,if preferred lang set to "ara" then notification should get with ara lang, if no preferred lang is avaliable for the UIN then notification should get with default (I,e ara,eng)</t>
  </si>
  <si>
    <t>Based on preferred lang failure email notification should trigger. Example: if preferred lang set to "eng" then notification should get with eng lang,if preferred lang set to "ara" then notification should get with ara lang, if no preferred lang is avaliable for the UIN then notification should get with default (I,e ara,eng)</t>
  </si>
  <si>
    <t>Authenticate using OTP</t>
  </si>
  <si>
    <t>Request for otp and authenticate</t>
  </si>
  <si>
    <t>Request for new otp before expiry</t>
  </si>
  <si>
    <t>Authenticate using wrong otp</t>
  </si>
  <si>
    <t>Update phone number and request otp</t>
  </si>
  <si>
    <t>Update email id and request otp</t>
  </si>
  <si>
    <t>OTP authentication with OneTimeUse VID</t>
  </si>
  <si>
    <t>OTP authentication with Temporary VID</t>
  </si>
  <si>
    <t>OTP authentication with Permanent VID</t>
  </si>
  <si>
    <t>OTP authentication with Revoked VID</t>
  </si>
  <si>
    <t>OTP authentication with expiry vid</t>
  </si>
  <si>
    <t>Internal Authentication</t>
  </si>
  <si>
    <t>Bio Auth with Multiple factor</t>
  </si>
  <si>
    <t>Authentication with Hotlist UIN (demo/bio/ekyc/otp)</t>
  </si>
  <si>
    <t>Authentication with Hotlist VID (demo/bio/ekyc/otp)</t>
  </si>
  <si>
    <t>Authentication with Hotlist partner (demo/bio/ekyc/otp)</t>
  </si>
  <si>
    <t>Authentication with Hotlist Device (Device Id for Iris/Face/Finger)</t>
  </si>
  <si>
    <t>Auth Lock and Unlock from resident</t>
  </si>
  <si>
    <t>Authentication with demo Auth lock for UIN</t>
  </si>
  <si>
    <t>Authentication after unlock for specified time</t>
  </si>
  <si>
    <t>Authentication with Bio Auth lock(iris,face,finger) for UIN</t>
  </si>
  <si>
    <t>Bio Authentication after unlock for specified time</t>
  </si>
  <si>
    <t>Authentication with VID Auth lock(iris,face,finger)</t>
  </si>
  <si>
    <t>Bio Authentication after unlock for specified time for VID</t>
  </si>
  <si>
    <t>Draft UIN/VID-IDA</t>
  </si>
  <si>
    <t>Authentication with Draft UIN -demo/bio/ekyc/otp</t>
  </si>
  <si>
    <t>Authentication with Draft VID -demo/bio/ekyc/otp</t>
  </si>
  <si>
    <t>PMS-IDA</t>
  </si>
  <si>
    <t>Permofm demo/bio/otp auth using partner created from PMS</t>
  </si>
  <si>
    <t>Deactivate the Partner and do Authentication</t>
  </si>
  <si>
    <t>Deactivate the Misp partner and do Authentication</t>
  </si>
  <si>
    <t>Deactivate the Misp license and do Authentication</t>
  </si>
  <si>
    <t>Activate the Misp partner and do Authentication</t>
  </si>
  <si>
    <t>Activate the Misp license and do Authentication</t>
  </si>
  <si>
    <t>Deactivate the API key and perform Authentication by using UIN/VID</t>
  </si>
  <si>
    <t>perform Demo/Bio/Ekyc/OTP Auth with different partner details which is not registered to MOSIP system</t>
  </si>
  <si>
    <t>Do authenticatio with Rejected API key</t>
  </si>
  <si>
    <t>Anonymous profile</t>
  </si>
  <si>
    <t>Check Anonymous profile for demo Authentication</t>
  </si>
  <si>
    <t>Check Anonymous profile for Bio Authentication</t>
  </si>
  <si>
    <t>Check Anonymous profile for Ekyc Authentication</t>
  </si>
  <si>
    <t>Check Anonymous profile for OTP Authentication</t>
  </si>
  <si>
    <t xml:space="preserve"> lang</t>
  </si>
  <si>
    <t>Test case step</t>
  </si>
  <si>
    <t>MOSIP-13567</t>
  </si>
  <si>
    <t>IdObjectValidator language validations should be done from properties instead of masterdata Language API</t>
  </si>
  <si>
    <t>IDA_01</t>
  </si>
  <si>
    <t>IDRepo</t>
  </si>
  <si>
    <t>To verify that Masterdata Language API dependency is removed.</t>
  </si>
  <si>
    <t>Dependency should be removed.</t>
  </si>
  <si>
    <t>IDA_02</t>
  </si>
  <si>
    <t>To verify that IdObjectValidator language validations should be done from config properties file.(i,e application-mz.properties)</t>
  </si>
  <si>
    <t>IdObjectValidator language validations should be done from config properties file instead of Masterdata language API.</t>
  </si>
  <si>
    <t>IDA_03</t>
  </si>
  <si>
    <t>Verify that we are able to add or remove languages as per the choice in config file.</t>
  </si>
  <si>
    <t>should be able to add or remove languages as per the choice.</t>
  </si>
  <si>
    <t>IDA_04</t>
  </si>
  <si>
    <t>To verify that we are able to add Record into IDRepo and get successful response based on the languages given in config file.</t>
  </si>
  <si>
    <t>we should be able to add Record into IDRepo and get successful response based on the languages given in config file.</t>
  </si>
  <si>
    <t>IDA_05</t>
  </si>
  <si>
    <t>To verify we are able to fetch the same Record from IDRepo and the response is in same language as used while inserting record into IDRepo.</t>
  </si>
  <si>
    <t>we should be able to fetch the same Record from IDRepo and the response is in same language as used while inserting record into IDRepo.</t>
  </si>
  <si>
    <t>IDA_06</t>
  </si>
  <si>
    <t>To verify that if trying to do Add record with other than the languages specified in config file should throw appropriate error.</t>
  </si>
  <si>
    <t>When trying to do Add record with other than the languages specified in config file should throw appropriate error.</t>
  </si>
  <si>
    <t>IDA_07</t>
  </si>
  <si>
    <t>To verify that we are able to Add Record when languages are not filled in madatory language field</t>
  </si>
  <si>
    <t>We should be able to add and fetch the record even when mandatory language field is blank.</t>
  </si>
  <si>
    <t>IDA_08</t>
  </si>
  <si>
    <t>To verify that we are able to Add Record into IDRepo when languages are not filled in optional language field .</t>
  </si>
  <si>
    <t>we should be able to Add Record into IDRepo when languages are not filled in optional language field .</t>
  </si>
  <si>
    <t>IDA_09</t>
  </si>
  <si>
    <t>To check if we are able to add multiple languages both in mandatory and optional field in config file.</t>
  </si>
  <si>
    <t>Should be able to add multiple languages both in mandatory and optional field in config file.</t>
  </si>
  <si>
    <t>IDA_10</t>
  </si>
  <si>
    <t>To check the behaviour when mandatory and optional languages are same</t>
  </si>
  <si>
    <t>It should work with mandate language.</t>
  </si>
  <si>
    <t>IDA_11</t>
  </si>
  <si>
    <t>To check the average response time taken while adding Record and retrival of the same.</t>
  </si>
  <si>
    <t>Response time should be as usual .</t>
  </si>
  <si>
    <t>MOSIP-12406</t>
  </si>
  <si>
    <t>ID Repository key management issue</t>
  </si>
  <si>
    <t>IDA_IDRepo_01</t>
  </si>
  <si>
    <t>To check that below config should be present under Idrepo.mz property File</t>
  </si>
  <si>
    <t>mosip.idrepo.crypto.refId.uin=
  mosip.idrepo.crypto.refId.uin-data=
  mosip.idrepo.crypto.refId.demo-doc-data=
  mosip.idrepo.crypto.refId.bio-doc-data=</t>
  </si>
  <si>
    <t>IDA_IDRepo_02</t>
  </si>
  <si>
    <t>The user should be able to create the packet Successfully after below property is set to true in IDA repo
  mosip.credential.service.share.prependThumbprint = true</t>
  </si>
  <si>
    <t>The packet should process with No hassel</t>
  </si>
  <si>
    <t>IDA_IDRepo_03</t>
  </si>
  <si>
    <t>The user should be able to create the packet Successfully after below property is set to true in IDA repo
  mosip.credential.service.share.prependThumbprint = false</t>
  </si>
  <si>
    <t>IDA_IDRepo_04</t>
  </si>
  <si>
    <t>TO perform Auth with the UIN successfully.</t>
  </si>
  <si>
    <t>MOSIP-11471</t>
  </si>
  <si>
    <t>API for addition and removal of devices,VID and partner to hotlist</t>
  </si>
  <si>
    <t>IDA_HotList_01</t>
  </si>
  <si>
    <t>HotListing</t>
  </si>
  <si>
    <t>To Hotlist UIN forever without giving expirytime</t>
  </si>
  <si>
    <t>User should be able to Hotlist UIN by Blocking it. The Data will be Present Under the Holist Table and Hotlist History Table as Blocked</t>
  </si>
  <si>
    <t>IDA_HotList_02</t>
  </si>
  <si>
    <t>Toremove Hotlisted UIN forever without giving expirytime</t>
  </si>
  <si>
    <t>User should be able to removeHotlist UIN by UnBlocking it. The Data will be Present Under the Holist Table and Hotlist History Table as UnBlocked</t>
  </si>
  <si>
    <t>IDA_HotList_03</t>
  </si>
  <si>
    <t>To Hotlist VID forever without giving expirytime</t>
  </si>
  <si>
    <t>User should be able to Hotlist VID by Blocking it. The Data will be Present Under the Holist Table and Hotlist History Table as Blocked</t>
  </si>
  <si>
    <t>IDA_HotList_04</t>
  </si>
  <si>
    <t>Toremove Hotlisted VID forever without giving expirytime</t>
  </si>
  <si>
    <t>User should be able to removeHotlist VID by UnBlocking it. The Data will be Present Under the Holist Table and Hotlist History Table as UnBlocked</t>
  </si>
  <si>
    <t>IDA_HotList_05</t>
  </si>
  <si>
    <t>To Hotlist DEVICE forever without giving expirytime</t>
  </si>
  <si>
    <t>User should be able to Hotlist DEVICE by Blocking it. The Data will be Present Under the Holist Table and Hotlist History Table as Blocked</t>
  </si>
  <si>
    <t>IDA_HotList_06</t>
  </si>
  <si>
    <t>Toremove Hotlisted DEVICE forever without giving expirytime</t>
  </si>
  <si>
    <t>User should be able to removeHotlist DEVICE by UnBlocking it. The Data will be Present Under the Holist Table and Hotlist History Table as UnBlocked</t>
  </si>
  <si>
    <t>IDA_HotList_07</t>
  </si>
  <si>
    <t>To Hotlist PARTNER_ID forever without giving expirytime</t>
  </si>
  <si>
    <t>User should be able to Hotlist PARTNER_ID by Blocking it. The Data will be Present Under the Holist Table and Hotlist History Table as Blocked</t>
  </si>
  <si>
    <t>IDA_HotList_08</t>
  </si>
  <si>
    <t>Toremove Hotlisted PARTNER_ID forever without giving expirytime</t>
  </si>
  <si>
    <t>User should be able to removeHotlist PARTNER_ID by UnBlocking it. The Data will be Present Under the Holist Table and Hotlist History Table as UnBlocked</t>
  </si>
  <si>
    <t>IDA_HotList_09</t>
  </si>
  <si>
    <t>To Hotlist UIN forever with giving expirytime</t>
  </si>
  <si>
    <t>User should be able to Hotlist UIN by Blocking it. The Data will be Present Under the Holist Table and Hotlist History Table as Blocked and will automatically be Unblocked after the expirytime is over</t>
  </si>
  <si>
    <t>IDA_HotList_10</t>
  </si>
  <si>
    <t>To remove Hotlisted VID forever without giving expirytime</t>
  </si>
  <si>
    <t>User should be able to Hotlist VIN by Blocking it. The Data will be Present Under the Holist Table and Hotlist History Table as Blocked and will automatically be Unblocked after the expirytime is over</t>
  </si>
  <si>
    <t>IDA_HotList_11</t>
  </si>
  <si>
    <t>To Hotlist DEVICE forever with giving expirytime</t>
  </si>
  <si>
    <t>IDA_HotList_12</t>
  </si>
  <si>
    <t>To Hotlist PARTNER_ID forever with giving expirytime</t>
  </si>
  <si>
    <t>IDA_HotList_13</t>
  </si>
  <si>
    <t>Try to check the expiry time in the Table when sent as null</t>
  </si>
  <si>
    <t>The Table should conatin value as null</t>
  </si>
  <si>
    <t>MOSIP-11791</t>
  </si>
  <si>
    <t>Validate the devices,partner,UIN and VID based on the hotlisting during IDA Auth.</t>
  </si>
  <si>
    <t>IDA_Auth_01</t>
  </si>
  <si>
    <t>Auth</t>
  </si>
  <si>
    <t>Create a Device, add the device to Hotlist List and Try to do Auth(Demo/Bio/OTP) using that</t>
  </si>
  <si>
    <t>The user should not be able to perform the Auth(Demo/Bio/OTP) if the Device is in Hotlist. Failure message should be received</t>
  </si>
  <si>
    <t>IDA_Auth_02</t>
  </si>
  <si>
    <t>Remove the device to Hotlist List and Try to do Auth(Demo/Bio/OTP) using that</t>
  </si>
  <si>
    <t>The user should be able to perform the Auth(Demo/Bio/OTP) if the Device is in Hotlist. Success message should be received</t>
  </si>
  <si>
    <t>IDA_Auth_03</t>
  </si>
  <si>
    <t>Create a UIN, add to Hotlist List and Try to do Auth(Demo/Bio/OTP) using that</t>
  </si>
  <si>
    <t>IDA_Auth_04</t>
  </si>
  <si>
    <t>Remove the UIN to Hotlist List and Try to do Auth(Demo/Bio/OTP) using that</t>
  </si>
  <si>
    <t>The user should be able to perform the Auth(Demo/Bio/OTP) if the UIN is in Hotlist. Success message should be received</t>
  </si>
  <si>
    <t>IDA_Auth_05</t>
  </si>
  <si>
    <t>Create a Partner, add the device to Hotlist List and Try to do Auth(Demo/Bio/OTP) using that</t>
  </si>
  <si>
    <t>IDA_Auth_06</t>
  </si>
  <si>
    <t>Remove the Partner to Hotlist List and Try to do Auth(Demo/Bio/OTP) using that</t>
  </si>
  <si>
    <t>The user should be able to perform the Auth(Demo/Bio/OTP) if the Partner is in Hotlist. Success message should be received</t>
  </si>
  <si>
    <t>IDA_Auth_07</t>
  </si>
  <si>
    <t>Create a VID add the device to Hotlist List and Try to do Auth(Demo/Bio/OTP) using that</t>
  </si>
  <si>
    <t>IDA_Auth_08</t>
  </si>
  <si>
    <t>Remove the VID to Hotlist List and Try to do Auth(Demo/Bio/OTP) using that</t>
  </si>
  <si>
    <t>The user should not be able to perform the Auth(Demo/Bio/OTP) if the VID is in Hotlist. Success message should be received</t>
  </si>
  <si>
    <t>IDA_EKYC_01</t>
  </si>
  <si>
    <t>EKYC</t>
  </si>
  <si>
    <t>Create a Device, add the device to Hotlist List and Try to do EKYC(Demo/Bio/OTP)(Demo/Bio/OTP) using that</t>
  </si>
  <si>
    <t>IDA_EKYC_02</t>
  </si>
  <si>
    <t>Remove the device to Hotlist List and Try to do EKYC(Demo/Bio/OTP)(Demo/Bio/OTP) using that</t>
  </si>
  <si>
    <t>The user should be able to perform the EKYC(Demo/Bio/OTP)(Demo/Bio/OTP) if the Device is in Hotlist. Success message should be received</t>
  </si>
  <si>
    <t>IDA_EKYC_03</t>
  </si>
  <si>
    <t>Create a UIN, add the device to Hotlist List and Try to do EKYC(Demo/Bio/OTP)(Demo/Bio/OTP) using that</t>
  </si>
  <si>
    <t>The user should not be able to perform the EKYC(Demo/Bio/OTP)(Demo/Bio/OTP) if the Device is in Hotlist. Failure message should be received</t>
  </si>
  <si>
    <t>IDA_EKYC_04</t>
  </si>
  <si>
    <t>Remove the UIN to Hotlist List and Try to do EKYC(Demo/Bio/OTP)(Demo/Bio/OTP) using that</t>
  </si>
  <si>
    <t>The user should be able to perform the EKYC(Demo/Bio/OTP)(Demo/Bio/OTP) if the UIN is in Hotlist. Success message should be received</t>
  </si>
  <si>
    <t>IDA_EKYC_05</t>
  </si>
  <si>
    <t>Create a Partner, add the device to Hotlist List and Try to do EKYC(Demo/Bio/OTP)(Demo/Bio/OTP) using that</t>
  </si>
  <si>
    <t>The user should be able to perform the EKYC(Demo/Bio/OTP)(Demo/Bio/OTP) if the UIN is in Hotlist. Failiure message should be received</t>
  </si>
  <si>
    <t>IDA_EKYC_06</t>
  </si>
  <si>
    <t>Remove the Partner to Hotlist List and Try to do EKYC(Demo/Bio/OTP)(Demo/Bio/OTP) using that</t>
  </si>
  <si>
    <t>The user should be able to perform the EKYC(Demo/Bio/OTP)(Demo/Bio/OTP) if the Partner is in Hotlist. Success message should be received</t>
  </si>
  <si>
    <t>IDA_EKYC_07</t>
  </si>
  <si>
    <t>Create a VID add the device to Hotlist List and Try to do EKYC(Demo/Bio/OTP)(Demo/Bio/OTP) using that</t>
  </si>
  <si>
    <t>The user should not be able to perform the EKYC(Demo/Bio/OTP)(Demo/Bio/OTP) if the Device is in Hotlist. Failiure message should be received</t>
  </si>
  <si>
    <t>IDA_EKYC_08</t>
  </si>
  <si>
    <t>Remove the VID to Hotlist List and Try to do EKYC(Demo/Bio/OTP)(Demo/Bio/OTP) using that</t>
  </si>
  <si>
    <t>The user should be able to perform the EKYC(Demo/Bio/OTP)(Demo/Bio/OTP) if the VID is in Hotlist. Success message should be received</t>
  </si>
  <si>
    <t>IDA_EKYC_09</t>
  </si>
  <si>
    <t>Try to perform Auth when the Expiry Time is over after Block/Unblock</t>
  </si>
  <si>
    <t>The user should be to perform Auth</t>
  </si>
  <si>
    <t>MOSIP-11846</t>
  </si>
  <si>
    <t>The unlock authentication type needs to have expiry time for specified duration.It should be auto locked after the specified expiry time</t>
  </si>
  <si>
    <t>IDA_Unlock_01</t>
  </si>
  <si>
    <t>To Lock the bio_Auth and then Unlock for specific time</t>
  </si>
  <si>
    <t>The user should be able to do auth using VID and UIN under the time period user has Unlocked the bio_Auth</t>
  </si>
  <si>
    <t>IDA_Unlock_02</t>
  </si>
  <si>
    <t>To Lock the Demo_Auth and then Unlock for
  specific time</t>
  </si>
  <si>
    <t>The user should be able to do auth using VID and UIN under the time period user has Unlocked the Demo_Auth</t>
  </si>
  <si>
    <t>IDA_Unlock_03</t>
  </si>
  <si>
    <t>To do Bio_Auth after the UIN is unLocked for specificed time</t>
  </si>
  <si>
    <t>The user should not be able to using VID and UIN perform the Auth as the UIN should be locked.</t>
  </si>
  <si>
    <t>IDA_Unlock_04</t>
  </si>
  <si>
    <t>To do Demo_Auth after the UIN is unLocked for specificed time</t>
  </si>
  <si>
    <t>The user should not be able to perform the Demo_Auth as the UIN/VID should be locked.</t>
  </si>
  <si>
    <t>IDA_Unlock_05</t>
  </si>
  <si>
    <t>User to unlock the Auth permanently</t>
  </si>
  <si>
    <t>The user should have Option to unlock the UIN/VID permanently.</t>
  </si>
  <si>
    <t>IDA_Unlock_06</t>
  </si>
  <si>
    <t>To validate that email is received at the time of lock and unlock</t>
  </si>
  <si>
    <t>The user should receive proper email</t>
  </si>
  <si>
    <t>IDA_Unlock_07</t>
  </si>
  <si>
    <t>Try to lock the authentication type explicitly during the unlock duration.</t>
  </si>
  <si>
    <t>The user should be able to lock incase he want to lock explicitly</t>
  </si>
  <si>
    <t>IDA_Unlock_08</t>
  </si>
  <si>
    <t>Try to lock the authentication type with no email and phone number</t>
  </si>
  <si>
    <t>Should not be allowed as user should be able tosend the OTP</t>
  </si>
  <si>
    <t>IDA_Unlock_09</t>
  </si>
  <si>
    <t>Try to unlock the authentication type with no email and phone number</t>
  </si>
  <si>
    <t>IDA_Unlock_10</t>
  </si>
  <si>
    <t>Try to unlock the authentication type when its already unlocked for that fraction of time</t>
  </si>
  <si>
    <t>User should be get notification its already unlocked.</t>
  </si>
  <si>
    <t>IDA_Unlock_11</t>
  </si>
  <si>
    <t>Try to unlock the authentication type multiple time for different time duration</t>
  </si>
  <si>
    <t>The user should be able to unlock successfully everytime.</t>
  </si>
  <si>
    <t>IDA_Unlock_12</t>
  </si>
  <si>
    <t>To validate the Unlock/Lock req with invalid UIN</t>
  </si>
  <si>
    <t>User should be get proper error message</t>
  </si>
  <si>
    <t>IDA_Unlock_13</t>
  </si>
  <si>
    <t>To validate the Unlock/Lock req with invalid VID</t>
  </si>
  <si>
    <t>MOSIP-11575</t>
  </si>
  <si>
    <t>Externalize demographic authentication API</t>
  </si>
  <si>
    <t>IDA_DemoAUth_01</t>
  </si>
  <si>
    <t>DemoAUth</t>
  </si>
  <si>
    <t>To verify that user should be able to do demo Auth using address as "HSR Rd" instead of "HSR Road"</t>
  </si>
  <si>
    <t>User is able to perform the Auth successfully as normalization is handled</t>
  </si>
  <si>
    <t>Invalid</t>
  </si>
  <si>
    <t>IDA_DemoAUth_02</t>
  </si>
  <si>
    <t>To verify that user should be able to do demo Auth using address as "Tester A mn" instead of Tester A main"</t>
  </si>
  <si>
    <t>IDA_Demoekyc_03</t>
  </si>
  <si>
    <t>DemoEKYC</t>
  </si>
  <si>
    <t>To verify that user should be able to do Ekyc demo Auth using address as "HSR Rd" instead of "HSR Road"</t>
  </si>
  <si>
    <t>User is able to perform the Ekyc successfully as normalization is handled</t>
  </si>
  <si>
    <t>IDA_Demoekyc_04</t>
  </si>
  <si>
    <t>To verify that user should be able to do Ekyc demo Auth using address as "Tester A mn" instead of Tester A main"</t>
  </si>
  <si>
    <t>User is able to perform the ekyc successfully as normalization is handled</t>
  </si>
  <si>
    <t>MOSIP-11464</t>
  </si>
  <si>
    <t>Implement Retry Mechanism when we fetch data from Authentication</t>
  </si>
  <si>
    <t>IDA_Retry Mechanism_01</t>
  </si>
  <si>
    <t>Retry Mechanism</t>
  </si>
  <si>
    <t>To verify IDA retries after the retry limit is set ida.credential.store.retry.max.limit=10
  1) Bring down IDA
  2) Generate UIN , credential will be issued
  3) Bring down data share service
  4) Bring up IDA</t>
  </si>
  <si>
    <t>The retry count should not exeed</t>
  </si>
  <si>
    <t>IDA_Retry Mechanism_02</t>
  </si>
  <si>
    <t>To verify the Notification from IDA to Cerdential</t>
  </si>
  <si>
    <t xml:space="preserve">When the credential is issued to IDA , it should notify the credential service to make status as "STORED" </t>
  </si>
  <si>
    <t>IDA_Retry Mechanism_03</t>
  </si>
  <si>
    <t>To verify the Notification from IDA to Cerdential to "FAILED_WITH_MAX_RETRIES"</t>
  </si>
  <si>
    <t xml:space="preserve"> it should notify the credential service to make status as "FAILED_WITH_MAX_RETRIES"</t>
  </si>
  <si>
    <t>MOSIP-8596</t>
  </si>
  <si>
    <t>Event Publishing for e-KYC updates</t>
  </si>
  <si>
    <t>IDA_DemoAuth_1</t>
  </si>
  <si>
    <t>DemoAuth</t>
  </si>
  <si>
    <t>Update the Name of already created UIN and try to perform Auth</t>
  </si>
  <si>
    <t>User should be able to do the Ida auth with updated Name</t>
  </si>
  <si>
    <t>IDA_OTP Auth_2</t>
  </si>
  <si>
    <t>OTP Auth</t>
  </si>
  <si>
    <t>Update the phone of already created UIN and try to sendOTP and do Auth</t>
  </si>
  <si>
    <t>The user should be able to get the OTP and should be able to do Auth with that OTP</t>
  </si>
  <si>
    <t>IDA_DemoAuth_3</t>
  </si>
  <si>
    <t>Update the Address of already created UIN and try to perform Auth</t>
  </si>
  <si>
    <t>User should be able to do the Ida auth with updated Address</t>
  </si>
  <si>
    <t>IDA_DemoAuth_4</t>
  </si>
  <si>
    <t>Update the DOB of already created UIN and try to perform Auth</t>
  </si>
  <si>
    <t>User should be able to do the Ida auth with updated DOB</t>
  </si>
  <si>
    <t>MOSIP-10170</t>
  </si>
  <si>
    <t>Enable Spring Cache for Partner management service and Masterdata Service in IDA</t>
  </si>
  <si>
    <t>IDA_Smoke_01</t>
  </si>
  <si>
    <t>Change the Template for Template for Email Subject do the Auth and check the email received</t>
  </si>
  <si>
    <t>The email should contain the Subject change</t>
  </si>
  <si>
    <t>IDA_Smoke_02</t>
  </si>
  <si>
    <t>Change the Template for Template for Email Content do the Auth and check the email received</t>
  </si>
  <si>
    <t>The email should contain the content change</t>
  </si>
  <si>
    <t>IDA_Smoke_03</t>
  </si>
  <si>
    <t>Change the Template for Template for Email Content to send OTP and check the email received</t>
  </si>
  <si>
    <t>The email contect should be changed</t>
  </si>
  <si>
    <t>IDA_Smoke_04</t>
  </si>
  <si>
    <t>Change the Template for Template for Email Subject to send OTP and check the email received</t>
  </si>
  <si>
    <t>The email subject should be changed</t>
  </si>
  <si>
    <t>MOSIP-11468</t>
  </si>
  <si>
    <t>Demo authentication and e-KYC for any demographic attribute in IDA DB</t>
  </si>
  <si>
    <t>IDA_DemoAuth_01</t>
  </si>
  <si>
    <t>Try to do Demo Auth with Dynamic Field Gender</t>
  </si>
  <si>
    <t>The Demo Auth should pass successfully</t>
  </si>
  <si>
    <t>IDA_DemoAuth_02</t>
  </si>
  <si>
    <t>Try to do Demo Auth with Dynamic Field residentStatus</t>
  </si>
  <si>
    <t>IDA_DemoAuth_03</t>
  </si>
  <si>
    <t>Try to do Demo Auth with Dynamic Fields both residentStatus and gender in ENG as lang</t>
  </si>
  <si>
    <t>IDA_DemoAuth_04</t>
  </si>
  <si>
    <t>Try to do Demo Auth with Dynamic Fields both residentStatus and gender in both lang ENG and ARA</t>
  </si>
  <si>
    <t>IDA_DemoAuth_05</t>
  </si>
  <si>
    <t>Try to do Demo Auth with Dynamic Fields both residentStatus and DOB</t>
  </si>
  <si>
    <t>IDA_DemoAuth_06</t>
  </si>
  <si>
    <t>Try to do auth with Invalid Gender and Invalid ResidentStatus</t>
  </si>
  <si>
    <t>The Demo Auth should Fail</t>
  </si>
  <si>
    <t>IDA_DemoAuth_07</t>
  </si>
  <si>
    <t>Try to do auth with Valid Gender and Invalid ResidentStatus</t>
  </si>
  <si>
    <t>IDA_DemoAuth_08</t>
  </si>
  <si>
    <t>Try to do auth with InValid Gender and valid ResidentStatus</t>
  </si>
  <si>
    <t>MOSIP-10231</t>
  </si>
  <si>
    <t>Add IDA internal auth service and get certificate delegating services in Registration Processor - status service</t>
  </si>
  <si>
    <t>IDA_Internalauth_01</t>
  </si>
  <si>
    <t>Internalauth</t>
  </si>
  <si>
    <t>To verify that Authenticate Internal Request is present under https://qa2.mosip.net/registrationprocessor/v1/registrationstatus/swagger-ui.html#/</t>
  </si>
  <si>
    <t>The request should be present</t>
  </si>
  <si>
    <t>IDA_GetCertificate_01</t>
  </si>
  <si>
    <t>GetCertificate</t>
  </si>
  <si>
    <t>To verify that Get Certificate Request is present under https://qa2.mosip.net/registrationprocessor/v1/registrationstatus/swagger-ui.html#/</t>
  </si>
  <si>
    <t>IDA_GetCertificate_02</t>
  </si>
  <si>
    <r>
      <rPr>
        <rFont val="Calibri"/>
        <color rgb="FF000000"/>
        <sz val="11.0"/>
      </rPr>
      <t xml:space="preserve">To check that certificate generated from https://qa2.mosip.net/registrationprocessor/v1/registrationstatus/getCertificate?applicationId=IDA&amp;referenceId=INTERNAL is same as we reterived from </t>
    </r>
    <r>
      <rPr>
        <rFont val="Calibri"/>
        <color rgb="FF1155CC"/>
        <sz val="11.0"/>
        <u/>
      </rPr>
      <t>https://qa2.mosip.net/idauthentication/v1/internal/getCertificate?applicationId=IDA&amp;referenceId=INTERNAL</t>
    </r>
  </si>
  <si>
    <t>The certificate generated should be identical</t>
  </si>
  <si>
    <t>IDA_Internalauth_02</t>
  </si>
  <si>
    <t>Create an Auth request for Internal Auth from http://localhost:8082/v1/identity/createAuthRequest?id=3815625429&amp;idType=UIN&amp;isInternal=true and use the same in https://qa2.mosip.net/registrationprocessor/v1/registrationstatus/auth</t>
  </si>
  <si>
    <t>The Auth request should work as expected.</t>
  </si>
  <si>
    <t>MOSIP-11793</t>
  </si>
  <si>
    <t>Send websub notifications to resident from IDA and ID Repo on authentication/auth lock,credential is stored/failed.</t>
  </si>
  <si>
    <t>IDA_WebSubEvent_01</t>
  </si>
  <si>
    <t>WebSubEvent</t>
  </si>
  <si>
    <t>To create UIN and check the Event Topic: CREDENTIAL_STATUS_UPDATE in websub log's</t>
  </si>
  <si>
    <t>Event Topic: CREDENTIAL_STATUS_UPDATE  should see in websub log's</t>
  </si>
  <si>
    <t>IDA_WebSubEvent_02</t>
  </si>
  <si>
    <t>To Lock the UIN and check the Event Topic: AUTH_TYPE_STATUS_UPDATE_ACK  in websub log's</t>
  </si>
  <si>
    <t>Event Topic: AUTH_TYPE_STATUS_UPDATE_ACK   should see in websub log's</t>
  </si>
  <si>
    <t>IDA_WebSubEvent_03</t>
  </si>
  <si>
    <t>To Unlock the UIN and check the Event Topic: AUTH_TYPE_STATUS_UPDATE_ACK  in websub log's</t>
  </si>
  <si>
    <t>Event Topic: AUTH_TYPE_STATUS_UPDATE_ACK should see in websub log's</t>
  </si>
  <si>
    <t>IDA_WebSubEvent_04</t>
  </si>
  <si>
    <t>To do auth with the UIN and check the Event Topic: AUTHENTICATION_TRANSACTION_STATUS  in websub log's</t>
  </si>
  <si>
    <t>Event Topic: AUTHENTICATION_TRANSACTION_STATUS  should see in websub log's</t>
  </si>
  <si>
    <t>IDA_WebSubEvent_05</t>
  </si>
  <si>
    <t>Check the number of event stored for one action perfrom</t>
  </si>
  <si>
    <t>Only one event should be present in websub log's</t>
  </si>
  <si>
    <t>MOSIP-8727</t>
  </si>
  <si>
    <t>Device Validation in IDA</t>
  </si>
  <si>
    <t>Try to Bio Auth using New MDS</t>
  </si>
  <si>
    <t>The user should be able to do Auth successfully with capture request</t>
  </si>
  <si>
    <t>Try to Bio Auth using New MDS when device is blocked</t>
  </si>
  <si>
    <t>The Auth should fail as the device is blocked</t>
  </si>
  <si>
    <t>Try to Bio Auth using New MDS when device is unblocked</t>
  </si>
  <si>
    <t>MOSIP-11986</t>
  </si>
  <si>
    <t>Lock handling in credential table rows for two instance of same job</t>
  </si>
  <si>
    <t>CredentialIssuance_Lock handling_01</t>
  </si>
  <si>
    <t>Lock handling</t>
  </si>
  <si>
    <t>Run two credential instances and Create a credential Request</t>
  </si>
  <si>
    <t>The request should be present under one servies only</t>
  </si>
  <si>
    <t>MOSIP-13847</t>
  </si>
  <si>
    <t>Invalidate Credential Requests for the UINs/VIDs that are updated/deactivated/revoked/blocked</t>
  </si>
  <si>
    <t>IDA_Credential_01</t>
  </si>
  <si>
    <t>Credential</t>
  </si>
  <si>
    <t>Create UIN and check credential_transaction Table</t>
  </si>
  <si>
    <t>we are receiving request ID of the credential and In credential.credential_transaction table Status_code will be In NEW</t>
  </si>
  <si>
    <t>IDA_Credential_02</t>
  </si>
  <si>
    <t>Update UIN and check credential_transaction Table</t>
  </si>
  <si>
    <t>Credential data should get update and we should see the upadted data in credntial request</t>
  </si>
  <si>
    <t>IDA_Credential_03</t>
  </si>
  <si>
    <t>Create VID and check credential_transaction Table</t>
  </si>
  <si>
    <t>IDA_Credential_04</t>
  </si>
  <si>
    <t>Update VID and check credential_transaction Table</t>
  </si>
  <si>
    <t>MOSIP-15203</t>
  </si>
  <si>
    <t>Validate 'env' attribute in Authentication Request against list of allowed values from config</t>
  </si>
  <si>
    <t>IDA_Auth_1</t>
  </si>
  <si>
    <t>To verify the property of envirnoment under id-authentication-mz.properties</t>
  </si>
  <si>
    <t>The user should see the property as mosip.ida.allowed.enviromemnts=Staging,Developer,Pre-Production,Production</t>
  </si>
  <si>
    <t>IDA_Auth_2</t>
  </si>
  <si>
    <t>To Add Value under application property of demo service as mosip.env=Staging try to do auth with it</t>
  </si>
  <si>
    <t>The Auth should be successful</t>
  </si>
  <si>
    <t>IDA_Auth_3</t>
  </si>
  <si>
    <t>To Add Value under application property of demo service as mosip.env=Pre-Production try to do auth with it</t>
  </si>
  <si>
    <t>IDA_Auth_4</t>
  </si>
  <si>
    <t>To Add Value under application property of demo service as mosip.env=abc which is not set under config propery try to do auth with it</t>
  </si>
  <si>
    <t>The Auth should be unsuccessfull</t>
  </si>
  <si>
    <t>IDA_Auth_5</t>
  </si>
  <si>
    <t>To verify the property of envirnoment by providing space in Auth req</t>
  </si>
  <si>
    <t>The Auth should be successfull</t>
  </si>
  <si>
    <t>IDA_Auth_6</t>
  </si>
  <si>
    <t>To verify the property of envirnoment by not providing data in Auth req</t>
  </si>
  <si>
    <t>IDA_Notification_1</t>
  </si>
  <si>
    <t>To verify the email notification after successful Bio auth</t>
  </si>
  <si>
    <t>The success email should be recevied successfully</t>
  </si>
  <si>
    <t>IDA_Notification_2</t>
  </si>
  <si>
    <t>To verify the email notification after successful Demo auth</t>
  </si>
  <si>
    <t>IDA_Notification_3</t>
  </si>
  <si>
    <t>To verify the email notification after successful OTP auth</t>
  </si>
  <si>
    <t>IDREPO</t>
  </si>
  <si>
    <t>Status Update for UIN/VID</t>
  </si>
  <si>
    <t>Verify the functionality by updating VID status as DEACTIVATED/ACTIVE</t>
  </si>
  <si>
    <t>1.Get Unused UIN.. 2.Add Record for UIN. 3.Generate Vid for the UIN . 4.Try to deactive all the VID for UIN. 5.Check by reactive the VID for UIN</t>
  </si>
  <si>
    <t>VID should get DEACTIVATED/ACTIVE based on the status</t>
  </si>
  <si>
    <t>Verify by updating the sttaus as DEACTIVATED for the UIN</t>
  </si>
  <si>
    <t>1.Get Unused UIN.. 2.Add Record for UIN. 3.Deactivate the UIN</t>
  </si>
  <si>
    <t>UIN should get DEACTIVATED</t>
  </si>
  <si>
    <t>In current identity schema we dont have attressline1,2,3 attribute</t>
  </si>
  <si>
    <t>To perform Auth with the Deactivated UIN</t>
  </si>
  <si>
    <t>1.Get Unused UIN.. 2.Add Record for UIN. 3.Deactivate the UIN and perform auth in IDA</t>
  </si>
  <si>
    <t>Auth should get fail with error saying that "UIN is not abvailable in database"</t>
  </si>
  <si>
    <t>Verify by updating the status as activate for the UIN</t>
  </si>
  <si>
    <t>UIN should get ACTIVATED</t>
  </si>
  <si>
    <t>To perform Auth after activate the UIN</t>
  </si>
  <si>
    <t>1.Get Unused UIN.. 2.Add Record for UIN. 3.Deactivate the UIN and 4.Activate the deactivated UIN and perform auth in IDA</t>
  </si>
  <si>
    <t>Auth should get successed with No hassel</t>
  </si>
  <si>
    <t>IDA_Bio Auth_1</t>
  </si>
  <si>
    <t>Bio Auth</t>
  </si>
  <si>
    <t>To verify that MOCK MDS the digital ID is signed using FTM and Device KEY while trying to AUTH using MOCK MDS</t>
  </si>
  <si>
    <t>The Auth should be Successfull</t>
  </si>
  <si>
    <t>ID_DBtable_01</t>
  </si>
  <si>
    <t>DBtable</t>
  </si>
  <si>
    <t>To verify the column unlock_expiry_datetime under table uin_auth_lock under mosip_idrepo DB</t>
  </si>
  <si>
    <t>The column should present under Table</t>
  </si>
  <si>
    <t>ID_DBtable_02</t>
  </si>
  <si>
    <t>To verify the presence of misp_license_data table in mosip_ida DB</t>
  </si>
  <si>
    <t>The Table should be there under mosip_ida DB</t>
  </si>
  <si>
    <t>IDA_Block_01</t>
  </si>
  <si>
    <t>BlockUIN</t>
  </si>
  <si>
    <t>To Block the UIN when the idType is incorrect</t>
  </si>
  <si>
    <t>The usershould be able to Block the UIN</t>
  </si>
  <si>
    <t>BlockVID</t>
  </si>
  <si>
    <t>To Block the VID when the idType is incorrect</t>
  </si>
  <si>
    <t>The usershould be able to Block the VID</t>
  </si>
  <si>
    <t xml:space="preserve">1) Block a UIN with Expiry time which is old date 
</t>
  </si>
  <si>
    <t>we should get "errors": [
        {
            "errorCode": "ADM-HTL-002",
            "message": "Invalid Input Parameter - expiryTimestamp"
        }
    ]</t>
  </si>
  <si>
    <t>IDA_UnBlock_01</t>
  </si>
  <si>
    <t>UnBlockUIN</t>
  </si>
  <si>
    <t>1) Block a UIN with Expiry time.
  2) Check using get UIN status API that UIN is Unblocked after the expiry time.
  3) Check the Status of UIN in DB.</t>
  </si>
  <si>
    <t>The history Table and main table should be updated with the status Unblocked</t>
  </si>
  <si>
    <t>ID_DBtable_03</t>
  </si>
  <si>
    <t>To sending the value of "biometricReferenceId": "23452353" under the add record API under ID repo</t>
  </si>
  <si>
    <t>The UIN Should be generated and no value will be saved under the IDrepo UIN table or UIN_h table</t>
  </si>
  <si>
    <t>MOSIP-15206</t>
  </si>
  <si>
    <t>Validate 'domain' attribute in 
 Authentication Request against list 
 of allowed values from config</t>
  </si>
  <si>
    <t>To verify the property of Domain under id-authentication-mz.properties</t>
  </si>
  <si>
    <t>The user should see the property as mosip.ida.allowed.domain.uris=https://dev.mosip.net,https://qa2.mosip.net</t>
  </si>
  <si>
    <t>To Add Value under mosip.ida.allowed.domain.uris= qa1.mosip.net, try to do auth with it</t>
  </si>
  <si>
    <t>To remove Value under mosip.ida.allowed.domain.uris= qa1.mosip.net, try to do auth with it</t>
  </si>
  <si>
    <t>To verify the property of domain by providing space in Auth req</t>
  </si>
  <si>
    <t>To verify the property of domain by not providing data in Auth req</t>
  </si>
  <si>
    <t>MOSIP-14738</t>
  </si>
  <si>
    <t>Internal auth API changes
  (New Endpoint):</t>
  </si>
  <si>
    <t>IDA_Internal_Auth_1</t>
  </si>
  <si>
    <t>InternalAuth</t>
  </si>
  <si>
    <t>Create internal Auth request, check the request &gt;&gt; biometrics data should not be encrypted</t>
  </si>
  <si>
    <t>The data should be in normal form so that IDA doesnot have to decrypt it</t>
  </si>
  <si>
    <t>IDA_Internal_Auth_2</t>
  </si>
  <si>
    <t>Check for the requestHMAC under Created Internal Auth request</t>
  </si>
  <si>
    <t>The requestHMAC should be null</t>
  </si>
  <si>
    <t>IDA_Internal_Auth_3</t>
  </si>
  <si>
    <t>Try to perform the New Internal auth 
  a)Create internal Auth request 
  b)Copy Signature from response header
  c) Paste the Signature under internal Auth request Header</t>
  </si>
  <si>
    <t>The internal Auth signature is not requred and auth should get successfull</t>
  </si>
  <si>
    <t>IDA_Internal_Auth_4</t>
  </si>
  <si>
    <t>Verify the change is URL for internal Auth</t>
  </si>
  <si>
    <t>The internal auth request ur should be changed from {{url}}/idauthentication/v1/internal/auth to {{url}}/idauthentication/v1/internal/verifyidentity</t>
  </si>
  <si>
    <t>IDA_Internal_Auth_5</t>
  </si>
  <si>
    <t>To perfrom internal Auth by adding ida-internal.cert</t>
  </si>
  <si>
    <t>IDA_Internal_Auth_6</t>
  </si>
  <si>
    <t>To perfrom internal Auth without adding ida-internal.cert</t>
  </si>
  <si>
    <t>The Auth should be Failed</t>
  </si>
  <si>
    <t>IDA_Internal_Auth_7</t>
  </si>
  <si>
    <t>To Perform old internal auth
  a)Create internal Auth request 
  b) Perform internal Auth</t>
  </si>
  <si>
    <t>The Auth should be successful and response Header should not contain the Signature</t>
  </si>
  <si>
    <t>MOSIP-15190</t>
  </si>
  <si>
    <t>Correct validation of ID Type - 
 Remove pattern validators, do length/
 checksum validation</t>
  </si>
  <si>
    <t>IDA_Auth_UIN_1</t>
  </si>
  <si>
    <t>To perform Auth using the UIN with the length its generated as set under the appication-mz.properties</t>
  </si>
  <si>
    <t>The Auth should be successfull.</t>
  </si>
  <si>
    <t>IDA_Auth_UIN_2</t>
  </si>
  <si>
    <t>To perform Auth using the UIN with the length greated than as set under the appication-mz.properties</t>
  </si>
  <si>
    <t>The error message should be populated to use correct UIN</t>
  </si>
  <si>
    <t>pass</t>
  </si>
  <si>
    <t>MOSIP-11851</t>
  </si>
  <si>
    <t>Audit Log anonymity - Ensure that the 
 IDA and ID repo audit logs does not
  store sensitive information.</t>
  </si>
  <si>
    <t>IDA_AuditLog_1</t>
  </si>
  <si>
    <t>Auditlog</t>
  </si>
  <si>
    <t>Check for Audit logdesc for eventname as Activate ID when the mpartner-default-auth/CREDENTIAL_ISSUED is Success</t>
  </si>
  <si>
    <t>The log should not contain user sensitive details as UIN, DOB, NAME, UserName, Password, Zipcode</t>
  </si>
  <si>
    <t>IDA_AuditLog_2</t>
  </si>
  <si>
    <t>Check for Audit logdesc for eventname as Activate ID when the mpartner-default-auth/DEACTIVATE_ID : Success</t>
  </si>
  <si>
    <t>IDA_AuditLog_3</t>
  </si>
  <si>
    <t>Check for Audit logdesc for eventname as Activate ID when the [{"errorCode":"IDA-MLC-009","errorMessage":"Invalid Input Parameter - id_hash"}] is received</t>
  </si>
  <si>
    <t>IDA_AuditLog_4</t>
  </si>
  <si>
    <t>Check for Audit logdesc for eventname as Authentication Request when the logdesc is authenticateApplicant status : true</t>
  </si>
  <si>
    <t>IDA_AuditLog_5</t>
  </si>
  <si>
    <t>Check for Audit logdesc for eventname as Authentication Request when the logdesc is [{"errorCode":"IDA-MLC-019","errorMessage":"bio-Iris Auth Type is Locked for the UIN"}]</t>
  </si>
  <si>
    <t>IDA_AuditLog_6</t>
  </si>
  <si>
    <t>Check Audit log when reuest is sent after 30min for eventname as Authentication Request and log desc : [{"errorCode":"IDA-MLC-001","errorMessage":"Request to be received at MOSIP within 30 minutes","actionMessage":"Please send the request within 30 minutes"}]</t>
  </si>
  <si>
    <t>IDA_AuditLog_7</t>
  </si>
  <si>
    <t>Check Audit log when Auth fail due to Face Lock and eventname as Authentication Request , Log Desc : [{"errorCode":"IDA-MLC-019","errorMessage":"bio-FACE Auth Type is Locked for the UIN"}]</t>
  </si>
  <si>
    <t>IDA_AuditLog_8</t>
  </si>
  <si>
    <t>Check Audit log when Auth fail due to demo Lock and eventname as Authentication Request , Log Desc : [{"errorCode":"IDA-MLC-019","errorMessage":"bio-FACE Auth Type is Locked for the UIN"}]</t>
  </si>
  <si>
    <t>IDA_AuditLog_9</t>
  </si>
  <si>
    <t>Check Audit log when Auth fail due to UIN not available in database and eventname as Authentication Request ,</t>
  </si>
  <si>
    <t>IDA_AuditLog_10</t>
  </si>
  <si>
    <t>Check for Audit logdesc for eventname as Authentication Request when the logdesc is authenticateApplicant status : false</t>
  </si>
  <si>
    <t>IDA_AuditLog_11</t>
  </si>
  <si>
    <t>Check Audit log for VID and eventname as Authentication Request</t>
  </si>
  <si>
    <t>IDA_AuditLog_12</t>
  </si>
  <si>
    <t>Check for Audit logdesc for eventname as Credential Issued and Log desc as Stored</t>
  </si>
  <si>
    <t>IDA_AuditLog_14</t>
  </si>
  <si>
    <t>Check for Audit logdesc for eventname as eKYC Request and Log Desc kycAuthentication status : true</t>
  </si>
  <si>
    <t>IDA_AuditLog_15</t>
  </si>
  <si>
    <t>Check for Audit logdesc for eventname as eKYC Request and Log Desc has error message and error code</t>
  </si>
  <si>
    <t>IDA_AuditLog_16</t>
  </si>
  <si>
    <t>Check for Audit logdesc for eventname as Internal Authentication Request for auth as True</t>
  </si>
  <si>
    <t>IDA_AuditLog_17</t>
  </si>
  <si>
    <t>Check for Audit logdesc for eventname as Internal Authentication Request for auth as false</t>
  </si>
  <si>
    <t>IDA_AuditLog_18</t>
  </si>
  <si>
    <t>Check for Audit logdesc for eventname as Internal Authentication Request for auth failed due to error</t>
  </si>
  <si>
    <t>IDA_AuditLog_19</t>
  </si>
  <si>
    <t>Check for Audit logdesc for eventname asInternal OTP Request for request as True</t>
  </si>
  <si>
    <t>IDA_AuditLog_20</t>
  </si>
  <si>
    <t>Check for Audit logdesc for eventname asInternal OTP Request for request as False</t>
  </si>
  <si>
    <t>IDA_AuditLog_21</t>
  </si>
  <si>
    <t>Check for Audit logdesc for eventname asInternal OTP Request for request failed due to UIN not in DB/innumerous attempt and other error message</t>
  </si>
  <si>
    <t>IDA_AuditLog_22</t>
  </si>
  <si>
    <t>Check for Audit logdesc for eventname as OTP Request for request as True</t>
  </si>
  <si>
    <t>IDA_AuditLog_23</t>
  </si>
  <si>
    <t>Check for Audit logdesc for eventname as OTP Request for request as False</t>
  </si>
  <si>
    <t>IDA_AuditLog_24</t>
  </si>
  <si>
    <t>Check for Audit logdesc for eventname as OTP Request for request failed due to UIN not in DB/innumerous attempt and other error message</t>
  </si>
  <si>
    <t>IDA_AuditLog_25</t>
  </si>
  <si>
    <t>Check for Audit logdesc for eventname as Retrieve Auth Transaction History Request</t>
  </si>
  <si>
    <t>IDA_AuditLog_26</t>
  </si>
  <si>
    <t>Check for Audit logdesc for eventname as Update Auth Type Status Request</t>
  </si>
  <si>
    <t>IDA_AuditLog_27</t>
  </si>
  <si>
    <t>Check for Audit logdesc for eventname as CANCEL_CREDENTIAL_REQUEST</t>
  </si>
  <si>
    <t>IDA_AuditLog_28</t>
  </si>
  <si>
    <t>Check for Audit logdesc for eventname as CREATE_DRAFT_REQUEST_RESPONSE for Publish/create/update draft request and other erro</t>
  </si>
  <si>
    <t>IDA_AuditLog_29</t>
  </si>
  <si>
    <t>Check for Audit logdesc for eventname as CREATE_IDENTITY_REQUEST_RESPONSE</t>
  </si>
  <si>
    <t>IDA_AuditLog_30</t>
  </si>
  <si>
    <t>Check for Audit logdesc for eventname as CREATE_VID</t>
  </si>
  <si>
    <t>IDA_AuditLog_31</t>
  </si>
  <si>
    <t>Check for Audit logdesc for eventname as CREATE_CREDENTIAL_REQUEST</t>
  </si>
  <si>
    <t>IDA_AuditLog_32</t>
  </si>
  <si>
    <t>Check for Audit logdesc for eventname as UPDATE_VID_STATUS</t>
  </si>
  <si>
    <t>IDA_AuditLog_33</t>
  </si>
  <si>
    <t>Check for Audit logdesc for eventname as UPDATE_IDENTITY_REQUEST_RESPONSE</t>
  </si>
  <si>
    <t>IDA_AuditLog_34</t>
  </si>
  <si>
    <t>Check for Audit logdesc for eventname as UPDATE_AUTH_TYPE_STATUS_REQUEST_RESPONSE</t>
  </si>
  <si>
    <t>IDA_AuditLog_35</t>
  </si>
  <si>
    <t>Check for Audit logdesc for eventname as RETRY_CREDENTIAL_REQUEST</t>
  </si>
  <si>
    <t>IDA_AuditLog_36</t>
  </si>
  <si>
    <t>Check for Audit logdesc for eventname as RETRIEVE_VID_UIN</t>
  </si>
  <si>
    <t>IDA_AuditLog_37</t>
  </si>
  <si>
    <t>Check for Audit logdesc for eventname as RETRIEVE_IDENTITY_REQUEST_RESPONSE_UIN</t>
  </si>
  <si>
    <t>IDA_AuditLog_38</t>
  </si>
  <si>
    <t>Check for Audit logdesc for eventname as REGENERATE_VID</t>
  </si>
  <si>
    <t>IDA_AuditLog_39</t>
  </si>
  <si>
    <t>Check for Audit logdesc for eventname as REACTIVATE_VID</t>
  </si>
  <si>
    <t>IDA_AuditLog_40</t>
  </si>
  <si>
    <t>Check for Audit logdesc for eventname as HAS_DRAFT_REQUEST_RESPONSE</t>
  </si>
  <si>
    <t>IDA_AuditLog_41</t>
  </si>
  <si>
    <t>Check for Audit logdesc for eventname as GET_DRAFT_REQUEST_RESPONSE</t>
  </si>
  <si>
    <t>IDA_AuditLog_42</t>
  </si>
  <si>
    <t>Check for Audit logdesc for eventname as DEACTIVATE_VID</t>
  </si>
  <si>
    <t>MOSIP- 7333</t>
  </si>
  <si>
    <t>MDS 0.9.5 based changes - Bio Type
  and SubType related changes based</t>
  </si>
  <si>
    <t>Verify that Bio-Type value as Finger</t>
  </si>
  <si>
    <t>The Auth Should be successfull as Bio-Type value FIR changed to Finger</t>
  </si>
  <si>
    <t>Verify that Bio-Type value as Iris</t>
  </si>
  <si>
    <t>The Auth Should be successfull as Bio-Type value IIR changed to Iris</t>
  </si>
  <si>
    <t>Verify that Bio-Type value as Face</t>
  </si>
  <si>
    <t>The Auth should be success</t>
  </si>
  <si>
    <t>Verify the Auth with Bio-Type value as FIR</t>
  </si>
  <si>
    <t>The Auth should not be success</t>
  </si>
  <si>
    <t>Verify the Auth with Bio-Type value as IIR</t>
  </si>
  <si>
    <t>Try to Auth when the "bioType": "Iris" and ""digitalId.type": "Iris"</t>
  </si>
  <si>
    <t>IDA_Auth_7</t>
  </si>
  <si>
    <t>Try to Auth when the "bioType": "is invalid" and ""digitalId.type": "is valid"</t>
  </si>
  <si>
    <t>The Auth should Fail</t>
  </si>
  <si>
    <t>IDA_Auth_8</t>
  </si>
  <si>
    <t>Try to Auth when the "bioType": "is valid" and ""digitalId.type": "is invalid"</t>
  </si>
  <si>
    <t>IDA_Auth_9</t>
  </si>
  <si>
    <t>Verify the request body containing for field under digitalId</t>
  </si>
  <si>
    <t>The Section should contain the field deviceSubType not subType</t>
  </si>
  <si>
    <t>MOSIP-14739</t>
  </si>
  <si>
    <t>Pull missing websub messages after IDA is down
  for some time, and process them</t>
  </si>
  <si>
    <t>IDA_AUTH_01</t>
  </si>
  <si>
    <t>Create a Device, add the device to Hotlist List and Try to do 
 Auth(Demo/Bio/OTP) using that.</t>
  </si>
  <si>
    <t>1. IDA service is Down
  2. Device creation &amp; Hotlist
  3. IDA service is UP
  4. Do auth</t>
  </si>
  <si>
    <t>Auth(Demo/Bio/otp) should fail 
  with proper message</t>
  </si>
  <si>
    <t>IDA_AUTH_02</t>
  </si>
  <si>
    <t>Create a UIN, add to UIN Hotlist List and Try to do
  Auth
 (Demo/Bio/OTP) using that</t>
  </si>
  <si>
    <t>2. IDA service is Down
  1. UIN creation(IDEREPO)&amp; Hotlist
  3. IDA service is UP
  4. Do auth</t>
  </si>
  <si>
    <t>IDA_AUTH_03</t>
  </si>
  <si>
    <t>Create a Partner, add the partner to Hotlist List and 
 Try to do Auth
 (Demo/Bio/OTP) using that</t>
  </si>
  <si>
    <t>1. IDA service is Down
  2. Partner creation(PMS) &amp; Hotlist
  3. IDA service is UP
  4. Do auth</t>
  </si>
  <si>
    <t>IDA_AUTH_04</t>
  </si>
  <si>
    <t>Create a VID, add the VID to Hotlist List and Try to
  do Auth (Demo/Bio/OTP) using that.</t>
  </si>
  <si>
    <t>1. IDA service is Down
  2. VID creation(IDREPO) &amp; Hotlist
  3. IDA service is UP
  4. Do auth</t>
  </si>
  <si>
    <t>IDA_AUTH_05</t>
  </si>
  <si>
    <t>Verify to Create/update policy</t>
  </si>
  <si>
    <t>1. IDA service is Down
  2. Create/Update policy
  3. IDA service is UP
  4. Do auth</t>
  </si>
  <si>
    <t>Auth should take new/updated policy</t>
  </si>
  <si>
    <t>IDA_AUTH_06</t>
  </si>
  <si>
    <t>Verify to Generate Misp_license key</t>
  </si>
  <si>
    <t>1. IDA service is Down
  2. Generate MISP_license
  3. IDA service is UP
  4. Do auth</t>
  </si>
  <si>
    <t>Auth should get success with same
  license key</t>
  </si>
  <si>
    <t>IDA_AUTH_07</t>
  </si>
  <si>
    <t>Verify to Deactivate MISP</t>
  </si>
  <si>
    <t>1. IDA service is Down
  2.deactivate MISP
  3. IDA service is UP
  4. Do auth</t>
  </si>
  <si>
    <t>Auth should fail with proper message</t>
  </si>
  <si>
    <t>IDA_AUTH_08</t>
  </si>
  <si>
    <t>Verify to Upload partner certificate</t>
  </si>
  <si>
    <t>1. IDA service is Down
  2 Upload certificate
  3. IDA service is UP
  4. Get certificate</t>
  </si>
  <si>
    <t>Get partner cetificate for the same</t>
  </si>
  <si>
    <t>IDA_AUTH_09</t>
  </si>
  <si>
    <t>Verify to Generate API key</t>
  </si>
  <si>
    <t>1. IDA service is Down
  2.Generate API key
  3. IDA service is UP
  4. Do auth</t>
  </si>
  <si>
    <t>Auth should be success using same API key</t>
  </si>
  <si>
    <t>IDA_AUTH_10</t>
  </si>
  <si>
    <t>Verify to Deactivate partner Id</t>
  </si>
  <si>
    <t>1. IDA service is Down
  2. Deactivate Partner ID
  3. IDA service is UP
  4. Do auth</t>
  </si>
  <si>
    <t>MOSIP-15100</t>
  </si>
  <si>
    <t>Building Draft APIs in ID Repository</t>
  </si>
  <si>
    <t>IDRepo_01</t>
  </si>
  <si>
    <t>Draft API</t>
  </si>
  <si>
    <t>Verify the user should be able to create the Draft 
 Successfully in IDrepo and check the table idrepo.uin_draft.</t>
  </si>
  <si>
    <t>1. Hit Creat Draft API. 
 2. Check idrepo.uid_draft table and audit.app_audit_log</t>
  </si>
  <si>
    <t>should be able to create the Draft Successfully and data should get stored in idrepo.uin_draft table.</t>
  </si>
  <si>
    <t>IDRepo_02</t>
  </si>
  <si>
    <t>Verify UIN has only one draft.</t>
  </si>
  <si>
    <t>1. Hit Creat Draft API. 
 2. Check idrepo.uin_draft table for the draft</t>
  </si>
  <si>
    <t>UIN should contain only one draft and data should get stored in idrepo.uin_draft table</t>
  </si>
  <si>
    <t>IDRepo_03</t>
  </si>
  <si>
    <t>Verify when active draft exists for a RID another draft 
 cannot be created.</t>
  </si>
  <si>
    <t>1. Hit Creat Draft API. 
 2. Check idrepo.uid_draft table and audit.app_audit_log 
 3.create draft with same RID.</t>
  </si>
  <si>
    <t>Should get message like "Record already exists in DB".</t>
  </si>
  <si>
    <t>IDRepo_04</t>
  </si>
  <si>
    <t>Verify the status code in the draft table will have the
  value as DRAFT .</t>
  </si>
  <si>
    <t>Status code in the draft table should have the value as DRAFT in idrepo.uin_draft table.</t>
  </si>
  <si>
    <t>IDRepo_05</t>
  </si>
  <si>
    <t>Verify UpdateDraft API updates the data in the draft record.</t>
  </si>
  <si>
    <t>1. Hit update Draft API by providing reg_id. 
 2. Check idrepo.uin_draft table, idrepo.uin_document_
 draft,idrepo.uin_biometric_draft table and 
 also audit.app_audit_log</t>
  </si>
  <si>
    <t>UpdateDraft API should updates the data in the draft record and updated data should be present in idrepo.uin_draft idrepo.uin_document_draft,idrepo.uin_biometric_draft table</t>
  </si>
  <si>
    <t>IDRepo_06</t>
  </si>
  <si>
    <t>Verify instant update calls should get failed when draft 
 exists in idrepo.uin_draft table</t>
  </si>
  <si>
    <t>Should get message like "No Record(s) found"</t>
  </si>
  <si>
    <t>IDRepo_07</t>
  </si>
  <si>
    <t>Verify Update Draft should also updates document linkages
  as well as biometrics.</t>
  </si>
  <si>
    <t>1. Hit update Draft API by providing reg_id. 
 2. Check idrepo.uin_draft table,uin_document_draft,
 uin_biometric_draft table and even audit.app_audit_log 
 after update the demographi and biometric details.</t>
  </si>
  <si>
    <t>Update Draft should also updates document linkages as well as biometrics details.</t>
  </si>
  <si>
    <t>IDRepo_08</t>
  </si>
  <si>
    <t>Verify PublishDraft API moves the draft data to the main 
 ID repo table as either a new insert or as an update.</t>
  </si>
  <si>
    <t>1. Hit Publish Draft API by providing reg_id. 
 2. Check idrepo.uid_draft table, idrepo.uin table.and 
 audit.app_audit_log</t>
  </si>
  <si>
    <t>Record should move from idrepo.uin_draft table to idrepo.uin table.</t>
  </si>
  <si>
    <t>IDRepo_09</t>
  </si>
  <si>
    <t>Verify PublishDraft Api should give error message when 
 tries to publish again with same Reg_id.</t>
  </si>
  <si>
    <t>1. Hit Publish Draft API by providing with same reg_id 
 which is already created.</t>
  </si>
  <si>
    <t>Should get error as "errors": [
  {
  "errorCode": "IDR-IDC-007",
  "message": "No Record(s) found"
  }
  ]</t>
  </si>
  <si>
    <t>IDRepo_10</t>
  </si>
  <si>
    <t>Verify DiscardDraft API should drops and clears the draft 
 table of the draft entry.</t>
  </si>
  <si>
    <t>1. Hit Discard Draft API by providing reg_id. 
 2. Check idrepo.uin_draft,idrepo.uin_biometric_draft 
 table,idrepo.uin_document_draft and audit.app_audit_
 log. DB details: SELECT * FROM idrepo.uin_biometric_
 draft where reg_id=''
  SELECT * FROM idrepo.uin_document_draft where reg_id=''
  SELECT * FROM idrepo.uin_draft where reg_id=''</t>
  </si>
  <si>
    <t>Record should delete from idrepo.uin_draft table and record should get removed from idrepo.uin_draft,idrepo.uin_biometric_draft,idrepo.uin_demodraphi_draft table.</t>
  </si>
  <si>
    <t>IDRepo_11</t>
  </si>
  <si>
    <t>Verify the audit table(audit.app_audit_log)and ensure 
 all the create,update,delete and failures transactions 
 done on draft are tracked in the table.</t>
  </si>
  <si>
    <t>1. check audit.app_audit_log table ensure all the create,update,delete and failures transactions done on draft are tracked in the table.</t>
  </si>
  <si>
    <t>when "Create draft requested","Update draft requested","Has draft requested","Extract Biometrics draft requested","Publish draft requested","Discard draft requested" all the data should be captured in audit.app_audit_log table.</t>
  </si>
  <si>
    <t>IDRepo_12</t>
  </si>
  <si>
    <t>Verify when draft exists in idrepo.uin_draft table, Has Draft
  API should return 200 status code.</t>
  </si>
  <si>
    <t>1. Hit Has Draft API by providing active reg_id.</t>
  </si>
  <si>
    <t>200 status code should retun in the response.</t>
  </si>
  <si>
    <t>IDRepo_13</t>
  </si>
  <si>
    <t>Verify when draft does not exists in idrepo.uin_draft table, Has 
 Draft should return NO_CONTENT.</t>
  </si>
  <si>
    <t>1. Hit Has Draft API by providing in active reg_id.</t>
  </si>
  <si>
    <t>When draft does not exists, HasDraft should return NO_CONTENT.</t>
  </si>
  <si>
    <t>IDRepo_14</t>
  </si>
  <si>
    <t>Verify GetDrafts API should return the 
 active draft for a Reg_id.</t>
  </si>
  <si>
    <t>1. Hit Get Draft API by providing reg_id. 2. Check idrepo.uin_draft table and audit.app_audit_log</t>
  </si>
  <si>
    <t>GetDrafts API should return the New draft UIN associated with the regid.</t>
  </si>
  <si>
    <t>IDRepo_15</t>
  </si>
  <si>
    <t>Verify by extracting biometric for iris for the reg_id using ExtractBiometric Draft API</t>
  </si>
  <si>
    <t>1. Hit Extract biometric Draft API by providing reg_id and provide irisExtractionFormat as mock 2. Check idrepo.uin_biometric_draft table . 3.Select uin_hash value from idrepo.uin_draft table for the reg_id. 4. Go to base url qa-double-rc2 base env and click on Minio link. 5.Login to Minio and go to idrepo repository and provide hash value in search object.</t>
  </si>
  <si>
    <t>After Extracting biometric for iris for the reg_id should be available in Minio with the cbeff filename.iris.mock</t>
  </si>
  <si>
    <t>IDRepo_16</t>
  </si>
  <si>
    <t>Verify by extracting biometric for Finger for the reg_id using ExtractBiometric Draft API</t>
  </si>
  <si>
    <t>1. Hit Extract biometric Draft API by providing reg_id and provide fingerExtractionFormat as mock 2. Check idrepo.uin_biometric_draft table . 3.Select uin_hash value from idrepo.uin_draft table for the reg_id. 4. Go to base url qa-double-rc2 base env and click on Minio link. 5.Login to Minio and go to idrepo repository and provide hash value in search object.</t>
  </si>
  <si>
    <t>After Extracting biometric for Finger for the reg_id should be available in Minio with the cbeff filename.finger.mock</t>
  </si>
  <si>
    <t>IDRepo_17</t>
  </si>
  <si>
    <t>Verify by extracting biometric for Face for the reg_id using ExtractBiometric Draft API</t>
  </si>
  <si>
    <t>1. Hit Extract biometric Draft API by providing reg_id and provide faceExtractionFormat as mock 2. Check idrepo.uin_biometric_draft table . 3.Select uin_hash value from idrepo.uin_draft table for the reg_id. 4. Go to base url qa-double-rc2 base env and click on Minio link. 5.Login to Minio and go to idrepo repository and provide hash value in search object.</t>
  </si>
  <si>
    <t>After Extracting biometric for face for the reg_id should be available in Minio with the cbeff filename.face.mock</t>
  </si>
  <si>
    <t>MOSIP-14565</t>
  </si>
  <si>
    <t>Need ability to configure what auth factors are applicable to different users of the system</t>
  </si>
  <si>
    <t>Authfilters</t>
  </si>
  <si>
    <t>Verify Auth filters in id-authentication-mz.properties.</t>
  </si>
  <si>
    <t>Config file should have auth filters. Based on values defined we should be able to perform auth.</t>
  </si>
  <si>
    <t>Verify that we are able to enable and disable filter</t>
  </si>
  <si>
    <t>Comment the auth filters and verify auth
  1. child should be allowed with all auth factors.</t>
  </si>
  <si>
    <t>To verify the order in which the filters are applied</t>
  </si>
  <si>
    <t>If validation with one filter fails with an error, the rest of the filter in the sequence will be skipped 
  EX: Scenario1: hotlist partner and hotlist indiviual ID ,Do Auth
  -system should give valid message saying Partner is hotlisted.
  Scenario2: Remove only partner hotlisting , Do Auth 
  -Holisting message will be for Individual ID not for partner.</t>
  </si>
  <si>
    <t>IF child auth filter is set to below value:
  ida.child-auth-filter.date-of-birth.attribute.name=dateOfBirth
  ida.child-auth-filter.date-of-birth.pattern=yyyy/MM/dd
  ida.child-auth-filter.child.max.age=5
  ida.child-auth-filter.factors.denied=otp,bio</t>
  </si>
  <si>
    <t>perform Bio auth &amp; otp auth for a child ,system should tell its not allowed for a child</t>
  </si>
  <si>
    <t>1. Get UIN for a child where age &lt;=5 ,age configurable in below property
  ida.child-auth-filter.child.max.age=5
  2. change auth filter to demo only 
  ida.child-auth-filter.factors.denied=otp,bio // demo</t>
  </si>
  <si>
    <t>Perform demo Auth , System should give valid error message.</t>
  </si>
  <si>
    <t>Hotlist a UIN , Do Auth</t>
  </si>
  <si>
    <t>Auth should fail giving valid message saying UIN is hotlisted.</t>
  </si>
  <si>
    <t>Lock indivual ID from resident portal, Do Auth</t>
  </si>
  <si>
    <t>1. If otp &amp; bio is denied for child and same if otp auth is locked using resident portal , then system should give valid message saying otp is denied for child .
 2. If demo Auth is allowed for a child and same is locked using resident portal ,system should give a message saying Auth is locked.</t>
  </si>
  <si>
    <t>Unlock indivual ID from resident portal, Do Auth</t>
  </si>
  <si>
    <t>only allowed Auth for a child should pass , if otp &amp; bio denied for a child -it should fail by giving valid message.</t>
  </si>
  <si>
    <t>MOSIP-15362</t>
  </si>
  <si>
    <t>Use module wise config property for websub callback though they are similar</t>
  </si>
  <si>
    <t>Websub</t>
  </si>
  <si>
    <t>Verify module specific prefix in common callback url property name</t>
  </si>
  <si>
    <t>common callback url should be prefixed with module name.
  EX: id-authentication-internal-mz.properties</t>
  </si>
  <si>
    <t>Verify different config property for websub callback URL for indiviual module</t>
  </si>
  <si>
    <t>Module :IDA
  1. id-authentication-kyc.properties
  2. id-authentication-otp.properties
  3. id-authentication-internal.properties-demo
  4. id-authentication-external.properties-kyc
  To pull in required properties from application Mz.properties and verify demo auth, otp auth , kyc auth.
  Dependency with application-mz.property file should be removed.</t>
  </si>
  <si>
    <t>To change values in module specific property file and verifying auth by restarting only modified file.
  Ex: Modify value for otp in id-authentication-otp.properties &amp; restart otp service</t>
  </si>
  <si>
    <t>Do otp-auth and check whether made changes are reflected properly or not.</t>
  </si>
  <si>
    <t>MOSIP-15390</t>
  </si>
  <si>
    <t>Multi-language Support for ID Authentication (and 
 remove reference to primary and secondary)</t>
  </si>
  <si>
    <t>Verify to do Demo Auth for multilang fields</t>
  </si>
  <si>
    <t>1. Generate unused UIN 
  2. Add record</t>
  </si>
  <si>
    <t>Auth Should be success</t>
  </si>
  <si>
    <t>1. Generate unused UIN 
  2. Add record 
  3.ekyc lang in policy as 'ara' 
  4.Do Auth</t>
  </si>
  <si>
    <t>Auth should be success with ekyc 
  response in ara.</t>
  </si>
  <si>
    <t>1. Generate unused UIN 
  2. Add record 
  3.ekyc lang in policy as 'eng' 
  4.Do Auth</t>
  </si>
  <si>
    <t>Auth should be success with ekyc 
  response in eng.</t>
  </si>
  <si>
    <t>1. Generate unused UIN 
  2. Add record 
  3.ekyc lang in policy as 'eng', 'ara' 
  4.Do Auth</t>
  </si>
  <si>
    <t>Auth should be success with ekyc 
  response in both eng &amp; ara</t>
  </si>
  <si>
    <t>1. Generate unused UIN 
  2. Add record 
  3.No ekyc lang in policy
  4.Do Auth</t>
  </si>
  <si>
    <t>Auth should be success</t>
  </si>
  <si>
    <t>1. Generate unused UIN 
  2. Add record 
  3.ekyc lang in policy as 'hin' 
  4.Do Auth</t>
  </si>
  <si>
    <t>Auth should be success with ekyc 
  response in hin</t>
  </si>
  <si>
    <t>1. Generate unused UIN 
  2. Add record 
  3.ekyc lang in policy as 'kan' 
  4.Do Auth</t>
  </si>
  <si>
    <t>Auth should be success with ekyc 
  response in kan.</t>
  </si>
  <si>
    <t>IDA_Auth_09</t>
  </si>
  <si>
    <t>1. Generate unused UIN 
  2. Add record 
  3.ekyc lang in policy as 'tam' 
  4.Do Auth</t>
  </si>
  <si>
    <t>Auth should be success with ekyc 
  response in tam.</t>
  </si>
  <si>
    <t>IDA_Auth_10</t>
  </si>
  <si>
    <t>1. Generate unused UIN 
  2. Add record 
  3.ekyc lang in policy as 'hin, kan,tam' 
  4.Do Auth</t>
  </si>
  <si>
    <t>Auth should be success with ekyc 
  response in hin,tam,kan</t>
  </si>
  <si>
    <t>IDA_Auth_11</t>
  </si>
  <si>
    <t>IDA_Auth_12</t>
  </si>
  <si>
    <t>Verify to do demo Auth 
  with no lang</t>
  </si>
  <si>
    <t>MOSIP-15048</t>
  </si>
  <si>
    <t>IDA API Spec Changes</t>
  </si>
  <si>
    <t>Verify to do Demo Auth without requestedAuth and individualIdType 
 fields in IDA Auth request</t>
  </si>
  <si>
    <t>1. Generate unused UIN 2.Add record 
  3.Do Demo Auth for demographic fields</t>
  </si>
  <si>
    <t>Pass
  (qa-single-rc2,
  qa-double-rc2 qa-triple-rc2)</t>
  </si>
  <si>
    <t>Verify to do ekyc Demo Auth without requestedAuth and individualIdType
  fields in IDA Auth request</t>
  </si>
  <si>
    <t>1.Get record for the UIN
  2. Do Ekyc demo Auth for demographic fields</t>
  </si>
  <si>
    <t>Auth should be success and In KYC Response sessionkey to have encrypted data</t>
  </si>
  <si>
    <t>Verify to do Bio Auth without requestedAuth and individualIdType 
 fields in IDA Auth request</t>
  </si>
  <si>
    <t>1.Get record for the UIN
  2. Do Bio Auth for face/iris/finger</t>
  </si>
  <si>
    <t>Auth should be success.</t>
  </si>
  <si>
    <t>Verify to do ekyc Bio Auth without requestedAuth and individualIdType
  fields in IDA Auth request</t>
  </si>
  <si>
    <t>1.Get record for the UIN
  2. Do ekyc Bio Auth for face/iris/finger</t>
  </si>
  <si>
    <t>Pass
  (qa-single-rc2,
  qa-double-rc2qa-triple-rc2)</t>
  </si>
  <si>
    <t>Verify to do OTP Auth for UIN/VID without requestedAuth and 
 individualIdType fields in IDA Auth request</t>
  </si>
  <si>
    <t>1.Get record for the UIN
  2. Do OTP Auth</t>
  </si>
  <si>
    <t>Verify to do ekyc OTP Auth for UIN/VID without requestedAuth and 
 individualIdType fields in IDA Auth request</t>
  </si>
  <si>
    <t>1.Get record for the UIN
  2. Do ekyc OTP Auth</t>
  </si>
  <si>
    <t>Verify thumbprint value in KYC response</t>
  </si>
  <si>
    <t>1.Do ekyc Auth
  2. check in response</t>
  </si>
  <si>
    <t>Thumbprint value should be in Hex Encoded and Upper case</t>
  </si>
  <si>
    <t>Verify to do ekyc Demo Auth</t>
  </si>
  <si>
    <t>1. Generate unused UIN 
  2. Add record 
  3.Create Policy with ekyc lang as 'eng'
  4.Do ekyc demo Auth</t>
  </si>
  <si>
    <t>Auth should be success with ekyc 
  response in eng</t>
  </si>
  <si>
    <t>Pass
  (qa-double-rc2)</t>
  </si>
  <si>
    <t>Verify to do ekyc Bio Auth</t>
  </si>
  <si>
    <t>1.Create Policy with ekyc lang as 'ara'
  2.Do ekyc demo Auth</t>
  </si>
  <si>
    <t>Auth should be success with ekyc 
  response in ara</t>
  </si>
  <si>
    <t>Verify to do ekyc OTPAuth</t>
  </si>
  <si>
    <t>1.Create Policy with ekyc lang as 'eng' &amp; 'ara'
  2.Do ekyc demo Auth</t>
  </si>
  <si>
    <t>Auth should be success with ekyc 
  response in eng &amp; ara</t>
  </si>
  <si>
    <t>1.Create Policy without giving ekyc lang
  2.Do ekyc demo Auth</t>
  </si>
  <si>
    <t>Auth should be success with ekyc 
  response in all lang which are configured(qa-double-rc2)</t>
  </si>
  <si>
    <t>Auth should be success with ekyc 
  response in all lang which are configured(qa-triple-rc2)</t>
  </si>
  <si>
    <t>Pass
  (qa-triple-rc2)</t>
  </si>
  <si>
    <t>MOSIP_15641</t>
  </si>
  <si>
    <t>Invoke initial websub-subscriptions 
 before all other
  jobs depending on the subscriptions.</t>
  </si>
  <si>
    <t>To verify for IDA subscriptions when Ida comes up</t>
  </si>
  <si>
    <t>1. IDA service is Down
  2. Get Unused UIN
  3. Issue credtionals for the UIN
  4. IDA service is UP
  5. Do Demo auth</t>
  </si>
  <si>
    <t>1. IDA service is Down
  2. Get Unused UIN
  3. Issue credtionals for the UIN
  4. IDA service is UP
  5. Do Bio(face/finger/iris) auth</t>
  </si>
  <si>
    <t>MOSIP-15671</t>
  </si>
  <si>
    <t>Remove config flags for cryptographic validations in IDA</t>
  </si>
  <si>
    <t>TC_IDA_01</t>
  </si>
  <si>
    <t>Verify set of flag details is removed in the id-authentication-mz.properties file which allow for disabling cryptographic validations</t>
  </si>
  <si>
    <t>1.Go to id-authentication-mz.properties in github with respective qa environments. 2.Check the flag name by searching with 1.Signature validatijon
  2.trust validation
  3.Response signature
  4.thumbprint validation</t>
  </si>
  <si>
    <t>Flag details has been removed in the id-authentication-mz.properties file which allow for disabling cryptographic validations</t>
  </si>
  <si>
    <t>TC_IDA_02</t>
  </si>
  <si>
    <t>Verify for internal auth, thumbprint and trust validation flags should be available in the property file with the value set to false.</t>
  </si>
  <si>
    <t>1.Go to id-authentication-mz.properties in github with respective qa environments. 2.Check the flag name by searching with a.trust validation,b.thumbprint validation for internal</t>
  </si>
  <si>
    <t>Flags should be available in the property file with the value set to false.
  property name as below: mosip.ida.internal.thumbprint-validation-required=false
  mosip.ida.internal.trust-validation-required=false . Note: No changes for flags for internal auth API and internal OTP, as signature and trust validation is disabled .</t>
  </si>
  <si>
    <t>TC_IDA_03</t>
  </si>
  <si>
    <t>Verify by performing with demo auth</t>
  </si>
  <si>
    <t>1. Generate unused UIN 
  2. Add record". 3.Perform Demo Auth</t>
  </si>
  <si>
    <t>Auth should get success and in the response by default thumprint details has to give even if the property file validation token not present.</t>
  </si>
  <si>
    <t>TC_IDA_04</t>
  </si>
  <si>
    <t>Verify by performing with bio auth</t>
  </si>
  <si>
    <t>1. Generate unused UIN 
  2. Add record". 3.Perform bio Auth</t>
  </si>
  <si>
    <t>TC_IDA_05</t>
  </si>
  <si>
    <t>Verify by performing with Ekyc demo auth</t>
  </si>
  <si>
    <t>1. Generate unused UIN 
  2. Add record". 3.Perform EKYC Demo Auth</t>
  </si>
  <si>
    <t>TC_IDA_06</t>
  </si>
  <si>
    <t>Verify by performing with Ekyc bio auth</t>
  </si>
  <si>
    <t>1. Generate unused UIN 
  2. Add record". 3.Perform EKYC bio Auth</t>
  </si>
  <si>
    <t>MOSIP-15973</t>
  </si>
  <si>
    <t>Update IDA Demo UI to use local Partner Private keys and Certificates for Signing request for Signature Header</t>
  </si>
  <si>
    <t>IDA_Auth_UI</t>
  </si>
  <si>
    <t>Verify by Update IDA Demo UI to use local Partner Private keys and Certificates for Signing request for Signature Header.</t>
  </si>
  <si>
    <t>Auth UI should use local Partner Private keys and Certificates for Signing request for Signature Header.</t>
  </si>
  <si>
    <t>qa-double-rc2,qa-triple-rc2</t>
  </si>
  <si>
    <t>MOSIP-17348</t>
  </si>
  <si>
    <t>Authentication - Anonymous Profiling
  Support</t>
  </si>
  <si>
    <t>IDA 01</t>
  </si>
  <si>
    <t>Verify anonymous_profile table created in mosip_ida 
 DB</t>
  </si>
  <si>
    <t>1.Connect qa-double-rc2/qa-single-rc2 DB 
  2.Go to mosip_ida schema 
  3.Check anonymous_profile table under IDA.</t>
  </si>
  <si>
    <t>Anonymous_profile has been created in mosip_ida schema under ida.</t>
  </si>
  <si>
    <t>IDA 02</t>
  </si>
  <si>
    <t>Verify Anonymous_profile table Stored as JSON for
 Demo Auth</t>
  </si>
  <si>
    <t>1.Generate Unused UIN 2.Add record 
  3. DO Demo Auth</t>
  </si>
  <si>
    <t>{
  "partnerName": "", 
  "date": "", //Occurance of the event date. Just date with no time. 
  "yearOfBirth": "",//**mandatory
  "gender": "", // Confidential, Female, Male, Transgender, ...
  "location": [""], Zone, postalcode
  "preferredLanguages": [""], // list of preferred languages
  "authFactors":[''] , DEMO AUTH
  "biometricInfo":Null
  "status":"",//success 
  "errorCode":['']
  }</t>
  </si>
  <si>
    <t>IDA 03</t>
  </si>
  <si>
    <t>Verify Anonymous_profile table Stored as JSON for 
 OTP Auth</t>
  </si>
  <si>
    <t>1.Generate Unused UIN 2.Add record 
  3. DO OTP Auth</t>
  </si>
  <si>
    <t>{
  "partnerName": "", 
  "date": "", //Occurance of the event date. Just date with no time. 
  "yearOfBirth": "",//**mandatory
  "gender": "", // Confidential, Female, Male, Transgender, ...
  "location": [""],zone,postalcode
  "preferredLanguages": [""], // list of preferred languages
  "authFactors":[''] OTP
  "biometricInfo": Null 
  "status":"",//success 
  "errorCode":['']
  }</t>
  </si>
  <si>
    <t>IDA 04</t>
  </si>
  <si>
    <t>Verify Anonymous_profile table Stored as JSON for
  BIO Auth</t>
  </si>
  <si>
    <t>1.Generate Unused UIN 2.Add record 
  3. DO BIO(face/Iris/Finger) Auth</t>
  </si>
  <si>
    <t>{
  "partnerName": "", 
  "date": "", //Occurance of the event date. Just date with no time. 
  "yearOfBirth": "",//**mandatory
  "gender": "", // Confidential, Female, Male, Transgender, ...
  "location": [""], zone,postalcode
  "preferredLanguages": [""], // list of preferred languages
  "authFactors":[''] face/finger/iris 
  "biometricInfo": [ {
  "type":"",
  "subtype": "",
  "qualityScore": "",
  "digitalId": "" //Digital Id of the device
  }],
  "status":"",//success 
  "errorCode":['']
  }</t>
  </si>
  <si>
    <t>IDA 05</t>
  </si>
  <si>
    <t>Verify Anonymous_profile table Stored as JSON for 
 failed Demo Auth</t>
  </si>
  <si>
    <t>{
  "partnerName": "", 
  "date": "", //Occurance of the event date. Just date with no time. 
  "yearOfBirth": "",//**mandatory
  "gender": "", // Confidential, Female, Male, Transgender, ...
  "location": [""], zone,postalcode
  "preferredLanguages": [""], // list of preferred languages
  "authFactors":[''] , DEMO AUTH
  "biometricInfo":Null
  "status":"",// failure
  "errorCode":['']
  }</t>
  </si>
  <si>
    <t>IDA 06</t>
  </si>
  <si>
    <t>Verify Anonymous_profile table Stored as JSON for
  failed OTP Auth</t>
  </si>
  <si>
    <t>{
  "partnerName": "", 
  "date": "", //Occurance of the event date. Just date with no time. 
  "yearOfBirth": "",//**mandatory
  "gender": "", // Confidential, Female, Male, Transgender, ...
  "location": [""], zone,postalcode
  "preferredLanguages": [""], // list of preferred languages
  "authFactors":[''] OTP AUTH
  "biometricInfo": Null 
  "status":"",// failure
  "errorCode":['']
  }</t>
  </si>
  <si>
    <t>IDA 07</t>
  </si>
  <si>
    <t>Verify Anonymous_profile table Stored as JSON for
  failed BIO Auth</t>
  </si>
  <si>
    <t>{
  "partnerName": "", 
  "date": "", //Occurance of the event date. Just date with no time. 
  "yearOfBirth": "",//**mandatory
  "gender": "", // Confidential, Female, Male, Transgender, ...
  "location": [""],zone,postalcode
  "preferredLanguages": [""], // list of preferred languages
  "authFactors":[''] face/finger/iris 
  "biometricInfo": [ {
  "type":"",
  "subtype": "",
  "qualityScore": "",
  "digitalId": "" //Digital Id of the device
  }],
  "status":"",// failure
  "errorCode":['']
  }</t>
  </si>
  <si>
    <t>IDA 08</t>
  </si>
  <si>
    <t>Verify Anonymous_profile table Stored as JSON for
  ekyc Demo Auth</t>
  </si>
  <si>
    <t>1.Generate Unused UIN 2.Add record 
  3. DO ekyc Demo Auth</t>
  </si>
  <si>
    <t>{
  "partnerName": "", 
  "date": "", //Occurance of the event date. Just date with no time. 
  "yearOfBirth": "",//**mandatory
  "gender": "", // Confidential, Female, Male, Transgender, ...
  "location": [""], Zone, postalcode
  "preferredLanguages": [""], // list of preferred languages
  "authFactors":[''] , DEMO AUTH"KYC-AUTH",
  "DEMO-AUTH"
  "biometricInfo":Null
  "status":"",//success 
  "errorCode":['']
  }</t>
  </si>
  <si>
    <t>IDA 09</t>
  </si>
  <si>
    <t>Verify Anonymous_profile table Stored as JSON for 
 ekyc OTP Auth</t>
  </si>
  <si>
    <t>1.Generate Unused UIN 2.Add record 
  3. DO ekyc OTP Auth</t>
  </si>
  <si>
    <t>{
  "partnerName": "", 
  "date": "", //Occurance of the event date. Just date with no time. 
  "yearOfBirth": "",//**mandatory
  "gender": "", // Confidential, Female, Male, Transgender, ...
  "location": [""],zone,postalcode
  "preferredLanguages": [""], // list of preferred languages
  "authFactors":[''] EKYC AUTH
  OTP AUTH
  "biometricInfo": Null 
  "status":"",//success 
  "errorCode":['']
  }</t>
  </si>
  <si>
    <t>IDA 10</t>
  </si>
  <si>
    <t>Verify Anonymous_profile table Stored as JSON for 
 ekyc BIO Auth</t>
  </si>
  <si>
    <t>1.Generate Unused UIN 2.Add record 
  3. DO ekyc BIO Auth</t>
  </si>
  <si>
    <t>{
  "partnerName": "", 
  "date": "", //Occurance of the event date. Just date with no time. 
  "yearOfBirth": "",//**mandatory
  "gender": "", // Confidential, Female, Male, Transgender, ...
  "location": [""],zone,postalcode
  "preferredLanguages": [""], // list of preferred languages
  "authFactors":[''] EKYC AUTH
  BIO AUTH
  "biometricInfo": Null 
  "status":"",//success 
  "errorCode":['']
  }</t>
  </si>
  <si>
    <t>MOSIP-10476</t>
  </si>
  <si>
    <t>Websub Notification to be sent from Master
  data for the changes happened in Templates and Titles.</t>
  </si>
  <si>
    <t>Template</t>
  </si>
  <si>
    <t>Verify for email notification content for 'eng'</t>
  </si>
  <si>
    <t>1.Change auth-email-content template
  2.Do auth
  3. Check email notifiaction</t>
  </si>
  <si>
    <t>Changed template should reflect in email content</t>
  </si>
  <si>
    <t>qa-double-rc2
  qa-triple-rc2</t>
  </si>
  <si>
    <t>Verify for email notification content for 'ara'</t>
  </si>
  <si>
    <t>Verify for email notification content for 'hin'</t>
  </si>
  <si>
    <t>Verify for email notification content for 'kan'</t>
  </si>
  <si>
    <t>Verify for email notification content for 'tam'</t>
  </si>
  <si>
    <t>Verify for email subject in notification for 'eng'</t>
  </si>
  <si>
    <t>1.Change auth-email-subject template
  2.Do auth
  3. Check email notifiaction</t>
  </si>
  <si>
    <t>Changed template should reflect in email subject</t>
  </si>
  <si>
    <t>Verify for email subject in notification for 'ara'</t>
  </si>
  <si>
    <t>Verify for email subject in notification for 'hin'</t>
  </si>
  <si>
    <t>Verify for email subject in notification for 'kan'</t>
  </si>
  <si>
    <t>Verify for email subject in notification for 'tam'</t>
  </si>
  <si>
    <t>Verify for email otp subject in notification for 'eng'</t>
  </si>
  <si>
    <t>1.Change ida-auth-otp-email-subject-template
  2.Do auth
  3. Check email notifiaction</t>
  </si>
  <si>
    <t>Changed template should reflect in email OTP subject</t>
  </si>
  <si>
    <t>Verify for email otp subject in notification for 'ara'</t>
  </si>
  <si>
    <t>1.Change ida-auth-otp-email-content-template
  2.Do auth
  3. Check email notifiaction</t>
  </si>
  <si>
    <t>IDA_Auth_13</t>
  </si>
  <si>
    <t>Verify for email otp subject in notification for 'hin'</t>
  </si>
  <si>
    <t>1.Change auth-OTP-email-subject template
  2.Do auth
  3. Check email notifiaction</t>
  </si>
  <si>
    <t>IDA_Auth_14</t>
  </si>
  <si>
    <t>Verify for email otp subject in notification for 'kan'</t>
  </si>
  <si>
    <t>IDA_Auth_15</t>
  </si>
  <si>
    <t>Verify for email otp subject in notification for 'tam'</t>
  </si>
  <si>
    <t>IDA_Auth_16</t>
  </si>
  <si>
    <t>Verify for email otp content in notification for 'eng'</t>
  </si>
  <si>
    <t>Changed template should reflect in email OTP content</t>
  </si>
  <si>
    <t>IDA_Auth_17</t>
  </si>
  <si>
    <t>Verify for email otp content in notification for 'ara'</t>
  </si>
  <si>
    <t>IDA_Auth_18</t>
  </si>
  <si>
    <t>Verify for email otp content in notification for 'hin'</t>
  </si>
  <si>
    <t>1.Change auth-OTP-email-content template
  2.Do auth
  3. Check email notifiaction</t>
  </si>
  <si>
    <t>IDA_Auth_19</t>
  </si>
  <si>
    <t>Verify for email otp content in notification for 'kan'</t>
  </si>
  <si>
    <t>IDA_Auth_20</t>
  </si>
  <si>
    <t>Verify for email otp content in notification for 'tam'</t>
  </si>
  <si>
    <t>IDA_Auth_21</t>
  </si>
  <si>
    <t>Title</t>
  </si>
  <si>
    <t>Verify for changed title demo auth</t>
  </si>
  <si>
    <t>1.Change the fullname title from Idrepo which is captured as Mrs to miss in demo auth 
  2.Do auth
  3. Check email notifiaction</t>
  </si>
  <si>
    <t>Auth to be success removing titles and considering only name</t>
  </si>
  <si>
    <t>MOSIP-18462</t>
  </si>
  <si>
    <t>Avoid the need for mapping new dynamic attributes in id-mapping json</t>
  </si>
  <si>
    <t>Do auth when the new attribute which is not available in the identity mapping</t>
  </si>
  <si>
    <t>1.Switch to Github and check identity-mapping.json.</t>
  </si>
  <si>
    <t>Do auth when the new attribute which is available in the identity mapping</t>
  </si>
  <si>
    <t>Do auth with the attribute which is language dependent which is not present in identity mapping Example: name,maritalStatus,residenceStatus</t>
  </si>
  <si>
    <t>Do auth with the attribute which is language dependent which is present in identity mapping Example: name,maritalStatus,residenceStatus</t>
  </si>
  <si>
    <t>Do auth with the attribute which is language independent which is not present in identity mapping Example: NIC,Phonenumber,dob</t>
  </si>
  <si>
    <t>Do auth with the attribute which is language independent which is present in identity mapping Example: NIC,Phonenumber,dob</t>
  </si>
  <si>
    <t>Do auth with the attribute which is wrong value for the same UIN which is not present in identity mapping Example: NIC,Phonenumber,dob</t>
  </si>
  <si>
    <t>MOSIP-18463</t>
  </si>
  <si>
    <t>ida-zero-knowledge-encrypted-credential-attributes' property in id-authentication-mz.properties - modify implementation and rename property</t>
  </si>
  <si>
    <t>Verify whether ida-zero-knowledge-encrypted-credential-attributes name is renamed to ida-zero-knowledge-unencrypted-credential-attributes in id-authentication-mz.properties</t>
  </si>
  <si>
    <t>1.Switch to github and check id-authentication-mz.properties corressponding to environment. 2.Search the config file with zero-knowledge. 3.check token name is changed from ida-zero-knowledge-encrypted-credential-attributes to ida-zero-knowledge-unencrypted-credential-attributes</t>
  </si>
  <si>
    <t>ida-zero-knowledge-unencrypted-credential-attributes name should be present in id-authentication-mz.properties</t>
  </si>
  <si>
    <t>Verify attributes name need to mention in ida-zero-knowledge-unencrypted-credential-attributes when shareableAttributes encrypted value as false .</t>
  </si>
  <si>
    <t>under mpolicy-default-auth -&gt; any shareableAttributes when encrypted value as false then we should mention attributes name in ida-zero-knowledge-unencrypted-credential-attributes</t>
  </si>
  <si>
    <t>Verify when shareableAttributes encrypted value as false but not added in the property file.</t>
  </si>
  <si>
    <t>decryption failure</t>
  </si>
  <si>
    <t>Verify when shareableAttributes encrypted value as true but not added in the property file</t>
  </si>
  <si>
    <t>Verify when shareableAttributes encrypted true and added in the property file</t>
  </si>
  <si>
    <t>auth should fail and Error should get saying like attibute not availble in db .</t>
  </si>
  <si>
    <t>MOSIP-13998</t>
  </si>
  <si>
    <t>Encrypt the secrets used by all modules which are using Ballerina</t>
  </si>
  <si>
    <t>TC_001</t>
  </si>
  <si>
    <t>Verify with the secrete key is encrypted for web sub in the id-authentication-mz.properties file .</t>
  </si>
  <si>
    <t>1.Go to config property and find id-authentication-mz.properties file. 2. Search below secrets key is present in id-authentication-mz.properties # Secret for auth type status update callback
  ida-websub-authtype-callback-secret
  # Secret for credtial issueance callback
  ida-websub-credential-issue-callback-secret
  ida-websub-partner-service-callback-secret
  # Secret for partner CA certification upload callback
  ida-websub-ca-certificate-callback-secret
  # Secret for partner CA certification upload callback
  ida-websub-hotlist-callback-secret
  ida-websub-masterdata-templates-callback-secret
  ida-websub-masterdata-titles-callback-secret</t>
  </si>
  <si>
    <t>The secrete key should be in encrypted value under Websub configurations in id-authentication-mz.properties file .</t>
  </si>
  <si>
    <t>TC_002</t>
  </si>
  <si>
    <t>ID Repo</t>
  </si>
  <si>
    <t>Verify with the secrete key is encrypted in the id-repository-mz.properties file .</t>
  </si>
  <si>
    <t>1.Go to config property and find id-repository-mz.properties file. 2. Search below secrets key is present in id-repository-mz.properties. mosip.idrepo.websub.vid-credential-update.secret</t>
  </si>
  <si>
    <t>The secrete key should be in encrypted value in id-repository-mz.properties file .</t>
  </si>
  <si>
    <t>TC_003</t>
  </si>
  <si>
    <t>print</t>
  </si>
  <si>
    <t>Verify with the secrete key is encrypted in the print-mz.properties file</t>
  </si>
  <si>
    <t>1.Go to config property and find print-mz.properties file. 2. Search below secrets key is present in print-mz.properties # mosip.event.secret</t>
  </si>
  <si>
    <t>The secrete key should be in encrypted value in print-mz.properties file</t>
  </si>
  <si>
    <t>TC_004</t>
  </si>
  <si>
    <t>Registration-processor</t>
  </si>
  <si>
    <t>Verify with the secrete key is encrypted in the registration-processor-mz.properties file</t>
  </si>
  <si>
    <t>1.Go to config property and find registration-processor-mz.properties file. 2. Search below secrets key is present in registration-processor-mz.properties # Notification service subscriber secret key for completed event
  registration.processor.notification_service_subscriber_secret # Notification service subscriber secret key for pausedforadditonalinfo event
  registration.processor.notification_service_pausedforadditonalinfo_subscriber_secret</t>
  </si>
  <si>
    <t>The secrete key should be in encrypted value in registration-processor-mz.properties file</t>
  </si>
  <si>
    <t>TC_005</t>
  </si>
  <si>
    <t>kernel</t>
  </si>
  <si>
    <t>Verify with the secrete key is encrypted in the kernel-mz.properties file</t>
  </si>
  <si>
    <t>1.Go to config property and find kernel-mz.properties file. 2. Search below secrets key is present in kernel-mz.properties # syncdata.websub.callback.secret.ca-cert</t>
  </si>
  <si>
    <t>The secrete key should be in encrypted value in kernel-mz.properties file</t>
  </si>
  <si>
    <t>TC_006</t>
  </si>
  <si>
    <t>Verify with the secrete key is encrypted in the syncdata-mz.properties file</t>
  </si>
  <si>
    <t>1.Go to config property and find Admin-mz.properties file. 2. Search below secrets key is present in Admin-mz.properties syncdata.websub.callback.secret.ca-cert</t>
  </si>
  <si>
    <t>The secrete key should be in encrypted value in Admin-mz.properties file</t>
  </si>
  <si>
    <t>MOSIP-16542</t>
  </si>
  <si>
    <t>Add ID attribute verification fields in ID Repo</t>
  </si>
  <si>
    <t>Verify the anonymous profile in ID repo has a verification status field</t>
  </si>
  <si>
    <t>1.Create UIN from ID Repo. 2.Check "verifiedAttributes having values like ["fullName","dateOfBirth"] before adding the record for UIN. 3.Add Record for the UIN</t>
  </si>
  <si>
    <t>The value of verifiedAttributes should populate in the anonymous profile in ID repo.</t>
  </si>
  <si>
    <t>Verify the anonymous profile in ID repo has a verification status field is empty</t>
  </si>
  <si>
    <t>1.Create UIN from ID Repo. 2.Check "verifiedAttributes" not having value before adding the record for UIN. 3.Add Record for the UIN</t>
  </si>
  <si>
    <t>The value of verifiedAttributes should display as null in the anonymous profile Note : we can assume that is nothing verified.</t>
  </si>
  <si>
    <t>validate by verifiedAttributes value should be carry forward when demo data is updated for the same UIN .</t>
  </si>
  <si>
    <t>1.Create UIN from ID Repo. 2.Check "verifiedAttributes having values like ["fullName","dateOfBirth"] before adding the record for UIN. 3.Add Record for UIN. 4.Update the demo data for the same UIN. 5.Check Anonymous profile where verifiedAttributes is carry forward.</t>
  </si>
  <si>
    <t>Same VerifiedAttributes value should be carry forward when demo data is updated for the same UIN in Anonymous profile.</t>
  </si>
  <si>
    <t>validate by verifiedAttributes value should be carry forward when bio data is updated for the same UIN .</t>
  </si>
  <si>
    <t>1.Create UIN from ID Repo. 2.Check "verifiedAttributes having values like ["fullName","dateOfBirth","Phone"] before adding the record for UIN. 3.Add Record for UIN. 4.Update the biometric data for the same UIN. 5.Check Anonymous profile where verifiedAttributes is carry forward.</t>
  </si>
  <si>
    <t>Same VerifiedAttributes value should be carry forward when bio data is updated for the same UIN in Anonymous profile.</t>
  </si>
  <si>
    <t>Verify whether if we dont pass verified attributes in the add record request it should display as []</t>
  </si>
  <si>
    <t>1.Create UIN from ID Repo. 2.Do not pass "verifiedAttributes values in the add record . 3.Add Record for the same UIN.</t>
  </si>
  <si>
    <t>it should display as [] but not null</t>
  </si>
  <si>
    <t>MOSIP-11728</t>
  </si>
  <si>
    <t>Add thumbprint in kyc response</t>
  </si>
  <si>
    <t>IDA_Thumbprint_01</t>
  </si>
  <si>
    <t>Verify thumbprint is available in the OTP eKYC response</t>
  </si>
  <si>
    <t>Thumprint should be available in the eKYC response</t>
  </si>
  <si>
    <t>IDA_Thumbprint_02</t>
  </si>
  <si>
    <t>Verify thumbprint is available in the demo eKYC response</t>
  </si>
  <si>
    <t>IDA_Thumbprint_03</t>
  </si>
  <si>
    <t>Verify thumbprint is available in the bio eKYC response</t>
  </si>
  <si>
    <t>IDA_Thumbprint_04</t>
  </si>
  <si>
    <t>Verify thumbprint is available in the multifactor eKYC response</t>
  </si>
  <si>
    <t>IDA_Thumbprint_05</t>
  </si>
  <si>
    <t>Validate the thumbprint</t>
  </si>
  <si>
    <t>Thumbprint should be the hash of the partner certificate</t>
  </si>
  <si>
    <t>MOSIP-11479</t>
  </si>
  <si>
    <t>Failed Request handling in Credential modules</t>
  </si>
  <si>
    <t>CredentialIssuance_Failed request handling_01</t>
  </si>
  <si>
    <t>Failed request handling</t>
  </si>
  <si>
    <t>Verify New api in Credential Request Generator to show Failed records</t>
  </si>
  <si>
    <t>Failed records should be displayed</t>
  </si>
  <si>
    <t>CredentialIssuance_Failed request handling_02</t>
  </si>
  <si>
    <t>Verify New api in Credential Request Generator to retrigger the specific failed record</t>
  </si>
  <si>
    <t>Failed record status should change to retry</t>
  </si>
  <si>
    <t>CredentialIssuance_Failed request handling_03</t>
  </si>
  <si>
    <t>Verify failed credential issuance for UIN generation gets reproceed after the configured time</t>
  </si>
  <si>
    <t>Credential issuance for UIN should get reproceed</t>
  </si>
  <si>
    <t>CredentialIssuance_Failed request handling_04</t>
  </si>
  <si>
    <t>Verify failed credential issuance for VID generation gets reproceed after the configured time</t>
  </si>
  <si>
    <t>Credential issuance for VID should get reproceed</t>
  </si>
  <si>
    <t>CredentialIssuance_Failed request handling_05</t>
  </si>
  <si>
    <t>Verify failed credential issuance for qrcode generation gets reproceed after the configured time</t>
  </si>
  <si>
    <t>Credential issuance for qrcode should get reproceed</t>
  </si>
  <si>
    <t>CredentialIssuance_Failed request handling_06</t>
  </si>
  <si>
    <t>Verify failed credential issuance for re print gets reproceed after the configured time</t>
  </si>
  <si>
    <t>Credential issuance for reprint should get reproceed</t>
  </si>
  <si>
    <t>CredentialIssuance_Failed request handling_07</t>
  </si>
  <si>
    <t>Verify credential issuance for qrcode get reprocessed by giving credential request type as auth in properties</t>
  </si>
  <si>
    <t>Credential issuance for qrcode should not get reprocessed</t>
  </si>
  <si>
    <t>CredentialIssuance_Failed request handling_08</t>
  </si>
  <si>
    <t>Verify credential issuance for reprint get reprocessed by giving credential request type as auth in properties</t>
  </si>
  <si>
    <t>Credential issuance for reprint should not get reprocessed</t>
  </si>
  <si>
    <t>MOSIP-10802</t>
  </si>
  <si>
    <t>WebSub upgrade - Retry of messages</t>
  </si>
  <si>
    <t>notification_01</t>
  </si>
  <si>
    <t>notification</t>
  </si>
  <si>
    <t>If the listner is down then the retry and resend of the notification messages should happen from the message queue for configured number of time.</t>
  </si>
  <si>
    <t>the packet is getting processed successfully.</t>
  </si>
  <si>
    <t>notification_02</t>
  </si>
  <si>
    <t>Change the number of trials for resend</t>
  </si>
  <si>
    <t>Number of retrials should be configurable</t>
  </si>
  <si>
    <t>MOSIP-10704</t>
  </si>
  <si>
    <t>Need an ability to use the Mock MDS to perform finger print auth</t>
  </si>
  <si>
    <t>IDA_FPAuth_01</t>
  </si>
  <si>
    <t>FP Auth</t>
  </si>
  <si>
    <t>Verify IDA utility supports auth using Fingerprint slab device using Mock MDS</t>
  </si>
  <si>
    <t>IDA utility should support auth using Fingerprint slab device using Mock MDS</t>
  </si>
  <si>
    <t>IDA_FPAuth_02</t>
  </si>
  <si>
    <t>Verify IDA utility supports auth using Fingerprint slab device using real MDS</t>
  </si>
  <si>
    <t>IDA utility should support auth using Fingerprint slab device using real MDS</t>
  </si>
  <si>
    <t>dont have support for real MDS</t>
  </si>
  <si>
    <t>IDA_FPAuth_03</t>
  </si>
  <si>
    <t>Verify IDA utility supports auth using Fingerprint slab device of multiple vendors (Syncbyte/Mantra)</t>
  </si>
  <si>
    <t>IDA utility should support auth using Fingerprint slab device of multiple vendors (Syncbyte/Mantra)</t>
  </si>
  <si>
    <t>dont have support for multiple vendors (Syncbyte/Mantra)</t>
  </si>
  <si>
    <t>MOSIP-10477</t>
  </si>
  <si>
    <t>Handle Websub notification for the changes made in Partner/Policy/MISP data from Partner Management</t>
  </si>
  <si>
    <t>PM_Auth Integration</t>
  </si>
  <si>
    <t>Deactivate an active partner with which auth was done and perform authentication</t>
  </si>
  <si>
    <t>Notification must be sent from PM to auth and user should not be able to perform auth</t>
  </si>
  <si>
    <t>Edit an auth policy and perform authentication</t>
  </si>
  <si>
    <t>Notification must be sent from PM to auth and user should be able to perform auth based on the new policy</t>
  </si>
  <si>
    <t>Map the partner to a different policy and perform auth</t>
  </si>
  <si>
    <t>Expire MISP license and perform auth</t>
  </si>
  <si>
    <t>Notification must be sent from PM to auth and user should not be able to perform auth based on the new policy</t>
  </si>
  <si>
    <t>Update the partner certificate and perform kyc</t>
  </si>
  <si>
    <t>Notification must be sent from PM to auth and user should not be able to perform kyc based on the new certificate</t>
  </si>
  <si>
    <t>MOSIP-10334</t>
  </si>
  <si>
    <t>IDA API interface review - Pending items - DP3</t>
  </si>
  <si>
    <t>Verify thumbprint is used for encryption/decryption</t>
  </si>
  <si>
    <t>Auth should be successful</t>
  </si>
  <si>
    <t>Give an incorrect thumbprint in the IDA request</t>
  </si>
  <si>
    <t>Auth should fail with decryption error</t>
  </si>
  <si>
    <t>Verify the request/response signatures of the auth request</t>
  </si>
  <si>
    <t>The signatures should be right</t>
  </si>
  <si>
    <t>Verify VID is not consumed after OTP request</t>
  </si>
  <si>
    <t>VID should be consumed only after auth request</t>
  </si>
  <si>
    <t>Perform multifactor authentication</t>
  </si>
  <si>
    <t>A single entry must be present in the
  auth history for all the factors used.
  Request, response signatures also to be returned.</t>
  </si>
  <si>
    <t>MOSIP-9800</t>
  </si>
  <si>
    <t>Parallel processing of records in batch job in credential issuance flow</t>
  </si>
  <si>
    <t>Credential issuance_Parallel processing_01</t>
  </si>
  <si>
    <t>Parallel processing</t>
  </si>
  <si>
    <t>Create many UIN and check credential issuance</t>
  </si>
  <si>
    <t>Credential should be issued without any delay</t>
  </si>
  <si>
    <t>Credential issuance_Parallel processing_02</t>
  </si>
  <si>
    <t>Verify reprocess if credential issuance fail</t>
  </si>
  <si>
    <t>Credential should be reprocessed after configured time</t>
  </si>
  <si>
    <t>MOSIP-10822</t>
  </si>
  <si>
    <t>IDObjectValidator fixes</t>
  </si>
  <si>
    <t>ID_Repo</t>
  </si>
  <si>
    <t>Verify we are able to create a record in idrepo without providing the mandatory fields</t>
  </si>
  <si>
    <t>1.Create New UIN. 2.Add record for the UIN without providing Mandatory fields. NOTE: mandatory fields are defined in application-mz.properties. mosip.kernel.idobjectvalidator.mandatory-attributes.id-repository.new-registration=IDSchemaVersion,UIN,fullName,dateOfBirth|age,gender,addressLine1,region,province,city,zone</t>
  </si>
  <si>
    <t>Record should not create when Mandatory fields are missing while adding the reord.</t>
  </si>
  <si>
    <t>Verify we are able to updating a record in idrepo without providing the mandatory fields</t>
  </si>
  <si>
    <t>1.Create New UIN. 2.Add and update the record for the UIN without providing Mandatory fields. NOTE: mandatory fields are defined in application-mz.properties. mosip.kernel.idobjectvalidator.mandatory-attributes.id-repository.update-uin=IDSchemaVersion,UIN</t>
  </si>
  <si>
    <t>Record should not create when Mandatory fields are missing while updating the record.</t>
  </si>
  <si>
    <t>Verify are we able to insert values as string in id repo when they are defined as simpleType in the ID schema. Note able to add record in idrepo by providing a string "province": "Abra",</t>
  </si>
  <si>
    <t xml:space="preserve">1.Create New UIN.                                         2.Add record for the UIN </t>
  </si>
  <si>
    <t>not able to insert values as string in id repo when they are defined as simpleType in the ID schema.</t>
  </si>
  <si>
    <t>Verify Add Identity and Update Identity of Idrepo handelling below validations. Note: Scenarios:
 InvalidDOB, InvalidEmail, InvalidFirstLangCodeForGender, InvalidFirstLangCodeForfullName, InvalidPhoneNumber, InvalidSecLangCodeForGender</t>
  </si>
  <si>
    <t>1.Create New UIN. 2.Add and update the record for the UIN</t>
  </si>
  <si>
    <t>Add Identity and Update Identity of Idrepo should handel below validations. InvalidDOB-&gt;"message": ""Invalid Input Parameter - identity/dateOfBirth", InvalidEmail-&gt;"message": "Invalid Input Parameter - identity/email",InvalidFirstLangCodeForGender-&gt; "message": "Invalid Input Parameter - identity/gender/0/language" InvalidFirstLangCodeForfullName,-&gt;  "message": "Invalid Input Parameter - identity/firstName/0/language"
  InvalidPhoneNumber-,</t>
  </si>
  <si>
    <t>1.Create New UIN. 2.Add record for the UIN</t>
  </si>
  <si>
    <t>To Verify are we able to get "Failed to retrieve Identity Schema from kernel Syncdata service" when "IDSchemaVersion" which is not present in the DB (I,e master.identityschema table)</t>
  </si>
  <si>
    <t>Should throw error like "Failed to retrieve Identity Schema from kernel Syncdata service"</t>
  </si>
  <si>
    <t>MOSIP-8726</t>
  </si>
  <si>
    <t>Events for Fraud Analytics</t>
  </si>
  <si>
    <t>Verify by performing demo Auth as success and it should get published as Fraud events in websub log's.</t>
  </si>
  <si>
    <t>1.Create UIN from ID repo. 2.Add Record for the same UIN. 3.perform Demo Auth. 4.Check the response. 5.Go to websub service log's . 6.Find event topic name as IDA_FRAUD_ANALYTICS and it should published by IDA . 7.Go to DB and check in ida.auth_transaction table record is inserted for authentication transaction. 8.Go to audit.app_audit_log table and check record is inserted or not and every audit log record should have transaction ID and time stamp. .</t>
  </si>
  <si>
    <t>in web sub log's the event topic name should get as IDA_FRAUD_ANALYTICS when we perform demo Authentication as success . Websub log's 2021-11-26T09:28:38.599399127Z time = 2021-11-26T09:28:38.599Z level = INFO module = mosip/kafkaHub message = "Running content update " payload = {"msgType":"PUBLISH","hubTopic":"IDA_FRAUD_ANALYTICS","contentType":"application/json","content":{"publisher":"IDA","topic":"IDA_FRAUD_ANALYTICS","publishedOn":"2021-11-26T09:28:37.704Z","event":{"id":"5b6ab54c-2284-4a3b-92b9-d1478b5c6e7e","transactionId":null,"type":null,"timestamp":"2021-11-26T09:28:37.704Z","dataShareUri":null,"data":{"individualIdHash":"B33F5F2BBD43EEBE29EBC161B81EFADF2F9EB8328B5BB9A90F5E69A5D880F6BF","transactionId":"1234567890","partnerId":"149","authType":"DEMO-AUTH","requestTime":"2021-11-26T09:28:08.929","authStatus":"Y","comment":"Demo Authentication Success"}}}}</t>
  </si>
  <si>
    <t>Verify by performing demo Auth as failure and it should get published as Fraud events in websub log's.</t>
  </si>
  <si>
    <t>1.Create UIN from ID repo. 2.Add Record for the same UIN. 3.perform Demo Auth. 4.Check the response. 5.Go to websub service log's . 6.Find event topic name as IDA_FRAUD_ANALYTICS and it should published by IDA . 7.Go to DB and check in ida.auth_transaction table record is inserted for authentication transaction. 8.Go to audit.app_audit_log table and check record is inserted or not and Every audit log record should have transaction ID and time stamp. .</t>
  </si>
  <si>
    <t>in web sub log's the event topic name should get as IDA_FRAUD_ANALYTICS when we perform demo Authentication as failure . Web sub log's : 2021-11-26T09:46:53.511881531Z time = 2021-11-26T09:46:53.511Z level = INFO module = mosip/kafkaHub message = "Running content update " payload = {"msgType":"PUBLISH","hubTopic":"IDA_FRAUD_ANALYTICS","contentType":"application/json","content":{"publisher":"IDA","topic":"IDA_FRAUD_ANALYTICS","publishedOn":"2021-11-26T09:46:53.115Z","event":{"id":"3c65d77d-eff6-4a46-afeb-1f88307f3f32","transactionId":null,"type":null,"timestamp":"2021-11-26T09:46:53.115Z","dataShareUri":null,"data":{"individualIdHash":"B33F5F2BBD43EEBE29EBC161B81EFADF2F9EB8328B5BB9A90F5E69A5D880F6BF","transactionId":"1234567890","partnerId":"149","authType":"DEMO-AUTH","requestTime":"2021-11-26T09:46:27.79","authStatus":"N","comment":"Demo Authentication Failed"}}}}</t>
  </si>
  <si>
    <t>Verify events should be published when Wrong OTP Provided and do auth</t>
  </si>
  <si>
    <t>in web sub log's the event topic name should get as IDA_FRAUD_ANALYTICS when Wrong OTP Provided and do authentication.</t>
  </si>
  <si>
    <t>Verify events should be published when different OTP from same Partner and do auth</t>
  </si>
  <si>
    <t>in web sub log's the event topic name should get as IDA_FRAUD_ANALYTICS when different OTP from same Partner and do auth</t>
  </si>
  <si>
    <t>Verify events should be published when Invalid UIN/VID passed while authentication</t>
  </si>
  <si>
    <t>in web sub log's the event topic name should get as IDA_FRAUD_ANALYTICS when Invalid UIN/VID passed while authentication</t>
  </si>
  <si>
    <t>Verify events should be published when EKYC demo Auth where auth time exceeded</t>
  </si>
  <si>
    <t>in web sub log's the event topic name should get as IDA_FRAUD_ANALYTICS when EKYC demo Auth where auth time exceeded</t>
  </si>
  <si>
    <t>Verify events should be published when Ekyc Auth with demo should get success</t>
  </si>
  <si>
    <t>in web sub log's the event topic name should get as IDA_FRAUD_ANALYTICS when Ekyc Auth with demo should get success</t>
  </si>
  <si>
    <t>Verify events should be published when Bio auth failure with Digital signature verification failed for request/biometrics/0/data/digitalId</t>
  </si>
  <si>
    <t>in web sub log's the event topic name should get as IDA_FRAUD_ANALYTICS when Bio auth failure with Digital signature verification failed for request/biometrics/0/data/digitalId</t>
  </si>
  <si>
    <t>Verify events should be published when Internal Auth is success</t>
  </si>
  <si>
    <t>in web sub log's the event topic name should get as IDA_FRAUD_ANALYTICS when Internal Auth is success.</t>
  </si>
  <si>
    <t>Verify events should be published when Bio face did not match</t>
  </si>
  <si>
    <t>in web sub log's the event topic name should get as IDA_FRAUD_ANALYTICS when Bio face did not match</t>
  </si>
  <si>
    <t>Verify events should be published when OTP auth with success:</t>
  </si>
  <si>
    <t>in web sub log's the event topic name should get as IDA_FRAUD_ANALYTICS when OTP auth with success:</t>
  </si>
  <si>
    <t>Verify events should be published when individual id is blocked and do auth</t>
  </si>
  <si>
    <t>in web sub log's the event topic name should get as IDA_FRAUD_ANALYTICS when individual id is blocked and do auth</t>
  </si>
  <si>
    <t>Verify events should be published when
 Partner id blocked and do Auth</t>
  </si>
  <si>
    <t>in web sub log's the event topic name should get as IDA_FRAUD_ANALYTICS when
 Partner id blocked and do Auth</t>
  </si>
  <si>
    <t>Verify events should be published for OTP Flooding for denial of service</t>
  </si>
  <si>
    <t>in web sub log's the event topic name should get as IDA_FRAUD_ANALYTICS when
 OTP Flooding for denial of service</t>
  </si>
  <si>
    <t>Verify ida.auth_transaction table record is creating for the failure</t>
  </si>
  <si>
    <t xml:space="preserve">ida.auth_transaction table record should not create for the failure like "Digital signature verification failed for signature header" since For digital signature verification failure we cannot have auth transaction entry since at that point no other information is available.  </t>
  </si>
  <si>
    <t>MOSIP-17072</t>
  </si>
  <si>
    <t>IDRepo_Anonymous Profiling</t>
  </si>
  <si>
    <t>Anonymous Profiling</t>
  </si>
  <si>
    <t>Verify anonymous_profile for New record created.</t>
  </si>
  <si>
    <t>1.Generate New UIN from ID repo Module. 2.Add record for the New UIN. 3.Check record is created in idrepo.anonymous_profile</t>
  </si>
  <si>
    <t>Record should be created in idrepo.anonymous_profile table with below details.
 Profile records details should be added as below.
 "processName", "date","oldProfile",
 "yearOfBirth","gender","location","preferredLanguages", "channel", "exception","verified","biometricInfo","documents"</t>
  </si>
  <si>
    <t>Verify anonymous_profile ,the process Name should be "NEW" when New UIN created from ID repo</t>
  </si>
  <si>
    <t>1.Generate New UIN from ID repo Module. 2.Add record for the New UIN. 3.Check anonymous_profile ,the process Name should be "NEW"</t>
  </si>
  <si>
    <t>Profile should be added in idrepo.anonymous_profile table and "processName" should be "NEW", old profile should be empty and all details should be under new profile.</t>
  </si>
  <si>
    <t>Verify the fields data in idrepo.anonymous_profile for NEW UIN flow --"process Name","date","oldProfile",
 "yearOfBirth","gender","location","preferredLanguages", "channel", "exception","verified","biometricInfo","documents"</t>
  </si>
  <si>
    <t>"processName": "", //New, Update or Lost. Correction is not included here
  "date": "", //Occurance of the event date. Just date with no time. 
  "oldProfile": {
  "yearOfBirth": "", //Only the year of birth is kept. 
  "gender": "", // Code for - Female, Male, Transgender, ...
  "location": [""], //hiearchy except last 2 (means no personal address) maintained as per the array. JSON array remembers the order
  "preferredLanguages": [""], // list of preferred languages
  "channel":["list of channel names eg: phone,email"],
  "exceptions": [{
  "type" : "", //eg: Finger
  "subType": "" //eg: Right Thumb
  }],
  "verified":[""] // list of all the verified id schema atribute names
  "biometricInfo": [ {
  "type" : "",
  "subType": "",
  "qualityScore": "",
  "attempts": "",
  "digitalId": "" //Digital Id of the device
  }],
  "documents": [""] //type of the documents eg: driving license, passport.
  },</t>
  </si>
  <si>
    <t>Verify profile info when update the data like "date of birth" for the New UIN.</t>
  </si>
  <si>
    <t>1.Generate New UIN from ID repo Module. 2.Add record for the New UIN. 3.Check anonymous_profile ,the process Name should be with "update" and yearOfBirth should update Only the year of birth.</t>
  </si>
  <si>
    <t>Profile should be added in idrepo.anonymous_profile table and "processName" should be with "update " and yearOfBirth should update Only the year of birth and should be present in New profile block and all other details should remain same.</t>
  </si>
  <si>
    <t>Verify profile info when update the data "email and phone" for the New UIN</t>
  </si>
  <si>
    <t>1.Generate New UIN from ID repo Module. 2.Add record for the New UIN. 3.Check anonymous_profile ,the process Name should be with "update" and verify email and phone in profile.</t>
  </si>
  <si>
    <t>In Anonymous Profile updated "email and phone" should be present in the new profile and rest other data should carry from old profile.</t>
  </si>
  <si>
    <t>Verify for fields which have values in multiple languages like Gender and Location should take the first value from identity mapping json</t>
  </si>
  <si>
    <t>1.Generate New UIN from ID repo Module. 2.Add record for the New UIN. 3.Check anonymous_profile</t>
  </si>
  <si>
    <t>In Anonymous Profile values in multiple languages like Gender and Location should take the first value from identity Mapping json</t>
  </si>
  <si>
    <t>Verify AnonymousProfile for BiometricInfo when cbeff is valid for the UIN</t>
  </si>
  <si>
    <t>1.Generate New UIN from ID repo Module. 2.Add record for the New UIN. 3.Check anonymous_profile . 4.Based on the cbeff data the biometric info attributes to be filled for each modality.</t>
  </si>
  <si>
    <t>BiometricInfo should be populated and should not go as null when cbeff is valid for the UIN 
 "biometricInfo": [ {
  "type" : "",
  "subType": "",
  "qualityScore": "",
  "attempts": "",
  "digitalId": "" //Digital Id of the device
  }],</t>
  </si>
  <si>
    <t>Verify AnonymousProfile for BiometricInfo when biometric have exception for the UIN</t>
  </si>
  <si>
    <t>1.Generate New UIN from ID repo Module. 2.Add record for the New UIN. 3.Check anonymous_profile .4.Based on the cbeff data the exceptiuon biometric info attributes to be filled for each modality.</t>
  </si>
  <si>
    <t>biometric exception details should update in the profile Details should stored in the profile with details "exceptions": [{
  "type" : "", //eg: Finger
  "subType": "" //eg: Right Thumb
  }],</t>
  </si>
  <si>
    <t>Verify Anonymous profile when verifiedAttributes is passed in the request for the UIN</t>
  </si>
  <si>
    <t>1.Generate New UIN from ID repo Module. 2.Add record for the New UIN and request of the record should contain VerifiedAttributes value 3.Check anonymous_profile</t>
  </si>
  <si>
    <t>In profile verified data should be present as "verified": [
  "fullName",
  "dateOfBirth"
  ],</t>
  </si>
  <si>
    <t>Channel_info</t>
  </si>
  <si>
    <t>Verify channel_info is created with the following columns (add the typical created_by, time updated, etc.)</t>
  </si>
  <si>
    <t>1.Generate New UIN from ID repo Module. 2.Resident have email and phone information. 3.Check channel_info table</t>
  </si>
  <si>
    <t>channel_info is created with the following columns (add the typical created_by, time updated, etc.)</t>
  </si>
  <si>
    <t>Verify new channel (phone number or email) should insert a new record and set the count to 1</t>
  </si>
  <si>
    <t>New channel (phone number or email) should insert a new record and set the count to 1.</t>
  </si>
  <si>
    <t>Verify when Resident data with email and phone and Channel_info should increment with 1 count</t>
  </si>
  <si>
    <t>Resident data with one email and phone and Channel_info should increment with 1 count</t>
  </si>
  <si>
    <t>Verify when Resident data with one email and but no phone and Channel_info should increment 1 for email but 0 count for phone</t>
  </si>
  <si>
    <t>1.Generate New UIN from ID repo Module. 2.Resident data is inserted with one email and no phone number 4. Check channel_info table</t>
  </si>
  <si>
    <t>Channel_info should increment 1 for email but 0 count for phone</t>
  </si>
  <si>
    <t>Verify Channel_info profile when without email is sent via request for the UIN</t>
  </si>
  <si>
    <t>1.Generate New UIN from ID repo Module. 2.Resident data is inserted without email 3. Check channel_info table</t>
  </si>
  <si>
    <t>should go as NO_EMAIL in the channel_info table</t>
  </si>
  <si>
    <t>Verify Channel_info profile when without phone number is sent via request for the UIN</t>
  </si>
  <si>
    <t>1.Generate New UIN from ID repo Module. 2.Resident data is inserted without phone number . 3. Check channel_info table</t>
  </si>
  <si>
    <t>should go as NO_PHONE in the channel_info table</t>
  </si>
  <si>
    <t>TC_16</t>
  </si>
  <si>
    <t>Verify Resident data is inserted without phone number then no phone count will be 1 in channel_info table</t>
  </si>
  <si>
    <t>1.Generate New UIN from ID repo Module. 2.Resident data is inserted without phone number 3. Check channel_info table</t>
  </si>
  <si>
    <t>Resident data is inserted without phone number then no phone count will be 1</t>
  </si>
  <si>
    <t>TC_17</t>
  </si>
  <si>
    <t>Verify email is updated for the record, then no email will be decremented</t>
  </si>
  <si>
    <t>Email is updated for the record, then no email will be decrement in Channel info table</t>
  </si>
  <si>
    <t>TC_18</t>
  </si>
  <si>
    <t>When Resident sharing there phone or email same</t>
  </si>
  <si>
    <t>1.Generate New UIN from ID repo Module. 2.Resident sharing there phone or email same 3. Check channel_info table</t>
  </si>
  <si>
    <t>Should decrement the count for email and phone</t>
  </si>
  <si>
    <t>TC_19</t>
  </si>
  <si>
    <t>verify BiometricInfo should populating even cbeff is valid in AnonymousProfile</t>
  </si>
  <si>
    <t>1.Generate New UIN from ID repo Module. 2.Add record for the New UIN. 3.Check anonymous_profile .</t>
  </si>
  <si>
    <t>BiometricInfo should populating even cbeff is valid in AnonymousProfile</t>
  </si>
  <si>
    <t>TC_20</t>
  </si>
  <si>
    <t>verify channel_info table newly added record from idrepo should generate.</t>
  </si>
  <si>
    <t>channel_info table newly added record from idrepo should generate.</t>
  </si>
  <si>
    <t>TC_21</t>
  </si>
  <si>
    <t>verify Biometric value should carry forward when we do only demo update for the same UIN from Idrepo</t>
  </si>
  <si>
    <t>Biometric value should carry forward when we do only demo update for the same UIN from Idrepo</t>
  </si>
  <si>
    <t>TC_22</t>
  </si>
  <si>
    <t>Verify IDrepo anonymous profile - if we dont pass verified attributes in the add record request should display as []</t>
  </si>
  <si>
    <t>IDrepo anonymous profile - if we dont pass verified attributes in the add record request should display as []</t>
  </si>
  <si>
    <t>TC_23</t>
  </si>
  <si>
    <t>Verify After updating the resident data from idrepo ,update anonymous_profile should create in table .</t>
  </si>
  <si>
    <t>After updating the resident data from idrepo ,update anonymous_profile should create in table .</t>
  </si>
  <si>
    <t>TC_24</t>
  </si>
  <si>
    <t>when no email and no phone present for the resident data in idrepo.channel_info record should present with information like No_Email and No_Phone in hashed_channel column</t>
  </si>
  <si>
    <t>no email and no phone present for the resident data in idrepo.channel_info record should present with information like No_Email and No_Phone in hashed_channel column</t>
  </si>
  <si>
    <t>MOSIP-15975</t>
  </si>
  <si>
    <t>Timestamp and Transaction ID validation Updates</t>
  </si>
  <si>
    <t>TC_15975_01</t>
  </si>
  <si>
    <t>Verify by reducing synchronization deviation,delay request timestapm in id-authentication-mz.properties and perform demo Auth</t>
  </si>
  <si>
    <t>1.Generate New UIN from ID repo Module. 2.Add record for the New UIN. 3.Perform Demo Auth using UIN Note: 1. Reduce the 5 minutes synchronization deviation to 30 seconds.2. Reduce the 30 minutes delay request timestapm to 30 seconds.</t>
  </si>
  <si>
    <t>Demo Auth should be succcess with in the time limit.</t>
  </si>
  <si>
    <t>TC_15975_02</t>
  </si>
  <si>
    <t>Verify by reducing synchronization deviation,delay request timestapm in id-authentication-mz.properties and perform demo Auth after time limit.</t>
  </si>
  <si>
    <t>Should get response with error,"errorMessage": "Request to be received at MOSIP within 60 seconds. Attribute: requestTime",
  "actionMessage": "Please send the request within 60 seconds"</t>
  </si>
  <si>
    <t>TC_15975_03</t>
  </si>
  <si>
    <t>Verify timestamp validation of biometrics like Face,Iris,Finger and validation apply the to the last segment biometrics&gt;data&gt;timestamp and biometrics&gt;data&gt;digitalId&gt;datetime</t>
  </si>
  <si>
    <t>1.Generate New UIN from ID repo Module. 2.Add record for the New UIN. 3.Perform Bio Auth using UIN 4.Check the Auth status for biometrics like Face,Iris,Finger.</t>
  </si>
  <si>
    <t>Bio Auth should be succcess with in the time limit.</t>
  </si>
  <si>
    <t>TC_15975_04</t>
  </si>
  <si>
    <t>Verify bio auth by passing invalid bio digitalid timestamp in the Create bio auth request for Face,Iris,Finger.</t>
  </si>
  <si>
    <t>1.Generate New UIN from ID repo Module. 2.Add record for the New UIN. 3.Perform Bio Auth using UIN</t>
  </si>
  <si>
    <t>Bio response should be like INVALID_BIO_DIGITALID_TIMESTAMP("IDA-MLC-031", "DigitalId of Biometrics captured after %s seconds of previous biometrics",
  "Please capture DigitalId of biometrics within %s seconds of previous biometric capture"),</t>
  </si>
  <si>
    <t>TC_15975_05</t>
  </si>
  <si>
    <t>Verify bio auth by passing invalid bio timestampin in the Create bio auth request for Face,Iris,Finger.</t>
  </si>
  <si>
    <t>Bio response should be like INVALID_BIO_TIMESTAMP("IDA-MLC-030", "Biometrics captured after %s seconds of previous biometrics",
  "Please capture biometrics within %s seconds of previous biometric capture")</t>
  </si>
  <si>
    <t>TC_15975_06</t>
  </si>
  <si>
    <t>Verify bio auth and it not be exceed the configured value, when time difference between the two successive segments in both (biometrics&gt;data&gt;timestamp and biometrics&gt;data&gt;digitalId&gt;datetime).</t>
  </si>
  <si>
    <t>Bio Auth should be success</t>
  </si>
  <si>
    <t>TC_15975_07</t>
  </si>
  <si>
    <t>Verify the transaction IDs in biometrics is same as transaction ID outer section.</t>
  </si>
  <si>
    <t>TC_15975_08</t>
  </si>
  <si>
    <t>Verify the transaction IDs in biometrics is different as transaction ID outer section.</t>
  </si>
  <si>
    <t>Auth should fail with error "errors": [
  {
  "errorCode": "IDA-MPA-001",
  "errorMessage": "Digital signature verification failed for signature header"
  }</t>
  </si>
  <si>
    <t>TC_15975_09</t>
  </si>
  <si>
    <t>Verify by reducing synchronization deviation,delay request timestapm in id-authentication-mz.properties and perform EKYC Auth</t>
  </si>
  <si>
    <t>Ekyc Auth should be succcess with in the time limit.</t>
  </si>
  <si>
    <t>TC_15975_10</t>
  </si>
  <si>
    <t>Verify timestamp validation of biometrics like Face,Iris,Finger and validation apply the to the last segment biometrics&gt;data&gt;timestamp and biometrics&gt;data&gt;digitalId&gt;datetime and perform EKYC bio Auth</t>
  </si>
  <si>
    <t>1.Generate New UIN from ID repo Module. 2.Add record for the New UIN. 3.Perform Ekyc Bio Auth using UIN 4.Check the Auth status for biometrics like Face,Iris,Finger.</t>
  </si>
  <si>
    <t>Ekyc Bio Auth should be succcess with in the time limit.</t>
  </si>
  <si>
    <t>MOSIP-16602</t>
  </si>
  <si>
    <t>Auth UI Enhancements</t>
  </si>
  <si>
    <t>AUTH_UI</t>
  </si>
  <si>
    <t>Verify Demographic check box has displayed in Auth UI</t>
  </si>
  <si>
    <t>Run Demo UI and check Demographic check box is added in the UI</t>
  </si>
  <si>
    <t>Demographic check box should displayed in Auth UI</t>
  </si>
  <si>
    <t>Verify eKYC check box has displayed in Auth UI</t>
  </si>
  <si>
    <t>Run Demo UI and check eKYC check box feature is added in the UI</t>
  </si>
  <si>
    <t>eKYC check box should displayed in Auth UI</t>
  </si>
  <si>
    <t>Verify demographic auth by clicking demographic checkbox and provide input like UIN and identity data in Authentication text box before performing auth.</t>
  </si>
  <si>
    <t>1.Run Demo UI. 2.click demographi checkbox-&gt; provide UIN details in Indivial id text box-&gt;Add identity data in Demographic Authentication textbox-&gt;click send Auth request</t>
  </si>
  <si>
    <t>Authentication should be success and check the log's in Console</t>
  </si>
  <si>
    <t>Verify eKYC auth by clicking demographic checkbox and provide input like UIN and identity data in Authentication text box before performing auth.</t>
  </si>
  <si>
    <t>1.Run Demo UI. 2.click eKYC and demographic checkbox-&gt; provide UIN details in Indivial id text box-&gt;Add identity data in Demographic Authentication textbox-&gt;click send Auth request</t>
  </si>
  <si>
    <t>Ekyc Authentication should be success and check the log's in Console</t>
  </si>
  <si>
    <t>Verify eKYC response and it should be decrypted value</t>
  </si>
  <si>
    <t>ekyc response should allow to decrypt the values</t>
  </si>
  <si>
    <t>Verify Demographic data should be accepted as JSON Array with key value as defined in IDA API specification</t>
  </si>
  <si>
    <t>Try to do ekyc bio auth(iris) using Auth UI</t>
  </si>
  <si>
    <t>1.Run Demo UI. 2.click eKYC with bio and provide the valid inputs</t>
  </si>
  <si>
    <t>Try to do ekyc bio auth(finger) using Auth UI</t>
  </si>
  <si>
    <t>Try to do ekyc bio auth(face) using Auth UI</t>
  </si>
  <si>
    <t>Try to do ekyc bio auth(iris and face) using Auth UI</t>
  </si>
  <si>
    <t>Try to do ekyc bio auth(finger and face) using Auth UI</t>
  </si>
  <si>
    <t>Try to do ekyc bio auth(iris) using Auth UI with invalid bio data</t>
  </si>
  <si>
    <t>1.Run Demo UI. 2.click eKYC with bio and provide the invalid inputs</t>
  </si>
  <si>
    <t>Auth should get fail and error should see in the console</t>
  </si>
  <si>
    <t>Try to do ekyc bio auth(finger) using Auth UI with invalid bio data</t>
  </si>
  <si>
    <t>Try to do ekyc bio auth(face) using Auth UI with invalid bio data</t>
  </si>
  <si>
    <t>Try to do ekyc bio auth(iris and face) using Auth UI with invalid bio data</t>
  </si>
  <si>
    <t>Try to do ekyc bio auth(finger and face) using Auth UI with invalid bio data</t>
  </si>
  <si>
    <t>MOSIP-15694</t>
  </si>
  <si>
    <t>Add expiry date to a resident’s identity record</t>
  </si>
  <si>
    <t>Verify Adding a new nullable column identity_expiry in ida.identity_cache table.</t>
  </si>
  <si>
    <t>1.Go to databases and check ida.identity_cache table.</t>
  </si>
  <si>
    <t>Added a new nullable column identity_expiry in ida.identity_cache table.</t>
  </si>
  <si>
    <t>MOSIP-14740</t>
  </si>
  <si>
    <t>IDA changes for PMS ca certificate notification with datashare url</t>
  </si>
  <si>
    <t>Verify the data for certificates are getting copied automatically from keyManager.ca_cert_store table to ida. ca_cert_store Table</t>
  </si>
  <si>
    <t>1.Connect to DB and check keyManager.ca_cert_store table are getting store to ida. ca_cert_store Table</t>
  </si>
  <si>
    <t>data for certificates should get copied automatically from keyManager.ca_cert_store table to ida. ca_cert_store Table</t>
  </si>
  <si>
    <t>MOSIP-14494</t>
  </si>
  <si>
    <t>Changes due to MDS/SBI Spec update for Hash and Thumbprint</t>
  </si>
  <si>
    <t>Verify user is able to do Auth successfully, using Mock MDS after Updating the certificate</t>
  </si>
  <si>
    <t>1.underMockMDS\target\Biometric Devices\Finger\Slap\Keys with .p12 certifcates under IDA Folder. Replaced mosipfingerslap.p12 with device-dsk-partner.p12 
 2.Replaced mosipfingerslapftm.p12 with ftm-csk-partner.p12
 3.Updated the below property required under the application.properties file
 4.mosip.mock.sbi.file.finger.slap.keys.keyalias.ftm
 5.mosip.mock.sbi.file.finger.slap.keys.keystorepwd.ftm</t>
  </si>
  <si>
    <t>User should able to do Auth successfully, using Mock MDS after Updating the certificate</t>
  </si>
  <si>
    <t>Verify MDS is having both keys for FTM and Device for validation.</t>
  </si>
  <si>
    <t>1.underMockMDS\target\Biometric Devices\Finger\Slap\Keys. 2.inside keys folder both FTM and Device .p12 certificate should be there.</t>
  </si>
  <si>
    <t>We are able to do Auth successfully using these keys.</t>
  </si>
  <si>
    <t>MOSIP-11881</t>
  </si>
  <si>
    <t>Store Partner Data in IDA DB based on websub notification from Partner Management.</t>
  </si>
  <si>
    <t>Verify PMS will push any changes in the partner details such as Partner ID,Policy ID,MISP Id or API Keys to the web sub.</t>
  </si>
  <si>
    <t>Check the websub log's and find the partner</t>
  </si>
  <si>
    <t>Verify the IDA will listen to these web sub notifications and store the partner details in IDA DB</t>
  </si>
  <si>
    <t>in websub log's we can seepartner topic details</t>
  </si>
  <si>
    <t>verify New table has created in the IDA to store the partner details</t>
  </si>
  <si>
    <t>New table has created in the IDA to store the partner details</t>
  </si>
  <si>
    <t>Verify the changes made to the partner details are stored in the table post approval of api key</t>
  </si>
  <si>
    <t>partnerData table and column name like partnerId -- String,partnerName -- String,certificateData -- String,partnerStatus -- boolean
 policyData table and column name like policyId -- String,policy -- JSONObject,policyName -- String,policyStatus -- boolean,policyDescription -- String,policyCommenceOn -- LocalDateTime,policyExpiresOn -- LocalDateTime
 apiKeyDat table and column name like aapiKeyId -- String,apiKeyCommenceOn -- LocalDateTime,apiKeyExpiresOn -- LocalDateTime,apiKeyStatus -- String</t>
  </si>
  <si>
    <t>Verify after Post Update of Partner and check the IDA table.</t>
  </si>
  <si>
    <t>partnerData table 
 partnerId -- String,partnerName -- String,certificateData -- String,partnerStatus -- boolean</t>
  </si>
  <si>
    <t>Verify Post Update of Policy and check the IDA table.</t>
  </si>
  <si>
    <t>topic: POLICY_UPDATED and policyData
 policyId -- String,policy -- JSONObject,policyName -- String,policyStatus -- boolean,policyDescription -- String,policyCommenceOn -- LocalDateTime,policyExpiresOn -- LocalDateTime,</t>
  </si>
  <si>
    <t>Verify Post update of apiKey and check the IDA table.</t>
  </si>
  <si>
    <t>topic: APIKEY_UPDATED and apiKeyData table 
 apiKeyId -- String,apiKeyCommenceOn -- LocalDateTime,apiKeyExpiresOn -- LocalDateTime,apiKeyStatus -- String</t>
  </si>
  <si>
    <t>Verify Post misp approval and check the IDA table.</t>
  </si>
  <si>
    <t>topic: MISP_LICENSE_GENERATEDand check mispLicenseData table
 mispId -- Stringlicense_key -- StringmispCommenceOn -- LocalDateTime,mispExpiresOn -- LocalDateTime,mispStatus -- boolean</t>
  </si>
  <si>
    <t>Verify Post misp license update and check the IDA table.</t>
  </si>
  <si>
    <t>topic: MISP_LICENSE_UPDATED and check mispLicenseData table 
 mispId -- Stringlicense_key -- StringmispCommenceOn -- LocalDateTime,mispExpiresOn -- LocalDateTime,mispStatus -- String,</t>
  </si>
  <si>
    <t>MOSIP-11845</t>
  </si>
  <si>
    <t>Trust Validation for different partners</t>
  </si>
  <si>
    <t>Verify If the partner certificate is not signed by MOSIP then we should not allow partner to perform authentication</t>
  </si>
  <si>
    <t>1. Login as policy manager
 2. Create Auth Partner. 3.Generate Partner keys .</t>
  </si>
  <si>
    <t>In IDA Auth log's , find the trust Validation error when the partner certificate is not signed by MOSIP</t>
  </si>
  <si>
    <t>Verify with,the partner certificates which is not present in the IDA database</t>
  </si>
  <si>
    <t>1. Login as policy manager
 2. Create Auth Partner. 3.Generate Partner keys . 4.Use CA/CASub/partner cerificates for the partner which is not present in IDA tables</t>
  </si>
  <si>
    <t>In IDA Auth log's,we should see like TRUST VALID : false". It means partner certificate is not signed by MOSIP</t>
  </si>
  <si>
    <t>Try to do demo Auth once after generate the partner keys</t>
  </si>
  <si>
    <t>Auth should get fail and In IDA Auth log's,we should see like TRUST VALID : false"</t>
  </si>
  <si>
    <t>Verify If the partner certificate is signed by MOSIP then we should allow partner to perform demo authentication</t>
  </si>
  <si>
    <t>1. Login as policy manager
 2. Create Auth Partner. 3.Generate Partner keys . 4.Upload the CA/CASub/partner cerificates for the partner.</t>
  </si>
  <si>
    <t>Auth should get success for demo authentication</t>
  </si>
  <si>
    <t>Verify If the partner certificate is signed by MOSIP then we should allow partner to perform bio authentication</t>
  </si>
  <si>
    <t>Auth should get success for Bio authentication</t>
  </si>
  <si>
    <t>Verify If the partner certificate is signed by MOSIP then we should allow partner to perform Ekyc authentication</t>
  </si>
  <si>
    <t>Auth should get success for EKYC authentication</t>
  </si>
  <si>
    <t>Verify If the partner certificate is signed by MOSIP then we should allow partner to perform OTP authentication</t>
  </si>
  <si>
    <t>Auth should get success for OTP authentication</t>
  </si>
  <si>
    <t>MOSIP-11844</t>
  </si>
  <si>
    <t>Web Sub Event for CA/Sub-CA when CA Certificate is Added</t>
  </si>
  <si>
    <t>Verify CA certificate upload is notified to IDA which is notified via websub from Partner Management.</t>
  </si>
  <si>
    <t>1. Login as policy manager
 2. Create Auth Partner. 3.Generate Partner keys . 4.Upload CA certificate for the partner. 5.Check for ca certificate for auth partner in IDA.ca_cert_store table in mosip_ida database</t>
  </si>
  <si>
    <t>CA certificate upload should notified to IDA which is notified via websub from Partner Management.</t>
  </si>
  <si>
    <t>To add certificate and check that certificates are updated in respective tables</t>
  </si>
  <si>
    <t>MOSIP-11011</t>
  </si>
  <si>
    <t>Update authentication demo service</t>
  </si>
  <si>
    <t>Verify by Updating Auth demo application to support below points Signature
 Encryption using Thumbprint
 HMACUtils2
 Changes in Service Components</t>
  </si>
  <si>
    <t>Download the latest Auth demo service</t>
  </si>
  <si>
    <t>After Updating auth demo service, all authentication should work.</t>
  </si>
  <si>
    <t>1.Run Demo UI. 2.provide UIN and capture the bio details first and do authentication</t>
  </si>
  <si>
    <t>Try to do bio auth(iris) using Auth UI</t>
  </si>
  <si>
    <t>Try to do bio auth(finger) using Auth UI</t>
  </si>
  <si>
    <t>Try to do bio auth(face) using Auth UI</t>
  </si>
  <si>
    <t>MOSIP-9802</t>
  </si>
  <si>
    <t>Remove hard coded secret in IDA websub config</t>
  </si>
  <si>
    <t>Verify hard coded secret in IDA websub is removed in config id-authentication-mz.properties file .</t>
  </si>
  <si>
    <t>1.Go to config property and find id-authentication-mz.properties file. 2.Search hard coded secret in IDA websub is removed in config id-authentication-mz.properties file</t>
  </si>
  <si>
    <t>Hard coded secret in IDA websub has been removed in config id-authentication-mz.properties file .</t>
  </si>
  <si>
    <t>Try to do demo auth from IDA</t>
  </si>
  <si>
    <t>1.Create new UIN from idrepo. 2.add record for UIN. 3.Create Auth request for Name field 4.Perform Auth for the same request.</t>
  </si>
  <si>
    <t>Demo Auth with should get success</t>
  </si>
  <si>
    <t>Try to do Bio auth from IDA</t>
  </si>
  <si>
    <t>1.Create new UIN from idrepo. 2.add record for UIN. 3.Create Auth request for bio data. 4.Perform Auth for the same request.</t>
  </si>
  <si>
    <t>BIO Auth should get success</t>
  </si>
  <si>
    <t>Try to do Ekyc demo/bio auth from IDA</t>
  </si>
  <si>
    <t>Ekyc Demo and Bio Auth with should get success</t>
  </si>
  <si>
    <t>Try to do OTP demo auth from IDA</t>
  </si>
  <si>
    <t>OTP Auth should get success</t>
  </si>
  <si>
    <t>MOSIP-9652</t>
  </si>
  <si>
    <t>Make ID Type as optional in IDA services - detect the ID Type based on the ID</t>
  </si>
  <si>
    <t>Verify ID Type as optional in IDA services I,e 1. Auth
 2. Internal auth
 3. OTP Auth
 4. KYC Auth
 5. Internal OTP Auth 6. Auth Transaction History 7.. OTP Request 8. Internal OTP Request</t>
  </si>
  <si>
    <t>In each transaction should get success without individual type.</t>
  </si>
  <si>
    <t>Verify user is able to do Auth without individual type.</t>
  </si>
  <si>
    <t>1. Generate unused UIN 2.Add record 
 3.Do Demo Auth for demographic fields</t>
  </si>
  <si>
    <t>Verify to do Demo Auth without individualIdType 
 fields in IDA Auth request</t>
  </si>
  <si>
    <t>Verify to do ekyc Demo Auth without individualIdType
 fields in IDA Auth request</t>
  </si>
  <si>
    <t>1.Get record for the UIN
 2. Do Ekyc demo Auth for demographic fields</t>
  </si>
  <si>
    <t>Verify to do Bio Auth without individualIdType 
 fields in IDA Auth request</t>
  </si>
  <si>
    <t>1.Get record for the UIN
 2. Do Bio Auth for face/iris/finger</t>
  </si>
  <si>
    <t>Verify to do ekyc Bio Auth without individualIdType
 fields in IDA Auth request</t>
  </si>
  <si>
    <t>1.Get record for the UIN
 2. Do ekyc Bio Auth for face/iris/finger</t>
  </si>
  <si>
    <t>Verify to do OTP Auth for UIN/VID without 
 individualIdType fields in IDA Auth request</t>
  </si>
  <si>
    <t>1.Get record for the UIN
 2. Do OTP Auth</t>
  </si>
  <si>
    <t>Verify to do ekyc OTP Auth for UIN/VID without
 individualIdType fields in IDA Auth request</t>
  </si>
  <si>
    <t>1.Get record for the UIN
 2. Do ekyc OTP Auth</t>
  </si>
  <si>
    <t>Verify user is able to do internal demo Auth without individual type.</t>
  </si>
  <si>
    <t>Verify user is able to do internal bio Auth without individual type.</t>
  </si>
  <si>
    <t>1. Generate unused UIN 2.Add record 
 3.Do bio Auth for biometric data</t>
  </si>
  <si>
    <t>MOSIP-9633</t>
  </si>
  <si>
    <t>Add plus/minus time period adjustment configuration to allow request time on that is not in sync</t>
  </si>
  <si>
    <t>Verify id-authentication-mz.properties contain Add plus/minus time period adjustment configuration for the request time validation.</t>
  </si>
  <si>
    <t>1.Switch to github and check IDA config file.</t>
  </si>
  <si>
    <t>In id-authentication-mz.properties having Add plus/minus time period adjustment configuration for the request time validation,</t>
  </si>
  <si>
    <t>Verify whether user is able to setting time period under this token authrequest.received-time-adjustment.seconds=</t>
  </si>
  <si>
    <t>user should able to setting time period under this token authrequest.received-time-adjustment.seconds=</t>
  </si>
  <si>
    <t>Verify to do demo Auth with in the time period.</t>
  </si>
  <si>
    <t>1.Create Auth request for the UIN. 2.perform demo auth.</t>
  </si>
  <si>
    <t>Demo Auth should get successfully with no hassel</t>
  </si>
  <si>
    <t>Verify to do demo Auth when the time is exceeded than the time period.</t>
  </si>
  <si>
    <t>Auth should fail and should get error like errors": [
  {
  "errorCode": "IDA-MLC-001",
  "errorMessage": "Request to be received at MOSIP within 180 seconds. Attribute: requestTime",
  "actionMessage": "Please send the request within 180 seconds"
  }</t>
  </si>
  <si>
    <t>Verify to do bio/ekyc/OTP Auth with in the time period.</t>
  </si>
  <si>
    <t>1.Create Auth request for the UIN. 2.perform bio/ekyc/OTP auth.</t>
  </si>
  <si>
    <t>Auth should get successfully with no hassel</t>
  </si>
  <si>
    <t>Verify to do bio/ekyc/OTP Auth when the time is exceeded than the time period.</t>
  </si>
  <si>
    <t>MOSIP-8593</t>
  </si>
  <si>
    <t>Integrate with Pub Sub in IDA and ID Repository</t>
  </si>
  <si>
    <t>Verify ID Repository has to publish a set of below events. ID Created
 ID Revoked
 Auth Locked
 Auth Unlocked
 Auth Blocked
 Auth Unblocked
 Device Added
 Device Blocked
 Device Unblocked
 Device Removed
 ID Hotlisted
 Device Hotlisted</t>
  </si>
  <si>
    <t>1.Create UIN from ID repo. 2.Add Record for the same UIN. 3.perform Demo Auth.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</si>
  <si>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names for all the transactions.</t>
  </si>
  <si>
    <t>Verify event list to be identified when ID Created</t>
  </si>
  <si>
    <t>In Web sub log's we should see topic name for ID Creation.</t>
  </si>
  <si>
    <t>Verify event list to be identified when ID Updated</t>
  </si>
  <si>
    <t>1.Create UIN from ID repo. 2.Add Record and update the data for the same UIN. 3.perform Demo Auth.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</si>
  <si>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ID is updated.</t>
  </si>
  <si>
    <t>Verify event list to be identified when ID Revoked</t>
  </si>
  <si>
    <t>1.Create UIN from ID repo. 2.Add Record for the UIN and revoke the ID 3.perform Demo Auth for the revoked ID.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</si>
  <si>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ID is revoked</t>
  </si>
  <si>
    <t>Verify event list to be identified when Auth locked for the UIN</t>
  </si>
  <si>
    <t>1.Create UIN from ID repo. 2.Add Record and for UIN and do demo/bio auth lock for the UIN 3.perform Demo Auth for locked UIN.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</si>
  <si>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Auth type is locked for the UIN.</t>
  </si>
  <si>
    <t>Verify event list to be identified when Auth Unlocked for the UIN</t>
  </si>
  <si>
    <t>1.Create UIN from ID repo. 2.Add Record and for UIN and do demo/bio auth lock for the UIN and the UNlock the Auth type. 3.perform Demo Auth for Unlocked UIN.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</si>
  <si>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Verify event list to be identified when Auth is Blocked.</t>
  </si>
  <si>
    <t>1.Create UIN from ID repo. 2.Add Record for UIN and blocked the auth type. 3.perform Demo Auth for auth blocked.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</si>
  <si>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Auth is blocked</t>
  </si>
  <si>
    <t>Verify event list to be identified when Auth UnBlocked.</t>
  </si>
  <si>
    <t>1.Create UIN from ID repo. 2.Add Record for UIN and Unblocked the auth type. 3.perform Demo Auth for auth unblocked.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</si>
  <si>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Auth is Unblocked</t>
  </si>
  <si>
    <t>Verify event list to be identified when VID Created</t>
  </si>
  <si>
    <t>1.Create UIN from ID repo. 2.Add Record for UIN and create VID for UIN. 3.perform Demo Auth for VID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</si>
  <si>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VID is created.</t>
  </si>
  <si>
    <t>Verify event list to be identified when Auth Device Blocked for the UIN</t>
  </si>
  <si>
    <t>1.Blocked the Device 2.perform Demo Auth for the same device 3.Check the response. 4.Go to websub service log's . 5.Find event topic name and it should published by IDA .Go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</si>
  <si>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Device is blocked.</t>
  </si>
  <si>
    <t>Verify event list to be identified when Auth Device UnBlocked</t>
  </si>
  <si>
    <t>1.UnBlocked the Device 2.perform Demo Auth for the same device 3.Check the response. 4.Go to websub service log's . 5.Find event topic name and it should published by IDA .Go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</si>
  <si>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Device is Unblocked.</t>
  </si>
  <si>
    <t>Verify event list to be identified when ID Hotlisted</t>
  </si>
  <si>
    <t>1.Hotlisted the ID 2.perform Demo Auth for the same ID 3.Check the response. 4.Go to websub service log's . 5.Find event topic name and it should published by IDA .Go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</si>
  <si>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ID is Hotlisted</t>
  </si>
  <si>
    <t>Verify event data to be identified for each event</t>
  </si>
  <si>
    <t>Event data should be identified for each event</t>
  </si>
  <si>
    <t>Verify Authentication will produce a events when Authentication Performed</t>
  </si>
  <si>
    <t>Authentication will produce a events when Authentication Performed</t>
  </si>
  <si>
    <t>Verify Authentication will produce a events when Authentication failure</t>
  </si>
  <si>
    <t>Authentication will produce a events when Authentication failure in web sub log's</t>
  </si>
  <si>
    <t>Verify Authentication will produce a events when Id Hotlisted</t>
  </si>
  <si>
    <t>1.Create UIN from ID repo. 2.Add Record for UIN. 3.perform Demo Auth.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</si>
  <si>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Authentication will produce a events when Id Hotlisted in web sub log's</t>
  </si>
  <si>
    <t>Verify Authentication will produce a events when Id Hotlisted cleared</t>
  </si>
  <si>
    <t>1.Do Unblock the ID 2.perform Demo Auth. 3.Check the response. 4.Go to websub service log's . 5.Find event topic name and it should published by IDA 6.Go to DB and check in ida.auth_transaction table record is inserted for authentication transaction. 7.Go to audit.app_audit_log table and check record is inserted or not and every audit log record should have transaction ID and time stamp. .</t>
  </si>
  <si>
    <t>Authentication will produce a events when Id Hotlisted cleared in web sub log's</t>
  </si>
  <si>
    <t>PASS</t>
  </si>
  <si>
    <t>MOSIP-8294</t>
  </si>
  <si>
    <t>Policy based Auth Response Token for Partners</t>
  </si>
  <si>
    <t>verify authToken field in the authentication response based on policy</t>
  </si>
  <si>
    <t>1.Create new Uin from Idrepo module. 2. Add record for the same Uin . 3.Create demo Auth request 4.Perform demo auth for the same request.</t>
  </si>
  <si>
    <t>authToken field in the authentication response based on policy</t>
  </si>
  <si>
    <t>Verify by creating new policy with authTokenType as policy and try to do demo authentication for the same partner</t>
  </si>
  <si>
    <t>1. From PMS create one policy ,for the same policy create one partner and map the Partner to policyName. 2.Create new Uin from Idrepo module. 3. Add record for the same Uin . 4.Create demo Auth request 5.Perform demo auth for the same request.</t>
  </si>
  <si>
    <t>Verify authtoken in the authentication response after performing demo auth when policy is same for the partner and where authTokenType as policy</t>
  </si>
  <si>
    <t>Verify authtoken in the authentication response after performing demo auth when policy is same but diff partner and where authTokenType as policy</t>
  </si>
  <si>
    <t>1. From PMS create one policy ,for the same policy create multiple partner and map the Partner to same policyName. 2.Create new Uin from Idrepo module. 3. Add record for the same Uin . 4.Create demo Auth request 5.Perform demo auth for the same request.</t>
  </si>
  <si>
    <t>Verify authtoken in the authentication response after performing demo auth when policy is same for the partner and where authTokenType as partner</t>
  </si>
  <si>
    <t>Verify authtoken in the authentication response after performing demo auth when policy is same but diff partner and where authTokenType as partner</t>
  </si>
  <si>
    <t>Verify authtoken in the authentication response after performing demo auth when policy is same for the partner and where authTokenType as random</t>
  </si>
  <si>
    <t>Verify authtoken in the authentication response after performing demo auth when policy is same but diff partner and where authTokenType as random</t>
  </si>
  <si>
    <t>1. From PMS create one policy when authTokenType as null</t>
  </si>
  <si>
    <t>we should get error like "errors": [
  {
  "errorCode": "PMS-PV-005",
  "message": "Invalid input parameter - authTokenType"
  }</t>
  </si>
  <si>
    <t>1. From PMS create one policy when authTokenType as invalid data other that patner/policy/random</t>
  </si>
  <si>
    <t>"errors": [
  {
  "errorCode": "PMS-PV-005",
  "message": "Invalid input parameter - authTokenType"
  }</t>
  </si>
  <si>
    <t>1. From PMS create one policy when if we don’t pass authTokenType attribute itself</t>
  </si>
  <si>
    <t>we should get error like "errors": [
  {
  "errorCode": "PMS-PV-006",
  "message": "Missing input parameter - authTokenType"
  }
  ]</t>
  </si>
  <si>
    <t>MOSIP-8248</t>
  </si>
  <si>
    <t>Add support for receiving consent token in authentication requests</t>
  </si>
  <si>
    <t>Verify as part of Authentication request ,KYC Request,OTP request should allow to accept the Consent JWT token from partner.</t>
  </si>
  <si>
    <t>Auth should get successful with no hassel</t>
  </si>
  <si>
    <t>Verify to do demo auth when Authorization - header is missing</t>
  </si>
  <si>
    <t>it should get error like {
  "errorCode": "IDA-MLC-006",
  "errorMessage": "Missing Input Parameter - Authorization - header"
  }</t>
  </si>
  <si>
    <t>Verify to do demo auth when Authorization - header is available</t>
  </si>
  <si>
    <t>Verify to do bio auth when Authorization - header is missing</t>
  </si>
  <si>
    <t>Verify to do bio auth when Authorization - header is available</t>
  </si>
  <si>
    <t>Verify to do ekyc demo and bio auth when Authorization - header is missing</t>
  </si>
  <si>
    <t>Verify to do ekyc demo and bio auth when Authorization - header is available</t>
  </si>
  <si>
    <t>Verify to do OTP demo auth when Authorization - header is missing</t>
  </si>
  <si>
    <t>Verify to do OTP demo auth when Authorization - header is available</t>
  </si>
  <si>
    <t>MOSIP-8563</t>
  </si>
  <si>
    <t>Integration with Data Share API</t>
  </si>
  <si>
    <t>Verify dataShareUri details are present in ida.credential_event_store table</t>
  </si>
  <si>
    <t>1.connect to DB and check ida.credential_event_store table</t>
  </si>
  <si>
    <t>dataShareUri details are present in ida.credential_event_store under even_object column table</t>
  </si>
  <si>
    <t>Verify in the ida.credential_event_store under event_object column data is getting from data share api</t>
  </si>
  <si>
    <t>ida.credential_event_store under event_object column data data should come from data share api</t>
  </si>
  <si>
    <t>Verify data share url provided by credential issuance event getting data from data share api.</t>
  </si>
  <si>
    <t>MOSIP-8293</t>
  </si>
  <si>
    <t>IDA: AuthType Status Change events in IDA and store the Auth Type status against UIN/VID hash</t>
  </si>
  <si>
    <t>Verify the ID column for the table should be changed from “UIN Hash” to token_id which will be common for the UIN and its associated VIDs.</t>
  </si>
  <si>
    <t>1.connect to db and check in ida.auth_transaction</t>
  </si>
  <si>
    <t>ID column for the table should be changed from “UIN Hash” to token_id which will be common for the UIN and its associated VIDs.</t>
  </si>
  <si>
    <t>Verify for the Auth Type Status Changed event in IDA DB, auth type lock status will be stored against token_id</t>
  </si>
  <si>
    <t>1.connect to db and check auth type lock status has stored against token_id in ida.uin_auth_lock</t>
  </si>
  <si>
    <t>Auth Type Status should be Changed IDA DB, auth type lock status should stored against token_id</t>
  </si>
  <si>
    <t>Verify for the different types of authentication should store in DB with the same token_id Example:DEMO-AUTH,IRIS-AUTH,OTP-AUTH,OTP-REQUEST,FINGERPRINT-AUTH</t>
  </si>
  <si>
    <t>for the different types of authentication should store in DB with the same token_id Example:DEMO-AUTH,IRIS-AUTH,OTP-AUTH,OTP-REQUEST,FINGERPRINT-AUTH</t>
  </si>
  <si>
    <t>MOSIP-8292</t>
  </si>
  <si>
    <t>ID Repo: Move Auth Type Status Storage and Retrieval services from IDA to ID Repo including DB changes</t>
  </si>
  <si>
    <t>To verify that we are able to add record and get successful response.</t>
  </si>
  <si>
    <t>1.Get Unused UIN. 2.Add record for UIN. 3.Retrive/fetch the data for UIN 4.Check New profile is created in idrepo.Anonymous profile table. 5.ID should be available in IDA table. 6.check in audit.app_audit_log table for eventname as Activate ID. 7.History should be there</t>
  </si>
  <si>
    <t>we should be able to add Record and get successful response based on the languages given in config file.</t>
  </si>
  <si>
    <t>1.Get Unused UIN . 2.Add Record for UIN when lang speacified other than config file. 3.Check the Response</t>
  </si>
  <si>
    <t>When trying to do Add record with other than the languages specified in config file should throw appropriate error like "message": "Invalid Input Parameter</t>
  </si>
  <si>
    <t>Try to add record again for the same UIN.</t>
  </si>
  <si>
    <t>1.Get Unused UIN. 2.Add Record for UIN. 3.Again Add Record for the same UIN.</t>
  </si>
  <si>
    <t>Id should get Activated and We should get error like {
  "errorCode": "IDR-IDC-012",
  "message": "Record already exists in DB"
  }
  ]</t>
  </si>
  <si>
    <t>Verify we are able to update a demographic data in idrepo.</t>
  </si>
  <si>
    <t>1.Get Unused UIN. 2.Add record for UIN. 3.Retrive/fetch the data for UIN 4.Check Update profile is created in idrepo.Anonymous profile table. 5.ID should be available in IDA table. 6.check in audit.app_audit_log table.</t>
  </si>
  <si>
    <t>Should able to update a demographic data in idrepo.</t>
  </si>
  <si>
    <t>Verify we are able to update a biometric data in idrepo.</t>
  </si>
  <si>
    <t>Should able to update a biometric data in idrepo.</t>
  </si>
  <si>
    <t>Verify by generating perpetual VID for the UIN</t>
  </si>
  <si>
    <t>1.Get Unused UIN 2.Add Record for the same UIN. 3.Generate Perpetual VID for the same UIN</t>
  </si>
  <si>
    <t>Should generate perpetual VID for the UIN from ID Repo</t>
  </si>
  <si>
    <t>Verify by generating Temporary VID for the UIN</t>
  </si>
  <si>
    <t>1.Get Unused UIN 2.Add Record for the same UIN. 3.Generate Temporary VID for the same UIN</t>
  </si>
  <si>
    <t>Should generate Temporary VID for the UIN from ID Repo</t>
  </si>
  <si>
    <t>Try to lock the demo auth type from resident service and perform DEMO auth for the same UIN</t>
  </si>
  <si>
    <t>1.Create new UIN from idrepo. 2.add record for UIN 3.Do send OTP for UIN from resident Module. and lock the demo auth type 4.Create demo Auth request 5.Perform Auth for the same request.</t>
  </si>
  <si>
    <t>Demo auth should get fail and should get error like "errors": [
  {
  "errorCode": "IDA-MLC-019",
  "errorMessage": "Demo Auth Type is Locked for the UIN"
  }</t>
  </si>
  <si>
    <t>Try to lock the bio auth types like bio-Finger from resident service and perform bio auth for the same UIN</t>
  </si>
  <si>
    <t>1.Create new UIN from idrepo. 2.add record for UIN 3.Do send OTP for UIN from resident Module. and lock the bio finger auth type 4.Create bio Auth request 5.Perform Auth for the same request.</t>
  </si>
  <si>
    <t>Bio auth should get fail and should get error like "errors": [
  {
  "errorCode": "IDA-MLC-019",
  "errorMessage": "bio-Finger Auth Type is Locked for the UIN"
  }</t>
  </si>
  <si>
    <t>Try to lock the bio auth types like bio-Iris from resident service and perform bio auth for the same UIN</t>
  </si>
  <si>
    <t>1.Create new UIN from idrepo. 2.add record for UIN 3.Do send OTP for UIN from resident Module. and lock the bio iris auth type 4.Create bio Auth request 5.Perform Auth for the same request.</t>
  </si>
  <si>
    <t>Bio auth should get fail and should get error like "errors": [
  {
  "errorCode": "IDA-MLC-019",
  "errorMessage": "bio-Iris Auth Type is Locked for the UIN"
  }</t>
  </si>
  <si>
    <t>Try to lock the bio auth types like bio-Face from resident service and perform bio auth for the same UIN</t>
  </si>
  <si>
    <t>1.Create new UIN from idrepo. 2.add record for UIN 3.Do send OTP for UIN from resident Module. and lock the bio face auth type 4.Create bio Auth request 5.Perform Auth for the same request.</t>
  </si>
  <si>
    <t>Bio auth should get fail and should get error like "errors": [
  {
  "errorCode": "IDA-MLC-019",
  "errorMessage": "bio-Face Auth Type is Locked for the UIN"
  }</t>
  </si>
  <si>
    <t>Try to lock the bio auth types like bio-Finger from resident service and perform DEMO auth for the same UIN</t>
  </si>
  <si>
    <t>1.Create new UIN from idrepo. 2.add record for UIN 3.Do send OTP for UIN from resident Module. and lock the bio finger auth type. 4.Create bio Auth request 5.Perform Auth for the same request.</t>
  </si>
  <si>
    <t>Demo auth should get success and for bio auth should get fail and should get error like "errors": [
  {
  "errorCode": "IDA-MLC-019",
  "errorMessage": "bio-Finger Auth Type is Locked for the UIN"
  }</t>
  </si>
  <si>
    <t>Try to lock the bio auth types like bio-Iris from resident service and perform DEMO auth for the same UIN</t>
  </si>
  <si>
    <t>1.Create new UIN from idrepo. 2.add record for UIN 3.Do send OTP for UIN from resident Module. and lock the bio iris auth type. 4.Create bio Auth request 5.Perform Auth for the same request.</t>
  </si>
  <si>
    <t>Demo auth should get success and for bio auth should get fail and should get error like "errors": [
  {
  "errorCode": "IDA-MLC-019",
  "errorMessage": "bio-iris Auth Type is Locked for the UIN"
  }</t>
  </si>
  <si>
    <t>Try to lock the bio auth types like bio-Face from resident service and perform DEMO auth for the same UIN</t>
  </si>
  <si>
    <t>1.Create new UIN from idrepo. 2.add record for UIN 3.Do send OTP for UIN from resident Module. and lock the bio face auth type. 4.Create bio Auth request 5.Perform Auth for the same request.</t>
  </si>
  <si>
    <t>Demo auth should get success and for bio auth should get fail and should get error like "errors": [
  {
  "errorCode": "IDA-MLC-019",
  "errorMessage": "bio-Face Auth Type is Locked for the UIN"
  }</t>
  </si>
  <si>
    <t>Try to lock the demo auth types from resident service and perform bio auth like bio-Finger/bio-Iris/bio-FACE for the same UIN</t>
  </si>
  <si>
    <t>1.Create new UIN from idrepo. 2.add record for UIN 3.Do send OTP for UIN from resident Module. and lock the demo auth 4.Create bio Auth request 5.Perform Auth for the same request.</t>
  </si>
  <si>
    <t>Bio auth should get success and demo auth should get fail and should get error like "errors": [
  {
  "errorCode": "IDA-MLC-019",
  "errorMessage": "Demo Auth Type is Locked for the UIN"
  }</t>
  </si>
  <si>
    <t>MOSIP-8291</t>
  </si>
  <si>
    <t>Auth Transaction History Service Changes</t>
  </si>
  <si>
    <t>PAss</t>
  </si>
  <si>
    <t>Verify for each authentication, store the auth transactions against the token which is part of the credential stored in IDA DB for the UIN/VID</t>
  </si>
  <si>
    <t>Each authentication, store the auth transactions against the token which is part of the credential stored in IDA DB for the UIN/VID</t>
  </si>
  <si>
    <t>Verify the token will be the same for the associated UIN and VIDs</t>
  </si>
  <si>
    <t>Token should be the same for the associated UIN and VIDs and This token will be sent as part of credential by the credential service.</t>
  </si>
  <si>
    <t>Verify ID hash or Encrypted IDs has to remove in ida.auth_transaction DB</t>
  </si>
  <si>
    <t>ID hash or Encrypted IDs is Completely removed in ida.auth_transaction</t>
  </si>
  <si>
    <t>Verify the token is created in ida.auth_transaction based on UIN/vid and Partner specific</t>
  </si>
  <si>
    <t>for all the auth transaction token should be same and token is specific to UIN/VID and partner details.</t>
  </si>
  <si>
    <t>MOSIP-8893</t>
  </si>
  <si>
    <t xml:space="preserve">Auth Separation - Move OTP transaction and notification service to IDA
</t>
  </si>
  <si>
    <t>Verify to do OTP auth with Invalid otp</t>
  </si>
  <si>
    <t>1.Create new UIN from idrepo. 2.add record for UIN 3.Create OTP request with the Invalid OTP</t>
  </si>
  <si>
    <t>Auth should get fail and should get error like "invalid OTP"</t>
  </si>
  <si>
    <t>Verify to do OTP auth with Wrong otp</t>
  </si>
  <si>
    <t>1.Create new UIN from idrepo. 2.add record for UIN 3.Create OTP request with the Wrong OTP</t>
  </si>
  <si>
    <t>Verify with the UIN without email and trying to generate otp</t>
  </si>
  <si>
    <t>1.Create new UIN from idrepo. 2.add record for UIN 3.Create OTP request with the UIN without email</t>
  </si>
  <si>
    <t>then it is returning the below error message "errorCode": "IDA-MLC-009", "errorMessage": "Invalid Input Parameter - email"</t>
  </si>
  <si>
    <t>Try to do OTP demo auth with the UIN where generated from IDRepo Module</t>
  </si>
  <si>
    <t>1.Create new UIN from idrepo. 2.add record for UIN 3,Create OTP demo Auth for UIN 4.Perform Auth for the same request.</t>
  </si>
  <si>
    <t>Demo auth should get success</t>
  </si>
  <si>
    <t>Try to do OTP demo auth with the VID where generated from IDRepo Module</t>
  </si>
  <si>
    <t>1.Create new UIN from idrepo. 2.add record for UIN 3.Generate VID for UIN. 4.Create OTP demo Auth for VID 5.Perform Auth for the same request.</t>
  </si>
  <si>
    <t>Request for otp and perform OTP authenticate</t>
  </si>
  <si>
    <t>verify Authenticate using expired otp</t>
  </si>
  <si>
    <t>MOSIP-9530</t>
  </si>
  <si>
    <t>IDA API interface review - Pending items</t>
  </si>
  <si>
    <t>Verify to do Demo Auth with Dynamic Field gender.</t>
  </si>
  <si>
    <t>1.Create new UIN from idrepo. 2.add record for UIN. 3.Create Auth request for Dynamic Field Gender 4.Perform Auth for the same request.</t>
  </si>
  <si>
    <t>The Demo Auth should pass successfully with no hassel.</t>
  </si>
  <si>
    <t>Verify to do auth with Invalid Gender and Invalid ResidentStatus</t>
  </si>
  <si>
    <t>1.Create new UIN from idrepo. 2.add record for UIN. 3.Create Auth request with Invalid Gender and Invalid ResidentStatus 4.Perform Auth for the same request.</t>
  </si>
  <si>
    <t>The Demo Auth should get fail and should get error like "errors": [
  {
  "errorCode": "IDA-DEA-001",
  "errorMessage": "Demographic data gender in eng did not match",
  "actionMessage": "Please re-enter your gender in eng"
  },
  {
  "errorCode": "IDA-DEA-001",
  "errorMessage": "Demographic data residenceStatus in eng did not match",
  "actionMessage": "Please re-enter your residenceStatus in eng"
  }</t>
  </si>
  <si>
    <t>1.check in id-authentication-mz.properties domain uri details</t>
  </si>
  <si>
    <t>fail</t>
  </si>
  <si>
    <t>1.check in id-authentication-mz.properties env details</t>
  </si>
  <si>
    <t>Verify Domain URI , env should be optional in the Auth request.</t>
  </si>
  <si>
    <t>1.check in id-authentication-mz.properties env and domain uri details</t>
  </si>
  <si>
    <t>if missing need not throw error, if present we can check for the equality with biometrics data’s domain URI and env fields</t>
  </si>
  <si>
    <t>verify VID/UIN is consumed only in-case of authentication, but not in otp request</t>
  </si>
  <si>
    <t>VID/UIN should consumed only in-case of authentication, but not for otp request</t>
  </si>
  <si>
    <t>MOSIP-8604</t>
  </si>
  <si>
    <t>IDA API interface review</t>
  </si>
  <si>
    <t>Verify based on spec change Consent token to be added in the header in all the IDA service request. 1.Auth request. 2.Ekyc Request. 3.otp request.</t>
  </si>
  <si>
    <t>Verify Signature of the request to be added in the header in all the auth request as per IDA spec changes</t>
  </si>
  <si>
    <t>1.check signature in the header parameter.</t>
  </si>
  <si>
    <t>Signature of the request should be added in the header in all the auth request as per IDA spec changes</t>
  </si>
  <si>
    <t>Verify version and thumbprint to all the authentication as per IDA spec changes</t>
  </si>
  <si>
    <t>1. version and thumbprint need to check in all the Auth request</t>
  </si>
  <si>
    <t>version and thumbprint to all the authentication as per IDA spec changes</t>
  </si>
  <si>
    <t>verify Add domain URI and env to all the authentication requests as per IDA spec changes</t>
  </si>
  <si>
    <t>1. domain URI and env need to check in all the Auth request</t>
  </si>
  <si>
    <t>Add domain URI and env to all the authentication requests as per IDA spec changes</t>
  </si>
  <si>
    <t>verify Update KeyIndex as Thumbprint in the Auth request as per IDA spec changes</t>
  </si>
  <si>
    <t>1.KeyIndex as Thumbprint need to check in all the Auth request</t>
  </si>
  <si>
    <t>Update KeyIndex as Thumbprint in the Auth request as per IDA spec changes</t>
  </si>
  <si>
    <t>verify Thumbprint to be added in e-KYC response as per IDA spec changes</t>
  </si>
  <si>
    <t>1.Thumbprint to be added in e-KYC response need to check in all the Auth request</t>
  </si>
  <si>
    <t>Thumbprint to be added in e-KYC response as per IDA spec changes</t>
  </si>
  <si>
    <t>verify by creating auth request as per Ida spec changes</t>
  </si>
  <si>
    <t>creating auth request as per Ida spec changes</t>
  </si>
  <si>
    <t>verify Add Spec Version and Thumbprint in biometric block (which comes from MDS</t>
  </si>
  <si>
    <t>1.Add Spec Version and Thumbprint in biometric block in all the bio auth request</t>
  </si>
  <si>
    <t>Add Spec Version and Thumbprint should be present in biometric block (which comes from MDS</t>
  </si>
  <si>
    <t>MOSIP-11790</t>
  </si>
  <si>
    <t>Pull missed credentials from websub and process it after IDA restarted after long time (more than 1 hour).</t>
  </si>
  <si>
    <t>1. IDA service is Down
 2. Get Unused UIN
 3. Issue credtionals for the UIN
 4. IDA service is UP
 5. Do Demo auth</t>
  </si>
  <si>
    <t>1. IDA service is Down
 2. Get Unused UIN
 3. Issue credtionals for the UIN
 4. IDA service is UP
 5. Do Bio(face/finger/iris) auth</t>
  </si>
  <si>
    <t>1. IDA service is Down
 2. Device creation &amp; Hotlist
 3. IDA service is UP
 4. Do auth</t>
  </si>
  <si>
    <t>Auth(Demo/Bio/otp) should fail 
 with proper message</t>
  </si>
  <si>
    <t>Create a UIN, add to UIN Hotlist List and Try to do
 Auth
 (Demo/Bio/OTP) using that</t>
  </si>
  <si>
    <t>2. IDA service is Down
 1. UIN creation(IDEREPO)&amp; Hotlist
 3. IDA service is UP
 4. Do auth</t>
  </si>
  <si>
    <t>1. IDA service is Down
 2. Partner creation(PMS) &amp; Hotlist
 3. IDA service is UP
 4. Do auth</t>
  </si>
  <si>
    <t>Create a VID, add the VID to Hotlist List and Try to
 do Auth (Demo/Bio/OTP) using that.</t>
  </si>
  <si>
    <t>1. IDA service is Down
 2. VID creation(IDREPO) &amp; Hotlist
 3. IDA service is UP
 4. Do auth</t>
  </si>
  <si>
    <t>1. IDA service is Down
 2. Create/Update policy
 3. IDA service is UP
 4. Do auth</t>
  </si>
  <si>
    <t>1. IDA service is Down
 2. Generate MISP_license
 3. IDA service is UP
 4. Do auth</t>
  </si>
  <si>
    <t>Auth should get success with same
 license key</t>
  </si>
  <si>
    <t>1. IDA service is Down
 2.deactivate MISP
 3. IDA service is UP
 4. Do auth</t>
  </si>
  <si>
    <t>1. IDA service is Down
 2 Upload certificate
 3. IDA service is UP
 4. Get certificate</t>
  </si>
  <si>
    <t>1. IDA service is Down
 2.Generate API key
 3. IDA service is UP
 4. Do auth</t>
  </si>
  <si>
    <t>1. IDA service is Down
 2. Deactivate Partner ID
 3. IDA service is UP
 4. Do auth</t>
  </si>
  <si>
    <t>verify if the listner is down then the retry and resend of the notification messages should happen from the message queue for configured number of time.</t>
  </si>
  <si>
    <t>verify Change the number of trials for resend</t>
  </si>
  <si>
    <t>MOSIP-11501</t>
  </si>
  <si>
    <t>Integration of Bio-SDK for extraction of biometrics for ID Repo</t>
  </si>
  <si>
    <t>Verify Idrepo directly calls the SDK and get the extracted data .</t>
  </si>
  <si>
    <t>1.Get Unuser UIN. 2.Add record for UIN</t>
  </si>
  <si>
    <t>Idrepo should directly calls the SDK and get the extracted data .</t>
  </si>
  <si>
    <t>Verify ID Repo will store the bio metric extracts instead of image.</t>
  </si>
  <si>
    <t>ID Repo should store the bio metric extracts instead of image.</t>
  </si>
  <si>
    <t>Verify able to create new UIN from id repo module</t>
  </si>
  <si>
    <t>should able to create new UIN from id repo module</t>
  </si>
  <si>
    <t>Verify able to do bio authentication for the UIN</t>
  </si>
  <si>
    <t>1.Get Unuser UIN. 2.Add record for UIN. 3.perform Auth for same Uin</t>
  </si>
  <si>
    <t>should able to do bio authentication for the UIN</t>
  </si>
  <si>
    <t>Verify able to do ekyc bio authentication for the UIN</t>
  </si>
  <si>
    <t>should able to do ekyc bio authentication for the UIN</t>
  </si>
  <si>
    <t>verify Bio extractor Service details for each modality is present in id-authentication-mz.properties</t>
  </si>
  <si>
    <t>1. switch to github and check Bio extractor Service details for each modality is present in id-authentication-mz.properties</t>
  </si>
  <si>
    <t>Bio extractor Service details for each modality is present in id-authentication-mz.properties</t>
  </si>
  <si>
    <t>Verify Identify the format from cbeff and based on the format ID repo fetches the URL.</t>
  </si>
  <si>
    <t>Identify the format from cbeff and based on the format ID repo fetches the URL.</t>
  </si>
  <si>
    <t>verify user sould be able to fetch URL for specific modality during extraction.</t>
  </si>
  <si>
    <t>user sould be able to fetch URL for specific modality during extraction.</t>
  </si>
  <si>
    <t>MOSIP-11472</t>
  </si>
  <si>
    <t>Changes in Biometric Extractor</t>
  </si>
  <si>
    <t>MOSIP-10707</t>
  </si>
  <si>
    <t xml:space="preserve">Credential service update
</t>
  </si>
  <si>
    <t>Credential Service</t>
  </si>
  <si>
    <t>Verify under pms.partner_policy_credential_type able to see all the credential type details</t>
  </si>
  <si>
    <t>1.connect to DB and check pms.partner_policy_credential_type table</t>
  </si>
  <si>
    <t>Credential type details should be present in pms.partner_policy_credential_type table.</t>
  </si>
  <si>
    <t>Verify for "euin" credential type ,poicy id and partner_id details maintained in pms.partner_policy_credential_type table</t>
  </si>
  <si>
    <t>"euin" credential type ,poicy id and partner_id details should be present in pms.partner_policy_credential_type table</t>
  </si>
  <si>
    <t>Verify for "reprint" credential type ,poicy id and partner_id details maintained in pms.partner_policy_credential_type table</t>
  </si>
  <si>
    <t>"reprint" credential type ,poicy id and partner_id details should be present in pms.partner_policy_credential_type table</t>
  </si>
  <si>
    <t>Verify for "qrcode" credential type ,poicy id and partner_id details maintained in pms.partner_policy_credential_type table</t>
  </si>
  <si>
    <t>"qrcode" credential type ,poicy id and partner_id details should be present in pms.partner_policy_credential_type table</t>
  </si>
  <si>
    <t>Verify for "auth" credential type ,poicy id and partner_id details maintained in pms.partner_policy_credential_type table</t>
  </si>
  <si>
    <t>"auth" credential type ,poicy id and partner_id details should be present in pms.partner_policy_credential_type table</t>
  </si>
  <si>
    <t>MOSIP-9850</t>
  </si>
  <si>
    <t xml:space="preserve">Credential Service modules - Credential should contain protectedAtributes as key and json array contains attributes names of encrypted
</t>
  </si>
  <si>
    <t>Verify Credential should contain protectedAtributes as key and json array contains attributes names of encrypted</t>
  </si>
  <si>
    <t>1.connect to DB and check pms.auth_policy for partner if the attribute name contains encryted is true</t>
  </si>
  <si>
    <t>proteched attribute should be in double encypt in credential request.</t>
  </si>
  <si>
    <t>Under the policy for the attribute name if encrypted is true</t>
  </si>
  <si>
    <t>In the credential request it should double encypt for that attribute name .</t>
  </si>
  <si>
    <t>Under the policy for the attribute name if encrypted is false</t>
  </si>
  <si>
    <t>1.connect to DB and check pms.auth_policy for partner if the attribute name contains encryted is false</t>
  </si>
  <si>
    <t>In the credential request it should not be double encypt for that attribute name</t>
  </si>
  <si>
    <t>MOSIP-9846</t>
  </si>
  <si>
    <t>Credential Service modules - Based on updated policy changes need to incorporate</t>
  </si>
  <si>
    <t>Verify if policy is changed the data should get changed accordingly</t>
  </si>
  <si>
    <t>New data should be come if policy is gets changed .</t>
  </si>
  <si>
    <t>MOSIP-8547</t>
  </si>
  <si>
    <t>Implementing Credential Issuance Service</t>
  </si>
  <si>
    <t>Verify are able to Create credential issuance request for the UIN by using request generator API</t>
  </si>
  <si>
    <t>1. Check in credential.credential_transaction table. 2. Audit logdesc for eventname as CREATE_CREDENTIAL_REQUEST</t>
  </si>
  <si>
    <t>Verify get credential issuance request status for the request ID</t>
  </si>
  <si>
    <t>Should give credential status details like NEW, ISSUED , FAILED , STORED.</t>
  </si>
  <si>
    <t>Verify once Credential is issued,status has to be changed to ISSUED in the credential.credential_transaction table</t>
  </si>
  <si>
    <t>1. Check in credential.credential_transaction table. 2. Audit logdesc for eventname as Activate ID when the mpartner-default-auth/CREDENTIAL_ISSUED is Success</t>
  </si>
  <si>
    <t>once Credential is issued,status has to be changed to ISSUED in the credential.credential_transaction table</t>
  </si>
  <si>
    <t>Verify by cancelling the credential issuance request for the request ID.</t>
  </si>
  <si>
    <t>1. Check in credential.credential_transaction table. 2.Audit logdesc for eventname as CANCEL_CREDENTIAL_REQUEST</t>
  </si>
  <si>
    <t>Before Credential is getting ISSUE should able to cancel the credential issuance request, if credential is in progress then we should get message like "errors": [
  {
  "errorCode": "IDR-CRG-004",
  "message": "request id already processed"
  }</t>
  </si>
  <si>
    <t>Verify get credential issuance for the request ids</t>
  </si>
  <si>
    <t>Should able to get credential issuance details by using request ids</t>
  </si>
  <si>
    <t>Verify by retrigger the credential issuance request for the request ids</t>
  </si>
  <si>
    <t>1. Check in credential.credential_transaction table. 2.Audit logdesc for eventname as RETRY_CREDENTIAL_REQUEST</t>
  </si>
  <si>
    <t>It should Retry the credential Issuance request and Status code should populate as RETRY for the credential Request.</t>
  </si>
  <si>
    <t>verify Credential transaction table contains UIN/VID not in plain text</t>
  </si>
  <si>
    <t>1. Check in credential.credential_transaction table. 2.Request of credential should not be in plain text</t>
  </si>
  <si>
    <t>Should not be in plain text and should be in encrypted format</t>
  </si>
  <si>
    <t>Verify Credential Request Generator to show Failed records</t>
  </si>
  <si>
    <t>1. Check in credential.credential_transaction table.</t>
  </si>
  <si>
    <t>Verify Credential Request Generator to retrigger the specific failed record</t>
  </si>
  <si>
    <t>MOSIP-9849</t>
  </si>
  <si>
    <t>Credential Service modules - Fetching of Perpetual VID for Print Service</t>
  </si>
  <si>
    <t>Verify When user requested for credential by providing vid</t>
  </si>
  <si>
    <t>1. Request for cerdential by usin VID. 2.Check Credential.credential _transaction table. 3.Check in audit table.</t>
  </si>
  <si>
    <t>VID detail should be present in the credential request .</t>
  </si>
  <si>
    <t>Verify both Uin/VID should for the credential type PRINT or ID auth</t>
  </si>
  <si>
    <t>we should take id from credential request and shared to print through event</t>
  </si>
  <si>
    <t>Verify IDA config details are present in id-authentication-mz.properties</t>
  </si>
  <si>
    <t>1.Switch to Github and check the congif property wrk environment and search id-authentication-mz.properties</t>
  </si>
  <si>
    <t>IDA config details should be present in id-authentication-mz.properties</t>
  </si>
  <si>
    <t>Verify whatever the naming convention like idname that should be common between identity mapping json and master.Identity_schema. Example :Fullname</t>
  </si>
  <si>
    <t>1.Go to DB wrk environment and search master.Identity_schema and identity mapping json in github.</t>
  </si>
  <si>
    <t>The naming convention like idname that should be common between identity mapping json and master.Identity_schema</t>
  </si>
  <si>
    <t>Verity auth partnerid (I,e mpartner-default-auth )present in id-authentication-mz.properties that should be mapped in pms.partner table</t>
  </si>
  <si>
    <t>1.Check in DB(pms.partner table) and config property in github(id-authentication-mz.properties)</t>
  </si>
  <si>
    <t>auth partnerid (I,e mpartner-default-auth )present in id-authentication-mz.properties that should be mapped in pms.partner table</t>
  </si>
  <si>
    <t>Verify datashare(I,e shareable attributes name) of mpolicy-default-auth present in pms.auth_policy should be common between identity mapping json and in DB (master.Identity_schema)</t>
  </si>
  <si>
    <t>1.Check in DB and config property in github</t>
  </si>
  <si>
    <t>datashare(I,e shareable attributes name) of mpolicy-default-auth present in pms.auth_policy should be common between identity mapping json and in DB (master.Identity_schema)</t>
  </si>
  <si>
    <t>Try to do demo auth when IDA cerificate not in right place.</t>
  </si>
  <si>
    <t>we should get 406 error code in the response after run the Auth request</t>
  </si>
  <si>
    <t>Try to do demo auth when partner demo service is down</t>
  </si>
  <si>
    <t>Verify to do Demo Auth with valid field Name</t>
  </si>
  <si>
    <t>1.Get Unused UIN. 2.Add record for UIN-&gt;Id gets Activated. 3.Create Auth request for Name field 4.Perform Auth for the same request. 5.Success Notification should trigger to mail id. 6.Entry has to available in ida.auth_transaction table. 7.check in audit.app_audit_log table to track history. Note: Same Test cases Applicable to qa-double-rc2,qa-triple-rc2,qa-single-rc2 env</t>
  </si>
  <si>
    <t>Demo Auth with valid Name should get success with no hassel.</t>
  </si>
  <si>
    <t>Verify to do Demo Auth with invalid field Name</t>
  </si>
  <si>
    <t>1.Create Auth request for invalid Name for UIN. 2.Perform Auth for the same request. 3.Failure Notification should trigger to mail id. 4.Entry has to available in ida.auth_transaction table. 5.check in audit.app_audit_log table to track history. Note: Same Test cases Applicable to qa-double-rc2,qa-triple-rc2,qa-single-rc2 env</t>
  </si>
  <si>
    <t>Demo Auth with invalid Name should get fail like "errors": [
  {
  "errorCode": "IDA-DEA-001",
  "errorMessage": "Demographic data addressline did not match",
  "actionMessage": "Please re-enter your addressline
  }</t>
  </si>
  <si>
    <t>Verify to do Demo Auth with valid field DOB</t>
  </si>
  <si>
    <t>1.Create Auth request for valid DOB field for UIN. 2.Perform Auth for the same request. 3.Success Notification should trigger to mail id. 4.Entry has to available in ida.auth_transaction table. 5.check in audit.app_audit_log table to track history. Note: Same Test cases Applicable to qa-double-rc2,qa-triple-rc2,qa-single-rc2 env</t>
  </si>
  <si>
    <t>Demo Auth with valid DOB should get success</t>
  </si>
  <si>
    <t>Verify to do Demo Auth with invalid field DOB</t>
  </si>
  <si>
    <t>1.Create Auth request for invalid DOB for UIN 2.Perform Auth for the same request. 3.Failure Notification should trigger to mail id. 4.Entry has to available in ida.auth_transaction table. 5.check in audit.app_audit_log table to track history. Note: Same Test cases Applicable to qa-double-rc2,qa-triple-rc2,qa-single-rc2 env</t>
  </si>
  <si>
    <t>Demo Auth with invalid DOB should get fail like "errors": [
  {
  "errorCode": "IDA-DEA-001",
  "errorMessage": "Demographic data dob did not match",
  "actionMessage": "Please re-enter your dob"
  }</t>
  </si>
  <si>
    <t>1.Create Auth request for Dynamic Field Gender for UIN 2.Perform Auth for the same request. 3.Success Notification should trigger to mail id. 4.Entry has to available in ida.auth_transaction table. 5.check in audit.app_audit_log table to track history. Note: Same Test cases Applicable to qa-double-rc2,qa-triple-rc2,qa-single-rc2 env</t>
  </si>
  <si>
    <t>Verify to do Demo Auth with Dynamic Field residentStatus</t>
  </si>
  <si>
    <t>1.Create Auth request for Dynamic Field residentStatus for UIN. 2.Perform Auth for the same request. 3.Success Notification should trigger to mail id. 4.Entry has to available in ida.auth_transaction table. 5.check in audit.app_audit_log table to track history. Note: Same Test cases Applicable to qa-double-rc2,qa-triple-rc2,qa-single-rc2 env</t>
  </si>
  <si>
    <t>Verify to do Demo Auth with Dynamic Fields both residentStatus and gender in ENG as lang</t>
  </si>
  <si>
    <t>1.Create Auth request with Dynamic Fields both residentStatus and gender 2.Perform Auth for the same request. 3.Success Notification should trigger to mail id. 4.Entry has to available in ida.auth_transaction table. 5.check in audit.app_audit_log table to track history. Note: Same Test cases Applicable to qa-double-rc2,qa-triple-rc2,qa-single-rc2 env</t>
  </si>
  <si>
    <t>Verify to do Demo Auth with Dynamic Fields both residentStatus and gender in ENG and ARA as lang</t>
  </si>
  <si>
    <t>Verify to do Demo Auth with Dynamic Fields both residentStatus and gender in HIN,KAN and TAM as lang</t>
  </si>
  <si>
    <t>Verify to do Demo Auth with Dynamic Fields both residentStatus and DOB</t>
  </si>
  <si>
    <t>1.Create Auth request with Dynamic Fields both residentStatus and DOB 2.Perform Auth for the same request. 3.Success Notification should trigger to mail id. 4.Entry has to available in ida.auth_transaction table. 5.check in audit.app_audit_log table to track history. Note: Same Test cases Applicable to qa-double-rc2,qa-triple-rc2,qa-single-rc2 env</t>
  </si>
  <si>
    <t>1.Create Auth request with Invalid Gender and Invalid ResidentStatus 2.Perform Auth for the same request. 3.Failure Notification should trigger to mail id. 4.Entry has to available in ida.auth_transaction table. 5.check in audit.app_audit_log table to track history. Note: Same Test cases Applicable to qa-double-rc2,qa-triple-rc2,qa-single-rc2 env</t>
  </si>
  <si>
    <t>Verify to do auth with Valid Gender and Invalid ResidentStatus</t>
  </si>
  <si>
    <t>1.Create Auth request with Valid Gender and Invalid ResidentStatus 2.Perform Auth for the same request. 3.Failure Notification should trigger to mail id. 4.Entry has to available in ida.auth_transaction table. 5.check in audit.app_audit_log table to track history. Note: Same Test cases Applicable to qa-double-rc2,qa-triple-rc2,qa-single-rc2 env</t>
  </si>
  <si>
    <t>The Demo Auth should be unsuccessfull and should get error like "errors": [
  {
  "errorCode": "IDA-DEA-001",
  "errorMessage": "Demographic data residenceStatus in eng did not match",
  "actionMessage": "Please re-enter your residenceStatus in eng"
  }</t>
  </si>
  <si>
    <t>Verify to do auth with InValid Gender and valid ResidentStatus</t>
  </si>
  <si>
    <t>1.Create Auth request with InValid Gender and valid ResidentStatus 2.Perform Auth for the same request. 3.Failure Notification should trigger to mail id. 4.Entry has to available in ida.auth_transaction table. 5.check in audit.app_audit_log table to track history. Note: Same Test cases Applicable to qa-double-rc2,qa-triple-rc2,qa-single-rc2 env</t>
  </si>
  <si>
    <t>The Demo Auth should be unsuccessfull and should get error like "errors": [
  {
  "errorCode": "IDA-DEA-001",
  "errorMessage": "Demographic data gender in eng did not match",
  "actionMessage": "Please re-enter your gender in eng"
  }</t>
  </si>
  <si>
    <t>Verify to do Demo Auth with valid field Address.</t>
  </si>
  <si>
    <t>1.Create Auth request for Address field 2.Perform Auth for the same request. 3.Success Notification should trigger to mail id. 4.Entry has to available in ida.auth_transaction table. 5.check in audit.app_audit_log table to track history. Note: Same Test cases Applicable to qa-double-rc2,qa-triple-rc2,qa-single-rc2 env</t>
  </si>
  <si>
    <t>Demo Auth with valid Address should get success with no hassel.</t>
  </si>
  <si>
    <t>Verify to do Demo Auth with invalid field Address</t>
  </si>
  <si>
    <t>1..Create Auth request for invalid Address field 2.Perform Auth for the same request. 3.Failure Notification should trigger to mail id. 4.Entry has to available in ida.auth_transaction table. 5.check in audit.app_audit_log table to track history. Note: Same Test cases Applicable to qa-double-rc2,qa-triple-rc2,qa-single-rc2 env</t>
  </si>
  <si>
    <t>Demo Auth with invalid Address should get fail and and should get error like "errors": [
  {
  "errorCode": "IDA-DEA-001",
  "errorMessage": "Demographic data address in eng did not match",
  "actionMessage": "Please re-enter your gender in eng"
  }</t>
  </si>
  <si>
    <t>Verify to do Demo Auth for all the below fileds with valid data for region,province,city,zone,postalCode</t>
  </si>
  <si>
    <t>1.Create Auth request for all the fields like region,province,city,zone,email,phone,postalCode 2.Perform Auth for the same request. 3.Success Notification should trigger to mail id. 4.check in audit.app_audit_log table to track history. Note: Same Test cases Applicable to qa-double-rc2,qa-triple-rc2,qa-single-rc2 env</t>
  </si>
  <si>
    <t>Demo Auth with valid data should get success with no hassel.</t>
  </si>
  <si>
    <t>Verify to do Demo Auth for all the below fileds with invalid data for region,province,city,zone,postalCode attributes</t>
  </si>
  <si>
    <t>1.Create Auth request for all the fields with invalid data like region,province,city,zone,email,phone,postalCode 2.Perform Auth for the same request. 3.Failure Notification should trigger to mail id. 4.Entry has to available in ida.auth_transaction table. 5.check in audit.app_audit_log table to track history. Note: Same Test cases Applicable to qa-double-rc2,qa-triple-rc2,qa-single-rc2 env</t>
  </si>
  <si>
    <t>Demo Auth with invalid data should get fail and should get error like "errors": [
  {
  "errorCode": "IDA-DEA-001",
  "errorMessage": "Demographic data address line item(s) in eng did not match",
  "actionMessage": "Please re-enter your address line item(s) in eng"
  }</t>
  </si>
  <si>
    <t>Verify to do Demo Auth for the fields email and phonenumber with valid data.</t>
  </si>
  <si>
    <t>1.Create Auth request for the fields like email and phonenumber 2.Perform Auth for the same request. 3.Success Notification should trigger to mail id. 4.Entry has to available in ida.auth_transaction table. 5.check in audit.app_audit_log table to track history. Note: Same Test cases Applicable to qa-double-rc2,qa-triple-rc2,qa-single-rc2 env</t>
  </si>
  <si>
    <t>TC_25</t>
  </si>
  <si>
    <t>Verify to do Demo Auth for the fileds email and phonenumber with invalid data.</t>
  </si>
  <si>
    <t>1.Create Auth request for the fields like email and phonenumber. 2.Perform Auth for the same request. 3.Failure Notification should trigger to mail id. 4.Entry has to available in ida.auth_transaction table. 5.check in audit.app_audit_log table to track history. Note: Same Test cases Applicable to qa-double-rc2,qa-triple-rc2,qa-single-rc2 env</t>
  </si>
  <si>
    <t>Demo Auth with invalid data should get fail and should get error like "errors": [
  "errors": [
  {
  "errorCode": "IDA-DEA-001",
  "errorMessage": "Demographic data email did not match",
  "actionMessage": "Please re-enter your email"
  } and "errors": [
  {
  "errorCode": "IDA-DEA-001",
  "errorMessage": "Demographic data phone did not match",
  "actionMessage": "Please re-enter your email"</t>
  </si>
  <si>
    <t>TC_26</t>
  </si>
  <si>
    <t>Verify by providing invalid language code for attributes when we do demo Auth for the field.</t>
  </si>
  <si>
    <t>1.Create Auth request for Name but invalid Lang code. 2.Perform Auth for the same request. Note: Same Test cases Applicable to qa-double-rc2,qa-triple-rc2,qa-single-rc2 env</t>
  </si>
  <si>
    <t>Demo Auth should get fail and should get error "errors": [
  {
  "errorCode": "IDA-DEA-002",
  "errorMessage": "Unsupported Language Code - abc for attribute fullName"
  }</t>
  </si>
  <si>
    <t>TC_27</t>
  </si>
  <si>
    <t>Verify Digital signature validation with providing invalid UIN/VId/transactionID while doing Demo Authentication for the attributes.</t>
  </si>
  <si>
    <t>1.Create Auth request for Name . 2.Perform Auth for the same request with invalid transaction.</t>
  </si>
  <si>
    <t>Authentiaction should fail and should get error like "errors": [
  {
  "errorCode": "IDA-MLC-007",
  "errorMessage": "Request could not be processed. Please try again"
  },
  {
  "errorCode": "IDA-MPA-001",
  "errorMessage": "Digital signature verification failed for signature header"
  }
  ]</t>
  </si>
  <si>
    <t>TC_28</t>
  </si>
  <si>
    <t>1.Get Unused UIN. 2.Add record for UIN-&gt;Id Activated and update the Address of already created UIN 3.Create Auth request with Address 4.Perform Auth for the same request. 5.Success Notification should trigger to mail id. 6.Entry has to available in ida.auth_transaction table. 7.check in audit.app_audit_log table to track history. Note: Same Test cases Applicable to qa-double-rc2,qa-triple-rc2,qa-single-rc2 env</t>
  </si>
  <si>
    <t>TC_29</t>
  </si>
  <si>
    <t>1.Get Unused UIN. 2.Add record for UIN -&gt;Id Activated and update the DOB 3.Create Auth request with DOB 4.Perform Auth for the same request. 5.Success Notification should trigger to mail id. 6.Entry has to available in ida.auth_transaction table. 7.check in audit.app_audit_log table to track history. Note: Same Test cases Applicable to qa-double-rc2,qa-triple-rc2,qa-single-rc2 env</t>
  </si>
  <si>
    <t>TC_30</t>
  </si>
  <si>
    <t>Update the email of already created UIN and try to perform Auth</t>
  </si>
  <si>
    <t>1.Get Unused UIN. 2.Add record for UIN-&gt;Id Activated and update the email 3.Create Auth request with email 4.Perform Auth for the same request. 5.Success Notification should trigger to mail id. 6.Entry has to available in ida.auth_transaction table. 7.check in audit.app_audit_log table to track history. Note: Same Test cases Applicable to qa-double-rc2,qa-triple-rc2,qa-single-rc2 env</t>
  </si>
  <si>
    <t>User should be able to do the Ida auth with updated email</t>
  </si>
  <si>
    <t>TC_31</t>
  </si>
  <si>
    <t>Update the phonenumber of already created UIN and try to perform Auth</t>
  </si>
  <si>
    <t>1.Get Unused UIN. 2.Add record for UIN-&gt;Id Activated and update the Phonenumber. 3.Create Auth request with phonenumber 4.Perform Auth for the same request. 5.Success Notification should trigger to mail id. 6.Entry has to available in ida.auth_transaction table. 7.check in audit.app_audit_log table to track history. Note: Same Test cases Applicable to qa-double-rc2,qa-triple-rc2,qa-single-rc2 env</t>
  </si>
  <si>
    <t>User should be able to do the Ida auth with updated phonenumber</t>
  </si>
  <si>
    <t>TC_32</t>
  </si>
  <si>
    <t>Try to do demo auth with the VID which is generated for UIN</t>
  </si>
  <si>
    <t>1.Get Unused UIN. 
 2.Add record for UIN 
 3.Generate VID for UIN. 4.Do demo Auth for VID 5.Perform Auth for the same request. 
 6.Success Notification should trigger to mail id. 
 7.Entry has to available in ida.auth_transaction table. 
 8.check in audit.app_audit_log table to track history.</t>
  </si>
  <si>
    <t>TC_33</t>
  </si>
  <si>
    <t>Verify to do Demo Auth with valid field Name using VID(I,e vid type perpetual,Temporary)</t>
  </si>
  <si>
    <t>1..Generate VID for UIN either perpetual or temporary. 2.Create Auth request for Name field using VID 3.Perform Auth for the same request. 4.Success Notification should trigger to mail id. 
 5.Entry has to available in ida.auth_transaction table. 6.check in audit.app_audit_log table to track history.</t>
  </si>
  <si>
    <t>TC_34</t>
  </si>
  <si>
    <t>Verify to do Demo Auth with invalid field Name using VID(I,e vid type perpetual,Temporary)</t>
  </si>
  <si>
    <t>1.Create Auth request for invalid Name using VID 2.Perform Auth for the same request. 3.Success Notification should trigger to mail id. 
 4.Entry has to available in ida.auth_transaction table. 5.check in audit.app_audit_log table to track history.</t>
  </si>
  <si>
    <t>Demo Auth with invalid Name should get fail.</t>
  </si>
  <si>
    <t>TC_35</t>
  </si>
  <si>
    <t>Verify to do Demo Auth with valid field DOB using VID(I,e vid type perpetual,Temporary)</t>
  </si>
  <si>
    <t>1.Create Auth request for valid DOB field using VID 2.Perform Auth for the same request. 3.Success Notification should trigger to mail id. 
 4.Entry has to available in ida.auth_transaction table. 5.check in audit.app_audit_log table to track history</t>
  </si>
  <si>
    <t>TC_36</t>
  </si>
  <si>
    <t>Verify to do Demo Auth with invalid field DOB using VID(I,e vid type perpetual,Temporary)</t>
  </si>
  <si>
    <t>1.Create Auth request for invalid DOB using VID. 2.Perform Auth for the same request. 3.Failure Notification should trigger to mail id. 
 4.Entry has to available in ida.auth_transaction table. 5.check in audit.app_audit_log table to track history</t>
  </si>
  <si>
    <t>Demo Auth with invalid DOB should get fail by saying error like "errors": [
  {
  "errorCode": "IDA-DEA-001",
  "errorMessage": "Demographic data dob did not match",
  "actionMessage": "Please re-enter your dob"
  }</t>
  </si>
  <si>
    <t>TC_37</t>
  </si>
  <si>
    <t>Verify to do Demo Auth with Dynamic Field gender using VID(I,e vid type perpetual,Temporary)</t>
  </si>
  <si>
    <t>1.Create Auth request for Dynamic Field Gender using VID 2.Perform Auth for the same request. 3.Success Notification should trigger to mail id. 
 4.Entry has to available in ida.auth_transaction table. 5.check in audit.app_audit_log table to track history</t>
  </si>
  <si>
    <t>TC_38</t>
  </si>
  <si>
    <t>Verify to do Demo Auth with Dynamic Field residentStatus using VID(I,e vid type perpetual,Temporary)</t>
  </si>
  <si>
    <t>1.Create Auth request for Dynamic Field residentStatus using VID 2.Perform Auth for the same request. 3.Success Notification should trigger to mail id. 
 4.Entry has to available in ida.auth_transaction table. 5.check in audit.app_audit_log table to track history.</t>
  </si>
  <si>
    <t>TC_39</t>
  </si>
  <si>
    <t>Verify to do Demo Auth with Dynamic Fields both residentStatus and gender in ENG as lang using VID(I,e vid type perpetual,Temporary)</t>
  </si>
  <si>
    <t>1.Create Auth request with Dynamic Fields both residentStatus and gender using VID 2.Perform Auth for the same request. 3.Success Notification should trigger to mail id. 
 4.Entry has to available in ida.auth_transaction table. 5.check in audit.app_audit_log table to track history</t>
  </si>
  <si>
    <t>TC_40</t>
  </si>
  <si>
    <t>Verify to do Demo Auth with Dynamic Fields both residentStatus and gender in ENG and ARA as lang using VID(I,e vid type perpetual,Temporary)</t>
  </si>
  <si>
    <t>TC_41</t>
  </si>
  <si>
    <t>Verify to do Demo Auth with Dynamic Fields both residentStatus and gender in HIN,KAN and TAM as lang using VID(I,e vid type perpetual,Temporary)</t>
  </si>
  <si>
    <t>TC_42</t>
  </si>
  <si>
    <t>Verify to do Demo Auth with Dynamic Fields both residentStatus and DOB using VID(I,e vid type perpetual,Temporary)</t>
  </si>
  <si>
    <t>1.Create Auth request with Dynamic Fields both residentStatus and DOB using VID 2.Perform Auth for the same request. 3.Success Notification should trigger to mail id. 
 4.Entry has to available in ida.auth_transaction table. 5.check in audit.app_audit_log table to track history</t>
  </si>
  <si>
    <t>TC_43</t>
  </si>
  <si>
    <t>Verify to do auth with Invalid Gender and Invalid ResidentStatus using VID(I,e vid type perpetual,Temporary)</t>
  </si>
  <si>
    <t>1.Create Auth request with Invalid Gender and Invalid ResidentStatus using VID 2.Perform Auth for the same request. 3.failure Notification should trigger to mail id. 
 4.Entry has to available in ida.auth_transaction table. 5.check in audit.app_audit_log table to track history</t>
  </si>
  <si>
    <t>TC_44</t>
  </si>
  <si>
    <t>Verify to do auth with Valid Gender and Invalid ResidentStatus using VID(I,e vid type perpetual,Temporary)</t>
  </si>
  <si>
    <t>1.Create Auth request with Valid Gender and Invalid ResidentStatus using VID 2.Perform Auth for the same request. 3.Failure Notification should trigger to mail id. 
 4.Entry has to available in ida.auth_transaction table. 5.check in audit.app_audit_log table to track history</t>
  </si>
  <si>
    <t>The Demo Auth should be unsuccessfull and should get error</t>
  </si>
  <si>
    <t>TC_45</t>
  </si>
  <si>
    <t>Verify to do auth with InValid Gender and valid ResidentStatus using VID(I,e vid type perpetual,Temporary)</t>
  </si>
  <si>
    <t>1.Create Auth request with InValid Gender and valid ResidentStatus using VID 2.Perform Auth for the same request. 3.Failure Notification should trigger to mail id. 
 4.Entry has to available in ida.auth_transaction table. 5.check in audit.app_audit_log table to track history</t>
  </si>
  <si>
    <t>TC_46</t>
  </si>
  <si>
    <t>Verify to do Demo Auth with valid field Address using VID(I,e vid type perpetual,Temporary)</t>
  </si>
  <si>
    <t>1.Create Auth request for Address field using VID 2.Perform Auth for the same request. 3.Success Notification should trigger to mail id. 
 4.Entry has to available in ida.auth_transaction table. 5.check in audit.app_audit_log table to track history</t>
  </si>
  <si>
    <t>TC_47</t>
  </si>
  <si>
    <t>Verify to do Demo Auth with invalid field Address using VID(I,e vid type perpetual,Temporary)</t>
  </si>
  <si>
    <t>1.Create Auth request for invalid Address field using VID 2.Perform Auth for the same request. 3.Failure Notification should trigger to mail id. 
 4.Entry has to available in ida.auth_transaction table. 5.check in audit.app_audit_log table to track history</t>
  </si>
  <si>
    <t>TC_48</t>
  </si>
  <si>
    <t>Verify to do Demo Auth for all the below fileds with valid data for region,province,city,zone,postalCode using VID(I,e vid type perpetual,Temporary)</t>
  </si>
  <si>
    <t>1.Create Auth request for all the fields like region,province,city,zone,email,phone,postalCode using VID . 2.Perform Auth for the same request. 3.Success Notification should trigger to mail id. 
 4.Entry has to available in ida.auth_transaction table. 5.check in audit.app_audit_log table to track history</t>
  </si>
  <si>
    <t>TC_49</t>
  </si>
  <si>
    <t>Verify to do Demo Auth for all the below fileds with invalid data for region,province,city,zone,postalCode using VID(I,e vid type perpetual,Temporary)</t>
  </si>
  <si>
    <t>1.Create Auth request for all the fields like region,province,city,zone,email,phone,postalCode using VID . 2.Perform Auth for the same request. 3.Failure Notification should trigger to mail id. 
 4.Entry has to available in ida.auth_transaction table. 5.check in audit.app_audit_log table to track history</t>
  </si>
  <si>
    <t>TC_50</t>
  </si>
  <si>
    <t>Verify to do Demo Auth for the fields email and phonenumber with valid data using VID(I,e vid type perpetual,Temporary)</t>
  </si>
  <si>
    <t>1.Create Auth request for the fields like email and phonenumber using VID 2.Perform Auth for the same request. 3.Success Notification should trigger to mail id. 
 4.Entry has to available in ida.auth_transaction table. 5.check in audit.app_audit_log table to track history</t>
  </si>
  <si>
    <t>TC_51</t>
  </si>
  <si>
    <t>Verify to do Demo Auth for the fileds email and phonenumber with invalid data using VID(I,e vid type perpetual,Temporary)</t>
  </si>
  <si>
    <t>1.Create Auth request for the fields like email and phonenumber using VID 2.Perform Auth for the same request. 3.Failure Notification should trigger to mail id. 
 4.Entry has to available in ida.auth_transaction table. 5.check in audit.app_audit_log table to track history</t>
  </si>
  <si>
    <t>Demo Auth with invalid data should get fail and should get error like "errors": [
  "errors": [
  {
  "errorCode": "IDA-DEA-001",
  "errorMessage": "Demographic data email did not match",
  "actionMessage": "Please re-enter your email"
  } and "errors": [
  {
  "errorCode": "IDA-DEA-001",
  "errorMessage": "Demographic data phone did not match",
  "actionMessage": "Please re-enter your email"
  }</t>
  </si>
  <si>
    <t>TC_52</t>
  </si>
  <si>
    <t>Verify ID Type as optional in IDA services I,e 1. Auth
 2. Internal auth
 3. OTP Auth
 4. KYC Auth
 5. Internal OTP Auth 6. Auth Transaction History 7.OTP Request 8. Internal OTP Request</t>
  </si>
  <si>
    <t>1. Generate unused UIN 2.Add record for UIN 
 3.Do Demo Auth for demographic fields Note: This TC is common for Bio/Ekyc/OTP/Internal transactions.</t>
  </si>
  <si>
    <t>Transaction should get success without individual type in the request.</t>
  </si>
  <si>
    <t>TC_53</t>
  </si>
  <si>
    <t>1.Create Auth request for the UIN. 2.perform demo auth when the time is exceeded than the time period. Note: This TC is common for Bio/Ekyc/OTP/Internal transactions.</t>
  </si>
  <si>
    <t>TC_54</t>
  </si>
  <si>
    <t>Try to do Auth without individual type ID.</t>
  </si>
  <si>
    <t>1.Create Auth request for VID. 2.perform demo auth. Note: This TC is common for Bio/Ekyc/OTP/Internal transactions.</t>
  </si>
  <si>
    <t>Auth should be success without individual type in the request.</t>
  </si>
  <si>
    <t>TC_55</t>
  </si>
  <si>
    <t>1.Create Auth request for UIN/VID. 2.perform demo auth within timelimit. 3.Success Notification should trigger to mail id. 
 4.Entry has to available in ida.auth_transaction table. 5.check in audit.app_audit_log table to track history Note: 1. Reduce the 5 minutes synchronization deviation to 30 seconds.2. Reduce the 30 minutes delay request timestapm to 30 seconds.</t>
  </si>
  <si>
    <t>TC_56</t>
  </si>
  <si>
    <t>1.Create Auth request for UIN/VID. 2.perform demo auth after the timelimit. 3.Success Notification should trigger to mail id. 
 4.Entry has to available in ida.auth_transaction table. 5.check in audit.app_audit_log table to track history Note: 1. Reduce the 5 minutes synchronization deviation to 30 seconds.2. Reduce the 30 minutes delay request timestapm to 30 seconds.</t>
  </si>
  <si>
    <t>Should get response with error like "errorMessage": "Request to be received at MOSIP within 30 seconds. Attribute: requestTime",
 "actionMessage": "Please send the request within 60 seconds"</t>
  </si>
  <si>
    <t>TC_57</t>
  </si>
  <si>
    <t>Try to do demo auth with infant UIN.</t>
  </si>
  <si>
    <t>1.switch to github and search Child Auth Filter configurations under id-authentication-mz.properties. 2.perform infant UIN authentication. # Child Auth Filter configurations
 ida.child-auth-filter.factors.denied=otp,bio</t>
  </si>
  <si>
    <t>Auth should get successful with no hassel.</t>
  </si>
  <si>
    <t>TC_58</t>
  </si>
  <si>
    <t>Try to do bio auth with infant UIN.</t>
  </si>
  <si>
    <t>Bio Auth should un-successful and should get error like error message like "Unsupported Authentication Type for Child -bio"</t>
  </si>
  <si>
    <t>TC_59</t>
  </si>
  <si>
    <t>Try to do OTP auth with infant UIN.</t>
  </si>
  <si>
    <t>OTP Auth should be un-successful and should get error like error message like "Unsupported Authentication Type for Child -OTP</t>
  </si>
  <si>
    <t>TC_60</t>
  </si>
  <si>
    <t>verify able to create VID for infant Uin and perform authentication</t>
  </si>
  <si>
    <t>1.Get Unused UIN. 
 2.Add record for Infant UIN-&gt;Id gets Activated. 3.Generate VID for infant UIN 4.Create Auth request for resident data 
 4.Perform Auth for the same request. 
 5.Success Notification should trigger to mail id. 
 6.Entry has to available in ida.auth_transaction table. 
 7.check in audit.app_audit_log table to track history 
 # Child Auth Filter configurations
 ida.child-auth-filter.factors.denied=otp,bio</t>
  </si>
  <si>
    <t>TC_61</t>
  </si>
  <si>
    <t>To verify that user should be able to do demo Auth using Name as "Madhu" instead of "Miss Madhu" .</t>
  </si>
  <si>
    <t>1.Get Unused UIN. 
 2.Add record for UIN-&gt;Id gets Activated. 3.Resident data for Name field will be  "Miss Madhu.GN" 3.Create Auth request for Name field with "Madhu"  4.Perform Auth for the same request. 
 5.Success Notification should trigger to mail id. 
 6.Entry has to available in ida.auth_transaction table.</t>
  </si>
  <si>
    <t>TC_62</t>
  </si>
  <si>
    <t>To verify that user should be able to do demo Auth using Name as "Mrs Madhu.GN" instead of "Miss Madhu.GN" .</t>
  </si>
  <si>
    <t>1.Get Unused UIN. 
 2.Add record for UIN-&gt;Id gets Activated. 3.Resident data for Name field will be  "Miss Madhu.GN" 4.Create Auth request for Name field with "Mrs Madhu.GN". 5.Perform Auth for the same request. 6.Success Notification should trigger to mail id. 
 7.Entry has to available in ida.auth_transaction table.</t>
  </si>
  <si>
    <t>TC_63</t>
  </si>
  <si>
    <t>To verify that user should be able to do demo Auth using Name as "Mr Madhu.GN" instead of "Miss Madhu.GN" .</t>
  </si>
  <si>
    <t>1.Get Unused UIN. 
 2.Add record for UIN-&gt;Id gets Activated. 3.Resident data for Name field will be  "Miss Madhu.GN" 4.Create Auth request for Name field with "Mr Madhu.GN". 5.Perform Auth for the same request. 6.Success Notification should trigger to mail id. 
 7.Entry has to available in ida.auth_transaction table.</t>
  </si>
  <si>
    <t>TC_64</t>
  </si>
  <si>
    <t>To verify that user should be able to do demo Auth using Name as "Madhu.GN" instead of Miss Madhu.GN" .</t>
  </si>
  <si>
    <t>1.Get Unused UIN. 
 2.Add record for UIN-&gt;Id gets Activated. 3.Resident data for Name field will be  "Miss Madhu.GN" 4.Create Auth request for Name field with "Madhu.GN". 5.Perform Auth for the same request. 6.Success Notification should trigger to mail id. 
 7.Entry has to available in ida.auth_transaction table.</t>
  </si>
  <si>
    <t>TC_65</t>
  </si>
  <si>
    <t>To verify that user should be able to do demo Auth using Name as "Miss. Madhu.GN" instead of Miss Madhu.GN" . Note: Same Tc is applicable whit Mrs./Mr./Miss.</t>
  </si>
  <si>
    <t>1.Get Unused UIN. 
 2.Add record for UIN-&gt;Id gets Activated. 3.Resident data for Name field will be  "Miss Madhu.GN" 4.Create Auth request for Name field with "Miss. Madhu.GN". 5.Perform Auth for the same request. 6.Success Notification should trigger to mail id. 
 7.Entry has to available in ida.auth_transaction table.</t>
  </si>
  <si>
    <t>TC_66</t>
  </si>
  <si>
    <t>To verify that user should be able to do demo Auth using Name as "MISS. Madhu.GN" instead of Miss Madhu.GN" . Note: Same Tc is applicable whit MRS./MR./MISS.</t>
  </si>
  <si>
    <t>1.Get Unused UIN. 
 2.Add record for UIN-&gt;Id gets Activated. 3.Resident data for Name field will be  "Miss Madhu.GN" 4.Create Auth request for Name field with "MISS. Madhu.GN". 5.Perform Auth for the same request. 6.Success Notification should trigger to mail id. 
 7.Entry has to available in ida.auth_transaction table.</t>
  </si>
  <si>
    <t>TC_67</t>
  </si>
  <si>
    <t>To verify that user should be able to do demo Auth using Name as "Miss Madhu GN" instead of Miss Madhu.GN" .</t>
  </si>
  <si>
    <t>1.Get Unused UIN. 
 2.Add record for UIN-&gt;Id gets Activated. 3.Resident data for Name field will be  "Miss Madhu.GN" 4.Create Auth request for Name field with "Miss Madhu GN". 5.Perform Auth for the same request. 6.Success Notification should trigger to mail id. 
 7.Entry has to available in ida.auth_transaction table.</t>
  </si>
  <si>
    <t>Auth should be unsuccessfully</t>
  </si>
  <si>
    <t>TC_68</t>
  </si>
  <si>
    <t>To verify that user should be able to do demo Auth using Name as "Mis Madhu GN" instead of Miss Madhu.GN" .</t>
  </si>
  <si>
    <t>1.Get Unused UIN. 
 2.Add record for UIN-&gt;Id gets Activated. 3.Resident data for Name field will be  "Miss Madhu.GN" 4.Create Auth request for Name field with "Mis Madhu GN". 5.Perform Auth for the same request. 6.Success Notification should trigger to mail id. 
 7.Entry has to available in ida.auth_transaction table.</t>
  </si>
  <si>
    <t>Auth should be unsuccessfully and shopuld get error like " {
  "errorCode": "IDA-MPA-001",
  "errorMessage": "Digital signature verification failed for signature header"
  }"</t>
  </si>
  <si>
    <t>TC_69</t>
  </si>
  <si>
    <t>To verify that user should be able to do Ekyc demo Auth using Name as "Madhu" instead of "Miss Madhu" .</t>
  </si>
  <si>
    <t>TC_70</t>
  </si>
  <si>
    <t>To verify that user should be able to do Ekyc demo Auth using Name as "Mrs Madhu.GN" instead of "Miss Madhu.GN" .</t>
  </si>
  <si>
    <t>TC_71</t>
  </si>
  <si>
    <t>To verify that user should be able to do Ekyc demo Auth using Name as "Mr Madhu.GN" instead of "Miss Madhu.GN" .</t>
  </si>
  <si>
    <t>TC_72</t>
  </si>
  <si>
    <t>To verify that user should be able to do Ekyc demo Auth using Name as "Madhu.GN" instead of Miss Madhu.GN" .</t>
  </si>
  <si>
    <t>TC_73</t>
  </si>
  <si>
    <t>To verify that user should be able to do Ekyc demo Auth using Name as "Miss. Madhu.GN" instead of Miss Madhu.GN" . Note: Same Tc is applicable whit Mrs./Mr./Miss.</t>
  </si>
  <si>
    <t>TC_74</t>
  </si>
  <si>
    <t>To verify that user should be able to do Ekyc demo Auth using Name as "MISS. Madhu.GN" instead of Miss Madhu.GN" . Note: Same Tc is applicable whit MRS./MR./MISS.</t>
  </si>
  <si>
    <t>TC_75</t>
  </si>
  <si>
    <t>To verify that user should be able to do Ekyc demo Auth using Name as "Miss Madhu GN" instead of Miss Madhu.GN" .</t>
  </si>
  <si>
    <t>TC_76</t>
  </si>
  <si>
    <t>To verify that user should be able to do Ekyc demo Auth using Name as "Mis Madhu GN" instead of Miss Madhu.GN" .</t>
  </si>
  <si>
    <t>TC_77</t>
  </si>
  <si>
    <t>To verify that user should be able to do demo/Ekyc demo Auth using Name as "Mrs Madhu" instead of "Miss Madhu" With diffenrent langauage</t>
  </si>
  <si>
    <t>1.Get Unused UIN. 
 2.Add record for UIN-&gt;Id gets Activated. 3.Resident data for Name field with diffetent language like "fullName": [
  {
  "language": "hin",
  "value": "श्रीमती मधु"
  },
  {
  "language": "kan",
  "value": "ಶ್ರೀಮತಿ ಮಧು"
  },
  {
  "language": "tam",
  "value": "திருமதி மது"
  }
  ]
 3.Create Auth request for Name field with "fullName": [
  {
  "language": "hin",
  "value": " मधु"
  },
  {
  "language": "kan",
  "value": "ಶ್ರೀಮತಿ ಮಧು"
  },
  {
  "language": "tam",
  "value": "மது"
  }
  ]
 4.Perform Auth for the same request. 
 5.Success Notification should trigger to mail id. 
 6.Entry has to available in ida.auth_transaction table.</t>
  </si>
  <si>
    <t>User should able to perform the Ekyc Auth successfully</t>
  </si>
  <si>
    <t>TC_78</t>
  </si>
  <si>
    <t>To verify that user should be able to do demo Auth using address as "HSR Rd 2" instead of "HSR Road 2"</t>
  </si>
  <si>
    <t>1.Get Unused UIN. 
 2.Add record for UIN-&gt;Id gets Activated. 3.Create Auth request for Address field 4.Perform Auth for the same request. 
 5.Success Notification should trigger to mail id. 
 6.Entry has to available in ida.auth_transaction table.</t>
  </si>
  <si>
    <t>TC_79</t>
  </si>
  <si>
    <t>To verify that user should be able to do demo Auth using address as "Tester A no" instead of Tester A number"</t>
  </si>
  <si>
    <t>TC_80</t>
  </si>
  <si>
    <t>To verify that user should be able to do demo Auth using address as ""Surya International apts Number. 602,Narayana Street,1st B Main Road,6th Cross,Opposit Super Market,Bengaluru"  instead of "Surya International Apartments Number. 602,Narayana Street,1st B Main Road,6th Cross,Opposit Super Market,Bengaluru"</t>
  </si>
  <si>
    <t>TC_81</t>
  </si>
  <si>
    <t>To verify that user should be able to do demo Auth using address as ""Surya International apts no. 602,Narayana Street,1st B Main Road,6th Cross,Opposit Super Market,Bengaluru"  instead of "Surya International Apartments Number. 602,Narayana Street,1st B Main Road,6th Cross,Opposit Super Market,Bengaluru"</t>
  </si>
  <si>
    <t>TC_82</t>
  </si>
  <si>
    <t>To verify that user should be able to do demo Auth using address as ""Surya International apts no. 602,Narayana st,1st B mn rd,6th Cross,Opposit Super Market,Bengaluru"  instead of "Surya International Apartments Number. 602,Narayana Street,1st B Main Road,6th Cross,Opposit Super Market,Bengaluru"</t>
  </si>
  <si>
    <t>TC_83</t>
  </si>
  <si>
    <t>To verify that user should be able to do demo Auth using address as ""Surya International apts no. 602,Narayana st,1st B mn rd,6th Cross,opp Super mkt,Bengaluru"  instead of "Surya International Apartments Number. 602,Narayana Street,1st B Main Road,6th Cross,Opposit Super Market,Bengaluru"</t>
  </si>
  <si>
    <t>TC_84</t>
  </si>
  <si>
    <t>To verify that user should be able to do demo Auth using address as "Surya International apts no. 602, Narayana st,1st B mn rd, 6th Cross, opp Super mkt,Bengaluru"  instead of "Surya International Apartments Number. 602,Narayana Street,1st B Main Road,6th Cross,Opposit Super Market,Bengaluru"</t>
  </si>
  <si>
    <t>TC_85</t>
  </si>
  <si>
    <t>To verify that user should be able to do demo Ekyc using address as "Tester A Rd" instead of Tester A Road"</t>
  </si>
  <si>
    <t>TC_86</t>
  </si>
  <si>
    <t>To verify that user should be able to do demo ekyc using address as "HSR Rd 2" instead of "HSR Road 2"</t>
  </si>
  <si>
    <t>TC_87</t>
  </si>
  <si>
    <t>Verify the Bio auth when Bio-Type value as Finger</t>
  </si>
  <si>
    <t>1.Create bio auth for finger 2.Perform Auth for the same request. 3.Success Notification should trigger to mail id. 4.Entry has to available in ida.auth_transaction table. 
 5.check in audit.app_audit_log table to track history</t>
  </si>
  <si>
    <t>The Auth Should be successfull when Bio-Type value as Finger</t>
  </si>
  <si>
    <t>TC_88</t>
  </si>
  <si>
    <t>Verify the Bio auth by providing Bio-Type value as FIR in the bio auth request.</t>
  </si>
  <si>
    <t>1.Create bio auth for finger 2.Perform Auth for the same request.</t>
  </si>
  <si>
    <t>The Auth Should be un-successfull and should get error like "errors": [
  {
  "errorCode": "IDA-MLC-011",
  "errorMessage": "Unsupported Authentication Type - bio-FIR",
  "actionMessage": "Please use other Authentication Types in the request"
  }</t>
  </si>
  <si>
    <t>TC_89</t>
  </si>
  <si>
    <t>Verify the Bio auth when Bio-Type value as Iris</t>
  </si>
  <si>
    <t>1.Create bio auth for Iris 2.Perform Auth for the same request. 3.Success Notification should trigger to mail id. 4.Entry has to available in ida.auth_transaction table. 
 5.check in audit.app_audit_log table to track history</t>
  </si>
  <si>
    <t>The Auth Should be successfull when Bio-Type value as Iris</t>
  </si>
  <si>
    <t>TC_90</t>
  </si>
  <si>
    <t>Verify the Bio auth by providing Bio-Type value as IIR in the bio auth request.</t>
  </si>
  <si>
    <t>1.Create bio auth for Iris 2.Perform Auth for the same request.</t>
  </si>
  <si>
    <t>The Auth Should be un-successfull and should get error like "errors": [
  {
  "errorCode": "IDA-MLC-011",
  "errorMessage": "Unsupported Authentication Type - bio-IRR",
  "actionMessage": "Please use other Authentication Types in the request"
  }</t>
  </si>
  <si>
    <t>TC_91</t>
  </si>
  <si>
    <t>Verify the Bio auth when Bio-Type value as Face</t>
  </si>
  <si>
    <t>1.Create bio auth for Face 2.Perform Auth for the same request. 3.Success Notification should trigger to mail id. 4.Entry has to available in ida.auth_transaction table. 
 5.check in audit.app_audit_log table to track history</t>
  </si>
  <si>
    <t>TC_92</t>
  </si>
  <si>
    <t>Verify the Bio auth when Bio-Type value as FC</t>
  </si>
  <si>
    <t>1.Create bio auth for Face 2.Perform Auth for the same request.</t>
  </si>
  <si>
    <t>The Auth Should be un-successfull and should get error like "errors": [
  {
  "errorCode": "IDA-MLC-011",
  "errorMessage": "Unsupported Authentication Type - bio-Fc",
  "actionMessage": "Please use other Authentication Types in the request"
  }</t>
  </si>
  <si>
    <t>TC_93</t>
  </si>
  <si>
    <t>Verify the bio auth when the "bioType": "Iris" and ""digitalId.type": "Iris"</t>
  </si>
  <si>
    <t>1.Create bio auth when Bio-Type value "Iris" and "digitalId.type": "Iris" 2..Perform Auth for the same request. 3.Success Notification should trigger to mail id. 
 4.Entry has to available in ida.auth_transaction table. 
 5.check in audit.app_audit_log table to track history</t>
  </si>
  <si>
    <t>The Auth should be success with no hassel</t>
  </si>
  <si>
    <t>TC_94</t>
  </si>
  <si>
    <t>Verify the bio auth when the "bioType": "is invalid" and ""digitalId.type": "is valid"</t>
  </si>
  <si>
    <t>1.Create bio auth whenthe "bioType": "is invalid" and ""digitalId.type": "is valid". 2..Perform Auth for the same request.</t>
  </si>
  <si>
    <t>TC_95</t>
  </si>
  <si>
    <t>Verify the bio auth when the "bioType": "is valid" and ""digitalId.type": "is invalid"</t>
  </si>
  <si>
    <t>1.Create bio auth when the "bioType": "is valid" and ""digitalId.type": "is invalid" 2..Perform Auth for the same request.</t>
  </si>
  <si>
    <t>The Auth should Fail and should get error like "errors": [
  {
  "errorCode": "IDA-MLC-007",
  "errorMessage": "Request could not be processed. Please try again"
  },
  {
  "errorCode": "IDA-DPM-004",
  "errorMessage": "Device Type and Biometric Type do not match"
  }</t>
  </si>
  <si>
    <t>TC_96</t>
  </si>
  <si>
    <t>1.Check digital-Id section in the bio auth request.</t>
  </si>
  <si>
    <t>TC_97</t>
  </si>
  <si>
    <t>Verify the bio auth when the "bioType": "Finger" and ""digitalId.type": "Finger"</t>
  </si>
  <si>
    <t>1.Create bio auth when Bio-Type value "Finger" and "digitalId.type": "Finger" 2..Perform Auth for the same request. 3.Success Notification should trigger to mail id. 
 4.Entry has to available in ida.auth_transaction table. 
 5.check in audit.app_audit_log table to track history</t>
  </si>
  <si>
    <t>TC_98</t>
  </si>
  <si>
    <t>Verify the bio auth for finger when the "bioType": "is invalid" and ""digitalId.type": "is valid"</t>
  </si>
  <si>
    <t>The Auth Should be un-successfull and should get error like "errors": [
  {
  "errorCode": "IDA-MLC-011",
  "errorMessage": "Unsupported Authentication Type - bio-Fing",
  "actionMessage": "Please use other Authentication Types in the request"
  }</t>
  </si>
  <si>
    <t>TC_99</t>
  </si>
  <si>
    <t>Verify the bio auth for finger when the "bioType": "is valid" and ""digitalId.type": "is invalid"</t>
  </si>
  <si>
    <t>TC_100</t>
  </si>
  <si>
    <t>Verify the bio auth when the "bioType": "Face" and ""digitalId.type": "Face"</t>
  </si>
  <si>
    <t>1.Create bio auth when Bio-Type value "Face" and "digitalId.type": "Face" 2..Perform Auth for the same request. 3.Success Notification should trigger to mail id. 
 4.Entry has to available in ida.auth_transaction table. 
 5.check in audit.app_audit_log table to track history</t>
  </si>
  <si>
    <t>TC_101</t>
  </si>
  <si>
    <t>Verify the bio auth for Face when the "bioType": "is invalid" and ""digitalId.type": "is valid"</t>
  </si>
  <si>
    <t>TC_102</t>
  </si>
  <si>
    <t>Verify the bio auth for Face when the "bioType": "is valid" and ""digitalId.type": "is invalid"</t>
  </si>
  <si>
    <t>TC_103</t>
  </si>
  <si>
    <t>Verify the bio auth for face,Finger,Iris when bioSubType is UNKNOWN and bioType as Face/Finger/Iris</t>
  </si>
  <si>
    <t>1.Create bio auth when the "bioType": "is valid" and bioSubType is UNKNOWN 2..Perform Auth for the same request.</t>
  </si>
  <si>
    <t>Bio Auth should get success when bioSubType is UNKNOWN for face/finger/Iris</t>
  </si>
  <si>
    <t>TC_104</t>
  </si>
  <si>
    <t>Try to do demo auth when signature is mismatched between the auth request</t>
  </si>
  <si>
    <t>1.Do signature mismatched Before Authentication</t>
  </si>
  <si>
    <t>we should get error as "Digital Signature verification failed"</t>
  </si>
  <si>
    <t>TC_105</t>
  </si>
  <si>
    <t>Verify the error like "Digital signature verification failed for request/biometrics/0/data" when bio data is wrong</t>
  </si>
  <si>
    <t>1.Create bio Auth for UIN when bio data is wrong 2.Perform Auth for the same request.</t>
  </si>
  <si>
    <t>Auth should get un-successfulland should get error like "Digital signature verification failed for request/biometrics/0/data" when bio data is wrong</t>
  </si>
  <si>
    <t>TC_106</t>
  </si>
  <si>
    <t>Try to do bio auth for Iris</t>
  </si>
  <si>
    <t>1.Create bio Auth for Iris 2.Perform Auth for the same request. 3.Success Notification should trigger to mail id 
 4.Entry has to available in ida.auth_transaction table. 
 5.check in audit.app_audit_log table to track history</t>
  </si>
  <si>
    <t>Authentiaction should get successful with no hassel</t>
  </si>
  <si>
    <t>TC_107</t>
  </si>
  <si>
    <t>Try to do bio auth for Finger</t>
  </si>
  <si>
    <t>1.Create bio Auth for Finger 2.Perform Auth for the same request. 3.Success Notification should trigger to mail id 
 4.Entry has to available in ida.auth_transaction table. 
 5.check in audit.app_audit_log table to track history</t>
  </si>
  <si>
    <t>TC_108</t>
  </si>
  <si>
    <t>Try to do bio auth for Face</t>
  </si>
  <si>
    <t>1.Create bio Auth for Face 2.Perform Auth for the same request. 3.Success Notification should trigger to mail id 
 4.Entry has to available in ida.auth_transaction table. 
 5.check in audit.app_audit_log table to track history</t>
  </si>
  <si>
    <t>TC_109</t>
  </si>
  <si>
    <t>Verify to do bio auth with all bioSubType of fingers like Left RingFinger,Left MiddleFinger,Left IndexFinger,Left LittleFinger,Right IndexFinger,Right RingFinger,Right MiddleFinger,Right LittleFinger,Left Thumb,Right Thumb.</t>
  </si>
  <si>
    <t>1.Create bio auth with Left RingFinger. 2.Perform Auth for the same request. 3.Success Notification should trigger to mail id 
 4.Entry has to available in ida.auth_transaction table. 
 5.check in audit.app_audit_log table to track history Note: Same test cases should be follow for other bioSubType of fingers like Left MiddleFinger,Left IndexFinger,Left LittleFinger,Right IndexFinger,Right RingFinger,Right MiddleFinger,Right LittleFinger,Left Thumb,Right Thumb.</t>
  </si>
  <si>
    <t>The Auth should be successful with no hassel</t>
  </si>
  <si>
    <t>TC_110</t>
  </si>
  <si>
    <t>Verify to do bio auth with all SubType of Iris like Right and Left.</t>
  </si>
  <si>
    <t>1.Create bio auth with Right and Left Iris. 2.Perform Auth for the same request. 3.Success Notification should trigger to mail id 
 4.Entry has to available in ida.auth_transaction table. 
 5.check in audit.app_audit_log table to track history</t>
  </si>
  <si>
    <t>TC_111</t>
  </si>
  <si>
    <t>Verify bioSubType has to be null for the bioType Face</t>
  </si>
  <si>
    <t>1.check bioSubType has to be null for the bioType Face .</t>
  </si>
  <si>
    <t>TC_112</t>
  </si>
  <si>
    <t>Try to perform bio authentication for bio exception resident data.</t>
  </si>
  <si>
    <t>1.Create bio auth bio exception data. 2.Perform Auth for the same request. 3.Success Notification should trigger to mail id 
 4.Entry has to available in ida.auth_transaction table. 
 5.check in audit.app_audit_log table to track history</t>
  </si>
  <si>
    <t>TC_113</t>
  </si>
  <si>
    <t>Try to perform bio authentication for multifactor (finger print with iris data)</t>
  </si>
  <si>
    <t>1.Capture the request for Finger print and iris for UIN . 2.Do Authentication using AuthUI</t>
  </si>
  <si>
    <t>TC_114</t>
  </si>
  <si>
    <t>Try to perform bio authentication for multifactor (finger print with face data)</t>
  </si>
  <si>
    <t>TC_115</t>
  </si>
  <si>
    <t>Try to perform bio authentication for multifactor (finger print,face and iris data)</t>
  </si>
  <si>
    <t>TC_116</t>
  </si>
  <si>
    <t>Bio Auth should fail when segment time difference for biometrics crossed more than configured value .</t>
  </si>
  <si>
    <t>1.Capture the request for Finger print first. 2.Capture the request for Iris again after configured time. 3.Create Auth Request for both the biometric data. 4.Perform Bio Auth for the same Note:in config the time difference between biometrics is 2 min (120sec) but when try to do bio authentication more than configured value for multi factors(ex finger and iris) ,</t>
  </si>
  <si>
    <t>TC_117</t>
  </si>
  <si>
    <t>Verify to do Ekyc Auth with valid field value /name/dob/gender/region/province/email/phone/residentStatus</t>
  </si>
  <si>
    <t>1.Get Unused UIN. 
 2.Add record for UIN-&gt;Id gets Activated. 3.Create Auth request for valid field value /name/dob/gender/region/province/email/phone/residentStatus 
 4.Perform Auth for the same request. 
 5.Success Notification should trigger to mail id. 
 6.Entry has to available in ida.auth_transaction table. 
 7.check in audit.app_audit_log table to track history</t>
  </si>
  <si>
    <t>Ekyc Demo Auth should get successfull with no hassel.</t>
  </si>
  <si>
    <t>TC_118</t>
  </si>
  <si>
    <t>Verify to do Ekyc Auth with invalid field value /name/dob/gender/region/province/email/phone/residentStatus</t>
  </si>
  <si>
    <t>1.Get Unused UIN. 
 2.Add record for UIN-&gt;Id gets Activated. 3.Create Auth request for invalid field value /name/dob/gender/region/province/email/phone/residentStatus
 4.Perform Auth for the same request. 
 5.Failure Notification should trigger to mail id. 
 6.Entry has to available in ida.auth_transaction table. 
 7.check in audit.app_audit_log table to track history</t>
  </si>
  <si>
    <t>Ekyc Demo Auth should get Un-successfull and should get error like like "errors": [
  {
  "errorCode": "IDA-DEA-001",
  "errorMessage": "Demographic data dob did not match",
  "actionMessage": "Please re-enter your dob"
  } {
  "errorCode": "IDA-DEA-001",
  "errorMessage": "Demographic data name did not match",
  "actionMessage": "Please re-enter your dob"
  }</t>
  </si>
  <si>
    <t>TC_119</t>
  </si>
  <si>
    <t>Verify to do Ekyc bio Auth with valid biometric data for all bio auth types(Iris,Finger,Face)</t>
  </si>
  <si>
    <t>1.Create Bio Auth for iris 
 2.Perform Auth for the same request. 
 3.Success Notification should trigger to mail id. 
 4.Entry has to available in ida.auth_transaction table. 
 5.check in audit.app_audit_log table to track history. Note: same TC is appilcable for Finger and Face</t>
  </si>
  <si>
    <t>Ekyc Bio Auth should get successfull with no hassel.</t>
  </si>
  <si>
    <t>TC_120</t>
  </si>
  <si>
    <t>Verify to do Ekyc bio Auth with invalid biometric data for all bio auth types(Iris,Finger,Face)</t>
  </si>
  <si>
    <t>1.Create Bio Auth with invalid biometric data for iris 2.Perform Auth for the same request. 
 3.Failure Notification should trigger to mail id. 
 4.Entry has to available in ida.auth_transaction table. 5.check in audit.app_audit_log table to track history. Note: same TC is appilcable for Finger and Face</t>
  </si>
  <si>
    <t>Ekyc Bio Auth should get un-successfull with no hassel like "errors": [
  {
  "errorCode": "IDA-DEA-001",
  "errorMessage": "Bio data for Finger did not match",
  "actionMessage": "Please re-enter your Finger in eng"
  }</t>
  </si>
  <si>
    <t>TC_121</t>
  </si>
  <si>
    <t>Verify to do Ekyc Auth with valid field value /name/dob/gender/region/province/email/phone/residentStatus using VID</t>
  </si>
  <si>
    <t>1.Get Unused UIN. 
 2.Add record for UIN-&gt;Id gets Activated. 3.Create Auth request for valid field value /name/dob/gender/region/province/email/phone/residentStatus using VID 
 4.Perform Auth for the same request. 
 5.Success Notification should trigger to mail id. 
 6.Entry has to available in ida.auth_transaction table. 
 7.check in audit.app_audit_log table to track history</t>
  </si>
  <si>
    <t>TC_122</t>
  </si>
  <si>
    <t>Verify to do Ekyc Auth with invalid field value /name/dob/gender/region/province/email/phone/residentStatus using VID</t>
  </si>
  <si>
    <t>1.Get Unused UIN. 
 2.Add record for UIN-&gt;Id gets Activated. 3.Create Auth request for invalid field value /name/dob/gender/region/province/email/phone/residentStatus using VID
 4.Perform Auth for the same request. 
 5.Failure Notification should trigger to mail id. 
 6.Entry has to available in ida.auth_transaction table. 
 7.check in audit.app_audit_log table to track history</t>
  </si>
  <si>
    <t>TC_123</t>
  </si>
  <si>
    <t>Verify to do Ekyc bio Auth with valid biometric data for all bio auth types(Iris,Finger,Face) using VID</t>
  </si>
  <si>
    <t>TC_124</t>
  </si>
  <si>
    <t>Verify to do Ekyc bio Auth with invalid biometric data for all bio auth types(Iris,Finger,Face) using VID</t>
  </si>
  <si>
    <t>Ekyc Bio Auth should get un-successfull and should get error like "errors": [
  {
  "errorCode": "IDA-DEA-001",
  "errorMessage": "Bio data for Finger did not match",
  "actionMessage": "Please re-enter your Finger in eng"
  }</t>
  </si>
  <si>
    <t>TC_125</t>
  </si>
  <si>
    <t>Verify KYC-AUTH entries in auth transaction tables</t>
  </si>
  <si>
    <t>1.Get Unused UIN. 
 2.Add record for UIN-&gt;Id gets Activated. 3.Create Auth request for Name field 
 4.Perform Auth for the same request. 
 5.Success Notification should trigger to mail id. 
 6.Entry has to available in ida.auth_transaction table. 
 7.check in audit.app_audit_log table to track history</t>
  </si>
  <si>
    <t>Record should be in standard format "KYC-Auth,OTP-Auth"  not like "KYC_AUTH,OTP_AUTH,KYC_AUTH"</t>
  </si>
  <si>
    <t>TC_126</t>
  </si>
  <si>
    <t>1.ekyc lang in policy as 'ara' 
 4.Perform Authentication</t>
  </si>
  <si>
    <t>Auth should be success with ekyc 
 response in ara.</t>
  </si>
  <si>
    <t>TC_127</t>
  </si>
  <si>
    <t>1.ekyc lang in policy as 'eng' 
 1.Perform Authentication</t>
  </si>
  <si>
    <t>Auth should be success with ekyc 
 response in eng.</t>
  </si>
  <si>
    <t>TC_128</t>
  </si>
  <si>
    <t>1.ekyc lang in policy as 'eng' and 'ara'
 2.Perform Authentication</t>
  </si>
  <si>
    <t>TC_129</t>
  </si>
  <si>
    <t>1.No ekyc lang in policy
 4.Perform Authentication</t>
  </si>
  <si>
    <t>TC_130</t>
  </si>
  <si>
    <t>1.ekyc lang in policy as 'hin' 
 4.Perform Authentication for UIN/VID</t>
  </si>
  <si>
    <t>Auth should be success with ekyc 
 response in hin</t>
  </si>
  <si>
    <t>TC_131</t>
  </si>
  <si>
    <t>1.ekyc lang in policy as 'kan' 
 4.Perform Authentication for UIN/VID</t>
  </si>
  <si>
    <t>Auth should be success with ekyc 
 response in kan.</t>
  </si>
  <si>
    <t>TC_132</t>
  </si>
  <si>
    <t>1.kyc lang in policy as 'tam' 
 4.Perform Authentication for UIN/VID</t>
  </si>
  <si>
    <t>Auth should be success with ekyc 
 response in tam.</t>
  </si>
  <si>
    <t>TC_133</t>
  </si>
  <si>
    <t>1.ekyc lang in policy as 'hin, kan,tam' 
 4.perform Auth</t>
  </si>
  <si>
    <t>TC_134</t>
  </si>
  <si>
    <t>1.No ekyc lang in policy
 4.perform Auth for UIN/VID</t>
  </si>
  <si>
    <t>TC_135</t>
  </si>
  <si>
    <t>Verify to edit/update allowed auth types in policy and do demo auth by using UIN/VID.</t>
  </si>
  <si>
    <t>1.Edit/update allowed auth types while creating policy under PMS. 2.Create demo Auth request for UIN/VID. 
 3.Perform Auth for the same request. 
 4.Success Notification should trigger to mail id. 
 5.Entry has to available in ida.auth_transaction table. 
 6.check in audit.app_audit_log table to track history</t>
  </si>
  <si>
    <t>Auth should get success with no hassel</t>
  </si>
  <si>
    <t>TC_136</t>
  </si>
  <si>
    <t>Verify to edit/update allowed auth types in policy and do bio auth by using UIN/VID.</t>
  </si>
  <si>
    <t>1.Edit/update allowed auth types while creating policy under PMS. 2.Create bio Auth request for UIN/VID. 
 3.Perform Auth for the same request. 
 4.Success Notification should trigger to mail id. 
 5.Entry has to available in ida.auth_transaction table. 
 6.check in audit.app_audit_log table to track history</t>
  </si>
  <si>
    <t>TC_137</t>
  </si>
  <si>
    <t>Verify to edit/update allowed auth types in policy and do Ekyc auth by using UIN/VID.</t>
  </si>
  <si>
    <t>1.Edit/update allowed auth types while creating policy under PMS. 2.Create Ekyc Auth request. 
 3.Perform Auth for the same request. 
 4.Success Notification should trigger to mail id. 
 5.Entry has to available in ida.auth_transaction table. 
 6.check in audit.app_audit_log table to track history</t>
  </si>
  <si>
    <t>TC_138</t>
  </si>
  <si>
    <t>Verify to edit/update allowed auth types in policy and do OTP auth by using UIN/VID.</t>
  </si>
  <si>
    <t>1.Edit/update allowed auth types while creating policy under PMS. 2.Create OTP Auth request. 
 3.Perform Auth for the same request. 
 4.Success Notification should trigger to mail id. 
 5.Entry has to available in ida.auth_transaction table. 
 6.check in audit.app_audit_log table to track history</t>
  </si>
  <si>
    <t>TC_139</t>
  </si>
  <si>
    <t>Verify to remove OTP allowed authtype in policy and do auth with the same</t>
  </si>
  <si>
    <t>1.Remove OTP allowed authtype in policy 2.Create OTP Auth request. 
 3.Perform Auth for the same request. 
 4.Success Notification should trigger to mail id. 
 5.Entry has to available in ida.auth_transaction table. 
 6.check in audit.app_audit_log table to track history</t>
  </si>
  <si>
    <t>Auth should fail for OTP</t>
  </si>
  <si>
    <t>TC_140</t>
  </si>
  <si>
    <t>Verify to make allowed auth types, IRIS as true and do demo auth</t>
  </si>
  <si>
    <t>1.Make allowed auth types IRIS as true 2.Create demo Auth request. 
 3.Perform Auth for the same request. 
 4.Success Notification should trigger to mail id. 
 5.Entry has to available in ida.auth_transaction table. 
 6.check in audit.app_audit_log table to track history</t>
  </si>
  <si>
    <t>Auth should fail for demo with error "iris auth is mandatory"</t>
  </si>
  <si>
    <t>TC_141</t>
  </si>
  <si>
    <t>Verify to make allowed auth types, Finger as true and do demo auth</t>
  </si>
  <si>
    <t>1.Make allowed auth types Finger as true 2.Create demo Auth request. 
 3.Perform Auth for the same request. 
 4.Success Notification should trigger to mail id. 
 5.Entry has to available in ida.auth_transaction table. 
 6.check in audit.app_audit_log table to track history</t>
  </si>
  <si>
    <t>Auth should fail for demo with error "Finger auth is mandatory"</t>
  </si>
  <si>
    <t>TC_142</t>
  </si>
  <si>
    <t>Verify to make allowed auth types, Face as true and do demo auth</t>
  </si>
  <si>
    <t>1.Make allowed auth types Face as true 2.Create demo Auth request. 
 3.Perform Auth for the same request. 
 4.Success Notification should trigger to mail id. 
 5.Entry has to available in ida.auth_transaction table. 
 6.check in audit.app_audit_log table to track history</t>
  </si>
  <si>
    <t>Auth should fail for demo with error "Face auth is mandatory"</t>
  </si>
  <si>
    <t>TC_143</t>
  </si>
  <si>
    <t>Create a policy by removing otp-request allowed attritubes and perform otp-request auth with the UIN</t>
  </si>
  <si>
    <t>1.Create a policy by removing otp-request allowed attritubes 2.Create otp-request Auth request. 
 3.Perform Auth for the same request. 
 4.Success Notification should trigger to mail id. 
 5.Entry has to available in ida.auth_transaction table. 
 6.check in audit.app_audit_log table to track history</t>
  </si>
  <si>
    <t>Auth should fail with proper error message</t>
  </si>
  <si>
    <t>TC_144</t>
  </si>
  <si>
    <t>Create a policy by removing kyc allowed attritubes and perform kyc auth with the UIN</t>
  </si>
  <si>
    <t>1.Create a policy by removing kyc allowed attritubes 2.Create KYC Auth request. 
 3.Perform Auth for the same request. 
 4.Success Notification should trigger to mail id. 
 5.Entry has to available in ida.auth_transaction table. 
 6.check in audit.app_audit_log table to track history</t>
  </si>
  <si>
    <t>TC_145</t>
  </si>
  <si>
    <t>Create a policy by adding kyc attributes like dateOfBirth,photo and do kyc auth with the same</t>
  </si>
  <si>
    <t>1.Create a policy policy by adding kyc attributes like dateOfBirth,photo 2.Create KYC Auth request. 
 3.Perform Auth for the same request. 
 4.Success Notification should trigger to mail id. 
 5.Entry has to available in ida.auth_transaction table. 
 6.check in audit.app_audit_log table to track history</t>
  </si>
  <si>
    <t>Auth should get success once after EKYC decryption should able to see ekyc attributes name like dateOfBirth,photo in the response.</t>
  </si>
  <si>
    <t>TC_146</t>
  </si>
  <si>
    <t>Create a policy by remocing kyc attributes like dateOfBirth,photo and do kyc auth with the same</t>
  </si>
  <si>
    <t>1.Create a policy policy by removing kyc attributes like dateOfBirth,photo 2.Create KYC Auth request. 
 3.Perform Auth for the same request. 
 4.Success Notification should trigger to mail id. 
 5.Entry has to available in ida.auth_transaction table. 
 6.check in audit.app_audit_log table to track history</t>
  </si>
  <si>
    <t>Auth should get success once after EKYC decryption should not able to see ekyc attributes name like dateOfBirth,photo in the response</t>
  </si>
  <si>
    <t>TC_147</t>
  </si>
  <si>
    <t>1.Create a policy by making the FINGER as mandatory 2.Create bio Auth request for finger. 
 3.Perform Auth for the same request. 
 4.Success Notification should trigger to mail id. 
 5.Entry has to available in ida.auth_transaction table. 
 6.check in audit.app_audit_log table to track history</t>
  </si>
  <si>
    <t>TC_148</t>
  </si>
  <si>
    <t>1.Create a policy by making the FINGER as mandatory 2.Create bio Auth request for irsis 
 3.Perform Auth for the same request. 
 4.Success Notification should trigger to mail id. 
 5.Entry has to available in ida.auth_transaction table. 
 6.check in audit.app_audit_log table to track history</t>
  </si>
  <si>
    <t>Auth should get fail should get error like "Finger auth is mandatory"</t>
  </si>
  <si>
    <t>TC_149</t>
  </si>
  <si>
    <t>1. From PMS create one policy ,for the same policy create one partner and map the Partner to policyName. 2.Get Unused UIN from IDrepo. 3. Add record for the same Uin . 4.Create demo Auth request 5.Perform demo auth for the same request. 6.Success Notification should trigger to mail id. 7.Entry has to available in ida.auth_transaction table. 
 8.check in audit.app_audit_log table to track history</t>
  </si>
  <si>
    <t>TC_150</t>
  </si>
  <si>
    <t>Verify authtoken in the authentication response after performing auth when policy is same for the partner and where authTokenType as policy</t>
  </si>
  <si>
    <t>1.From PMS create one policy ,for the same policy create one partner and map the Partner to policyName. 
 2.Create demo Auth request. 3.Perform demo auth for the same request. 
 4.Success Notification should trigger to mail id. 
 5.Entry has to available in ida.auth_transaction table. 
 6.check in audit.app_audit_log table to track history.</t>
  </si>
  <si>
    <t>TC_151</t>
  </si>
  <si>
    <t>Verify authtoken in the authentication response after performing auth when policy is same but diff partner and where authTokenType as policy</t>
  </si>
  <si>
    <t>1. From PMS create one policy ,for the same policy create multiple partner and map the Partner to same policyName. 2.Create demo Auth request 3.Perform demo auth for the same request. 4.Success Notification should trigger to mail id. 5.Entry has to available in ida.auth_transaction table. 
 6.check in audit.app_audit_log table to track history</t>
  </si>
  <si>
    <t>TC_152</t>
  </si>
  <si>
    <t>Verify authtoken in the authentication response after performing auth when policy is same for the partner and where authTokenType as partner</t>
  </si>
  <si>
    <t>1. From PMS create one policy ,for the same policy create one partner and map the Partner to policyName. 2.Create demo Auth request 3.Perform demo auth for the same request. 4.Success Notification should trigger to mail id. 5.Entry has to available in ida.auth_transaction table. 
 6.check in audit.app_audit_log table to track history</t>
  </si>
  <si>
    <t>TC_153</t>
  </si>
  <si>
    <t>TC_154</t>
  </si>
  <si>
    <t>1. From PMS create one policy ,for the same policy create one partner and map the Partner to policyName. 
 2.Create demo Auth request. 3.Perform demo auth for the same request. 
 4.Success Notification should trigger to mail id. 5.Entry has to available in ida.auth_transaction table. 
 6.check in audit.app_audit_log table to track history</t>
  </si>
  <si>
    <t>TC_155</t>
  </si>
  <si>
    <t>TC_156</t>
  </si>
  <si>
    <t>we should get error while creating policy "errors": [
  {
  "errorCode": "PMS-PV-005",
  "message": "Invalid input parameter - authTokenType"
  }</t>
  </si>
  <si>
    <t>TC_157</t>
  </si>
  <si>
    <t>TC_158</t>
  </si>
  <si>
    <t>we should get error while creating policy error like "errors": [
  {
  "errorCode": "PMS-PV-006",
  "message": "Missing input parameter - authTokenType"
  }
  ]</t>
  </si>
  <si>
    <t>TC_159</t>
  </si>
  <si>
    <t>Verify notification is getting triggred once after demo/bio/Ekyc/OTP auth is successed when preferredLang is not set.</t>
  </si>
  <si>
    <t>Configure below mentioned settings in application-mz.properties.
 1. mosip.default.user-preferred-language-attribute=preferredLang and mosip.default.template-languages=eng,ara
 2. mosip.mandatory-languages=eng and
 mosip.optional-languages=ara,eng Note:Same test cases applicable for Triple lang (i,e hin,kan,tam)</t>
  </si>
  <si>
    <t>Notification should be sent in English and Arabic language for success authentication..</t>
  </si>
  <si>
    <t>TC_160</t>
  </si>
  <si>
    <t>Based on preferred lang verify the email notification are getting or not once after demo is successed Example: if preferred lang set to eng then notification should get with eng ,if preferred lang set to ara then notification should get with ara, if no preferred lang is avaliable for the UIN then notification should get with default (I,e ara,eng)</t>
  </si>
  <si>
    <t>1.Get Unused UIN. 
 2.Add record for UIN-&gt;Id gets Activated. 3.Create Auth for UIN 4.Perform Auth for the same request. 5.Check Authentication success mail triggered to respective email based on preferred lang is set</t>
  </si>
  <si>
    <t>TC_161</t>
  </si>
  <si>
    <t>Based on preferred lang verify the email notification are getting or not once after bio is successed Example: if preferred lang set to eng then notification should get with eng ,if preferred lang set to ara then notification should get with ara, if no preferred lang is avaliable for the UIN then notification should get with default (I,e ara,eng)</t>
  </si>
  <si>
    <t>TC_162</t>
  </si>
  <si>
    <t>Based on preferred lang verify the email notification are getting or not once after Ekyc demo is successed Example: if preferred lang set to eng then notification should get with eng ,if preferred lang set to ara then notification should get with ara, if no preferred lang is avaliable for the UIN then notification should get with default (I,e ara,eng)</t>
  </si>
  <si>
    <t>TC_163</t>
  </si>
  <si>
    <t>Based on preferred lang verify the email notification are getting or not once after Ekyc bio is successed Example: if preferred lang set to eng then notification should get with eng ,if preferred lang set to ara then notification should get with ara, if no preferred lang is avaliable for the UIN then notification should get with default (I,e ara,eng)</t>
  </si>
  <si>
    <t>TC_164</t>
  </si>
  <si>
    <t>Based on preferred lang verify the email notification are getting or not once after OTP is successed Example: if preferred lang set to eng then notification should get with eng ,if preferred lang set to ara then notification should get with ara, if no preferred lang is avaliable for the UIN then notification should get with default (I,e ara,eng)</t>
  </si>
  <si>
    <t>TC_165</t>
  </si>
  <si>
    <t>1.Create OTP request for Invalid otp for UIN/VID</t>
  </si>
  <si>
    <t>TC_166</t>
  </si>
  <si>
    <t>1.Create OTP request for wrong otp for UIN/VID</t>
  </si>
  <si>
    <t>TC_167</t>
  </si>
  <si>
    <t>1.Create OTP request with the UIN without email</t>
  </si>
  <si>
    <t>Should get error message like "errorCode": "IDA-MLC-009", "errorMessage": "Invalid Input Parameter - email"</t>
  </si>
  <si>
    <t>TC_168</t>
  </si>
  <si>
    <t>Try to do OTP demo auth with the UIN.</t>
  </si>
  <si>
    <t>1.Get Unused UIN. 
 2.Add record for UIN-&gt;Id gets Activated. 3.Create Auth request for Name field 
 4.Perform OTP Auth for the same request. 5.Success Notification should trigger to mail id. 
 6.Entry has to available in ida.auth_transaction table. 
 7.check in audit.app_audit_log table to track history</t>
  </si>
  <si>
    <t>TC_169</t>
  </si>
  <si>
    <t>Try to do OTP demo auth with the VID.</t>
  </si>
  <si>
    <t>1.Get Unused UIN. 
 2.Add record for UIN-&gt;Id gets Activated. 3.Generate VID for UIN. 4.Create Auth request for Name field 
 5.Perform OTP Auth for the same request. 6.Success Notification should trigger to mail id. 
 7.Entry has to available in ida.auth_transaction table. 
 8.check in audit.app_audit_log table to track history</t>
  </si>
  <si>
    <t>Demo auth should get successful</t>
  </si>
  <si>
    <t>TC_170</t>
  </si>
  <si>
    <t>1.Create OTP Auth request for Name field 2.Perform OTP Auth for the same request. 3.Success Notification should trigger to mail id. 
 4.Entry has to available in ida.auth_transaction table. 
 5.check in audit.app_audit_log table to track history</t>
  </si>
  <si>
    <t>OTP auth should get successful</t>
  </si>
  <si>
    <t>TC_171</t>
  </si>
  <si>
    <t>1.Create OTP's ''n" of times based on configuration # *********** Otp Flooding ************
 # Configure Time limit for OTP Flooding scenario (in minutes) 
 otp.request.flooding.duration=1
 # Configure no of requests for OTP Flooding scenario
 otp.request.flooding.max-count=3</t>
  </si>
  <si>
    <t>After 1 min OTP generation gets denails since flooding.duration is 1 mins</t>
  </si>
  <si>
    <t>TC_172</t>
  </si>
  <si>
    <t>1.Create OTP Auth request. 2.Perform OTP Auth for the same request. 3.Success Notification should trigger to mail id. 
 4.Entry has to available in ida.auth_transaction table. 
 5.check in audit.app_audit_log table to track history</t>
  </si>
  <si>
    <t>Auth should get successful.</t>
  </si>
  <si>
    <t>TC_173</t>
  </si>
  <si>
    <t>Try to do demo auth by using internal auth</t>
  </si>
  <si>
    <t>1.Get Unused UIN. 
 2.Add record for UIN-&gt;Id gets Activated. 3.Create Auth request for demographic data 4.Perform Auth for the same request. 
 5.Success Notification should trigger to mail id. 
 6.Entry has to available in ida.auth_transaction table. 
 7.check in audit.app_audit_log table to track history</t>
  </si>
  <si>
    <t>Demo auth by using internal auth should get success</t>
  </si>
  <si>
    <t>TC_174</t>
  </si>
  <si>
    <t>Try to do bio auth by using internal auth</t>
  </si>
  <si>
    <t>1.Get Unused UIN. 
 2.Add record for UIN-&gt;Id gets Activated. 3.Create Auth request for Biometric data 4.Perform Auth for the same request. 
 5.Success Notification should trigger to mail id. 
 6.Entry has to available in ida.auth_transaction table. 
 7.check in audit.app_audit_log table to track history</t>
  </si>
  <si>
    <t>bio auth by using internal auth should get success</t>
  </si>
  <si>
    <t>TC_175</t>
  </si>
  <si>
    <t>Try to do multi factor bio auth by using internal auth</t>
  </si>
  <si>
    <t>1.Get Unused UIN. 
 2.Add record for UIN-&gt;Id gets Activated. 3.Create multifactor bio Auth by using internal auth api 4.Perform Auth for the same request. 5.Success Notification should trigger to mail id. 
 6.Entry has to available in ida.auth_transaction table. 
 7.check in audit.app_audit_log table to track history</t>
  </si>
  <si>
    <t>Bio auth by using internal auth should get success</t>
  </si>
  <si>
    <t>Hotlist_IDA</t>
  </si>
  <si>
    <t>TC_176</t>
  </si>
  <si>
    <t>Verify by Hotlist the UIN and try to do Demo auth</t>
  </si>
  <si>
    <t>1.Hotlist the UIN 2.Create demo Auth request 3.Perform Auth for the same request. 4.Entry has to available in ida.auth_transaction table. 
 5.check in audit.app_audit_log table to track history</t>
  </si>
  <si>
    <t>Should get error message like "Individual Id is blocked"</t>
  </si>
  <si>
    <t>TC_177</t>
  </si>
  <si>
    <t>Verify by Hotlist the UIN and try to do BIO auth(iris)</t>
  </si>
  <si>
    <t>1.Hotlist the UIN 2.Create Bio Auth request. 3.Perform Auth for the same request. 4.Entry has to available in ida.auth_transaction table. 
 5.check in audit.app_audit_log table to track history</t>
  </si>
  <si>
    <t>TC_178</t>
  </si>
  <si>
    <t>Verify by Hotlist the UIN and try to do BIO auth(finger)</t>
  </si>
  <si>
    <t>TC_179</t>
  </si>
  <si>
    <t>Verify by Hotlist the UIN and try to do BIO auth(face)</t>
  </si>
  <si>
    <t>TC_180</t>
  </si>
  <si>
    <t>Verify by Hotlist the UIN and try to do eKYC demo auth.</t>
  </si>
  <si>
    <t>TC_181</t>
  </si>
  <si>
    <t>Verify by Hotlist the UIN and try to do eKYC bio auth(face)</t>
  </si>
  <si>
    <t>TC_182</t>
  </si>
  <si>
    <t>Verify by Hotlist the UIN and try to do eKYC bio auth(iris)</t>
  </si>
  <si>
    <t>TC_183</t>
  </si>
  <si>
    <t>Verify by Hotlist the UIN and try to do eKYC bio auth(finger)</t>
  </si>
  <si>
    <t>TC_184</t>
  </si>
  <si>
    <t>Verify by Hotlist the UIN and try to do OTP demo auth.</t>
  </si>
  <si>
    <t>1.Hotlist the UIN 2.Create OTP Auth request 3.Perform Auth for the same request. 4.Entry has to available in ida.auth_transaction table. 
 5.check in audit.app_audit_log table to track history</t>
  </si>
  <si>
    <t>TC_185</t>
  </si>
  <si>
    <t>1.Hotlist the UIN 2.Create Auth request 3.Perform Auth for the same request. 4.Entry has to available in ida.auth_transaction table. 
 5.check in audit.app_audit_log table to track history</t>
  </si>
  <si>
    <t>TC_186</t>
  </si>
  <si>
    <t>TC_187</t>
  </si>
  <si>
    <t>1.Hotlist the VID 2.Create Auth request 3.Perform Auth for the same request. 4.Entry has to available in ida.auth_transaction table. 
 5.check in audit.app_audit_log table to track history</t>
  </si>
  <si>
    <t>TC_188</t>
  </si>
  <si>
    <t>TC_189</t>
  </si>
  <si>
    <t>1.Hotlist the Device details 2.Create Auth request 3.Perform Auth for the same request. 4.Entry has to available in ida.auth_transaction table. 
 5.check in audit.app_audit_log table to track history</t>
  </si>
  <si>
    <t>TC_190</t>
  </si>
  <si>
    <t>TC_191</t>
  </si>
  <si>
    <t>1.Hotlist the partner 2.Create Auth request 3.Perform Auth for the same request. 4.Entry has to available in ida.auth_transaction table. 
 5.check in audit.app_audit_log table to track history</t>
  </si>
  <si>
    <t>TC_192</t>
  </si>
  <si>
    <t>TC_193</t>
  </si>
  <si>
    <t>TC_194</t>
  </si>
  <si>
    <t>TC_195</t>
  </si>
  <si>
    <t>1.Hotlist the Device 2.Create Auth request 3.Perform Auth for the same request. 4.Entry has to available in ida.auth_transaction table. 
 5.check in audit.app_audit_log table to track history</t>
  </si>
  <si>
    <t>TC_196</t>
  </si>
  <si>
    <t>TC_197</t>
  </si>
  <si>
    <t>1.connect to Db and check in the table hotlist.hotlist</t>
  </si>
  <si>
    <t>The Table should contain value as null for expiry time column.</t>
  </si>
  <si>
    <t>Auth Lock and Unlock from resident _IDA</t>
  </si>
  <si>
    <t>TC_198</t>
  </si>
  <si>
    <t>1.Get Unused UIN. 
 2.Add record for UIN-&gt;Id gets Activated. 3.Do send OTP for UIN from resident Module. and lock the demo auth type 4.Create demo Auth request 5.Perform Auth for the same request. 6.Entry has to available in ida.auth_transaction table. 
 7.check in audit.app_audit_log table to track history</t>
  </si>
  <si>
    <t>TC_199</t>
  </si>
  <si>
    <t>1.Get Unused UIN. 
 2.Add record for UIN-&gt;Id gets Activated. 3.Do send OTP for UIN from resident Module. and lock the bio finger auth type 4.Create bio Auth request 5.Perform Auth for the same request.</t>
  </si>
  <si>
    <t>TC_200</t>
  </si>
  <si>
    <t>1.Get Unused UIN. 
 2.Add record for UIN-&gt;Id gets Activated. 3.Do send OTP for UIN from resident Module. and lock the bio iris auth type 4.Create bio Auth request 5.Perform Auth for the same request.</t>
  </si>
  <si>
    <t>TC_201</t>
  </si>
  <si>
    <t>1.Get Unused UIN. 
 2.Add record for UIN-&gt;Id gets Activated. 3.Do send OTP for UIN from resident Module. and lock the bio face auth type 4.Create bio Auth request 5.Perform Auth for the same request.</t>
  </si>
  <si>
    <t>TC_202</t>
  </si>
  <si>
    <t>1.Get Unused UIN. 
 2.Add record for UIN-&gt;Id gets Activated. 3.Do send OTP for UIN from resident Module. and lock the bio finger auth type. 4.Create bio Auth request 5.Perform Auth for the same request.</t>
  </si>
  <si>
    <t>TC_203</t>
  </si>
  <si>
    <t>1.Get Unused UIN. 
 2.Add record for UIN-&gt;Id gets Activated. 3.Do send OTP for UIN from resident Module. and lock the bio iris auth type. 4.Create bio Auth request 5.Perform Auth for the same request.</t>
  </si>
  <si>
    <t>TC_204</t>
  </si>
  <si>
    <t>1.Get Unused UIN. 
 2.Add record for UIN-&gt;Id gets Activated. 3.Do send OTP for UIN from resident Module. and lock the bio face auth type. 4.Create bio Auth request 5.Perform Auth for the same request.</t>
  </si>
  <si>
    <t>TC_205</t>
  </si>
  <si>
    <t>1.Get Unused UIN. 
 2.Add record for UIN-&gt;Id gets Activated. 3.Do send OTP for UIN from resident Module. and lock the demo auth 4.Create bio Auth request 5.Perform Auth for the same request.</t>
  </si>
  <si>
    <t>TC_206</t>
  </si>
  <si>
    <t>Verify to lock demo auth type and perform authentication</t>
  </si>
  <si>
    <t>If demo Auth is allowed for a child and same is locked using resident portal ,system should give a message saying Auth is locked.</t>
  </si>
  <si>
    <t>TC_207</t>
  </si>
  <si>
    <t>Try to lock Infant UIN from resident portal, perform bio Auth</t>
  </si>
  <si>
    <t>bio is denied for child and same if otp auth is locked using resident portal , then system should give valid message saying otp is denied for child .</t>
  </si>
  <si>
    <t>TC_208</t>
  </si>
  <si>
    <t>Try to lock Infant UIN from resident portal, perform OTP Auth</t>
  </si>
  <si>
    <t>If otp is denied for child and same if otp auth is locked using resident portal , then system should give valid message saying otp is denied for child .</t>
  </si>
  <si>
    <t>TC_209</t>
  </si>
  <si>
    <t>Verify to do demo auth unlock for unlockforseconds and do demo auth</t>
  </si>
  <si>
    <t>1.Get Unused UIN. 
 2.Add record for UIN-&gt;Id gets Activated. 3.Do send OTP for the UIN. 4.Do demo lock for the UIN 5.Do Auth by using UIN</t>
  </si>
  <si>
    <t>Demo auth should go for automatic lock 
 after specifed seconds</t>
  </si>
  <si>
    <t>TC_210</t>
  </si>
  <si>
    <t>Verify to do bio auth unlock for unlockforseconds and do bio auth</t>
  </si>
  <si>
    <t>1.Get Unused UIN. 
 2.Add record for UIN-&gt;Id gets Activated. 3.Do send OTP for the UIN. 4.Do bio lock for the UIN 5.Do Auth by using UIN</t>
  </si>
  <si>
    <t>Bio auth should go for automatic lock 
 after specifed seconds</t>
  </si>
  <si>
    <t>TC_211</t>
  </si>
  <si>
    <t>Verify to do demo auth using perpetual VID</t>
  </si>
  <si>
    <t>1.Get Unused UIN. 
 2.Add record for UIN-&gt;Id gets Activated. 3.Create Perpetual VID for the UIN. 4..Do Auth by using VID</t>
  </si>
  <si>
    <t>Demo auth should get success with no hassel.</t>
  </si>
  <si>
    <t>TC_212</t>
  </si>
  <si>
    <t>Verify to do demo auth using Temporary VID</t>
  </si>
  <si>
    <t>1.Get Unused UIN. 
 2.Add record for UIN-&gt;Id gets Activated. 3.Create Temporary VID for the UIN. 4..Do Auth by using VID</t>
  </si>
  <si>
    <t>TC_213</t>
  </si>
  <si>
    <t>Verify to do bio auth using perpetual VID</t>
  </si>
  <si>
    <t>1.Get Unused UIN. 
 2.Add record for UIN-&gt;Id gets Activated. 3.Create Perpetual VID for the UIN. 4..Do bio Auth by using VID</t>
  </si>
  <si>
    <t>Bio auth should get success with no hassel</t>
  </si>
  <si>
    <t>TC_214</t>
  </si>
  <si>
    <t>Verify to do bio auth using Temporary VID</t>
  </si>
  <si>
    <t>1.Get Unused UIN. 
 2.Add record for UIN-&gt;Id gets Activated. 3.Create Temporary VID for the UIN. 4..Do bio Auth by using VID</t>
  </si>
  <si>
    <t>TC_215</t>
  </si>
  <si>
    <t>Verify to do Otp auth using perpetual VID</t>
  </si>
  <si>
    <t>1.Get Unused UIN. 
 2.Add record for UIN-&gt;Id gets Activated. 3.Create Perpetual VID for the UIN. 4..Do Otp Auth by using VID</t>
  </si>
  <si>
    <t>Otp auth should get success</t>
  </si>
  <si>
    <t>TC_216</t>
  </si>
  <si>
    <t>Verify to do Otp auth using Temporary VID</t>
  </si>
  <si>
    <t>1.Get Unused UIN. 
 2.Add record for UIN-&gt;Id gets Activated. 3.Create Temporary VID for the UIN. 4..Do Otp Auth by using VID</t>
  </si>
  <si>
    <t>TC_217</t>
  </si>
  <si>
    <t>Verify to do Otp auth using perpetual UIN</t>
  </si>
  <si>
    <t>TC_218</t>
  </si>
  <si>
    <t>Verify to do demo auth with revoked VID</t>
  </si>
  <si>
    <t>1.Get Unused UIN. 
 2.Add record for UIN-&gt;Id gets Activated. 3.Create Perpetual/Temporary VID for the UIN. 4.And revoked the same VID and perform demo auth</t>
  </si>
  <si>
    <t>Demo auth should get fail and should get error like "Vid is not available in database"</t>
  </si>
  <si>
    <t>TC_219</t>
  </si>
  <si>
    <t>Verify to do bio auth with revoked VID</t>
  </si>
  <si>
    <t>1.Get Unused UIN. 
 2.Add record for UIN-&gt;Id gets Activated. 3.Create Perpetual/Temporary VID for the UIN. 4.And revoked the same VID and perform bio auth</t>
  </si>
  <si>
    <t>Bio auth should get fail and should get error like "Vid is not available in database"</t>
  </si>
  <si>
    <t>TC_220</t>
  </si>
  <si>
    <t>Verify to do Otp auth with revoked VID</t>
  </si>
  <si>
    <t>1.Get Unused UIN. 
 2.Add record for UIN-&gt;Id gets Activated. 3.Create Perpetual/Temporary VID for the UIN. 4.And revoked the same VID and perform OTP auth</t>
  </si>
  <si>
    <t>TC_221</t>
  </si>
  <si>
    <t>Verify user is Able to perform auth using VID after Hotlisting UIN</t>
  </si>
  <si>
    <t>1.Hotlist the UIN and Create Perpetual/Temporary VID for the UIN. 2. perform demo auth using VID</t>
  </si>
  <si>
    <t>Auth should not do after Hotlisting VID NOTE: In case the individual is trying to generate a VID after the UIN is hotlisted → this can be stopped by adding the following config to id-authentication-mz.properties(i,e .ida.mosip.internal.auth.filter.classes.in.execution.order=io.mosip.authentication.hotlistfilter.impl.IndividualIdHotlistFilterImpl )</t>
  </si>
  <si>
    <t>TC_222</t>
  </si>
  <si>
    <t>Verify internal and external auth should not affected by the lock/unlock feature</t>
  </si>
  <si>
    <t>1.Create Adult UIN 2.Create Child UIN with parents biometrics-&gt;do internal authentication -&gt;do External Authentication with child UIN</t>
  </si>
  <si>
    <t>Internal authentication should get fail for the for UIN and External authentication should get success for UIN</t>
  </si>
  <si>
    <t>Draft UIN/VID</t>
  </si>
  <si>
    <t>TC_223</t>
  </si>
  <si>
    <t>1.Create a Draft and Publist the draft from draft API's 2.With the Draft UIN. 3.Create Auth request 4.Perform Auth for the same request. 5.Success Notification should trigger to mail id. 6.Entry has to available in ida.auth_transaction table. 
 7.check in audit.app_audit_log table to track history</t>
  </si>
  <si>
    <t>Authentication should get successful with no hassel</t>
  </si>
  <si>
    <t>TC_224</t>
  </si>
  <si>
    <t>1.Create a Draft and Publist the draft from draft API's 2.With the Draft UIN respective VID gets generate. 3.Create Auth request 4.Perform Auth for the same request. 5.Success Notification should trigger to mail id. 6.Entry has to available in ida.auth_transaction table. 
 7.check in audit.app_audit_log table to track history 4.</t>
  </si>
  <si>
    <t>TC_225</t>
  </si>
  <si>
    <t>Verify to perform demo auth using partner created from PMS</t>
  </si>
  <si>
    <t>1.Partner has to create in PMS
 2.Create demo Auth request. 3.Perform Auth for the same request. 4.Success Notification should trigger to mail id. 
 5.Entry has to available in ida.auth_transaction table. 
 6.check in audit.app_audit_log table to track history</t>
  </si>
  <si>
    <t>TC_226</t>
  </si>
  <si>
    <t>Verify to perform Bio- Finger auth using partner created from PMS</t>
  </si>
  <si>
    <t>1.Partner has to create in PMS. 2.Create Bio-finger Auth request. 3.Perform Auth for the same request. 4.Success Notification should trigger to mail id. 
 5.Entry has to available in ida.auth_transaction table. 
 6.check in audit.app_audit_log table to track history</t>
  </si>
  <si>
    <t>Bio-finger auth should get success</t>
  </si>
  <si>
    <t>TC_227</t>
  </si>
  <si>
    <t>Verify to perform Bio- Iris auth using partner created from PMS</t>
  </si>
  <si>
    <t>1.Partner has to create in PMS
 2.Create Bio-Iris Auth request. 3.Perform Auth for the same request. 4.Success Notification should trigger to mail id. 
 5.Entry has to available in ida.auth_transaction table. 
 6.check in audit.app_audit_log table to track history</t>
  </si>
  <si>
    <t>Bio-irs auth should get success</t>
  </si>
  <si>
    <t>TC_228</t>
  </si>
  <si>
    <t>Verify to perform Bio- Face auth using partner created from PMS</t>
  </si>
  <si>
    <t>1.Partner has to create in PMS
 2.Create Bio-Face Auth request. 3.Perform Auth for the same request. 4.Success Notification should trigger to mail id. 
 5.Entry has to available in ida.auth_transaction table. 
 6.check in audit.app_audit_log table to track history</t>
  </si>
  <si>
    <t>Bio-face auth should get success</t>
  </si>
  <si>
    <t>TC_229</t>
  </si>
  <si>
    <t>Verify to perform otp auth using partner created from PMS</t>
  </si>
  <si>
    <t>1.Partner has to create in PMS
 2.Create OTP Auth request. 3.Perform Auth for the same request. 4.Success Notification should trigger to mail id. 
 5.Entry has to available in ida.auth_transaction table. 
 6.check in audit.app_audit_log table to track history</t>
  </si>
  <si>
    <t>Otp auth should get succes</t>
  </si>
  <si>
    <t>TC_230</t>
  </si>
  <si>
    <t>Deactivate the Partner and do Demo auth</t>
  </si>
  <si>
    <t>1. Login as policy manager
 2. Deactivate partner
 3. Login using clientidsecretkey
 4.Perform demo auth</t>
  </si>
  <si>
    <t>Demo Auth should fail with proper error message like {
  "errorCode": "IDA-MPA-012",
  "errorMessage": "Partner is deactivated"
  }</t>
  </si>
  <si>
    <t>TC_231</t>
  </si>
  <si>
    <t>Deactivate the Partner and do Bio-Finger auth</t>
  </si>
  <si>
    <t>1. Login as policy manager
 2. Deactivate partner
 3. Login using clientidsecretkey
 4.Perform Bio-finger auth</t>
  </si>
  <si>
    <t>Bio-finger Auth should fail with proper error message like {
  "errorCode": "IDA-MPA-012",
  "errorMessage": "Partner is deactivated"
  }</t>
  </si>
  <si>
    <t>TC_232</t>
  </si>
  <si>
    <t>Deactivate the Partner and do Bio-Iris auth</t>
  </si>
  <si>
    <t>1. Login as policy manager
 2. Deactivate partner
 3. Login using clientidsecretkey
 4.Perform Bio-iris auth</t>
  </si>
  <si>
    <t>Bio -iris Auth should fail with proper error message like {
  "errorCode": "IDA-MPA-012",
  "errorMessage": "Partner is deactivated"
  }</t>
  </si>
  <si>
    <t>TC_233</t>
  </si>
  <si>
    <t>Deactivate the Partner and do Bio-face auth</t>
  </si>
  <si>
    <t>1. Login as policy manager
 2. Deactivate partner
 3. Login using clientidsecretkey
 4.Perform Bio-face auth</t>
  </si>
  <si>
    <t>Bio-face Auth should fail with proper error message like {
  "errorCode": "IDA-MPA-012",
  "errorMessage": "Partner is deactivated"
  }</t>
  </si>
  <si>
    <t>TC_234</t>
  </si>
  <si>
    <t>Deactivate the Partner and do OTP auth</t>
  </si>
  <si>
    <t>1. Login as policy manager
 2. Deactivate partner
 3. Login using clientidsecretkey
 4.Perform Otp auth</t>
  </si>
  <si>
    <t>Otp Auth should fail with proper error message like {
  "errorCode": "IDA-MPA-012",
  "errorMessage": "Partner is deactivated"
  }</t>
  </si>
  <si>
    <t>TC_235</t>
  </si>
  <si>
    <t>Verify Deactivate the Misp partner and do Demo auth</t>
  </si>
  <si>
    <t>1. Login as policy manager
 2. Deactivate Misp partner
 3. Login using clientidsecretkey
 4.Perform demo auth</t>
  </si>
  <si>
    <t>Demo Auth should fail with proper error message like "errorMessage":"Licence key of MISP is blocked"</t>
  </si>
  <si>
    <t>TC_236</t>
  </si>
  <si>
    <t>verify to Deactivate the Misp partner and do Bio-finger auth</t>
  </si>
  <si>
    <t>1. Login as policy manager
 2. Deactivate Misp partner
 3. Login using clientidsecretkey
 4.Perform Bio-finger auth</t>
  </si>
  <si>
    <t>Bio-finger Auth should fail with proper error message "errorMessage":"misp partner is not active"</t>
  </si>
  <si>
    <t>TC_237</t>
  </si>
  <si>
    <t>verify to Deactivate the Misp partner and do Bio-iris auth</t>
  </si>
  <si>
    <t>1. Login as policy manager
 2. Deactivate Misp partner
 3. Login using clientidsecretkey
 4.Perform Bio-iris auth</t>
  </si>
  <si>
    <t>Bio-iris Auth should fail with proper error message "errorMessage":"misp partner is not active"</t>
  </si>
  <si>
    <t>TC_238</t>
  </si>
  <si>
    <t>verify to Deactivate the Misp partner and do Bio-face auth</t>
  </si>
  <si>
    <t>1. Login as policy manager
 2. Deactivate Misp partner
 3. Login using clientidsecretkey
 4.Perform Bio-face auth</t>
  </si>
  <si>
    <t>Bio-face Auth should fail with proper error message "errorMessage":"misp partner is not active"</t>
  </si>
  <si>
    <t>TC_239</t>
  </si>
  <si>
    <t>verify to Deactivate the Misp partner and do Otp auth</t>
  </si>
  <si>
    <t>1. Login as policy manager
 2. Deactivate Misp partner
 3. Login using clientidsecretkey
 4.Perform Otp auth</t>
  </si>
  <si>
    <t>Bio Auth should fail with proper error message "errorMessage":"misp partner is not active"</t>
  </si>
  <si>
    <t>TC_240</t>
  </si>
  <si>
    <t>Verify to Deactivate the Misp license and do Demo auth</t>
  </si>
  <si>
    <t>1. Login as policy manager
 2. Deactivate Misp license key
 3. Login using clientidsecretkey
 4.Perform demo auth</t>
  </si>
  <si>
    <t>Demo Auth should fail with proper error message</t>
  </si>
  <si>
    <t>TC_241</t>
  </si>
  <si>
    <t>Verify to Deactivate the Misp license and do Bio-finger auth</t>
  </si>
  <si>
    <t>1. Login as policy manager
 2. Deactivate Misp license key
 3. Login using clientidsecretkey
 4.Perform Bio-finger auth</t>
  </si>
  <si>
    <t>Bio-finger Auth should fail with proper error message</t>
  </si>
  <si>
    <t>TC_242</t>
  </si>
  <si>
    <t>Verify to Deactivate the Misp license and do Bio-iris auth</t>
  </si>
  <si>
    <t>1. Login as policy manager
 2. Deactivate Misp license key
 3. Login using clientidsecretkey
 4.Perform Bio-iris auth</t>
  </si>
  <si>
    <t>Bio-iris Auth should fail with proper error message</t>
  </si>
  <si>
    <t>TC_243</t>
  </si>
  <si>
    <t>Verify to Deactivate the Misp license and do Bio-face auth</t>
  </si>
  <si>
    <t>1. Login as policy manager
 2. Deactivate Misp license key
 3. Login using clientidsecretkey
 4.Perform Bio-face auth</t>
  </si>
  <si>
    <t>Bio-face Auth should fail with proper error message</t>
  </si>
  <si>
    <t>TC_244</t>
  </si>
  <si>
    <t>Verify to Deactivate the Misp license and do Otp auth</t>
  </si>
  <si>
    <t>1. Login as policy manager
 2. Deactivate Misp license key
 3. Login using clientidsecretkey
 4.Perform Otp auth</t>
  </si>
  <si>
    <t>Otp Auth should fail with proper error message</t>
  </si>
  <si>
    <t>TC_245</t>
  </si>
  <si>
    <t>Verify Activate the Misp partner and do Demo auth</t>
  </si>
  <si>
    <t>1. Login as policy manager
 2. Activate Misp partner
 3. Login using clientidsecretkey
 4.Perform demo auth</t>
  </si>
  <si>
    <t>Demo Auth should get success</t>
  </si>
  <si>
    <t>TC_246</t>
  </si>
  <si>
    <t>verify to Activate the Misp partner and do Bio-finger auth</t>
  </si>
  <si>
    <t>1. Login as policy manager
 2. Activate Misp partner
 3. Login using clientidsecretkey
 4.Perform Bio-finger auth</t>
  </si>
  <si>
    <t>Bio-finger Auth should get success</t>
  </si>
  <si>
    <t>TC_247</t>
  </si>
  <si>
    <t>verify to Activate the Misp partner and do Bio-iris auth</t>
  </si>
  <si>
    <t>1. Login as policy manager
 2. Activate Misp partner
 3. Login using clientidsecretkey
 4.Perform Bio-iris auth</t>
  </si>
  <si>
    <t>Bio-iris Auth should get success</t>
  </si>
  <si>
    <t>TC_248</t>
  </si>
  <si>
    <t>verify to Activate the Misp partner and do Bio-face auth</t>
  </si>
  <si>
    <t>1. Login as policy manager
 2. Activate Misp partner
 3. Login using clientidsecretkey
 4.Perform Bio-face auth</t>
  </si>
  <si>
    <t>Bio-face Auth should get success</t>
  </si>
  <si>
    <t>TC_249</t>
  </si>
  <si>
    <t>verify to Activate the Misp partner and do Otp auth</t>
  </si>
  <si>
    <t>1. Login as policy manager
 2. Activate Misp partner
 3. Login using clientidsecretkey
 4.Perform Otp auth</t>
  </si>
  <si>
    <t>TC_250</t>
  </si>
  <si>
    <t>Verify to Activate the Misp license and do Demo auth</t>
  </si>
  <si>
    <t>1. Login as policy manager
 2. Activate Misp license key
 3. Login using clientidsecretkey
 4.Perform demo auth</t>
  </si>
  <si>
    <t>TC_251</t>
  </si>
  <si>
    <t>Verify to Activate the Misp license and do Bio-finger auth</t>
  </si>
  <si>
    <t>1. Login as policy manager
 2. Activate Misp license key
 3. Login using clientidsecretkey
 4.Perform Bio-finger auth</t>
  </si>
  <si>
    <t>TC_252</t>
  </si>
  <si>
    <t>Verify to Activate the Misp license and do Bio-iris auth</t>
  </si>
  <si>
    <t>1. Login as policy manager
 2. Activate Misp license key
 3. Login using clientidsecretkey
 4.Perform Bio-iris auth</t>
  </si>
  <si>
    <t>TC_253</t>
  </si>
  <si>
    <t>Verify to Activate the Misp license and do Bio-face auth</t>
  </si>
  <si>
    <t>1. Login as policy manager
 2. Activate Misp license key
 3. Login using clientidsecretkey
 4.Perform Bio-face auth</t>
  </si>
  <si>
    <t>TC_254</t>
  </si>
  <si>
    <t>Verify to Activate the Misp license and do Otp auth</t>
  </si>
  <si>
    <t>1. Login as policy manager
 2. Activate Misp license key
 3. Login using clientidsecretkey
 4.Perform Otp auth</t>
  </si>
  <si>
    <t>Otp Auth should get success</t>
  </si>
  <si>
    <t>TC_255</t>
  </si>
  <si>
    <t>Verify to Deactivate the API key and perform Demo auth by using UIN/VID</t>
  </si>
  <si>
    <t>1. Login as policy manager
 2. Deactivate the API key
 3. Login using clientidsecretkey
 4.Perform Demo auth</t>
  </si>
  <si>
    <t>Demo Auth should fail with error 'Partner is deactivated'</t>
  </si>
  <si>
    <t>TC_256</t>
  </si>
  <si>
    <t>Verify to Deactivate the API key and perform Bio auth by using UIN/VID</t>
  </si>
  <si>
    <t>1. Login as policy manager
 2. Deactivate the API key
 3. Login using clientidsecretkey
 4.Perform Bio auth</t>
  </si>
  <si>
    <t>Bio Auth should fail with error 'Partner is deactivated'</t>
  </si>
  <si>
    <t>TC_257</t>
  </si>
  <si>
    <t>Verify to Deactivate the API key and perform OTP auth by using UIN/VID</t>
  </si>
  <si>
    <t>1. Login as policy manager
 2. Deactivate the API key
 3. Login using clientidsecretkey
 4.Perform OTP auth</t>
  </si>
  <si>
    <t>Otp Auth should fail with proper error 'Partner is deactivated'</t>
  </si>
  <si>
    <t>TC_258</t>
  </si>
  <si>
    <t>verify to do Demo/Bio/Ekyc/OTP Auth with different partner details which is not registered to MOSIP system</t>
  </si>
  <si>
    <t>1.Create Demo/Bio/Ekyc/OTP request for the UIN. 2.Perform Auth for the same request when partner details not available in DB.</t>
  </si>
  <si>
    <t>Auth should get fail and should get error like "errors": [
  {
  "errorCode": "IDA-MLC-007",
  "errorMessage": "Request could not be processed. Please try again"
  },
  {</t>
  </si>
  <si>
    <t>TC_259</t>
  </si>
  <si>
    <t>Verify to Decativate the Policy and do demo/bio/Ekyc/OTP auth</t>
  </si>
  <si>
    <t>1. Login as policy manager
 2. Check to deactive policy</t>
  </si>
  <si>
    <t>Policy cannot be deactivated once published.</t>
  </si>
  <si>
    <t>TC_260</t>
  </si>
  <si>
    <t>Verify to do demo/bio/Ekyc/OTP auth with Approved API key</t>
  </si>
  <si>
    <t>1. Login as clientidsecretkey
 2. Perform demo/bio/otp auth</t>
  </si>
  <si>
    <t>TC_261</t>
  </si>
  <si>
    <t>Verify to do demo/bio/Ekyc/OTP auth with Misp license</t>
  </si>
  <si>
    <t>TC_262</t>
  </si>
  <si>
    <t>Verify to do demo/bio/Ekyc/OTP auth with auth partner</t>
  </si>
  <si>
    <t>Anonymous Profile_IDA</t>
  </si>
  <si>
    <t>TC_263</t>
  </si>
  <si>
    <t>1.Connect qa-double-rc2/qa-single-rc2 DB 
 2.Go to mosip_ida schema 
 3.Check anonymous_profile table under IDA.</t>
  </si>
  <si>
    <t>TC_264</t>
  </si>
  <si>
    <t>1.Get Unused UIN. 
 2.Add record for UIN-&gt;Id gets Activated. 3.Create demo Auth request. 
 4.Perform Auth for the same request. 
 5.Success Notification should trigger to mail id. 
 6.Entry has to available in ida. Anonymous_profile table.7.check in audit.app_audit_log table to track history</t>
  </si>
  <si>
    <t>should populate 
 "authFactors as DEMO AUTH and status should be "Success" in the Anonymous_profile</t>
  </si>
  <si>
    <t>TC_265</t>
  </si>
  <si>
    <t>1.Generate Unused UIN 2.Add record 
 3. DO OTP Auth</t>
  </si>
  <si>
    <t>should populate 
 "authFactors as OTP and status should be "Success" in the Anonymous_profile</t>
  </si>
  <si>
    <t>TC_266</t>
  </si>
  <si>
    <t>Verify Anonymous_profile table Stored as JSON for
 BIO Auth</t>
  </si>
  <si>
    <t>1.Generate Unused UIN 2.Add record 
 3. DO BIO(face/Iris/Finger) Auth</t>
  </si>
  <si>
    <t>should populate 
 "authFactors as FACE_Auth and status should be "Success" in the Anonymous_profile</t>
  </si>
  <si>
    <t>TC_267</t>
  </si>
  <si>
    <t>1.Generate Unused UIN 2.Add record 
 3. DO Demo Auth</t>
  </si>
  <si>
    <t>should populate 
 "authFactors as DEMO AUTH and status should be "failure" and error code should be dispaly in the Anonymous_profile</t>
  </si>
  <si>
    <t>TC_268</t>
  </si>
  <si>
    <t>Verify Anonymous_profile table Stored as JSON for
 failed OTP Auth</t>
  </si>
  <si>
    <t>should populate 
 "authFactors as OTP and status should be "failure" and error code should be dispaly in the Anonymous_profile</t>
  </si>
  <si>
    <t>TC_269</t>
  </si>
  <si>
    <t>Verify Anonymous_profile table Stored as JSON for
 failed BIO Auth</t>
  </si>
  <si>
    <t>should populate 
 "authFactors as Face_Auth and status should be "failure" and error code should be dispaly in the Anonymous_profile</t>
  </si>
  <si>
    <t>TC_270</t>
  </si>
  <si>
    <t>Verify Anonymous_profile table Stored as JSON for
 ekyc Demo Auth</t>
  </si>
  <si>
    <t>1.Generate Unused UIN 2.Add record 
 3. DO ekyc Demo Auth</t>
  </si>
  <si>
    <t>should populate 
 "authFactors":[''] , DEMO AUTH"KYC-AUTH",
 and status as success in the Anonymous profile</t>
  </si>
  <si>
    <t>TC_271</t>
  </si>
  <si>
    <t>1.Generate Unused UIN 2.Add record 
 3. DO ekyc OTP Auth</t>
  </si>
  <si>
    <t>should populate 
 "authFactors":[''] EKYC AUTH
 OTP AUTH and status as success in the Anonymous profile</t>
  </si>
  <si>
    <t>TC_272</t>
  </si>
  <si>
    <t>1.Generate Unused UIN 2.Add record 
 3. DO ekyc BIO Auth</t>
  </si>
  <si>
    <t>should populate
 "authFactors":[''] EKYC AUTH
 BIO AUTH and status as success in the Anonymous profile</t>
  </si>
  <si>
    <t>Credential Issuance</t>
  </si>
  <si>
    <t>Credential_service</t>
  </si>
  <si>
    <t>Create many UIN and check credential issuance table.</t>
  </si>
  <si>
    <t>When the credential is issued to IDA , it should notify the credential service to make status as "STORED"</t>
  </si>
  <si>
    <t>Generate VID</t>
  </si>
  <si>
    <t>Try to generate perpetual VID for UIN and perform auth</t>
  </si>
  <si>
    <t>1.Get Unused UIN from IDRepo. 2.Add Record for UIN. 3.Generate Perpetual VID for UIN . 4 .ID should be available in IDA table. 5.Do Auth using VID(demo/bio/ekyc/otp). 6. check in audit.app_audit_log table to track history.</t>
  </si>
  <si>
    <t>Should generate perpetual VID for the UIN from ID Repo and Auth should get successful using VID</t>
  </si>
  <si>
    <t>Try to generate temporary VID for UIN and perform auth</t>
  </si>
  <si>
    <t>1.Get Unused UIN from IDRepo. 2.Add Record for UIN. 3.Generate Temporary VID for UIN . 4 .ID should be available in IDA table. 5.Do Auth using VID(demo/bio/ekyc/otp). . 6. check in audit.app_audit_log table to track history.</t>
  </si>
  <si>
    <t>Should generate Temporary VID for the UIN from ID Repo and Auth should get successful using VID</t>
  </si>
  <si>
    <t>Try to generate OneTimeUse VID for UIN and perform auth</t>
  </si>
  <si>
    <t>1.Get Unused UIN from IDRepo. 2.Add Record for UIN. 3.Generate OneTimeUse VID for UIN . 4 .ID should be available in IDA table. 5.Do Auth using VID(demo/bio/ekyc/otp). . 6. check in audit.app_audit_log table to track history.</t>
  </si>
  <si>
    <t>Should generate OneTimeUse VID for the UIN from ID Repo and Auth should get successful using VID</t>
  </si>
  <si>
    <t>Based on data which we set in mosip-vid-policy.json for all the perpetual/temporary/OneTimeUse VID's functionality has to work</t>
  </si>
  <si>
    <t>1.Switch to Github and search mosip-vid-policy.json</t>
  </si>
  <si>
    <t>Based on data which we set in mosip-vid-policy.json all the perpetual/temporary/OneTimeUse VID's should work</t>
  </si>
  <si>
    <t>Verify whether perpetual vid is auto revoked as per
 config properties</t>
  </si>
  <si>
    <t>1.Switch to Github and search mosip-vid-policy.json property</t>
  </si>
  <si>
    <t>perpetual vid should be auto revoked as per
 config properties</t>
  </si>
  <si>
    <t>verify when restoreOnAction is Revoked for any Vid type and try to generate VID details again for the same VID.</t>
  </si>
  <si>
    <t>1.Get Unused UIN from IDRepo. 2.Add Record for UIN. 3.Hit get VID details using UIN API . 4.Deactivate the VID 5.Get VID details for the UIN</t>
  </si>
  <si>
    <t>we should get "errors": [
  {
  "errorCode": "IDR-VID-003",
  "message": "Could not generate/regenerate VID as per policy"
  }
  ]</t>
  </si>
  <si>
    <t>Verify whether temporary vid is regenerated as per
 config properties</t>
  </si>
  <si>
    <t>Temporary vid should get regenerated as per
 config properties</t>
  </si>
  <si>
    <t>Verify by generating Temporary VID for the UIN from ID Repo</t>
  </si>
  <si>
    <t>1.Get Unused UIN 2.Add Record for UIN. 3.Generate Temporary VID for the same UIN</t>
  </si>
  <si>
    <t>Verify by generating OneTimeUse VID for the UIN from ID Repo</t>
  </si>
  <si>
    <t>1.Get Unused UIN. 2.Add Record for UIN. 3.Generate OneTimeUse VID for the same UIN</t>
  </si>
  <si>
    <t>Should generate OneTimeUse VID for the UIN from ID Repo</t>
  </si>
  <si>
    <t>Verify we are able to get VID details by using UIN</t>
  </si>
  <si>
    <t>1.Get Unused UIN. 2.Add Record for UIN. 3.Hit get VID details using UIN API . 4.Check the response</t>
  </si>
  <si>
    <t>The Api should give all the information which contains VID types details.</t>
  </si>
  <si>
    <t>Verify we are able to get UIN details by using VID</t>
  </si>
  <si>
    <t>1.Get Unused UIN . 2.Add Record for UIN. 3.Hit get UIN details using VID API . 4.Check the response</t>
  </si>
  <si>
    <t>The Api should give the UIN details for the VID.</t>
  </si>
  <si>
    <t>Verify by getting the vid details for the UIN once vid is Deactivate</t>
  </si>
  <si>
    <t>1.Get Unused UIN . 2.Add Record for UIN. 3.Hit get VID details using UIN API . 4.Deactivate the VID 5.Get VID details for the UIN</t>
  </si>
  <si>
    <t>we should get "errors": [
  {
  "errorCode": "IDR-VID-001",
  "message": "VID is INVALIDATED"
  }
  ]</t>
  </si>
  <si>
    <t>1.Get Unused UIN . 2.Add Record for UIN. 3.Hit get VID details using UIN API . 4.Check the response</t>
  </si>
  <si>
    <t>1.Get Unused UIN.. 2.Add Record for UIN. 3.Hit get UIN details using VID API . 4.Check the response</t>
  </si>
  <si>
    <t>To verify that we are able to get UIN details by using RID</t>
  </si>
  <si>
    <t>1.Get Unused UIN. 2.Add Record for UIN. 3.Hit get by RID API</t>
  </si>
  <si>
    <t>We should get UIN details using RID.</t>
  </si>
  <si>
    <t>Verify by activating VID</t>
  </si>
  <si>
    <t>1.Get Unused UIN . 2.Add Record for UIN. 3.Generate Vid for the UIN</t>
  </si>
  <si>
    <t>We should get VID is in Active status</t>
  </si>
  <si>
    <t>Verify by deactivating VID</t>
  </si>
  <si>
    <t>1.Get Unused UIN . 2.Add Record for UIN. 3.Generate Vid for the UIN and do deactivate</t>
  </si>
  <si>
    <t>All the VID's generated for the UIN should get Deactivate and the response status shaould be like 
  "vidStatus": "DEACTIVATED",</t>
  </si>
  <si>
    <t>Verify by deactivating the VID and perform auth</t>
  </si>
  <si>
    <t>1.Get Unused UIN.. 2.Add Record for UIN. 3.Generate Vid for the UIN and do deactivate. 4.perform auth with deactivate VID.</t>
  </si>
  <si>
    <t>Auth should fail with error saying that "vid is deactivated"</t>
  </si>
  <si>
    <t>Verify by Reactivating the VID's for the UIN</t>
  </si>
  <si>
    <t>VID should get Reactive for the UIN .</t>
  </si>
  <si>
    <t>Verify Regerate VID</t>
  </si>
  <si>
    <t>1.Get Unused UIN.. 2.Add Record for UIN. 3.Generate Vid for the UIN . 4.Hit Regenerate VID API</t>
  </si>
  <si>
    <t>Existing VID should get revoked and new VID should be active state</t>
  </si>
  <si>
    <t>Get UIN details by using RID</t>
  </si>
  <si>
    <t>Generate UIN details by providing valid RID</t>
  </si>
  <si>
    <t>1.Get Unused UIN.. 2.Add Record for UIN. 3.Activate the ID. 4.check the UIN details using valid RID</t>
  </si>
  <si>
    <t>Should get complete resident data by using RID</t>
  </si>
  <si>
    <t>Generate UIN details by providing invalid RID</t>
  </si>
  <si>
    <t>1.Get Unused UIN.. 2.Add Record for UIN. 3.Activate the ID. 4.check the UIN details using invalid RID</t>
  </si>
  <si>
    <t>Should get error message like "no records found"</t>
  </si>
  <si>
    <t>Features</t>
  </si>
  <si>
    <t>Sub-Features</t>
  </si>
  <si>
    <t>Initialization</t>
  </si>
  <si>
    <t>Packet Receiver Stage</t>
  </si>
  <si>
    <t>1. Receives registration packets uploaded by different sources
(Registration Client / Admin Portal / Resident Portal)
2. Verify packet upload with different packet extension
3. Try uploading same packet multiple times</t>
  </si>
  <si>
    <t>Virus scan</t>
  </si>
  <si>
    <t>Verify with valid/invalid - host name and/or port</t>
  </si>
  <si>
    <t>Checksum validation</t>
  </si>
  <si>
    <t xml:space="preserve"> Verify by changing Hash value in database</t>
  </si>
  <si>
    <t>File size</t>
  </si>
  <si>
    <t xml:space="preserve"> 1. Verify packet upload with packets having size &lt; , &gt; or = configured size
 2. Verify packet upload by changing packet size in Registration List table</t>
  </si>
  <si>
    <t>Landing Zone</t>
  </si>
  <si>
    <t>Packet stored in landing zone:
 1. Test if packet are getting stored in new location, if landing zone is changed
 2. Test without configuring landing zone
 3. Test how packets are stored if there are multiple landing zones
4. Upload of packets with less space in landing zone</t>
  </si>
  <si>
    <t>RID Sync</t>
  </si>
  <si>
    <t>Packet Status</t>
  </si>
  <si>
    <t>Verify external status send to registration client for various internal statuses (packet rejected, processed, packet is uploaded to object store, before packet is uploded to object store, etc.)</t>
  </si>
  <si>
    <t>Pre-Processor</t>
  </si>
  <si>
    <t>Secure Zone Notification Stage</t>
  </si>
  <si>
    <t>1. Halting the packet processing using configuration and verify if the packets are picked by the reprocessor after configured time
2. Test the Manual Reprocessing of API</t>
  </si>
  <si>
    <t>Packet Upload Stage</t>
  </si>
  <si>
    <t>Virus scan:
 1. Verify with valid/invalid - host name and/or port
 2. Verify packet scanned twice [Before and after decryption]</t>
  </si>
  <si>
    <t>Checksum validation: Verify by changing hash value</t>
  </si>
  <si>
    <t>1. Verify reprocessing of packet after deleting it from landing zone
2. Verify reprocessing of packet after deleting it from object store.
3. Verify reprocessing of packet after deleting it from landing zone and object store</t>
  </si>
  <si>
    <t>Packet Validator Stage</t>
  </si>
  <si>
    <t>1. Verify multiple validations done by packet manager validate API
2. Verify notifications are sent to pre-registration that the application is consumed in server
3. Verify if applicant receives notification for packet processing
4. Verify if invalid UIN is validated for UIN data update
5. Verify if registration client audits are saved to audit database
6. Verify if packet rejected by supervisor is marked as rejected</t>
  </si>
  <si>
    <t>Packet Classifier Stage</t>
  </si>
  <si>
    <t>1. Verify packet tagging with different Age_Group
2. Verify packet tagging Biometric_Quality
3. Verify packet tagging with differnt exceptions
4. Verify packet tagging withintroducer/without introducer
5. Verify packet tagging for Biometric quality Iris
6. Verify packet tagging for Gender
7. Verify packet tagging for supervisorId/Officer id</t>
  </si>
  <si>
    <t>Quality Classifier Stage</t>
  </si>
  <si>
    <t>Verify if packets are tags based on quality for each modality (IRIS, FACE and Finger)</t>
  </si>
  <si>
    <t>CMD Validator Stage</t>
  </si>
  <si>
    <t>Validate positive and negative scenarios for Center, Machine and Device details in packet:
1. Machine not found in database
2. Machine is created but its not active
3. Mapping of machine against center during packet creation
4. Center is not found
5. Center is not in active status
6. Trust validation of devices
7. Hotlisted devices</t>
  </si>
  <si>
    <t>Operator Validator Stage</t>
  </si>
  <si>
    <r>
      <rPr>
        <rFont val="Calibri, Arial"/>
        <color theme="1"/>
        <sz val="11.0"/>
      </rPr>
      <t xml:space="preserve">1. Validate if operator was active during packet creation
2. Validate if operator was mapped against the correct center during packet creation
2. </t>
    </r>
    <r>
      <rPr>
        <rFont val="Calibri, Arial"/>
        <color theme="1"/>
        <sz val="11.0"/>
      </rPr>
      <t>Scenarios related to operator biometric authentication</t>
    </r>
  </si>
  <si>
    <t>Supervisor Validator Stage</t>
  </si>
  <si>
    <r>
      <rPr>
        <rFont val="Calibri, Arial"/>
        <color theme="1"/>
        <sz val="11.0"/>
      </rPr>
      <t xml:space="preserve">1. Validate if supervisor was active during packet creation
2. Validate if supervisor was mapped against the correct center during packet creation
3. </t>
    </r>
    <r>
      <rPr>
        <rFont val="Calibri, Arial"/>
        <color theme="1"/>
        <sz val="11.0"/>
      </rPr>
      <t>Scenarios related to operator biometric authentication</t>
    </r>
  </si>
  <si>
    <t>Introducer Validator Stage</t>
  </si>
  <si>
    <t>Verify the below scenarios for introducer based registration:
1. Use of a non-registered introducer (UIN of introducer is not available in ID Repository)
2. Introducer packet is rejected
3. Valid introducer (UIN and Application ID)
4. Introducer packet is under processing</t>
  </si>
  <si>
    <t>Core processor</t>
  </si>
  <si>
    <t>Demographic Verification Stage</t>
  </si>
  <si>
    <t>1. Demo duplicate against a rejected packet
2. Demo duplicate against a in-progress packet
3. Demo duplicate against a processed packet
4. Demo duplicate against a Update packet.
5. Demo duplication for a Update packet.
6. Enable/Disable Manual Adjudication after Demo dedupe.
7. Demo dedupe for a child packet.
8. Demo duplicate against multiple packets.
9. Demo duplication for a resident having all biometrics as Exception</t>
  </si>
  <si>
    <t>Biographic Verification Stage</t>
  </si>
  <si>
    <t>1. Bio duplicate against a rejected packet
2. Bio duplicate against a in-progress packet
3. Bio duplicate against a processed packet
4. Bio duplicate against a Update packet.
5. Bio duplication for a Update packet.
6. Bio dedupe for a child packet.
7. Bio dedupe of a packet which has passed demo-dedupe.
8. Bio duplicate against multiple packets.
9. Change in data share policy for ABIS
10. Bio duplication for a resident having all biometrics as Exception.
11. Bio de-duplication for update packet
12. Bio de-duplication for lost packet
13. Data share policy is missing for ABIS
14. ActiveMQ not accessable</t>
  </si>
  <si>
    <t>Multi ABIS</t>
  </si>
  <si>
    <t>1. Two ABISs: ABIS 1 = Finger and ABIS 2 = Iris 
 - duplicate iris and unique fingers
 - duplicate finger and unique iris
 - duplicate finger and iris
 - unique finger and iris
2. Two ABISs: ABIS 1 = Finger &amp; Face and ABIS 2 = Iris
 - all sub scenarios as above
3. Two ABISs: ABIS 1 = Finger and ABIS 2 = Iris &amp; Face
 - all sub scenarios as above
4. Three ABISs: ABIS 1 = Finger, ABIS 2 = Face and ABIS 3 = Iris
 - all sub scenarios as above
 - duplicate face and unique iris and finger</t>
  </si>
  <si>
    <t>Manual Adjudication Stage</t>
  </si>
  <si>
    <t>1. Modify data share policy and test
2. Accept/Reject packet by Manual Adjudicator
3. Duplicate against update packet
4. Duplicate for update packet
5. Multiple duplicates
6. Matched id did not exist in response.
7. Invalid response from Adjudication system
8. Changing Queue details for Adjudication system
9. Duplicate against lost packet
10. Duplicate for lost packet
11. Data share policy is missing for Manual Adjudication</t>
  </si>
  <si>
    <t>Manual Verification Stage</t>
  </si>
  <si>
    <t>Verify if packets are reaching manual verification when,
 1. All biometrics are marked as exception
 2. Some biometrics are marked as exception
 3. The packet is a child packet (minor and/or infant)
 4. The packet has low quality biometrics
Verify data is shared as per policy</t>
  </si>
  <si>
    <t>Biometric Extraction Stage</t>
  </si>
  <si>
    <t>1. Verify data extraction is happening as per policy
2. Scenario where policy is requesting for extraction but SDK is not configured
3. SDK is throwing error for one of the biometrics</t>
  </si>
  <si>
    <t>Finalization Stage</t>
  </si>
  <si>
    <t>1. Verify draft is getting published to ID Repo DB
2. Verify credentials issued and records are stored in IDA</t>
  </si>
  <si>
    <t>UIN Generator Stage</t>
  </si>
  <si>
    <t xml:space="preserve">
1. Create draft
2. Modify draft</t>
  </si>
  <si>
    <t>Post Processing</t>
  </si>
  <si>
    <t>Notification service Stage</t>
  </si>
  <si>
    <t>1. Verify notification to resident is sent as per preferred language after UIN Generation
2. Verify notification to resident is sent as per preferred language after any failure</t>
  </si>
  <si>
    <t>Printing Stage</t>
  </si>
  <si>
    <t>1. Verify credentials are sent to print system as per policy
2. Verify card is generated as per template</t>
  </si>
  <si>
    <t>Priority Based Packet</t>
  </si>
  <si>
    <t>Create configurations for a new packet source: EXT_PACKET which has highest priority and process multiple packets and verify which data is sent to ABIS, Manual Adjudication, Manual Verification and ID Repository based on stage level and global configurations.</t>
  </si>
  <si>
    <t>Biometric Correction</t>
  </si>
  <si>
    <t>1. Biometric correction for a low quality biometric
2. Biometric correction packet for which correction id was not issued
3. Verify if correction notification is received by applicant
4. Verify the scenarios when max attempts are exhausted</t>
  </si>
  <si>
    <t>Management Control</t>
  </si>
  <si>
    <t>Camel Workflow</t>
  </si>
  <si>
    <t>1. Verify packet routing based on various camel flows [New/Update/Lost/Biometric Correction]
2. Configure to skip a stage in camel routes
3. Stop packet processing at any stage using configurations</t>
  </si>
  <si>
    <t>Pause and Resume</t>
  </si>
  <si>
    <t>Pause packet processing based on below
 1. Age Group
 2. Resident type
 3. Biometric exception
 4. Low biometric score
 5. Centerid and Machineid
Verify packets are resumed by Admin
 1. RESUME_PROCESSING
 2. STOP_PROCESSING
 3. RESUME_FROM_BEGINNING
Verify packets are resumed as per configured time and next stage details</t>
  </si>
  <si>
    <t>Verify if profile info is added into the anonymous_profile for below scenarios: SYNC amd UIN allocation (New/Update/Lost/Biometric correction)
Verify if the below biometric info is captured for all the biometrics available in packet:
 1. "type": "FINGER",
 2. "subType": "Left LittleFinger",
 3. "quality Score": 60,
 4. "attempts": "2",
 5. "digital Id": &lt;JSON&gt; should be captured.
 6. year Of Birth
 7. channel like email/phone
 8. "assisted": [ "&lt;Operator User_id&gt;" ]</t>
  </si>
  <si>
    <t>Lost Application ID</t>
  </si>
  <si>
    <t>API testing using various combinations of request parameters</t>
  </si>
  <si>
    <t>Verify the packet status and transaction details of packet in Admin Portal</t>
  </si>
  <si>
    <t>Service Status</t>
  </si>
  <si>
    <t>Probes</t>
  </si>
  <si>
    <t>Verify if stage readiness probes are working for all stages
Verify if startup probes are working for all stages
Verify if health check urls are working for all the stages</t>
  </si>
  <si>
    <t>Prometheus</t>
  </si>
  <si>
    <t>Verify prometheus status are available for registration processor APIs</t>
  </si>
  <si>
    <t>Verify audits records are created for different registration flows</t>
  </si>
  <si>
    <t>ID Generator</t>
  </si>
  <si>
    <t>UIN Generator</t>
  </si>
  <si>
    <t>UIN pattern validation for various business rules:
 1. UIN length should be as per configuration
 2. UIN should not starts with configured numbers
 3. UIN should not have a sequence where the sequence length configured in ascending and descending order
 4. UIN should not contain the configured restricted numbers
 5. UIN should not have repeating block of numbers where the length of repeating block is configured
 6. UIN should not have configured number of consecutive even numbers
UIN generations scenarios: 
 1. UIN should get generated when the configured threshold of unused UINs is exhausted
 2. When UIN generation process starts a configured number of UINs should get generated in one go</t>
  </si>
  <si>
    <t>VID Generator</t>
  </si>
  <si>
    <t>VID pattern validation for various business rules:
 1. VID length should be as per configuration
 2. VID should not starts with configured numbers
 3. VID should not have a sequence where the sequence length configured in ascending and descending order
 4. VID should not contain the configured restricted numbers
 5. VID should not have repeating block of numbers where the length of repeating block is configured
 6. VID should not have configured number of consecutive even numbers
VID generations scenarios: 
 1. VID should get generated when the configured threshold of unused VIDs is exhausted
 2. When VID generation process starts a configured number of VIDs should get generated in one go</t>
  </si>
  <si>
    <t>MOSIP-8462</t>
  </si>
  <si>
    <t>TC_MOSIP-8462-01</t>
  </si>
  <si>
    <t>Pause Resume</t>
  </si>
  <si>
    <t>1. Configure registration-processor-mz.properties as below:
 AGE_GROUP=Adult
 ID_OBJECT-residenceStatus=Non-Foreigner
 pauseFor=300
 defaultResumeAction=RESUME_FROM_BEGINNING
 fromAddress=eventbus:packet-classifier-new-bus-out
 2. Restart regproc-camel-stage service.</t>
  </si>
  <si>
    <t>1. Create a packet in New Registration flow.
 2. Verify Packet Pause action.</t>
  </si>
  <si>
    <t>Packet should be Workflow_Paused after after classifier stage.</t>
  </si>
  <si>
    <t>TC_MOSIP-8462-02</t>
  </si>
  <si>
    <t>1. Create a packet in New Registration flow.
 2. Verify Packet Resume action.</t>
  </si>
  <si>
    <t>Packet should be Workflow_Resume.</t>
  </si>
  <si>
    <t>TC_MOSIP-8462-03</t>
  </si>
  <si>
    <t>1. Configure registration-processor-mz.properties as below:
 AGE_GROUP=Adult
 ID_OBJECT-residenceStatus=Non-Foreigner
 pauseFor=300
 defaultResumeAction=RESUME_FROM_BEGINNING
 fromAddress=eventbus:packet-classifier-new-bus-out
 2. Restart regproc-camel-stage service.
 3. Packet Workflow_Resume performed.</t>
  </si>
  <si>
    <t>Verify Packet Resume action.</t>
  </si>
  <si>
    <t>Packet should RESUME_FROM_BEGINNING</t>
  </si>
  <si>
    <t>TC_MOSIP-8462-04</t>
  </si>
  <si>
    <t>1. Configure registration-processor-mz.properties as below:
 AGE_GROUP=Adult
 ID_OBJECT-residenceStatus=Non-Foreigner
 pauseFor=300
 defaultResumeAction=RESUME_PROCESSING
 fromAddress=eventbus:packet-classifier-new-bus-out
 2. Restart regproc-camel-stage service.
 3. Packet Workflow_Resume performed.</t>
  </si>
  <si>
    <t>Packet should RESUME_PROCESSING from resumed stage.</t>
  </si>
  <si>
    <t>TC_MOSIP-8462-05</t>
  </si>
  <si>
    <t>1. Configure registration-processor-mz.properties as below:
 AGE_GROUP=Adult
 ID_OBJECT-residenceStatus=Non-Foreigner
 pauseFor=300
 defaultResumeAction=STOP_PROCESSING
 fromAddress=eventbus:packet-classifier-new-bus-out
 2. Restart regproc-camel-stage service.
 3. Packet Workflow_Resume performed.</t>
  </si>
  <si>
    <t>Packet should STOP_PROCESSINGfrom after resume.</t>
  </si>
  <si>
    <t>TC_MOSIP-8462-06</t>
  </si>
  <si>
    <t>Process resume API for the packet and verify the packet status.</t>
  </si>
  <si>
    <t>Packet should bypass the pause time and resume immediately.</t>
  </si>
  <si>
    <t>TC_MOSIP-8462-07</t>
  </si>
  <si>
    <t>TC_MOSIP-8462-08</t>
  </si>
  <si>
    <t>TC_MOSIP-8462-09</t>
  </si>
  <si>
    <t>TC_MOSIP-8462-10</t>
  </si>
  <si>
    <t>Verify Pause action action status.</t>
  </si>
  <si>
    <t>Paused packets status should be Paused.</t>
  </si>
  <si>
    <t>MOSIP-12805</t>
  </si>
  <si>
    <t>TC_MOSIP-12805-01</t>
  </si>
  <si>
    <t>Configure registration-processor-mz.properties as below:
 'HOTLISTED'] -'operator
 pauseFor-300
 defaultResumeAction=RESUME_FROM_BEGINNING
 fromAddress=eventbus:packet-classifier-new-bus-out
 Restart camel-route service.
 Verify packet resume time.</t>
  </si>
  <si>
    <t>Verify resume time.</t>
  </si>
  <si>
    <t>Packet resume time is bit higher then expected.</t>
  </si>
  <si>
    <t>TC_MOSIP-12805-02</t>
  </si>
  <si>
    <t>1. Configure registration-processor-mz.properties as below:
 'HOTLISTED'] -'operator
 pauseFor-300
 defaultResumeAction=RESUME_FROM_BEGINNING
 fromAddress=eventbus:packet-classifier-new-bus-out
 2. Restart camel-route service.
 3. Verify packet resume time.</t>
  </si>
  <si>
    <t>Verify tags in regprc.registration.</t>
  </si>
  <si>
    <t>HOTLISTED tags should be removed after resume success</t>
  </si>
  <si>
    <t>TC_MOSIP-12805-03</t>
  </si>
  <si>
    <t>HOTLISTING</t>
  </si>
  <si>
    <t>1. 'Configure registration-processor-mz.properties add tags as 'HOTLISTED,BIOMETRICS_EXCEPTION'] == 'operator')]",
 "pauseFor": 300,
 "defaultResumeAction": "RESUME_PROCESSING",
  "fromAddress": "packet-classifier",
 "resumeRemoveTags": "HOTLISTED"
 2. Process the packet with tags 'HOTLISTED,BIOMETRICS_EXCEPTION'</t>
  </si>
  <si>
    <t>Verify the packet status_code with RID in registration table.</t>
  </si>
  <si>
    <t>Status_code should be displayed as 'PAUSED' till paused time.</t>
  </si>
  <si>
    <t>TC_MOSIP-12805-04</t>
  </si>
  <si>
    <t>1. 'Configure registration-processor-mz.properties add tags as 'HOTLISTED,BIOMETRICS_EXCEPTION'] == 'operator')]",
 "pauseFor": 300,
 "defaultResumeAction": "RESUME_PROCESSING",
  "fromAddress": "packet-classifier ",
 "resumeRemoveTags": "HOTLISTED"
 2. Packet is "PAUSED" for the paused duration.</t>
  </si>
  <si>
    <t>TC_MOSIP-12805-05</t>
  </si>
  <si>
    <t>1. 'Configure registration-processor-mz.properties add tags as 'HOTLISTED,BIOMETRICS_EXCEPTION'] == 'operator')]",
 "pauseFor": 300,
 "defaultResumeAction": "RESUME_FROM_BEGINNING",
  "fromAddress": "packet-classifier",
 "resumeRemoveTags": "HOTLISTED"
 2. Process the packet with tags 'HOTLISTED,BIOMETRICS_EXCEPTION'</t>
  </si>
  <si>
    <t>TC_MOSIP-12805-06</t>
  </si>
  <si>
    <t>1. 'Configure registration-processor-mz.properties add tags as 'HOTLISTED,BIOMETRICS_EXCEPTION'] == 'operator')]",
 "pauseFor": 300,
 "defaultResumeAction": "RESUME_FROM_BEGINNING",
  "fromAddress": "packet-classifier ",
 "resumeRemoveTags": "HOTLISTED"
 2. Packet is "PAUSED" for the paused duration.</t>
  </si>
  <si>
    <t>Packet should bypass the pause time and resume immediately from begining.</t>
  </si>
  <si>
    <t>TC_MOSIP-12805-07</t>
  </si>
  <si>
    <t>1. 'Configure registration-processor-mz.properties add tags as 'HOTLISTED,BIOMETRICS_EXCEPTION'] == 'operator')]",
 "pauseFor": 300,
 "defaultResumeAction": "STOP_PROCESSING",
  "fromAddress": "packet-classifier",
 "resumeRemoveTags": "HOTLISTED"
 2. Process the packet with tags 'HOTLISTED,BIOMETRICS_EXCEPTION'</t>
  </si>
  <si>
    <t>TC_MOSIP-12805-08</t>
  </si>
  <si>
    <t>1. 'Configure registration-processor-mz.properties add tags as 'HOTLISTED,BIOMETRICS_EXCEPTION'] == 'operator')]",
 "pauseFor": 300,
 "defaultResumeAction": "STOP_PROCESSING",
  "fromAddress": "packet-classifier ",
 "resumeRemoveTags": "HOTLISTED"
 2. Packet is "PAUSED" for the paused duration.</t>
  </si>
  <si>
    <t>Packet should bypass the pause time and stop processing.</t>
  </si>
  <si>
    <t>TC_MOSIP-12805-09</t>
  </si>
  <si>
    <t>1. 'Configure registration-processor-mz.properties add tags as 'HOTLISTED,BIOMETRICS_EXCEPTION'] == 'operator')]",
 "pauseFor": 300,
 "defaultResumeAction": "RESUME_PROCESSING",
  "fromAddress": ".* ",
 "resumeRemoveTags": "HOTLISTED"
 2. Packet is "PAUSED" for the paused duration.</t>
  </si>
  <si>
    <t>Packet should bypass the pause time and Resume processing.</t>
  </si>
  <si>
    <t>TC_MOSIP-12805-10</t>
  </si>
  <si>
    <t>1. 'Configure registration-processor-mz.properties add tags as 'HOTLISTED,BIOMETRICS_EXCEPTION'] == 'operator')]",
 "pauseFor": 300,
 "defaultResumeAction": "RESUME_PROCESSING",
  "fromAddress": "packet-classifier",
 "resumeRemoveTags": "HOTLISTED"
 2. Processed packet don't have any added tags.</t>
  </si>
  <si>
    <t>Verify the packet tagging</t>
  </si>
  <si>
    <t>Packet should be removed.</t>
  </si>
  <si>
    <t>TC_MOSIP-12805-11</t>
  </si>
  <si>
    <t>1. 'Configure registration-processor-mz.properties add tags as 'HOTLISTED,BIOMETRICS_EXCEPTION'] == 'operator')]",
 "pauseFor": 300,
 "defaultResumeAction": "RESUME_PROCESSING",
  "fromAddress": "packet-classifier",
 "resumeRemoveTags": "HOTLISTED"
 2. Processed packet don't have any added tags.
 3. Packet tag is removed after resume event is trigerred.</t>
  </si>
  <si>
    <t>Verify packet tagging in DB.</t>
  </si>
  <si>
    <t>Packet tagging should be removed after RESUME_PROCESSING action.</t>
  </si>
  <si>
    <t>TC_MOSIP-12805-12</t>
  </si>
  <si>
    <t>1. 'Configure registration-processor-mz.properties add tags as 'HOTLISTED,BIOMETRICS_EXCEPTION'] == 'operator')]",
 "pauseFor": 300,
 "defaultResumeAction": "RESUME_FROM_BEGINNING",
  "fromAddress": "packet-classifier",
 "resumeRemoveTags": "HOTLISTED"
 2. Processed packet don't have any added tags.
 3. Packet tag is removed after resume event is trigerred.</t>
  </si>
  <si>
    <t>Packet tagging should be removed after RESUME_FROM_BEGINNING action.</t>
  </si>
  <si>
    <t>TC_MOSIP-12805-13</t>
  </si>
  <si>
    <t>1. 'Configure registration-processor-mz.properties add tags as 'HOTLISTED,BIOMETRICS_EXCEPTION'] == 'operator')]",
 "pauseFor": 300,
 "defaultResumeAction": "STOP_PROCESSING",
  "fromAddress": "packet-classifier",
 "resumeRemoveTags": "HOTLISTED"
 2. Processed packet don't have any added tags.
 3. Packet tag is removed after resume event is trigerred.</t>
  </si>
  <si>
    <t>Packet processing should stop and tagging will not be applicable.</t>
  </si>
  <si>
    <t>MOSIP-9911</t>
  </si>
  <si>
    <t>TC_MOSIP-9911-0</t>
  </si>
  <si>
    <t>Data share auth policy</t>
  </si>
  <si>
    <t>1. Updated mpolicy-default-abis API [Note -Internally updates pms.auth_policy]
 2. Only Iris and Face to be shared to ABIS for New registration flow
 3. pms.auth_policy changes updated under policy_file_id.
 4. Process packet from Regclient for all the modalities.
 5. Select bio_ref_id from reg_bio_ref where reg_id='10002100821000120210609080913';
 6. KC1 get logs &lt;bio_ref_id&gt;</t>
  </si>
  <si>
    <t>Verify datashare URL</t>
  </si>
  <si>
    <t>Datashare URL should contain only face and iris</t>
  </si>
  <si>
    <t>TC_MOSIP-9911-02</t>
  </si>
  <si>
    <t>1. Updated mpolicy-default-abis API
 2. Only Face to be shared to ABIS for New registration flow.
 3. pms.auth_policy changes updated under policy_file_id.</t>
  </si>
  <si>
    <t>1. Process packet from Regclient for all the modalities.
 2. verify datashare URL</t>
  </si>
  <si>
    <t>Datashare URL should contain only face.</t>
  </si>
  <si>
    <t>TC_MOSIP-9911-03</t>
  </si>
  <si>
    <t>1. Updated mpolicy-default-abis API
 2. Only iris to be shared to ABIS for New registration flow.
 3. pms.auth_policy changes updated under policy_file_id.</t>
  </si>
  <si>
    <t>Datashare URL should contain only iris.</t>
  </si>
  <si>
    <t>TC_MOSIP-9911-04</t>
  </si>
  <si>
    <t>1. Updated mpolicy-default-abis API
 2. Only Finger to be shared to ABIS for New registration flow.
 3. pms.auth_policy changes updated under policy_file_id.</t>
  </si>
  <si>
    <t>Datashare URL should contain only Finger.</t>
  </si>
  <si>
    <t>TC_MOSIP-9911-05</t>
  </si>
  <si>
    <t>1. Updated mpolicy-default-abis API
 2. Only Iris and Face to be shared to ABIS for Update flow
 3. pms.auth_policy changes updated under policy_file_id.
 4. Process packet from Regclient for all the modalities.
 5. Select bio_ref_id from reg_bio_ref where reg_id='10002100821000120210609080913';
 6. KC1 get logs &lt;bio_ref_id&gt;</t>
  </si>
  <si>
    <t>TC_MOSIP-9911-06</t>
  </si>
  <si>
    <t>1. Updated mpolicy-default-abis API
 2. Only Face to be shared to ABIS for Update flow.
 3. pms.auth_policy changes updated under policy_file_id.</t>
  </si>
  <si>
    <t>TC_MOSIP-9911-07</t>
  </si>
  <si>
    <t>1. Updated mpolicy-default-abis API
 2. Only iris to be shared to ABIS for Update flow.
 3. pms.auth_policy changes updated under policy_file_id.</t>
  </si>
  <si>
    <t>TC_MOSIP-9911-08</t>
  </si>
  <si>
    <t>1. Updated mpolicy-default-abis API
 2. Only Finger to be shared to ABIS for Update flow.
 3. pms.auth_policy changes updated under policy_file_id.</t>
  </si>
  <si>
    <t>TC_MOSIP-9911-09</t>
  </si>
  <si>
    <t>1. Updated mpolicy-default-abis API
 2. Only Iris and Face to be shared to ABIS for Lost flow
 3. pms.auth_policy changes updated under policy_file_id.
 4. Process packet from Regclient for all the modalities.
 5. Select bio_ref_id from reg_bio_ref where reg_id='10002100821000120210609080913';
 6. KC1 get logs &lt;bio_ref_id&gt;</t>
  </si>
  <si>
    <t>TC_MOSIP-9911-10</t>
  </si>
  <si>
    <t>1. Updated mpolicy-default-abis API
 2. Only Face to be shared to ABIS for Lost flow.
 3. pms.auth_policy changes updated under policy_file_id.</t>
  </si>
  <si>
    <t>TC_MOSIP-9911-11</t>
  </si>
  <si>
    <t>1. Updated mpolicy-default-abis API
 2. Only iris to be shared to ABIS for Lost flow.
 3. pms.auth_policy changes updated under policy_file_id.</t>
  </si>
  <si>
    <t>TC_MOSIP-9911-12</t>
  </si>
  <si>
    <t>1. Updated mpolicy-default-abis API
 2. Only Finger to be shared to ABIS for Lost flow.
 3. pms.auth_policy changes updated under policy_file_id.</t>
  </si>
  <si>
    <t>MOSIP-11739</t>
  </si>
  <si>
    <t>TC_MOSIP-11739-01</t>
  </si>
  <si>
    <t>1. Create a packet with all biometrics greater then threshold.
 2. Resident email id provided in demographic details screen.</t>
  </si>
  <si>
    <t>Verify email with additional_info_request</t>
  </si>
  <si>
    <t>additional_info_request should not be trigerred</t>
  </si>
  <si>
    <t>TC_MOSIP-11739-02</t>
  </si>
  <si>
    <t>1. Create a packet with all biometrics equal to threshold.
 2. Resident email id provided in demographic details screen.</t>
  </si>
  <si>
    <t>TC_MOSIP-11739-03</t>
  </si>
  <si>
    <t>1. Create a packet with all biometrics less then threshold.
 2. Fingerprint retry attempts reached as per configuration and force capture done.
 2. Resident email id provided in demographic details screen.</t>
  </si>
  <si>
    <t>additional_info_request ID email should be trigerred</t>
  </si>
  <si>
    <t>MOSIP-18778</t>
  </si>
  <si>
    <t>TC_MOSIP-11739-04</t>
  </si>
  <si>
    <t>1. Create a packet with all biometrics less then threshold.
 2. Resident email id provided in demographic details screen.</t>
  </si>
  <si>
    <t>Verify packet transaction details.</t>
  </si>
  <si>
    <t>Packet should stop at QUALITY_CLASSIFIER stage.</t>
  </si>
  <si>
    <t>TC_MOSIP-11739-05</t>
  </si>
  <si>
    <t>1. Create a packet with all biometrics less then threshold.
 2. Resident email id provided in demographic details screen. 
 3. Packet stopped at QUALITY_CLASSIFIER</t>
  </si>
  <si>
    <t>Verify INTERNAL_WORKFLOW_ACTION</t>
  </si>
  <si>
    <t>INTERNAL_WORKFLOW_ACTION status should be "packet paused and request additional info"</t>
  </si>
  <si>
    <t>TC_MOSIP-11739-06</t>
  </si>
  <si>
    <t>1. Create a packet with only one modality with force capture for Biometric scan less then threshold.
 2. Resident email id provided in demographic details screen. 
 3. Rest all biometrics are captured greater then threshold value.</t>
  </si>
  <si>
    <t>additional_info_request should be trigerred</t>
  </si>
  <si>
    <t>TC_MOSIP-11739-08</t>
  </si>
  <si>
    <t>1. Operator logged into registration Client
 2.BioCorrectionProcess.json added into the RegClient.</t>
  </si>
  <si>
    <t>Verify Biometric correction under Registration Tasks.</t>
  </si>
  <si>
    <t>Biometric correction should be displayed under Registration Tasks.</t>
  </si>
  <si>
    <t>TC_MOSIP-11739-09</t>
  </si>
  <si>
    <t>Biometric correction displayed under Registration Tasks.</t>
  </si>
  <si>
    <t>Click on Biometric ccorrection button.</t>
  </si>
  <si>
    <t>Select Language Pop up should be displayed.</t>
  </si>
  <si>
    <t>TC_MOSIP-11739-10</t>
  </si>
  <si>
    <t>1. Biometric correction displayed under Registration Tasks.
 2. Select Language Pop up should be displayed.
 3. Screen Order are displayed below.
 a. Consent
 b. Biometric Details
 c. Preview
 d. Authentication</t>
  </si>
  <si>
    <t>Select Language check box and click on submit button.</t>
  </si>
  <si>
    <t>Consent screen is displayed.</t>
  </si>
  <si>
    <t>TC_MOSIP-11739-11</t>
  </si>
  <si>
    <t>1. Select Consent check box 
 2. Click on Notification language button
 3. Click on continue button.</t>
  </si>
  <si>
    <t>Biometric details screen should be displayed with below details.
 1. AdditionalInfo RequestId field.
 2. Applicant Biometrics
 3. Continue button.</t>
  </si>
  <si>
    <t>TC_MOSIP-11739-12</t>
  </si>
  <si>
    <t>1. Biometric correction displayed under Registration Tasks.
 2. Select Language Pop up should be displayed.
 3. Biometric details screen displayed and resident received AdditionalInfoId.</t>
  </si>
  <si>
    <t>1. Capture all resident biometrics
 2. Click on Continue button without adding AdditionalInfoId.</t>
  </si>
  <si>
    <t>Naviagation should be resitricted.</t>
  </si>
  <si>
    <t>TC_MOSIP-11739-13</t>
  </si>
  <si>
    <t>1. Enter AdditionalInfoId and capture all resident biometrics
 2. Click on Continue button.</t>
  </si>
  <si>
    <t>Preview should should be displayed with all captured biometric and AdditionalInfoId.</t>
  </si>
  <si>
    <t>TC_MOSIP-11739-14</t>
  </si>
  <si>
    <t>Biometric correction Packet created</t>
  </si>
  <si>
    <t>1. Packet uploaded to server.
 2. Verify packet transaction flow.</t>
  </si>
  <si>
    <t>Packet should Reprocess from PACKET_RECEIVER stage.</t>
  </si>
  <si>
    <t>TC_MOSIP-11739-15</t>
  </si>
  <si>
    <t>Verify WORKFLOW_RESUME action</t>
  </si>
  <si>
    <t>1. Processed the workflow action - WORKFLOW_RESUME
 2. PACKET_REPROCESS stage should be added.
 3. QUALITY_CLASSIFIER should be displayed with status Biometric Quality Check is Successful</t>
  </si>
  <si>
    <t>TC_MOSIP-11739-16</t>
  </si>
  <si>
    <t>1. Biometric correction Packet created.
 2. Packet RESUME_PROCESSING.</t>
  </si>
  <si>
    <t>Verify the packet till UIN Generation stage.</t>
  </si>
  <si>
    <t>UIN_GENERATOR stage should be displayed.</t>
  </si>
  <si>
    <t>TC_MOSIP-11739-17</t>
  </si>
  <si>
    <t>1. Biometric correction displayed under Registration Tasks.
 2. Select Language Pop up should be displayed.
 3. Biometric details screen displayed and resident received 
 4. AdditionalInfoId.Biometric again lower quality with same modality</t>
  </si>
  <si>
    <t>INTERNAL_WORKFLOW_ACTION should take place at QUALITY_CLASSIFIER stage.</t>
  </si>
  <si>
    <t>TC_MOSIP-11739-18</t>
  </si>
  <si>
    <t>1. Biometric correction displayed under Registration Tasks.
 2. Select Language Pop up should be displayed.
 3. Biometric details screen displayed and resident received 
 4. Biometric second lower quality with same modality</t>
  </si>
  <si>
    <t>MOSIP-17075</t>
  </si>
  <si>
    <t>TC_MOSIP-17075-01</t>
  </si>
  <si>
    <t>Verify regprc.anonymous_profile for records columns added.</t>
  </si>
  <si>
    <t>Record should be created in regprc.anonymous_profile table with below details.
 id, process_stage, profile, cr_by, cr_dtimes, upd_by, upd_dtimes, is_deleted, del_dtimes</t>
  </si>
  <si>
    <t>TC_MOSIP-17075-02</t>
  </si>
  <si>
    <t>1. Create New Registration packet.
 2. Packet stage - UIN not generated</t>
  </si>
  <si>
    <t>Verify regprc.anonymous_profile for New registration flow record.</t>
  </si>
  <si>
    <t>Profile details should be displayed as below.
 1. process_stage - SYNC
 2. profile should be added for "processName": "NEW"</t>
  </si>
  <si>
    <t>TC_MOSIP-17075-03</t>
  </si>
  <si>
    <t>Verify profile info added into the anonymous_profile.</t>
  </si>
  <si>
    <t>a. Profile details should be displayed as below.
 1. process_stage - SYNC
 2. profile should be added for "processName": "NEW" 
 b. Profile records details should be added as below.
 "processName", "processStage": "SYNC", "date"
 "startDateTime", "channel", "enrollmentCenterId", "status"
 c. null value should be displayed for all other keys.</t>
  </si>
  <si>
    <t>TC_MOSIP-17075-04</t>
  </si>
  <si>
    <t>1. Create New Registration packet.
 2. Packet stage - UinGeneratorStage</t>
  </si>
  <si>
    <t>Verify profile info added into the profile.</t>
  </si>
  <si>
    <t>a. Profile details should be displayed as below.
 1. process_stage - UinGeneratorStage
 2. profile should be added for "processName": "NEW" 
 b. Profile records details should be added as below.
 "processName", "processStage", "date"
 "startDateTime","endDateTime","yearOfBirth","gender","location","preferredLanguages","biometricInfo", "channel", "enrollmentCenterId", "status","documents", "assisted", "enrollmentCenterId"</t>
  </si>
  <si>
    <t>TC_MOSIP-17075-05</t>
  </si>
  <si>
    <t>1. Create New Registration packet with Packet stage - UinGeneratorStage.
 2. Biometrics captured in RegClient for Example-"type": "FINGER" and "Left LittleFinger" with score 60.
 3. Attempts - 2</t>
  </si>
  <si>
    <t>Verify biometricInfo in anonymous_profile.</t>
  </si>
  <si>
    <t>biometricInfo should be captured as displayed below:
 1. "type": "FINGER",
 2. "subType": "Left LittleFinger",
 3. "qualityScore": 60,
 4. "attempts": "2",
 5. "digitalId": &lt;JSON&gt; should be captured.</t>
  </si>
  <si>
    <t>TC_MOSIP-17075-06</t>
  </si>
  <si>
    <t>1. Create New Registration packet with Packet stage - UinGeneratorStage.
 2. Biometrics captured in RegClient for Example-"type": "IRIS" and "Right IRIS" with score 60.
 3. Attempts - 1</t>
  </si>
  <si>
    <t>biometricInfo should be captured as displayed below:
 1. "type": "IRIS",
 2. "subType": "Right",
 3. "qualityScore": 60,
 4. "attempts": "1",
 5. "digitalId": &lt;JSON&gt; should be captured.</t>
  </si>
  <si>
    <t>TC_MOSIP-17075-07</t>
  </si>
  <si>
    <t>1. Create New Registration packet with Packet stage - UinGeneratorStage.
 2. Biometrics captured in RegClient for "type": "FACE" with score 60.</t>
  </si>
  <si>
    <t>biometricInfo should be captured as displayed below:
 1. "type": "FACE",
 2. "subType": "null",
 3. "qualityScore": 60,
 4. "attempts": "1",
 5. "digitalId": &lt;JSON&gt; should be captured.</t>
  </si>
  <si>
    <t>TC_MOSIP-17075-08</t>
  </si>
  <si>
    <t>1. Create New Registration packet with Packet stage - UinGeneratorStage.
 2. Demographic details screen in format DD/MM/YYYY: 1990</t>
  </si>
  <si>
    <t>Verify yearOfBirth in anonymous_profile.</t>
  </si>
  <si>
    <t>anonymous_profile - yearOfBirth should be displayed as 1990</t>
  </si>
  <si>
    <t>TC_MOSIP-17075-09</t>
  </si>
  <si>
    <t>1. Create New Registration packet with Packet stage - UinGeneratorStage.
 2. Demographic details resident email address phone number captured as mandatory.</t>
  </si>
  <si>
    <t>Verify email under "channel" in anonymous_profile.</t>
  </si>
  <si>
    <t>anonymous_profile - "channel": [
  "email",
  "phone"
  ]</t>
  </si>
  <si>
    <t>TC_MOSIP-17075-10</t>
  </si>
  <si>
    <t>1. Create New Registration packet with Packet stage - UinGeneratorStage.
 2. Demographic details resident email captured as mandatory.</t>
  </si>
  <si>
    <t>anonymous_profile - "channel": [
  "email",
  ]</t>
  </si>
  <si>
    <t>TC_MOSIP-17075-11</t>
  </si>
  <si>
    <t>1. Create New Registration packet with Packet stage - UinGeneratorStage.
 2. Operator involved in registration and uploading packet.</t>
  </si>
  <si>
    <t>anonymous_profile - "assisted": [
  "&lt;Operator User_id&gt;"
  ]</t>
  </si>
  <si>
    <t>TC_MOSIP-17075-12</t>
  </si>
  <si>
    <t>1. Create New Registration packet with Packet stage - UinGeneratorStage.
 2. Operator and Superviousor involved in registration and uploading packet.</t>
  </si>
  <si>
    <t>anonymous_profile - "assisted": [
  "&lt;Operator User_id&gt;,&lt;Superviousor &gt;"
  ]</t>
  </si>
  <si>
    <t>TC_MOSIP-17075-13</t>
  </si>
  <si>
    <t>Anonymous cases like "yearOfBirth": 1990, "email",
  "phone" "assisted": [
  "110118",</t>
  </si>
  <si>
    <t>TC_MOSIP-17075-14</t>
  </si>
  <si>
    <t>1. Create New Registration packet with Packet stage - UinGeneratorStage.
 2. Demographic details captured langauge - English</t>
  </si>
  <si>
    <t>anonymous_profile - Should displayed in English language.</t>
  </si>
  <si>
    <t>TC_MOSIP-17075-15</t>
  </si>
  <si>
    <t>1. Create New Registration packet with Packet stage - UinGeneratorStage.
 2. Biometric details screen Exceptions added</t>
  </si>
  <si>
    <t>anonymous_profile - "exceptions" details should be added.</t>
  </si>
  <si>
    <t>TC_MOSIP-17075-16</t>
  </si>
  <si>
    <t>1. Create New Registration packet with Packet stage - UinGeneratorStage.
 2. Document uplaod screen - Reference Identity Card and Rental contract added.</t>
  </si>
  <si>
    <t>anonymous_profile - "documents": [
  "CIN",
  "RNC"
  ]</t>
  </si>
  <si>
    <t>TC_MOSIP-17075-17</t>
  </si>
  <si>
    <t>1. Create Update Registration packet.
 2. Packet stage - UIN not generated</t>
  </si>
  <si>
    <t>a. Profile details should be displayed as below.
 1. process_stage - SYNC
 2. profile should be added for "processName": "UPDATE" 
 b. Profile records details should be added as below.
 "processName", "processStage": "SYNC", "date"
 "startDateTime", "channel", "enrollmentCenterId", "status"
 c. null value should be displayed for all other keys.</t>
  </si>
  <si>
    <t>TC_MOSIP-17075-18</t>
  </si>
  <si>
    <t>1. Create Update Registration packet.
 2. Packet stage - UinGeneratorStage</t>
  </si>
  <si>
    <t>a. Profile details should be displayed as below.
 1. process_stage - UinGeneratorStage
 2. profile should be added for "processName": "UPDATE" 
 b. Profile records details should be added as below.
 b. Profile records details should be added as below.
 "processName", "processStage", "date"
 "startDateTime","endDateTime","yearOfBirth","gender","location","preferredLanguages","biometricInfo", "channel", "enrollmentCenterId", "status","documents", "assisted", "enrollmentCenterId"</t>
  </si>
  <si>
    <t>TC_MOSIP-17075-19</t>
  </si>
  <si>
    <t>1. Create Lost Registration packet.
 2. Packet stage - UIN not generated</t>
  </si>
  <si>
    <t>a. Profile details should be displayed as below.
 1. process_stage - SYNC
 2. profile should be added for "processName": "LOST" 
 b. Profile records details should be added as below.
 "processName", "processStage": "SYNC", "date"
 "startDateTime", "channel", "enrollmentCenterId", "status"</t>
  </si>
  <si>
    <t>TC_MOSIP-17075-20</t>
  </si>
  <si>
    <t>1. Create Lost Registration packet.
 2. Packet stage - UinGeneratorStage</t>
  </si>
  <si>
    <t>Profile records details should be added as below.
 "processName", "processStage", "date"
 "startDateTime","endDateTime","yearOfBirth","gender","location","preferredLanguages","biometricInfo", "channel", "enrollmentCenterId", "status","documents", "assisted", "enrollmentCenterId"</t>
  </si>
  <si>
    <t>TC_MOSIP-17075-21</t>
  </si>
  <si>
    <t>1. Create BIOMETRIC_CORRECTION Registration packet.
 2. Packet stage - UIN not generated</t>
  </si>
  <si>
    <t>1. Profile records details should be added as below.
 "processName", "processStage": "SYNC", "date"
 "startDateTime", "channel", "enrollmentCenterId", "status"
 2. null value should be displayed for all other keys.</t>
  </si>
  <si>
    <t>TC_MOSIP-17075-22</t>
  </si>
  <si>
    <t>1. Create BIOMETRIC_CORRECTION Registration packet.
 2. Packet stage - UinGeneratorStage</t>
  </si>
  <si>
    <t>TC_MOSIP-17075-23</t>
  </si>
  <si>
    <t>1. Create Update Registration packet with Packet stage - UinGeneratorStage.
 2. Biometrics captured in RegClient for Example-"type": "FINGER" and "Left LittleFinger" with score 60.
 3. Attempts - 2</t>
  </si>
  <si>
    <t>TC_MOSIP-17075-24</t>
  </si>
  <si>
    <t>1. Create Update Registration packet with Packet stage - UinGeneratorStage.
 2. Biometrics captured in RegClient for Example-"type": "IRIS" and "Right IRIS" with score 60.
 3. Attempts - 1</t>
  </si>
  <si>
    <t>TC_MOSIP-17075-25</t>
  </si>
  <si>
    <t>1. Create Update Registration packet with Packet stage - UinGeneratorStage.
 2. Biometrics captured in RegClient for "type": "FACE" with score 60.</t>
  </si>
  <si>
    <t>TC_MOSIP-17075-26</t>
  </si>
  <si>
    <t>1. Create Update Registration packet with Packet stage - UinGeneratorStage.
 2. Update DOB details screen in format DD/MM/YYYY: 1990</t>
  </si>
  <si>
    <t>TC_MOSIP-17075-27</t>
  </si>
  <si>
    <t>1. Create Update Registration packet with Packet stage - UinGeneratorStage.
 2. Update resident email address phone number captured as mandatory.</t>
  </si>
  <si>
    <t>TC_MOSIP-17075-28</t>
  </si>
  <si>
    <t>1. Create Update Registration packet with Packet stage - UinGeneratorStage.
 2. Update resident email captured as mandatory.</t>
  </si>
  <si>
    <t>TC_MOSIP-17075-29</t>
  </si>
  <si>
    <t>1. Create Update Registration packet with Packet stage - UinGeneratorStage.
 2. Operator involved in registration and uploading packet.</t>
  </si>
  <si>
    <t>TC_MOSIP-17075-30</t>
  </si>
  <si>
    <t>1. Create Update Registration packet with Packet stage - UinGeneratorStage.
 2. Operator and Superviousor involved in registration and uploading packet.</t>
  </si>
  <si>
    <t>TC_MOSIP-17075-31</t>
  </si>
  <si>
    <t>1. Create Lost Registration packet with Packet stage - UinGeneratorStage.
 2. Biometrics captured in RegClient for Example-"type": "FINGER" and "Left LittleFinger" with score 60.
 3. Attempts - 2</t>
  </si>
  <si>
    <t>TC_MOSIP-17075-32</t>
  </si>
  <si>
    <t>1. Create Lost Registration packet with Packet stage - UinGeneratorStage.
 2. Biometrics captured in RegClient for Example-"type": "IRIS" and "Right IRIS" with score 60.
 3. Attempts - 1</t>
  </si>
  <si>
    <t>TC_MOSIP-17075-33</t>
  </si>
  <si>
    <t>1. Create Lost Registration packet with Packet stage - UinGeneratorStage.
 2. Biometrics captured in RegClient for "type": "FACE" with score 60.</t>
  </si>
  <si>
    <t>TC_MOSIP-17075-34</t>
  </si>
  <si>
    <t>1. Create Lost Registration packet with Packet stage - UinGeneratorStage.
 2. Demographic details screen add DOB details screen in format DD/MM/YYYY: 1990</t>
  </si>
  <si>
    <t>TC_MOSIP-17075-35</t>
  </si>
  <si>
    <t>1. Create Lost Registration packet with Packet stage - UinGeneratorStage.
 2. Demographic details screen add resident email address phone number captured as mandatory.</t>
  </si>
  <si>
    <t>TC_MOSIP-17075-36</t>
  </si>
  <si>
    <t>1. Create Lost Registration packet with Packet stage - UinGeneratorStage.
 2. Demographic details screen add resident email captured as mandatory.</t>
  </si>
  <si>
    <t>TC_MOSIP-17075-37</t>
  </si>
  <si>
    <t>1. Create Lost Registration packet with Packet stage - UinGeneratorStage.
 2. Operator involved in registration and uploading packet.</t>
  </si>
  <si>
    <t>TC_MOSIP-17075-38</t>
  </si>
  <si>
    <t>1. Create Lost Registration packet with Packet stage - UinGeneratorStage.
 2. Operator and Superviousor involved in registration and uploading packet.</t>
  </si>
  <si>
    <t>TC_MOSIP-17075-39</t>
  </si>
  <si>
    <t>1. Create Biometric Registration packet with Packet stage - UinGeneratorStage.
 2. Biometrics captured in RegClient for Example-"type": "FINGER" and "Left LittleFinger" with score 60.
 3. Attempts - 2</t>
  </si>
  <si>
    <t>TC_MOSIP-17075-40</t>
  </si>
  <si>
    <t>1. Create Biometric Registration packet with Packet stage - UinGeneratorStage.
 2. Biometrics captured in RegClient for Example-"type": "IRIS" and "Right IRIS" with score 60.
 3. Attempts - 1</t>
  </si>
  <si>
    <t>TC_MOSIP-17075-41</t>
  </si>
  <si>
    <t>1. Create Biometric Registration packet with Packet stage - UinGeneratorStage.
 2. Biometrics captured in RegClient for "type": "FACE" with score 60.</t>
  </si>
  <si>
    <t>TC_MOSIP-17075-42</t>
  </si>
  <si>
    <t>TC_MOSIP-17075-43</t>
  </si>
  <si>
    <t>MOSIP-12124</t>
  </si>
  <si>
    <t>Stages to libraries</t>
  </si>
  <si>
    <t>TC_MOSIP-12124-01</t>
  </si>
  <si>
    <t>Create Adult packet</t>
  </si>
  <si>
    <t>Verify below mentioned packet process stages.
 1. PACKET_RECEIVER
 2. SECUREZONE_NOTIFICATION
 3. UPLOAD_PACKET
 4. VALIDATE_PACKET
 5. PACKET_CLASSIFICATION
 6. QUALITY_CLASSIFIER
 7. CMD_VALIDATION
 8. OPERATOR_VALIDATION
 9. DEMOGRAPHIC_VERIFICATION
 10. BIOGRAPHIC_VERIFICATION
 11. UIN_GENERATOR
 12. PRINT_SERVICE</t>
  </si>
  <si>
    <t>All packets stages should be displayed for Adult packet transaction.</t>
  </si>
  <si>
    <t>TC_MOSIP-12124-02</t>
  </si>
  <si>
    <t>Create Infant packet</t>
  </si>
  <si>
    <t>Verify below mentioned packet process stages.
 1. PACKET_RECEIVER
 2. SECUREZONE_NOTIFICATION
 3. UPLOAD_PACKET
 4. VALIDATE_PACKET
 5. PACKET_CLASSIFICATION
 6. QUALITY_CLASSIFIER
 7. CMD_VALIDATION
 8. OPERATOR_VALIDATION
 9. INTRODUCER_VALIDATION
 10. DEMOGRAPHIC_VERIFICATION
 11. BIOGRAPHIC_VERIFICATION
 12. UIN_GENERATOR
 13. PRINT_SERVICE</t>
  </si>
  <si>
    <t>MOSIP-13088</t>
  </si>
  <si>
    <t>Virus Scanner</t>
  </si>
  <si>
    <t>TC_MOSIP-13088-01</t>
  </si>
  <si>
    <t>1. Virus scanner dependency is removed.
 2. Create a New Registration packet and Upload</t>
  </si>
  <si>
    <t>Verify packet processor stages.</t>
  </si>
  <si>
    <t>Packet should stuck at SECUREZONE_NOTIFICATION stage.</t>
  </si>
  <si>
    <t>TC_MOSIP-13088-02</t>
  </si>
  <si>
    <t>1. Virus scanner dependency is added.
 2. Create a New Registration packet and Upload.
 3. Reprocess the packet</t>
  </si>
  <si>
    <t>Packet should process till UIN Generator stage.</t>
  </si>
  <si>
    <t>MOSIP-12634</t>
  </si>
  <si>
    <t>Device Validation</t>
  </si>
  <si>
    <t>TC_MOSIP-12634-01</t>
  </si>
  <si>
    <t>1. Hotlist the device[IRIS] using API.
 2. Login to RegClient and create packet</t>
  </si>
  <si>
    <t>Verify packet transaction</t>
  </si>
  <si>
    <t>Packet created from hotlisted device CMD validation should not be successful</t>
  </si>
  <si>
    <t>TC_MOSIP-12634-02</t>
  </si>
  <si>
    <t>1. Hotlist the device[FINGER] using API.
 2. Login to RegClient and create packet</t>
  </si>
  <si>
    <t>TC_MOSIP-12634-03</t>
  </si>
  <si>
    <t>1. Hotlist the device[THUMB] using API.
 2. Login to RegClient and create packet</t>
  </si>
  <si>
    <t>TC_MOSIP-12634-04</t>
  </si>
  <si>
    <t>Deactivate the device type [Finger Print Scanner] from Admin portal</t>
  </si>
  <si>
    <t>1. Perform scan for IRIS in RegClient.
 2. Verify Scan operation.</t>
  </si>
  <si>
    <t>Packet created from deactivated device should not be processed.</t>
  </si>
  <si>
    <t>TC_MOSIP-12634-05</t>
  </si>
  <si>
    <t>Deactivate the device type[Iris Scanner] from Admin portal</t>
  </si>
  <si>
    <t>TC_MOSIP-12634-06</t>
  </si>
  <si>
    <t>Deactivate the device type[Camera] from Admin portal</t>
  </si>
  <si>
    <t>TC_MOSIP-12634-07</t>
  </si>
  <si>
    <t>Decomission the device type [Finger Print Scanner] from Admin portal</t>
  </si>
  <si>
    <t>Packet created from decomissioned device should not be processed.</t>
  </si>
  <si>
    <t>TC_MOSIP-12634-08</t>
  </si>
  <si>
    <t>Decomission the device type[Iris Scanner] from Admin portal</t>
  </si>
  <si>
    <t>TC_MOSIP-12634-09</t>
  </si>
  <si>
    <t>Decomission the device type[Camera] from Admin portal</t>
  </si>
  <si>
    <t>TC_MOSIP-12634-10</t>
  </si>
  <si>
    <t>Add invalid Device key for Face.</t>
  </si>
  <si>
    <t>Verify the scanning for devices.</t>
  </si>
  <si>
    <t>Device not found should be displayed.</t>
  </si>
  <si>
    <t>TC_MOSIP-12634-11</t>
  </si>
  <si>
    <t>Add invalid Device key for Finger.</t>
  </si>
  <si>
    <t>TC_MOSIP-12634-12</t>
  </si>
  <si>
    <t>Add invalid Device key for Iris.</t>
  </si>
  <si>
    <t>TC_MOSIP-12634-13</t>
  </si>
  <si>
    <t>1. Partner certificate is valid.
 2. Create a Packet and Uplaod.</t>
  </si>
  <si>
    <t>Verify the packet transaction.</t>
  </si>
  <si>
    <t>Packet CMD validation stage transaction should be successful.</t>
  </si>
  <si>
    <t>TC_MOSIP-12634-14</t>
  </si>
  <si>
    <t>1. Partner certificate validity expired.
 2. Create a Packet and Uplaod.</t>
  </si>
  <si>
    <t>1. Packet CMD validation stage transaction should not be successful.
 2. Status should be displayed as Certificate expired.</t>
  </si>
  <si>
    <t>MOSIP-15564</t>
  </si>
  <si>
    <t>TC_MOSIP-15564-01</t>
  </si>
  <si>
    <t>Email notification to Resident</t>
  </si>
  <si>
    <t>Configure below mentioned settings in application-mz.properties.
 1. mosip.default.user-preferred-language-attribute=preferredLang and mosip.default.template-languages=eng,ara
 2. mosip.mandatory-languages=eng and
 mosip.optional-languages=ara,eng
 3. Notification Language not selected in RegClient.</t>
  </si>
  <si>
    <t>1. Create New Registration packet
 2. Verify email notification sent to resident.</t>
  </si>
  <si>
    <t>Notification should be sent in English and Arabic language.</t>
  </si>
  <si>
    <t>TC_MOSIP-15564-02</t>
  </si>
  <si>
    <t>TC_MOSIP-15564-03</t>
  </si>
  <si>
    <t>Configure below mentioned settings in application-mz.properties.
 1. mosip.default.user-preferred-language-attribute=Null and mosip.default.template-languages=hin,ara,kan
 2. mosip.mandatory-languages=hin, kan and
 mosip.optional-languages=tam
 3. Notification Language selected in RegClient is English.</t>
  </si>
  <si>
    <t>1. Create New Registration packet 
 2. Verify email notification sent to resident.</t>
  </si>
  <si>
    <t>Notification should be sent in Hindi,kannada and Tamil languages.</t>
  </si>
  <si>
    <t>TC_MOSIP-15564-04</t>
  </si>
  <si>
    <t>1. Create New Registration packet.
 2. Verify email notification sent to resident.</t>
  </si>
  <si>
    <t>TC_MOSIP-15564-05</t>
  </si>
  <si>
    <t>TC_MOSIP-15564-06</t>
  </si>
  <si>
    <t>1. Create Update Registration packet 
 2. Verify email notification sent to resident.</t>
  </si>
  <si>
    <t>TC_MOSIP-15564-07</t>
  </si>
  <si>
    <t>1. Create Update Registration packet.
 2. Verify email notification sent to resident.</t>
  </si>
  <si>
    <t>TC_MOSIP-15564-08</t>
  </si>
  <si>
    <t>Notification should be sent in English,Arabic and Kannaga languages.</t>
  </si>
  <si>
    <t>TC_MOSIP-15564-09</t>
  </si>
  <si>
    <t>TC_MOSIP-15564-10</t>
  </si>
  <si>
    <t>Configure below mentioned settings in application-mz.properties.
 1. mosip.default.user-preferred-language-attribute=preferredLang and mosip.default.template-languages=eng,kan
 2. mosip.mandatory-languages=eng and
 mosip.optional-languages=ara,eng
 3. Notification Language not selected in RegClient.</t>
  </si>
  <si>
    <t>TC_MOSIP-15564-11</t>
  </si>
  <si>
    <t>1. Create Lost flow packet.
 2. Verify email notification sent to resident.</t>
  </si>
  <si>
    <t>TC_MOSIP-15564-12</t>
  </si>
  <si>
    <t>1. Create Lost flow packet
 2. Verify email notification sent to resident.</t>
  </si>
  <si>
    <t>TC_MOSIP-15564-13</t>
  </si>
  <si>
    <t>TC_MOSIP-15564-14</t>
  </si>
  <si>
    <t>TC_MOSIP-15564-15</t>
  </si>
  <si>
    <t>TC_MOSIP-15564-16</t>
  </si>
  <si>
    <t>1. Create Biometric correction flow packet.
 2. Verify email notification sent to resident.</t>
  </si>
  <si>
    <t>TC_MOSIP-15564-17</t>
  </si>
  <si>
    <t>1. Create Biometric correction flow packet 
 2. Verify email notification sent to resident.</t>
  </si>
  <si>
    <t>TC_MOSIP-15564-18</t>
  </si>
  <si>
    <t>TC_MOSIP-15564-19</t>
  </si>
  <si>
    <t>TC_MOSIP-15564-20</t>
  </si>
  <si>
    <t>1. Create Biometric correction flow packet 
 2. verify email notification sent to resident.</t>
  </si>
  <si>
    <t>MOSIP-15389</t>
  </si>
  <si>
    <t>Multi-language Support for Registration Processor</t>
  </si>
  <si>
    <t>TC_MOSIP-15389-01</t>
  </si>
  <si>
    <t>Tagging</t>
  </si>
  <si>
    <t>Configure below mentioned settings in application-mz.properties.
 mosip.mandatory-languages=eng
 mosip.optional-languages=ara,kan</t>
  </si>
  <si>
    <t xml:space="preserve">Create a packet and verify packet tagging.
</t>
  </si>
  <si>
    <t>Tagging logic should be in English 
 "ID_OBJECT-residenceStatus"
 "ID_OBJECT-gender"</t>
  </si>
  <si>
    <t>TC_MOSIP-15389-02</t>
  </si>
  <si>
    <t>Configure below mentioned settings in application-mz.properties.
 mosip.mandatory-languages=ara
 mosip.optional-languages=ara,kan</t>
  </si>
  <si>
    <t>Create a packet and verify packet tagging.</t>
  </si>
  <si>
    <t>Tagging logic should be in Arabic 
 "ID_OBJECT-residenceStatus"
 "ID_OBJECT-gender"</t>
  </si>
  <si>
    <t>TC_MOSIP-15389-03</t>
  </si>
  <si>
    <t>1. Configure below mentioned settings in application-mz.properties.
 mosip.mandatory-languages=
 mosip.optional-languages=ara,eng.
 2. Select eng language was selected first</t>
  </si>
  <si>
    <t>TC_MOSIP-15389-04</t>
  </si>
  <si>
    <t>Potential Demo Match</t>
  </si>
  <si>
    <t>1. Configure below mentioned settings in application-mz.properties.
 mosip.mandatory-languages=eng
 mosip.optional-languages=ara,kan.
 2. Packet Name, Gender and DOB</t>
  </si>
  <si>
    <t>1. Process the packet with existing Packet Name, Gender and DOB.
 2. Verify the packet in DEMOGRAPHIC_VERIFICATION stage.</t>
  </si>
  <si>
    <t>Potential Demo Match was Found status should be displayed.</t>
  </si>
  <si>
    <t>MOSIP-12121</t>
  </si>
  <si>
    <t>Packet Validator Stage - XSD Validation</t>
  </si>
  <si>
    <t>TC_MOSIP-12121-01</t>
  </si>
  <si>
    <t>XSD validation</t>
  </si>
  <si>
    <t>1. Created a packet in RegClient.
 2. mosip-cbeff.xsd minOccurs="0"</t>
  </si>
  <si>
    <t>Uplaod the packet and verify VALIDATE_PACKET stage.</t>
  </si>
  <si>
    <t>Packet should be success in VALIDATE_PACKET stage.</t>
  </si>
  <si>
    <t>TC_MOSIP-12121-02</t>
  </si>
  <si>
    <t>1. Created a packet in RegClient.
 2. mosip-cbeff.xsd minOccurs="5"</t>
  </si>
  <si>
    <t>Packet should FAILED in VALIDATE_PACKET stage.</t>
  </si>
  <si>
    <t>TC_MOSIP-12121-03</t>
  </si>
  <si>
    <t>1. Created a packet in RegClient.
 2. mosip-cbeff.xsd minOccurs="5"
 3. Packet FAILED in VALIDATE_PACKET stage</t>
  </si>
  <si>
    <t>Verify the status comment for VALIDATE_PACKET stage.</t>
  </si>
  <si>
    <t>XSD validation failed.XSD validation failed due to attribute : In the declaration of 'element', the value of 'minOccurs' is '5', but it must not be greater than the value of 'maxOccurs', which is '1'.</t>
  </si>
  <si>
    <t>MOSIP-12428</t>
  </si>
  <si>
    <t>Datashare URLs for ABIS</t>
  </si>
  <si>
    <t>TC_MOSIP-12428-01</t>
  </si>
  <si>
    <t>ABIS constructed URL</t>
  </si>
  <si>
    <r>
      <rPr>
        <rFont val="Calibri"/>
        <color rgb="FF000000"/>
        <sz val="11.0"/>
      </rPr>
      <t>1. Configure mpolicy-default-abis in pms.auth_policy for shareableAttributes.
 2. "shareDomain":"</t>
    </r>
    <r>
      <rPr>
        <rFont val="Calibri"/>
        <color rgb="FF1155CC"/>
        <sz val="11.0"/>
        <u/>
      </rPr>
      <t>qa-double-rc2.mosip.net</t>
    </r>
    <r>
      <rPr>
        <rFont val="Calibri"/>
        <color rgb="FF000000"/>
        <sz val="11.0"/>
      </rPr>
      <t>"
 3. "group": "CBEFF" - "attribute" - "Finger", "Iris" and "Face"</t>
    </r>
  </si>
  <si>
    <t>1. Create a packet and upload.
 2. Mock-abis logs access and verify constructed URL</t>
  </si>
  <si>
    <r>
      <rPr>
        <rFont val="Calibri"/>
        <color rgb="FF000000"/>
        <sz val="11.0"/>
      </rPr>
      <t xml:space="preserve">URL should be constructed as mentioned below: </t>
    </r>
    <r>
      <rPr>
        <rFont val="Calibri"/>
        <color rgb="FF1155CC"/>
        <sz val="11.0"/>
        <u/>
      </rPr>
      <t>https://qa-double-rc2.mosip.net/v1/datashare/get/mpolicy-default-abis/mpartner-default-abis/mpartner-default-abismpolicy-default-abis20211004131546zpFm6X3I</t>
    </r>
  </si>
  <si>
    <t>TC_MOSIP-12428-02</t>
  </si>
  <si>
    <t>1. Configure mpolicy-default-abis in pms.auth_policy for shareableAttributes.
 2. "shareDomain":"qa-double-rc2.mosip.net"
 3. "group": "CBEFF" - "attribute" - "Finger", "Iris" and "Face"
 4. URL constructed and shared in Mockabis</t>
  </si>
  <si>
    <t>Access the constructed URL and verify response.</t>
  </si>
  <si>
    <t>Response should be displayed from the constructed URL.</t>
  </si>
  <si>
    <t>TC_MOSIP-12428-03</t>
  </si>
  <si>
    <t>1. Create a partner and policy pms.auth_policy table policy is added and its published
 2. Map partner with policy
 3. policy_file_id edit "shareDomain":"qa-double-rc2.mosip.net"</t>
  </si>
  <si>
    <t>URL should be constructed as mentioned below: https://qa-double-rc2.mosip.net/v1/datashare/get/mpolicy-default-abis/mpartner-default-abis/mpartner-default-abismpolicy-default-abis20211004131546zpFm6X3I</t>
  </si>
  <si>
    <t>TC_MOSIP-12428-04</t>
  </si>
  <si>
    <t>1. Create a partner and policy pms.auth_policy table policy is added and its published
 2. Map partner with policy
 3. URL constructed and shared in Mockabis</t>
  </si>
  <si>
    <t>MOSIP-7813</t>
  </si>
  <si>
    <t>Error Codes and Error Message</t>
  </si>
  <si>
    <t>TC_MOSIP-7813-01</t>
  </si>
  <si>
    <t>1. camel route give wrong URL - workflow-cmd://mark-as-reprocess
 2. registration.processor.reprocess.attempt.count=3
 3. Restart Regproc-reprocessor pod</t>
  </si>
  <si>
    <t>1. Create new registration packet
 2. Verify registration transaction table</t>
  </si>
  <si>
    <t>REPROCESS_FAILED should be displayed for packet transaction table.</t>
  </si>
  <si>
    <t>TC_MOSIP-7813-02</t>
  </si>
  <si>
    <t>Create a packet with PRID</t>
  </si>
  <si>
    <t>Verify packet validator stage logs with PRID</t>
  </si>
  <si>
    <t>Reverse Data Sync Success message should be displayed.</t>
  </si>
  <si>
    <t>TC_MOSIP-7813-03</t>
  </si>
  <si>
    <t>1. REVERSEDATASYNC=http://prereg-datasync-service/preregistration/v1/sync/consumedPreRegIds - corrept this
 2. Restart packet validator stage.</t>
  </si>
  <si>
    <t>1. Process new packet with PRID
 2. Verify packet validator stage logs</t>
  </si>
  <si>
    <t>Reverse Data Sync Failed message should be displayed.</t>
  </si>
  <si>
    <t>TC_MOSIP-7813-04</t>
  </si>
  <si>
    <t>1. Change MinIO ADDRESSobject.store.s3.url=http://minio.default:9000
 2. Restart packet uploader stage.</t>
  </si>
  <si>
    <t>1. Process NEW registration packet
 2. Verify packet uploader stage logs</t>
  </si>
  <si>
    <t>Object store exception occurred</t>
  </si>
  <si>
    <t>TC_MOSIP-7813-05</t>
  </si>
  <si>
    <t>1. Configure registration.processor.identityjson=identity-mapping.json --&gt; invalid url
 2. camel route - change to uploader to demodedupe
 3. Restart Demo dedupe and 
 camel route stage.</t>
  </si>
  <si>
    <t>Verify Demo Dedupe Failed message.</t>
  </si>
  <si>
    <t>Demo Dedupe Failed message should be displayed.</t>
  </si>
  <si>
    <t>TC_MOSIP-7813-06</t>
  </si>
  <si>
    <t>1. identity-mapping.json remove some comma and process the packet
 2. CMD stage need to restart
 3. camel route - change to uploader to CMD validation
 4. camel route stage need to restart</t>
  </si>
  <si>
    <t>Process packet and verify Json Object Parsing Failed</t>
  </si>
  <si>
    <t>Json Object Parsing Failed message should be displayed.</t>
  </si>
  <si>
    <t>TC_MOSIP-7813-07</t>
  </si>
  <si>
    <t>1. Packetmanager.packet.signature.disable-verification=true in application-mz property.</t>
  </si>
  <si>
    <t>1. Reprocess old packet - packet
 2. Verify validator stage</t>
  </si>
  <si>
    <t>Structural Validation Failed message should be displayed.</t>
  </si>
  <si>
    <t>MOSIP-13547</t>
  </si>
  <si>
    <t>TC_MOSIP--13547-01</t>
  </si>
  <si>
    <t>Search LOST RID based on attributes</t>
  </si>
  <si>
    <t xml:space="preserve">1. Create a New Registration with attributes present
 1.1 Name
 1.2 phone
 1.3 email
 1. 4center_id
 1. 5registration_date
 1.6 postalCode
2. Swagger API available </t>
  </si>
  <si>
    <t>Search with below attributes and verify the response for Swagger API .
 registrationDate
 name</t>
  </si>
  <si>
    <t>Result should be displayed.</t>
  </si>
  <si>
    <t>TC_MOSIP--13547-02</t>
  </si>
  <si>
    <t xml:space="preserve">1. Create a New Registration with attributes present
 1.1 Name
 1.2 phone
 1.3 email
 1. 4center_id
 1. 5registration_date
 1.6 postalCode
2. Swagger API available </t>
  </si>
  <si>
    <t>Search with below attributes and verify the response for Swagger API
 registrationDate
 phone</t>
  </si>
  <si>
    <t>TC_MOSIP--13547-03</t>
  </si>
  <si>
    <t>Search with below attributes and verify the response for Swagger API
 registrationDate
 email</t>
  </si>
  <si>
    <t>TC_MOSIP--13547-04</t>
  </si>
  <si>
    <t>Search with below attributes and verify the response for Swagger API
 registrationDate
 centerID
 phone</t>
  </si>
  <si>
    <t>TC_MOSIP--13547-05</t>
  </si>
  <si>
    <t>Search with below attributes and verify the response for Swagger API
 registrationDate
 centerID
 postalCode
 phone</t>
  </si>
  <si>
    <t>AgeGroup_Rules</t>
  </si>
  <si>
    <t>TC_MOSIP--13115-01</t>
  </si>
  <si>
    <t>1. Registration_New Flow.
2. Demographic details screen age 4
3.  Configured in registration-mz.properties - mosip.regproc.packet.classifier.tagging.agegroup.ranges={'INFANT':'0-5','MINOR':'6-17','ADULT':'18-200'}</t>
  </si>
  <si>
    <t>introducer/Guardian should be added for infant applicant.</t>
  </si>
  <si>
    <t>TC_MOSIP--13115-02</t>
  </si>
  <si>
    <t>1. Registration_New Flow.
2. Demographic details screen age 4
3. Configured in registration-mz.properties - mosip.regproc.packet.classifier.tagging.agegroup.ranges={'INFANT':'0-5','MINOR':'6-17','ADULT':'18-200'}</t>
  </si>
  <si>
    <t>TC_MOSIP--13115-03</t>
  </si>
  <si>
    <t>1. Registration_New Flow.
2. Demographic details screen age 4
3. Introducer/Guardian details captured.
4. Configured in registration-mz.properties - mosip.regproc.packet.classifier.tagging.agegroup.ranges={'INFANT':'0-5','MINOR':'6-17','ADULT':'18-200'}</t>
  </si>
  <si>
    <t>Only Face should be captured.</t>
  </si>
  <si>
    <t>TC_MOSIP--13115-04</t>
  </si>
  <si>
    <t>1. Registration_New Flow.
2. Demographic details screen age 4
3. Introducer/Guardian details captured.
4. Only face captured in biometric screen.
5. Configured in registration-mz.properties - mosip.regproc.packet.classifier.tagging.agegroup.ranges={'INFANT':'0-5','MINOR':'6-17','ADULT':'18-200'}</t>
  </si>
  <si>
    <t>TC_MOSIP--13115-05</t>
  </si>
  <si>
    <t xml:space="preserve"> 1. Registration_New Flow.
 2. Demographic details screen age 4
 3. Introducer/Guardian details captured.
 4. Only face captured in biometric screen.
 5. Introducer is valid.
 6. Configured in registration-mz.properties - mosip.regproc.packet.classifier.tagging.agegroup.ranges={'INFANT':'0-5','MINOR':'6-17','ADULT':'18-200'}</t>
  </si>
  <si>
    <t>TC_MOSIP--13115-06</t>
  </si>
  <si>
    <t xml:space="preserve"> 1. Registration_New Flow.
 2. Demographic details screen age 4
 3. Introducer/Guardian details captured.
 4. Only face captured in biometric screen.
 5. Introducer is Invalid/Not available.
 6. Configured in registration-mz.properties - mosip.regproc.packet.classifier.tagging.agegroup.ranges={'INFANT':'0-5','MINOR':'6-17','ADULT':'18-200'}</t>
  </si>
  <si>
    <t>TC_MOSIP--13115-07</t>
  </si>
  <si>
    <t xml:space="preserve"> 1. Registration_New Flow.
 2. Demographic details screen age 4
 3. Introducer/Guardian details captured.
 4. Only face captured in biometric screen.
 5. Introducer is valid.
 6. Policy defined for 'Face', 'Finger' and 'IRIS'
 7.  Configured in registration-mz.properties - mosip.regproc.packet.classifier.tagging.agegroup.ranges={'INFANT':'0-5','MINOR':'6-17','ADULT':'18-200'}</t>
  </si>
  <si>
    <t>TC_MOSIP--13115-08</t>
  </si>
  <si>
    <t>1. Registration_New Flow.
 2. Demographic details screen age 4
 3. Introducer/Guardian details captured.
 4. Only face captured in biometric screen.
 5. Introducer is valid.
 6. Policy defined for 'Face', 'Finger' and 'IRIS'
 7.  Configured in registration-mz.properties - mosip.regproc.packet.classifier.tagging.agegroup.ranges={'INFANT':'0-5','MINOR':'6-17','ADULT':'18-200'}</t>
  </si>
  <si>
    <t>TC_MOSIP--13115-09</t>
  </si>
  <si>
    <t>1. Registration_New Flow.
 2. Demographic details screen age 4
 3. Introducer/Guardian details captured.
 4. Only face captured in biometric screen.
 5. Introducer is valid.
 6. Policy defined for 'Face', 'Finger' and 'IRIS'
 7. Packet processed for UIN generation stage.
 8.  Configured in registration-mz.properties - mosip.regproc.packet.classifier.tagging.agegroup.ranges={'INFANT':'0-5','MINOR':'6-17','ADULT':'18-200'}</t>
  </si>
  <si>
    <t>TC_MOSIP--13115-10</t>
  </si>
  <si>
    <t>TC_MOSIP--13115-11</t>
  </si>
  <si>
    <t xml:space="preserve"> 1. Registration_New Flow.
 2. Demographic details screen age 5
 3.  Configured in registration-mz.properties - mosip.regproc.packet.classifier.tagging.agegroup.ranges={'INFANT':'0-5','MINOR':'6-17','ADULT':'18-200'}</t>
  </si>
  <si>
    <t>TC_MOSIP--13115-12</t>
  </si>
  <si>
    <t>TC_MOSIP--13115-13</t>
  </si>
  <si>
    <t xml:space="preserve"> 1. Registration_New Flow.
 2. Demographic details screen age 5
 3. Introducer/Guardian details captured.
 4.  Configured in registration-mz.properties - mosip.regproc.packet.classifier.tagging.agegroup.ranges={'INFANT':'0-5','MINOR':'6-17','ADULT':'18-200'}</t>
  </si>
  <si>
    <t>TC_MOSIP--13115-14</t>
  </si>
  <si>
    <t xml:space="preserve"> 1. Registration_New Flow.
 2. Demographic details screen age 5
 3. Introducer/Guardian details captured.
 4. Only face captured in biometric screen.
 5.  Configured in registration-mz.properties - mosip.regproc.packet.classifier.tagging.agegroup.ranges={'INFANT':'0-5','MINOR':'6-17','ADULT':'18-200'} </t>
  </si>
  <si>
    <t>Packet should go to  Introducer Validation stage.</t>
  </si>
  <si>
    <t>TC_MOSIP--13115-15</t>
  </si>
  <si>
    <t xml:space="preserve"> 1. Registration_New Flow.
 2. Demographic details screen age 5
 3. Introducer/Guardian details captured.
 4. Only face captured in biometric screen.
 5. Introducer is valid.
 6.  Configured in registration-mz.properties - mosip.regproc.packet.classifier.tagging.agegroup.ranges={'INFANT':'0-5','MINOR':'6-17','ADULT':'18-200'}</t>
  </si>
  <si>
    <t>TC_MOSIP--13115-16</t>
  </si>
  <si>
    <t>1. Registration_New Flow.
 2. Demographic details screen age 5
 3. Introducer/Guardian details captured.
 4. Only face captured in biometric screen.
 5. Introducer is Invalid/Not available.</t>
  </si>
  <si>
    <t>TC_MOSIP--13115-17</t>
  </si>
  <si>
    <t>1. Registration_New Flow.
 2. Demographic details screen age 5
 3. Introducer/Guardian details captured.
 4. Only face captured in biometric screen.
 5. Introducer is valid.
 6. Policy defined for 'Face', 'Finger' and 'IRIS'</t>
  </si>
  <si>
    <t>TC_MOSIP--13115-18</t>
  </si>
  <si>
    <t>TC_MOSIP--13115-19</t>
  </si>
  <si>
    <t>1. Registration_New Flow.
 2. Demographic details screen age 5
 3. Introducer/Guardian details captured.
 4. Only face captured in biometric screen.
 5. Introducer is valid.
 6. Policy defined for 'Face', 'Finger' and 'IRIS'
 7. Packet processed for UIN generation stage.</t>
  </si>
  <si>
    <t>TC_MOSIP--13115-20</t>
  </si>
  <si>
    <t>TC_MOSIP--13115-21</t>
  </si>
  <si>
    <t xml:space="preserve">1. Registration_New Flow.
 2. Demographic details screen age 6
 3. Configured in registration-mz.properties - mosip.regproc.packet.classifier.tagging.agegroup.ranges={'INFANT':'0-5','MINOR':'6-17','ADULT':'18-200'} </t>
  </si>
  <si>
    <t>TC_MOSIP--13115-22</t>
  </si>
  <si>
    <t>TC_MOSIP--13115-23</t>
  </si>
  <si>
    <t>TC_MOSIP--13115-24</t>
  </si>
  <si>
    <t>TC_MOSIP--13115-25</t>
  </si>
  <si>
    <t>TC_MOSIP--13115-26</t>
  </si>
  <si>
    <t>TC_MOSIP--13115-27</t>
  </si>
  <si>
    <t>Bio dedupe stages should process only with all biometrics as policy defined.</t>
  </si>
  <si>
    <t>TC_MOSIP--13115-28</t>
  </si>
  <si>
    <t>TC_MOSIP--13115-29</t>
  </si>
  <si>
    <t>TC_MOSIP--13115-30</t>
  </si>
  <si>
    <t>TC_MOSIP--13115-31</t>
  </si>
  <si>
    <t>1. Registration_New Flow.
 2. Demographic details screen age 7</t>
  </si>
  <si>
    <t>TC_MOSIP--13115-32</t>
  </si>
  <si>
    <t>TC_MOSIP--13115-33</t>
  </si>
  <si>
    <t>1. Registration_New Flow.
 2. Demographic details screen age 16
 3. Minor applicant</t>
  </si>
  <si>
    <t>TC_MOSIP--13115-34</t>
  </si>
  <si>
    <t>TC_MOSIP--13115-35</t>
  </si>
  <si>
    <t>1. Registration_New Flow.
 2. Demographic details screen age 17
 3. Minor applicant</t>
  </si>
  <si>
    <t>TC_MOSIP--13115-36</t>
  </si>
  <si>
    <t>TC_MOSIP--13115-37</t>
  </si>
  <si>
    <t>1. Registration_New Flow.
 2. Demographic details screen age 18
 3. Adult applicant.</t>
  </si>
  <si>
    <t>TC_MOSIP--13115-38</t>
  </si>
  <si>
    <t>TC_MOSIP--13115-39</t>
  </si>
  <si>
    <t>TC_MOSIP--13115-40</t>
  </si>
  <si>
    <t>1. Registration_New Flow.
 2. Demographic details screen age 18
 3. All biometrics captured in biometric screen.
 4. Policy defined for all biometrics.</t>
  </si>
  <si>
    <t>TC_MOSIP--13115-41</t>
  </si>
  <si>
    <t>TC_MOSIP--13115-42</t>
  </si>
  <si>
    <t>1. Registration_New Flow.
 2. Demographic details screen age 18
 3. All biometrics captured in biometric screen.
 4. Policy defined for all biometrics.
 7. Packet processed for UIN generation stage.</t>
  </si>
  <si>
    <t>TC_MOSIP--13115-43</t>
  </si>
  <si>
    <t>1. Registration_Update Flow.
 2. Select DOB, Biometric and Guardian check box.
 3. DOB added is 4</t>
  </si>
  <si>
    <t>TC_MOSIP--13115-44</t>
  </si>
  <si>
    <t>1. Registration_Update Flow.
 2. Select DOB, Biometric and Guardian check box.
 3. DOB added is 5</t>
  </si>
  <si>
    <t>TC_MOSIP--13115-45</t>
  </si>
  <si>
    <t>1. Registration_Update Flow.
 2. Select DOB, Biometric and Guardian check box.
 3. DOB added is 19</t>
  </si>
  <si>
    <t>TC_MOSIP--13115-46</t>
  </si>
  <si>
    <t>1. Registration_Update Flow.
 2. Demographic details screen age 7
 3. Introducer/Guardian details captured.
 4. Only face captured in biometric screen.
 5. Introducer is Invalid/Not available.
 6. mosip.regproc.packet.classifier.tagging.agegroup.ranges={'INFANT':'0-5','MINOR':'6-17','ADULT':'18-200'}</t>
  </si>
  <si>
    <t>MOSIP-13118</t>
  </si>
  <si>
    <t>CMD Validations</t>
  </si>
  <si>
    <t>TC_MOSIP-13118-01</t>
  </si>
  <si>
    <t>Operator ID present in the packet</t>
  </si>
  <si>
    <t>Verify packet transaction status.</t>
  </si>
  <si>
    <t>OPERATOR_VALIDATION stage should be displyed.</t>
  </si>
  <si>
    <t>TC_MOSIP-13118-02</t>
  </si>
  <si>
    <t>Supervisor ID present in the packet</t>
  </si>
  <si>
    <t>SUPERVISOR_VALIDATION stage should be displyed.</t>
  </si>
  <si>
    <t>TC_MOSIP-13118-03</t>
  </si>
  <si>
    <t>Mapped Center, Machine and Device</t>
  </si>
  <si>
    <t>CMD_VALIDATION stage should be displyed.</t>
  </si>
  <si>
    <t>TC_MOSIP-13118-04</t>
  </si>
  <si>
    <t>Create a Adult packet</t>
  </si>
  <si>
    <t>Upload the packet and verify packet transaction status.</t>
  </si>
  <si>
    <t>All the transaction should be displayed till UIN Generation stage.</t>
  </si>
  <si>
    <t>TC_MOSIP-13118-05</t>
  </si>
  <si>
    <t>Create a Minor packet</t>
  </si>
  <si>
    <t>Verify Introducer validation stage.</t>
  </si>
  <si>
    <t>Introducer validation stage should be displayed.</t>
  </si>
  <si>
    <t>TC_MOSIP-13118-06</t>
  </si>
  <si>
    <t>MOSIP-18510</t>
  </si>
  <si>
    <t>TC_MOSIP-13118-07</t>
  </si>
  <si>
    <t>Create a Infant packet</t>
  </si>
  <si>
    <t>TC_MOSIP-13118-08</t>
  </si>
  <si>
    <t>MOSIP_15130</t>
  </si>
  <si>
    <t>TC_MOSIP-15130-01</t>
  </si>
  <si>
    <t>BIOMETRIC_EXTRACTION Stage</t>
  </si>
  <si>
    <t>1. New Registration with AgeGroup-Adult flow.
 2. Create the Packet and Upload to server. 
 3. Biometric extraction stage is down .</t>
  </si>
  <si>
    <t>Verify UIN Generation stage.</t>
  </si>
  <si>
    <t>Packet should reach till UIN_GENERATOR stage with status UIN Generated Successfully</t>
  </si>
  <si>
    <t>TC_MOSIP-15130-02</t>
  </si>
  <si>
    <t>Verify packet registration status.</t>
  </si>
  <si>
    <t>packet registration status should be "PROCESSING"</t>
  </si>
  <si>
    <t>TC_MOSIP-15130-03</t>
  </si>
  <si>
    <t>1. New Registration with AgeGroup-Adult flow.
 2. Create the Packet and Upload to server. 
 3. Packet stopped at UIN_GENERATOR stage.</t>
  </si>
  <si>
    <t>1. Reprocess the packet via API.
 2. Verify packet transaction</t>
  </si>
  <si>
    <t>Packet should reprocess and reach till FINALIZATION stage with status as "idrepo draft was published successfully"</t>
  </si>
  <si>
    <t>TC_MOSIP-15130-04</t>
  </si>
  <si>
    <t>1. New Registration with AgeGroup-Adult flow.
 2. Create the Packet and Upload to server. 
 3. Packet reached FINALIZATION stage.</t>
  </si>
  <si>
    <t>packet registration status should be "PROCESSED"</t>
  </si>
  <si>
    <t>TC_MOSIP-15130-05</t>
  </si>
  <si>
    <t>1. New Registration with AgeGroup-Child flow.
 2. Create the Packet and Upload to server. 
 3. Biometric extraction stage is down .</t>
  </si>
  <si>
    <t>TC_MOSIP-15130-06</t>
  </si>
  <si>
    <t>1. New Registration with AgeGroup-Child flow.
 2. Create the Packet and Upload to server. 
 3. Packet stopped at UIN_GENERATOR stage.</t>
  </si>
  <si>
    <t>TC_MOSIP-15130-07</t>
  </si>
  <si>
    <t>1. New Registration with AgeGroup-Adult flow with exception.
 2. Create the Packet and Upload to server. 
 3. Biometric extraction stage is down .</t>
  </si>
  <si>
    <t>TC_MOSIP-15130-08</t>
  </si>
  <si>
    <t>1. New Registration with AgeGroup-Adult flow with exception.
 2. Create the Packet and Upload to server. 
 3. Packet stopped at UIN_GENERATOR stage.</t>
  </si>
  <si>
    <t>TC_MOSIP-15130-09</t>
  </si>
  <si>
    <t>1. New Registration with AgeGroup-Adult flow.
 2. Create the Packet and Upload to server. 
 3. FINALIZATION stage is down .</t>
  </si>
  <si>
    <t>Verify BIOMETRIC_EXTRACTION stage.</t>
  </si>
  <si>
    <t>Packet should reach till BIOMETRIC_EXTRACTION stage with status biometric extaction was successful</t>
  </si>
  <si>
    <t>TC_MOSIP-15130-10</t>
  </si>
  <si>
    <t>1. New Registration with AgeGroup-Adult flow.
 2. Create the Packet and Upload to server. 
 3. Packet stopped at BIOMETRIC_EXTRACTION stage.</t>
  </si>
  <si>
    <t>TC_MOSIP-15130-11</t>
  </si>
  <si>
    <t>1. New Registration with AgeGroup-Adult flow.
 2. Create the Packet and Upload to server. 
 3. Packet already reached till FINALIZATION stage.</t>
  </si>
  <si>
    <t>1. Reprocess the packet via API.
 2. Verify UIN_GENERATOR stage status in packet transaction.</t>
  </si>
  <si>
    <t>Exception should be displayed with below status.
 Exception occured updating idrepo draft.IDR-IDC-007 --&gt; No Record(s) found</t>
  </si>
  <si>
    <t>TC_MOSIP-15130-12</t>
  </si>
  <si>
    <t>TC_MOSIP-15130-13</t>
  </si>
  <si>
    <t>TC_MOSIP-15130-14</t>
  </si>
  <si>
    <t>1. New Registration with AgeGroup-Child flow.
 2. Create the Packet and Upload to server. 
 3. FINALIZATION stage is down .</t>
  </si>
  <si>
    <t>TC_MOSIP-15130-15</t>
  </si>
  <si>
    <t>1. New Registration with AgeGroup-Child flow.
 2. Create the Packet and Upload to server. 
 3. Packet stopped at BIOMETRIC_EXTRACTION stage.</t>
  </si>
  <si>
    <t>TC_MOSIP-15130-16</t>
  </si>
  <si>
    <t>1. New Registration with AgeGroup-Child flow.
 2. Create the Packet and Upload to server. 
 3. Packet already reached till FINALIZATION stage.</t>
  </si>
  <si>
    <t>TC_MOSIP-15130-17</t>
  </si>
  <si>
    <t>1. Update Registration flow.
 2. Create the Packet and Upload to server. 
 3. Biometric extraction stage is down .</t>
  </si>
  <si>
    <t>TC_MOSIP-15130-18</t>
  </si>
  <si>
    <t>TC_MOSIP-15130-19</t>
  </si>
  <si>
    <t>1. Update Registration flow.
 2. Create the Packet and Upload to server. 
 3. Packet stopped at UIN_GENERATOR stage.</t>
  </si>
  <si>
    <t>TC_MOSIP-15130-20</t>
  </si>
  <si>
    <t>1. Update Registration flow.
 2. Create the Packet and Upload to server. 
 3. Packet reached FINALIZATION stage.</t>
  </si>
  <si>
    <t>TC_MOSIP-15130-21</t>
  </si>
  <si>
    <t>TC_MOSIP-15130-22</t>
  </si>
  <si>
    <t>TC_MOSIP-15130-23</t>
  </si>
  <si>
    <t>1. Update Registration with AgeGroup-Adult flow with exception.
 2. Create the Packet and Upload to server. 
 3. Biometric extraction stage is down .</t>
  </si>
  <si>
    <t>TC_MOSIP-15130-24</t>
  </si>
  <si>
    <t>1. Update Registration with AgeGroup-Adult flow with exception.
 2. Create the Packet and Upload to server. 
 3. Packet stopped at UIN_GENERATOR stage.</t>
  </si>
  <si>
    <t>TC_MOSIP-15130-25</t>
  </si>
  <si>
    <t>1. Update Registration with AgeGroup-Adult flow.
 2. Create the Packet and Upload to server. 
 3. FINALIZATION stage is down .</t>
  </si>
  <si>
    <t>TC_MOSIP-15130-26</t>
  </si>
  <si>
    <t>1. Update Registration with AgeGroup-Adult flow.
 2. Create the Packet and Upload to server. 
 3. Packet stopped at BIOMETRIC_EXTRACTION stage.</t>
  </si>
  <si>
    <t>TC_MOSIP-15130-27</t>
  </si>
  <si>
    <t>1. Update Registration with AgeGroup-Adult flow.
 2. Create the Packet and Upload to server. 
 3. Packet already reached till FINALIZATION stage.</t>
  </si>
  <si>
    <t>TC_MOSIP-15130-28</t>
  </si>
  <si>
    <t>1. Lost Registration flow.
 2. Create the Packet and Upload to server. 
 3. Biometric extraction stage is down .</t>
  </si>
  <si>
    <t>TC_MOSIP-15130-29</t>
  </si>
  <si>
    <t>1. Lost Registration flow
 2. Create the Packet and Upload to server. 
 3. Biometric extraction stage is down .</t>
  </si>
  <si>
    <t>TC_MOSIP-15130-30</t>
  </si>
  <si>
    <t>1. Lost Registration flow
 2. Create the Packet and Upload to server. 
 3. Packet stopped at UIN_GENERATOR stage.</t>
  </si>
  <si>
    <t>TC_MOSIP-15130-31</t>
  </si>
  <si>
    <t>1. Lost Registration flow
 2. Create the Packet and Upload to server. 
 3. Packet reached FINALIZATION stage.</t>
  </si>
  <si>
    <t>TC_MOSIP-15130-32</t>
  </si>
  <si>
    <t>MOSIP-15215</t>
  </si>
  <si>
    <t>TC_MOSIP-15215-01</t>
  </si>
  <si>
    <t>Enrollment status</t>
  </si>
  <si>
    <t>Packet paused and request additional info</t>
  </si>
  <si>
    <t>Verify packet external status of a resident’s enrollment application</t>
  </si>
  <si>
    <t>Packet status - Awaiting Information</t>
  </si>
  <si>
    <t>MOSIP-19628</t>
  </si>
  <si>
    <t>TC_MOSIP-15215-02</t>
  </si>
  <si>
    <t>Packet has reached UIN Generator stage.</t>
  </si>
  <si>
    <t>Packet status - UIN generated</t>
  </si>
  <si>
    <t>TC_MOSIP-15215-03</t>
  </si>
  <si>
    <t>Packet has failed in Bio/demo dedupe.</t>
  </si>
  <si>
    <t>Packet status - Re-register</t>
  </si>
  <si>
    <t>TC_MOSIP-15215-04</t>
  </si>
  <si>
    <t>Packet has failed in BIOGRAPHIC_VERIFICATION stage.</t>
  </si>
  <si>
    <t>Packet status - Rejected</t>
  </si>
  <si>
    <t>TC_MOSIP-15215-05</t>
  </si>
  <si>
    <t>Packet has processed and stage is not ready.</t>
  </si>
  <si>
    <t>Packet status - Processing</t>
  </si>
  <si>
    <t>Biometricsquality</t>
  </si>
  <si>
    <t>Packet deletion on Upload</t>
  </si>
  <si>
    <t>1. New Registration packet
 2. Packet in PACKET_RECEIVER stage.</t>
  </si>
  <si>
    <t>Verify packet in MinIO packet uploaded status.</t>
  </si>
  <si>
    <t>Packet should not be uploaded in MinIO</t>
  </si>
  <si>
    <t>1. New Registration packet
 2.Packet in SECUREZONE_NOTIFICATION stage.</t>
  </si>
  <si>
    <t>1. New Registration packet
 2.Packet in UPLOAD_PACKET stage.</t>
  </si>
  <si>
    <t>Packet should be uploaded in MinIO</t>
  </si>
  <si>
    <t>1. New Registration packet
 2.Packet in VALIDATE_PACKET stage.</t>
  </si>
  <si>
    <t>Verify packet processed status.</t>
  </si>
  <si>
    <t>Satus should be processed.</t>
  </si>
  <si>
    <t>Verify packet status in RegClient.</t>
  </si>
  <si>
    <t>Packet should be deleted from reg client.</t>
  </si>
  <si>
    <t>TC_MOSIP-13087-07</t>
  </si>
  <si>
    <t>1. Update Registration packet
 2. Packet in PACKET_RECEIVER stage.</t>
  </si>
  <si>
    <t>TC_MOSIP-13087-08</t>
  </si>
  <si>
    <t>1. Update Registration packet
 2.Packet in SECUREZONE_NOTIFICATION stage.</t>
  </si>
  <si>
    <t>TC_MOSIP-13087-09</t>
  </si>
  <si>
    <t>1. Update Registration packet
 2.Packet in UPLOAD_PACKET stage.</t>
  </si>
  <si>
    <t>TC_MOSIP-13087-10</t>
  </si>
  <si>
    <t>1. Update Registration packet
 2.Packet in VALIDATE_PACKET stage.</t>
  </si>
  <si>
    <t>TC_MOSIP-13087-11</t>
  </si>
  <si>
    <t>TC_MOSIP-13087-12</t>
  </si>
  <si>
    <t>TC_MOSIP-13087-13</t>
  </si>
  <si>
    <t>1. Lost Registration packet
 2. Packet in PACKET_RECEIVER stage.</t>
  </si>
  <si>
    <t>TC_MOSIP-13087-14</t>
  </si>
  <si>
    <t>1. Lost Registration packet
 2.Packet in SECUREZONE_NOTIFICATION stage.</t>
  </si>
  <si>
    <t>TC_MOSIP-13087-15</t>
  </si>
  <si>
    <t>1. Lost Registration packet
 2.Packet in UPLOAD_PACKET stage.</t>
  </si>
  <si>
    <t>TC_MOSIP-13087-16</t>
  </si>
  <si>
    <t>1. Lost Registration packet
 2.Packet in VALIDATE_PACKET stage.</t>
  </si>
  <si>
    <t>TC_MOSIP-13087-17</t>
  </si>
  <si>
    <t>TC_MOSIP-13087-18</t>
  </si>
  <si>
    <t>TC_MOSIP-13087-19</t>
  </si>
  <si>
    <t>1. Lost Registration packet
 2.Packet in UPLOAD_PACKET stage.
 3. Packets are in Processed status.
 4. Configure cron expression to Registration Packet Delation status.</t>
  </si>
  <si>
    <t>Verify packet deletion status in RegClient.</t>
  </si>
  <si>
    <t>TC_MOSIP-13087-20</t>
  </si>
  <si>
    <t>1. Lost Registration packet
 2.Packet in UPLOAD_PACKET stage.
 3. Packets are in Processed status.</t>
  </si>
  <si>
    <t>1. Click on Execute now for Registration Packet Delation.
 2. Verify packet deletion status in RegClient.</t>
  </si>
  <si>
    <t>MOSIP-12427</t>
  </si>
  <si>
    <t>TC_MOSIP-12427-01</t>
  </si>
  <si>
    <t>Readiness probe</t>
  </si>
  <si>
    <t>Stopped stage group 3</t>
  </si>
  <si>
    <t>1. Process New Registration packet.
 2. Verify bio-dedupe-stage</t>
  </si>
  <si>
    <t>Packet should be processed to bio-dedupe-stage.</t>
  </si>
  <si>
    <t>TC_MOSIP-12427-02</t>
  </si>
  <si>
    <t>1. Process New Registration packet.
 2. Verify abis-handler-stage</t>
  </si>
  <si>
    <t>Packet should be processed to abis-handler-stage.</t>
  </si>
  <si>
    <t>TC_MOSIP-12427-03</t>
  </si>
  <si>
    <t>1. Stopped stage group 3
 2. Process multiple packets</t>
  </si>
  <si>
    <t>Verify processed packets status.</t>
  </si>
  <si>
    <t>Processed packet status should be in queue.</t>
  </si>
  <si>
    <t>TC_MOSIP-12427-04</t>
  </si>
  <si>
    <t>1. Stopped stage group 3
 2. Process multiple packets
 3. Stage group 3 is up and running.</t>
  </si>
  <si>
    <t>Verify the packet processed stage</t>
  </si>
  <si>
    <t>Packet should be processed to next stage</t>
  </si>
  <si>
    <t>MOSIP-11499</t>
  </si>
  <si>
    <t>TC_MOSIP-11499-01</t>
  </si>
  <si>
    <t>ABIS</t>
  </si>
  <si>
    <t>Create a packet and process it</t>
  </si>
  <si>
    <t>The packet should be processed and pass bio verification stage and generate UIN</t>
  </si>
  <si>
    <t>TC_MOSIP-11499-02</t>
  </si>
  <si>
    <t>To reprocess the packet and see if single response is fetched</t>
  </si>
  <si>
    <t>Single response should be fetched when ABIS is UP.</t>
  </si>
  <si>
    <t>TC_MOSIP-11499-03</t>
  </si>
  <si>
    <t>To reprocess the packet by making ABIS down</t>
  </si>
  <si>
    <t>The packet should move into inprogress state of Bio verification State.</t>
  </si>
  <si>
    <t>TC_MOSIP-11499-04</t>
  </si>
  <si>
    <t>To receive multiple response from ABIS for a single request sent</t>
  </si>
  <si>
    <t>The system should process the packet during the first valid response.</t>
  </si>
  <si>
    <t>MOSIP-11260</t>
  </si>
  <si>
    <t>TC_MOSIP-11260-01</t>
  </si>
  <si>
    <t>BioDedupe</t>
  </si>
  <si>
    <t>Once the packet reaches bio deduplication stage , a request is created for ABIS [ABIS Queue]. And ABIS went down, packet is reprocessed after the ABIS is up and running</t>
  </si>
  <si>
    <t>Packet should be reprocessed after the configured elapse.time under registration-processor-mz.properties for multiple attempts as per reprocess.minutes</t>
  </si>
  <si>
    <t>TC_MOSIP-11260-02</t>
  </si>
  <si>
    <t>1. Packet reaches bio deduplication stage and request is created for ABIS [ABIS Queue]. 
2. ABIS went down, packet is reprocessed after the ABIS is up and running</t>
  </si>
  <si>
    <t>Verify configured inboundMessageTTL reprocessing functionality</t>
  </si>
  <si>
    <t>Packet should be reprocessed after the configured inboundMessageTTL set under registration-processor-abis.json.</t>
  </si>
  <si>
    <t>TC_MOSIP-11260-04</t>
  </si>
  <si>
    <t>Once the packet reaches bio deduplication stage , a request is created for Manual Adjudication Queue. And Manual Adjudication System went down, packet is reprocessed after the MAS is up and running</t>
  </si>
  <si>
    <t>MOSIP-12855</t>
  </si>
  <si>
    <t>TC_MOSIP-11260-05</t>
  </si>
  <si>
    <t>1. Packet reaches bio deduplication stage , a request is created for Manual Adjudication Queue.
2. Manual Adjudication System went down, packet is reprocessed after the MAS is up and running</t>
  </si>
  <si>
    <t>To change the expiry time inboundMessageTTL and check the reprocessing functionality</t>
  </si>
  <si>
    <t>The packet should be reprocessed after the expiry time + buffer time is over as set under registration-processor-mz.properties.</t>
  </si>
  <si>
    <t>MOSIP-11244</t>
  </si>
  <si>
    <t>TC_MOSIP-11244-01</t>
  </si>
  <si>
    <t>Packet Routing</t>
  </si>
  <si>
    <t>To validate that the packet should move to certain route as defined under logic written in the camel for a stage</t>
  </si>
  <si>
    <t>As Packet Created should move to specific route defined under the Camel Bridge property</t>
  </si>
  <si>
    <t>TC_MOSIP-11244-02</t>
  </si>
  <si>
    <t>To write logic under camel bridge to skip the BIOGRAPHIC_VERIFICATION stage for child and process a packet</t>
  </si>
  <si>
    <t>The Child packet should skip the BIOGRAPHIC_VERIFICATION stage and packet should be created</t>
  </si>
  <si>
    <t>TC_MOSIP-11244-03</t>
  </si>
  <si>
    <t>To write logic under camel bridge to skip the quality checker stage for update packet for Adult</t>
  </si>
  <si>
    <t>The packet should skip the quality check stage and packet should be created</t>
  </si>
  <si>
    <t>TC_MOSIP-11244-04</t>
  </si>
  <si>
    <t>To write logic to move the exception packet to manual adjudication</t>
  </si>
  <si>
    <t>The exception packet should directly be moved to the manual adjudication stage</t>
  </si>
  <si>
    <t>TC_MOSIP-11244-05</t>
  </si>
  <si>
    <t>To remove the a tag and see the routing of packet</t>
  </si>
  <si>
    <t>The packet should follow the route for the other tags and should not consider the removed one</t>
  </si>
  <si>
    <t>TC_MOSIP-11244-06</t>
  </si>
  <si>
    <t>To create route in camel route for Metainfo Tag and check the behaviour</t>
  </si>
  <si>
    <t>The Packet should follow the route for the tags</t>
  </si>
  <si>
    <t>TC_MOSIP-11244-07</t>
  </si>
  <si>
    <t>To create route in camel route for Idobject Filed Tag and check the behaviour</t>
  </si>
  <si>
    <t>TC_MOSIP-11244-08</t>
  </si>
  <si>
    <t>To create route in camel route forAge Tag and check the behaviour</t>
  </si>
  <si>
    <t>MOSIP-11155</t>
  </si>
  <si>
    <t>TC_MOSIP-11155-01</t>
  </si>
  <si>
    <t>TagPackets</t>
  </si>
  <si>
    <t>To create tag to a packet for Idobject Field</t>
  </si>
  <si>
    <t>The packet should be processed as before and as routed</t>
  </si>
  <si>
    <t>TC_MOSIP-11155-02</t>
  </si>
  <si>
    <t>To create tag to a packet for Metainfo Field</t>
  </si>
  <si>
    <t>TC_MOSIP-11155-03</t>
  </si>
  <si>
    <t>To create tag to a packet for AgeGroup Field</t>
  </si>
  <si>
    <t>TC_MOSIP-11155-04</t>
  </si>
  <si>
    <t>To add the new valueunder tagged packet</t>
  </si>
  <si>
    <t>TC_MOSIP-11155-05</t>
  </si>
  <si>
    <t>To remove the tagging and check the packet processing</t>
  </si>
  <si>
    <t>TC_MOSIP-11155-06</t>
  </si>
  <si>
    <t>To add the value of Supervisor Approval status and check the packet processing</t>
  </si>
  <si>
    <t>TC_MOSIP-11155-07</t>
  </si>
  <si>
    <t>To verify the tagging under the packetmanager&gt;&gt; info API</t>
  </si>
  <si>
    <t>The Tag field should be there and should have respective values</t>
  </si>
  <si>
    <t>MOSIP-10583</t>
  </si>
  <si>
    <t>TC_MOSIP-10583-02</t>
  </si>
  <si>
    <t>Manual Adjudication</t>
  </si>
  <si>
    <t>Bio-dedupe stage sends the request ID to the MA stage with all the matched RID found in the ABIS system.</t>
  </si>
  <si>
    <t>Request should pass to MA with all the data fetched from ABIS</t>
  </si>
  <si>
    <t>TC_MOSIP-10583-03</t>
  </si>
  <si>
    <t>Remove the MA policy then send the request along with the data share URL to the adjudication system. Check the URL is showing the appropriate data that is set in the data share policy for the MA.</t>
  </si>
  <si>
    <t>Request should fail to send as policy is missing</t>
  </si>
  <si>
    <t>TC_MOSIP-10583-04</t>
  </si>
  <si>
    <t>Add the MA policy then send the request along with the data share URL to the adjudication system. Check the URL is showing the appropriate data that is set in the data share policy for the MA.</t>
  </si>
  <si>
    <t>Request should be able to be sent to adjudication system as policy is not missing and URL should be showing required data</t>
  </si>
  <si>
    <t>TC_MOSIP-10583-05</t>
  </si>
  <si>
    <t>Without the MA policy check the constructed request is in the queue and not getting processed.</t>
  </si>
  <si>
    <t>TC_MOSIP-10583-06</t>
  </si>
  <si>
    <t>With the MA policy check the constructed request is in the queue and is getting processed.</t>
  </si>
  <si>
    <t>should be able to see the request in the queue</t>
  </si>
  <si>
    <t>TC_MOSIP-10583-07</t>
  </si>
  <si>
    <t>MA processes the request to UIN stage when packet approved for further processing</t>
  </si>
  <si>
    <t>UIN should get generated</t>
  </si>
  <si>
    <t>TC_MOSIP-10583-08</t>
  </si>
  <si>
    <t>MA rejects the packet from further processing, and fails the status, and sends notification to resident.</t>
  </si>
  <si>
    <t>Resident should be informed and status should be failed.</t>
  </si>
  <si>
    <t>TC_MOSIP-10231-01</t>
  </si>
  <si>
    <t>IDA internal auth service</t>
  </si>
  <si>
    <t>TC_MOSIP-10231-02</t>
  </si>
  <si>
    <t>TC_MOSIP-10231-03</t>
  </si>
  <si>
    <t>To check that certificate generated from https://qa2.mosip.net/registrationprocessor/v1/registrationstatus/getCertificate?applicationId=IDA&amp;referenceId=INTERNAL is same as we reterived from https://qa2.mosip.net/idauthentication/v1/internal/getCertificate?applicationId=IDA&amp;referenceId=INTERNAL</t>
  </si>
  <si>
    <t>TC_MOSIP-10231-04</t>
  </si>
  <si>
    <t>MOSIP-9833</t>
  </si>
  <si>
    <t>TC_MOSIP-9833-01</t>
  </si>
  <si>
    <t>Packet Manager - Source</t>
  </si>
  <si>
    <t>Process new registration flow packet from Regclient
 Refer -
 10001101020001420210618105147</t>
  </si>
  <si>
    <t>1. Navigate to minio/packet-manager.
 2. Search RID and verify REGISTRATION_CLIENT</t>
  </si>
  <si>
    <t>REGISTRATION_CLIENT should be displayed.</t>
  </si>
  <si>
    <t>TC_MOSIP-9833-02</t>
  </si>
  <si>
    <t>Process new registration flow packet from RESIDENT
 Refer - 10001100010000120210513051043</t>
  </si>
  <si>
    <t>1. Navigate to minio/packet-manager.
 2. Search RID and verify RESIDENT SERVICE</t>
  </si>
  <si>
    <t>RESIDENT should be displayed.</t>
  </si>
  <si>
    <t>MOSIP-8567</t>
  </si>
  <si>
    <t>TC_MOSIP-8567-01</t>
  </si>
  <si>
    <t>1. Packets available in Registration Data Upload screen.
 2. Packet available with Applicant age&gt;4</t>
  </si>
  <si>
    <t>1. Packet are not uploaded into processor
 2. Verify notification trigerred to resident.</t>
  </si>
  <si>
    <t>Notification should not be trigerred to resident email and phone number.</t>
  </si>
  <si>
    <t>TC_MOSIP-8567-02</t>
  </si>
  <si>
    <t>1. Packets available in Registration Data Upload screen.
 2. Packet available with Applicant age&gt;4
 3. Packet is in Updated registration</t>
  </si>
  <si>
    <t>1. Upload packet in Reg client.
 2. Packet failed in OSI validation stage.
 2. Verify notification trigerred to resident.</t>
  </si>
  <si>
    <t>TC_MOSIP-8567-03</t>
  </si>
  <si>
    <t>1. Upload packet in Reg client.
 2. Packet failed in Quality check stage.
 2. Verify notification trigerred to resident.</t>
  </si>
  <si>
    <t>TC_MOSIP-8567-04</t>
  </si>
  <si>
    <t>1. Upload packet in Reg client.
 2. Packet is in Updated registration stage.
 3. Verify notification trigerred to resident.</t>
  </si>
  <si>
    <t>TC_MOSIP-8567-05</t>
  </si>
  <si>
    <t>1. Upload packet in Reg client.
 2. Packet is in Packet Validation Success stage.
 3. Verify notification trigerred to resident.</t>
  </si>
  <si>
    <t>Notification should not be trigerred to resident email and phone number..</t>
  </si>
  <si>
    <t>TC_MOSIP-8567-06</t>
  </si>
  <si>
    <t>1. Upload packet in Reg client.
 2. Packet is in Individual Demographic Dedupe data saved stage.
 3. Verify notification trigerred to resident.</t>
  </si>
  <si>
    <t>Notification should be trigerred to resident email and phone number..</t>
  </si>
  <si>
    <t>TC_MOSIP-8567-07</t>
  </si>
  <si>
    <t>1. Upload packet in Reg client.
 2. Packet is in Packet Validation failed stage.
 3. Verify notification trigerred to resident.</t>
  </si>
  <si>
    <t>TC_MOSIP-8567-08</t>
  </si>
  <si>
    <t>1. Packets available in Registration Data Upload screen.
 2. Packet available with Applicant age&lt;4
 3. Packet is in Updated registration</t>
  </si>
  <si>
    <t>TC_MOSIP-8567-09</t>
  </si>
  <si>
    <t>TC_MOSIP-8567-10</t>
  </si>
  <si>
    <t>TC_MOSIP-8567-11</t>
  </si>
  <si>
    <t>TC_MOSIP-8567-12</t>
  </si>
  <si>
    <t>1. Upload packet in Reg client.
 2. Packet is in Packet Validation Success stage.
 3. Verify registration list table - additional info.</t>
  </si>
  <si>
    <t>Registration list table - additional info column should be Null</t>
  </si>
  <si>
    <t>TC_MOSIP-8567-13</t>
  </si>
  <si>
    <t>1. Upload packet in Reg client.
 2. Packet is in Packet Validation failed stage.
 3. Verify registration list table - additional info</t>
  </si>
  <si>
    <t>Registration list table - additional info column should be binarydata</t>
  </si>
  <si>
    <t>MOSIP-12097</t>
  </si>
  <si>
    <t>TC_MOSIP-12097-01</t>
  </si>
  <si>
    <t>Process the packet to Registration processor</t>
  </si>
  <si>
    <t>Verify UIN generation stage</t>
  </si>
  <si>
    <t>UIN generation stage should be 'Processing'</t>
  </si>
  <si>
    <t>TC_MOSIP-12097-02</t>
  </si>
  <si>
    <t>UIN_Generator error</t>
  </si>
  <si>
    <t>1. Process the packet to Registration processor
 2. Comment "ID Repo Service URL" in config.</t>
  </si>
  <si>
    <t>1. Exception occurred is 'Internal server eror'
 2. Verify UIN generation stage</t>
  </si>
  <si>
    <t>UIN generation stage should be 'Reprocessing'</t>
  </si>
  <si>
    <t>TC_MOSIP-12097-03</t>
  </si>
  <si>
    <t>1. Exception occurred is API not found.
 2. Verify UIN generation stage</t>
  </si>
  <si>
    <t>TC_MOSIP-12097-04</t>
  </si>
  <si>
    <t>1. Exception occurred is API authentication error.
 2. Verify UIN generation stage</t>
  </si>
  <si>
    <t>TC_MOSIP-12097-05</t>
  </si>
  <si>
    <t>1. Exception occurred is 'Internal server eror'
 2. Verify VID generation stage</t>
  </si>
  <si>
    <t>VID generation stage should be 'Reprocessing'</t>
  </si>
  <si>
    <t>TC_MOSIP-12097-06</t>
  </si>
  <si>
    <t>1. Exception occurred is API not found.
 2. Verify VID generation stage</t>
  </si>
  <si>
    <t>TC_MOSIP-12097-07</t>
  </si>
  <si>
    <t>1. Exception occurred is API authentication error.
 2. Verify VID generation stage</t>
  </si>
  <si>
    <t>TC_MOSIP-12097-08</t>
  </si>
  <si>
    <t>VIN_Generator error</t>
  </si>
  <si>
    <t>TC_MOSIP-12097-09</t>
  </si>
  <si>
    <t>TC_MOSIP-12097-10</t>
  </si>
  <si>
    <t>1. Exception occurred is API authentication error.
 2. Verify VIN generation stage</t>
  </si>
  <si>
    <t>VIN generation stage should be 'Reprocessing'</t>
  </si>
  <si>
    <t>MOSIP-15612</t>
  </si>
  <si>
    <t>TC_MOSIP-15612-01</t>
  </si>
  <si>
    <t>Email Template configuration</t>
  </si>
  <si>
    <t>Registration-processor-mz.properties Notification service section configured with all Email Templates type code</t>
  </si>
  <si>
    <t>Verify Email Templates type code are configured in registration-processor-mz.properties.</t>
  </si>
  <si>
    <t>Notification service section in registration-processor-mz.properties Email Templates type code should be displayed.</t>
  </si>
  <si>
    <t>TC_MOSIP-15612-02</t>
  </si>
  <si>
    <t>master.template contain all email templated based on template_typ_code</t>
  </si>
  <si>
    <t>Verify email subjects in master.template.</t>
  </si>
  <si>
    <t>master.template should display all emails subject based on the template_typ_code</t>
  </si>
  <si>
    <t>TC_MOSIP-15612-03</t>
  </si>
  <si>
    <t>1. Registration-processor-mz.properties Notification service section configured with all Email Templates type code.
 2. master.template contain all email templated based on template_typ_code
 3. regproc.notification.template.code.uin.created.email=RPR_UIN_GEN_EMAIL</t>
  </si>
  <si>
    <t>New Registration flow create a packet and verify email UIN.</t>
  </si>
  <si>
    <t>Resident should receive UIN Generated email.</t>
  </si>
  <si>
    <t>TC_MOSIP-15612-04</t>
  </si>
  <si>
    <t>1. Registration-processor-mz.properties Notification service section configured with all Email Templates type code.
 2. master.template contain all email templated based on template_typ_code
 3. regproc.notification.template.code.uin.created.email=RPR_UIN_GEN_EMAIL
 4. Change the template in Template for UIN generation Email from Admin portal</t>
  </si>
  <si>
    <t>Verify the updated email for UIN Generation.</t>
  </si>
  <si>
    <t>Updated template should be displayed for UIN generation.</t>
  </si>
  <si>
    <t>TC_MOSIP-15612-05</t>
  </si>
  <si>
    <t>Verify the updated email for UIN Generation in English</t>
  </si>
  <si>
    <t>Template should be displayed in english language for UIN generation.</t>
  </si>
  <si>
    <t>TC_MOSIP-15612-06</t>
  </si>
  <si>
    <t>Verify the updated email for UIN Generation in Arabic</t>
  </si>
  <si>
    <t>Template should be displayed in arabic language for UIN generation.</t>
  </si>
  <si>
    <t>MOSIP-13117</t>
  </si>
  <si>
    <t>RegProc_01</t>
  </si>
  <si>
    <t>Infant registration flow - Adult as introducer</t>
  </si>
  <si>
    <t>mosip.regproc.packet.classifier.tagging.agegroup.ranges={'INFANT':'0-5','MINOR':'6-17','ADULT':'18-200'}</t>
  </si>
  <si>
    <t xml:space="preserve">1. Create a packet with AgeGroup Infant - 
2. Introducer AgeGroup is Adult.
</t>
  </si>
  <si>
    <t>Packet processed with below stages
"PRINT_SERVICE"
 "FINALIZATION"
 "BIOMETRIC_EXTRACTION"
 "UIN_GENERATOR"
 "BIOGRAPHIC_VERIFICATION"
 "DEMOGRAPHIC_VERIFICATION"
 "QUALITY_CLASSIFIER"
 "INTRODUCER_VALIDATION"
 "OPERATOR_VALIDATION"
 "CMD_VALIDATION"
 "PACKET_CLASSIFICATION"
 "VALIDATE_PACKET"
 "UPLOAD_PACKET"
 "SECUREZONE_NOTIFICATION"
 "PACKET_RECEIVER"
 "PACKET_RECEIVER"</t>
  </si>
  <si>
    <t>RegProc_02</t>
  </si>
  <si>
    <t>Infant registration flow- Infant as introducer</t>
  </si>
  <si>
    <t xml:space="preserve">1. Create a packet with AgeGroup Infant - 
2. Introducer AgeGroup is Infant.
</t>
  </si>
  <si>
    <t>"INTERNAL_WORKFLOW_ACTION"
"INTRODUCER_VALIDATION"
"OPERATOR_VALIDATION"
"CMD_VALIDATION"
"PACKET_CLASSIFICATION"
"VALIDATE_PACKET"
"UPLOAD_PACKET"
"SECUREZONE_NOTIFICATION"
"PACKET_RECEIVER"
"PACKET_RECEIVER"</t>
  </si>
  <si>
    <t>RegProc_03</t>
  </si>
  <si>
    <t xml:space="preserve">Minor Registration flow
</t>
  </si>
  <si>
    <t>"PRINT_SERVICE"
 "FINALIZATION"
 "BIOMETRIC_EXTRACTION"
 "UIN_GENERATOR"
 "BIOGRAPHIC_VERIFICATION"
 "DEMOGRAPHIC_VERIFICATION"
 "QUALITY_CLASSIFIER"
 "INTRODUCER_VALIDATION"
 "OPERATOR_VALIDATION"
 "CMD_VALIDATION"
 "PACKET_CLASSIFICATION"
 "VALIDATE_PACKET"
 "UPLOAD_PACKET"
 "SECUREZONE_NOTIFICATION"
 "PACKET_RECEIVER"
 "PACKET_RECEIVER"</t>
  </si>
  <si>
    <t>RegProc_04</t>
  </si>
  <si>
    <t xml:space="preserve">Adult Registration flow
</t>
  </si>
  <si>
    <t>"INTERNAL_WORKFLOW_ACTION"
 "PRINT_SERVICE"
 "INTERNAL_WORKFLOW_ACTION"
 "FINALIZATION"
 "BIOMETRIC_EXTRACTION"
 "UIN_GENERATOR"
 "BIOGRAPHIC_VERIFICATION"
 "BIOGRAPHIC_VERIFICATION"
 "DEMOGRAPHIC_VERIFICATION"
 "QUALITY_CLASSIFIER"
 "OPERATOR_VALIDATION"
 "CMD_VALIDATION"
 "PACKET_CLASSIFICATION"
 "VALIDATE_PACKET"
 "UPLOAD_PACKET"
 "SECUREZONE_NOTIFICATION"
 "PACKET_RECEIVER"
 "PACKET_RECEIVER"</t>
  </si>
  <si>
    <t>Process new registration flow packet from Regclient
 Refer -
 &lt;RID&gt;</t>
  </si>
  <si>
    <t>Process Update registration flow packet from Regclient
 Refer -
 &lt;RID&gt;</t>
  </si>
  <si>
    <t>TC_MOSIP-9833-03</t>
  </si>
  <si>
    <t>Process Lost registration flow packet from Regclient
 Refer -
 &lt;RID&gt;</t>
  </si>
  <si>
    <t>TC_MOSIP-9833-04</t>
  </si>
  <si>
    <t>Process new registration flow packet from RESIDENT
 Refer - &lt;RID&gt;</t>
  </si>
  <si>
    <t>TC_MOSIP-9833-05</t>
  </si>
  <si>
    <t>Process update registration flow packet from RESIDENT
 Refer - &lt;RID&gt;</t>
  </si>
  <si>
    <t>TC_MOSIP-9833-06</t>
  </si>
  <si>
    <t>Process lost registration flow packet from RESIDENT
 Refer - &lt;RID&gt;</t>
  </si>
  <si>
    <t>MOSIP-12649</t>
  </si>
  <si>
    <t>TC_MOSIP-12649-01</t>
  </si>
  <si>
    <t>Perform Operator biometric update.</t>
  </si>
  <si>
    <t>1. Configure individualId - VID in keyclock User Attributes
 2. Rolemapping - Default role removed.</t>
  </si>
  <si>
    <t>Operator biometric update should be successful.</t>
  </si>
  <si>
    <t>TC_MOSIP-12649-02</t>
  </si>
  <si>
    <t>Perform Operator Onboarding.</t>
  </si>
  <si>
    <t>Operator Onboarding should be successful.</t>
  </si>
  <si>
    <t>TC_MOSIP-12649-03</t>
  </si>
  <si>
    <t>1. Configure individualId - UIN in keyclock User Attributes
 2. Rolemapping - Default role removed.</t>
  </si>
  <si>
    <t>TC_MOSIP-12649-04</t>
  </si>
  <si>
    <t>MOSIP-9834</t>
  </si>
  <si>
    <t>TC_MOSIP-9834-01</t>
  </si>
  <si>
    <t>Signature validation</t>
  </si>
  <si>
    <t>1. API available to fetch public key for machine.
 2. &lt;Environment variable&gt;/v1/syncdata/swagger-ui.html#/sync-data-controller/getClientPublicKeyUsingGET
 3. getClientPublicKey API</t>
  </si>
  <si>
    <t>Verify the signing public key and validate.</t>
  </si>
  <si>
    <t>Public key should be fetched with the API.</t>
  </si>
  <si>
    <t>TC_MOSIP-9834-02</t>
  </si>
  <si>
    <t>Valid signed public key available.</t>
  </si>
  <si>
    <t>Login to the Regclient</t>
  </si>
  <si>
    <t>Login should be successful</t>
  </si>
  <si>
    <t>TC_MOSIP-9834-03</t>
  </si>
  <si>
    <t>API available to fetch public key for machine.</t>
  </si>
  <si>
    <t>Verify creating packet and uploading</t>
  </si>
  <si>
    <t>Packet should be created and uploaded successfully.</t>
  </si>
  <si>
    <t>TC_MOSIP-9834-04</t>
  </si>
  <si>
    <t>Signed Public key is invalid.</t>
  </si>
  <si>
    <t>Authentication error should be displayed.</t>
  </si>
  <si>
    <t>MOSIP-12369</t>
  </si>
  <si>
    <t>TC_MOSIP-12369-01</t>
  </si>
  <si>
    <t>Packet tagging for Exceptions</t>
  </si>
  <si>
    <t>1. New Registration flow
 2. Exceptions added for leftLittle':'LL','leftRing':'LR','leftMiddle'
 3 .Packet created and Uploaded.</t>
  </si>
  <si>
    <t>Verify "tags": "EXCEPTION_BIOMETRICS"</t>
  </si>
  <si>
    <t>"EXCEPTION_BIOMETRICS" tag should be added as mentioned below.
 LL, LR and LM</t>
  </si>
  <si>
    <t>TC_MOSIP-12369-02</t>
  </si>
  <si>
    <t>1. New Registration flow
 2. Exceptions not added.
 3 .Packet created and Uploaded.</t>
  </si>
  <si>
    <t>"EXCEPTION_BIOMETRICS": "--TAG_VALUE_NOT_AVAILABLE--" should be displayed.</t>
  </si>
  <si>
    <t>TC_MOSIP-12369-03</t>
  </si>
  <si>
    <t>1. Update Registration flow
 2. Exceptions added for leftLittle':'LL','leftRing':'LR','leftMiddle'
 3 .Packet created and Uploaded.</t>
  </si>
  <si>
    <t>TC_MOSIP-12369-04</t>
  </si>
  <si>
    <t>1. Update Registration flow
 2. Exceptions not added.
 3 .Packet created and Uploaded.</t>
  </si>
  <si>
    <t>TC_MOSIP-12369-05</t>
  </si>
  <si>
    <t>1. Lost Registration flow
 2. Exceptions added for leftLittle':'LL','leftRing':'LR','leftMiddle'
 3 .Packet created and Uploaded.</t>
  </si>
  <si>
    <t>TC_MOSIP-12369-06</t>
  </si>
  <si>
    <t>1. Lost Registration flow
 2. Exceptions not added.
 3 .Packet created and Uploaded.</t>
  </si>
  <si>
    <t>MOSIP-12368</t>
  </si>
  <si>
    <t>TC_MOSIP-12368-01</t>
  </si>
  <si>
    <t>Packet manager in MinIO</t>
  </si>
  <si>
    <t>1. New Registration flow packet created.
 2. Packet uploaded</t>
  </si>
  <si>
    <t>Verify packet manager folder in MinIO</t>
  </si>
  <si>
    <t>Packet manager folder should be created in MinIO</t>
  </si>
  <si>
    <t>TC_MOSIP-12368-02</t>
  </si>
  <si>
    <t>1. New Registration flow packet created.
 2. Packet uploaded.
 3. Packet manager folder added.</t>
  </si>
  <si>
    <t>Search RID in packet manager folder.</t>
  </si>
  <si>
    <t>RID should be displayed</t>
  </si>
  <si>
    <t>TC_MOSIP-12368-03</t>
  </si>
  <si>
    <t>All RIDs should be listed under packet manager folder.</t>
  </si>
  <si>
    <t>TC_MOSIP-12368-04</t>
  </si>
  <si>
    <t>Search RID packet manager and verify Tags.</t>
  </si>
  <si>
    <t>Tags should be displayed under Tags folder.
 1. "META_INFO-OPERATIONS_DATA-supervisorId"
 2. "Biometric_Quality-Iris"
 3. "INTRODUCER_AVAILABILITY"
 4. "META_INFO-CAPTURED_REGISTERED_DEVICES-Finger"
 5. "META_INFO-META_DATA-centerId"
 6. "Biometric_Quality-Face"
 7. "Biometric_Quality-Finger"
 8. "EXCEPTION_BIOMETRICS"
 9. "ID_OBJECT-gender"
 10. "META_INFO-CAPTURED_REGISTERED_DEVICES-Face"
 11. "AGE_GROUP"
 12. "SUPERVISOR_APPROVAL_STATUS"
 13. "META_INFO-OPERATIONS_DATA-officerId"
 14. "ID_OBJECT-residenceStatus"</t>
  </si>
  <si>
    <t>MOSIP-8565</t>
  </si>
  <si>
    <t>TC_MOSIP-8565-01</t>
  </si>
  <si>
    <t>Add encrypted data into registration list table</t>
  </si>
  <si>
    <t>1. New Registration flow
 2. Packet created and uploaded in RegClient.</t>
  </si>
  <si>
    <t>Verify name, email id and phone number in regprc.registration_list table</t>
  </si>
  <si>
    <t>name, email id and phone number should be added in regprc.registration_list table.</t>
  </si>
  <si>
    <t>TC_MOSIP-8565-02</t>
  </si>
  <si>
    <t>1. New Registration flow
 2. Packet created and uploaded in RegClient.
 3. Name, email id and phone number added in regprc.registration_list table</t>
  </si>
  <si>
    <t>Verify name, email id and phone number readable mode.</t>
  </si>
  <si>
    <t>1. Verify name, email id and phone number should not be in readable mode.
 2. Name, email id and phone number should be displayed as Hash format.</t>
  </si>
  <si>
    <t>TC_MOSIP-8565-03</t>
  </si>
  <si>
    <t>Update Registration flow</t>
  </si>
  <si>
    <t>Perform Update name, email id and phone number in regprc.registration_list table</t>
  </si>
  <si>
    <t>TC_MOSIP-8565-04</t>
  </si>
  <si>
    <t>1. Update Registration flow
 2. Packet created and uploaded in RegClient.
 3. Name, email id and phone number not added in regprc.registration_list table</t>
  </si>
  <si>
    <t>1. Verify name, email id and phone number should be displayed.
 2. Name, email id and phone number should be displayed as Hash format.</t>
  </si>
  <si>
    <t>TC_MOSIP-8565-05</t>
  </si>
  <si>
    <t>1. Lost Registration flow
 2. Packet created and uploaded in RegClient.</t>
  </si>
  <si>
    <t>Resident provide name, email id and phone number</t>
  </si>
  <si>
    <t>TC_MOSIP-8565-06</t>
  </si>
  <si>
    <t>1. Lost Registration flow
 2. Packet created and uploaded in RegClient.
 3. Name, email id and phone number not added in regprc.registration_list table</t>
  </si>
  <si>
    <t>Perform Update name, email id and phone number readable mode.</t>
  </si>
  <si>
    <t>Enhancing tagging</t>
  </si>
  <si>
    <t>1. New Registration flow
 2. Packet created with tags</t>
  </si>
  <si>
    <t>Verify Packet manager created packet added with RID.</t>
  </si>
  <si>
    <t>Tags folder should be added for RID in MinIO</t>
  </si>
  <si>
    <t>1. New Registration flow
 2. Packet created with tags
 3. Tags folder added in minIO</t>
  </si>
  <si>
    <t>Verify Tags created for packet.</t>
  </si>
  <si>
    <t>Tags should be added for packet.</t>
  </si>
  <si>
    <t>TC_MOSIP-12713-03</t>
  </si>
  <si>
    <t>1. New Registration flow
 2. Packet created with tags
 3. Tags folder added in minIO
 4. More then 10 tags added for a packet.</t>
  </si>
  <si>
    <t>All the tags should be displayed in minIO</t>
  </si>
  <si>
    <t>MOSIP-12228</t>
  </si>
  <si>
    <t>TC_MOSIP-12713-04</t>
  </si>
  <si>
    <t>Internal workflow</t>
  </si>
  <si>
    <t>1. Packet reached securezone-notification stage
 2. Packet-uploader stage is down</t>
  </si>
  <si>
    <t>Internal workflow action should be added after securezone-notification stage.</t>
  </si>
  <si>
    <t>TC_MOSIP-12713-05</t>
  </si>
  <si>
    <t>1. registration.processor.reprocess.attempt.count=10
 2. registration.processor.reprocess.minutes=0,5,10,15,20,25
 3. Packet-uploader stage is down</t>
  </si>
  <si>
    <t>Verify Internal workflow action.</t>
  </si>
  <si>
    <t>Internal workflow action should be tried till reaches max attempt.count.</t>
  </si>
  <si>
    <t>TC_MOSIP-12713-06</t>
  </si>
  <si>
    <t>1. registration.processor.reprocess.attempt.count=10
 2. registration.processor.reprocess.minutes=0,5,10,15,20,25
 3. After fourth reprocess.attempt.count=4 then uploader packet stage is up</t>
  </si>
  <si>
    <t>Internal workflow action stage should move to next stage as per configuration registration-processor-camel-routes</t>
  </si>
  <si>
    <t>TC_MOSIP-12713-07</t>
  </si>
  <si>
    <t>1. registration.processor.reprocess.attempt.count=10
 2. registration.processor.reprocess.minutes=0,5,10,15,20,25</t>
  </si>
  <si>
    <t>1. Reprocessor has completed max attampts as per configuration.
 2. Verify packet transaction.</t>
  </si>
  <si>
    <t>Packet transaction should be Rejected.</t>
  </si>
  <si>
    <t>TC_MOSIP-12713-08</t>
  </si>
  <si>
    <t>1. Packet reached packet-uploader stage
 2. Packet-uploader stage is down</t>
  </si>
  <si>
    <t>TC_MOSIP-12713-09</t>
  </si>
  <si>
    <t>1. registration.processor.reprocess.attempt.count=10
 2. registration.processor.reprocess.minutes=0,5,10,15,20,25
 3. packet-uploader stage is down</t>
  </si>
  <si>
    <t>TC_MOSIP-12713-10</t>
  </si>
  <si>
    <t>1. registration.processor.reprocess.attempt.count=10
 2. registration.processor.reprocess.minutes=0,5,10,15,20,25
 3. After fourth reprocess.attempt.count=4 then packet-uploader is up</t>
  </si>
  <si>
    <t>TC_MOSIP-12713-11</t>
  </si>
  <si>
    <t>TC_MOSIP-12713-12</t>
  </si>
  <si>
    <t>1. Packet reached Packet Validator stage
 2. Packet-uploader stage is down</t>
  </si>
  <si>
    <t>TC_MOSIP-12713-13</t>
  </si>
  <si>
    <t>1. registration.processor.reprocess.attempt.count=10
 2. registration.processor.reprocess.minutes=0,5,10,15,20,25
 3. Packet Validator stage is down</t>
  </si>
  <si>
    <t>TC_MOSIP-12713-14</t>
  </si>
  <si>
    <t>TC_MOSIP-12713-15</t>
  </si>
  <si>
    <t>MOSIP-12370</t>
  </si>
  <si>
    <t>TC_MOSIP-12370-01</t>
  </si>
  <si>
    <t>Kafka messages</t>
  </si>
  <si>
    <t>1. Configure mosip.regproc.common.stage.message.expiry-time-limit=120 [Seconds]
 2. Make any stage down in camel route for registration flow.</t>
  </si>
  <si>
    <t>Verify messages after configured expire time limit.</t>
  </si>
  <si>
    <t>Message expire as per the last hop time should be displayed in logs.</t>
  </si>
  <si>
    <t>MOSIP-19743</t>
  </si>
  <si>
    <t>TC_MOSIP-12370-02</t>
  </si>
  <si>
    <t>1. Configure mosip.regproc.common.stage.message.expiry-time-limit=0 [Seconds]
 2. Make any stage down in camel route for registration flow.</t>
  </si>
  <si>
    <t>Message expire as per the last hop time should not be displayed in logs.</t>
  </si>
  <si>
    <t>TC_MOSIP-12370-03</t>
  </si>
  <si>
    <t>1. Configure mosip.regproc.common.stage.message.expiry-time-limit= -1 [Seconds]
 2. Make any stage down in camel route for registration flow.</t>
  </si>
  <si>
    <t>MOSIP-9843</t>
  </si>
  <si>
    <t>TC_MOSIP-9843-01</t>
  </si>
  <si>
    <t>Datashare URL acess.</t>
  </si>
  <si>
    <t>1. dataSharePolicies "transactionsAllowed": "5"
 2. Create a mpolicy-default-abis and available in pms.auth_policy</t>
  </si>
  <si>
    <t>1. Process the packet and stuck at Biometric verification stage as potential match found.
 2. Verify datashare URL multiple times less then 5 times.</t>
  </si>
  <si>
    <t>Datashare shoud be accessable for less then 5 times as per policy configuration.</t>
  </si>
  <si>
    <t>TC_MOSIP-9843-02</t>
  </si>
  <si>
    <t>1. Process the packet and stuck at Biometric verification stage as potential match found.
 2. Verify datashare URL multiple times greater then 5 times.</t>
  </si>
  <si>
    <t>"Data share usuage expired" should be displayed when accessed for more then 5 times as per policy configuration.</t>
  </si>
  <si>
    <t>MOSIP-11474</t>
  </si>
  <si>
    <t>JWT verification of Capture &amp; Info requests</t>
  </si>
  <si>
    <t>TC_MOSIP-11474-01</t>
  </si>
  <si>
    <t>MDS-validate</t>
  </si>
  <si>
    <t>packet should get processed with all the validations in place</t>
  </si>
  <si>
    <t>To verify that along with the payload of device info, the signature validations are happening correctly and packets are getting processed</t>
  </si>
  <si>
    <t>TC_MOSIP-11474-02</t>
  </si>
  <si>
    <t>packet should be processed</t>
  </si>
  <si>
    <t>create a packet with all bio modalities, pass valid device info with header and the signature</t>
  </si>
  <si>
    <t>TC_MOSIP-11474-03</t>
  </si>
  <si>
    <t>packet shouldn’t be processed</t>
  </si>
  <si>
    <t>create a packet with all bio modalities, pass invalid device info without header and the footer</t>
  </si>
  <si>
    <t>RP_TC_01</t>
  </si>
  <si>
    <t>1. Create two Adult packets A and B with same demograhpics details Name, DOB, gender.
2. Packet A uploaded and packet processed.</t>
  </si>
  <si>
    <t>Upload packet B with same demographics details (Name, DOB &amp; Gender) and verify packet transaction.</t>
  </si>
  <si>
    <t>Packet B Demographic verification error should be displayed as "Potential Demo Match was Found" and Biometric Duplicate was Found in ABIS</t>
  </si>
  <si>
    <t>RP_TC_02</t>
  </si>
  <si>
    <t>1. Create two Adult packets A and packet B with different demograhpics details Name, DOB, gender.
2. Packet A uploaded and packet processed.</t>
  </si>
  <si>
    <t>Upload packet B with different demograhics and verify packet transaction.</t>
  </si>
  <si>
    <t>Packet B Demographic verification should be successful and packet move to next stage.</t>
  </si>
  <si>
    <t>RP_TC_03</t>
  </si>
  <si>
    <t>1. Create Adult packet A with demograhics details Name, DOB, gender.
2. Packet A uploaded and packet processed.
3. Update flow perform similar Name, DOB, gender with similar data.</t>
  </si>
  <si>
    <t>Upload packet B  with different demograhics and verify packet transaction.</t>
  </si>
  <si>
    <t>Demographic Deduplication Skipped should be displayed for update flow.</t>
  </si>
  <si>
    <t>RP_TC_04</t>
  </si>
  <si>
    <t xml:space="preserve">1. Create Adult packet A with demograhics details Name, DOB, gender.
2. Packet A Rejected at Biographic verification stage.  
3. Packet B created with similar Name, DOB, gender data.
4. </t>
  </si>
  <si>
    <t>RP_TC_05</t>
  </si>
  <si>
    <t>1. Create Adult packet A demograhics details Name, DOB, gender.
2. Packet A is in-progress.
3. Packet B created with similar Name, DOB, gender data.</t>
  </si>
  <si>
    <t>Upload packet B and verify packet transaction.</t>
  </si>
  <si>
    <t>RP_TC_06</t>
  </si>
  <si>
    <t>1. Create Child packet A with demograhics details Name, DOB, gender.
2. Packet A is in-progress.
3. Child packet B created with similar Name, DOB, gender data.</t>
  </si>
  <si>
    <t>Packet B Demographic verification error should be displayed as "Potential Match found"</t>
  </si>
  <si>
    <t>RP_TC_07</t>
  </si>
  <si>
    <t>1. Create three Adult packets A, B  and C with same demograhpics details Name, DOB, gender.
2. Packet A, B uploaded and packet processed.</t>
  </si>
  <si>
    <t>Upload  packet C and verify packet transaction.</t>
  </si>
  <si>
    <t>Packet C Demographic verification error should be displayed as "Potential Match found"</t>
  </si>
  <si>
    <t>RP_TC_08</t>
  </si>
  <si>
    <t>1. Create Update packet A demograhpics details Name, DOB, gender.
2. Packet A uploaded and packet processed.
3. New flow create packet B with similar to packet A - Name, DOB, gender with similar data.</t>
  </si>
  <si>
    <t>RP_TC_09</t>
  </si>
  <si>
    <t xml:space="preserve">1. Disable Manual Adjudication after Demo dedupe by setting the configuration =REJECTED
2. Create Update packet A demograhpics details Name, DOB, gender.
3. Packet A uploaded and packet processed.
4. New flow create packet B with similar to packet A - Name, DOB, gender with similar data.
</t>
  </si>
  <si>
    <t>Packet should be Rejcted without sending to manual</t>
  </si>
  <si>
    <t>RP_TC_10</t>
  </si>
  <si>
    <t xml:space="preserve">1. Enable/Disable Manual Adjudication after Demo dedupe=PENDING
2. Create Update packet A demograhpics details Name, DOB, gender.
3. Packet A uploaded and packet processed.
4. New flow create packet B with similar to packet A - Name, DOB, gender with similar data.
</t>
  </si>
  <si>
    <t>Packet should sent to manual verification without marking as Rejected.</t>
  </si>
  <si>
    <t>RP_TC_11</t>
  </si>
  <si>
    <t>1. Updated return.duplicate to true in mock-abis-default.properties.
2. Restart Mock ABIS pod
3. Create Adult packet A and Supervisor Rejected
4. New Registration Packet B created</t>
  </si>
  <si>
    <t>BioGRAPHIC_VERIFICATION stage should be succesful and packet should move to next stage.</t>
  </si>
  <si>
    <t>RP_TC_12</t>
  </si>
  <si>
    <t>1. Updated return.duplicate to true in mock-abis-default.properties.
2. Restart Mock ABIS pod
3. Create Adult packet A packet processed
4. New Registration Packet B created</t>
  </si>
  <si>
    <t>BIOGRAPHIC_VERIFICATION stage, "Potential Biometric Match Found while Processing Packet"</t>
  </si>
  <si>
    <t>RP_TC_13</t>
  </si>
  <si>
    <t>1. Updated return.duplicate to true in mock-abis-default.properties.
2. Restart Mock ABIS pod
3. Create Adult packet A with low quality biometrics and Upload. Packet paused and request additional info.
4. Created New Registration Packet B with good quality</t>
  </si>
  <si>
    <t>RP_TC_14</t>
  </si>
  <si>
    <r>
      <rPr>
        <rFont val="Calibri, Arial"/>
        <color theme="1"/>
        <sz val="11.0"/>
      </rPr>
      <t xml:space="preserve">1. Updated return.duplicate to true in mock-abis-default.properties.
2. Restart Mock ABIS pod
3. Create Adult packet A packet in-progress </t>
    </r>
    <r>
      <rPr>
        <rFont val="Calibri, Arial"/>
        <b/>
        <color theme="1"/>
        <sz val="11.0"/>
      </rPr>
      <t>(at what stage in-progress?)</t>
    </r>
    <r>
      <rPr>
        <rFont val="Calibri, Arial"/>
        <color theme="1"/>
        <sz val="11.0"/>
      </rPr>
      <t xml:space="preserve">
4. New Registration Packet B created</t>
    </r>
  </si>
  <si>
    <t>RP_TC_15</t>
  </si>
  <si>
    <t>1. Updated return.duplicate to true in mock-abis-default.properties.
2. Restart Mock ABIS pod
3. Update Reg. (Address) packet A processed
4. New Registration Packet B created</t>
  </si>
  <si>
    <t>RP_TC_16</t>
  </si>
  <si>
    <t>1. Updated return.duplicate to true in mock-abis-default.properties.
2. Restart Mock ABIS pod
3. Update packet A Biometrics and packet processed
4. Update registration flow (Biometrics) Packet B created</t>
  </si>
  <si>
    <t>RP_TC_17</t>
  </si>
  <si>
    <t>1. Updated return.duplicate to true in mock-abis-default.properties.
2. Restart Mock ABIS pod
3. Infant packet A packet processed
4. New registration flow Packet B created</t>
  </si>
  <si>
    <t>RP_TC_18</t>
  </si>
  <si>
    <t>1. Updated return.duplicate to true in mock-abis-default.properties.
2. New Registration create multiple packets A, B and C packet processed
4. New registration flow Packet D created</t>
  </si>
  <si>
    <t>Upload packet D and verify packet transaction.</t>
  </si>
  <si>
    <t>RP_TC_19</t>
  </si>
  <si>
    <t>1. Updated return.duplicate to true in mock-abis-default.properties.
2. Restart Mock ABIS pod
3. Create Adult packet A packet in-progress
4. Create New Registration Packet B with exception</t>
  </si>
  <si>
    <t>RP_TC_20</t>
  </si>
  <si>
    <t>1. Updated return.duplicate to true in mock-abis-default.properties.
2. Restart Mock ABIS pod
3. Create Adult packet A and packet processed
4. Update biometrics for Packet B with existing resident biometrics</t>
  </si>
  <si>
    <t>Packet should be processed.</t>
  </si>
  <si>
    <t>RP_TC_21</t>
  </si>
  <si>
    <t>1. Updated return.duplicate to true in mock-abis-default.properties.
2. Restart Mock ABIS pod
3. Create Adult packet A and packet processed
4. Update biometrics for Packet B (same UIN as packet A) with the same biometrics as processed with Packet A.</t>
  </si>
  <si>
    <t>BioGRAPHIC_VERIFICATION stage should move to next stage.</t>
  </si>
  <si>
    <t>RP_TC_22</t>
  </si>
  <si>
    <t>1. Updated return.duplicate to true in mock-abis-default.properties.
2. Restart Mock ABIS pod</t>
  </si>
  <si>
    <t>1. Person A and B register (UIN already generated)
2. Person B updating biometrics with Person A biometrics
3. Upload packet B and verify packet transaction.</t>
  </si>
  <si>
    <t>RP_TC_23</t>
  </si>
  <si>
    <t xml:space="preserve">1. Updated return.duplicate to true in mock-abis-default.properties.
2. Restart Mock ABIS pod
</t>
  </si>
  <si>
    <t>1. Person A registered.
2. Lost flow packet with Perosn A biometrics.
3. Upload packet with (Person A)and verify packet transaction.</t>
  </si>
  <si>
    <t>Multiple Match was Found for the Biometrics Received.
Packet processing completed with action code : COMPLETE_AS_REJECTED</t>
  </si>
  <si>
    <t>RP_TC_24</t>
  </si>
  <si>
    <t>1. Data share policy is missing for ABIS.
2. Create Adult packet (Person A) packet processed.   
3. Process New registration packet and verify packet transaction.</t>
  </si>
  <si>
    <t>BIOGRAPHIC_VERIFICATION stage, ABIS policy is missing.</t>
  </si>
  <si>
    <t>RP_TC_25</t>
  </si>
  <si>
    <t>1. Change data share policy.
2. Create Adult packet (Person A) packet processed. 
3. Upload packet (Person B) and verify packet transaction.</t>
  </si>
  <si>
    <t>Packets should stuck at BIOGRAPHIC_VERIFICATION stage</t>
  </si>
  <si>
    <t>RP_TC_26</t>
  </si>
  <si>
    <t>RP_TC_27</t>
  </si>
  <si>
    <t>RP_TC_28</t>
  </si>
  <si>
    <t>RP_TC_29</t>
  </si>
  <si>
    <t>RP_TC_30</t>
  </si>
  <si>
    <t>RP_TC_31</t>
  </si>
  <si>
    <t>RP_TC_32</t>
  </si>
  <si>
    <t>RP_TC_33</t>
  </si>
  <si>
    <t>RP_TC_34</t>
  </si>
  <si>
    <t>RP_TC_35</t>
  </si>
  <si>
    <t>RP_TC_36</t>
  </si>
  <si>
    <t>RP_TC_37</t>
  </si>
  <si>
    <t>RP_TC_38</t>
  </si>
  <si>
    <t>1.Biometric duplicates are found in ABIS for Packet A and Packet B</t>
  </si>
  <si>
    <t>1. Request sent to Manual Adjudication system via a queue.
2. Verify the stage in packet transaction.</t>
  </si>
  <si>
    <t>Manual Adjudication stage should be added after biometric verification.</t>
  </si>
  <si>
    <t>RP_TC_39</t>
  </si>
  <si>
    <t xml:space="preserve">1.Biometric duplicates are found in ABIS for Packet A and Packet B
</t>
  </si>
  <si>
    <t>1. Request sent to Manual Adjudication system via a queue.
2. Response from ManualAdjudication-to-MOSIP is Approved
3. Verify the packet status.</t>
  </si>
  <si>
    <t>Packet should to next stage i.e UIN Generation stage.</t>
  </si>
  <si>
    <t>RP_TC_40</t>
  </si>
  <si>
    <t>1.Biometric duplicates are found in ABIS for Packet A and Packet B
2. Request sent to Manual Adjudication system via a queue.</t>
  </si>
  <si>
    <t>1. Response from ManualAdjudication-to-MOSIP is Rejected
2. Verify the packet status.</t>
  </si>
  <si>
    <t>Packet should be Rejected.</t>
  </si>
  <si>
    <t>RP_TC_41</t>
  </si>
  <si>
    <t>1. Request sent to Manual Adjudication system via a queue.
2. Response from ManualAdjudication-to-MOSIP is Rejected
3. Verify Email notification to Resident.</t>
  </si>
  <si>
    <t>Resident should receive email notification about Packet Rejected status.</t>
  </si>
  <si>
    <t>RP_TC_42</t>
  </si>
  <si>
    <t>1. Update packet A packet processed
2. Update registration flow Packet B created
3. Verify the stage in packet transaction.</t>
  </si>
  <si>
    <t>Manual Adjudication stage should be added after biometric verification for packet B. 
Should match againest packet A.</t>
  </si>
  <si>
    <t>RP_TC_43</t>
  </si>
  <si>
    <t xml:space="preserve">1. Updated return.duplicate to true in mock-abis-default.properties.
</t>
  </si>
  <si>
    <t>1. New Registration create multiple packets A, B and C packet processed
2. New registration flow Packet D created
3. Upload packet D and verify packet transaction.</t>
  </si>
  <si>
    <t>Manual Adjudication stage should be added after biometric verification for Packet D.
Should match againest packet A, B and C.</t>
  </si>
  <si>
    <t>RP_TC_44</t>
  </si>
  <si>
    <t>1. Create Lost flow packet (Person A) and packet processed (packet rejected)
2. Create New reg. flow packet with same biometrics for Person B. 
3. Upload packet (Person B) and verify packet transaction.</t>
  </si>
  <si>
    <t>Packet should not go to Manual Adjudication stage.
Packet should process</t>
  </si>
  <si>
    <t>RP_TC_45</t>
  </si>
  <si>
    <t>1.  Create Lost flow packet (Person A) and packet A processed
2. Create another lost flow packet with same biometrics for Packet B. 
Upload packet (Packet B) and verify packet transaction.</t>
  </si>
  <si>
    <t>Packet should not go to Manual Adjudication stage.
Packet should process.</t>
  </si>
  <si>
    <t>RP_TC_46</t>
  </si>
  <si>
    <t>New Registration packet with all exceptions</t>
  </si>
  <si>
    <t>Upload the packet and verify packet transactions.</t>
  </si>
  <si>
    <t>Packet should reach to Manual verification stage to verify exception.</t>
  </si>
  <si>
    <t>MOSIP-19493</t>
  </si>
  <si>
    <t>RP_TC_47</t>
  </si>
  <si>
    <t>New Registration packet with exceptions</t>
  </si>
  <si>
    <t>MOSIP-19492</t>
  </si>
  <si>
    <t>RP_TC_48</t>
  </si>
  <si>
    <t>Update flow packet with exceptions</t>
  </si>
  <si>
    <t>RP_TC_49</t>
  </si>
  <si>
    <t>Update flow packet with all exceptions</t>
  </si>
  <si>
    <t>RP_TC_50</t>
  </si>
  <si>
    <t>Infant flow, Introducer biometrics exception.</t>
  </si>
  <si>
    <t>RP_TC_51</t>
  </si>
  <si>
    <t>Minor flow with exceptions.</t>
  </si>
  <si>
    <t>RP_TC_52</t>
  </si>
  <si>
    <t>Create a packet with low quality biometrics</t>
  </si>
  <si>
    <t>RP_TC_53</t>
  </si>
  <si>
    <t>&gt;Configure 'registration-processor-default.properties' to define priority for packet processing
&gt;Registration-processor-default.properties
acketmanager.provider.uingenerator.lastName=source:EXT_PACKET\/process:NEW|UPDATE|LOST|BIOMETRIC_CORRECTION,source:REGISTRATION_CLIENT\/process:NEW....
&gt;Application.default.propertries 
1.1 packetmanager.default.priority=source:EXT_PACKET\/process:BIOMETRIC_CORRECTION,source:REGISTRATION_CLIENT\/process:NEW|UPDATE|LOST,source:RESIDENT\/process:ACTIVATED|DEACTIVATED|RES_UPDATE|RES_REPRINT
1.2 provider.packetreader.ext=source:EXT_PACKET,process:BIOMETRIC_CORRECTION,classname:io.mosip.commons.packet.impl.PacketReaderImpl
1.3. provider.packetwriter.ext=source:EXT_PACKET,process:BIOMETRIC_CORRECTION,classname:io.mosip.commons.packet.impl.PacketWriterImpl
&gt;Restart Packetmanager-service pod</t>
  </si>
  <si>
    <t>1. Create a packet with name 'ex. John' in Reg.Client and not uploaded.
2. Create a packet with name(ex. John Ext) with same RID from Packet manager swagger witrh Source (EXT_PACKET) and process (NEW).
3. Verify the processed packet IDR based on priority configured.</t>
  </si>
  <si>
    <t>EXT_PACKET should be processed based on priority configured. 
In ID Repo should display name what we have given in EXT_PACKET. (Ex. John Ext)</t>
  </si>
  <si>
    <t>RP_TC_54</t>
  </si>
  <si>
    <t>&gt;Configure 'registration-processor-default.properties' to define priority for packet processing
&gt;Registration-processor-default.properties and Application.default.propertries as precondition above.</t>
  </si>
  <si>
    <t>1. Create a packet in Reg.Client and not uploaded.
2. Create a packet with same RID from Packet manager swagger witrh Source (EXT_PACKET) and process (UPDATE).
3. Verify the processed packet IDR based on priority configured.</t>
  </si>
  <si>
    <t>EXT_PACKET should be processed based on priority configured.</t>
  </si>
  <si>
    <t>RP_TC_55</t>
  </si>
  <si>
    <t>1. Create a packet in Reg.Client and not uploaded.
2. Create a packet with same RID from Packet manager swagger witrh Source (EXT_PACKET) and process (LOST).
3. Verify the processed packet IDR based on priority configured.</t>
  </si>
  <si>
    <t>RP_TC_56</t>
  </si>
  <si>
    <t xml:space="preserve">Remove the dmzregproc deployment </t>
  </si>
  <si>
    <t>1. Update the landing folder path for the pv corresponding to group1 pod
2. deployed the dmzregproc services. (note: if folder is not created , it will create a new one there in Console at desired location as configured.)
3. created a packet and uploaded the same.</t>
  </si>
  <si>
    <t xml:space="preserve">
Packet should be processed.</t>
  </si>
  <si>
    <t>RP_TC_57</t>
  </si>
  <si>
    <t>Configure without landing zone</t>
  </si>
  <si>
    <t xml:space="preserve"> Verify the group1 Pod status after removing the landing zone</t>
  </si>
  <si>
    <t>Group 1 pod will always be in a pending state if pv and pvc related to same is not well defined.</t>
  </si>
  <si>
    <t>RP_TC_58</t>
  </si>
  <si>
    <t>Configure two landing zones</t>
  </si>
  <si>
    <t>Verify by creating two landing zone</t>
  </si>
  <si>
    <t>Configuring two landing zone folders with respect to Group1 stage and mounting to nfs locations simultanuesly should be not allowed</t>
  </si>
  <si>
    <t>RP_TC_59</t>
  </si>
  <si>
    <t>Create and configure multiple landing zones, packets are available in landing zones</t>
  </si>
  <si>
    <t>Verify packet processing by pointing dmz-packet-server to all the landing zones.</t>
  </si>
  <si>
    <t>If the packet is present in any one of the landing zone it should pass the same to uploader via securezone notification.</t>
  </si>
  <si>
    <t>RP_TC_60</t>
  </si>
  <si>
    <t>1. Registration packet reached Packet Upload Stage.</t>
  </si>
  <si>
    <t>1. Deleted packet from landing zone.
2. Reprocess the packet deleted from landing zone.
Verify packet transaction.</t>
  </si>
  <si>
    <t>Packet reprocess should be successful</t>
  </si>
  <si>
    <t>MOSIP-19651</t>
  </si>
  <si>
    <t>RP_TC_61</t>
  </si>
  <si>
    <t>1. Packet deleted from object store.
2. Reprocess the packet and verify packet transaction.</t>
  </si>
  <si>
    <t>Packet reprocess should be successful.</t>
  </si>
  <si>
    <t>RP_TC_62</t>
  </si>
  <si>
    <t>1. Packet deleted from Landing zone and Object store.
2. Reprocess the packet and verify packet transaction.</t>
  </si>
  <si>
    <t>Packet reprocess should not be successful as packet not found in landing zone.</t>
  </si>
  <si>
    <t>RP_TC_63</t>
  </si>
  <si>
    <t>Packet classifier stage</t>
  </si>
  <si>
    <t>1. New Registration packet - AgeGroup Infant and Packet uploaded.
2. Packet processed and packet manager API is accessable.
3. Age groups (Infant &lt;5)</t>
  </si>
  <si>
    <t xml:space="preserve">
Verify packet tagging with different Age_Group Infant </t>
  </si>
  <si>
    <t>Appropriate tags ( "AGE_GROUP": "INFANT"), should be added for processed packet in Packet Classifier Stage</t>
  </si>
  <si>
    <t>RP_TC_64</t>
  </si>
  <si>
    <t>1. New Registration packet - AgeGroup Minor and Packet uploaded.
2. Packet processed and packet manager API is accessable.
3. Age groups (Minor 6 to 17)</t>
  </si>
  <si>
    <t xml:space="preserve">
Verify packet tagging with different Age_Group Minor</t>
  </si>
  <si>
    <t>Appropriate tags ( "AGE_GROUP": "MINOR"), should be added for processed packet in Packet Classifier Stage</t>
  </si>
  <si>
    <t>RP_TC_65</t>
  </si>
  <si>
    <t>1. New Registration packet - AgeGroup Adult and Packet uploaded.
2. Packet processed
3. Age groups (Adult &gt;18)</t>
  </si>
  <si>
    <t xml:space="preserve">
Verify packet tagging with different Age_Group Adult</t>
  </si>
  <si>
    <t>Appropriate tags ( "AGE_GROUP": "ADULT"), should be added for processed packet in Packet Classifier Stage</t>
  </si>
  <si>
    <t>RP_TC_66</t>
  </si>
  <si>
    <t>1. New Registration packet less Biometric_Quality and Packet uploaded.
2. Packet processed</t>
  </si>
  <si>
    <t xml:space="preserve">
Verify packet tagging with Biometric_Quality</t>
  </si>
  <si>
    <t>Appropriate tags should be added for processed packet in Packet Classifier Stage</t>
  </si>
  <si>
    <t>RP_TC_67</t>
  </si>
  <si>
    <t>1. New Registration packet with differnt exceptions and Packet uploaded.
2. Packet processed</t>
  </si>
  <si>
    <t xml:space="preserve">
Verify packet tagging with differnt exceptions</t>
  </si>
  <si>
    <t>RP_TC_68</t>
  </si>
  <si>
    <t>1. Infant New Registration packet with introducer and Packet uploaded.
2. Packet processed</t>
  </si>
  <si>
    <t xml:space="preserve">
Verify Infant packet tagging with introducer</t>
  </si>
  <si>
    <t>Appropriate tags ( "INTRODUCER_AVAILABILITY": "true") should be added for processed packet in Packet Classifier Stage</t>
  </si>
  <si>
    <t>RP_TC_69</t>
  </si>
  <si>
    <t>1. Infant New Registration packet without introducer and Packet uploaded.
2. Packet processed</t>
  </si>
  <si>
    <t xml:space="preserve">
Verify Infant packet tagging without introducer</t>
  </si>
  <si>
    <t>Appropriate tags ( "INTRODUCER_AVAILABILITY": "false") should be added for processed packet in Packet Classifier Stage</t>
  </si>
  <si>
    <t>RP_TC_70</t>
  </si>
  <si>
    <t>1. Infant New Registration packet without Fingers and Iris and Packet uploaded.
2. Packet processed</t>
  </si>
  <si>
    <t xml:space="preserve">
Verify Infant packet tagging without biometrics quality- Finger and Iris </t>
  </si>
  <si>
    <t>Appropriate tags ("Biometric_Quality-Iris": "--Biometrics-Not-Available--" and "Biometric_Quality-Finger": "--Biometrics-Not-Available--")
 should be added for processed packet in Packet Classifier Stage</t>
  </si>
  <si>
    <t>RP_TC_71</t>
  </si>
  <si>
    <t>1. Infant New Registration packet with biometric face and Packet uploaded.
2. Packet processed</t>
  </si>
  <si>
    <t xml:space="preserve">
Verify Infant packet tagging with biometric quality face</t>
  </si>
  <si>
    <t>Appropriate tags ( "Biometric_Quality-Face": "Good") should be added for processed packet in Packet Classifier Stage</t>
  </si>
  <si>
    <t>RP_TC_72</t>
  </si>
  <si>
    <t>1. New Registration packet Biometric_Quality Iris and Packet uploaded.
2. Packet processed</t>
  </si>
  <si>
    <t xml:space="preserve">
Verify packet tagging with Biometric_Quality Iris</t>
  </si>
  <si>
    <t>Appropriate tags ( "Biometric_Quality-Face": "Good") 
Appropriate tags should be added for processed packet in Packet Classifier Stage</t>
  </si>
  <si>
    <t>RP_TC_73</t>
  </si>
  <si>
    <t>1. New Registration packet with supervisorId/Officer id and Packet uploaded.
2. Packet processed</t>
  </si>
  <si>
    <t xml:space="preserve">
Verify packet tagging with supervisorId/Officer id</t>
  </si>
  <si>
    <t>Appropriate tags ("SUPERVISOR_APPROVAL_STATUS": "APPROVED"),
Should be added for processed packet in Packet Classifier Stage</t>
  </si>
  <si>
    <t>RP_TC_74</t>
  </si>
  <si>
    <t>1. Create a New packet with Gender as Male and upload.
2. Packet processed</t>
  </si>
  <si>
    <t xml:space="preserve">
Verify packet tagging with Gender</t>
  </si>
  <si>
    <t>Appropriate tags ( "ID_OBJECT-gender": "Male")should be added for processed packet in Packet Classifier Stage</t>
  </si>
  <si>
    <t>RP_TC_75</t>
  </si>
  <si>
    <t xml:space="preserve">1. New Registration packet with biometric face, fingers &amp; Iris and Packet uploaded.
2. Packet processed </t>
  </si>
  <si>
    <t>Verify Meta_Info-Captured_Registered_Devices-Face</t>
  </si>
  <si>
    <t>Appropriate tags ("META_INFO-CAPTURED_REGISTERED_DEVICES-Face": "MOSIP-FACE01-2345678901")
should be added for processed packet in Packet Classifier Stage</t>
  </si>
  <si>
    <t>RP_TC_76</t>
  </si>
  <si>
    <t>Verify Meta_Info-Captured_Registered_Devices-Finger</t>
  </si>
  <si>
    <t>Appropriate tags ("META_INFO-CAPTURED_REGISTERED_DEVICES-Finger": "MOSIP-SLAP01-1234567890")
should be added for processed packet in Packet Classifier Stage</t>
  </si>
  <si>
    <t>RP_TC_77</t>
  </si>
  <si>
    <t>1. New Registration packet with biometric face, fingers &amp; Iris and Packet uploaded.
2. Packet processed</t>
  </si>
  <si>
    <t>Verify Meta_Info-Captured_Registered_Devices-Iris</t>
  </si>
  <si>
    <t>Appropriate tags ("META_INFO-CAPTURED_REGISTERED_DEVICES-Iris": "MOSIP-SLAP01-1234567890")
should be added for processed packet in Packet Classifier Stage</t>
  </si>
  <si>
    <t>RP_TC_78</t>
  </si>
  <si>
    <t>1. New Registration packet created with residenceStatus as Foreigner and Packet uploaded.
2. Packet processed</t>
  </si>
  <si>
    <t>Verify "ID_OBJECT-residenceStatus"</t>
  </si>
  <si>
    <t>Appropriate tags ("ID_OBJECT-residenceStatus": "Foreigner")
should be added for processed packet in Packet Classifier Stage</t>
  </si>
  <si>
    <t>RP_TC_79</t>
  </si>
  <si>
    <t>1. New Registration packet created and Packet uploaded.
2. Packet processed</t>
  </si>
  <si>
    <t>Verify Meta_Info-Meta_Data-centerId</t>
  </si>
  <si>
    <t>Appropriate tags ("META_INFO-META_DATA-centerId": "10004")
should be added for processed packet in Packet Classifier Stage</t>
  </si>
  <si>
    <t>RP_TC_80</t>
  </si>
  <si>
    <t>Verify META_INFO-OPERATIONS_DATA-officerId</t>
  </si>
  <si>
    <t>Appropriate tags "META_INFO-OPERATIONS_DATA-officerId": "5151"
should be added for processed packet in Packet Classifier Stage</t>
  </si>
  <si>
    <t>RP_TC_81</t>
  </si>
  <si>
    <t>1. New Registration packet created without exceptions and Packet uploaded.
2. Packet processed</t>
  </si>
  <si>
    <t>Verify "EXCEPTION_BIOMETRICS"</t>
  </si>
  <si>
    <t>Appropriate tags "EXCEPTION_BIOMETRICS": "--TAG_VALUE_NOT_AVAILABLE--",
should be added for processed packet in Packet Classifier Stage</t>
  </si>
  <si>
    <t>RP_TC_82</t>
  </si>
  <si>
    <t>1. Create a Infant packet with Introducer
2. Upload the packet and verify packet transaction.</t>
  </si>
  <si>
    <t>INTRODUCER_VALIDATION error should be displayed as introducer is Rejected.</t>
  </si>
  <si>
    <t>Introducer packet is Rejected.</t>
  </si>
  <si>
    <t>RP_TC_83</t>
  </si>
  <si>
    <t>1. Create a Minor packet with Introducer
2. Upload the packet and verify packet transaction.</t>
  </si>
  <si>
    <t>INTRODUCER_VALIDATION error should be displayed as introducer not available in database.</t>
  </si>
  <si>
    <t>Introducer UIN not available in database.</t>
  </si>
  <si>
    <t>RP_TC_84</t>
  </si>
  <si>
    <t>RP_TC_85</t>
  </si>
  <si>
    <t>Packet should be processed successfully</t>
  </si>
  <si>
    <t>Introducer UIN available in database.</t>
  </si>
  <si>
    <t>RP_TC_86</t>
  </si>
  <si>
    <t>RP_TC_87</t>
  </si>
  <si>
    <t>Credential.credential_transaction table status_code should be displayed as 'STORED'</t>
  </si>
  <si>
    <t>UIN Generated for New Registration flow.</t>
  </si>
  <si>
    <t>Verify credential.credential_transaction table status_code with UIN generated for resident.</t>
  </si>
  <si>
    <t>RP_TC_88</t>
  </si>
  <si>
    <t>UIN Generated for Update Registration flow.</t>
  </si>
  <si>
    <t>RP_TC_89</t>
  </si>
  <si>
    <t>UIN Generated for Lost Registration flow.</t>
  </si>
  <si>
    <t>RP_TC_90</t>
  </si>
  <si>
    <t>UIN Generated for Biometric correction Registration flow.</t>
  </si>
  <si>
    <t>RP_TC_91</t>
  </si>
  <si>
    <t>create draft in "Id Repo Draft Controller"</t>
  </si>
  <si>
    <t>Verify the created draft using RID in "Id Repo Draft Controller"</t>
  </si>
  <si>
    <t>UIN should be in draft state in "Id Repo Draft Controller"</t>
  </si>
  <si>
    <t>RP_TC_92</t>
  </si>
  <si>
    <t>UIN draft is created in "RID in "Id Repo Draft Controller"</t>
  </si>
  <si>
    <t xml:space="preserve">Modify Draft by using Update draft API </t>
  </si>
  <si>
    <t>Draft should be modified successfully</t>
  </si>
  <si>
    <t>RP_TC_93</t>
  </si>
  <si>
    <t>Verify the Publishing the created draft in "Id Repo Draft Controller"</t>
  </si>
  <si>
    <t>Draft should be published successfully</t>
  </si>
  <si>
    <t>RP_TC_94</t>
  </si>
  <si>
    <t>New Registration packet created and uploaded successfully from RegClient</t>
  </si>
  <si>
    <t>Verify packet transaction.</t>
  </si>
  <si>
    <t>Packet should reach "PACKET_RECEIVER" stage with status "Packet has reached Packet Receiver"</t>
  </si>
  <si>
    <t>RP_TC_95</t>
  </si>
  <si>
    <t>Update flow packet created and uploaded successfully from RegClient</t>
  </si>
  <si>
    <t>RP_TC_96</t>
  </si>
  <si>
    <t>Lost flow packet created and uploaded successfully from RegClient</t>
  </si>
  <si>
    <t>RP_TC_97</t>
  </si>
  <si>
    <t>Biometric correction packet created and uploaded successfully from RegClient</t>
  </si>
  <si>
    <t>Packet should not land in "PACKET_RECEIVER" stage</t>
  </si>
  <si>
    <t>RP_TC_98</t>
  </si>
  <si>
    <t>New Registration packet created by RegClient and uploaded from Admin module.</t>
  </si>
  <si>
    <t>RP_TC_99</t>
  </si>
  <si>
    <t>Update flow packet created from RegClient and uploaded from Admin module.</t>
  </si>
  <si>
    <t>RP_TC_100</t>
  </si>
  <si>
    <t>Lost flow packet created from RegClient and uploaded from Admin module.</t>
  </si>
  <si>
    <t>RP_TC_101</t>
  </si>
  <si>
    <t>Biometric correction flow packet created from RegClient and uploaded by Admin module.</t>
  </si>
  <si>
    <t>RP_TC_102</t>
  </si>
  <si>
    <t>1. Update Registration packet created from Resident
 2. Packet uploaded to server successfully.</t>
  </si>
  <si>
    <t>RP_TC_103</t>
  </si>
  <si>
    <t>1. Registration packet created from RegClient
 2. Change the packet extention and upload the packet from Admin.</t>
  </si>
  <si>
    <t>Packet should not reach to "PACKET_RECEIVER" stage.</t>
  </si>
  <si>
    <t>RP_TC_104</t>
  </si>
  <si>
    <t>Reuploading same packet multiple times from Admin module.</t>
  </si>
  <si>
    <t>"PACKET_RECEIVER" stage should receive only one packet.</t>
  </si>
  <si>
    <t>RP_TC_105</t>
  </si>
  <si>
    <t>1. Packet created from PRID fetch.
2. Packet status is processed</t>
  </si>
  <si>
    <t>Verify Pre-Registration packet consumed status.</t>
  </si>
  <si>
    <t>processed_prereg_list status_code should be displayed as 'Consumed"</t>
  </si>
  <si>
    <t>RP_TC_106</t>
  </si>
  <si>
    <t>UNUSED UIN available.</t>
  </si>
  <si>
    <t>1. Update flow processed packet with UNUSED UIN.
2. Verify the packet transaction.</t>
  </si>
  <si>
    <t>VALIDATE_PACKET should be displayed with error as "Packet validation failed RPR-PVM-012  --&gt; Invalid UIN-No Record(s) found"</t>
  </si>
  <si>
    <t>RP_TC_107</t>
  </si>
  <si>
    <t>1. Update flow processed packet with ISSUED.
2. Verify the packet transaction.</t>
  </si>
  <si>
    <t>Packet transaction should be successful</t>
  </si>
  <si>
    <t>RP_TC_108</t>
  </si>
  <si>
    <t>1. PreRegistration packet created.
2. Packet processed from RegClient.</t>
  </si>
  <si>
    <t>Verify prereg.processed_prereg_list pre-registration application consumed status.</t>
  </si>
  <si>
    <t>prereg.processed_prereg_list status should be Consumed.</t>
  </si>
  <si>
    <t>RP_TC_109</t>
  </si>
  <si>
    <t>1. Registration packet reached Packet Validator Stage.
 2. Packet registration status is in-progress.</t>
  </si>
  <si>
    <t>Verify resident receives notification for packet processing.
Verify email notifaction is coming in seleted language Ex. Arabic</t>
  </si>
  <si>
    <t>Resident should receive email notification for packet processing status.
Email notifactions should come in seleted prefered language. For Arabic RTL should display.</t>
  </si>
  <si>
    <t>RP_TC_110</t>
  </si>
  <si>
    <t>Verify registration client audits are saved to audit database.</t>
  </si>
  <si>
    <t>Registration client audits each transaction entry should be saved in audit database.</t>
  </si>
  <si>
    <t>RP_TC_111</t>
  </si>
  <si>
    <t>Packet rejected by supervisor in RegClient</t>
  </si>
  <si>
    <t>Verify packet transaction in packet validator stage.</t>
  </si>
  <si>
    <t>Packet validator error and packet marked as Rejected.</t>
  </si>
  <si>
    <t>RP_TC_112</t>
  </si>
  <si>
    <t>Quality classifier stage</t>
  </si>
  <si>
    <t>1. Registration packet reached Packet Classifier Stage.
 2. classifier.tagging.quality.ranges configured for Poor, Average and Good.</t>
  </si>
  <si>
    <t>1. Packet created with low score for Face.
 2. Verify packet tagging</t>
  </si>
  <si>
    <t>Packet should be tagged based on quality range.</t>
  </si>
  <si>
    <t>RP_TC_113</t>
  </si>
  <si>
    <t>1. Packet created with low score for IRIS.
 2. Verify packet tagging</t>
  </si>
  <si>
    <t>RP_TC_114</t>
  </si>
  <si>
    <t>1. Packet created with low score for Finger.
 2. Verify packet tagging</t>
  </si>
  <si>
    <t>RP_TC_115</t>
  </si>
  <si>
    <t>CMD-validator-stage</t>
  </si>
  <si>
    <t>1. Registration packet reached CMD-validator-stage.
 2. Machine not found in database</t>
  </si>
  <si>
    <t>1. Packet created and uploaded to server.
 2. Verify packet transaction status.</t>
  </si>
  <si>
    <t>Packet should be stuck at CMD validator stage as Machine not found during packet creation..</t>
  </si>
  <si>
    <t>RP_TC_116</t>
  </si>
  <si>
    <t>1. Registration packet reached CMD-validator-stage.
 2. Machine is Not Active in database.</t>
  </si>
  <si>
    <t>Packet should be stuck at CMD validator stage as Machine not active during packet creation. "Exception occured due to validation failure.Machine ID was InActive during Packet Creation - 10099 --&gt; RPR-CMD-FAILED-005"</t>
  </si>
  <si>
    <t>RP_TC_117</t>
  </si>
  <si>
    <t>1. Registration packet reached CMD-validator-stage.
 2. Machine and center is not mapped.</t>
  </si>
  <si>
    <t>Packet should be stuck at CMD validator stage as Machine not mapped to center.</t>
  </si>
  <si>
    <t>RP_TC_118</t>
  </si>
  <si>
    <t>1. Registration packet reached CMD-validator-stage.
 2. Center is Not Active in database.</t>
  </si>
  <si>
    <t>Packet should be stuck at CMD validator stage as Center not active during packet creation.
"Packet validation failed Registration Center not found --&gt; RPR-CMD-FAILED-011"</t>
  </si>
  <si>
    <t>RP_TC_119</t>
  </si>
  <si>
    <t>RP_TC_120</t>
  </si>
  <si>
    <t>RP_TC_121</t>
  </si>
  <si>
    <t>RP_TC_122</t>
  </si>
  <si>
    <t>RP_TC_123</t>
  </si>
  <si>
    <t>RP_TC_124</t>
  </si>
  <si>
    <t>RP_TC_125</t>
  </si>
  <si>
    <t>RP_TC_126</t>
  </si>
  <si>
    <t>RP_TC_127</t>
  </si>
  <si>
    <t>Operator validator stage</t>
  </si>
  <si>
    <t>1. Registration packet reached Operator validator stage.
 2. Operator is In active.</t>
  </si>
  <si>
    <t>"Packet validation failed Officer was Not Active during Packet Creation - 5151 --&gt; RPR-OVM-FAILED-004". 
OPERATOR_VALIDATION with status "Packet validation failed Officer was Not Active during Packet Creation"</t>
  </si>
  <si>
    <t>RP_TC_128</t>
  </si>
  <si>
    <t>1. Registration packet reached Operator validator stage.
 2. Operator is active.</t>
  </si>
  <si>
    <t>OPERATOR_VALIDATION should be Successful</t>
  </si>
  <si>
    <t>RP_TC_129</t>
  </si>
  <si>
    <t>1. Registration packet reached Operator validator stage.
 2. Operator not mapped against the correct center during packet creation.</t>
  </si>
  <si>
    <t>OPERATOR_VALIDATION error should be displayed as supervisor is not mapped to correct center.</t>
  </si>
  <si>
    <t>RP_TC_130</t>
  </si>
  <si>
    <t>1. Registration packet reached Operator validator stage.
 2. Operator mapped against the correct center during packet creation.</t>
  </si>
  <si>
    <t>RP_TC_131</t>
  </si>
  <si>
    <t>Supervisor validator stage</t>
  </si>
  <si>
    <t>1. Registration packet reached Operator validator stage.
 2. Supervisor is In active.</t>
  </si>
  <si>
    <t>SUPERVISOR_VALIDATION with status "Packet validation failed Officer was Not Active during Packet Creation"</t>
  </si>
  <si>
    <t>RP_TC_132</t>
  </si>
  <si>
    <t>1. Registration packet reached Operator validator stage.
 2. Supervisor is active.</t>
  </si>
  <si>
    <t>SUPERVISOR_VALIDATION should be Successful</t>
  </si>
  <si>
    <t>RP_TC_133</t>
  </si>
  <si>
    <t>1. Registration packet reached Operator validator stage.
 2. Supervisor not mapped against the correct center during packet creation.</t>
  </si>
  <si>
    <t>SUPERVISOR_VALIDATION error should be displayed as supervisor is not mapped to correct center.</t>
  </si>
  <si>
    <t>RP_TC_134</t>
  </si>
  <si>
    <t>1. Registration packet reached Operator validator stage.
 2. Supervisor mapped against the correct center during packet creation.</t>
  </si>
  <si>
    <t>RP_TC_135</t>
  </si>
  <si>
    <t>RP_TC_136</t>
  </si>
  <si>
    <t>RP_TC_137</t>
  </si>
  <si>
    <t>RP_TC_138</t>
  </si>
</sst>
</file>

<file path=xl/styles.xml><?xml version="1.0" encoding="utf-8"?>
<styleSheet xmlns="http://schemas.openxmlformats.org/spreadsheetml/2006/main" xmlns:x14ac="http://schemas.microsoft.com/office/spreadsheetml/2009/9/ac" xmlns:mc="http://schemas.openxmlformats.org/markup-compatibility/2006">
  <fonts count="53">
    <font>
      <sz val="11.0"/>
      <color theme="1"/>
      <name val="Arial"/>
    </font>
    <font>
      <sz val="8.0"/>
      <color theme="1"/>
      <name val="Verdana"/>
    </font>
    <font>
      <b/>
      <sz val="8.0"/>
      <color theme="1"/>
      <name val="Verdana"/>
    </font>
    <font>
      <b/>
      <sz val="8.0"/>
      <color theme="9"/>
      <name val="Verdana"/>
    </font>
    <font>
      <b/>
      <sz val="8.0"/>
      <color theme="7"/>
      <name val="Verdana"/>
    </font>
    <font>
      <b/>
      <sz val="8.0"/>
      <color rgb="FFFFFFFF"/>
      <name val="Verdana"/>
    </font>
    <font/>
    <font>
      <i/>
      <sz val="8.0"/>
      <color rgb="FF000000"/>
      <name val="Verdana"/>
    </font>
    <font>
      <b/>
      <sz val="8.0"/>
      <color rgb="FFFF0000"/>
      <name val="Verdana"/>
    </font>
    <font>
      <b/>
      <sz val="8.0"/>
      <color rgb="FFFFC000"/>
      <name val="Verdana"/>
    </font>
    <font>
      <i/>
      <sz val="8.0"/>
      <color theme="1"/>
      <name val="Verdana"/>
    </font>
    <font>
      <sz val="8.0"/>
      <color rgb="FF000000"/>
      <name val="Verdana"/>
    </font>
    <font>
      <b/>
      <sz val="8.0"/>
      <color rgb="FF6AA84F"/>
      <name val="Verdana"/>
    </font>
    <font>
      <b/>
      <sz val="8.0"/>
      <color rgb="FFF6B26B"/>
      <name val="Verdana"/>
    </font>
    <font>
      <b/>
      <sz val="8.0"/>
      <color rgb="FFFF9900"/>
      <name val="Verdana"/>
    </font>
    <font>
      <b/>
      <i/>
      <sz val="8.0"/>
      <color theme="1"/>
      <name val="Verdana"/>
    </font>
    <font>
      <b/>
      <sz val="8.0"/>
      <color rgb="FF000000"/>
      <name val="Verdana"/>
    </font>
    <font>
      <sz val="11.0"/>
      <color theme="1"/>
      <name val="Calibri"/>
    </font>
    <font>
      <b/>
      <i/>
      <sz val="9.0"/>
      <color rgb="FF0B5394"/>
      <name val="Verdana"/>
    </font>
    <font>
      <sz val="8.0"/>
      <color theme="0"/>
      <name val="Verdana"/>
    </font>
    <font>
      <sz val="8.0"/>
      <name val="Verdana"/>
    </font>
    <font>
      <sz val="11.0"/>
      <color theme="0"/>
      <name val="Calibri"/>
    </font>
    <font>
      <sz val="11.0"/>
      <color rgb="FFFFFFFF"/>
      <name val="Calibri"/>
    </font>
    <font>
      <sz val="9.0"/>
      <color theme="1"/>
      <name val="Calibri"/>
    </font>
    <font>
      <b/>
      <sz val="11.0"/>
      <color theme="1"/>
      <name val="Calibri"/>
    </font>
    <font>
      <b/>
      <sz val="11.0"/>
      <color rgb="FFFFFFFF"/>
      <name val="Calibri"/>
    </font>
    <font>
      <b/>
      <sz val="11.0"/>
      <color theme="0"/>
      <name val="Calibri"/>
    </font>
    <font>
      <sz val="11.0"/>
      <name val="Calibri"/>
    </font>
    <font>
      <sz val="11.0"/>
      <name val="Docs-Calibri"/>
    </font>
    <font>
      <b/>
      <sz val="11.0"/>
      <color rgb="FF000000"/>
      <name val="Calibri"/>
    </font>
    <font>
      <sz val="11.0"/>
      <color rgb="FF000000"/>
      <name val="Calibri"/>
    </font>
    <font>
      <b/>
      <sz val="11.0"/>
      <name val="Calibri"/>
    </font>
    <font>
      <color theme="1"/>
      <name val="Calibri"/>
    </font>
    <font>
      <b/>
      <sz val="9.0"/>
      <color theme="1"/>
      <name val="Docs-Calibri"/>
    </font>
    <font>
      <sz val="11.0"/>
      <color rgb="FF444444"/>
      <name val="Calibri"/>
    </font>
    <font>
      <sz val="11.0"/>
      <color rgb="FF091E42"/>
      <name val="Calibri"/>
    </font>
    <font>
      <u/>
      <sz val="11.0"/>
      <color rgb="FF000000"/>
      <name val="Calibri"/>
    </font>
    <font>
      <u/>
      <sz val="11.0"/>
      <color rgb="FF000000"/>
      <name val="Calibri"/>
    </font>
    <font>
      <sz val="11.0"/>
      <color rgb="FF000000"/>
      <name val="Docs-Calibri"/>
    </font>
    <font>
      <u/>
      <sz val="11.0"/>
      <color rgb="FF0000FF"/>
      <name val="Calibri"/>
    </font>
    <font>
      <sz val="11.0"/>
      <color theme="1"/>
      <name val="Docs-Calibri"/>
    </font>
    <font>
      <sz val="9.0"/>
      <color rgb="FF000000"/>
      <name val="Calibri"/>
    </font>
    <font>
      <u/>
      <sz val="11.0"/>
      <color rgb="FF0563C1"/>
      <name val="Calibri"/>
    </font>
    <font>
      <sz val="11.0"/>
      <color rgb="FF172B4D"/>
      <name val="&quot;Segoe UI&quot;"/>
    </font>
    <font>
      <u/>
      <sz val="11.0"/>
      <color rgb="FF000000"/>
      <name val="Calibri"/>
    </font>
    <font>
      <color rgb="FF000000"/>
      <name val="Calibri"/>
    </font>
    <font>
      <color rgb="FF000000"/>
      <name val="Arial"/>
    </font>
    <font>
      <sz val="11.0"/>
      <color rgb="FFFF0000"/>
      <name val="Calibri"/>
    </font>
    <font>
      <sz val="11.0"/>
      <color rgb="FF172B4D"/>
      <name val="Calibri"/>
    </font>
    <font>
      <sz val="11.0"/>
      <color rgb="FF1D1C1D"/>
      <name val="Calibri"/>
    </font>
    <font>
      <b/>
      <color rgb="FF000000"/>
      <name val="Calibri"/>
    </font>
    <font>
      <u/>
      <sz val="11.0"/>
      <color rgb="FF000000"/>
      <name val="Calibri"/>
    </font>
    <font>
      <color theme="1"/>
      <name val="Arial"/>
    </font>
  </fonts>
  <fills count="11">
    <fill>
      <patternFill patternType="none"/>
    </fill>
    <fill>
      <patternFill patternType="lightGray"/>
    </fill>
    <fill>
      <patternFill patternType="solid">
        <fgColor rgb="FF073763"/>
        <bgColor rgb="FF073763"/>
      </patternFill>
    </fill>
    <fill>
      <patternFill patternType="solid">
        <fgColor rgb="FFCFE2F3"/>
        <bgColor rgb="FFCFE2F3"/>
      </patternFill>
    </fill>
    <fill>
      <patternFill patternType="solid">
        <fgColor theme="7"/>
        <bgColor theme="7"/>
      </patternFill>
    </fill>
    <fill>
      <patternFill patternType="solid">
        <fgColor rgb="FF3D85C6"/>
        <bgColor rgb="FF3D85C6"/>
      </patternFill>
    </fill>
    <fill>
      <patternFill patternType="solid">
        <fgColor rgb="FFFFFFFF"/>
        <bgColor rgb="FFFFFFFF"/>
      </patternFill>
    </fill>
    <fill>
      <patternFill patternType="solid">
        <fgColor rgb="FF1C4587"/>
        <bgColor rgb="FF1C4587"/>
      </patternFill>
    </fill>
    <fill>
      <patternFill patternType="solid">
        <fgColor rgb="FF8EA9DB"/>
        <bgColor rgb="FF8EA9DB"/>
      </patternFill>
    </fill>
    <fill>
      <patternFill patternType="solid">
        <fgColor theme="0"/>
        <bgColor theme="0"/>
      </patternFill>
    </fill>
    <fill>
      <patternFill patternType="solid">
        <fgColor rgb="FFF8F8F8"/>
        <bgColor rgb="FFF8F8F8"/>
      </patternFill>
    </fill>
  </fills>
  <borders count="26">
    <border/>
    <border>
      <left style="thick">
        <color rgb="FF000000"/>
      </left>
    </border>
    <border>
      <right style="thick">
        <color rgb="FF000000"/>
      </right>
    </border>
    <border>
      <left style="thick">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ck">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ttom style="thick">
        <color rgb="FF000000"/>
      </bottom>
    </border>
    <border>
      <bottom style="thick">
        <color rgb="FF000000"/>
      </bottom>
    </border>
    <border>
      <right style="thick">
        <color rgb="FF000000"/>
      </right>
      <bottom style="thick">
        <color rgb="FF000000"/>
      </bottom>
    </border>
    <border>
      <right style="thin">
        <color rgb="FF000000"/>
      </right>
      <top style="thin">
        <color rgb="FF000000"/>
      </top>
    </border>
    <border>
      <left style="thin">
        <color rgb="FF000000"/>
      </left>
      <right style="thin">
        <color rgb="FF000000"/>
      </right>
      <top style="thin">
        <color rgb="FF000000"/>
      </top>
    </border>
    <border>
      <left style="thick">
        <color rgb="FF000000"/>
      </left>
      <right style="thin">
        <color rgb="FF000000"/>
      </right>
      <bottom style="thin">
        <color rgb="FF000000"/>
      </bottom>
    </border>
    <border>
      <left style="thin">
        <color rgb="FF000000"/>
      </left>
      <right style="thick">
        <color rgb="FF000000"/>
      </right>
      <top style="thin">
        <color rgb="FF000000"/>
      </top>
      <bottom style="thin">
        <color rgb="FF000000"/>
      </bottom>
    </border>
    <border>
      <left style="thin">
        <color rgb="FF000000"/>
      </left>
      <right style="thin">
        <color rgb="FF000000"/>
      </right>
    </border>
    <border>
      <right style="thin">
        <color rgb="FF000000"/>
      </right>
    </border>
    <border>
      <right style="thin">
        <color rgb="FF000000"/>
      </right>
      <bottom style="thin">
        <color rgb="FF000000"/>
      </bottom>
    </border>
    <border>
      <left style="thin">
        <color rgb="FF000000"/>
      </left>
      <bottom style="thin">
        <color rgb="FF000000"/>
      </bottom>
    </border>
    <border>
      <bottom style="thin">
        <color rgb="FF000000"/>
      </bottom>
    </border>
    <border>
      <left style="thin">
        <color rgb="FF000000"/>
      </left>
    </border>
  </borders>
  <cellStyleXfs count="1">
    <xf borderId="0" fillId="0" fontId="0" numFmtId="0" applyAlignment="1" applyFont="1"/>
  </cellStyleXfs>
  <cellXfs count="525">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1" fillId="0" fontId="1" numFmtId="0" xfId="0" applyBorder="1" applyFont="1"/>
    <xf borderId="0" fillId="0" fontId="2" numFmtId="0" xfId="0" applyFont="1"/>
    <xf borderId="0" fillId="0" fontId="3" numFmtId="0" xfId="0" applyFont="1"/>
    <xf borderId="0" fillId="0" fontId="4" numFmtId="0" xfId="0" applyFont="1"/>
    <xf borderId="2" fillId="0" fontId="1" numFmtId="0" xfId="0" applyBorder="1" applyFont="1"/>
    <xf borderId="1" fillId="2" fontId="5" numFmtId="0" xfId="0" applyAlignment="1" applyBorder="1" applyFill="1" applyFont="1">
      <alignment horizontal="center" readingOrder="0"/>
    </xf>
    <xf borderId="0" fillId="2" fontId="5" numFmtId="0" xfId="0" applyAlignment="1" applyFont="1">
      <alignment horizontal="center" readingOrder="0"/>
    </xf>
    <xf borderId="0" fillId="3" fontId="2" numFmtId="0" xfId="0" applyAlignment="1" applyFill="1" applyFont="1">
      <alignment horizontal="center" readingOrder="0" textRotation="0" vertical="center"/>
    </xf>
    <xf borderId="0" fillId="4" fontId="2" numFmtId="0" xfId="0" applyAlignment="1" applyFill="1" applyFont="1">
      <alignment horizontal="center" readingOrder="0"/>
    </xf>
    <xf borderId="3" fillId="5" fontId="5" numFmtId="0" xfId="0" applyAlignment="1" applyBorder="1" applyFill="1" applyFont="1">
      <alignment horizontal="center" readingOrder="0" shrinkToFit="0" vertical="bottom" wrapText="0"/>
    </xf>
    <xf borderId="4" fillId="4" fontId="2" numFmtId="0" xfId="0" applyAlignment="1" applyBorder="1" applyFont="1">
      <alignment horizontal="center" readingOrder="0" shrinkToFit="0" vertical="bottom" wrapText="0"/>
    </xf>
    <xf borderId="5" fillId="0" fontId="6" numFmtId="0" xfId="0" applyBorder="1" applyFont="1"/>
    <xf borderId="6" fillId="0" fontId="6" numFmtId="0" xfId="0" applyBorder="1" applyFont="1"/>
    <xf borderId="7" fillId="0" fontId="6" numFmtId="0" xfId="0" applyBorder="1" applyFont="1"/>
    <xf borderId="8" fillId="5" fontId="5" numFmtId="0" xfId="0" applyAlignment="1" applyBorder="1" applyFont="1">
      <alignment horizontal="center" readingOrder="0"/>
    </xf>
    <xf borderId="0" fillId="0" fontId="1" numFmtId="0" xfId="0" applyAlignment="1" applyFont="1">
      <alignment horizontal="center"/>
    </xf>
    <xf borderId="3" fillId="6" fontId="7" numFmtId="0" xfId="0" applyBorder="1" applyFill="1" applyFont="1"/>
    <xf borderId="6" fillId="0" fontId="2" numFmtId="0" xfId="0" applyAlignment="1" applyBorder="1" applyFont="1">
      <alignment horizontal="center" readingOrder="0"/>
    </xf>
    <xf borderId="8" fillId="0" fontId="3" numFmtId="0" xfId="0" applyAlignment="1" applyBorder="1" applyFont="1">
      <alignment horizontal="center" readingOrder="0"/>
    </xf>
    <xf borderId="8" fillId="0" fontId="8" numFmtId="0" xfId="0" applyAlignment="1" applyBorder="1" applyFont="1">
      <alignment horizontal="center" readingOrder="0"/>
    </xf>
    <xf borderId="4" fillId="0" fontId="9" numFmtId="0" xfId="0" applyAlignment="1" applyBorder="1" applyFont="1">
      <alignment horizontal="center" readingOrder="0"/>
    </xf>
    <xf borderId="3" fillId="0" fontId="10" numFmtId="0" xfId="0" applyBorder="1" applyFont="1"/>
    <xf borderId="8" fillId="0" fontId="2" numFmtId="0" xfId="0" applyAlignment="1" applyBorder="1" applyFont="1">
      <alignment horizontal="center" readingOrder="0"/>
    </xf>
    <xf borderId="4" fillId="0" fontId="4" numFmtId="0" xfId="0" applyAlignment="1" applyBorder="1" applyFont="1">
      <alignment horizontal="center" readingOrder="0"/>
    </xf>
    <xf borderId="4" fillId="0" fontId="8" numFmtId="0" xfId="0" applyAlignment="1" applyBorder="1" applyFont="1">
      <alignment horizontal="center" readingOrder="0"/>
    </xf>
    <xf borderId="8" fillId="0" fontId="2" numFmtId="0" xfId="0" applyAlignment="1" applyBorder="1" applyFont="1">
      <alignment horizontal="center" vertical="bottom"/>
    </xf>
    <xf borderId="6" fillId="0" fontId="3" numFmtId="0" xfId="0" applyAlignment="1" applyBorder="1" applyFont="1">
      <alignment horizontal="center" vertical="bottom"/>
    </xf>
    <xf borderId="6" fillId="0" fontId="8" numFmtId="0" xfId="0" applyAlignment="1" applyBorder="1" applyFont="1">
      <alignment horizontal="center" vertical="bottom"/>
    </xf>
    <xf borderId="7" fillId="0" fontId="4" numFmtId="0" xfId="0" applyAlignment="1" applyBorder="1" applyFont="1">
      <alignment horizontal="center" vertical="bottom"/>
    </xf>
    <xf borderId="8" fillId="6" fontId="11" numFmtId="0" xfId="0" applyAlignment="1" applyBorder="1" applyFont="1">
      <alignment horizontal="right" readingOrder="0" shrinkToFit="0" vertical="bottom" wrapText="0"/>
    </xf>
    <xf borderId="8" fillId="0" fontId="1" numFmtId="0" xfId="0" applyAlignment="1" applyBorder="1" applyFont="1">
      <alignment horizontal="center"/>
    </xf>
    <xf borderId="9" fillId="0" fontId="2" numFmtId="0" xfId="0" applyAlignment="1" applyBorder="1" applyFont="1">
      <alignment horizontal="center"/>
    </xf>
    <xf borderId="9" fillId="0" fontId="1" numFmtId="0" xfId="0" applyAlignment="1" applyBorder="1" applyFont="1">
      <alignment horizontal="center"/>
    </xf>
    <xf borderId="8" fillId="0" fontId="12" numFmtId="0" xfId="0" applyAlignment="1" applyBorder="1" applyFont="1">
      <alignment horizontal="center"/>
    </xf>
    <xf borderId="8" fillId="0" fontId="8" numFmtId="0" xfId="0" applyAlignment="1" applyBorder="1" applyFont="1">
      <alignment horizontal="center"/>
    </xf>
    <xf borderId="8" fillId="0" fontId="13" numFmtId="0" xfId="0" applyAlignment="1" applyBorder="1" applyFont="1">
      <alignment horizontal="center"/>
    </xf>
    <xf borderId="8" fillId="0" fontId="2" numFmtId="0" xfId="0" applyAlignment="1" applyBorder="1" applyFont="1">
      <alignment horizontal="center"/>
    </xf>
    <xf borderId="8" fillId="0" fontId="3" numFmtId="0" xfId="0" applyAlignment="1" applyBorder="1" applyFont="1">
      <alignment horizontal="center"/>
    </xf>
    <xf borderId="4" fillId="0" fontId="8" numFmtId="0" xfId="0" applyAlignment="1" applyBorder="1" applyFont="1">
      <alignment horizontal="center"/>
    </xf>
    <xf borderId="3" fillId="0" fontId="1" numFmtId="0" xfId="0" applyBorder="1" applyFont="1"/>
    <xf borderId="0" fillId="6" fontId="11" numFmtId="0" xfId="0" applyAlignment="1" applyFont="1">
      <alignment readingOrder="0" shrinkToFit="0" vertical="bottom" wrapText="0"/>
    </xf>
    <xf borderId="0" fillId="0" fontId="12" numFmtId="0" xfId="0" applyAlignment="1" applyFont="1">
      <alignment horizontal="center"/>
    </xf>
    <xf borderId="0" fillId="0" fontId="8" numFmtId="0" xfId="0" applyAlignment="1" applyFont="1">
      <alignment horizontal="center"/>
    </xf>
    <xf borderId="0" fillId="0" fontId="13" numFmtId="0" xfId="0" applyAlignment="1" applyFont="1">
      <alignment horizontal="center"/>
    </xf>
    <xf borderId="0" fillId="0" fontId="2" numFmtId="0" xfId="0" applyAlignment="1" applyFont="1">
      <alignment horizontal="center"/>
    </xf>
    <xf borderId="0" fillId="0" fontId="3" numFmtId="0" xfId="0" applyAlignment="1" applyFont="1">
      <alignment horizontal="center"/>
    </xf>
    <xf borderId="0" fillId="0" fontId="14" numFmtId="0" xfId="0" applyAlignment="1" applyFont="1">
      <alignment horizontal="center"/>
    </xf>
    <xf borderId="4" fillId="0" fontId="15" numFmtId="0" xfId="0" applyAlignment="1" applyBorder="1" applyFont="1">
      <alignment readingOrder="0"/>
    </xf>
    <xf borderId="4" fillId="6" fontId="16" numFmtId="0" xfId="0" applyAlignment="1" applyBorder="1" applyFont="1">
      <alignment horizontal="right" readingOrder="0" shrinkToFit="0" vertical="bottom" wrapText="0"/>
    </xf>
    <xf borderId="4" fillId="0" fontId="1" numFmtId="9" xfId="0" applyAlignment="1" applyBorder="1" applyFont="1" applyNumberFormat="1">
      <alignment horizontal="left"/>
    </xf>
    <xf borderId="3" fillId="0" fontId="10" numFmtId="0" xfId="0" applyAlignment="1" applyBorder="1" applyFont="1">
      <alignment readingOrder="0"/>
    </xf>
    <xf borderId="6" fillId="0" fontId="2" numFmtId="0" xfId="0" applyAlignment="1" applyBorder="1" applyFont="1">
      <alignment horizontal="center"/>
    </xf>
    <xf borderId="1" fillId="0" fontId="17" numFmtId="0" xfId="0" applyAlignment="1" applyBorder="1" applyFont="1">
      <alignment vertical="bottom"/>
    </xf>
    <xf borderId="0" fillId="0" fontId="17" numFmtId="0" xfId="0" applyAlignment="1" applyFont="1">
      <alignment vertical="bottom"/>
    </xf>
    <xf borderId="2" fillId="0" fontId="17" numFmtId="0" xfId="0" applyAlignment="1" applyBorder="1" applyFont="1">
      <alignment vertical="bottom"/>
    </xf>
    <xf borderId="10" fillId="0" fontId="18" numFmtId="0" xfId="0" applyBorder="1" applyFont="1"/>
    <xf borderId="11" fillId="0" fontId="6" numFmtId="0" xfId="0" applyBorder="1" applyFont="1"/>
    <xf borderId="12" fillId="0" fontId="6" numFmtId="0" xfId="0" applyBorder="1" applyFont="1"/>
    <xf borderId="1" fillId="0" fontId="18" numFmtId="0" xfId="0" applyBorder="1" applyFont="1"/>
    <xf borderId="2" fillId="0" fontId="6" numFmtId="0" xfId="0" applyBorder="1" applyFont="1"/>
    <xf borderId="13" fillId="0" fontId="18" numFmtId="0" xfId="0" applyBorder="1" applyFont="1"/>
    <xf borderId="14" fillId="0" fontId="6" numFmtId="0" xfId="0" applyBorder="1" applyFont="1"/>
    <xf borderId="15" fillId="0" fontId="6" numFmtId="0" xfId="0" applyBorder="1" applyFont="1"/>
    <xf borderId="0" fillId="0" fontId="19" numFmtId="0" xfId="0" applyFont="1"/>
    <xf borderId="2" fillId="0" fontId="17" numFmtId="0" xfId="0" applyAlignment="1" applyBorder="1" applyFont="1">
      <alignment vertical="bottom"/>
    </xf>
    <xf borderId="6" fillId="0" fontId="10" numFmtId="0" xfId="0" applyBorder="1" applyFont="1"/>
    <xf borderId="16" fillId="0" fontId="10" numFmtId="0" xfId="0" applyBorder="1" applyFont="1"/>
    <xf borderId="17" fillId="0" fontId="2" numFmtId="0" xfId="0" applyAlignment="1" applyBorder="1" applyFont="1">
      <alignment horizontal="center"/>
    </xf>
    <xf borderId="17" fillId="0" fontId="3" numFmtId="0" xfId="0" applyAlignment="1" applyBorder="1" applyFont="1">
      <alignment horizontal="center"/>
    </xf>
    <xf borderId="17" fillId="0" fontId="8" numFmtId="0" xfId="0" applyAlignment="1" applyBorder="1" applyFont="1">
      <alignment horizontal="center"/>
    </xf>
    <xf borderId="18" fillId="0" fontId="1" numFmtId="0" xfId="0" applyBorder="1" applyFont="1"/>
    <xf borderId="19" fillId="0" fontId="4" numFmtId="0" xfId="0" applyAlignment="1" applyBorder="1" applyFont="1">
      <alignment horizontal="center" readingOrder="0"/>
    </xf>
    <xf borderId="19" fillId="0" fontId="9" numFmtId="0" xfId="0" applyAlignment="1" applyBorder="1" applyFont="1">
      <alignment horizontal="center" readingOrder="0"/>
    </xf>
    <xf borderId="0" fillId="0" fontId="20" numFmtId="0" xfId="0" applyFont="1"/>
    <xf borderId="6" fillId="0" fontId="1" numFmtId="0" xfId="0" applyBorder="1" applyFont="1"/>
    <xf borderId="0" fillId="0" fontId="17" numFmtId="0" xfId="0" applyFont="1"/>
    <xf borderId="0" fillId="7" fontId="21" numFmtId="0" xfId="0" applyAlignment="1" applyFill="1" applyFont="1">
      <alignment horizontal="center" readingOrder="0" vertical="center"/>
    </xf>
    <xf borderId="4" fillId="3" fontId="17" numFmtId="0" xfId="0" applyAlignment="1" applyBorder="1" applyFont="1">
      <alignment horizontal="center" readingOrder="0"/>
    </xf>
    <xf borderId="8" fillId="7" fontId="22" numFmtId="0" xfId="0" applyAlignment="1" applyBorder="1" applyFont="1">
      <alignment horizontal="center" readingOrder="0"/>
    </xf>
    <xf borderId="17" fillId="7" fontId="22" numFmtId="0" xfId="0" applyAlignment="1" applyBorder="1" applyFont="1">
      <alignment horizontal="center" readingOrder="0"/>
    </xf>
    <xf borderId="8" fillId="0" fontId="17" numFmtId="0" xfId="0" applyAlignment="1" applyBorder="1" applyFont="1">
      <alignment vertical="bottom"/>
    </xf>
    <xf borderId="8" fillId="0" fontId="17" numFmtId="0" xfId="0" applyAlignment="1" applyBorder="1" applyFont="1">
      <alignment horizontal="center" readingOrder="0"/>
    </xf>
    <xf borderId="8" fillId="0" fontId="17" numFmtId="0" xfId="0" applyAlignment="1" applyBorder="1" applyFont="1">
      <alignment horizontal="center"/>
    </xf>
    <xf borderId="0" fillId="6" fontId="23" numFmtId="0" xfId="0" applyAlignment="1" applyFont="1">
      <alignment horizontal="center" vertical="bottom"/>
    </xf>
    <xf borderId="4" fillId="0" fontId="17" numFmtId="0" xfId="0" applyAlignment="1" applyBorder="1" applyFont="1">
      <alignment horizontal="center"/>
    </xf>
    <xf borderId="8" fillId="6" fontId="23" numFmtId="0" xfId="0" applyAlignment="1" applyBorder="1" applyFont="1">
      <alignment horizontal="center" vertical="bottom"/>
    </xf>
    <xf borderId="8" fillId="6" fontId="23" numFmtId="0" xfId="0" applyAlignment="1" applyBorder="1" applyFont="1">
      <alignment horizontal="center" readingOrder="0" vertical="bottom"/>
    </xf>
    <xf borderId="0" fillId="0" fontId="24" numFmtId="0" xfId="0" applyAlignment="1" applyFont="1">
      <alignment horizontal="center"/>
    </xf>
    <xf borderId="8" fillId="0" fontId="24" numFmtId="0" xfId="0" applyAlignment="1" applyBorder="1" applyFont="1">
      <alignment readingOrder="0"/>
    </xf>
    <xf borderId="8" fillId="0" fontId="24" numFmtId="0" xfId="0" applyAlignment="1" applyBorder="1" applyFont="1">
      <alignment horizontal="center"/>
    </xf>
    <xf borderId="8" fillId="2" fontId="25" numFmtId="0" xfId="0" applyAlignment="1" applyBorder="1" applyFont="1">
      <alignment horizontal="center" shrinkToFit="0" vertical="center" wrapText="1"/>
    </xf>
    <xf borderId="8" fillId="2" fontId="25" numFmtId="0" xfId="0" applyAlignment="1" applyBorder="1" applyFont="1">
      <alignment horizontal="center" readingOrder="0" shrinkToFit="0" vertical="center" wrapText="1"/>
    </xf>
    <xf borderId="8" fillId="2" fontId="22" numFmtId="0" xfId="0" applyAlignment="1" applyBorder="1" applyFont="1">
      <alignment shrinkToFit="0" vertical="center" wrapText="1"/>
    </xf>
    <xf borderId="8" fillId="2" fontId="22" numFmtId="0" xfId="0" applyAlignment="1" applyBorder="1" applyFont="1">
      <alignment readingOrder="0" vertical="center"/>
    </xf>
    <xf borderId="8" fillId="2" fontId="22" numFmtId="0" xfId="0" applyAlignment="1" applyBorder="1" applyFont="1">
      <alignment vertical="center"/>
    </xf>
    <xf borderId="8" fillId="0" fontId="17" numFmtId="0" xfId="0" applyAlignment="1" applyBorder="1" applyFont="1">
      <alignment readingOrder="0"/>
    </xf>
    <xf borderId="8" fillId="0" fontId="17" numFmtId="0" xfId="0" applyBorder="1" applyFont="1"/>
    <xf borderId="8" fillId="0" fontId="17" numFmtId="0" xfId="0" applyAlignment="1" applyBorder="1" applyFont="1">
      <alignment readingOrder="0" shrinkToFit="0" wrapText="1"/>
    </xf>
    <xf borderId="8" fillId="7" fontId="21" numFmtId="0" xfId="0" applyAlignment="1" applyBorder="1" applyFont="1">
      <alignment horizontal="center" shrinkToFit="0" wrapText="1"/>
    </xf>
    <xf borderId="8" fillId="7" fontId="26" numFmtId="0" xfId="0" applyAlignment="1" applyBorder="1" applyFont="1">
      <alignment horizontal="center" shrinkToFit="0" wrapText="1"/>
    </xf>
    <xf borderId="8" fillId="7" fontId="26" numFmtId="0" xfId="0" applyAlignment="1" applyBorder="1" applyFont="1">
      <alignment horizontal="center" shrinkToFit="0" vertical="center" wrapText="1"/>
    </xf>
    <xf borderId="17" fillId="0" fontId="17" numFmtId="0" xfId="0" applyAlignment="1" applyBorder="1" applyFont="1">
      <alignment shrinkToFit="0" vertical="center" wrapText="1"/>
    </xf>
    <xf borderId="8" fillId="0" fontId="27" numFmtId="0" xfId="0" applyBorder="1" applyFont="1"/>
    <xf borderId="8" fillId="0" fontId="27" numFmtId="0" xfId="0" applyAlignment="1" applyBorder="1" applyFont="1">
      <alignment horizontal="center" shrinkToFit="0" vertical="center" wrapText="1"/>
    </xf>
    <xf borderId="8" fillId="0" fontId="27" numFmtId="0" xfId="0" applyAlignment="1" applyBorder="1" applyFont="1">
      <alignment vertical="center"/>
    </xf>
    <xf borderId="20" fillId="0" fontId="6" numFmtId="0" xfId="0" applyBorder="1" applyFont="1"/>
    <xf borderId="9" fillId="0" fontId="6" numFmtId="0" xfId="0" applyBorder="1" applyFont="1"/>
    <xf borderId="8" fillId="0" fontId="27" numFmtId="0" xfId="0" applyAlignment="1" applyBorder="1" applyFont="1">
      <alignment vertical="bottom"/>
    </xf>
    <xf borderId="8" fillId="0" fontId="27" numFmtId="0" xfId="0" applyAlignment="1" applyBorder="1" applyFont="1">
      <alignment shrinkToFit="0" wrapText="1"/>
    </xf>
    <xf borderId="8" fillId="6" fontId="28" numFmtId="0" xfId="0" applyAlignment="1" applyBorder="1" applyFont="1">
      <alignment shrinkToFit="0" vertical="bottom" wrapText="1"/>
    </xf>
    <xf borderId="8" fillId="6" fontId="27" numFmtId="0" xfId="0" applyAlignment="1" applyBorder="1" applyFont="1">
      <alignment vertical="bottom"/>
    </xf>
    <xf borderId="8" fillId="6" fontId="27" numFmtId="0" xfId="0" applyAlignment="1" applyBorder="1" applyFont="1">
      <alignment shrinkToFit="0" vertical="bottom" wrapText="1"/>
    </xf>
    <xf borderId="8" fillId="6" fontId="27" numFmtId="0" xfId="0" applyBorder="1" applyFont="1"/>
    <xf borderId="0" fillId="0" fontId="27" numFmtId="0" xfId="0" applyAlignment="1" applyFont="1">
      <alignment horizontal="center" shrinkToFit="0" vertical="center" wrapText="1"/>
    </xf>
    <xf borderId="0" fillId="0" fontId="27" numFmtId="0" xfId="0" applyAlignment="1" applyFont="1">
      <alignment shrinkToFit="0" wrapText="1"/>
    </xf>
    <xf borderId="0" fillId="0" fontId="27" numFmtId="0" xfId="0" applyAlignment="1" applyFont="1">
      <alignment vertical="center"/>
    </xf>
    <xf borderId="0" fillId="0" fontId="27" numFmtId="0" xfId="0" applyAlignment="1" applyFont="1">
      <alignment vertical="bottom"/>
    </xf>
    <xf borderId="0" fillId="6" fontId="27" numFmtId="0" xfId="0" applyAlignment="1" applyFont="1">
      <alignment shrinkToFit="0" wrapText="1"/>
    </xf>
    <xf borderId="0" fillId="0" fontId="27" numFmtId="0" xfId="0" applyAlignment="1" applyFont="1">
      <alignment horizontal="center" vertical="bottom"/>
    </xf>
    <xf borderId="0" fillId="0" fontId="27" numFmtId="0" xfId="0" applyAlignment="1" applyFont="1">
      <alignment horizontal="center"/>
    </xf>
    <xf borderId="0" fillId="0" fontId="27" numFmtId="0" xfId="0" applyFont="1"/>
    <xf borderId="4" fillId="0" fontId="17" numFmtId="0" xfId="0" applyAlignment="1" applyBorder="1" applyFont="1">
      <alignment readingOrder="0" vertical="center"/>
    </xf>
    <xf borderId="17" fillId="0" fontId="29" numFmtId="0" xfId="0" applyAlignment="1" applyBorder="1" applyFont="1">
      <alignment readingOrder="0" shrinkToFit="0" vertical="center" wrapText="1"/>
    </xf>
    <xf borderId="8" fillId="0" fontId="27" numFmtId="0" xfId="0" applyAlignment="1" applyBorder="1" applyFont="1">
      <alignment shrinkToFit="0" vertical="center" wrapText="1"/>
    </xf>
    <xf borderId="8" fillId="0" fontId="17" numFmtId="0" xfId="0" applyAlignment="1" applyBorder="1" applyFont="1">
      <alignment horizontal="center" shrinkToFit="0" vertical="center" wrapText="1"/>
    </xf>
    <xf borderId="8" fillId="0" fontId="27" numFmtId="0" xfId="0" applyAlignment="1" applyBorder="1" applyFont="1">
      <alignment readingOrder="0" vertical="center"/>
    </xf>
    <xf borderId="8" fillId="0" fontId="27" numFmtId="0" xfId="0" applyAlignment="1" applyBorder="1" applyFont="1">
      <alignment readingOrder="0" shrinkToFit="0" vertical="center" wrapText="1"/>
    </xf>
    <xf borderId="8" fillId="0" fontId="17" numFmtId="0" xfId="0" applyAlignment="1" applyBorder="1" applyFont="1">
      <alignment horizontal="center" readingOrder="0" shrinkToFit="0" vertical="center" wrapText="1"/>
    </xf>
    <xf borderId="17" fillId="0" fontId="29" numFmtId="0" xfId="0" applyAlignment="1" applyBorder="1" applyFont="1">
      <alignment readingOrder="0" shrinkToFit="0" vertical="center" wrapText="1"/>
    </xf>
    <xf borderId="8" fillId="0" fontId="30" numFmtId="0" xfId="0" applyAlignment="1" applyBorder="1" applyFont="1">
      <alignment readingOrder="0" shrinkToFit="0" vertical="center" wrapText="1"/>
    </xf>
    <xf borderId="17" fillId="0" fontId="24" numFmtId="0" xfId="0" applyAlignment="1" applyBorder="1" applyFont="1">
      <alignment shrinkToFit="0" vertical="center" wrapText="1"/>
    </xf>
    <xf borderId="8" fillId="0" fontId="31" numFmtId="0" xfId="0" applyAlignment="1" applyBorder="1" applyFont="1">
      <alignment shrinkToFit="0" vertical="center" wrapText="1"/>
    </xf>
    <xf borderId="8" fillId="0" fontId="30" numFmtId="0" xfId="0" applyAlignment="1" applyBorder="1" applyFont="1">
      <alignment readingOrder="0" shrinkToFit="0" vertical="center" wrapText="1"/>
    </xf>
    <xf borderId="8" fillId="0" fontId="6" numFmtId="0" xfId="0" applyAlignment="1" applyBorder="1" applyFont="1">
      <alignment readingOrder="0" shrinkToFit="0" vertical="center" wrapText="1"/>
    </xf>
    <xf borderId="8" fillId="0" fontId="30" numFmtId="0" xfId="0" applyAlignment="1" applyBorder="1" applyFont="1">
      <alignment readingOrder="0" shrinkToFit="0" vertical="center" wrapText="1"/>
    </xf>
    <xf borderId="8" fillId="0" fontId="32" numFmtId="0" xfId="0" applyBorder="1" applyFont="1"/>
    <xf borderId="8" fillId="0" fontId="27" numFmtId="0" xfId="0" applyAlignment="1" applyBorder="1" applyFont="1">
      <alignment readingOrder="0" shrinkToFit="0" wrapText="1"/>
    </xf>
    <xf borderId="17" fillId="0" fontId="24" numFmtId="0" xfId="0" applyAlignment="1" applyBorder="1" applyFont="1">
      <alignment readingOrder="0" shrinkToFit="0" vertical="center" wrapText="1"/>
    </xf>
    <xf borderId="8" fillId="0" fontId="17" numFmtId="0" xfId="0" applyAlignment="1" applyBorder="1" applyFont="1">
      <alignment shrinkToFit="0" vertical="center" wrapText="1"/>
    </xf>
    <xf borderId="8" fillId="0" fontId="27" numFmtId="0" xfId="0" applyAlignment="1" applyBorder="1" applyFont="1">
      <alignment readingOrder="0" shrinkToFit="0" vertical="center" wrapText="1"/>
    </xf>
    <xf borderId="17" fillId="0" fontId="33" numFmtId="0" xfId="0" applyAlignment="1" applyBorder="1" applyFont="1">
      <alignment shrinkToFit="0" vertical="center" wrapText="1"/>
    </xf>
    <xf borderId="8" fillId="0" fontId="30" numFmtId="0" xfId="0" applyAlignment="1" applyBorder="1" applyFont="1">
      <alignment horizontal="center" readingOrder="0" shrinkToFit="0" vertical="center" wrapText="1"/>
    </xf>
    <xf borderId="8" fillId="0" fontId="27" numFmtId="0" xfId="0" applyAlignment="1" applyBorder="1" applyFont="1">
      <alignment horizontal="center" shrinkToFit="0" vertical="center" wrapText="1"/>
    </xf>
    <xf borderId="8" fillId="0" fontId="27" numFmtId="0" xfId="0" applyAlignment="1" applyBorder="1" applyFont="1">
      <alignment horizontal="center" readingOrder="0" shrinkToFit="0" vertical="center" wrapText="1"/>
    </xf>
    <xf borderId="8" fillId="6" fontId="30" numFmtId="0" xfId="0" applyAlignment="1" applyBorder="1" applyFont="1">
      <alignment horizontal="left" readingOrder="0" shrinkToFit="0" vertical="center" wrapText="1"/>
    </xf>
    <xf borderId="4" fillId="0" fontId="17" numFmtId="0" xfId="0" applyAlignment="1" applyBorder="1" applyFont="1">
      <alignment vertical="center"/>
    </xf>
    <xf borderId="8" fillId="0" fontId="29" numFmtId="0" xfId="0" applyAlignment="1" applyBorder="1" applyFont="1">
      <alignment readingOrder="0" shrinkToFit="0" vertical="center" wrapText="1"/>
    </xf>
    <xf borderId="0" fillId="7" fontId="26" numFmtId="0" xfId="0" applyAlignment="1" applyFont="1">
      <alignment horizontal="center" vertical="center"/>
    </xf>
    <xf borderId="8" fillId="7" fontId="26" numFmtId="0" xfId="0" applyAlignment="1" applyBorder="1" applyFont="1">
      <alignment vertical="bottom"/>
    </xf>
    <xf borderId="17" fillId="0" fontId="17" numFmtId="0" xfId="0" applyAlignment="1" applyBorder="1" applyFont="1">
      <alignment horizontal="center" vertical="center"/>
    </xf>
    <xf borderId="8" fillId="0" fontId="17" numFmtId="0" xfId="0" applyAlignment="1" applyBorder="1" applyFont="1">
      <alignment horizontal="center" vertical="center"/>
    </xf>
    <xf borderId="8" fillId="0" fontId="17" numFmtId="0" xfId="0" applyAlignment="1" applyBorder="1" applyFont="1">
      <alignment shrinkToFit="0" vertical="bottom" wrapText="0"/>
    </xf>
    <xf borderId="8" fillId="0" fontId="17" numFmtId="0" xfId="0" applyAlignment="1" applyBorder="1" applyFont="1">
      <alignment shrinkToFit="0" vertical="bottom" wrapText="1"/>
    </xf>
    <xf borderId="8" fillId="0" fontId="17" numFmtId="0" xfId="0" applyAlignment="1" applyBorder="1" applyFont="1">
      <alignment readingOrder="0" vertical="bottom"/>
    </xf>
    <xf borderId="8" fillId="2" fontId="25" numFmtId="0" xfId="0" applyAlignment="1" applyBorder="1" applyFont="1">
      <alignment horizontal="left" shrinkToFit="0" vertical="center" wrapText="1"/>
    </xf>
    <xf borderId="8" fillId="2" fontId="25" numFmtId="0" xfId="0" applyAlignment="1" applyBorder="1" applyFont="1">
      <alignment horizontal="left" readingOrder="0" shrinkToFit="0" vertical="center" wrapText="1"/>
    </xf>
    <xf borderId="8" fillId="2" fontId="22" numFmtId="0" xfId="0" applyAlignment="1" applyBorder="1" applyFont="1">
      <alignment horizontal="left" readingOrder="0" shrinkToFit="0" vertical="center" wrapText="1"/>
    </xf>
    <xf borderId="8" fillId="2" fontId="22" numFmtId="0" xfId="0" applyAlignment="1" applyBorder="1" applyFont="1">
      <alignment horizontal="left" shrinkToFit="0" vertical="center" wrapText="1"/>
    </xf>
    <xf borderId="8" fillId="6" fontId="17" numFmtId="0" xfId="0" applyAlignment="1" applyBorder="1" applyFont="1">
      <alignment horizontal="left" shrinkToFit="0" vertical="center" wrapText="1"/>
    </xf>
    <xf borderId="17" fillId="0" fontId="17" numFmtId="0" xfId="0" applyAlignment="1" applyBorder="1" applyFont="1">
      <alignment horizontal="left" shrinkToFit="0" vertical="center" wrapText="1"/>
    </xf>
    <xf borderId="8" fillId="0" fontId="17" numFmtId="0" xfId="0" applyAlignment="1" applyBorder="1" applyFont="1">
      <alignment horizontal="left" shrinkToFit="0" vertical="center" wrapText="1"/>
    </xf>
    <xf borderId="8" fillId="0" fontId="17" numFmtId="0" xfId="0" applyAlignment="1" applyBorder="1" applyFont="1">
      <alignment horizontal="left" readingOrder="0" shrinkToFit="0" vertical="center" wrapText="1"/>
    </xf>
    <xf borderId="8" fillId="0" fontId="30" numFmtId="0" xfId="0" applyAlignment="1" applyBorder="1" applyFont="1">
      <alignment horizontal="left" readingOrder="0" shrinkToFit="0" vertical="center" wrapText="1"/>
    </xf>
    <xf borderId="17" fillId="0" fontId="17" numFmtId="0" xfId="0" applyAlignment="1" applyBorder="1" applyFont="1">
      <alignment horizontal="left" readingOrder="0" shrinkToFit="0" vertical="center" wrapText="1"/>
    </xf>
    <xf borderId="8" fillId="6" fontId="34" numFmtId="0" xfId="0" applyAlignment="1" applyBorder="1" applyFont="1">
      <alignment horizontal="left" readingOrder="0" shrinkToFit="0" vertical="center" wrapText="1"/>
    </xf>
    <xf borderId="8" fillId="0" fontId="35" numFmtId="0" xfId="0" applyAlignment="1" applyBorder="1" applyFont="1">
      <alignment horizontal="left" readingOrder="0" shrinkToFit="0" vertical="center" wrapText="1"/>
    </xf>
    <xf borderId="8" fillId="0" fontId="27" numFmtId="0" xfId="0" applyAlignment="1" applyBorder="1" applyFont="1">
      <alignment horizontal="left" readingOrder="0" shrinkToFit="0" vertical="center" wrapText="1"/>
    </xf>
    <xf borderId="8" fillId="0" fontId="36" numFmtId="0" xfId="0" applyAlignment="1" applyBorder="1" applyFont="1">
      <alignment horizontal="left" readingOrder="0" shrinkToFit="0" vertical="center" wrapText="1"/>
    </xf>
    <xf borderId="0" fillId="6" fontId="30" numFmtId="0" xfId="0" applyAlignment="1" applyFont="1">
      <alignment horizontal="left" readingOrder="0" shrinkToFit="0" vertical="center" wrapText="1"/>
    </xf>
    <xf borderId="8" fillId="8" fontId="29" numFmtId="0" xfId="0" applyAlignment="1" applyBorder="1" applyFill="1" applyFont="1">
      <alignment horizontal="left" readingOrder="0" shrinkToFit="0" vertical="center" wrapText="1"/>
    </xf>
    <xf borderId="8" fillId="0" fontId="30" numFmtId="0" xfId="0" applyAlignment="1" applyBorder="1" applyFont="1">
      <alignment horizontal="left" shrinkToFit="0" vertical="center" wrapText="1"/>
    </xf>
    <xf borderId="16" fillId="0" fontId="30" numFmtId="0" xfId="0" applyAlignment="1" applyBorder="1" applyFont="1">
      <alignment horizontal="left" readingOrder="0" shrinkToFit="0" vertical="center" wrapText="1"/>
    </xf>
    <xf borderId="6" fillId="0" fontId="30" numFmtId="0" xfId="0" applyAlignment="1" applyBorder="1" applyFont="1">
      <alignment horizontal="left" readingOrder="0" shrinkToFit="0" vertical="center" wrapText="1"/>
    </xf>
    <xf borderId="9" fillId="0" fontId="30" numFmtId="0" xfId="0" applyAlignment="1" applyBorder="1" applyFont="1">
      <alignment horizontal="left" readingOrder="0" shrinkToFit="0" vertical="center" wrapText="1"/>
    </xf>
    <xf borderId="21" fillId="0" fontId="6" numFmtId="0" xfId="0" applyBorder="1" applyFont="1"/>
    <xf borderId="22" fillId="0" fontId="30" numFmtId="0" xfId="0" applyAlignment="1" applyBorder="1" applyFont="1">
      <alignment horizontal="left" readingOrder="0" shrinkToFit="0" vertical="center" wrapText="1"/>
    </xf>
    <xf borderId="22" fillId="0" fontId="6" numFmtId="0" xfId="0" applyBorder="1" applyFont="1"/>
    <xf borderId="21" fillId="0" fontId="30" numFmtId="0" xfId="0" applyAlignment="1" applyBorder="1" applyFont="1">
      <alignment horizontal="left" readingOrder="0" shrinkToFit="0" vertical="center" wrapText="1"/>
    </xf>
    <xf borderId="22" fillId="0" fontId="37" numFmtId="0" xfId="0" applyAlignment="1" applyBorder="1" applyFont="1">
      <alignment horizontal="left" readingOrder="0" shrinkToFit="0" vertical="center" wrapText="1"/>
    </xf>
    <xf borderId="9" fillId="9" fontId="30" numFmtId="0" xfId="0" applyAlignment="1" applyBorder="1" applyFill="1" applyFont="1">
      <alignment horizontal="left" readingOrder="0" shrinkToFit="0" vertical="center" wrapText="1"/>
    </xf>
    <xf borderId="21" fillId="9" fontId="30" numFmtId="0" xfId="0" applyAlignment="1" applyBorder="1" applyFont="1">
      <alignment horizontal="left" readingOrder="0" shrinkToFit="0" vertical="center" wrapText="1"/>
    </xf>
    <xf borderId="22" fillId="9" fontId="30" numFmtId="0" xfId="0" applyAlignment="1" applyBorder="1" applyFont="1">
      <alignment horizontal="left" readingOrder="0" shrinkToFit="0" vertical="center" wrapText="1"/>
    </xf>
    <xf borderId="8" fillId="9" fontId="17" numFmtId="0" xfId="0" applyAlignment="1" applyBorder="1" applyFont="1">
      <alignment horizontal="left" readingOrder="0" shrinkToFit="0" vertical="center" wrapText="1"/>
    </xf>
    <xf borderId="8" fillId="9" fontId="17" numFmtId="0" xfId="0" applyAlignment="1" applyBorder="1" applyFont="1">
      <alignment horizontal="left" shrinkToFit="0" vertical="center" wrapText="1"/>
    </xf>
    <xf borderId="22" fillId="0" fontId="30" numFmtId="0" xfId="0" applyAlignment="1" applyBorder="1" applyFont="1">
      <alignment horizontal="left" shrinkToFit="0" vertical="center" wrapText="1"/>
    </xf>
    <xf borderId="17" fillId="0" fontId="30" numFmtId="0" xfId="0" applyAlignment="1" applyBorder="1" applyFont="1">
      <alignment horizontal="left" readingOrder="0" shrinkToFit="0" vertical="center" wrapText="1"/>
    </xf>
    <xf borderId="6" fillId="0" fontId="30" numFmtId="0" xfId="0" applyAlignment="1" applyBorder="1" applyFont="1">
      <alignment horizontal="left" shrinkToFit="0" vertical="center" wrapText="1"/>
    </xf>
    <xf borderId="17" fillId="6" fontId="30" numFmtId="0" xfId="0" applyAlignment="1" applyBorder="1" applyFont="1">
      <alignment horizontal="left" readingOrder="0" shrinkToFit="0" vertical="center" wrapText="1"/>
    </xf>
    <xf borderId="6" fillId="6" fontId="30" numFmtId="0" xfId="0" applyAlignment="1" applyBorder="1" applyFont="1">
      <alignment horizontal="left" readingOrder="0" shrinkToFit="0" vertical="center" wrapText="1"/>
    </xf>
    <xf borderId="9" fillId="6" fontId="30" numFmtId="0" xfId="0" applyAlignment="1" applyBorder="1" applyFont="1">
      <alignment horizontal="left" readingOrder="0" shrinkToFit="0" vertical="center" wrapText="1"/>
    </xf>
    <xf borderId="22" fillId="6" fontId="30" numFmtId="0" xfId="0" applyAlignment="1" applyBorder="1" applyFont="1">
      <alignment horizontal="left" readingOrder="0" shrinkToFit="0" vertical="center" wrapText="1"/>
    </xf>
    <xf borderId="9" fillId="0" fontId="30" numFmtId="0" xfId="0" applyAlignment="1" applyBorder="1" applyFont="1">
      <alignment horizontal="left" shrinkToFit="0" vertical="center" wrapText="1"/>
    </xf>
    <xf borderId="9" fillId="6" fontId="30" numFmtId="0" xfId="0" applyAlignment="1" applyBorder="1" applyFont="1">
      <alignment horizontal="left" shrinkToFit="0" vertical="center" wrapText="1"/>
    </xf>
    <xf borderId="22" fillId="6" fontId="30" numFmtId="0" xfId="0" applyAlignment="1" applyBorder="1" applyFont="1">
      <alignment horizontal="left" shrinkToFit="0" vertical="center" wrapText="1"/>
    </xf>
    <xf borderId="4" fillId="0" fontId="30" numFmtId="0" xfId="0" applyAlignment="1" applyBorder="1" applyFont="1">
      <alignment horizontal="left" readingOrder="0" shrinkToFit="0" vertical="center" wrapText="1"/>
    </xf>
    <xf borderId="5" fillId="0" fontId="30" numFmtId="0" xfId="0" applyAlignment="1" applyBorder="1" applyFont="1">
      <alignment horizontal="left" readingOrder="0" shrinkToFit="0" vertical="center" wrapText="1"/>
    </xf>
    <xf borderId="23" fillId="0" fontId="30" numFmtId="0" xfId="0" applyAlignment="1" applyBorder="1" applyFont="1">
      <alignment horizontal="left" readingOrder="0" shrinkToFit="0" vertical="center" wrapText="1"/>
    </xf>
    <xf borderId="24" fillId="0" fontId="30" numFmtId="0" xfId="0" applyAlignment="1" applyBorder="1" applyFont="1">
      <alignment horizontal="left" readingOrder="0" shrinkToFit="0" vertical="center" wrapText="1"/>
    </xf>
    <xf borderId="23" fillId="0" fontId="30" numFmtId="0" xfId="0" applyAlignment="1" applyBorder="1" applyFont="1">
      <alignment horizontal="left" shrinkToFit="0" vertical="center" wrapText="1"/>
    </xf>
    <xf borderId="8" fillId="7" fontId="26" numFmtId="0" xfId="0" applyAlignment="1" applyBorder="1" applyFont="1">
      <alignment horizontal="center" shrinkToFit="0" vertical="bottom" wrapText="1"/>
    </xf>
    <xf borderId="17" fillId="0" fontId="17" numFmtId="0" xfId="0" applyAlignment="1" applyBorder="1" applyFont="1">
      <alignment horizontal="center" shrinkToFit="0" vertical="center" wrapText="1"/>
    </xf>
    <xf borderId="8" fillId="0" fontId="17" numFmtId="0" xfId="0" applyAlignment="1" applyBorder="1" applyFont="1">
      <alignment shrinkToFit="0" wrapText="1"/>
    </xf>
    <xf borderId="8" fillId="0" fontId="17" numFmtId="0" xfId="0" applyAlignment="1" applyBorder="1" applyFont="1">
      <alignment horizontal="center" shrinkToFit="0" vertical="center" wrapText="1"/>
    </xf>
    <xf borderId="8" fillId="0" fontId="17" numFmtId="0" xfId="0" applyAlignment="1" applyBorder="1" applyFont="1">
      <alignment shrinkToFit="0" vertical="bottom" wrapText="1"/>
    </xf>
    <xf borderId="0" fillId="0" fontId="17" numFmtId="0" xfId="0" applyAlignment="1" applyFont="1">
      <alignment horizontal="center" vertical="center"/>
    </xf>
    <xf borderId="0" fillId="0" fontId="32" numFmtId="0" xfId="0" applyAlignment="1" applyFont="1">
      <alignment horizontal="center" vertical="center"/>
    </xf>
    <xf borderId="0" fillId="6" fontId="38" numFmtId="0" xfId="0" applyAlignment="1" applyFont="1">
      <alignment horizontal="left" readingOrder="0"/>
    </xf>
    <xf borderId="8" fillId="6" fontId="38" numFmtId="0" xfId="0" applyAlignment="1" applyBorder="1" applyFont="1">
      <alignment horizontal="left" readingOrder="0" shrinkToFit="0" vertical="center" wrapText="1"/>
    </xf>
    <xf borderId="8" fillId="0" fontId="17" numFmtId="0" xfId="0" applyAlignment="1" applyBorder="1" applyFont="1">
      <alignment horizontal="left" readingOrder="0" shrinkToFit="0" vertical="center" wrapText="1"/>
    </xf>
    <xf borderId="9" fillId="0" fontId="17" numFmtId="0" xfId="0" applyAlignment="1" applyBorder="1" applyFont="1">
      <alignment horizontal="left" readingOrder="0" shrinkToFit="0" vertical="center" wrapText="1"/>
    </xf>
    <xf borderId="8" fillId="0" fontId="17" numFmtId="0" xfId="0" applyAlignment="1" applyBorder="1" applyFont="1">
      <alignment horizontal="left" shrinkToFit="0" vertical="center" wrapText="1"/>
    </xf>
    <xf borderId="0" fillId="0" fontId="17" numFmtId="0" xfId="0" applyAlignment="1" applyFont="1">
      <alignment horizontal="left" shrinkToFit="0" vertical="center" wrapText="1"/>
    </xf>
    <xf borderId="8" fillId="0" fontId="17" numFmtId="0" xfId="0" applyAlignment="1" applyBorder="1" applyFont="1">
      <alignment horizontal="left" shrinkToFit="0" vertical="center" wrapText="1"/>
    </xf>
    <xf borderId="0" fillId="0" fontId="17" numFmtId="0" xfId="0" applyAlignment="1" applyFont="1">
      <alignment horizontal="left" shrinkToFit="0" vertical="center" wrapText="1"/>
    </xf>
    <xf borderId="8" fillId="0" fontId="0" numFmtId="0" xfId="0" applyAlignment="1" applyBorder="1" applyFont="1">
      <alignment horizontal="left" shrinkToFit="0" vertical="center" wrapText="1"/>
    </xf>
    <xf borderId="8" fillId="0" fontId="39" numFmtId="0" xfId="0" applyAlignment="1" applyBorder="1" applyFont="1">
      <alignment horizontal="left" shrinkToFit="0" vertical="center" wrapText="1"/>
    </xf>
    <xf borderId="8" fillId="6" fontId="0" numFmtId="0" xfId="0" applyAlignment="1" applyBorder="1" applyFont="1">
      <alignment horizontal="left" shrinkToFit="0" vertical="center" wrapText="1"/>
    </xf>
    <xf quotePrefix="1" borderId="8" fillId="0" fontId="17" numFmtId="0" xfId="0" applyAlignment="1" applyBorder="1" applyFont="1">
      <alignment horizontal="left" shrinkToFit="0" vertical="center" wrapText="1"/>
    </xf>
    <xf borderId="0" fillId="6" fontId="38" numFmtId="0" xfId="0" applyAlignment="1" applyFont="1">
      <alignment horizontal="left" readingOrder="0" shrinkToFit="0" vertical="center" wrapText="1"/>
    </xf>
    <xf borderId="8" fillId="0" fontId="0" numFmtId="0" xfId="0" applyAlignment="1" applyBorder="1" applyFont="1">
      <alignment horizontal="left" shrinkToFit="0" vertical="center" wrapText="1"/>
    </xf>
    <xf borderId="8" fillId="6" fontId="40" numFmtId="0" xfId="0" applyAlignment="1" applyBorder="1" applyFont="1">
      <alignment horizontal="left" shrinkToFit="0" vertical="center" wrapText="1"/>
    </xf>
    <xf quotePrefix="1" borderId="8" fillId="0" fontId="30" numFmtId="0" xfId="0" applyAlignment="1" applyBorder="1" applyFont="1">
      <alignment horizontal="left" readingOrder="0" shrinkToFit="0" vertical="center" wrapText="1"/>
    </xf>
    <xf borderId="8" fillId="9" fontId="17" numFmtId="0" xfId="0" applyAlignment="1" applyBorder="1" applyFont="1">
      <alignment horizontal="left" shrinkToFit="0" vertical="center" wrapText="1"/>
    </xf>
    <xf borderId="8" fillId="9" fontId="30" numFmtId="0" xfId="0" applyAlignment="1" applyBorder="1" applyFont="1">
      <alignment horizontal="left" readingOrder="0" shrinkToFit="0" vertical="center" wrapText="1"/>
    </xf>
    <xf borderId="8" fillId="9" fontId="30" numFmtId="0" xfId="0" applyAlignment="1" applyBorder="1" applyFont="1">
      <alignment horizontal="left" shrinkToFit="0" vertical="center" wrapText="1"/>
    </xf>
    <xf borderId="8" fillId="6" fontId="30" numFmtId="0" xfId="0" applyAlignment="1" applyBorder="1" applyFont="1">
      <alignment horizontal="left" readingOrder="0" shrinkToFit="0" vertical="center" wrapText="1"/>
    </xf>
    <xf borderId="8" fillId="0" fontId="30" numFmtId="0" xfId="0" applyAlignment="1" applyBorder="1" applyFont="1">
      <alignment horizontal="left" shrinkToFit="0" vertical="center" wrapText="1"/>
    </xf>
    <xf borderId="8" fillId="0" fontId="30" numFmtId="0" xfId="0" applyAlignment="1" applyBorder="1" applyFont="1">
      <alignment horizontal="left" readingOrder="0" shrinkToFit="0" vertical="center" wrapText="1"/>
    </xf>
    <xf borderId="9" fillId="6" fontId="30" numFmtId="0" xfId="0" applyAlignment="1" applyBorder="1" applyFont="1">
      <alignment horizontal="left" readingOrder="0" shrinkToFit="0" vertical="center" wrapText="1"/>
    </xf>
    <xf borderId="22" fillId="0" fontId="30" numFmtId="0" xfId="0" applyAlignment="1" applyBorder="1" applyFont="1">
      <alignment horizontal="left" shrinkToFit="0" vertical="center" wrapText="1"/>
    </xf>
    <xf borderId="22" fillId="0" fontId="30" numFmtId="0" xfId="0" applyAlignment="1" applyBorder="1" applyFont="1">
      <alignment horizontal="left" readingOrder="0" shrinkToFit="0" vertical="center" wrapText="1"/>
    </xf>
    <xf borderId="22" fillId="0" fontId="17" numFmtId="0" xfId="0" applyAlignment="1" applyBorder="1" applyFont="1">
      <alignment horizontal="left" shrinkToFit="0" vertical="center" wrapText="1"/>
    </xf>
    <xf borderId="0" fillId="6" fontId="17" numFmtId="0" xfId="0" applyAlignment="1" applyFont="1">
      <alignment horizontal="left" shrinkToFit="0" vertical="center" wrapText="1"/>
    </xf>
    <xf borderId="8" fillId="6" fontId="17" numFmtId="0" xfId="0" applyAlignment="1" applyBorder="1" applyFont="1">
      <alignment horizontal="left" shrinkToFit="0" vertical="center" wrapText="1"/>
    </xf>
    <xf borderId="8" fillId="0" fontId="32" numFmtId="0" xfId="0" applyAlignment="1" applyBorder="1" applyFont="1">
      <alignment horizontal="left" shrinkToFit="0" vertical="center" wrapText="1"/>
    </xf>
    <xf borderId="6" fillId="0" fontId="30" numFmtId="0" xfId="0" applyAlignment="1" applyBorder="1" applyFont="1">
      <alignment horizontal="left" readingOrder="0" shrinkToFit="0" vertical="center" wrapText="1"/>
    </xf>
    <xf borderId="8" fillId="7" fontId="26" numFmtId="0" xfId="0" applyAlignment="1" applyBorder="1" applyFont="1">
      <alignment readingOrder="0" vertical="bottom"/>
    </xf>
    <xf borderId="8" fillId="0" fontId="30" numFmtId="0" xfId="0" applyAlignment="1" applyBorder="1" applyFont="1">
      <alignment readingOrder="0" shrinkToFit="0" vertical="bottom" wrapText="1"/>
    </xf>
    <xf borderId="8" fillId="0" fontId="27" numFmtId="0" xfId="0" applyBorder="1" applyFont="1"/>
    <xf borderId="8" fillId="0" fontId="27" numFmtId="0" xfId="0" applyAlignment="1" applyBorder="1" applyFont="1">
      <alignment readingOrder="0" vertical="bottom"/>
    </xf>
    <xf borderId="8" fillId="0" fontId="17" numFmtId="0" xfId="0" applyAlignment="1" applyBorder="1" applyFont="1">
      <alignment vertical="bottom"/>
    </xf>
    <xf borderId="8" fillId="0" fontId="27" numFmtId="0" xfId="0" applyAlignment="1" applyBorder="1" applyFont="1">
      <alignment shrinkToFit="0" vertical="bottom" wrapText="1"/>
    </xf>
    <xf borderId="8" fillId="0" fontId="27" numFmtId="0" xfId="0" applyAlignment="1" applyBorder="1" applyFont="1">
      <alignment shrinkToFit="0" vertical="top" wrapText="1"/>
    </xf>
    <xf borderId="8" fillId="0" fontId="17" numFmtId="0" xfId="0" applyAlignment="1" applyBorder="1" applyFont="1">
      <alignment horizontal="center" vertical="bottom"/>
    </xf>
    <xf borderId="8" fillId="0" fontId="41" numFmtId="0" xfId="0" applyAlignment="1" applyBorder="1" applyFont="1">
      <alignment readingOrder="0" vertical="bottom"/>
    </xf>
    <xf borderId="8" fillId="0" fontId="17" numFmtId="0" xfId="0" applyAlignment="1" applyBorder="1" applyFont="1">
      <alignment vertical="bottom"/>
    </xf>
    <xf borderId="8" fillId="0" fontId="27" numFmtId="0" xfId="0" applyAlignment="1" applyBorder="1" applyFont="1">
      <alignment vertical="bottom"/>
    </xf>
    <xf borderId="17" fillId="0" fontId="17" numFmtId="0" xfId="0" applyAlignment="1" applyBorder="1" applyFont="1">
      <alignment readingOrder="0" vertical="center"/>
    </xf>
    <xf borderId="8" fillId="0" fontId="17" numFmtId="0" xfId="0" applyBorder="1" applyFont="1"/>
    <xf borderId="8" fillId="0" fontId="41" numFmtId="0" xfId="0" applyAlignment="1" applyBorder="1" applyFont="1">
      <alignment readingOrder="0" shrinkToFit="0" vertical="bottom" wrapText="0"/>
    </xf>
    <xf borderId="8" fillId="0" fontId="34" numFmtId="0" xfId="0" applyAlignment="1" applyBorder="1" applyFont="1">
      <alignment readingOrder="0" vertical="bottom"/>
    </xf>
    <xf borderId="8" fillId="0" fontId="17" numFmtId="0" xfId="0" applyAlignment="1" applyBorder="1" applyFont="1">
      <alignment readingOrder="0" shrinkToFit="0" vertical="center" wrapText="1"/>
    </xf>
    <xf borderId="8" fillId="0" fontId="30" numFmtId="0" xfId="0" applyAlignment="1" applyBorder="1" applyFont="1">
      <alignment readingOrder="0" vertical="bottom"/>
    </xf>
    <xf borderId="8" fillId="0" fontId="30" numFmtId="0" xfId="0" applyAlignment="1" applyBorder="1" applyFont="1">
      <alignment readingOrder="0" vertical="top"/>
    </xf>
    <xf borderId="17" fillId="0" fontId="17" numFmtId="0" xfId="0" applyAlignment="1" applyBorder="1" applyFont="1">
      <alignment readingOrder="0" shrinkToFit="0" vertical="center" wrapText="1"/>
    </xf>
    <xf borderId="8" fillId="0" fontId="30" numFmtId="0" xfId="0" applyAlignment="1" applyBorder="1" applyFont="1">
      <alignment readingOrder="0" shrinkToFit="0" vertical="top" wrapText="1"/>
    </xf>
    <xf borderId="8" fillId="0" fontId="30" numFmtId="0" xfId="0" applyAlignment="1" applyBorder="1" applyFont="1">
      <alignment horizontal="center" readingOrder="0" shrinkToFit="0" vertical="top" wrapText="1"/>
    </xf>
    <xf borderId="17" fillId="0" fontId="30" numFmtId="0" xfId="0" applyAlignment="1" applyBorder="1" applyFont="1">
      <alignment horizontal="center" readingOrder="0" shrinkToFit="0" wrapText="1"/>
    </xf>
    <xf borderId="17" fillId="0" fontId="30" numFmtId="0" xfId="0" applyAlignment="1" applyBorder="1" applyFont="1">
      <alignment readingOrder="0" shrinkToFit="0" wrapText="1"/>
    </xf>
    <xf borderId="8" fillId="0" fontId="30" numFmtId="0" xfId="0" applyAlignment="1" applyBorder="1" applyFont="1">
      <alignment vertical="bottom"/>
    </xf>
    <xf borderId="8" fillId="0" fontId="17" numFmtId="0" xfId="0" applyAlignment="1" applyBorder="1" applyFont="1">
      <alignment vertical="center"/>
    </xf>
    <xf borderId="8" fillId="0" fontId="30" numFmtId="0" xfId="0" applyAlignment="1" applyBorder="1" applyFont="1">
      <alignment shrinkToFit="0" vertical="bottom" wrapText="1"/>
    </xf>
    <xf borderId="8" fillId="0" fontId="30" numFmtId="0" xfId="0" applyAlignment="1" applyBorder="1" applyFont="1">
      <alignment readingOrder="0" shrinkToFit="0" wrapText="1"/>
    </xf>
    <xf borderId="8" fillId="0" fontId="42" numFmtId="0" xfId="0" applyAlignment="1" applyBorder="1" applyFont="1">
      <alignment readingOrder="0" shrinkToFit="0" vertical="bottom" wrapText="1"/>
    </xf>
    <xf borderId="8" fillId="0" fontId="30" numFmtId="0" xfId="0" applyAlignment="1" applyBorder="1" applyFont="1">
      <alignment readingOrder="0" shrinkToFit="0" vertical="bottom" wrapText="0"/>
    </xf>
    <xf borderId="8" fillId="0" fontId="30" numFmtId="0" xfId="0" applyAlignment="1" applyBorder="1" applyFont="1">
      <alignment horizontal="left" readingOrder="0" shrinkToFit="0" wrapText="1"/>
    </xf>
    <xf borderId="8" fillId="0" fontId="43" numFmtId="0" xfId="0" applyAlignment="1" applyBorder="1" applyFont="1">
      <alignment horizontal="left" readingOrder="0" shrinkToFit="0" wrapText="1"/>
    </xf>
    <xf borderId="8" fillId="0" fontId="30" numFmtId="0" xfId="0" applyAlignment="1" applyBorder="1" applyFont="1">
      <alignment horizontal="left" readingOrder="0" vertical="bottom"/>
    </xf>
    <xf borderId="8" fillId="0" fontId="30" numFmtId="0" xfId="0" applyAlignment="1" applyBorder="1" applyFont="1">
      <alignment horizontal="left" readingOrder="0" shrinkToFit="0" vertical="bottom" wrapText="0"/>
    </xf>
    <xf borderId="8" fillId="0" fontId="41" numFmtId="0" xfId="0" applyAlignment="1" applyBorder="1" applyFont="1">
      <alignment horizontal="center" readingOrder="0" vertical="bottom"/>
    </xf>
    <xf borderId="8" fillId="0" fontId="6" numFmtId="0" xfId="0" applyAlignment="1" applyBorder="1" applyFont="1">
      <alignment readingOrder="0"/>
    </xf>
    <xf borderId="8" fillId="0" fontId="6" numFmtId="0" xfId="0" applyAlignment="1" applyBorder="1" applyFont="1">
      <alignment readingOrder="0" shrinkToFit="0" wrapText="1"/>
    </xf>
    <xf borderId="8" fillId="0" fontId="30" numFmtId="0" xfId="0" applyAlignment="1" applyBorder="1" applyFont="1">
      <alignment readingOrder="0" vertical="bottom"/>
    </xf>
    <xf borderId="8" fillId="0" fontId="17" numFmtId="0" xfId="0" applyAlignment="1" applyBorder="1" applyFont="1">
      <alignment horizontal="center"/>
    </xf>
    <xf borderId="8" fillId="7" fontId="26" numFmtId="0" xfId="0" applyAlignment="1" applyBorder="1" applyFont="1">
      <alignment horizontal="center" readingOrder="0" shrinkToFit="0" vertical="top" wrapText="0"/>
    </xf>
    <xf borderId="6" fillId="7" fontId="26" numFmtId="0" xfId="0" applyAlignment="1" applyBorder="1" applyFont="1">
      <alignment horizontal="center" readingOrder="0" shrinkToFit="0" wrapText="0"/>
    </xf>
    <xf borderId="6" fillId="7" fontId="26" numFmtId="0" xfId="0" applyAlignment="1" applyBorder="1" applyFont="1">
      <alignment horizontal="center" readingOrder="0" shrinkToFit="0" wrapText="1"/>
    </xf>
    <xf borderId="0" fillId="9" fontId="32" numFmtId="0" xfId="0" applyFont="1"/>
    <xf borderId="17" fillId="0" fontId="30" numFmtId="0" xfId="0" applyAlignment="1" applyBorder="1" applyFont="1">
      <alignment readingOrder="0" shrinkToFit="0" vertical="top" wrapText="0"/>
    </xf>
    <xf borderId="8" fillId="0" fontId="30" numFmtId="0" xfId="0" applyAlignment="1" applyBorder="1" applyFont="1">
      <alignment shrinkToFit="0" wrapText="0"/>
    </xf>
    <xf borderId="8" fillId="6" fontId="30" numFmtId="0" xfId="0" applyAlignment="1" applyBorder="1" applyFont="1">
      <alignment readingOrder="0" shrinkToFit="0" vertical="top" wrapText="1"/>
    </xf>
    <xf borderId="8" fillId="0" fontId="30" numFmtId="0" xfId="0" applyAlignment="1" applyBorder="1" applyFont="1">
      <alignment readingOrder="0" shrinkToFit="0" wrapText="0"/>
    </xf>
    <xf borderId="8" fillId="0" fontId="30" numFmtId="0" xfId="0" applyAlignment="1" applyBorder="1" applyFont="1">
      <alignment readingOrder="0"/>
    </xf>
    <xf borderId="8" fillId="0" fontId="30" numFmtId="0" xfId="0" applyAlignment="1" applyBorder="1" applyFont="1">
      <alignment shrinkToFit="0" vertical="top" wrapText="0"/>
    </xf>
    <xf borderId="0" fillId="0" fontId="32" numFmtId="0" xfId="0" applyAlignment="1" applyFont="1">
      <alignment vertical="top"/>
    </xf>
    <xf borderId="0" fillId="0" fontId="32" numFmtId="0" xfId="0" applyAlignment="1" applyFont="1">
      <alignment shrinkToFit="0" wrapText="1"/>
    </xf>
    <xf borderId="8" fillId="2" fontId="26" numFmtId="0" xfId="0" applyAlignment="1" applyBorder="1" applyFont="1">
      <alignment horizontal="center" shrinkToFit="0" vertical="center" wrapText="1"/>
    </xf>
    <xf borderId="8" fillId="2" fontId="25" numFmtId="0" xfId="0" applyAlignment="1" applyBorder="1" applyFont="1">
      <alignment horizontal="center" shrinkToFit="0" vertical="center" wrapText="1"/>
    </xf>
    <xf borderId="8" fillId="2" fontId="25" numFmtId="0" xfId="0" applyAlignment="1" applyBorder="1" applyFont="1">
      <alignment horizontal="center" shrinkToFit="0" vertical="top" wrapText="1"/>
    </xf>
    <xf borderId="8" fillId="2" fontId="25" numFmtId="0" xfId="0" applyAlignment="1" applyBorder="1" applyFont="1">
      <alignment shrinkToFit="0" vertical="center" wrapText="1"/>
    </xf>
    <xf borderId="8" fillId="2" fontId="22" numFmtId="0" xfId="0" applyAlignment="1" applyBorder="1" applyFont="1">
      <alignment vertical="center"/>
    </xf>
    <xf borderId="8" fillId="0" fontId="17" numFmtId="0" xfId="0" applyAlignment="1" applyBorder="1" applyFont="1">
      <alignment horizontal="center" readingOrder="0" shrinkToFit="0" wrapText="0"/>
    </xf>
    <xf borderId="17" fillId="0" fontId="30" numFmtId="0" xfId="0" applyAlignment="1" applyBorder="1" applyFont="1">
      <alignment readingOrder="0" shrinkToFit="0" vertical="center" wrapText="1"/>
    </xf>
    <xf borderId="8" fillId="0" fontId="30" numFmtId="0" xfId="0" applyAlignment="1" applyBorder="1" applyFont="1">
      <alignment readingOrder="0" shrinkToFit="0" vertical="bottom" wrapText="1"/>
    </xf>
    <xf borderId="8" fillId="0" fontId="30" numFmtId="0" xfId="0" applyAlignment="1" applyBorder="1" applyFont="1">
      <alignment readingOrder="0" shrinkToFit="0" vertical="top" wrapText="0"/>
    </xf>
    <xf borderId="8" fillId="0" fontId="30" numFmtId="0" xfId="0" applyAlignment="1" applyBorder="1" applyFont="1">
      <alignment readingOrder="0" shrinkToFit="0" vertical="top" wrapText="1"/>
    </xf>
    <xf borderId="8" fillId="0" fontId="44" numFmtId="0" xfId="0" applyAlignment="1" applyBorder="1" applyFont="1">
      <alignment readingOrder="0" shrinkToFit="0" vertical="bottom" wrapText="1"/>
    </xf>
    <xf borderId="8" fillId="0" fontId="30" numFmtId="0" xfId="0" applyAlignment="1" applyBorder="1" applyFont="1">
      <alignment horizontal="center" readingOrder="0" shrinkToFit="0" vertical="bottom" wrapText="0"/>
    </xf>
    <xf borderId="8" fillId="0" fontId="30" numFmtId="0" xfId="0" applyAlignment="1" applyBorder="1" applyFont="1">
      <alignment shrinkToFit="0" vertical="bottom" wrapText="1"/>
    </xf>
    <xf borderId="8" fillId="0" fontId="30" numFmtId="0" xfId="0" applyAlignment="1" applyBorder="1" applyFont="1">
      <alignment shrinkToFit="0" vertical="bottom" wrapText="0"/>
    </xf>
    <xf borderId="8" fillId="0" fontId="30" numFmtId="0" xfId="0" applyAlignment="1" applyBorder="1" applyFont="1">
      <alignment readingOrder="0" shrinkToFit="0" vertical="bottom" wrapText="0"/>
    </xf>
    <xf borderId="8" fillId="0" fontId="30" numFmtId="0" xfId="0" applyAlignment="1" applyBorder="1" applyFont="1">
      <alignment shrinkToFit="0" vertical="bottom" wrapText="1"/>
    </xf>
    <xf borderId="8" fillId="6" fontId="30" numFmtId="0" xfId="0" applyAlignment="1" applyBorder="1" applyFont="1">
      <alignment horizontal="center" readingOrder="0" shrinkToFit="0" vertical="top" wrapText="1"/>
    </xf>
    <xf borderId="0" fillId="0" fontId="32" numFmtId="0" xfId="0" applyAlignment="1" applyFont="1">
      <alignment readingOrder="0" shrinkToFit="0" wrapText="1"/>
    </xf>
    <xf borderId="8" fillId="0" fontId="17" numFmtId="0" xfId="0" applyAlignment="1" applyBorder="1" applyFont="1">
      <alignment horizontal="center" readingOrder="0" shrinkToFit="0" vertical="bottom" wrapText="0"/>
    </xf>
    <xf borderId="17" fillId="0" fontId="30" numFmtId="0" xfId="0" applyAlignment="1" applyBorder="1" applyFont="1">
      <alignment readingOrder="0" vertical="center"/>
    </xf>
    <xf borderId="8" fillId="0" fontId="17" numFmtId="0" xfId="0" applyAlignment="1" applyBorder="1" applyFont="1">
      <alignment readingOrder="0" vertical="top"/>
    </xf>
    <xf borderId="8" fillId="0" fontId="17" numFmtId="0" xfId="0" applyAlignment="1" applyBorder="1" applyFont="1">
      <alignment vertical="top"/>
    </xf>
    <xf borderId="8" fillId="0" fontId="30" numFmtId="0" xfId="0" applyAlignment="1" applyBorder="1" applyFont="1">
      <alignment horizontal="left" readingOrder="0" shrinkToFit="0" vertical="top" wrapText="1"/>
    </xf>
    <xf borderId="8" fillId="0" fontId="30" numFmtId="0" xfId="0" applyAlignment="1" applyBorder="1" applyFont="1">
      <alignment horizontal="left" readingOrder="0" vertical="bottom"/>
    </xf>
    <xf borderId="8" fillId="6" fontId="30" numFmtId="0" xfId="0" applyAlignment="1" applyBorder="1" applyFont="1">
      <alignment readingOrder="0" shrinkToFit="0" vertical="top" wrapText="1"/>
    </xf>
    <xf borderId="8" fillId="6" fontId="30" numFmtId="0" xfId="0" applyAlignment="1" applyBorder="1" applyFont="1">
      <alignment readingOrder="0" shrinkToFit="0" vertical="top" wrapText="0"/>
    </xf>
    <xf borderId="8" fillId="0" fontId="30" numFmtId="0" xfId="0" applyAlignment="1" applyBorder="1" applyFont="1">
      <alignment horizontal="left" readingOrder="0" shrinkToFit="0" wrapText="1"/>
    </xf>
    <xf borderId="8" fillId="6" fontId="30" numFmtId="0" xfId="0" applyAlignment="1" applyBorder="1" applyFont="1">
      <alignment horizontal="center" shrinkToFit="0" vertical="top" wrapText="1"/>
    </xf>
    <xf borderId="8" fillId="0" fontId="30" numFmtId="0" xfId="0" applyAlignment="1" applyBorder="1" applyFont="1">
      <alignment shrinkToFit="0" vertical="center" wrapText="1"/>
    </xf>
    <xf borderId="8" fillId="0" fontId="29" numFmtId="0" xfId="0" applyAlignment="1" applyBorder="1" applyFont="1">
      <alignment horizontal="center" readingOrder="0" shrinkToFit="0" wrapText="1"/>
    </xf>
    <xf borderId="8" fillId="0" fontId="30" numFmtId="0" xfId="0" applyAlignment="1" applyBorder="1" applyFont="1">
      <alignment horizontal="center" readingOrder="0" shrinkToFit="0" wrapText="0"/>
    </xf>
    <xf borderId="8" fillId="0" fontId="17" numFmtId="0" xfId="0" applyAlignment="1" applyBorder="1" applyFont="1">
      <alignment horizontal="center" shrinkToFit="0" vertical="bottom" wrapText="0"/>
    </xf>
    <xf borderId="8" fillId="0" fontId="29" numFmtId="0" xfId="0" applyAlignment="1" applyBorder="1" applyFont="1">
      <alignment horizontal="center" shrinkToFit="0" wrapText="1"/>
    </xf>
    <xf borderId="8" fillId="0" fontId="30" numFmtId="0" xfId="0" applyAlignment="1" applyBorder="1" applyFont="1">
      <alignment shrinkToFit="0" vertical="top" wrapText="1"/>
    </xf>
    <xf borderId="8" fillId="0" fontId="29" numFmtId="0" xfId="0" applyAlignment="1" applyBorder="1" applyFont="1">
      <alignment readingOrder="0" shrinkToFit="0" wrapText="1"/>
    </xf>
    <xf borderId="8" fillId="0" fontId="30" numFmtId="0" xfId="0" applyAlignment="1" applyBorder="1" applyFont="1">
      <alignment shrinkToFit="0" wrapText="1"/>
    </xf>
    <xf borderId="9" fillId="0" fontId="45" numFmtId="0" xfId="0" applyAlignment="1" applyBorder="1" applyFont="1">
      <alignment horizontal="left" readingOrder="0" shrinkToFit="0" vertical="top" wrapText="1"/>
    </xf>
    <xf borderId="22" fillId="0" fontId="45" numFmtId="0" xfId="0" applyAlignment="1" applyBorder="1" applyFont="1">
      <alignment horizontal="left" readingOrder="0" shrinkToFit="0" vertical="top" wrapText="1"/>
    </xf>
    <xf borderId="8" fillId="0" fontId="29" numFmtId="0" xfId="0" applyAlignment="1" applyBorder="1" applyFont="1">
      <alignment shrinkToFit="0" wrapText="1"/>
    </xf>
    <xf borderId="0" fillId="0" fontId="46" numFmtId="0" xfId="0" applyAlignment="1" applyFont="1">
      <alignment readingOrder="0" shrinkToFit="0" vertical="top" wrapText="1"/>
    </xf>
    <xf borderId="8" fillId="0" fontId="30" numFmtId="0" xfId="0" applyAlignment="1" applyBorder="1" applyFont="1">
      <alignment shrinkToFit="0" vertical="top" wrapText="1"/>
    </xf>
    <xf borderId="8" fillId="0" fontId="30" numFmtId="0" xfId="0" applyAlignment="1" applyBorder="1" applyFont="1">
      <alignment horizontal="center" shrinkToFit="0" vertical="bottom" wrapText="0"/>
    </xf>
    <xf borderId="0" fillId="0" fontId="30" numFmtId="0" xfId="0" applyAlignment="1" applyFont="1">
      <alignment readingOrder="0" shrinkToFit="0" vertical="top" wrapText="1"/>
    </xf>
    <xf borderId="8" fillId="0" fontId="17" numFmtId="0" xfId="0" applyAlignment="1" applyBorder="1" applyFont="1">
      <alignment horizontal="center" vertical="bottom"/>
    </xf>
    <xf borderId="8" fillId="0" fontId="17" numFmtId="0" xfId="0" applyAlignment="1" applyBorder="1" applyFont="1">
      <alignment shrinkToFit="0" vertical="center" wrapText="1"/>
    </xf>
    <xf borderId="8" fillId="0" fontId="17" numFmtId="0" xfId="0" applyAlignment="1" applyBorder="1" applyFont="1">
      <alignment shrinkToFit="0" vertical="top" wrapText="1"/>
    </xf>
    <xf borderId="17" fillId="0" fontId="17" numFmtId="0" xfId="0" applyAlignment="1" applyBorder="1" applyFont="1">
      <alignment horizontal="center" vertical="center"/>
    </xf>
    <xf borderId="8" fillId="0" fontId="17" numFmtId="0" xfId="0" applyAlignment="1" applyBorder="1" applyFont="1">
      <alignment shrinkToFit="0" wrapText="1"/>
    </xf>
    <xf borderId="8" fillId="6" fontId="17" numFmtId="0" xfId="0" applyAlignment="1" applyBorder="1" applyFont="1">
      <alignment vertical="top"/>
    </xf>
    <xf borderId="8" fillId="6" fontId="17" numFmtId="0" xfId="0" applyAlignment="1" applyBorder="1" applyFont="1">
      <alignment shrinkToFit="0" vertical="top" wrapText="1"/>
    </xf>
    <xf borderId="8" fillId="6" fontId="17" numFmtId="0" xfId="0" applyAlignment="1" applyBorder="1" applyFont="1">
      <alignment vertical="top"/>
    </xf>
    <xf borderId="8" fillId="0" fontId="17" numFmtId="0" xfId="0" applyBorder="1" applyFont="1"/>
    <xf borderId="8" fillId="0" fontId="32" numFmtId="0" xfId="0" applyAlignment="1" applyBorder="1" applyFont="1">
      <alignment readingOrder="0" shrinkToFit="0" wrapText="1"/>
    </xf>
    <xf borderId="0" fillId="0" fontId="32" numFmtId="0" xfId="0" applyAlignment="1" applyFont="1">
      <alignment horizontal="center" vertical="top"/>
    </xf>
    <xf borderId="8" fillId="2" fontId="26" numFmtId="0" xfId="0" applyAlignment="1" applyBorder="1" applyFont="1">
      <alignment horizontal="left" shrinkToFit="0" vertical="center" wrapText="1"/>
    </xf>
    <xf borderId="8" fillId="2" fontId="26" numFmtId="0" xfId="0" applyAlignment="1" applyBorder="1" applyFont="1">
      <alignment horizontal="left" shrinkToFit="0" vertical="top" wrapText="1"/>
    </xf>
    <xf borderId="8" fillId="2" fontId="26" numFmtId="0" xfId="0" applyAlignment="1" applyBorder="1" applyFont="1">
      <alignment horizontal="left" readingOrder="0" shrinkToFit="0" vertical="top" wrapText="1"/>
    </xf>
    <xf borderId="8" fillId="2" fontId="21" numFmtId="0" xfId="0" applyBorder="1" applyFont="1"/>
    <xf borderId="8" fillId="2" fontId="21" numFmtId="0" xfId="0" applyAlignment="1" applyBorder="1" applyFont="1">
      <alignment shrinkToFit="0" wrapText="1"/>
    </xf>
    <xf borderId="8" fillId="0" fontId="30" numFmtId="0" xfId="0" applyAlignment="1" applyBorder="1" applyFont="1">
      <alignment horizontal="left" readingOrder="0" vertical="center"/>
    </xf>
    <xf borderId="8" fillId="0" fontId="30" numFmtId="0" xfId="0" applyAlignment="1" applyBorder="1" applyFont="1">
      <alignment horizontal="left" readingOrder="0" shrinkToFit="0" vertical="top" wrapText="0"/>
    </xf>
    <xf borderId="8" fillId="0" fontId="30" numFmtId="0" xfId="0" applyAlignment="1" applyBorder="1" applyFont="1">
      <alignment horizontal="left" shrinkToFit="0" vertical="top" wrapText="0"/>
    </xf>
    <xf borderId="8" fillId="0" fontId="30" numFmtId="0" xfId="0" applyAlignment="1" applyBorder="1" applyFont="1">
      <alignment shrinkToFit="0" vertical="bottom" wrapText="0"/>
    </xf>
    <xf borderId="8" fillId="0" fontId="30" numFmtId="0" xfId="0" applyAlignment="1" applyBorder="1" applyFont="1">
      <alignment horizontal="left" shrinkToFit="0" vertical="top" wrapText="1"/>
    </xf>
    <xf borderId="8" fillId="0" fontId="30" numFmtId="0" xfId="0" applyAlignment="1" applyBorder="1" applyFont="1">
      <alignment horizontal="left" shrinkToFit="0" vertical="top" wrapText="1"/>
    </xf>
    <xf borderId="0" fillId="0" fontId="30" numFmtId="0" xfId="0" applyAlignment="1" applyFont="1">
      <alignment readingOrder="0" shrinkToFit="0" vertical="bottom" wrapText="0"/>
    </xf>
    <xf borderId="0" fillId="0" fontId="46" numFmtId="0" xfId="0" applyAlignment="1" applyFont="1">
      <alignment readingOrder="0" shrinkToFit="0" vertical="bottom" wrapText="1"/>
    </xf>
    <xf borderId="0" fillId="0" fontId="30" numFmtId="0" xfId="0" applyAlignment="1" applyFont="1">
      <alignment shrinkToFit="0" vertical="bottom" wrapText="1"/>
    </xf>
    <xf borderId="8" fillId="6" fontId="30" numFmtId="0" xfId="0" applyAlignment="1" applyBorder="1" applyFont="1">
      <alignment horizontal="left" readingOrder="0" shrinkToFit="0" vertical="top" wrapText="1"/>
    </xf>
    <xf borderId="17" fillId="0" fontId="30" numFmtId="0" xfId="0" applyAlignment="1" applyBorder="1" applyFont="1">
      <alignment readingOrder="0" shrinkToFit="0" vertical="center" wrapText="1"/>
    </xf>
    <xf borderId="8" fillId="0" fontId="30" numFmtId="0" xfId="0" applyAlignment="1" applyBorder="1" applyFont="1">
      <alignment horizontal="left" shrinkToFit="0" vertical="top" wrapText="0"/>
    </xf>
    <xf borderId="8" fillId="6" fontId="30" numFmtId="0" xfId="0" applyAlignment="1" applyBorder="1" applyFont="1">
      <alignment readingOrder="0" shrinkToFit="0" vertical="bottom" wrapText="0"/>
    </xf>
    <xf borderId="8" fillId="6" fontId="30" numFmtId="0" xfId="0" applyAlignment="1" applyBorder="1" applyFont="1">
      <alignment readingOrder="0" shrinkToFit="0" vertical="center" wrapText="1"/>
    </xf>
    <xf borderId="8" fillId="0" fontId="30" numFmtId="0" xfId="0" applyAlignment="1" applyBorder="1" applyFont="1">
      <alignment shrinkToFit="0" vertical="bottom" wrapText="1"/>
    </xf>
    <xf borderId="17" fillId="0" fontId="30" numFmtId="0" xfId="0" applyAlignment="1" applyBorder="1" applyFont="1">
      <alignment horizontal="center" readingOrder="0" shrinkToFit="0" vertical="center" wrapText="1"/>
    </xf>
    <xf borderId="8" fillId="0" fontId="17" numFmtId="0" xfId="0" applyAlignment="1" applyBorder="1" applyFont="1">
      <alignment readingOrder="0" shrinkToFit="0" vertical="top" wrapText="1"/>
    </xf>
    <xf borderId="8" fillId="0" fontId="30" numFmtId="0" xfId="0" applyAlignment="1" applyBorder="1" applyFont="1">
      <alignment readingOrder="0" vertical="center"/>
    </xf>
    <xf borderId="17" fillId="0" fontId="30" numFmtId="0" xfId="0" applyAlignment="1" applyBorder="1" applyFont="1">
      <alignment horizontal="center" readingOrder="0" shrinkToFit="0" vertical="top" wrapText="1"/>
    </xf>
    <xf borderId="6" fillId="0" fontId="30" numFmtId="0" xfId="0" applyAlignment="1" applyBorder="1" applyFont="1">
      <alignment readingOrder="0" shrinkToFit="0" vertical="top" wrapText="1"/>
    </xf>
    <xf borderId="20" fillId="0" fontId="30" numFmtId="0" xfId="0" applyAlignment="1" applyBorder="1" applyFont="1">
      <alignment readingOrder="0" vertical="top"/>
    </xf>
    <xf borderId="9" fillId="0" fontId="30" numFmtId="0" xfId="0" applyAlignment="1" applyBorder="1" applyFont="1">
      <alignment readingOrder="0" shrinkToFit="0" vertical="top" wrapText="1"/>
    </xf>
    <xf borderId="22" fillId="0" fontId="30" numFmtId="0" xfId="0" applyAlignment="1" applyBorder="1" applyFont="1">
      <alignment readingOrder="0" shrinkToFit="0" vertical="top" wrapText="1"/>
    </xf>
    <xf borderId="8" fillId="0" fontId="30" numFmtId="0" xfId="0" applyAlignment="1" applyBorder="1" applyFont="1">
      <alignment shrinkToFit="0" vertical="center" wrapText="1"/>
    </xf>
    <xf borderId="0" fillId="0" fontId="30" numFmtId="0" xfId="0" applyAlignment="1" applyFont="1">
      <alignment readingOrder="0" vertical="top"/>
    </xf>
    <xf borderId="25" fillId="0" fontId="30" numFmtId="0" xfId="0" applyAlignment="1" applyBorder="1" applyFont="1">
      <alignment readingOrder="0" vertical="top"/>
    </xf>
    <xf borderId="17" fillId="0" fontId="30" numFmtId="0" xfId="0" applyAlignment="1" applyBorder="1" applyFont="1">
      <alignment horizontal="center" readingOrder="0" shrinkToFit="0" vertical="center" wrapText="1"/>
    </xf>
    <xf borderId="17" fillId="0" fontId="30" numFmtId="0" xfId="0" applyAlignment="1" applyBorder="1" applyFont="1">
      <alignment readingOrder="0" shrinkToFit="0" vertical="top" wrapText="1"/>
    </xf>
    <xf borderId="9" fillId="6" fontId="30" numFmtId="0" xfId="0" applyAlignment="1" applyBorder="1" applyFont="1">
      <alignment readingOrder="0" shrinkToFit="0" vertical="top" wrapText="1"/>
    </xf>
    <xf borderId="22" fillId="6" fontId="30" numFmtId="0" xfId="0" applyAlignment="1" applyBorder="1" applyFont="1">
      <alignment readingOrder="0" shrinkToFit="0" vertical="top" wrapText="1"/>
    </xf>
    <xf borderId="9" fillId="0" fontId="30" numFmtId="0" xfId="0" applyAlignment="1" applyBorder="1" applyFont="1">
      <alignment shrinkToFit="0" vertical="top" wrapText="1"/>
    </xf>
    <xf borderId="0" fillId="0" fontId="32" numFmtId="0" xfId="0" applyAlignment="1" applyFont="1">
      <alignment readingOrder="0"/>
    </xf>
    <xf borderId="0" fillId="0" fontId="30" numFmtId="0" xfId="0" applyAlignment="1" applyFont="1">
      <alignment shrinkToFit="0" vertical="top" wrapText="1"/>
    </xf>
    <xf borderId="21" fillId="0" fontId="30" numFmtId="0" xfId="0" applyAlignment="1" applyBorder="1" applyFont="1">
      <alignment horizontal="center" readingOrder="0" vertical="top"/>
    </xf>
    <xf borderId="0" fillId="0" fontId="30" numFmtId="0" xfId="0" applyAlignment="1" applyFont="1">
      <alignment readingOrder="0" shrinkToFit="0" vertical="top" wrapText="0"/>
    </xf>
    <xf borderId="8" fillId="0" fontId="30" numFmtId="0" xfId="0" applyAlignment="1" applyBorder="1" applyFont="1">
      <alignment vertical="center"/>
    </xf>
    <xf borderId="20" fillId="0" fontId="30" numFmtId="0" xfId="0" applyAlignment="1" applyBorder="1" applyFont="1">
      <alignment readingOrder="0" shrinkToFit="0" vertical="top" wrapText="1"/>
    </xf>
    <xf borderId="22" fillId="0" fontId="30" numFmtId="0" xfId="0" applyAlignment="1" applyBorder="1" applyFont="1">
      <alignment readingOrder="0" shrinkToFit="0" vertical="bottom" wrapText="1"/>
    </xf>
    <xf borderId="0" fillId="0" fontId="30" numFmtId="0" xfId="0" applyAlignment="1" applyFont="1">
      <alignment readingOrder="0" shrinkToFit="0" vertical="bottom" wrapText="1"/>
    </xf>
    <xf borderId="24" fillId="0" fontId="30" numFmtId="0" xfId="0" applyAlignment="1" applyBorder="1" applyFont="1">
      <alignment readingOrder="0" shrinkToFit="0" vertical="bottom" wrapText="1"/>
    </xf>
    <xf borderId="8" fillId="0" fontId="30" numFmtId="0" xfId="0" applyAlignment="1" applyBorder="1" applyFont="1">
      <alignment shrinkToFit="0" vertical="top" wrapText="1"/>
    </xf>
    <xf borderId="8" fillId="0" fontId="30" numFmtId="0" xfId="0" applyAlignment="1" applyBorder="1" applyFont="1">
      <alignment shrinkToFit="0" wrapText="1"/>
    </xf>
    <xf borderId="8" fillId="0" fontId="30" numFmtId="0" xfId="0" applyBorder="1" applyFont="1"/>
    <xf borderId="17" fillId="7" fontId="26" numFmtId="0" xfId="0" applyAlignment="1" applyBorder="1" applyFont="1">
      <alignment horizontal="left" readingOrder="0" shrinkToFit="0" wrapText="0"/>
    </xf>
    <xf borderId="16" fillId="7" fontId="26" numFmtId="0" xfId="0" applyAlignment="1" applyBorder="1" applyFont="1">
      <alignment horizontal="left" readingOrder="0"/>
    </xf>
    <xf borderId="6" fillId="0" fontId="30" numFmtId="0" xfId="0" applyAlignment="1" applyBorder="1" applyFont="1">
      <alignment readingOrder="0" shrinkToFit="0" vertical="bottom" wrapText="1"/>
    </xf>
    <xf borderId="17" fillId="0" fontId="45" numFmtId="0" xfId="0" applyAlignment="1" applyBorder="1" applyFont="1">
      <alignment readingOrder="0" shrinkToFit="0" vertical="top" wrapText="1"/>
    </xf>
    <xf borderId="8" fillId="2" fontId="25" numFmtId="0" xfId="0" applyAlignment="1" applyBorder="1" applyFont="1">
      <alignment horizontal="left" readingOrder="0" shrinkToFit="0" wrapText="1"/>
    </xf>
    <xf borderId="8" fillId="2" fontId="25" numFmtId="0" xfId="0" applyAlignment="1" applyBorder="1" applyFont="1">
      <alignment horizontal="center" shrinkToFit="0" vertical="top" wrapText="1"/>
    </xf>
    <xf borderId="8" fillId="2" fontId="25" numFmtId="0" xfId="0" applyAlignment="1" applyBorder="1" applyFont="1">
      <alignment horizontal="center" shrinkToFit="0" wrapText="1"/>
    </xf>
    <xf borderId="8" fillId="2" fontId="25" numFmtId="0" xfId="0" applyAlignment="1" applyBorder="1" applyFont="1">
      <alignment horizontal="center" readingOrder="0" shrinkToFit="0" vertical="top" wrapText="1"/>
    </xf>
    <xf borderId="8" fillId="2" fontId="25" numFmtId="0" xfId="0" applyAlignment="1" applyBorder="1" applyFont="1">
      <alignment horizontal="center" readingOrder="0" shrinkToFit="0" wrapText="1"/>
    </xf>
    <xf borderId="8" fillId="2" fontId="22" numFmtId="0" xfId="0" applyBorder="1" applyFont="1"/>
    <xf borderId="8" fillId="2" fontId="22" numFmtId="0" xfId="0" applyAlignment="1" applyBorder="1" applyFont="1">
      <alignment shrinkToFit="0" wrapText="1"/>
    </xf>
    <xf borderId="17" fillId="0" fontId="30" numFmtId="0" xfId="0" applyAlignment="1" applyBorder="1" applyFont="1">
      <alignment readingOrder="0" shrinkToFit="0" vertical="top" wrapText="1"/>
    </xf>
    <xf borderId="8" fillId="0" fontId="30" numFmtId="0" xfId="0" applyAlignment="1" applyBorder="1" applyFont="1">
      <alignment horizontal="left" vertical="top"/>
    </xf>
    <xf borderId="8" fillId="0" fontId="30" numFmtId="0" xfId="0" applyAlignment="1" applyBorder="1" applyFont="1">
      <alignment horizontal="center" readingOrder="0" shrinkToFit="0" vertical="top" wrapText="0"/>
    </xf>
    <xf borderId="8" fillId="0" fontId="30" numFmtId="0" xfId="0" applyAlignment="1" applyBorder="1" applyFont="1">
      <alignment vertical="bottom"/>
    </xf>
    <xf borderId="17" fillId="0" fontId="17" numFmtId="0" xfId="0" applyAlignment="1" applyBorder="1" applyFont="1">
      <alignment readingOrder="0" shrinkToFit="0" vertical="top" wrapText="1"/>
    </xf>
    <xf borderId="8" fillId="0" fontId="17" numFmtId="0" xfId="0" applyAlignment="1" applyBorder="1" applyFont="1">
      <alignment readingOrder="0" shrinkToFit="0" vertical="bottom" wrapText="0"/>
    </xf>
    <xf borderId="8" fillId="0" fontId="17" numFmtId="0" xfId="0" applyAlignment="1" applyBorder="1" applyFont="1">
      <alignment readingOrder="0" shrinkToFit="0" vertical="top" wrapText="0"/>
    </xf>
    <xf borderId="8" fillId="0" fontId="17" numFmtId="0" xfId="0" applyAlignment="1" applyBorder="1" applyFont="1">
      <alignment readingOrder="0" shrinkToFit="0" vertical="bottom" wrapText="1"/>
    </xf>
    <xf borderId="8" fillId="0" fontId="17" numFmtId="0" xfId="0" applyAlignment="1" applyBorder="1" applyFont="1">
      <alignment horizontal="center" readingOrder="0" shrinkToFit="0" vertical="top" wrapText="0"/>
    </xf>
    <xf borderId="8" fillId="0" fontId="17" numFmtId="0" xfId="0" applyAlignment="1" applyBorder="1" applyFont="1">
      <alignment shrinkToFit="0" vertical="bottom" wrapText="0"/>
    </xf>
    <xf borderId="8" fillId="0" fontId="47" numFmtId="0" xfId="0" applyAlignment="1" applyBorder="1" applyFont="1">
      <alignment vertical="bottom"/>
    </xf>
    <xf borderId="8" fillId="0" fontId="47" numFmtId="0" xfId="0" applyAlignment="1" applyBorder="1" applyFont="1">
      <alignment shrinkToFit="0" vertical="bottom" wrapText="0"/>
    </xf>
    <xf borderId="8" fillId="0" fontId="30" numFmtId="0" xfId="0" applyAlignment="1" applyBorder="1" applyFont="1">
      <alignment shrinkToFit="0" vertical="top" wrapText="0"/>
    </xf>
    <xf borderId="8" fillId="0" fontId="48" numFmtId="0" xfId="0" applyAlignment="1" applyBorder="1" applyFont="1">
      <alignment readingOrder="0" shrinkToFit="0" vertical="bottom" wrapText="1"/>
    </xf>
    <xf borderId="8" fillId="6" fontId="17" numFmtId="0" xfId="0" applyAlignment="1" applyBorder="1" applyFont="1">
      <alignment readingOrder="0" vertical="bottom"/>
    </xf>
    <xf borderId="8" fillId="6" fontId="30" numFmtId="0" xfId="0" applyAlignment="1" applyBorder="1" applyFont="1">
      <alignment readingOrder="0" vertical="bottom"/>
    </xf>
    <xf borderId="8" fillId="6" fontId="30" numFmtId="0" xfId="0" applyAlignment="1" applyBorder="1" applyFont="1">
      <alignment vertical="bottom"/>
    </xf>
    <xf borderId="8" fillId="6" fontId="30" numFmtId="0" xfId="0" applyAlignment="1" applyBorder="1" applyFont="1">
      <alignment horizontal="left" readingOrder="0" shrinkToFit="0" vertical="top" wrapText="0"/>
    </xf>
    <xf borderId="8" fillId="6" fontId="30" numFmtId="0" xfId="0" applyAlignment="1" applyBorder="1" applyFont="1">
      <alignment vertical="top"/>
    </xf>
    <xf borderId="8" fillId="6" fontId="45" numFmtId="0" xfId="0" applyAlignment="1" applyBorder="1" applyFont="1">
      <alignment readingOrder="0" shrinkToFit="0" vertical="top" wrapText="1"/>
    </xf>
    <xf borderId="6" fillId="6" fontId="45" numFmtId="0" xfId="0" applyAlignment="1" applyBorder="1" applyFont="1">
      <alignment readingOrder="0" shrinkToFit="0" vertical="top" wrapText="1"/>
    </xf>
    <xf borderId="9" fillId="6" fontId="45" numFmtId="0" xfId="0" applyAlignment="1" applyBorder="1" applyFont="1">
      <alignment readingOrder="0" shrinkToFit="0" vertical="top" wrapText="1"/>
    </xf>
    <xf borderId="22" fillId="6" fontId="45" numFmtId="0" xfId="0" applyAlignment="1" applyBorder="1" applyFont="1">
      <alignment readingOrder="0" shrinkToFit="0" vertical="top" wrapText="1"/>
    </xf>
    <xf borderId="17" fillId="0" fontId="17" numFmtId="0" xfId="0" applyAlignment="1" applyBorder="1" applyFont="1">
      <alignment horizontal="center" readingOrder="0" shrinkToFit="0" vertical="top" wrapText="1"/>
    </xf>
    <xf borderId="8" fillId="0" fontId="30" numFmtId="0" xfId="0" applyAlignment="1" applyBorder="1" applyFont="1">
      <alignment vertical="top"/>
    </xf>
    <xf borderId="8" fillId="6" fontId="30" numFmtId="0" xfId="0" applyAlignment="1" applyBorder="1" applyFont="1">
      <alignment readingOrder="0" shrinkToFit="0" vertical="bottom" wrapText="1"/>
    </xf>
    <xf borderId="8" fillId="0" fontId="30" numFmtId="0" xfId="0" applyAlignment="1" applyBorder="1" applyFont="1">
      <alignment horizontal="center" readingOrder="0" shrinkToFit="0" vertical="top" wrapText="0"/>
    </xf>
    <xf borderId="8" fillId="0" fontId="30" numFmtId="0" xfId="0" applyAlignment="1" applyBorder="1" applyFont="1">
      <alignment shrinkToFit="0" vertical="bottom" wrapText="0"/>
    </xf>
    <xf borderId="8" fillId="6" fontId="30" numFmtId="0" xfId="0" applyAlignment="1" applyBorder="1" applyFont="1">
      <alignment vertical="top"/>
    </xf>
    <xf borderId="17" fillId="0" fontId="30" numFmtId="0" xfId="0" applyAlignment="1" applyBorder="1" applyFont="1">
      <alignment horizontal="center" readingOrder="0" shrinkToFit="0" vertical="top" wrapText="1"/>
    </xf>
    <xf borderId="17" fillId="0" fontId="30" numFmtId="0" xfId="0" applyAlignment="1" applyBorder="1" applyFont="1">
      <alignment readingOrder="0"/>
    </xf>
    <xf borderId="8" fillId="0" fontId="30" numFmtId="0" xfId="0" applyAlignment="1" applyBorder="1" applyFont="1">
      <alignment readingOrder="0" shrinkToFit="0" wrapText="1"/>
    </xf>
    <xf borderId="8" fillId="0" fontId="30" numFmtId="0" xfId="0" applyAlignment="1" applyBorder="1" applyFont="1">
      <alignment horizontal="left" readingOrder="0" shrinkToFit="0" vertical="bottom" wrapText="0"/>
    </xf>
    <xf borderId="8" fillId="0" fontId="30" numFmtId="0" xfId="0" applyAlignment="1" applyBorder="1" applyFont="1">
      <alignment horizontal="left" readingOrder="0" shrinkToFit="0" vertical="bottom" wrapText="1"/>
    </xf>
    <xf borderId="8" fillId="0" fontId="30" numFmtId="0" xfId="0" applyAlignment="1" applyBorder="1" applyFont="1">
      <alignment horizontal="left" readingOrder="0" vertical="top"/>
    </xf>
    <xf borderId="8" fillId="0" fontId="30" numFmtId="0" xfId="0" applyAlignment="1" applyBorder="1" applyFont="1">
      <alignment readingOrder="0" vertical="top"/>
    </xf>
    <xf borderId="8" fillId="0" fontId="30" numFmtId="0" xfId="0" applyAlignment="1" applyBorder="1" applyFont="1">
      <alignment vertical="bottom"/>
    </xf>
    <xf borderId="8" fillId="0" fontId="30" numFmtId="0" xfId="0" applyAlignment="1" applyBorder="1" applyFont="1">
      <alignment readingOrder="0"/>
    </xf>
    <xf borderId="8" fillId="0" fontId="29" numFmtId="0" xfId="0" applyAlignment="1" applyBorder="1" applyFont="1">
      <alignment readingOrder="0" shrinkToFit="0" vertical="top" wrapText="1"/>
    </xf>
    <xf borderId="8" fillId="0" fontId="47" numFmtId="0" xfId="0" applyAlignment="1" applyBorder="1" applyFont="1">
      <alignment horizontal="center" readingOrder="0" shrinkToFit="0" vertical="top" wrapText="0"/>
    </xf>
    <xf borderId="8" fillId="0" fontId="49" numFmtId="0" xfId="0" applyAlignment="1" applyBorder="1" applyFont="1">
      <alignment readingOrder="0" shrinkToFit="0" vertical="bottom" wrapText="1"/>
    </xf>
    <xf borderId="17" fillId="6" fontId="48" numFmtId="0" xfId="0" applyAlignment="1" applyBorder="1" applyFont="1">
      <alignment readingOrder="0" shrinkToFit="0" vertical="top" wrapText="1"/>
    </xf>
    <xf borderId="8" fillId="0" fontId="30" numFmtId="0" xfId="0" applyAlignment="1" applyBorder="1" applyFont="1">
      <alignment shrinkToFit="0" vertical="top" wrapText="0"/>
    </xf>
    <xf borderId="8" fillId="0" fontId="30" numFmtId="0" xfId="0" applyAlignment="1" applyBorder="1" applyFont="1">
      <alignment horizontal="center" readingOrder="0" vertical="top"/>
    </xf>
    <xf borderId="8" fillId="0" fontId="30" numFmtId="0" xfId="0" applyAlignment="1" applyBorder="1" applyFont="1">
      <alignment readingOrder="0" shrinkToFit="0" vertical="top" wrapText="0"/>
    </xf>
    <xf borderId="8" fillId="0" fontId="30" numFmtId="0" xfId="0" applyAlignment="1" applyBorder="1" applyFont="1">
      <alignment shrinkToFit="0" vertical="top" wrapText="1"/>
    </xf>
    <xf borderId="8" fillId="9" fontId="17" numFmtId="0" xfId="0" applyAlignment="1" applyBorder="1" applyFont="1">
      <alignment vertical="bottom"/>
    </xf>
    <xf borderId="17" fillId="0" fontId="50" numFmtId="0" xfId="0" applyAlignment="1" applyBorder="1" applyFont="1">
      <alignment horizontal="left" readingOrder="0" vertical="top"/>
    </xf>
    <xf borderId="8" fillId="0" fontId="45" numFmtId="0" xfId="0" applyAlignment="1" applyBorder="1" applyFont="1">
      <alignment horizontal="left" readingOrder="0" vertical="top"/>
    </xf>
    <xf borderId="8" fillId="0" fontId="45" numFmtId="0" xfId="0" applyAlignment="1" applyBorder="1" applyFont="1">
      <alignment horizontal="left" readingOrder="0" shrinkToFit="0" vertical="top" wrapText="1"/>
    </xf>
    <xf borderId="8" fillId="0" fontId="45" numFmtId="0" xfId="0" applyAlignment="1" applyBorder="1" applyFont="1">
      <alignment horizontal="left" shrinkToFit="0" vertical="top" wrapText="1"/>
    </xf>
    <xf borderId="17" fillId="0" fontId="50" numFmtId="0" xfId="0" applyAlignment="1" applyBorder="1" applyFont="1">
      <alignment horizontal="center" readingOrder="0" vertical="top"/>
    </xf>
    <xf borderId="8" fillId="6" fontId="45" numFmtId="0" xfId="0" applyAlignment="1" applyBorder="1" applyFont="1">
      <alignment horizontal="left" readingOrder="0" shrinkToFit="0" vertical="top" wrapText="1"/>
    </xf>
    <xf borderId="6" fillId="6" fontId="45" numFmtId="0" xfId="0" applyAlignment="1" applyBorder="1" applyFont="1">
      <alignment horizontal="left" readingOrder="0" shrinkToFit="0" vertical="top" wrapText="1"/>
    </xf>
    <xf borderId="9" fillId="6" fontId="45" numFmtId="0" xfId="0" applyAlignment="1" applyBorder="1" applyFont="1">
      <alignment horizontal="left" readingOrder="0" shrinkToFit="0" vertical="top" wrapText="1"/>
    </xf>
    <xf borderId="22" fillId="6" fontId="45" numFmtId="0" xfId="0" applyAlignment="1" applyBorder="1" applyFont="1">
      <alignment horizontal="left" readingOrder="0" shrinkToFit="0" vertical="top" wrapText="1"/>
    </xf>
    <xf borderId="8" fillId="6" fontId="32" numFmtId="0" xfId="0" applyAlignment="1" applyBorder="1" applyFont="1">
      <alignment horizontal="left" readingOrder="0" shrinkToFit="0" vertical="top" wrapText="1"/>
    </xf>
    <xf borderId="8" fillId="0" fontId="41" numFmtId="0" xfId="0" applyAlignment="1" applyBorder="1" applyFont="1">
      <alignment horizontal="left" readingOrder="0" shrinkToFit="0" vertical="bottom" wrapText="1"/>
    </xf>
    <xf borderId="8" fillId="0" fontId="17" numFmtId="0" xfId="0" applyAlignment="1" applyBorder="1" applyFont="1">
      <alignment horizontal="left"/>
    </xf>
    <xf borderId="8" fillId="0" fontId="17" numFmtId="0" xfId="0" applyAlignment="1" applyBorder="1" applyFont="1">
      <alignment horizontal="center" readingOrder="0" vertical="top"/>
    </xf>
    <xf borderId="8" fillId="0" fontId="32" numFmtId="0" xfId="0" applyAlignment="1" applyBorder="1" applyFont="1">
      <alignment horizontal="left" readingOrder="0" shrinkToFit="0" vertical="top" wrapText="1"/>
    </xf>
    <xf borderId="17" fillId="0" fontId="29" numFmtId="0" xfId="0" applyAlignment="1" applyBorder="1" applyFont="1">
      <alignment horizontal="center" readingOrder="0" vertical="top"/>
    </xf>
    <xf borderId="0" fillId="0" fontId="17" numFmtId="0" xfId="0" applyAlignment="1" applyFont="1">
      <alignment horizontal="left"/>
    </xf>
    <xf borderId="20" fillId="0" fontId="29" numFmtId="0" xfId="0" applyAlignment="1" applyBorder="1" applyFont="1">
      <alignment horizontal="center" readingOrder="0" vertical="top"/>
    </xf>
    <xf borderId="0" fillId="0" fontId="45" numFmtId="0" xfId="0" applyAlignment="1" applyFont="1">
      <alignment horizontal="left" readingOrder="0" vertical="top"/>
    </xf>
    <xf borderId="20" fillId="0" fontId="45" numFmtId="0" xfId="0" applyAlignment="1" applyBorder="1" applyFont="1">
      <alignment readingOrder="0" shrinkToFit="0" vertical="top" wrapText="1"/>
    </xf>
    <xf borderId="21" fillId="0" fontId="45" numFmtId="0" xfId="0" applyAlignment="1" applyBorder="1" applyFont="1">
      <alignment readingOrder="0" shrinkToFit="0" vertical="top" wrapText="1"/>
    </xf>
    <xf borderId="0" fillId="0" fontId="17" numFmtId="0" xfId="0" applyFont="1"/>
    <xf borderId="0" fillId="0" fontId="45" numFmtId="0" xfId="0" applyAlignment="1" applyFont="1">
      <alignment readingOrder="0" shrinkToFit="0" vertical="top" wrapText="1"/>
    </xf>
    <xf borderId="8" fillId="0" fontId="45" numFmtId="0" xfId="0" applyAlignment="1" applyBorder="1" applyFont="1">
      <alignment readingOrder="0" shrinkToFit="0" vertical="top" wrapText="1"/>
    </xf>
    <xf borderId="9" fillId="0" fontId="45" numFmtId="0" xfId="0" applyAlignment="1" applyBorder="1" applyFont="1">
      <alignment readingOrder="0" shrinkToFit="0" vertical="top" wrapText="1"/>
    </xf>
    <xf borderId="22" fillId="0" fontId="45" numFmtId="0" xfId="0" applyAlignment="1" applyBorder="1" applyFont="1">
      <alignment readingOrder="0" shrinkToFit="0" vertical="top" wrapText="1"/>
    </xf>
    <xf borderId="6" fillId="0" fontId="41" numFmtId="0" xfId="0" applyAlignment="1" applyBorder="1" applyFont="1">
      <alignment readingOrder="0" shrinkToFit="0" vertical="top" wrapText="1"/>
    </xf>
    <xf borderId="6" fillId="0" fontId="45" numFmtId="0" xfId="0" applyAlignment="1" applyBorder="1" applyFont="1">
      <alignment readingOrder="0" shrinkToFit="0" vertical="top" wrapText="1"/>
    </xf>
    <xf borderId="22" fillId="0" fontId="41" numFmtId="0" xfId="0" applyAlignment="1" applyBorder="1" applyFont="1">
      <alignment readingOrder="0" shrinkToFit="0" vertical="top" wrapText="1"/>
    </xf>
    <xf borderId="22" fillId="0" fontId="45" numFmtId="0" xfId="0" applyAlignment="1" applyBorder="1" applyFont="1">
      <alignment readingOrder="0" shrinkToFit="0" vertical="bottom" wrapText="1"/>
    </xf>
    <xf borderId="8" fillId="0" fontId="50" numFmtId="0" xfId="0" applyAlignment="1" applyBorder="1" applyFont="1">
      <alignment readingOrder="0" vertical="top"/>
    </xf>
    <xf borderId="8" fillId="6" fontId="45" numFmtId="0" xfId="0" applyAlignment="1" applyBorder="1" applyFont="1">
      <alignment readingOrder="0" vertical="top"/>
    </xf>
    <xf borderId="6" fillId="0" fontId="45" numFmtId="0" xfId="0" applyAlignment="1" applyBorder="1" applyFont="1">
      <alignment readingOrder="0" vertical="bottom"/>
    </xf>
    <xf borderId="0" fillId="0" fontId="29" numFmtId="0" xfId="0" applyAlignment="1" applyFont="1">
      <alignment horizontal="center" readingOrder="0" vertical="top"/>
    </xf>
    <xf borderId="9" fillId="6" fontId="45" numFmtId="0" xfId="0" applyAlignment="1" applyBorder="1" applyFont="1">
      <alignment readingOrder="0" vertical="top"/>
    </xf>
    <xf borderId="22" fillId="0" fontId="45" numFmtId="0" xfId="0" applyAlignment="1" applyBorder="1" applyFont="1">
      <alignment readingOrder="0" vertical="bottom"/>
    </xf>
    <xf borderId="0" fillId="0" fontId="30" numFmtId="0" xfId="0" applyAlignment="1" applyFont="1">
      <alignment readingOrder="0" shrinkToFit="0" vertical="top" wrapText="0"/>
    </xf>
    <xf borderId="0" fillId="0" fontId="45" numFmtId="0" xfId="0" applyAlignment="1" applyFont="1">
      <alignment horizontal="left" readingOrder="0" shrinkToFit="0" vertical="top" wrapText="1"/>
    </xf>
    <xf borderId="0" fillId="7" fontId="25" numFmtId="0" xfId="0" applyAlignment="1" applyFont="1">
      <alignment horizontal="center" shrinkToFit="0" wrapText="1"/>
    </xf>
    <xf borderId="8" fillId="7" fontId="25" numFmtId="0" xfId="0" applyAlignment="1" applyBorder="1" applyFont="1">
      <alignment horizontal="center" shrinkToFit="0" wrapText="1"/>
    </xf>
    <xf borderId="17" fillId="0" fontId="17" numFmtId="0" xfId="0" applyAlignment="1" applyBorder="1" applyFont="1">
      <alignment shrinkToFit="0" vertical="top" wrapText="1"/>
    </xf>
    <xf borderId="0" fillId="0" fontId="17" numFmtId="0" xfId="0" applyAlignment="1" applyFont="1">
      <alignment readingOrder="0"/>
    </xf>
    <xf borderId="8" fillId="0" fontId="0" numFmtId="0" xfId="0" applyAlignment="1" applyBorder="1" applyFont="1">
      <alignment readingOrder="0" shrinkToFit="0" vertical="top" wrapText="1"/>
    </xf>
    <xf borderId="8" fillId="0" fontId="0" numFmtId="0" xfId="0" applyAlignment="1" applyBorder="1" applyFont="1">
      <alignment shrinkToFit="0" vertical="top" wrapText="1"/>
    </xf>
    <xf borderId="8" fillId="0" fontId="17" numFmtId="0" xfId="0" applyAlignment="1" applyBorder="1" applyFont="1">
      <alignment readingOrder="0" shrinkToFit="0" vertical="top" wrapText="1"/>
    </xf>
    <xf borderId="8" fillId="0" fontId="17" numFmtId="0" xfId="0" applyAlignment="1" applyBorder="1" applyFont="1">
      <alignment shrinkToFit="0" vertical="top" wrapText="1"/>
    </xf>
    <xf borderId="0" fillId="0" fontId="17" numFmtId="0" xfId="0" applyAlignment="1" applyFont="1">
      <alignment readingOrder="0" shrinkToFit="0" wrapText="1"/>
    </xf>
    <xf borderId="0" fillId="0" fontId="0" numFmtId="0" xfId="0" applyAlignment="1" applyFont="1">
      <alignment shrinkToFit="0" vertical="bottom" wrapText="1"/>
    </xf>
    <xf borderId="8" fillId="6" fontId="30" numFmtId="0" xfId="0" applyAlignment="1" applyBorder="1" applyFont="1">
      <alignment readingOrder="0" vertical="center"/>
    </xf>
    <xf borderId="8" fillId="0" fontId="17" numFmtId="0" xfId="0" applyAlignment="1" applyBorder="1" applyFont="1">
      <alignment horizontal="center" readingOrder="0" vertical="center"/>
    </xf>
    <xf borderId="8" fillId="0" fontId="17" numFmtId="0" xfId="0" applyAlignment="1" applyBorder="1" applyFont="1">
      <alignment readingOrder="0" vertical="center"/>
    </xf>
    <xf borderId="17" fillId="0" fontId="17" numFmtId="0" xfId="0" applyAlignment="1" applyBorder="1" applyFont="1">
      <alignment vertical="center"/>
    </xf>
    <xf borderId="8" fillId="0" fontId="17" numFmtId="0" xfId="0" applyAlignment="1" applyBorder="1" applyFont="1">
      <alignment shrinkToFit="0" vertical="center" wrapText="1"/>
    </xf>
    <xf borderId="17" fillId="0" fontId="30" numFmtId="0" xfId="0" applyAlignment="1" applyBorder="1" applyFont="1">
      <alignment readingOrder="0" shrinkToFit="0" vertical="top" wrapText="0"/>
    </xf>
    <xf borderId="8" fillId="0" fontId="30" numFmtId="0" xfId="0" applyAlignment="1" applyBorder="1" applyFont="1">
      <alignment readingOrder="0" shrinkToFit="0" vertical="center" wrapText="0"/>
    </xf>
    <xf borderId="8" fillId="0" fontId="32" numFmtId="0" xfId="0" applyAlignment="1" applyBorder="1" applyFont="1">
      <alignment readingOrder="0" vertical="center"/>
    </xf>
    <xf borderId="8" fillId="0" fontId="51" numFmtId="0" xfId="0" applyAlignment="1" applyBorder="1" applyFont="1">
      <alignment readingOrder="0" shrinkToFit="0" vertical="center" wrapText="1"/>
    </xf>
    <xf borderId="17" fillId="0" fontId="17" numFmtId="0" xfId="0" applyAlignment="1" applyBorder="1" applyFont="1">
      <alignment horizontal="left" vertical="center"/>
    </xf>
    <xf borderId="8" fillId="0" fontId="17" numFmtId="0" xfId="0" applyAlignment="1" applyBorder="1" applyFont="1">
      <alignment horizontal="left" readingOrder="0"/>
    </xf>
    <xf borderId="8" fillId="0" fontId="30" numFmtId="0" xfId="0" applyAlignment="1" applyBorder="1" applyFont="1">
      <alignment horizontal="left" readingOrder="0" shrinkToFit="0" vertical="center" wrapText="0"/>
    </xf>
    <xf borderId="8" fillId="0" fontId="17" numFmtId="0" xfId="0" applyAlignment="1" applyBorder="1" applyFont="1">
      <alignment horizontal="left" readingOrder="0" vertical="center"/>
    </xf>
    <xf borderId="8" fillId="0" fontId="30" numFmtId="0" xfId="0" applyAlignment="1" applyBorder="1" applyFont="1">
      <alignment readingOrder="0" vertical="center"/>
    </xf>
    <xf borderId="8" fillId="0" fontId="30" numFmtId="0" xfId="0" applyAlignment="1" applyBorder="1" applyFont="1">
      <alignment horizontal="left" readingOrder="0" vertical="center"/>
    </xf>
    <xf borderId="8" fillId="0" fontId="30" numFmtId="0" xfId="0" applyAlignment="1" applyBorder="1" applyFont="1">
      <alignment readingOrder="0" shrinkToFit="0" vertical="center" wrapText="0"/>
    </xf>
    <xf borderId="17" fillId="0" fontId="17" numFmtId="0" xfId="0" applyAlignment="1" applyBorder="1" applyFont="1">
      <alignment shrinkToFit="0" vertical="center" wrapText="1"/>
    </xf>
    <xf borderId="8" fillId="0" fontId="17" numFmtId="0" xfId="0" applyAlignment="1" applyBorder="1" applyFont="1">
      <alignment horizontal="center" vertical="center"/>
    </xf>
    <xf borderId="8" fillId="6" fontId="38" numFmtId="0" xfId="0" applyAlignment="1" applyBorder="1" applyFont="1">
      <alignment horizontal="left" readingOrder="0" vertical="center"/>
    </xf>
    <xf borderId="8" fillId="6" fontId="17" numFmtId="0" xfId="0" applyAlignment="1" applyBorder="1" applyFont="1">
      <alignment shrinkToFit="0" vertical="center" wrapText="1"/>
    </xf>
    <xf borderId="8" fillId="10" fontId="49" numFmtId="0" xfId="0" applyAlignment="1" applyBorder="1" applyFill="1" applyFont="1">
      <alignment shrinkToFit="0" vertical="center" wrapText="1"/>
    </xf>
    <xf borderId="8" fillId="0" fontId="17" numFmtId="0" xfId="0" applyAlignment="1" applyBorder="1" applyFont="1">
      <alignment shrinkToFit="0" vertical="center" wrapText="1"/>
    </xf>
    <xf borderId="8" fillId="6" fontId="17" numFmtId="0" xfId="0" applyAlignment="1" applyBorder="1" applyFont="1">
      <alignment vertical="center"/>
    </xf>
    <xf borderId="8" fillId="6" fontId="30" numFmtId="0" xfId="0" applyAlignment="1" applyBorder="1" applyFont="1">
      <alignment horizontal="left" readingOrder="0" vertical="center"/>
    </xf>
    <xf borderId="8" fillId="0" fontId="17" numFmtId="0" xfId="0" applyAlignment="1" applyBorder="1" applyFont="1">
      <alignment horizontal="center" shrinkToFit="0" vertical="center" wrapText="1"/>
    </xf>
    <xf borderId="8" fillId="0" fontId="52" numFmtId="0" xfId="0" applyAlignment="1" applyBorder="1" applyFont="1">
      <alignment vertical="center"/>
    </xf>
    <xf borderId="8" fillId="6" fontId="17" numFmtId="0" xfId="0" applyAlignment="1" applyBorder="1" applyFont="1">
      <alignment horizontal="center" vertical="center"/>
    </xf>
    <xf borderId="0" fillId="0" fontId="23" numFmtId="0" xfId="0" applyFont="1"/>
    <xf borderId="0" fillId="0" fontId="23" numFmtId="0" xfId="0" applyAlignment="1" applyFont="1">
      <alignment shrinkToFit="0" wrapText="1"/>
    </xf>
  </cellXfs>
  <cellStyles count="1">
    <cellStyle xfId="0" name="Normal" builtinId="0"/>
  </cellStyles>
  <dxfs count="3">
    <dxf>
      <font>
        <color rgb="FFFFFFFF"/>
      </font>
      <fill>
        <patternFill patternType="solid">
          <fgColor rgb="FFFFFFFF"/>
          <bgColor rgb="FFFFFFFF"/>
        </patternFill>
      </fill>
      <border/>
    </dxf>
    <dxf>
      <font>
        <color theme="0"/>
      </font>
      <fill>
        <patternFill patternType="solid">
          <fgColor theme="0"/>
          <bgColor theme="0"/>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476250</xdr:colOff>
      <xdr:row>38</xdr:row>
      <xdr:rowOff>171450</xdr:rowOff>
    </xdr:from>
    <xdr:ext cx="3619500" cy="1085850"/>
    <xdr:sp>
      <xdr:nvSpPr>
        <xdr:cNvPr id="3" name="Shape 3"/>
        <xdr:cNvSpPr txBox="1"/>
      </xdr:nvSpPr>
      <xdr:spPr>
        <a:xfrm>
          <a:off x="47050" y="291525"/>
          <a:ext cx="8929200" cy="26628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0000">
              <a:solidFill>
                <a:srgbClr val="999999"/>
              </a:solidFill>
            </a:rPr>
            <a:t>READ ONLY</a:t>
          </a:r>
          <a:endParaRPr b="1" sz="10000">
            <a:solidFill>
              <a:srgbClr val="999999"/>
            </a:solidFill>
          </a:endParaRPr>
        </a:p>
        <a:p>
          <a:pPr indent="0" lvl="0" marL="0" rtl="0" algn="l">
            <a:spcBef>
              <a:spcPts val="0"/>
            </a:spcBef>
            <a:spcAft>
              <a:spcPts val="0"/>
            </a:spcAft>
            <a:buNone/>
          </a:pPr>
          <a:r>
            <a:rPr b="1" lang="en-US" sz="6100">
              <a:solidFill>
                <a:srgbClr val="999999"/>
              </a:solidFill>
            </a:rPr>
            <a:t>(Don’t edit this sheet)</a:t>
          </a:r>
          <a:endParaRPr b="1" sz="6100">
            <a:solidFill>
              <a:srgbClr val="999999"/>
            </a:solidFill>
          </a:endParaRPr>
        </a:p>
      </xdr:txBody>
    </xdr:sp>
    <xdr:clientData fLocksWithSheet="0"/>
  </xdr:oneCellAnchor>
  <xdr:oneCellAnchor>
    <xdr:from>
      <xdr:col>7</xdr:col>
      <xdr:colOff>0</xdr:colOff>
      <xdr:row>3</xdr:row>
      <xdr:rowOff>0</xdr:rowOff>
    </xdr:from>
    <xdr:ext cx="247650" cy="1905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xdr:row>
      <xdr:rowOff>0</xdr:rowOff>
    </xdr:from>
    <xdr:ext cx="190500" cy="1905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3</xdr:row>
      <xdr:rowOff>0</xdr:rowOff>
    </xdr:from>
    <xdr:ext cx="190500" cy="190500"/>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github.com/mosip/artifactory-ref-impl/blob/develop/artifacts/src/i18n/pre-registration-i18n-bundle/i18n/default.json" TargetMode="External"/><Relationship Id="rId2" Type="http://schemas.openxmlformats.org/officeDocument/2006/relationships/hyperlink" Target="http://domain-name/preregistration/v1/proxy/masterdata/registrationcenters/eng/5/names?name=14022" TargetMode="External"/><Relationship Id="rId3" Type="http://schemas.openxmlformats.org/officeDocument/2006/relationships/hyperlink" Target="http://domain-name/preregistration/v1/proxy/masterdata/individualtypes" TargetMode="External"/><Relationship Id="rId4" Type="http://schemas.openxmlformats.org/officeDocument/2006/relationships/hyperlink" Target="http://domain-name/preregistration/v1/proxy/masterdata/dynamicfields?langCode=eng"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qa-single-rc2.mosip.net/"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qa-double-rc2.mosip.net/v1/masterdata/workingdays" TargetMode="External"/><Relationship Id="rId2" Type="http://schemas.openxmlformats.org/officeDocument/2006/relationships/hyperlink" Target="https://qa-double-rc2.mosip.net/v1/masterdata/workingday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2.do/" TargetMode="External"/><Relationship Id="rId2" Type="http://schemas.openxmlformats.org/officeDocument/2006/relationships/hyperlink" Target="http://2.do/" TargetMode="External"/><Relationship Id="rId3" Type="http://schemas.openxmlformats.org/officeDocument/2006/relationships/hyperlink" Target="http://2.do/" TargetMode="External"/><Relationship Id="rId4" Type="http://schemas.openxmlformats.org/officeDocument/2006/relationships/hyperlink" Target="http://2.do/" TargetMode="External"/><Relationship Id="rId10" Type="http://schemas.openxmlformats.org/officeDocument/2006/relationships/drawing" Target="../drawings/drawing13.xml"/><Relationship Id="rId9" Type="http://schemas.openxmlformats.org/officeDocument/2006/relationships/hyperlink" Target="http://2.do/" TargetMode="External"/><Relationship Id="rId5" Type="http://schemas.openxmlformats.org/officeDocument/2006/relationships/hyperlink" Target="http://2.do/" TargetMode="External"/><Relationship Id="rId6" Type="http://schemas.openxmlformats.org/officeDocument/2006/relationships/hyperlink" Target="http://2.do/" TargetMode="External"/><Relationship Id="rId7" Type="http://schemas.openxmlformats.org/officeDocument/2006/relationships/hyperlink" Target="http://2.do/" TargetMode="External"/><Relationship Id="rId8" Type="http://schemas.openxmlformats.org/officeDocument/2006/relationships/hyperlink" Target="http://2.do/"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qa2.mosip.net/idauthentication/v1/internal/getCertificate?applicationId=IDA&amp;referenceId=INTERNAL"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qa-double-rc2.mosip.net/" TargetMode="External"/><Relationship Id="rId2" Type="http://schemas.openxmlformats.org/officeDocument/2006/relationships/hyperlink" Target="https://qa-double-rc2.mosip.net/v1/datashare/get/mpolicy-default-abis/mpartner-default-abis/mpartner-default-abismpolicy-default-abis20211004131546zpFm6X3I" TargetMode="External"/><Relationship Id="rId3"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topLeftCell="L1" activePane="topRight" state="frozen"/>
      <selection activeCell="M2" sqref="M2" pane="topRight"/>
    </sheetView>
  </sheetViews>
  <sheetFormatPr customHeight="1" defaultColWidth="12.63" defaultRowHeight="15.0"/>
  <cols>
    <col customWidth="1" min="1" max="1" width="1.63"/>
    <col customWidth="1" min="2" max="2" width="8.0"/>
    <col customWidth="1" min="3" max="3" width="9.88"/>
    <col customWidth="1" min="4" max="4" width="7.25"/>
    <col customWidth="1" min="5" max="5" width="5.88"/>
    <col customWidth="1" min="6" max="6" width="9.63"/>
    <col customWidth="1" min="7" max="7" width="9.75"/>
    <col customWidth="1" min="8" max="8" width="4.13"/>
    <col customWidth="1" min="9" max="9" width="3.88"/>
    <col customWidth="1" min="10" max="10" width="5.25"/>
    <col customWidth="1" min="11" max="11" width="1.5"/>
    <col customWidth="1" min="12" max="12" width="10.63"/>
    <col customWidth="1" min="13" max="14" width="3.25"/>
    <col customWidth="1" min="15" max="16" width="3.5"/>
    <col customWidth="1" min="17" max="17" width="10.38"/>
    <col customWidth="1" min="18" max="21" width="3.5"/>
    <col customWidth="1" min="22" max="22" width="10.63"/>
    <col customWidth="1" min="23" max="26" width="3.5"/>
    <col customWidth="1" min="27" max="27" width="10.38"/>
    <col customWidth="1" min="28" max="31" width="3.5"/>
    <col customWidth="1" min="32" max="32" width="10.38"/>
    <col customWidth="1" min="33" max="36" width="3.5"/>
    <col customWidth="1" min="37" max="37" width="10.25"/>
    <col customWidth="1" min="38" max="41" width="3.5"/>
    <col customWidth="1" min="42" max="42" width="10.88"/>
    <col customWidth="1" min="43" max="46" width="3.5"/>
    <col customWidth="1" min="47" max="47" width="7.13"/>
  </cols>
  <sheetData>
    <row r="1" ht="3.0" customHeight="1">
      <c r="A1" s="1"/>
      <c r="B1" s="2"/>
      <c r="C1" s="2"/>
      <c r="D1" s="2"/>
      <c r="E1" s="2"/>
      <c r="F1" s="2"/>
      <c r="G1" s="2"/>
      <c r="H1" s="2"/>
      <c r="I1" s="2"/>
      <c r="J1" s="2"/>
      <c r="K1" s="2"/>
      <c r="L1" s="3"/>
      <c r="M1" s="4"/>
      <c r="N1" s="4"/>
      <c r="O1" s="5"/>
      <c r="P1" s="6"/>
      <c r="Q1" s="3"/>
      <c r="R1" s="2"/>
      <c r="S1" s="2"/>
      <c r="T1" s="2"/>
      <c r="U1" s="2"/>
      <c r="V1" s="3"/>
      <c r="W1" s="2"/>
      <c r="X1" s="2"/>
      <c r="Y1" s="2"/>
      <c r="Z1" s="2"/>
      <c r="AA1" s="3"/>
      <c r="AB1" s="2"/>
      <c r="AC1" s="2"/>
      <c r="AD1" s="2"/>
      <c r="AE1" s="2"/>
      <c r="AF1" s="3"/>
      <c r="AG1" s="2"/>
      <c r="AH1" s="2"/>
      <c r="AI1" s="2"/>
      <c r="AJ1" s="2"/>
      <c r="AK1" s="3"/>
      <c r="AL1" s="2"/>
      <c r="AM1" s="2"/>
      <c r="AN1" s="2"/>
      <c r="AO1" s="2"/>
      <c r="AP1" s="3"/>
      <c r="AQ1" s="2"/>
      <c r="AR1" s="2"/>
      <c r="AS1" s="2"/>
      <c r="AT1" s="7"/>
      <c r="AU1" s="2"/>
      <c r="AV1" s="2"/>
      <c r="AW1" s="2"/>
      <c r="AX1" s="2"/>
    </row>
    <row r="2">
      <c r="A2" s="2"/>
      <c r="B2" s="2"/>
      <c r="C2" s="2"/>
      <c r="D2" s="2"/>
      <c r="E2" s="2"/>
      <c r="F2" s="2"/>
      <c r="G2" s="2"/>
      <c r="H2" s="2"/>
      <c r="I2" s="2"/>
      <c r="J2" s="2"/>
      <c r="K2" s="2"/>
      <c r="L2" s="8" t="s">
        <v>0</v>
      </c>
      <c r="Q2" s="9" t="s">
        <v>1</v>
      </c>
      <c r="V2" s="9" t="s">
        <v>2</v>
      </c>
      <c r="AA2" s="9" t="s">
        <v>3</v>
      </c>
      <c r="AF2" s="9" t="s">
        <v>4</v>
      </c>
      <c r="AK2" s="9" t="s">
        <v>5</v>
      </c>
      <c r="AP2" s="9" t="s">
        <v>6</v>
      </c>
      <c r="AU2" s="2"/>
      <c r="AV2" s="2"/>
      <c r="AW2" s="2"/>
      <c r="AX2" s="2"/>
    </row>
    <row r="3">
      <c r="A3" s="2"/>
      <c r="B3" s="10" t="s">
        <v>7</v>
      </c>
      <c r="C3" s="11" t="s">
        <v>8</v>
      </c>
      <c r="E3" s="9" t="s">
        <v>9</v>
      </c>
      <c r="H3" s="2"/>
      <c r="I3" s="2"/>
      <c r="J3" s="2"/>
      <c r="K3" s="2"/>
      <c r="L3" s="12" t="s">
        <v>10</v>
      </c>
      <c r="M3" s="13" t="s">
        <v>11</v>
      </c>
      <c r="N3" s="14"/>
      <c r="O3" s="14"/>
      <c r="P3" s="15"/>
      <c r="Q3" s="12" t="s">
        <v>10</v>
      </c>
      <c r="R3" s="13" t="s">
        <v>11</v>
      </c>
      <c r="S3" s="14"/>
      <c r="T3" s="14"/>
      <c r="U3" s="15"/>
      <c r="V3" s="12" t="s">
        <v>10</v>
      </c>
      <c r="W3" s="13" t="s">
        <v>11</v>
      </c>
      <c r="X3" s="14"/>
      <c r="Y3" s="14"/>
      <c r="Z3" s="15"/>
      <c r="AA3" s="12" t="s">
        <v>10</v>
      </c>
      <c r="AB3" s="13" t="s">
        <v>11</v>
      </c>
      <c r="AC3" s="14"/>
      <c r="AD3" s="14"/>
      <c r="AE3" s="15"/>
      <c r="AF3" s="12" t="s">
        <v>10</v>
      </c>
      <c r="AG3" s="13" t="s">
        <v>11</v>
      </c>
      <c r="AH3" s="14"/>
      <c r="AI3" s="14"/>
      <c r="AJ3" s="15"/>
      <c r="AK3" s="12" t="s">
        <v>10</v>
      </c>
      <c r="AL3" s="13" t="s">
        <v>11</v>
      </c>
      <c r="AM3" s="14"/>
      <c r="AN3" s="14"/>
      <c r="AO3" s="15"/>
      <c r="AP3" s="12" t="s">
        <v>10</v>
      </c>
      <c r="AQ3" s="13" t="s">
        <v>11</v>
      </c>
      <c r="AR3" s="14"/>
      <c r="AS3" s="14"/>
      <c r="AT3" s="16"/>
      <c r="AU3" s="2"/>
      <c r="AV3" s="2"/>
      <c r="AW3" s="2"/>
      <c r="AX3" s="2"/>
    </row>
    <row r="4">
      <c r="A4" s="2"/>
      <c r="C4" s="9" t="s">
        <v>12</v>
      </c>
      <c r="D4" s="9" t="s">
        <v>13</v>
      </c>
      <c r="E4" s="17" t="s">
        <v>12</v>
      </c>
      <c r="F4" s="17" t="s">
        <v>14</v>
      </c>
      <c r="G4" s="17" t="s">
        <v>15</v>
      </c>
      <c r="H4" s="18"/>
      <c r="I4" s="18"/>
      <c r="J4" s="18"/>
      <c r="K4" s="2"/>
      <c r="L4" s="19" t="str">
        <f>IFERROR(__xludf.DUMMYFUNCTION("UNIQUE(FILTER('Pre-reg'!A2:A1000, 'Pre-reg'!A2:A990&lt;&gt;""""))"),"MOSIP-11079")</f>
        <v>MOSIP-11079</v>
      </c>
      <c r="M4" s="20">
        <f>COUNTIFS('Pre-reg'!A2:A1000,L4,'Pre-reg'!C2:C990,"&lt;&gt;"&amp;"") </f>
        <v>9</v>
      </c>
      <c r="N4" s="21">
        <f>COUNTIFS('Pre-reg'!A2:A1000,L4,'Pre-reg'!C2:C1000,"&lt;&gt;"&amp;"",'Pre-reg'!H2:H1000,"Pass")</f>
        <v>9</v>
      </c>
      <c r="O4" s="22">
        <f>COUNTIFS('Pre-reg'!A2:A1000,L4,'Pre-reg'!C2:C1000,"&lt;&gt;"&amp;"",'Pre-reg'!H2:H1000,"Fail")</f>
        <v>0</v>
      </c>
      <c r="P4" s="23">
        <f t="shared" ref="P4:P47" si="1">M4-N4-O4</f>
        <v>0</v>
      </c>
      <c r="Q4" s="24" t="str">
        <f>IFERROR(__xludf.DUMMYFUNCTION("UNIQUE(FILTER(RegClient!A2:A983, RegClient!A2:A983&lt;&gt;""""))"),"MOSIP-12713")</f>
        <v>MOSIP-12713</v>
      </c>
      <c r="R4" s="25">
        <f>COUNTIFS(RegClient!A2:A983,Q4,RegClient!C2:C983,"&lt;&gt;"&amp;"") </f>
        <v>2</v>
      </c>
      <c r="S4" s="21">
        <f>COUNTIFS(RegClient!A2:A983,Q4,RegClient!C2:C983,"&lt;&gt;"&amp;"",RegClient!I2:I983,"Pass")</f>
        <v>2</v>
      </c>
      <c r="T4" s="22">
        <f>COUNTIFS(RegClient!A2:A983,Q4,RegClient!C2:C983,"&lt;&gt;"&amp;"",RegClient!I2:I983,"Fail)")</f>
        <v>0</v>
      </c>
      <c r="U4" s="26">
        <f t="shared" ref="U4:U39" si="2">R4-S4-T4</f>
        <v>0</v>
      </c>
      <c r="V4" s="24" t="str">
        <f>IFERROR(__xludf.DUMMYFUNCTION("UNIQUE(FILTER(RegProc!A2:A968, RegProc!A2:A968&lt;&gt;""""))"),"MOSIP-8462")</f>
        <v>MOSIP-8462</v>
      </c>
      <c r="W4" s="25">
        <f>COUNTIFS(RegProc!A2:A968,V4,RegProc!C2:C968,"&lt;&gt;"&amp;"") </f>
        <v>10</v>
      </c>
      <c r="X4" s="21">
        <f>COUNTIFS(RegProc!A2:A968,V4,RegProc!C2:C968,"&lt;&gt;"&amp;"",RegProc!I2:I968,"Pass")</f>
        <v>10</v>
      </c>
      <c r="Y4" s="22">
        <f>COUNTIFS(RegProc!A2:A968,V4,RegProc!C2:C968,"&lt;&gt;"&amp;"",RegProc!I2:I968,"Fail")</f>
        <v>0</v>
      </c>
      <c r="Z4" s="26">
        <f t="shared" ref="Z4:Z45" si="3">W4-X4-Y4</f>
        <v>0</v>
      </c>
      <c r="AA4" s="24" t="str">
        <f>IFERROR(__xludf.DUMMYFUNCTION("UNIQUE(FILTER(Resident!A2:A1002, Resident!A2:A1002&lt;&gt;""""))"),"MOSIP-8955")</f>
        <v>MOSIP-8955</v>
      </c>
      <c r="AB4" s="25">
        <f>COUNTIFS(Resident!A2:A1002,AA4,Resident!C2:C1002,"&lt;&gt;"&amp;"") </f>
        <v>9</v>
      </c>
      <c r="AC4" s="21">
        <f>COUNTIFS(Resident!A2:A1002,AA4,Resident!C2:C1002,"&lt;&gt;"&amp;"",Resident!J2:J1002,"Pass")</f>
        <v>9</v>
      </c>
      <c r="AD4" s="27">
        <f>COUNTIFS(Resident!A2:A1002,AA4,Resident!C2:C1002,"&lt;&gt;"&amp;"",Resident!J2:J1002,"Fail")</f>
        <v>0</v>
      </c>
      <c r="AE4" s="26">
        <f t="shared" ref="AE4:AE16" si="4">AB4-AC4-AD4</f>
        <v>0</v>
      </c>
      <c r="AF4" s="24" t="str">
        <f>IFERROR(__xludf.DUMMYFUNCTION("UNIQUE(FILTER(Admin!A2:A1049, Admin!A2:A1049&lt;&gt;""""))"),"MOSIP-16752")</f>
        <v>MOSIP-16752</v>
      </c>
      <c r="AG4" s="25">
        <f>COUNTIFS(Admin!A2:A1049,AF4,Admin!C2:C1049,"&lt;&gt;"&amp;"") </f>
        <v>29</v>
      </c>
      <c r="AH4" s="21">
        <f>COUNTIFS(Admin!A2:A1049,AF4,Admin!C2:C1049,"&lt;&gt;"&amp;"",Admin!I2:I1049,"Pass")</f>
        <v>27</v>
      </c>
      <c r="AI4" s="22">
        <f>COUNTIFS(Admin!A2:A1049,AF4,Admin!C2:C1049,"&lt;&gt;"&amp;"",Admin!I2:I1049,"Fail")</f>
        <v>2</v>
      </c>
      <c r="AJ4" s="26">
        <f t="shared" ref="AJ4:AJ24" si="5">AG4-AH4-AI4</f>
        <v>0</v>
      </c>
      <c r="AK4" s="24" t="str">
        <f>IFERROR(__xludf.DUMMYFUNCTION("UNIQUE(FILTER(IDA!A2:A1975, IDA!A2:A1975&lt;&gt;""""))"),"MOSIP-13567")</f>
        <v>MOSIP-13567</v>
      </c>
      <c r="AL4" s="25">
        <f>COUNTIFS(IDA!A2:A1975,AK4,IDA!C2:C1975,"&lt;&gt;"&amp;"") </f>
        <v>11</v>
      </c>
      <c r="AM4" s="21">
        <f>COUNTIFS(IDA!A2:A1975,AK4,IDA!C2:C1975,"&lt;&gt;"&amp;"",IDA!I2:I1975,"Pass")</f>
        <v>11</v>
      </c>
      <c r="AN4" s="22">
        <f>COUNTIFS(IDA!A2:A1975,AK4,IDA!C2:C1975,"&lt;&gt;"&amp;"",IDA!I2:I1975,"Fail")</f>
        <v>0</v>
      </c>
      <c r="AO4" s="26">
        <f t="shared" ref="AO4:AO79" si="6">AL4-AM4-AN4</f>
        <v>0</v>
      </c>
      <c r="AP4" s="24" t="str">
        <f>IFERROR(__xludf.DUMMYFUNCTION("UNIQUE(FILTER(PMS!A2:A761, PMS!A2:A761&lt;&gt;""""))"),"MOSIP-11667")</f>
        <v>MOSIP-11667</v>
      </c>
      <c r="AQ4" s="28">
        <f>COUNTIFS(PMS!A2:A761,AP4,PMS!C2:C761,"&lt;&gt;"&amp;"") </f>
        <v>4</v>
      </c>
      <c r="AR4" s="29">
        <f>COUNTIFS(PMS!A2:A761,AP4,PMS!C2:C761,"&lt;&gt;"&amp;"",PMS!I2:I761,"Pass")</f>
        <v>4</v>
      </c>
      <c r="AS4" s="30">
        <f>COUNTIFS(PMS!A2:A761,AP4,PMS!C2:C761,"&lt;&gt;"&amp;"",PMS!I2:I761,"Fail")</f>
        <v>0</v>
      </c>
      <c r="AT4" s="31">
        <f t="shared" ref="AT4:AT24" si="7">AQ4-AR4-AS4</f>
        <v>0</v>
      </c>
      <c r="AU4" s="2"/>
      <c r="AV4" s="2"/>
      <c r="AW4" s="2"/>
      <c r="AX4" s="2"/>
    </row>
    <row r="5">
      <c r="A5" s="2"/>
      <c r="B5" s="32" t="s">
        <v>0</v>
      </c>
      <c r="C5" s="33">
        <f>IFERROR(__xludf.DUMMYFUNCTION("COUNTUNIQUE('Pre-reg'!A2:A1000)"),44.0)</f>
        <v>44</v>
      </c>
      <c r="D5" s="33">
        <f>COUNTIFS(M4:M100,"0") </f>
        <v>0</v>
      </c>
      <c r="E5" s="34">
        <f>COUNTA('Pre-reg'!C2:C1000)</f>
        <v>645</v>
      </c>
      <c r="F5" s="35">
        <f>Sum(M4:M100) </f>
        <v>422</v>
      </c>
      <c r="G5" s="35">
        <f t="shared" ref="G5:G11" si="8">E5-F5</f>
        <v>223</v>
      </c>
      <c r="H5" s="36">
        <f>COUNTIF('Pre-reg'!H2:H1000, "Pass")</f>
        <v>632</v>
      </c>
      <c r="I5" s="37">
        <f>COUNTIF('Pre-reg'!H2:H1000, "Fail")</f>
        <v>13</v>
      </c>
      <c r="J5" s="38">
        <f t="shared" ref="J5:J11" si="9">E5-H5-I5</f>
        <v>0</v>
      </c>
      <c r="K5" s="2"/>
      <c r="L5" s="24" t="str">
        <f>IFERROR(__xludf.DUMMYFUNCTION("""COMPUTED_VALUE"""),"MOSIP-11081")</f>
        <v>MOSIP-11081</v>
      </c>
      <c r="M5" s="20">
        <f>COUNTIFS('Pre-reg'!A2:A1000,L5,'Pre-reg'!C2:C1000,"&lt;&gt;"&amp;"") </f>
        <v>6</v>
      </c>
      <c r="N5" s="21">
        <f>COUNTIFS('Pre-reg'!A2:A1000,L5,'Pre-reg'!C2:C1000,"&lt;&gt;"&amp;"",'Pre-reg'!H2:H1000,"Pass")</f>
        <v>6</v>
      </c>
      <c r="O5" s="22">
        <f>COUNTIFS('Pre-reg'!A2:A1000,L5,'Pre-reg'!C2:C1000,"&lt;&gt;"&amp;"",'Pre-reg'!H2:H1000,"Fail")</f>
        <v>0</v>
      </c>
      <c r="P5" s="23">
        <f t="shared" si="1"/>
        <v>0</v>
      </c>
      <c r="Q5" s="24" t="str">
        <f>IFERROR(__xludf.DUMMYFUNCTION("""COMPUTED_VALUE"""),"MOSIP-12394")</f>
        <v>MOSIP-12394</v>
      </c>
      <c r="R5" s="39">
        <f>COUNTIFS(RegClient!A2:A983,Q5,RegClient!C2:C983,"&lt;&gt;"&amp;"") </f>
        <v>4</v>
      </c>
      <c r="S5" s="40">
        <f>COUNTIFS(RegClient!A2:A983,Q5,RegClient!C2:C983,"&lt;&gt;"&amp;"",RegClient!I2:I983,"Pass")</f>
        <v>4</v>
      </c>
      <c r="T5" s="37">
        <f>COUNTIFS(RegClient!A2:A983,Q5,RegClient!C2:C983,"&lt;&gt;"&amp;"",RegClient!I2:I983,"Fail)")</f>
        <v>0</v>
      </c>
      <c r="U5" s="26">
        <f t="shared" si="2"/>
        <v>0</v>
      </c>
      <c r="V5" s="24" t="str">
        <f>IFERROR(__xludf.DUMMYFUNCTION("""COMPUTED_VALUE"""),"MOSIP-12805")</f>
        <v>MOSIP-12805</v>
      </c>
      <c r="W5" s="39">
        <f>COUNTIFS(RegProc!A2:A968,V5,RegProc!C2:C968,"&lt;&gt;"&amp;"") </f>
        <v>13</v>
      </c>
      <c r="X5" s="40">
        <f>COUNTIFS(RegProc!A2:A968,V5,RegProc!C2:C968,"&lt;&gt;"&amp;"",RegProc!I2:I968,"Pass")</f>
        <v>13</v>
      </c>
      <c r="Y5" s="37">
        <f>COUNTIFS(RegProc!A2:A968,V5,RegProc!C2:C968,"&lt;&gt;"&amp;"",RegProc!I2:I968,"Fail")</f>
        <v>0</v>
      </c>
      <c r="Z5" s="26">
        <f t="shared" si="3"/>
        <v>0</v>
      </c>
      <c r="AA5" s="24" t="str">
        <f>IFERROR(__xludf.DUMMYFUNCTION("""COMPUTED_VALUE"""),"MOSIP-11498")</f>
        <v>MOSIP-11498</v>
      </c>
      <c r="AB5" s="39">
        <f>COUNTIFS(Resident!A2:A1002,AA5,Resident!C2:C1002,"&lt;&gt;"&amp;"") </f>
        <v>4</v>
      </c>
      <c r="AC5" s="40">
        <f>COUNTIFS(Resident!A2:A1002,AA5,Resident!C2:C1002,"&lt;&gt;"&amp;"",Resident!J2:J1002,"Pass")</f>
        <v>4</v>
      </c>
      <c r="AD5" s="41">
        <f>COUNTIFS(Resident!A2:A1002,AA5,Resident!C2:C1002,"&lt;&gt;"&amp;"",Resident!J2:J1002,"Fail")</f>
        <v>0</v>
      </c>
      <c r="AE5" s="26">
        <f t="shared" si="4"/>
        <v>0</v>
      </c>
      <c r="AF5" s="24" t="str">
        <f>IFERROR(__xludf.DUMMYFUNCTION("""COMPUTED_VALUE"""),"MOSIP-12222")</f>
        <v>MOSIP-12222</v>
      </c>
      <c r="AG5" s="39">
        <f>COUNTIFS(Admin!A2:A1049,AF5,Admin!C2:C1049,"&lt;&gt;"&amp;"") </f>
        <v>4</v>
      </c>
      <c r="AH5" s="40">
        <f>COUNTIFS(Admin!A2:A1049,AF5,Admin!C2:C1049,"&lt;&gt;"&amp;"",Admin!I2:I1049,"Pass")</f>
        <v>4</v>
      </c>
      <c r="AI5" s="37">
        <f>COUNTIFS(Admin!A2:A1049,AF5,Admin!C2:C1049,"&lt;&gt;"&amp;"",Admin!I2:I1049,"Fail")</f>
        <v>0</v>
      </c>
      <c r="AJ5" s="26">
        <f t="shared" si="5"/>
        <v>0</v>
      </c>
      <c r="AK5" s="24" t="str">
        <f>IFERROR(__xludf.DUMMYFUNCTION("""COMPUTED_VALUE"""),"MOSIP-12406")</f>
        <v>MOSIP-12406</v>
      </c>
      <c r="AL5" s="39">
        <f>COUNTIFS(IDA!A2:A1975,AK5,IDA!C2:C1975,"&lt;&gt;"&amp;"") </f>
        <v>4</v>
      </c>
      <c r="AM5" s="40">
        <f>COUNTIFS(IDA!A2:A1975,AK5,IDA!C2:C1975,"&lt;&gt;"&amp;"",IDA!I2:I1975,"Pass")</f>
        <v>4</v>
      </c>
      <c r="AN5" s="37">
        <f>COUNTIFS(IDA!A2:A1975,AK5,IDA!C2:C1975,"&lt;&gt;"&amp;"",IDA!I2:I1975,"Fail")</f>
        <v>0</v>
      </c>
      <c r="AO5" s="26">
        <f t="shared" si="6"/>
        <v>0</v>
      </c>
      <c r="AP5" s="24" t="str">
        <f>IFERROR(__xludf.DUMMYFUNCTION("""COMPUTED_VALUE"""),"MOSIP-11882")</f>
        <v>MOSIP-11882</v>
      </c>
      <c r="AQ5" s="39">
        <f>COUNTIFS(PMS!A2:A761,AP5,PMS!C2:C761,"&lt;&gt;"&amp;"") </f>
        <v>2</v>
      </c>
      <c r="AR5" s="40">
        <f>COUNTIFS(PMS!A2:A761,AP5,PMS!C2:C761,"&lt;&gt;"&amp;"",PMS!I2:I761,"Pass")</f>
        <v>2</v>
      </c>
      <c r="AS5" s="37">
        <f>COUNTIFS(PMS!A2:A761,AP5,PMS!C2:C761,"&lt;&gt;"&amp;"",PMS!I2:I761,"Fail")</f>
        <v>0</v>
      </c>
      <c r="AT5" s="31">
        <f t="shared" si="7"/>
        <v>0</v>
      </c>
      <c r="AU5" s="2"/>
      <c r="AV5" s="2"/>
      <c r="AW5" s="2"/>
      <c r="AX5" s="2"/>
    </row>
    <row r="6">
      <c r="A6" s="2"/>
      <c r="B6" s="32" t="s">
        <v>16</v>
      </c>
      <c r="C6" s="33">
        <f>IFERROR(__xludf.DUMMYFUNCTION("COUNTUNIQUE(RegClient!A2:A986)"),36.0)</f>
        <v>36</v>
      </c>
      <c r="D6" s="33">
        <f>COUNTIFS(R4:R100,"0") </f>
        <v>0</v>
      </c>
      <c r="E6" s="39">
        <f>COUNTA(RegClient!C2:C986)</f>
        <v>680</v>
      </c>
      <c r="F6" s="33">
        <f>Sum(R4:R100) </f>
        <v>367</v>
      </c>
      <c r="G6" s="33">
        <f t="shared" si="8"/>
        <v>313</v>
      </c>
      <c r="H6" s="36">
        <f>COUNTIF(RegClient!I2:I986, "Pass")</f>
        <v>649</v>
      </c>
      <c r="I6" s="37">
        <f>COUNTIF(RegClient!I2:I986, "Fail")</f>
        <v>31</v>
      </c>
      <c r="J6" s="38">
        <f t="shared" si="9"/>
        <v>0</v>
      </c>
      <c r="K6" s="2"/>
      <c r="L6" s="24" t="str">
        <f>IFERROR(__xludf.DUMMYFUNCTION("""COMPUTED_VALUE"""),"MOSIP-11653")</f>
        <v>MOSIP-11653</v>
      </c>
      <c r="M6" s="20">
        <f>COUNTIFS('Pre-reg'!A2:A1000,L6,'Pre-reg'!C2:C1000,"&lt;&gt;"&amp;"") </f>
        <v>6</v>
      </c>
      <c r="N6" s="21">
        <f>COUNTIFS('Pre-reg'!A2:A1000,L6,'Pre-reg'!C2:C1000,"&lt;&gt;"&amp;"",'Pre-reg'!H2:H1000,"Pass")</f>
        <v>6</v>
      </c>
      <c r="O6" s="22">
        <f>COUNTIFS('Pre-reg'!A2:A1000,L6,'Pre-reg'!C2:C1000,"&lt;&gt;"&amp;"",'Pre-reg'!H2:H1000,"Fail")</f>
        <v>0</v>
      </c>
      <c r="P6" s="23">
        <f t="shared" si="1"/>
        <v>0</v>
      </c>
      <c r="Q6" s="24" t="str">
        <f>IFERROR(__xludf.DUMMYFUNCTION("""COMPUTED_VALUE"""),"MOSIP-12461")</f>
        <v>MOSIP-12461</v>
      </c>
      <c r="R6" s="39">
        <f>COUNTIFS(RegClient!A2:A983,Q6,RegClient!C2:C983,"&lt;&gt;"&amp;"") </f>
        <v>7</v>
      </c>
      <c r="S6" s="40">
        <f>COUNTIFS(RegClient!A2:A983,Q6,RegClient!C2:C983,"&lt;&gt;"&amp;"",RegClient!I2:I983,"Pass")</f>
        <v>7</v>
      </c>
      <c r="T6" s="37">
        <f>COUNTIFS(RegClient!A2:A983,Q6,RegClient!C2:C983,"&lt;&gt;"&amp;"",RegClient!I2:I983,"Fail)")</f>
        <v>0</v>
      </c>
      <c r="U6" s="26">
        <f t="shared" si="2"/>
        <v>0</v>
      </c>
      <c r="V6" s="24" t="str">
        <f>IFERROR(__xludf.DUMMYFUNCTION("""COMPUTED_VALUE"""),"MOSIP-9911")</f>
        <v>MOSIP-9911</v>
      </c>
      <c r="W6" s="39">
        <f>COUNTIFS(RegProc!A2:A968,V6,RegProc!C2:C968,"&lt;&gt;"&amp;"") </f>
        <v>12</v>
      </c>
      <c r="X6" s="40">
        <f>COUNTIFS(RegProc!A2:A968,V6,RegProc!C2:C968,"&lt;&gt;"&amp;"",RegProc!I2:I968,"Pass")</f>
        <v>12</v>
      </c>
      <c r="Y6" s="37">
        <f>COUNTIFS(RegProc!A2:A968,V6,RegProc!C2:C968,"&lt;&gt;"&amp;"",RegProc!I2:I968,"Fail")</f>
        <v>0</v>
      </c>
      <c r="Z6" s="26">
        <f t="shared" si="3"/>
        <v>0</v>
      </c>
      <c r="AA6" s="24" t="str">
        <f>IFERROR(__xludf.DUMMYFUNCTION("""COMPUTED_VALUE"""),"MOSIP-11478")</f>
        <v>MOSIP-11478</v>
      </c>
      <c r="AB6" s="39">
        <f>COUNTIFS(Resident!A2:A1002,AA6,Resident!C2:C1002,"&lt;&gt;"&amp;"") </f>
        <v>3</v>
      </c>
      <c r="AC6" s="40">
        <f>COUNTIFS(Resident!A2:A1002,AA6,Resident!C2:C1002,"&lt;&gt;"&amp;"",Resident!J2:J1002,"Pass")</f>
        <v>2</v>
      </c>
      <c r="AD6" s="41">
        <f>COUNTIFS(Resident!A2:A1002,AA6,Resident!C2:C1002,"&lt;&gt;"&amp;"",Resident!J2:J1002,"Fail")</f>
        <v>1</v>
      </c>
      <c r="AE6" s="26">
        <f t="shared" si="4"/>
        <v>0</v>
      </c>
      <c r="AF6" s="24" t="str">
        <f>IFERROR(__xludf.DUMMYFUNCTION("""COMPUTED_VALUE"""),"MOSIP-12593")</f>
        <v>MOSIP-12593</v>
      </c>
      <c r="AG6" s="39">
        <f>COUNTIFS(Admin!A2:A1049,AF6,Admin!C2:C1049,"&lt;&gt;"&amp;"") </f>
        <v>10</v>
      </c>
      <c r="AH6" s="40">
        <f>COUNTIFS(Admin!A2:A1049,AF6,Admin!C2:C1049,"&lt;&gt;"&amp;"",Admin!I2:I1049,"Pass")</f>
        <v>10</v>
      </c>
      <c r="AI6" s="37">
        <f>COUNTIFS(Admin!A2:A1049,AF6,Admin!C2:C1049,"&lt;&gt;"&amp;"",Admin!I2:I1049,"Fail")</f>
        <v>0</v>
      </c>
      <c r="AJ6" s="26">
        <f t="shared" si="5"/>
        <v>0</v>
      </c>
      <c r="AK6" s="24" t="str">
        <f>IFERROR(__xludf.DUMMYFUNCTION("""COMPUTED_VALUE"""),"MOSIP-11471")</f>
        <v>MOSIP-11471</v>
      </c>
      <c r="AL6" s="39">
        <f>COUNTIFS(IDA!A2:A1975,AK6,IDA!C2:C1975,"&lt;&gt;"&amp;"") </f>
        <v>13</v>
      </c>
      <c r="AM6" s="40">
        <f>COUNTIFS(IDA!A2:A1975,AK6,IDA!C2:C1975,"&lt;&gt;"&amp;"",IDA!I2:I1975,"Pass")</f>
        <v>13</v>
      </c>
      <c r="AN6" s="37">
        <f>COUNTIFS(IDA!A2:A1975,AK6,IDA!C2:C1975,"&lt;&gt;"&amp;"",IDA!I2:I1975,"Fail")</f>
        <v>0</v>
      </c>
      <c r="AO6" s="26">
        <f t="shared" si="6"/>
        <v>0</v>
      </c>
      <c r="AP6" s="24" t="str">
        <f>IFERROR(__xludf.DUMMYFUNCTION("""COMPUTED_VALUE"""),"MOSIP-8718")</f>
        <v>MOSIP-8718</v>
      </c>
      <c r="AQ6" s="39">
        <f>COUNTIFS(PMS!A2:A761,AP6,PMS!C2:C761,"&lt;&gt;"&amp;"") </f>
        <v>54</v>
      </c>
      <c r="AR6" s="40">
        <f>COUNTIFS(PMS!A2:A761,AP6,PMS!C2:C761,"&lt;&gt;"&amp;"",PMS!I2:I761,"Pass")</f>
        <v>54</v>
      </c>
      <c r="AS6" s="37">
        <f>COUNTIFS(PMS!A2:A761,AP6,PMS!C2:C761,"&lt;&gt;"&amp;"",PMS!I2:I761,"Fail")</f>
        <v>0</v>
      </c>
      <c r="AT6" s="31">
        <f t="shared" si="7"/>
        <v>0</v>
      </c>
      <c r="AU6" s="2"/>
      <c r="AV6" s="2"/>
      <c r="AW6" s="2"/>
      <c r="AX6" s="2"/>
    </row>
    <row r="7">
      <c r="A7" s="2"/>
      <c r="B7" s="32" t="s">
        <v>17</v>
      </c>
      <c r="C7" s="33">
        <f>IFERROR(__xludf.DUMMYFUNCTION("COUNTUNIQUE(RegProc!A2:A968)"),42.0)</f>
        <v>42</v>
      </c>
      <c r="D7" s="33">
        <f>COUNTIFS(W4:W100,"0") </f>
        <v>0</v>
      </c>
      <c r="E7" s="39">
        <f>COUNTA(RegProc!C2:C968)</f>
        <v>542</v>
      </c>
      <c r="F7" s="33">
        <f>Sum(W4:W100) </f>
        <v>404</v>
      </c>
      <c r="G7" s="33">
        <f t="shared" si="8"/>
        <v>138</v>
      </c>
      <c r="H7" s="36">
        <f>COUNTIF(RegProc!I2:I968, "Pass")</f>
        <v>494</v>
      </c>
      <c r="I7" s="37">
        <f>COUNTIF(RegProc!I2:I968, "Fail")</f>
        <v>48</v>
      </c>
      <c r="J7" s="38">
        <f t="shared" si="9"/>
        <v>0</v>
      </c>
      <c r="K7" s="2"/>
      <c r="L7" s="24" t="str">
        <f>IFERROR(__xludf.DUMMYFUNCTION("""COMPUTED_VALUE"""),"MOSIP-11654")</f>
        <v>MOSIP-11654</v>
      </c>
      <c r="M7" s="20">
        <f>COUNTIFS('Pre-reg'!A2:A1000,L7,'Pre-reg'!C2:C1000,"&lt;&gt;"&amp;"") </f>
        <v>6</v>
      </c>
      <c r="N7" s="21">
        <f>COUNTIFS('Pre-reg'!A2:A1000,L7,'Pre-reg'!C2:C1000,"&lt;&gt;"&amp;"",'Pre-reg'!H2:H1000,"Pass")</f>
        <v>6</v>
      </c>
      <c r="O7" s="22">
        <f>COUNTIFS('Pre-reg'!A2:A1000,L7,'Pre-reg'!C2:C1000,"&lt;&gt;"&amp;"",'Pre-reg'!H2:H1000,"Fail")</f>
        <v>0</v>
      </c>
      <c r="P7" s="23">
        <f t="shared" si="1"/>
        <v>0</v>
      </c>
      <c r="Q7" s="24" t="str">
        <f>IFERROR(__xludf.DUMMYFUNCTION("""COMPUTED_VALUE"""),"MOSIP-12551")</f>
        <v>MOSIP-12551</v>
      </c>
      <c r="R7" s="39">
        <f>COUNTIFS(RegClient!A2:A983,Q7,RegClient!C2:C983,"&lt;&gt;"&amp;"") </f>
        <v>10</v>
      </c>
      <c r="S7" s="40">
        <f>COUNTIFS(RegClient!A2:A983,Q7,RegClient!C2:C983,"&lt;&gt;"&amp;"",RegClient!I2:I983,"Pass")</f>
        <v>10</v>
      </c>
      <c r="T7" s="37">
        <f>COUNTIFS(RegClient!A2:A983,Q7,RegClient!C2:C983,"&lt;&gt;"&amp;"",RegClient!I2:I983,"Fail)")</f>
        <v>0</v>
      </c>
      <c r="U7" s="26">
        <f t="shared" si="2"/>
        <v>0</v>
      </c>
      <c r="V7" s="24" t="str">
        <f>IFERROR(__xludf.DUMMYFUNCTION("""COMPUTED_VALUE"""),"MOSIP-11739")</f>
        <v>MOSIP-11739</v>
      </c>
      <c r="W7" s="39">
        <f>COUNTIFS(RegProc!A2:A968,V7,RegProc!C2:C968,"&lt;&gt;"&amp;"") </f>
        <v>17</v>
      </c>
      <c r="X7" s="40">
        <f>COUNTIFS(RegProc!A2:A968,V7,RegProc!C2:C968,"&lt;&gt;"&amp;"",RegProc!I2:I968,"Pass")</f>
        <v>15</v>
      </c>
      <c r="Y7" s="37">
        <f>COUNTIFS(RegProc!A2:A968,V7,RegProc!C2:C968,"&lt;&gt;"&amp;"",RegProc!I2:I968,"Fail")</f>
        <v>2</v>
      </c>
      <c r="Z7" s="26">
        <f t="shared" si="3"/>
        <v>0</v>
      </c>
      <c r="AA7" s="24" t="str">
        <f>IFERROR(__xludf.DUMMYFUNCTION("""COMPUTED_VALUE"""),"MOSIP-11303")</f>
        <v>MOSIP-11303</v>
      </c>
      <c r="AB7" s="39">
        <f>COUNTIFS(Resident!A2:A1002,AA7,Resident!C2:C1002,"&lt;&gt;"&amp;"") </f>
        <v>3</v>
      </c>
      <c r="AC7" s="40">
        <f>COUNTIFS(Resident!A2:A1002,AA7,Resident!C2:C1002,"&lt;&gt;"&amp;"",Resident!J2:J1002,"Pass")</f>
        <v>3</v>
      </c>
      <c r="AD7" s="41">
        <f>COUNTIFS(Resident!A2:A1002,AA7,Resident!C2:C1002,"&lt;&gt;"&amp;"",Resident!J2:J1002,"Fail")</f>
        <v>0</v>
      </c>
      <c r="AE7" s="26">
        <f t="shared" si="4"/>
        <v>0</v>
      </c>
      <c r="AF7" s="24" t="str">
        <f>IFERROR(__xludf.DUMMYFUNCTION("""COMPUTED_VALUE"""),"MOSIP-10810")</f>
        <v>MOSIP-10810</v>
      </c>
      <c r="AG7" s="39">
        <f>COUNTIFS(Admin!A2:A1049,AF7,Admin!C2:C1049,"&lt;&gt;"&amp;"") </f>
        <v>3</v>
      </c>
      <c r="AH7" s="40">
        <f>COUNTIFS(Admin!A2:A1049,AF7,Admin!C2:C1049,"&lt;&gt;"&amp;"",Admin!I2:I1049,"Pass")</f>
        <v>3</v>
      </c>
      <c r="AI7" s="37">
        <f>COUNTIFS(Admin!A2:A1049,AF7,Admin!C2:C1049,"&lt;&gt;"&amp;"",Admin!I2:I1049,"Fail")</f>
        <v>0</v>
      </c>
      <c r="AJ7" s="26">
        <f t="shared" si="5"/>
        <v>0</v>
      </c>
      <c r="AK7" s="24" t="str">
        <f>IFERROR(__xludf.DUMMYFUNCTION("""COMPUTED_VALUE"""),"MOSIP-11791")</f>
        <v>MOSIP-11791</v>
      </c>
      <c r="AL7" s="39">
        <f>COUNTIFS(IDA!A2:A1975,AK7,IDA!C2:C1975,"&lt;&gt;"&amp;"") </f>
        <v>17</v>
      </c>
      <c r="AM7" s="40">
        <f>COUNTIFS(IDA!A2:A1975,AK7,IDA!C2:C1975,"&lt;&gt;"&amp;"",IDA!I2:I1975,"Pass")</f>
        <v>17</v>
      </c>
      <c r="AN7" s="37">
        <f>COUNTIFS(IDA!A2:A1975,AK7,IDA!C2:C1975,"&lt;&gt;"&amp;"",IDA!I2:I1975,"Fail")</f>
        <v>0</v>
      </c>
      <c r="AO7" s="26">
        <f t="shared" si="6"/>
        <v>0</v>
      </c>
      <c r="AP7" s="24" t="str">
        <f>IFERROR(__xludf.DUMMYFUNCTION("""COMPUTED_VALUE"""),"MOSIP-17855")</f>
        <v>MOSIP-17855</v>
      </c>
      <c r="AQ7" s="39">
        <f>COUNTIFS(PMS!A2:A761,AP7,PMS!C2:C761,"&lt;&gt;"&amp;"") </f>
        <v>13</v>
      </c>
      <c r="AR7" s="40">
        <f>COUNTIFS(PMS!A2:A761,AP7,PMS!C2:C761,"&lt;&gt;"&amp;"",PMS!I2:I761,"Pass")</f>
        <v>13</v>
      </c>
      <c r="AS7" s="37">
        <f>COUNTIFS(PMS!A2:A761,AP7,PMS!C2:C761,"&lt;&gt;"&amp;"",PMS!I2:I761,"Fail")</f>
        <v>0</v>
      </c>
      <c r="AT7" s="31">
        <f t="shared" si="7"/>
        <v>0</v>
      </c>
      <c r="AU7" s="2"/>
      <c r="AV7" s="2"/>
      <c r="AW7" s="2"/>
      <c r="AX7" s="2"/>
    </row>
    <row r="8">
      <c r="A8" s="2"/>
      <c r="B8" s="32" t="s">
        <v>3</v>
      </c>
      <c r="C8" s="33">
        <f>IFERROR(__xludf.DUMMYFUNCTION("COUNTUNIQUE(Resident!A2:A1002)"),13.0)</f>
        <v>13</v>
      </c>
      <c r="D8" s="33">
        <f>COUNTIFS(AB4:AB100,"0") </f>
        <v>0</v>
      </c>
      <c r="E8" s="39">
        <f>COUNTA(Resident!C2:C1002)</f>
        <v>230</v>
      </c>
      <c r="F8" s="33">
        <f>Sum(AB4:AB100) </f>
        <v>68</v>
      </c>
      <c r="G8" s="33">
        <f t="shared" si="8"/>
        <v>162</v>
      </c>
      <c r="H8" s="36">
        <f>COUNTIF(Resident!J2:J1002, "Pass")</f>
        <v>194</v>
      </c>
      <c r="I8" s="37">
        <f>COUNTIF(Resident!J2:J1002, "Fail")</f>
        <v>36</v>
      </c>
      <c r="J8" s="38">
        <f t="shared" si="9"/>
        <v>0</v>
      </c>
      <c r="K8" s="2"/>
      <c r="L8" s="24" t="str">
        <f>IFERROR(__xludf.DUMMYFUNCTION("""COMPUTED_VALUE"""),"MOSIP-12409")</f>
        <v>MOSIP-12409</v>
      </c>
      <c r="M8" s="20">
        <f>COUNTIFS('Pre-reg'!A2:A1000,L8,'Pre-reg'!C2:C1000,"&lt;&gt;"&amp;"") </f>
        <v>9</v>
      </c>
      <c r="N8" s="21">
        <f>COUNTIFS('Pre-reg'!A2:A1000,L8,'Pre-reg'!C2:C1000,"&lt;&gt;"&amp;"",'Pre-reg'!H2:H1000,"Pass")</f>
        <v>9</v>
      </c>
      <c r="O8" s="22">
        <f>COUNTIFS('Pre-reg'!A2:A1000,L8,'Pre-reg'!C2:C1000,"&lt;&gt;"&amp;"",'Pre-reg'!H2:H1000,"Fail")</f>
        <v>0</v>
      </c>
      <c r="P8" s="23">
        <f t="shared" si="1"/>
        <v>0</v>
      </c>
      <c r="Q8" s="24" t="str">
        <f>IFERROR(__xludf.DUMMYFUNCTION("""COMPUTED_VALUE"""),"MOSIP-12459")</f>
        <v>MOSIP-12459</v>
      </c>
      <c r="R8" s="39">
        <f>COUNTIFS(RegClient!A2:A983,Q8,RegClient!C2:C983,"&lt;&gt;"&amp;"") </f>
        <v>4</v>
      </c>
      <c r="S8" s="40">
        <f>COUNTIFS(RegClient!A2:A983,Q8,RegClient!C2:C983,"&lt;&gt;"&amp;"",RegClient!I2:I983,"Pass")</f>
        <v>4</v>
      </c>
      <c r="T8" s="37">
        <f>COUNTIFS(RegClient!A2:A983,Q8,RegClient!C2:C983,"&lt;&gt;"&amp;"",RegClient!I2:I983,"Fail)")</f>
        <v>0</v>
      </c>
      <c r="U8" s="26">
        <f t="shared" si="2"/>
        <v>0</v>
      </c>
      <c r="V8" s="24" t="str">
        <f>IFERROR(__xludf.DUMMYFUNCTION("""COMPUTED_VALUE"""),"MOSIP-17075")</f>
        <v>MOSIP-17075</v>
      </c>
      <c r="W8" s="39">
        <f>COUNTIFS(RegProc!A2:A968,V8,RegProc!C2:C968,"&lt;&gt;"&amp;"") </f>
        <v>43</v>
      </c>
      <c r="X8" s="40">
        <f>COUNTIFS(RegProc!A2:A968,V8,RegProc!C2:C968,"&lt;&gt;"&amp;"",RegProc!I2:I968,"Pass")</f>
        <v>43</v>
      </c>
      <c r="Y8" s="37">
        <f>COUNTIFS(RegProc!A2:A968,V8,RegProc!C2:C968,"&lt;&gt;"&amp;"",RegProc!I2:I968,"Fail")</f>
        <v>0</v>
      </c>
      <c r="Z8" s="26">
        <f t="shared" si="3"/>
        <v>0</v>
      </c>
      <c r="AA8" s="24" t="str">
        <f>IFERROR(__xludf.DUMMYFUNCTION("""COMPUTED_VALUE"""),"MOSIP-10831")</f>
        <v>MOSIP-10831</v>
      </c>
      <c r="AB8" s="39">
        <f>COUNTIFS(Resident!A2:A1002,AA8,Resident!C2:C1002,"&lt;&gt;"&amp;"") </f>
        <v>4</v>
      </c>
      <c r="AC8" s="40">
        <f>COUNTIFS(Resident!A2:A1002,AA8,Resident!C2:C1002,"&lt;&gt;"&amp;"",Resident!J2:J1002,"Pass")</f>
        <v>4</v>
      </c>
      <c r="AD8" s="41">
        <f>COUNTIFS(Resident!A2:A1002,AA8,Resident!C2:C1002,"&lt;&gt;"&amp;"",Resident!J2:J1002,"Fail")</f>
        <v>0</v>
      </c>
      <c r="AE8" s="26">
        <f t="shared" si="4"/>
        <v>0</v>
      </c>
      <c r="AF8" s="24" t="str">
        <f>IFERROR(__xludf.DUMMYFUNCTION("""COMPUTED_VALUE"""),"MOSIP-18672")</f>
        <v>MOSIP-18672</v>
      </c>
      <c r="AG8" s="39">
        <f>COUNTIFS(Admin!A2:A1049,AF8,Admin!C2:C1049,"&lt;&gt;"&amp;"") </f>
        <v>39</v>
      </c>
      <c r="AH8" s="40">
        <f>COUNTIFS(Admin!A2:A1049,AF8,Admin!C2:C1049,"&lt;&gt;"&amp;"",Admin!I2:I1049,"Pass")</f>
        <v>36</v>
      </c>
      <c r="AI8" s="37">
        <f>COUNTIFS(Admin!A2:A1049,AF8,Admin!C2:C1049,"&lt;&gt;"&amp;"",Admin!I2:I1049,"Fail")</f>
        <v>3</v>
      </c>
      <c r="AJ8" s="26">
        <f t="shared" si="5"/>
        <v>0</v>
      </c>
      <c r="AK8" s="24" t="str">
        <f>IFERROR(__xludf.DUMMYFUNCTION("""COMPUTED_VALUE"""),"MOSIP-11846")</f>
        <v>MOSIP-11846</v>
      </c>
      <c r="AL8" s="39">
        <f>COUNTIFS(IDA!A2:A1975,AK8,IDA!C2:C1975,"&lt;&gt;"&amp;"") </f>
        <v>13</v>
      </c>
      <c r="AM8" s="40">
        <f>COUNTIFS(IDA!A2:A1975,AK8,IDA!C2:C1975,"&lt;&gt;"&amp;"",IDA!I2:I1975,"Pass")</f>
        <v>11</v>
      </c>
      <c r="AN8" s="37">
        <f>COUNTIFS(IDA!A2:A1975,AK8,IDA!C2:C1975,"&lt;&gt;"&amp;"",IDA!I2:I1975,"Fail")</f>
        <v>2</v>
      </c>
      <c r="AO8" s="26">
        <f t="shared" si="6"/>
        <v>0</v>
      </c>
      <c r="AP8" s="24" t="str">
        <f>IFERROR(__xludf.DUMMYFUNCTION("""COMPUTED_VALUE"""),"MOSIP-17958")</f>
        <v>MOSIP-17958</v>
      </c>
      <c r="AQ8" s="39">
        <f>COUNTIFS(PMS!A2:A761,AP8,PMS!C2:C761,"&lt;&gt;"&amp;"") </f>
        <v>3</v>
      </c>
      <c r="AR8" s="40">
        <f>COUNTIFS(PMS!A2:A761,AP8,PMS!C2:C761,"&lt;&gt;"&amp;"",PMS!I2:I761,"Pass")</f>
        <v>3</v>
      </c>
      <c r="AS8" s="37">
        <f>COUNTIFS(PMS!A2:A761,AP8,PMS!C2:C761,"&lt;&gt;"&amp;"",PMS!I2:I761,"Fail")</f>
        <v>0</v>
      </c>
      <c r="AT8" s="31">
        <f t="shared" si="7"/>
        <v>0</v>
      </c>
      <c r="AU8" s="2"/>
      <c r="AV8" s="2"/>
      <c r="AW8" s="2"/>
      <c r="AX8" s="2"/>
    </row>
    <row r="9">
      <c r="A9" s="2"/>
      <c r="B9" s="32" t="s">
        <v>4</v>
      </c>
      <c r="C9" s="33">
        <f>IFERROR(__xludf.DUMMYFUNCTION("COUNTUNIQUE(Admin!A2:A1047)"),21.0)</f>
        <v>21</v>
      </c>
      <c r="D9" s="33">
        <f>COUNTIFS(AG4:AG100,"0") </f>
        <v>0</v>
      </c>
      <c r="E9" s="39">
        <f>COUNTA(Admin!C2:C1047)</f>
        <v>796</v>
      </c>
      <c r="F9" s="33">
        <f>Sum(AG4:AG100) </f>
        <v>339</v>
      </c>
      <c r="G9" s="33">
        <f t="shared" si="8"/>
        <v>457</v>
      </c>
      <c r="H9" s="36">
        <f>COUNTIF(Admin!I2:I1047, "Pass")</f>
        <v>711</v>
      </c>
      <c r="I9" s="37">
        <f>COUNTIF(Admin!I2:I1047, "Fail")</f>
        <v>85</v>
      </c>
      <c r="J9" s="38">
        <f t="shared" si="9"/>
        <v>0</v>
      </c>
      <c r="K9" s="2"/>
      <c r="L9" s="24" t="str">
        <f>IFERROR(__xludf.DUMMYFUNCTION("""COMPUTED_VALUE"""),"MOSIP-12911")</f>
        <v>MOSIP-12911</v>
      </c>
      <c r="M9" s="20">
        <f>COUNTIFS('Pre-reg'!A2:A1000,L9,'Pre-reg'!C2:C1000,"&lt;&gt;"&amp;"") </f>
        <v>5</v>
      </c>
      <c r="N9" s="21">
        <f>COUNTIFS('Pre-reg'!A2:A1000,L9,'Pre-reg'!C2:C1000,"&lt;&gt;"&amp;"",'Pre-reg'!H2:H1000,"Pass")</f>
        <v>5</v>
      </c>
      <c r="O9" s="22">
        <f>COUNTIFS('Pre-reg'!A2:A1000,L9,'Pre-reg'!C2:C1000,"&lt;&gt;"&amp;"",'Pre-reg'!H2:H1000,"Fail")</f>
        <v>0</v>
      </c>
      <c r="P9" s="23">
        <f t="shared" si="1"/>
        <v>0</v>
      </c>
      <c r="Q9" s="24" t="str">
        <f>IFERROR(__xludf.DUMMYFUNCTION("""COMPUTED_VALUE"""),"MOSIP-12579")</f>
        <v>MOSIP-12579</v>
      </c>
      <c r="R9" s="39">
        <f>COUNTIFS(RegClient!A2:A983,Q9,RegClient!C2:C983,"&lt;&gt;"&amp;"") </f>
        <v>3</v>
      </c>
      <c r="S9" s="40">
        <f>COUNTIFS(RegClient!A2:A983,Q9,RegClient!C2:C983,"&lt;&gt;"&amp;"",RegClient!I2:I983,"Pass")</f>
        <v>3</v>
      </c>
      <c r="T9" s="37">
        <f>COUNTIFS(RegClient!A2:A983,Q9,RegClient!C2:C983,"&lt;&gt;"&amp;"",RegClient!I2:I983,"Fail)")</f>
        <v>0</v>
      </c>
      <c r="U9" s="26">
        <f t="shared" si="2"/>
        <v>0</v>
      </c>
      <c r="V9" s="24" t="str">
        <f>IFERROR(__xludf.DUMMYFUNCTION("""COMPUTED_VALUE"""),"MOSIP-12124")</f>
        <v>MOSIP-12124</v>
      </c>
      <c r="W9" s="39">
        <f>COUNTIFS(RegProc!A2:A968,V9,RegProc!C2:C968,"&lt;&gt;"&amp;"") </f>
        <v>2</v>
      </c>
      <c r="X9" s="40">
        <f>COUNTIFS(RegProc!A2:A968,V9,RegProc!C2:C968,"&lt;&gt;"&amp;"",RegProc!I2:I968,"Pass")</f>
        <v>2</v>
      </c>
      <c r="Y9" s="37">
        <f>COUNTIFS(RegProc!A2:A968,V9,RegProc!C2:C968,"&lt;&gt;"&amp;"",RegProc!I2:I968,"Fail")</f>
        <v>0</v>
      </c>
      <c r="Z9" s="26">
        <f t="shared" si="3"/>
        <v>0</v>
      </c>
      <c r="AA9" s="24" t="str">
        <f>IFERROR(__xludf.DUMMYFUNCTION("""COMPUTED_VALUE"""),"MOSIP-15617")</f>
        <v>MOSIP-15617</v>
      </c>
      <c r="AB9" s="39">
        <f>COUNTIFS(Resident!A2:A1002,AA9,Resident!C2:C1002,"&lt;&gt;"&amp;"") </f>
        <v>10</v>
      </c>
      <c r="AC9" s="40">
        <f>COUNTIFS(Resident!A2:A1002,AA9,Resident!C2:C1002,"&lt;&gt;"&amp;"",Resident!J2:J1002,"Pass")</f>
        <v>9</v>
      </c>
      <c r="AD9" s="41">
        <f>COUNTIFS(Resident!A2:A1002,AA9,Resident!C2:C1002,"&lt;&gt;"&amp;"",Resident!J2:J1002,"Fail")</f>
        <v>1</v>
      </c>
      <c r="AE9" s="26">
        <f t="shared" si="4"/>
        <v>0</v>
      </c>
      <c r="AF9" s="24" t="str">
        <f>IFERROR(__xludf.DUMMYFUNCTION("""COMPUTED_VALUE"""),"MOSIP-11025")</f>
        <v>MOSIP-11025</v>
      </c>
      <c r="AG9" s="39">
        <f>COUNTIFS(Admin!A2:A1049,AF9,Admin!C2:C1049,"&lt;&gt;"&amp;"") </f>
        <v>21</v>
      </c>
      <c r="AH9" s="40">
        <f>COUNTIFS(Admin!A2:A1049,AF9,Admin!C2:C1049,"&lt;&gt;"&amp;"",Admin!I2:I1049,"Pass")</f>
        <v>21</v>
      </c>
      <c r="AI9" s="37">
        <f>COUNTIFS(Admin!A2:A1049,AF9,Admin!C2:C1049,"&lt;&gt;"&amp;"",Admin!I2:I1049,"Fail")</f>
        <v>0</v>
      </c>
      <c r="AJ9" s="26">
        <f t="shared" si="5"/>
        <v>0</v>
      </c>
      <c r="AK9" s="24" t="str">
        <f>IFERROR(__xludf.DUMMYFUNCTION("""COMPUTED_VALUE"""),"MOSIP-11575")</f>
        <v>MOSIP-11575</v>
      </c>
      <c r="AL9" s="39">
        <f>COUNTIFS(IDA!A2:A1975,AK9,IDA!C2:C1975,"&lt;&gt;"&amp;"") </f>
        <v>4</v>
      </c>
      <c r="AM9" s="40">
        <f>COUNTIFS(IDA!A2:A1975,AK9,IDA!C2:C1975,"&lt;&gt;"&amp;"",IDA!I2:I1975,"Pass")</f>
        <v>4</v>
      </c>
      <c r="AN9" s="37">
        <f>COUNTIFS(IDA!A2:A1975,AK9,IDA!C2:C1975,"&lt;&gt;"&amp;"",IDA!I2:I1975,"Fail")</f>
        <v>0</v>
      </c>
      <c r="AO9" s="26">
        <f t="shared" si="6"/>
        <v>0</v>
      </c>
      <c r="AP9" s="24" t="str">
        <f>IFERROR(__xludf.DUMMYFUNCTION("""COMPUTED_VALUE"""),"MOSIP-11666")</f>
        <v>MOSIP-11666</v>
      </c>
      <c r="AQ9" s="39">
        <f>COUNTIFS(PMS!A2:A761,AP9,PMS!C2:C761,"&lt;&gt;"&amp;"") </f>
        <v>4</v>
      </c>
      <c r="AR9" s="40">
        <f>COUNTIFS(PMS!A2:A761,AP9,PMS!C2:C761,"&lt;&gt;"&amp;"",PMS!I2:I761,"Pass")</f>
        <v>4</v>
      </c>
      <c r="AS9" s="37">
        <f>COUNTIFS(PMS!A2:A761,AP9,PMS!C2:C761,"&lt;&gt;"&amp;"",PMS!I2:I761,"Fail")</f>
        <v>0</v>
      </c>
      <c r="AT9" s="31">
        <f t="shared" si="7"/>
        <v>0</v>
      </c>
      <c r="AU9" s="2"/>
      <c r="AV9" s="2"/>
      <c r="AW9" s="2"/>
      <c r="AX9" s="2"/>
    </row>
    <row r="10">
      <c r="A10" s="2"/>
      <c r="B10" s="32" t="s">
        <v>5</v>
      </c>
      <c r="C10" s="33">
        <f>IFERROR(__xludf.DUMMYFUNCTION("COUNTUNIQUE(IDA!A2:A1975)"),76.0)</f>
        <v>76</v>
      </c>
      <c r="D10" s="33">
        <f>COUNTIFS(AL4:AL100,"0") </f>
        <v>0</v>
      </c>
      <c r="E10" s="39">
        <f>COUNTA(IDA!C2:C1975)</f>
        <v>940</v>
      </c>
      <c r="F10" s="33">
        <f>COUNTA(IDA!A2:A605)</f>
        <v>579</v>
      </c>
      <c r="G10" s="33">
        <f t="shared" si="8"/>
        <v>361</v>
      </c>
      <c r="H10" s="36">
        <f>COUNTIF(IDA!I2:I1975, "Pass")</f>
        <v>910</v>
      </c>
      <c r="I10" s="37">
        <f>COUNTIF(IDA!I2:I1975, "Fail")</f>
        <v>30</v>
      </c>
      <c r="J10" s="38">
        <f t="shared" si="9"/>
        <v>0</v>
      </c>
      <c r="K10" s="2"/>
      <c r="L10" s="24" t="str">
        <f>IFERROR(__xludf.DUMMYFUNCTION("""COMPUTED_VALUE"""),"MOSIP-13667")</f>
        <v>MOSIP-13667</v>
      </c>
      <c r="M10" s="20">
        <f>COUNTIFS('Pre-reg'!A2:A1000,L10,'Pre-reg'!C2:C1000,"&lt;&gt;"&amp;"") </f>
        <v>7</v>
      </c>
      <c r="N10" s="21">
        <f>COUNTIFS('Pre-reg'!A2:A1000,L10,'Pre-reg'!C2:C1000,"&lt;&gt;"&amp;"",'Pre-reg'!H2:H1000,"Pass")</f>
        <v>7</v>
      </c>
      <c r="O10" s="22">
        <f>COUNTIFS('Pre-reg'!A2:A1000,L10,'Pre-reg'!C2:C1000,"&lt;&gt;"&amp;"",'Pre-reg'!H2:H1000,"Fail")</f>
        <v>0</v>
      </c>
      <c r="P10" s="23">
        <f t="shared" si="1"/>
        <v>0</v>
      </c>
      <c r="Q10" s="24" t="str">
        <f>IFERROR(__xludf.DUMMYFUNCTION("""COMPUTED_VALUE"""),"MOSIP-13091")</f>
        <v>MOSIP-13091</v>
      </c>
      <c r="R10" s="39">
        <f>COUNTIFS(RegClient!A2:A983,Q10,RegClient!C2:C983,"&lt;&gt;"&amp;"") </f>
        <v>11</v>
      </c>
      <c r="S10" s="40">
        <f>COUNTIFS(RegClient!A2:A983,Q10,RegClient!C2:C983,"&lt;&gt;"&amp;"",RegClient!I2:I983,"Pass")</f>
        <v>11</v>
      </c>
      <c r="T10" s="37">
        <f>COUNTIFS(RegClient!A2:A983,Q10,RegClient!C2:C983,"&lt;&gt;"&amp;"",RegClient!I2:I983,"Fail)")</f>
        <v>0</v>
      </c>
      <c r="U10" s="26">
        <f t="shared" si="2"/>
        <v>0</v>
      </c>
      <c r="V10" s="24" t="str">
        <f>IFERROR(__xludf.DUMMYFUNCTION("""COMPUTED_VALUE"""),"MOSIP-13088")</f>
        <v>MOSIP-13088</v>
      </c>
      <c r="W10" s="39">
        <f>COUNTIFS(RegProc!A2:A968,V10,RegProc!C2:C968,"&lt;&gt;"&amp;"") </f>
        <v>2</v>
      </c>
      <c r="X10" s="40">
        <f>COUNTIFS(RegProc!A2:A968,V10,RegProc!C2:C968,"&lt;&gt;"&amp;"",RegProc!I2:I968,"Pass")</f>
        <v>2</v>
      </c>
      <c r="Y10" s="37">
        <f>COUNTIFS(RegProc!A2:A968,V10,RegProc!C2:C968,"&lt;&gt;"&amp;"",RegProc!I2:I968,"Fail")</f>
        <v>0</v>
      </c>
      <c r="Z10" s="26">
        <f t="shared" si="3"/>
        <v>0</v>
      </c>
      <c r="AA10" s="24" t="str">
        <f>IFERROR(__xludf.DUMMYFUNCTION("""COMPUTED_VALUE"""),"MOSIP-11056")</f>
        <v>MOSIP-11056</v>
      </c>
      <c r="AB10" s="39">
        <f>COUNTIFS(Resident!A2:A1002,AA10,Resident!C2:C1002,"&lt;&gt;"&amp;"") </f>
        <v>7</v>
      </c>
      <c r="AC10" s="40">
        <f>COUNTIFS(Resident!A2:A1002,AA10,Resident!C2:C1002,"&lt;&gt;"&amp;"",Resident!J2:J1002,"Pass")</f>
        <v>7</v>
      </c>
      <c r="AD10" s="41">
        <f>COUNTIFS(Resident!A2:A1002,AA10,Resident!C2:C1002,"&lt;&gt;"&amp;"",Resident!J2:J1002,"Fail")</f>
        <v>0</v>
      </c>
      <c r="AE10" s="26">
        <f t="shared" si="4"/>
        <v>0</v>
      </c>
      <c r="AF10" s="24" t="str">
        <f>IFERROR(__xludf.DUMMYFUNCTION("""COMPUTED_VALUE"""),"MOSIP-17126")</f>
        <v>MOSIP-17126</v>
      </c>
      <c r="AG10" s="39">
        <f>COUNTIFS(Admin!A2:A1049,AF10,Admin!C2:C1049,"&lt;&gt;"&amp;"") </f>
        <v>49</v>
      </c>
      <c r="AH10" s="40">
        <f>COUNTIFS(Admin!A2:A1049,AF10,Admin!C2:C1049,"&lt;&gt;"&amp;"",Admin!I2:I1049,"Pass")</f>
        <v>49</v>
      </c>
      <c r="AI10" s="37">
        <f>COUNTIFS(Admin!A2:A1049,AF10,Admin!C2:C1049,"&lt;&gt;"&amp;"",Admin!I2:I1049,"Fail")</f>
        <v>0</v>
      </c>
      <c r="AJ10" s="26">
        <f t="shared" si="5"/>
        <v>0</v>
      </c>
      <c r="AK10" s="24" t="str">
        <f>IFERROR(__xludf.DUMMYFUNCTION("""COMPUTED_VALUE"""),"MOSIP-11464")</f>
        <v>MOSIP-11464</v>
      </c>
      <c r="AL10" s="39">
        <f>COUNTIFS(IDA!A2:A1975,AK10,IDA!C2:C1975,"&lt;&gt;"&amp;"") </f>
        <v>3</v>
      </c>
      <c r="AM10" s="40">
        <f>COUNTIFS(IDA!A2:A1975,AK10,IDA!C2:C1975,"&lt;&gt;"&amp;"",IDA!I2:I1975,"Pass")</f>
        <v>3</v>
      </c>
      <c r="AN10" s="37">
        <f>COUNTIFS(IDA!A2:A1975,AK10,IDA!C2:C1975,"&lt;&gt;"&amp;"",IDA!I2:I1975,"Fail")</f>
        <v>0</v>
      </c>
      <c r="AO10" s="26">
        <f t="shared" si="6"/>
        <v>0</v>
      </c>
      <c r="AP10" s="24" t="str">
        <f>IFERROR(__xludf.DUMMYFUNCTION("""COMPUTED_VALUE"""),"MOSIP-11523")</f>
        <v>MOSIP-11523</v>
      </c>
      <c r="AQ10" s="39">
        <f>COUNTIFS(PMS!A2:A761,AP10,PMS!C2:C761,"&lt;&gt;"&amp;"") </f>
        <v>17</v>
      </c>
      <c r="AR10" s="40">
        <f>COUNTIFS(PMS!A2:A761,AP10,PMS!C2:C761,"&lt;&gt;"&amp;"",PMS!I2:I761,"Pass")</f>
        <v>17</v>
      </c>
      <c r="AS10" s="37">
        <f>COUNTIFS(PMS!A2:A761,AP10,PMS!C2:C761,"&lt;&gt;"&amp;"",PMS!I2:I761,"Fail")</f>
        <v>0</v>
      </c>
      <c r="AT10" s="31">
        <f t="shared" si="7"/>
        <v>0</v>
      </c>
      <c r="AU10" s="2"/>
      <c r="AV10" s="2"/>
      <c r="AW10" s="2"/>
      <c r="AX10" s="2"/>
    </row>
    <row r="11">
      <c r="A11" s="2"/>
      <c r="B11" s="32" t="s">
        <v>6</v>
      </c>
      <c r="C11" s="33">
        <f>IFERROR(__xludf.DUMMYFUNCTION("COUNTUNIQUE(PMS!A2:A1013)"),21.0)</f>
        <v>21</v>
      </c>
      <c r="D11" s="33">
        <f>COUNTIFS(AQ4:AQ100,"0") </f>
        <v>0</v>
      </c>
      <c r="E11" s="39">
        <f>COUNTA(PMS!C2:C1013)</f>
        <v>450</v>
      </c>
      <c r="F11" s="33">
        <f>Sum(AQ4:AQ100) </f>
        <v>388</v>
      </c>
      <c r="G11" s="33">
        <f t="shared" si="8"/>
        <v>62</v>
      </c>
      <c r="H11" s="36">
        <f>COUNTIF(PMS!I2:I1013, "Pass")</f>
        <v>434</v>
      </c>
      <c r="I11" s="37">
        <f>COUNTIF(PMS!I2:I1013, "Fail")</f>
        <v>16</v>
      </c>
      <c r="J11" s="38">
        <f t="shared" si="9"/>
        <v>0</v>
      </c>
      <c r="K11" s="2"/>
      <c r="L11" s="24" t="str">
        <f>IFERROR(__xludf.DUMMYFUNCTION("""COMPUTED_VALUE"""),"MOSIP-11083")</f>
        <v>MOSIP-11083</v>
      </c>
      <c r="M11" s="20">
        <f>COUNTIFS('Pre-reg'!A2:A1000,L11,'Pre-reg'!C2:C1000,"&lt;&gt;"&amp;"") </f>
        <v>10</v>
      </c>
      <c r="N11" s="21">
        <f>COUNTIFS('Pre-reg'!A2:A1000,L11,'Pre-reg'!C2:C1000,"&lt;&gt;"&amp;"",'Pre-reg'!H2:H1000,"Pass")</f>
        <v>10</v>
      </c>
      <c r="O11" s="22">
        <f>COUNTIFS('Pre-reg'!A2:A1000,L11,'Pre-reg'!C2:C1000,"&lt;&gt;"&amp;"",'Pre-reg'!H2:H1000,"Fail")</f>
        <v>0</v>
      </c>
      <c r="P11" s="23">
        <f t="shared" si="1"/>
        <v>0</v>
      </c>
      <c r="Q11" s="24" t="str">
        <f>IFERROR(__xludf.DUMMYFUNCTION("""COMPUTED_VALUE"""),"MOSIP-11659")</f>
        <v>MOSIP-11659</v>
      </c>
      <c r="R11" s="39">
        <f>COUNTIFS(RegClient!A2:A983,Q11,RegClient!C2:C983,"&lt;&gt;"&amp;"") </f>
        <v>10</v>
      </c>
      <c r="S11" s="40">
        <f>COUNTIFS(RegClient!A2:A983,Q11,RegClient!C2:C983,"&lt;&gt;"&amp;"",RegClient!I2:I983,"Pass")</f>
        <v>10</v>
      </c>
      <c r="T11" s="37">
        <f>COUNTIFS(RegClient!A2:A983,Q11,RegClient!C2:C983,"&lt;&gt;"&amp;"",RegClient!I2:I983,"Fail)")</f>
        <v>0</v>
      </c>
      <c r="U11" s="26">
        <f t="shared" si="2"/>
        <v>0</v>
      </c>
      <c r="V11" s="24" t="str">
        <f>IFERROR(__xludf.DUMMYFUNCTION("""COMPUTED_VALUE"""),"MOSIP-12634")</f>
        <v>MOSIP-12634</v>
      </c>
      <c r="W11" s="39">
        <f>COUNTIFS(RegProc!A2:A968,V11,RegProc!C2:C968,"&lt;&gt;"&amp;"") </f>
        <v>14</v>
      </c>
      <c r="X11" s="40">
        <f>COUNTIFS(RegProc!A2:A968,V11,RegProc!C2:C968,"&lt;&gt;"&amp;"",RegProc!I2:I968,"Pass")</f>
        <v>14</v>
      </c>
      <c r="Y11" s="37">
        <f>COUNTIFS(RegProc!A2:A968,V11,RegProc!C2:C968,"&lt;&gt;"&amp;"",RegProc!I2:I968,"Fail")</f>
        <v>0</v>
      </c>
      <c r="Z11" s="26">
        <f t="shared" si="3"/>
        <v>0</v>
      </c>
      <c r="AA11" s="42" t="str">
        <f>IFERROR(__xludf.DUMMYFUNCTION("""COMPUTED_VALUE"""),"MOSIP-10796")</f>
        <v>MOSIP-10796</v>
      </c>
      <c r="AB11" s="39">
        <f>COUNTIFS(Resident!A2:A1002,AA11,Resident!C2:C1002,"&lt;&gt;"&amp;"") </f>
        <v>8</v>
      </c>
      <c r="AC11" s="40">
        <f>COUNTIFS(Resident!A2:A1002,AA11,Resident!C2:C1002,"&lt;&gt;"&amp;"",Resident!J2:J1002,"Pass")</f>
        <v>8</v>
      </c>
      <c r="AD11" s="41">
        <f>COUNTIFS(Resident!A2:A1002,AA11,Resident!C2:C1002,"&lt;&gt;"&amp;"",Resident!J2:J1002,"Fail")</f>
        <v>0</v>
      </c>
      <c r="AE11" s="26">
        <f t="shared" si="4"/>
        <v>0</v>
      </c>
      <c r="AF11" s="24" t="str">
        <f>IFERROR(__xludf.DUMMYFUNCTION("""COMPUTED_VALUE"""),"MOSIP-53")</f>
        <v>MOSIP-53</v>
      </c>
      <c r="AG11" s="39">
        <f>COUNTIFS(Admin!A2:A1049,AF11,Admin!C2:C1049,"&lt;&gt;"&amp;"") </f>
        <v>44</v>
      </c>
      <c r="AH11" s="40">
        <f>COUNTIFS(Admin!A2:A1049,AF11,Admin!C2:C1049,"&lt;&gt;"&amp;"",Admin!I2:I1049,"Pass")</f>
        <v>37</v>
      </c>
      <c r="AI11" s="37">
        <f>COUNTIFS(Admin!A2:A1049,AF11,Admin!C2:C1049,"&lt;&gt;"&amp;"",Admin!I2:I1049,"Fail")</f>
        <v>7</v>
      </c>
      <c r="AJ11" s="26">
        <f t="shared" si="5"/>
        <v>0</v>
      </c>
      <c r="AK11" s="24" t="str">
        <f>IFERROR(__xludf.DUMMYFUNCTION("""COMPUTED_VALUE"""),"MOSIP-8596")</f>
        <v>MOSIP-8596</v>
      </c>
      <c r="AL11" s="39">
        <f>COUNTIFS(IDA!A2:A1975,AK11,IDA!C2:C1975,"&lt;&gt;"&amp;"") </f>
        <v>4</v>
      </c>
      <c r="AM11" s="40">
        <f>COUNTIFS(IDA!A2:A1975,AK11,IDA!C2:C1975,"&lt;&gt;"&amp;"",IDA!I2:I1975,"Pass")</f>
        <v>4</v>
      </c>
      <c r="AN11" s="37">
        <f>COUNTIFS(IDA!A2:A1975,AK11,IDA!C2:C1975,"&lt;&gt;"&amp;"",IDA!I2:I1975,"Fail")</f>
        <v>0</v>
      </c>
      <c r="AO11" s="26">
        <f t="shared" si="6"/>
        <v>0</v>
      </c>
      <c r="AP11" s="24" t="str">
        <f>IFERROR(__xludf.DUMMYFUNCTION("""COMPUTED_VALUE"""),"MOSIP-11389")</f>
        <v>MOSIP-11389</v>
      </c>
      <c r="AQ11" s="39">
        <f>COUNTIFS(PMS!A2:A761,AP11,PMS!C2:C761,"&lt;&gt;"&amp;"") </f>
        <v>6</v>
      </c>
      <c r="AR11" s="40">
        <f>COUNTIFS(PMS!A2:A761,AP11,PMS!C2:C761,"&lt;&gt;"&amp;"",PMS!I2:I761,"Pass")</f>
        <v>6</v>
      </c>
      <c r="AS11" s="37">
        <f>COUNTIFS(PMS!A2:A761,AP11,PMS!C2:C761,"&lt;&gt;"&amp;"",PMS!I2:I761,"Fail")</f>
        <v>0</v>
      </c>
      <c r="AT11" s="31">
        <f t="shared" si="7"/>
        <v>0</v>
      </c>
      <c r="AU11" s="2"/>
      <c r="AV11" s="2"/>
      <c r="AW11" s="2"/>
      <c r="AX11" s="2"/>
    </row>
    <row r="12">
      <c r="A12" s="2"/>
      <c r="B12" s="43"/>
      <c r="C12" s="18"/>
      <c r="D12" s="18"/>
      <c r="E12" s="18"/>
      <c r="F12" s="18"/>
      <c r="G12" s="18"/>
      <c r="H12" s="44"/>
      <c r="I12" s="45"/>
      <c r="J12" s="46"/>
      <c r="K12" s="2"/>
      <c r="L12" s="24" t="str">
        <f>IFERROR(__xludf.DUMMYFUNCTION("""COMPUTED_VALUE"""),"MOSIP-11722")</f>
        <v>MOSIP-11722</v>
      </c>
      <c r="M12" s="20">
        <f>COUNTIFS('Pre-reg'!A2:A1000,L12,'Pre-reg'!C2:C1000,"&lt;&gt;"&amp;"") </f>
        <v>6</v>
      </c>
      <c r="N12" s="21">
        <f>COUNTIFS('Pre-reg'!A2:A1000,L12,'Pre-reg'!C2:C1000,"&lt;&gt;"&amp;"",'Pre-reg'!H2:H1000,"Pass")</f>
        <v>6</v>
      </c>
      <c r="O12" s="22">
        <f>COUNTIFS('Pre-reg'!A2:A1000,L12,'Pre-reg'!C2:C1000,"&lt;&gt;"&amp;"",'Pre-reg'!H2:H1000,"Fail")</f>
        <v>0</v>
      </c>
      <c r="P12" s="23">
        <f t="shared" si="1"/>
        <v>0</v>
      </c>
      <c r="Q12" s="24" t="str">
        <f>IFERROR(__xludf.DUMMYFUNCTION("""COMPUTED_VALUE"""),"MOSIP-12405")</f>
        <v>MOSIP-12405</v>
      </c>
      <c r="R12" s="39">
        <f>COUNTIFS(RegClient!A2:A983,Q12,RegClient!C2:C983,"&lt;&gt;"&amp;"") </f>
        <v>15</v>
      </c>
      <c r="S12" s="40">
        <f>COUNTIFS(RegClient!A2:A983,Q12,RegClient!C2:C983,"&lt;&gt;"&amp;"",RegClient!I2:I983,"Pass")</f>
        <v>15</v>
      </c>
      <c r="T12" s="37">
        <f>COUNTIFS(RegClient!A2:A983,Q12,RegClient!C2:C983,"&lt;&gt;"&amp;"",RegClient!I2:I983,"Fail)")</f>
        <v>0</v>
      </c>
      <c r="U12" s="26">
        <f t="shared" si="2"/>
        <v>0</v>
      </c>
      <c r="V12" s="24" t="str">
        <f>IFERROR(__xludf.DUMMYFUNCTION("""COMPUTED_VALUE"""),"MOSIP-15564")</f>
        <v>MOSIP-15564</v>
      </c>
      <c r="W12" s="39">
        <f>COUNTIFS(RegProc!A2:A968,V12,RegProc!C2:C968,"&lt;&gt;"&amp;"") </f>
        <v>20</v>
      </c>
      <c r="X12" s="40">
        <f>COUNTIFS(RegProc!A2:A968,V12,RegProc!C2:C968,"&lt;&gt;"&amp;"",RegProc!I2:I968,"Pass")</f>
        <v>20</v>
      </c>
      <c r="Y12" s="37">
        <f>COUNTIFS(RegProc!A2:A968,V12,RegProc!C2:C968,"&lt;&gt;"&amp;"",RegProc!I2:I968,"Fail")</f>
        <v>0</v>
      </c>
      <c r="Z12" s="26">
        <f t="shared" si="3"/>
        <v>0</v>
      </c>
      <c r="AA12" s="42" t="str">
        <f>IFERROR(__xludf.DUMMYFUNCTION("""COMPUTED_VALUE"""),"MOSIP-9233")</f>
        <v>MOSIP-9233</v>
      </c>
      <c r="AB12" s="39">
        <f>COUNTIFS(Resident!A2:A1002,AA12,Resident!C2:C1002,"&lt;&gt;"&amp;"") </f>
        <v>6</v>
      </c>
      <c r="AC12" s="40">
        <f>COUNTIFS(Resident!A2:A1002,AA12,Resident!C2:C1002,"&lt;&gt;"&amp;"",Resident!J2:J1002,"Pass")</f>
        <v>0</v>
      </c>
      <c r="AD12" s="41">
        <f>COUNTIFS(Resident!A2:A1002,AA12,Resident!C2:C1002,"&lt;&gt;"&amp;"",Resident!J2:J1002,"Fail")</f>
        <v>6</v>
      </c>
      <c r="AE12" s="26">
        <f t="shared" si="4"/>
        <v>0</v>
      </c>
      <c r="AF12" s="24" t="str">
        <f>IFERROR(__xludf.DUMMYFUNCTION("""COMPUTED_VALUE"""),"MOSIP-12396")</f>
        <v>MOSIP-12396</v>
      </c>
      <c r="AG12" s="39">
        <f>COUNTIFS(Admin!A2:A1049,AF12,Admin!C2:C1049,"&lt;&gt;"&amp;"") </f>
        <v>7</v>
      </c>
      <c r="AH12" s="40">
        <f>COUNTIFS(Admin!A2:A1049,AF12,Admin!C2:C1049,"&lt;&gt;"&amp;"",Admin!I2:I1049,"Pass")</f>
        <v>7</v>
      </c>
      <c r="AI12" s="37">
        <f>COUNTIFS(Admin!A2:A1049,AF12,Admin!C2:C1049,"&lt;&gt;"&amp;"",Admin!I2:I1049,"Fail")</f>
        <v>0</v>
      </c>
      <c r="AJ12" s="26">
        <f t="shared" si="5"/>
        <v>0</v>
      </c>
      <c r="AK12" s="24" t="str">
        <f>IFERROR(__xludf.DUMMYFUNCTION("""COMPUTED_VALUE"""),"MOSIP-10170")</f>
        <v>MOSIP-10170</v>
      </c>
      <c r="AL12" s="39">
        <f>COUNTIFS(IDA!A2:A1975,AK12,IDA!C2:C1975,"&lt;&gt;"&amp;"") </f>
        <v>4</v>
      </c>
      <c r="AM12" s="40">
        <f>COUNTIFS(IDA!A2:A1975,AK12,IDA!C2:C1975,"&lt;&gt;"&amp;"",IDA!I2:I1975,"Pass")</f>
        <v>4</v>
      </c>
      <c r="AN12" s="37">
        <f>COUNTIFS(IDA!A2:A1975,AK12,IDA!C2:C1975,"&lt;&gt;"&amp;"",IDA!I2:I1975,"Fail")</f>
        <v>0</v>
      </c>
      <c r="AO12" s="26">
        <f t="shared" si="6"/>
        <v>0</v>
      </c>
      <c r="AP12" s="24" t="str">
        <f>IFERROR(__xludf.DUMMYFUNCTION("""COMPUTED_VALUE"""),"MOSIP-9059")</f>
        <v>MOSIP-9059</v>
      </c>
      <c r="AQ12" s="39">
        <f>COUNTIFS(PMS!A2:A761,AP12,PMS!C2:C761,"&lt;&gt;"&amp;"") </f>
        <v>20</v>
      </c>
      <c r="AR12" s="40">
        <f>COUNTIFS(PMS!A2:A761,AP12,PMS!C2:C761,"&lt;&gt;"&amp;"",PMS!I2:I761,"Pass")</f>
        <v>20</v>
      </c>
      <c r="AS12" s="37">
        <f>COUNTIFS(PMS!A2:A761,AP12,PMS!C2:C761,"&lt;&gt;"&amp;"",PMS!I2:I761,"Fail")</f>
        <v>0</v>
      </c>
      <c r="AT12" s="31">
        <f t="shared" si="7"/>
        <v>0</v>
      </c>
      <c r="AU12" s="2"/>
      <c r="AV12" s="2"/>
      <c r="AW12" s="2"/>
      <c r="AX12" s="2"/>
    </row>
    <row r="13">
      <c r="A13" s="2"/>
      <c r="B13" s="2"/>
      <c r="C13" s="18">
        <f t="shared" ref="C13:J13" si="10">SUM(C4:C12)</f>
        <v>253</v>
      </c>
      <c r="D13" s="18">
        <f t="shared" si="10"/>
        <v>0</v>
      </c>
      <c r="E13" s="47">
        <f t="shared" si="10"/>
        <v>4283</v>
      </c>
      <c r="F13" s="18">
        <f t="shared" si="10"/>
        <v>2567</v>
      </c>
      <c r="G13" s="18">
        <f t="shared" si="10"/>
        <v>1716</v>
      </c>
      <c r="H13" s="48">
        <f t="shared" si="10"/>
        <v>4024</v>
      </c>
      <c r="I13" s="45">
        <f t="shared" si="10"/>
        <v>259</v>
      </c>
      <c r="J13" s="49">
        <f t="shared" si="10"/>
        <v>0</v>
      </c>
      <c r="K13" s="2"/>
      <c r="L13" s="24" t="str">
        <f>IFERROR(__xludf.DUMMYFUNCTION("""COMPUTED_VALUE"""),"MOSIP-14324")</f>
        <v>MOSIP-14324</v>
      </c>
      <c r="M13" s="20">
        <f>COUNTIFS('Pre-reg'!A2:A1000,L13,'Pre-reg'!C2:C1000,"&lt;&gt;"&amp;"") </f>
        <v>16</v>
      </c>
      <c r="N13" s="21">
        <f>COUNTIFS('Pre-reg'!A2:A1000,L13,'Pre-reg'!C2:C1000,"&lt;&gt;"&amp;"",'Pre-reg'!H2:H1000,"Pass")</f>
        <v>16</v>
      </c>
      <c r="O13" s="22">
        <f>COUNTIFS('Pre-reg'!A2:A1000,L13,'Pre-reg'!C2:C1000,"&lt;&gt;"&amp;"",'Pre-reg'!H2:H1000,"Fail")</f>
        <v>0</v>
      </c>
      <c r="P13" s="23">
        <f t="shared" si="1"/>
        <v>0</v>
      </c>
      <c r="Q13" s="24" t="str">
        <f>IFERROR(__xludf.DUMMYFUNCTION("""COMPUTED_VALUE"""),"MOSIP-15248")</f>
        <v>MOSIP-15248</v>
      </c>
      <c r="R13" s="39">
        <f>COUNTIFS(RegClient!A2:A983,Q13,RegClient!C2:C983,"&lt;&gt;"&amp;"") </f>
        <v>2</v>
      </c>
      <c r="S13" s="40">
        <f>COUNTIFS(RegClient!A2:A983,Q13,RegClient!C2:C983,"&lt;&gt;"&amp;"",RegClient!I2:I983,"Pass")</f>
        <v>2</v>
      </c>
      <c r="T13" s="37">
        <f>COUNTIFS(RegClient!A2:A983,Q13,RegClient!C2:C983,"&lt;&gt;"&amp;"",RegClient!I2:I983,"Fail)")</f>
        <v>0</v>
      </c>
      <c r="U13" s="26">
        <f t="shared" si="2"/>
        <v>0</v>
      </c>
      <c r="V13" s="24" t="str">
        <f>IFERROR(__xludf.DUMMYFUNCTION("""COMPUTED_VALUE"""),"MOSIP-15389")</f>
        <v>MOSIP-15389</v>
      </c>
      <c r="W13" s="39">
        <f>COUNTIFS(RegProc!A2:A968,V13,RegProc!C2:C968,"&lt;&gt;"&amp;"") </f>
        <v>4</v>
      </c>
      <c r="X13" s="40">
        <f>COUNTIFS(RegProc!A2:A968,V13,RegProc!C2:C968,"&lt;&gt;"&amp;"",RegProc!I2:I968,"Pass")</f>
        <v>4</v>
      </c>
      <c r="Y13" s="37">
        <f>COUNTIFS(RegProc!A2:A968,V13,RegProc!C2:C968,"&lt;&gt;"&amp;"",RegProc!I2:I968,"Fail")</f>
        <v>0</v>
      </c>
      <c r="Z13" s="26">
        <f t="shared" si="3"/>
        <v>0</v>
      </c>
      <c r="AA13" s="42" t="str">
        <f>IFERROR(__xludf.DUMMYFUNCTION("""COMPUTED_VALUE"""),"MOSIP-8553")</f>
        <v>MOSIP-8553</v>
      </c>
      <c r="AB13" s="39">
        <f>COUNTIFS(Resident!A2:A1002,AA13,Resident!C2:C1002,"&lt;&gt;"&amp;"") </f>
        <v>6</v>
      </c>
      <c r="AC13" s="40">
        <f>COUNTIFS(Resident!A2:A1002,AA13,Resident!C2:C1002,"&lt;&gt;"&amp;"",Resident!J2:J1002,"Pass")</f>
        <v>5</v>
      </c>
      <c r="AD13" s="41">
        <f>COUNTIFS(Resident!A2:A1002,AA13,Resident!C2:C1002,"&lt;&gt;"&amp;"",Resident!J2:J1002,"Fail")</f>
        <v>1</v>
      </c>
      <c r="AE13" s="26">
        <f t="shared" si="4"/>
        <v>0</v>
      </c>
      <c r="AF13" s="24" t="str">
        <f>IFERROR(__xludf.DUMMYFUNCTION("""COMPUTED_VALUE"""),"MOSIP-57")</f>
        <v>MOSIP-57</v>
      </c>
      <c r="AG13" s="39">
        <f>COUNTIFS(Admin!A2:A1049,AF13,Admin!C2:C1049,"&lt;&gt;"&amp;"") </f>
        <v>9</v>
      </c>
      <c r="AH13" s="40">
        <f>COUNTIFS(Admin!A2:A1049,AF13,Admin!C2:C1049,"&lt;&gt;"&amp;"",Admin!I2:I1049,"Pass")</f>
        <v>9</v>
      </c>
      <c r="AI13" s="37">
        <f>COUNTIFS(Admin!A2:A1049,AF13,Admin!C2:C1049,"&lt;&gt;"&amp;"",Admin!I2:I1049,"Fail")</f>
        <v>0</v>
      </c>
      <c r="AJ13" s="26">
        <f t="shared" si="5"/>
        <v>0</v>
      </c>
      <c r="AK13" s="24" t="str">
        <f>IFERROR(__xludf.DUMMYFUNCTION("""COMPUTED_VALUE"""),"MOSIP-11468")</f>
        <v>MOSIP-11468</v>
      </c>
      <c r="AL13" s="39">
        <f>COUNTIFS(IDA!A2:A1975,AK13,IDA!C2:C1975,"&lt;&gt;"&amp;"") </f>
        <v>8</v>
      </c>
      <c r="AM13" s="40">
        <f>COUNTIFS(IDA!A2:A1975,AK13,IDA!C2:C1975,"&lt;&gt;"&amp;"",IDA!I2:I1975,"Pass")</f>
        <v>8</v>
      </c>
      <c r="AN13" s="37">
        <f>COUNTIFS(IDA!A2:A1975,AK13,IDA!C2:C1975,"&lt;&gt;"&amp;"",IDA!I2:I1975,"Fail")</f>
        <v>0</v>
      </c>
      <c r="AO13" s="26">
        <f t="shared" si="6"/>
        <v>0</v>
      </c>
      <c r="AP13" s="42" t="str">
        <f>IFERROR(__xludf.DUMMYFUNCTION("""COMPUTED_VALUE"""),"MOSIP-8946")</f>
        <v>MOSIP-8946</v>
      </c>
      <c r="AQ13" s="39">
        <f>COUNTIFS(PMS!A2:A761,AP13,PMS!C2:C761,"&lt;&gt;"&amp;"") </f>
        <v>3</v>
      </c>
      <c r="AR13" s="40">
        <f>COUNTIFS(PMS!A2:A761,AP13,PMS!C2:C761,"&lt;&gt;"&amp;"",PMS!I2:I761,"Pass")</f>
        <v>3</v>
      </c>
      <c r="AS13" s="37">
        <f>COUNTIFS(PMS!A2:A761,AP13,PMS!C2:C761,"&lt;&gt;"&amp;"",PMS!I2:I761,"Fail")</f>
        <v>0</v>
      </c>
      <c r="AT13" s="31">
        <f t="shared" si="7"/>
        <v>0</v>
      </c>
      <c r="AU13" s="2"/>
      <c r="AV13" s="2"/>
      <c r="AW13" s="2"/>
      <c r="AX13" s="2"/>
    </row>
    <row r="14">
      <c r="A14" s="2"/>
      <c r="B14" s="2"/>
      <c r="C14" s="47"/>
      <c r="D14" s="47"/>
      <c r="E14" s="47"/>
      <c r="F14" s="47"/>
      <c r="G14" s="47"/>
      <c r="H14" s="48"/>
      <c r="I14" s="45"/>
      <c r="J14" s="49"/>
      <c r="K14" s="2"/>
      <c r="L14" s="24" t="str">
        <f>IFERROR(__xludf.DUMMYFUNCTION("""COMPUTED_VALUE"""),"MOSIP-11655")</f>
        <v>MOSIP-11655</v>
      </c>
      <c r="M14" s="20">
        <f>COUNTIFS('Pre-reg'!A2:A1000,L14,'Pre-reg'!C2:C1000,"&lt;&gt;"&amp;"") </f>
        <v>5</v>
      </c>
      <c r="N14" s="21">
        <f>COUNTIFS('Pre-reg'!A2:A1000,L14,'Pre-reg'!C2:C1000,"&lt;&gt;"&amp;"",'Pre-reg'!H2:H1000,"Pass")</f>
        <v>5</v>
      </c>
      <c r="O14" s="22">
        <f>COUNTIFS('Pre-reg'!A2:A1000,L14,'Pre-reg'!C2:C1000,"&lt;&gt;"&amp;"",'Pre-reg'!H2:H1000,"Fail")</f>
        <v>0</v>
      </c>
      <c r="P14" s="23">
        <f t="shared" si="1"/>
        <v>0</v>
      </c>
      <c r="Q14" s="24" t="str">
        <f>IFERROR(__xludf.DUMMYFUNCTION("""COMPUTED_VALUE"""),"MOSIP-12577")</f>
        <v>MOSIP-12577</v>
      </c>
      <c r="R14" s="39">
        <f>COUNTIFS(RegClient!A2:A983,Q14,RegClient!C2:C983,"&lt;&gt;"&amp;"") </f>
        <v>5</v>
      </c>
      <c r="S14" s="40">
        <f>COUNTIFS(RegClient!A2:A983,Q14,RegClient!C2:C983,"&lt;&gt;"&amp;"",RegClient!I2:I983,"Pass")</f>
        <v>5</v>
      </c>
      <c r="T14" s="37">
        <f>COUNTIFS(RegClient!A2:A983,Q14,RegClient!C2:C983,"&lt;&gt;"&amp;"",RegClient!I2:I983,"Fail)")</f>
        <v>0</v>
      </c>
      <c r="U14" s="26">
        <f t="shared" si="2"/>
        <v>0</v>
      </c>
      <c r="V14" s="24" t="str">
        <f>IFERROR(__xludf.DUMMYFUNCTION("""COMPUTED_VALUE"""),"MOSIP-12121")</f>
        <v>MOSIP-12121</v>
      </c>
      <c r="W14" s="39">
        <f>COUNTIFS(RegProc!A2:A968,V14,RegProc!C2:C968,"&lt;&gt;"&amp;"") </f>
        <v>3</v>
      </c>
      <c r="X14" s="40">
        <f>COUNTIFS(RegProc!A2:A968,V14,RegProc!C2:C968,"&lt;&gt;"&amp;"",RegProc!I2:I968,"Pass")</f>
        <v>3</v>
      </c>
      <c r="Y14" s="37">
        <f>COUNTIFS(RegProc!A2:A968,V14,RegProc!C2:C968,"&lt;&gt;"&amp;"",RegProc!I2:I968,"Fail")</f>
        <v>0</v>
      </c>
      <c r="Z14" s="26">
        <f t="shared" si="3"/>
        <v>0</v>
      </c>
      <c r="AA14" s="42" t="str">
        <f>IFERROR(__xludf.DUMMYFUNCTION("""COMPUTED_VALUE"""),"MOSIP-8548")</f>
        <v>MOSIP-8548</v>
      </c>
      <c r="AB14" s="39">
        <f>COUNTIFS(Resident!A2:A1002,AA14,Resident!C2:C1002,"&lt;&gt;"&amp;"") </f>
        <v>6</v>
      </c>
      <c r="AC14" s="40">
        <f>COUNTIFS(Resident!A2:A1002,AA14,Resident!C2:C1002,"&lt;&gt;"&amp;"",Resident!J2:J1002,"Pass")</f>
        <v>6</v>
      </c>
      <c r="AD14" s="41">
        <f>COUNTIFS(Resident!A2:A1002,AA14,Resident!C2:C1002,"&lt;&gt;"&amp;"",Resident!J2:J1002,"Fail")</f>
        <v>0</v>
      </c>
      <c r="AE14" s="26">
        <f t="shared" si="4"/>
        <v>0</v>
      </c>
      <c r="AF14" s="24" t="str">
        <f>IFERROR(__xludf.DUMMYFUNCTION("""COMPUTED_VALUE"""),"MOSIP-58")</f>
        <v>MOSIP-58</v>
      </c>
      <c r="AG14" s="39">
        <f>COUNTIFS(Admin!A2:A1049,AF14,Admin!C2:C1049,"&lt;&gt;"&amp;"") </f>
        <v>9</v>
      </c>
      <c r="AH14" s="40">
        <f>COUNTIFS(Admin!A2:A1049,AF14,Admin!C2:C1049,"&lt;&gt;"&amp;"",Admin!I2:I1049,"Pass")</f>
        <v>9</v>
      </c>
      <c r="AI14" s="37">
        <f>COUNTIFS(Admin!A2:A1049,AF14,Admin!C2:C1049,"&lt;&gt;"&amp;"",Admin!I2:I1049,"Fail")</f>
        <v>0</v>
      </c>
      <c r="AJ14" s="26">
        <f t="shared" si="5"/>
        <v>0</v>
      </c>
      <c r="AK14" s="24" t="str">
        <f>IFERROR(__xludf.DUMMYFUNCTION("""COMPUTED_VALUE"""),"MOSIP-10231")</f>
        <v>MOSIP-10231</v>
      </c>
      <c r="AL14" s="39">
        <f>COUNTIFS(IDA!A2:A1975,AK14,IDA!C2:C1975,"&lt;&gt;"&amp;"") </f>
        <v>4</v>
      </c>
      <c r="AM14" s="40">
        <f>COUNTIFS(IDA!A2:A1975,AK14,IDA!C2:C1975,"&lt;&gt;"&amp;"",IDA!I2:I1975,"Pass")</f>
        <v>4</v>
      </c>
      <c r="AN14" s="37">
        <f>COUNTIFS(IDA!A2:A1975,AK14,IDA!C2:C1975,"&lt;&gt;"&amp;"",IDA!I2:I1975,"Fail")</f>
        <v>0</v>
      </c>
      <c r="AO14" s="26">
        <f t="shared" si="6"/>
        <v>0</v>
      </c>
      <c r="AP14" s="42" t="str">
        <f>IFERROR(__xludf.DUMMYFUNCTION("""COMPUTED_VALUE"""),"MOSIP-482")</f>
        <v>MOSIP-482</v>
      </c>
      <c r="AQ14" s="39">
        <f>COUNTIFS(PMS!A2:A761,AP14,PMS!C2:C761,"&lt;&gt;"&amp;"") </f>
        <v>4</v>
      </c>
      <c r="AR14" s="40">
        <f>COUNTIFS(PMS!A2:A761,AP14,PMS!C2:C761,"&lt;&gt;"&amp;"",PMS!I2:I761,"Pass")</f>
        <v>4</v>
      </c>
      <c r="AS14" s="37">
        <f>COUNTIFS(PMS!A2:A761,AP14,PMS!C2:C761,"&lt;&gt;"&amp;"",PMS!I2:I761,"Fail")</f>
        <v>0</v>
      </c>
      <c r="AT14" s="31">
        <f t="shared" si="7"/>
        <v>0</v>
      </c>
      <c r="AU14" s="2"/>
      <c r="AV14" s="2"/>
      <c r="AW14" s="2"/>
      <c r="AX14" s="2"/>
    </row>
    <row r="15">
      <c r="A15" s="2"/>
      <c r="B15" s="2"/>
      <c r="C15" s="50" t="s">
        <v>18</v>
      </c>
      <c r="D15" s="14"/>
      <c r="E15" s="14"/>
      <c r="F15" s="14"/>
      <c r="G15" s="14"/>
      <c r="H15" s="14"/>
      <c r="I15" s="14"/>
      <c r="J15" s="15"/>
      <c r="K15" s="2"/>
      <c r="L15" s="24" t="str">
        <f>IFERROR(__xludf.DUMMYFUNCTION("""COMPUTED_VALUE"""),"MOSIP-13821")</f>
        <v>MOSIP-13821</v>
      </c>
      <c r="M15" s="20">
        <f>COUNTIFS('Pre-reg'!A2:A1000,L15,'Pre-reg'!C2:C1000,"&lt;&gt;"&amp;"") </f>
        <v>5</v>
      </c>
      <c r="N15" s="21">
        <f>COUNTIFS('Pre-reg'!A2:A1000,L15,'Pre-reg'!C2:C1000,"&lt;&gt;"&amp;"",'Pre-reg'!H2:H1000,"Pass")</f>
        <v>5</v>
      </c>
      <c r="O15" s="22">
        <f>COUNTIFS('Pre-reg'!A2:A1000,L15,'Pre-reg'!C2:C1000,"&lt;&gt;"&amp;"",'Pre-reg'!H2:H1000,"Fail")</f>
        <v>0</v>
      </c>
      <c r="P15" s="23">
        <f t="shared" si="1"/>
        <v>0</v>
      </c>
      <c r="Q15" s="24" t="str">
        <f>IFERROR(__xludf.DUMMYFUNCTION("""COMPUTED_VALUE"""),"MOSIP-12464")</f>
        <v>MOSIP-12464</v>
      </c>
      <c r="R15" s="39">
        <f>COUNTIFS(RegClient!A2:A983,Q15,RegClient!C2:C983,"&lt;&gt;"&amp;"") </f>
        <v>13</v>
      </c>
      <c r="S15" s="40">
        <f>COUNTIFS(RegClient!A2:A983,Q15,RegClient!C2:C983,"&lt;&gt;"&amp;"",RegClient!I2:I983,"Pass")</f>
        <v>8</v>
      </c>
      <c r="T15" s="37">
        <f>COUNTIFS(RegClient!A2:A983,Q15,RegClient!C2:C983,"&lt;&gt;"&amp;"",RegClient!I2:I983,"Fail)")</f>
        <v>0</v>
      </c>
      <c r="U15" s="26">
        <f t="shared" si="2"/>
        <v>5</v>
      </c>
      <c r="V15" s="24" t="str">
        <f>IFERROR(__xludf.DUMMYFUNCTION("""COMPUTED_VALUE"""),"MOSIP-12428")</f>
        <v>MOSIP-12428</v>
      </c>
      <c r="W15" s="39">
        <f>COUNTIFS(RegProc!A2:A968,V15,RegProc!C2:C968,"&lt;&gt;"&amp;"") </f>
        <v>4</v>
      </c>
      <c r="X15" s="40">
        <f>COUNTIFS(RegProc!A2:A968,V15,RegProc!C2:C968,"&lt;&gt;"&amp;"",RegProc!I2:I968,"Pass")</f>
        <v>4</v>
      </c>
      <c r="Y15" s="37">
        <f>COUNTIFS(RegProc!A2:A968,V15,RegProc!C2:C968,"&lt;&gt;"&amp;"",RegProc!I2:I968,"Fail")</f>
        <v>0</v>
      </c>
      <c r="Z15" s="26">
        <f t="shared" si="3"/>
        <v>0</v>
      </c>
      <c r="AA15" s="42" t="str">
        <f>IFERROR(__xludf.DUMMYFUNCTION("""COMPUTED_VALUE"""),"MOSIP-8551")</f>
        <v>MOSIP-8551</v>
      </c>
      <c r="AB15" s="39">
        <f>COUNTIFS(Resident!A2:A1002,AA15,Resident!C2:C1002,"&lt;&gt;"&amp;"") </f>
        <v>1</v>
      </c>
      <c r="AC15" s="40">
        <f>COUNTIFS(Resident!A2:A1002,AA15,Resident!C2:C1002,"&lt;&gt;"&amp;"",Resident!J2:J1002,"Pass")</f>
        <v>1</v>
      </c>
      <c r="AD15" s="41">
        <f>COUNTIFS(Resident!A2:A1002,AA15,Resident!C2:C1002,"&lt;&gt;"&amp;"",Resident!J2:J1002,"Fail")</f>
        <v>0</v>
      </c>
      <c r="AE15" s="26">
        <f t="shared" si="4"/>
        <v>0</v>
      </c>
      <c r="AF15" s="24" t="str">
        <f>IFERROR(__xludf.DUMMYFUNCTION("""COMPUTED_VALUE"""),"MOSIP-11308")</f>
        <v>MOSIP-11308</v>
      </c>
      <c r="AG15" s="39">
        <f>COUNTIFS(Admin!A2:A1049,AF15,Admin!C2:C1049,"&lt;&gt;"&amp;"") </f>
        <v>8</v>
      </c>
      <c r="AH15" s="40">
        <f>COUNTIFS(Admin!A2:A1049,AF15,Admin!C2:C1049,"&lt;&gt;"&amp;"",Admin!I2:I1049,"Pass")</f>
        <v>8</v>
      </c>
      <c r="AI15" s="37">
        <f>COUNTIFS(Admin!A2:A1049,AF15,Admin!C2:C1049,"&lt;&gt;"&amp;"",Admin!I2:I1049,"Fail")</f>
        <v>0</v>
      </c>
      <c r="AJ15" s="26">
        <f t="shared" si="5"/>
        <v>0</v>
      </c>
      <c r="AK15" s="24" t="str">
        <f>IFERROR(__xludf.DUMMYFUNCTION("""COMPUTED_VALUE"""),"MOSIP-11793")</f>
        <v>MOSIP-11793</v>
      </c>
      <c r="AL15" s="39">
        <f>COUNTIFS(IDA!A2:A1975,AK15,IDA!C2:C1975,"&lt;&gt;"&amp;"") </f>
        <v>5</v>
      </c>
      <c r="AM15" s="40">
        <f>COUNTIFS(IDA!A2:A1975,AK15,IDA!C2:C1975,"&lt;&gt;"&amp;"",IDA!I2:I1975,"Pass")</f>
        <v>5</v>
      </c>
      <c r="AN15" s="37">
        <f>COUNTIFS(IDA!A2:A1975,AK15,IDA!C2:C1975,"&lt;&gt;"&amp;"",IDA!I2:I1975,"Fail")</f>
        <v>0</v>
      </c>
      <c r="AO15" s="26">
        <f t="shared" si="6"/>
        <v>0</v>
      </c>
      <c r="AP15" s="42" t="str">
        <f>IFERROR(__xludf.DUMMYFUNCTION("""COMPUTED_VALUE"""),"MOSIP-8570")</f>
        <v>MOSIP-8570</v>
      </c>
      <c r="AQ15" s="39">
        <f>COUNTIFS(PMS!A2:A761,AP15,PMS!C2:C761,"&lt;&gt;"&amp;"") </f>
        <v>15</v>
      </c>
      <c r="AR15" s="40">
        <f>COUNTIFS(PMS!A2:A761,AP15,PMS!C2:C761,"&lt;&gt;"&amp;"",PMS!I2:I761,"Pass")</f>
        <v>15</v>
      </c>
      <c r="AS15" s="37">
        <f>COUNTIFS(PMS!A2:A761,AP15,PMS!C2:C761,"&lt;&gt;"&amp;"",PMS!I2:I761,"Fail")</f>
        <v>0</v>
      </c>
      <c r="AT15" s="31">
        <f t="shared" si="7"/>
        <v>0</v>
      </c>
      <c r="AU15" s="2"/>
      <c r="AV15" s="2"/>
      <c r="AW15" s="2"/>
      <c r="AX15" s="2"/>
    </row>
    <row r="16">
      <c r="A16" s="2"/>
      <c r="B16" s="2"/>
      <c r="C16" s="51" t="s">
        <v>0</v>
      </c>
      <c r="D16" s="14"/>
      <c r="E16" s="15"/>
      <c r="F16" s="52" t="str">
        <f t="shared" ref="F16:F22" si="11">"Test Rate : " &amp; INT((((H5+I5)/E5)*100)) &amp; "%  With Pass Rate : " &amp; INT((H5/(H5+I5))*100)  &amp; "%"</f>
        <v>Test Rate : 100%  With Pass Rate : 97%</v>
      </c>
      <c r="G16" s="14"/>
      <c r="H16" s="14"/>
      <c r="I16" s="14"/>
      <c r="J16" s="15"/>
      <c r="K16" s="2"/>
      <c r="L16" s="24" t="str">
        <f>IFERROR(__xludf.DUMMYFUNCTION("""COMPUTED_VALUE"""),"MOSIP-13857")</f>
        <v>MOSIP-13857</v>
      </c>
      <c r="M16" s="20">
        <f>COUNTIFS('Pre-reg'!A2:A1000,L16,'Pre-reg'!C2:C1000,"&lt;&gt;"&amp;"") </f>
        <v>18</v>
      </c>
      <c r="N16" s="21">
        <f>COUNTIFS('Pre-reg'!A2:A1000,L16,'Pre-reg'!C2:C1000,"&lt;&gt;"&amp;"",'Pre-reg'!H2:H1000,"Pass")</f>
        <v>18</v>
      </c>
      <c r="O16" s="22">
        <f>COUNTIFS('Pre-reg'!A2:A1000,L16,'Pre-reg'!C2:C1000,"&lt;&gt;"&amp;"",'Pre-reg'!H2:H1000,"Fail")</f>
        <v>0</v>
      </c>
      <c r="P16" s="23">
        <f t="shared" si="1"/>
        <v>0</v>
      </c>
      <c r="Q16" s="24" t="str">
        <f>IFERROR(__xludf.DUMMYFUNCTION("""COMPUTED_VALUE"""),"MOSIP-16791")</f>
        <v>MOSIP-16791</v>
      </c>
      <c r="R16" s="39">
        <f>COUNTIFS(RegClient!A2:A983,Q16,RegClient!C2:C983,"&lt;&gt;"&amp;"") </f>
        <v>5</v>
      </c>
      <c r="S16" s="40">
        <f>COUNTIFS(RegClient!A2:A983,Q16,RegClient!C2:C983,"&lt;&gt;"&amp;"",RegClient!I2:I983,"Pass")</f>
        <v>5</v>
      </c>
      <c r="T16" s="37">
        <f>COUNTIFS(RegClient!A2:A983,Q16,RegClient!C2:C983,"&lt;&gt;"&amp;"",RegClient!I2:I983,"Fail)")</f>
        <v>0</v>
      </c>
      <c r="U16" s="26">
        <f t="shared" si="2"/>
        <v>0</v>
      </c>
      <c r="V16" s="24" t="str">
        <f>IFERROR(__xludf.DUMMYFUNCTION("""COMPUTED_VALUE"""),"MOSIP-7813")</f>
        <v>MOSIP-7813</v>
      </c>
      <c r="W16" s="39">
        <f>COUNTIFS(RegProc!A2:A968,V16,RegProc!C2:C968,"&lt;&gt;"&amp;"") </f>
        <v>7</v>
      </c>
      <c r="X16" s="40">
        <f>COUNTIFS(RegProc!A2:A968,V16,RegProc!C2:C968,"&lt;&gt;"&amp;"",RegProc!I2:I968,"Pass")</f>
        <v>5</v>
      </c>
      <c r="Y16" s="37">
        <f>COUNTIFS(RegProc!A2:A968,V16,RegProc!C2:C968,"&lt;&gt;"&amp;"",RegProc!I2:I968,"Fail")</f>
        <v>2</v>
      </c>
      <c r="Z16" s="26">
        <f t="shared" si="3"/>
        <v>0</v>
      </c>
      <c r="AA16" s="42" t="str">
        <f>IFERROR(__xludf.DUMMYFUNCTION("""COMPUTED_VALUE"""),"MOSIP-8595")</f>
        <v>MOSIP-8595</v>
      </c>
      <c r="AB16" s="39">
        <f>COUNTIFS(Resident!A2:A1002,AA16,Resident!C2:C1002,"&lt;&gt;"&amp;"") </f>
        <v>1</v>
      </c>
      <c r="AC16" s="40">
        <f>COUNTIFS(Resident!A2:A1002,AA16,Resident!C2:C1002,"&lt;&gt;"&amp;"",Resident!J2:J1002,"Pass")</f>
        <v>1</v>
      </c>
      <c r="AD16" s="41">
        <f>COUNTIFS(Resident!A2:A1002,AA16,Resident!C2:C1002,"&lt;&gt;"&amp;"",Resident!J2:J1002,"Fail")</f>
        <v>0</v>
      </c>
      <c r="AE16" s="26">
        <f t="shared" si="4"/>
        <v>0</v>
      </c>
      <c r="AF16" s="24" t="str">
        <f>IFERROR(__xludf.DUMMYFUNCTION("""COMPUTED_VALUE"""),"MOSIP-8446")</f>
        <v>MOSIP-8446</v>
      </c>
      <c r="AG16" s="39">
        <f>COUNTIFS(Admin!A2:A1049,AF16,Admin!C2:C1049,"&lt;&gt;"&amp;"") </f>
        <v>26</v>
      </c>
      <c r="AH16" s="40">
        <f>COUNTIFS(Admin!A2:A1049,AF16,Admin!C2:C1049,"&lt;&gt;"&amp;"",Admin!I2:I1049,"Pass")</f>
        <v>17</v>
      </c>
      <c r="AI16" s="37">
        <f>COUNTIFS(Admin!A2:A1049,AF16,Admin!C2:C1049,"&lt;&gt;"&amp;"",Admin!I2:I1049,"Fail")</f>
        <v>9</v>
      </c>
      <c r="AJ16" s="26">
        <f t="shared" si="5"/>
        <v>0</v>
      </c>
      <c r="AK16" s="24" t="str">
        <f>IFERROR(__xludf.DUMMYFUNCTION("""COMPUTED_VALUE"""),"MOSIP-8727")</f>
        <v>MOSIP-8727</v>
      </c>
      <c r="AL16" s="39">
        <f>COUNTIFS(IDA!A2:A1975,AK16,IDA!C2:C1975,"&lt;&gt;"&amp;"") </f>
        <v>3</v>
      </c>
      <c r="AM16" s="40">
        <f>COUNTIFS(IDA!A2:A1975,AK16,IDA!C2:C1975,"&lt;&gt;"&amp;"",IDA!I2:I1975,"Pass")</f>
        <v>3</v>
      </c>
      <c r="AN16" s="37">
        <f>COUNTIFS(IDA!A2:A1975,AK16,IDA!C2:C1975,"&lt;&gt;"&amp;"",IDA!I2:I1975,"Fail")</f>
        <v>0</v>
      </c>
      <c r="AO16" s="26">
        <f t="shared" si="6"/>
        <v>0</v>
      </c>
      <c r="AP16" s="42" t="str">
        <f>IFERROR(__xludf.DUMMYFUNCTION("""COMPUTED_VALUE"""),"MOSIP-11027")</f>
        <v>MOSIP-11027</v>
      </c>
      <c r="AQ16" s="39">
        <f>COUNTIFS(PMS!A2:A761,AP16,PMS!C2:C761,"&lt;&gt;"&amp;"") </f>
        <v>9</v>
      </c>
      <c r="AR16" s="40">
        <f>COUNTIFS(PMS!A2:A761,AP16,PMS!C2:C761,"&lt;&gt;"&amp;"",PMS!I2:I761,"Pass")</f>
        <v>9</v>
      </c>
      <c r="AS16" s="37">
        <f>COUNTIFS(PMS!A2:A761,AP16,PMS!C2:C761,"&lt;&gt;"&amp;"",PMS!I2:I761,"Fail")</f>
        <v>0</v>
      </c>
      <c r="AT16" s="31">
        <f t="shared" si="7"/>
        <v>0</v>
      </c>
      <c r="AU16" s="2"/>
      <c r="AV16" s="2"/>
      <c r="AW16" s="2"/>
      <c r="AX16" s="2"/>
    </row>
    <row r="17">
      <c r="A17" s="2"/>
      <c r="B17" s="2"/>
      <c r="C17" s="51" t="s">
        <v>16</v>
      </c>
      <c r="D17" s="14"/>
      <c r="E17" s="15"/>
      <c r="F17" s="52" t="str">
        <f t="shared" si="11"/>
        <v>Test Rate : 100%  With Pass Rate : 95%</v>
      </c>
      <c r="G17" s="14"/>
      <c r="H17" s="14"/>
      <c r="I17" s="14"/>
      <c r="J17" s="15"/>
      <c r="K17" s="2"/>
      <c r="L17" s="24" t="str">
        <f>IFERROR(__xludf.DUMMYFUNCTION("""COMPUTED_VALUE"""),"MOSIP-14955")</f>
        <v>MOSIP-14955</v>
      </c>
      <c r="M17" s="20">
        <f>COUNTIFS('Pre-reg'!A2:A1000,L17,'Pre-reg'!C2:C1000,"&lt;&gt;"&amp;"") </f>
        <v>5</v>
      </c>
      <c r="N17" s="21">
        <f>COUNTIFS('Pre-reg'!A2:A1000,L17,'Pre-reg'!C2:C1000,"&lt;&gt;"&amp;"",'Pre-reg'!H2:H1000,"Pass")</f>
        <v>5</v>
      </c>
      <c r="O17" s="22">
        <f>COUNTIFS('Pre-reg'!A2:A1000,L17,'Pre-reg'!C2:C1000,"&lt;&gt;"&amp;"",'Pre-reg'!H2:H1000,"Fail")</f>
        <v>0</v>
      </c>
      <c r="P17" s="23">
        <f t="shared" si="1"/>
        <v>0</v>
      </c>
      <c r="Q17" s="24" t="str">
        <f>IFERROR(__xludf.DUMMYFUNCTION("""COMPUTED_VALUE"""),"MOSIP-15648")</f>
        <v>MOSIP-15648</v>
      </c>
      <c r="R17" s="39">
        <f>COUNTIFS(RegClient!A2:A983,Q17,RegClient!C2:C983,"&lt;&gt;"&amp;"") </f>
        <v>14</v>
      </c>
      <c r="S17" s="40">
        <f>COUNTIFS(RegClient!A2:A983,Q17,RegClient!C2:C983,"&lt;&gt;"&amp;"",RegClient!I2:I983,"Pass")</f>
        <v>14</v>
      </c>
      <c r="T17" s="37">
        <f>COUNTIFS(RegClient!A2:A983,Q17,RegClient!C2:C983,"&lt;&gt;"&amp;"",RegClient!I2:I983,"Fail)")</f>
        <v>0</v>
      </c>
      <c r="U17" s="26">
        <f t="shared" si="2"/>
        <v>0</v>
      </c>
      <c r="V17" s="24" t="str">
        <f>IFERROR(__xludf.DUMMYFUNCTION("""COMPUTED_VALUE"""),"MOSIP-13547")</f>
        <v>MOSIP-13547</v>
      </c>
      <c r="W17" s="39">
        <f>COUNTIFS(RegProc!A2:A968,V17,RegProc!C2:C968,"&lt;&gt;"&amp;"") </f>
        <v>5</v>
      </c>
      <c r="X17" s="40">
        <f>COUNTIFS(RegProc!A2:A968,V17,RegProc!C2:C968,"&lt;&gt;"&amp;"",RegProc!I2:I968,"Pass")</f>
        <v>5</v>
      </c>
      <c r="Y17" s="37">
        <f>COUNTIFS(RegProc!A2:A968,V17,RegProc!C2:C968,"&lt;&gt;"&amp;"",RegProc!I2:I968,"Fail")</f>
        <v>0</v>
      </c>
      <c r="Z17" s="26">
        <f t="shared" si="3"/>
        <v>0</v>
      </c>
      <c r="AA17" s="3"/>
      <c r="AB17" s="4"/>
      <c r="AC17" s="4"/>
      <c r="AD17" s="5"/>
      <c r="AE17" s="6"/>
      <c r="AF17" s="24" t="str">
        <f>IFERROR(__xludf.DUMMYFUNCTION("""COMPUTED_VALUE"""),"MOSIP-8520")</f>
        <v>MOSIP-8520</v>
      </c>
      <c r="AG17" s="39">
        <f>COUNTIFS(Admin!A2:A1049,AF17,Admin!C2:C1049,"&lt;&gt;"&amp;"") </f>
        <v>8</v>
      </c>
      <c r="AH17" s="40">
        <f>COUNTIFS(Admin!A2:A1049,AF17,Admin!C2:C1049,"&lt;&gt;"&amp;"",Admin!I2:I1049,"Pass")</f>
        <v>8</v>
      </c>
      <c r="AI17" s="37">
        <f>COUNTIFS(Admin!A2:A1049,AF17,Admin!C2:C1049,"&lt;&gt;"&amp;"",Admin!I2:I1049,"Fail")</f>
        <v>0</v>
      </c>
      <c r="AJ17" s="26">
        <f t="shared" si="5"/>
        <v>0</v>
      </c>
      <c r="AK17" s="24" t="str">
        <f>IFERROR(__xludf.DUMMYFUNCTION("""COMPUTED_VALUE"""),"MOSIP-11986")</f>
        <v>MOSIP-11986</v>
      </c>
      <c r="AL17" s="39">
        <f>COUNTIFS(IDA!A2:A1975,AK17,IDA!C2:C1975,"&lt;&gt;"&amp;"") </f>
        <v>1</v>
      </c>
      <c r="AM17" s="40">
        <f>COUNTIFS(IDA!A2:A1975,AK17,IDA!C2:C1975,"&lt;&gt;"&amp;"",IDA!I2:I1975,"Pass")</f>
        <v>1</v>
      </c>
      <c r="AN17" s="37">
        <f>COUNTIFS(IDA!A2:A1975,AK17,IDA!C2:C1975,"&lt;&gt;"&amp;"",IDA!I2:I1975,"Fail")</f>
        <v>0</v>
      </c>
      <c r="AO17" s="26">
        <f t="shared" si="6"/>
        <v>0</v>
      </c>
      <c r="AP17" s="42" t="str">
        <f>IFERROR(__xludf.DUMMYFUNCTION("""COMPUTED_VALUE"""),"MOSIP-11391")</f>
        <v>MOSIP-11391</v>
      </c>
      <c r="AQ17" s="39">
        <f>COUNTIFS(PMS!A2:A761,AP17,PMS!C2:C761,"&lt;&gt;"&amp;"") </f>
        <v>44</v>
      </c>
      <c r="AR17" s="40">
        <f>COUNTIFS(PMS!A2:A761,AP17,PMS!C2:C761,"&lt;&gt;"&amp;"",PMS!I2:I761,"Pass")</f>
        <v>44</v>
      </c>
      <c r="AS17" s="37">
        <f>COUNTIFS(PMS!A2:A761,AP17,PMS!C2:C761,"&lt;&gt;"&amp;"",PMS!I2:I761,"Fail")</f>
        <v>0</v>
      </c>
      <c r="AT17" s="31">
        <f t="shared" si="7"/>
        <v>0</v>
      </c>
      <c r="AU17" s="2"/>
      <c r="AV17" s="2"/>
      <c r="AW17" s="2"/>
      <c r="AX17" s="2"/>
    </row>
    <row r="18">
      <c r="A18" s="2"/>
      <c r="B18" s="2"/>
      <c r="C18" s="51" t="s">
        <v>17</v>
      </c>
      <c r="D18" s="14"/>
      <c r="E18" s="15"/>
      <c r="F18" s="52" t="str">
        <f t="shared" si="11"/>
        <v>Test Rate : 100%  With Pass Rate : 91%</v>
      </c>
      <c r="G18" s="14"/>
      <c r="H18" s="14"/>
      <c r="I18" s="14"/>
      <c r="J18" s="15"/>
      <c r="K18" s="2"/>
      <c r="L18" s="24" t="str">
        <f>IFERROR(__xludf.DUMMYFUNCTION("""COMPUTED_VALUE"""),"MOSIP-203")</f>
        <v>MOSIP-203</v>
      </c>
      <c r="M18" s="20">
        <f>COUNTIFS('Pre-reg'!A2:A1000,L18,'Pre-reg'!C2:C1000,"&lt;&gt;"&amp;"") </f>
        <v>1</v>
      </c>
      <c r="N18" s="21">
        <f>COUNTIFS('Pre-reg'!A2:A1000,L18,'Pre-reg'!C2:C1000,"&lt;&gt;"&amp;"",'Pre-reg'!H2:H1000,"Pass")</f>
        <v>1</v>
      </c>
      <c r="O18" s="22">
        <f>COUNTIFS('Pre-reg'!A2:A1000,L18,'Pre-reg'!C2:C1000,"&lt;&gt;"&amp;"",'Pre-reg'!H2:H1000,"Fail")</f>
        <v>0</v>
      </c>
      <c r="P18" s="23">
        <f t="shared" si="1"/>
        <v>0</v>
      </c>
      <c r="Q18" s="24" t="str">
        <f>IFERROR(__xludf.DUMMYFUNCTION("""COMPUTED_VALUE"""),"MOSIP-14682")</f>
        <v>MOSIP-14682</v>
      </c>
      <c r="R18" s="39">
        <f>COUNTIFS(RegClient!A2:A983,Q18,RegClient!C2:C983,"&lt;&gt;"&amp;"") </f>
        <v>12</v>
      </c>
      <c r="S18" s="40">
        <f>COUNTIFS(RegClient!A2:A983,Q18,RegClient!C2:C983,"&lt;&gt;"&amp;"",RegClient!I2:I983,"Pass")</f>
        <v>12</v>
      </c>
      <c r="T18" s="37">
        <f>COUNTIFS(RegClient!A2:A983,Q18,RegClient!C2:C983,"&lt;&gt;"&amp;"",RegClient!I2:I983,"Fail)")</f>
        <v>0</v>
      </c>
      <c r="U18" s="26">
        <f t="shared" si="2"/>
        <v>0</v>
      </c>
      <c r="V18" s="24" t="str">
        <f>IFERROR(__xludf.DUMMYFUNCTION("""COMPUTED_VALUE"""),"MOSIP-13115")</f>
        <v>MOSIP-13115</v>
      </c>
      <c r="W18" s="39">
        <f>COUNTIFS(RegProc!A2:A968,V18,RegProc!C2:C968,"&lt;&gt;"&amp;"") </f>
        <v>46</v>
      </c>
      <c r="X18" s="40">
        <f>COUNTIFS(RegProc!A2:A968,V18,RegProc!C2:C968,"&lt;&gt;"&amp;"",RegProc!I2:I968,"Pass")</f>
        <v>46</v>
      </c>
      <c r="Y18" s="37">
        <f>COUNTIFS(RegProc!A2:A968,V18,RegProc!C2:C968,"&lt;&gt;"&amp;"",RegProc!I2:I968,"Fail")</f>
        <v>0</v>
      </c>
      <c r="Z18" s="26">
        <f t="shared" si="3"/>
        <v>0</v>
      </c>
      <c r="AA18" s="3"/>
      <c r="AB18" s="4"/>
      <c r="AC18" s="4"/>
      <c r="AD18" s="5"/>
      <c r="AE18" s="6"/>
      <c r="AF18" s="53" t="str">
        <f>IFERROR(__xludf.DUMMYFUNCTION("""COMPUTED_VALUE"""),"MOSIP-8556")</f>
        <v>MOSIP-8556</v>
      </c>
      <c r="AG18" s="34">
        <f>COUNTIFS(Admin!A2:A1049,AF18,Admin!C2:C1049,"&lt;&gt;"&amp;"") </f>
        <v>20</v>
      </c>
      <c r="AH18" s="40">
        <f>COUNTIFS(Admin!A2:A1049,AF18,Admin!C2:C1049,"&lt;&gt;"&amp;"",Admin!I2:I1049,"Pass")</f>
        <v>11</v>
      </c>
      <c r="AI18" s="37">
        <f>COUNTIFS(Admin!A2:A1049,AF18,Admin!C2:C1049,"&lt;&gt;"&amp;"",Admin!I2:I1049,"Fail")</f>
        <v>9</v>
      </c>
      <c r="AJ18" s="26">
        <f t="shared" si="5"/>
        <v>0</v>
      </c>
      <c r="AK18" s="24" t="str">
        <f>IFERROR(__xludf.DUMMYFUNCTION("""COMPUTED_VALUE"""),"MOSIP-13847")</f>
        <v>MOSIP-13847</v>
      </c>
      <c r="AL18" s="39">
        <f>COUNTIFS(IDA!A2:A1975,AK18,IDA!C2:C1975,"&lt;&gt;"&amp;"") </f>
        <v>4</v>
      </c>
      <c r="AM18" s="40">
        <f>COUNTIFS(IDA!A2:A1975,AK18,IDA!C2:C1975,"&lt;&gt;"&amp;"",IDA!I2:I1975,"Pass")</f>
        <v>4</v>
      </c>
      <c r="AN18" s="37">
        <f>COUNTIFS(IDA!A2:A1975,AK18,IDA!C2:C1975,"&lt;&gt;"&amp;"",IDA!I2:I1975,"Fail")</f>
        <v>0</v>
      </c>
      <c r="AO18" s="26">
        <f t="shared" si="6"/>
        <v>0</v>
      </c>
      <c r="AP18" s="42" t="str">
        <f>IFERROR(__xludf.DUMMYFUNCTION("""COMPUTED_VALUE"""),"MOSIP-10473")</f>
        <v>MOSIP-10473</v>
      </c>
      <c r="AQ18" s="39">
        <f>COUNTIFS(PMS!A2:A761,AP18,PMS!C2:C761,"&lt;&gt;"&amp;"") </f>
        <v>15</v>
      </c>
      <c r="AR18" s="40">
        <f>COUNTIFS(PMS!A2:A761,AP18,PMS!C2:C761,"&lt;&gt;"&amp;"",PMS!I2:I761,"Pass")</f>
        <v>15</v>
      </c>
      <c r="AS18" s="37">
        <f>COUNTIFS(PMS!A2:A761,AP18,PMS!C2:C761,"&lt;&gt;"&amp;"",PMS!I2:I761,"Fail")</f>
        <v>0</v>
      </c>
      <c r="AT18" s="31">
        <f t="shared" si="7"/>
        <v>0</v>
      </c>
      <c r="AU18" s="2"/>
      <c r="AV18" s="2"/>
      <c r="AW18" s="2"/>
      <c r="AX18" s="2"/>
    </row>
    <row r="19">
      <c r="A19" s="2"/>
      <c r="C19" s="51" t="s">
        <v>3</v>
      </c>
      <c r="D19" s="14"/>
      <c r="E19" s="15"/>
      <c r="F19" s="52" t="str">
        <f t="shared" si="11"/>
        <v>Test Rate : 100%  With Pass Rate : 84%</v>
      </c>
      <c r="G19" s="14"/>
      <c r="H19" s="14"/>
      <c r="I19" s="14"/>
      <c r="J19" s="15"/>
      <c r="K19" s="2"/>
      <c r="L19" s="24" t="str">
        <f>IFERROR(__xludf.DUMMYFUNCTION("""COMPUTED_VALUE"""),"MOSIP-11719")</f>
        <v>MOSIP-11719</v>
      </c>
      <c r="M19" s="20">
        <f>COUNTIFS('Pre-reg'!A2:A1000,L19,'Pre-reg'!C2:C1000,"&lt;&gt;"&amp;"") </f>
        <v>17</v>
      </c>
      <c r="N19" s="21">
        <f>COUNTIFS('Pre-reg'!A2:A1000,L19,'Pre-reg'!C2:C1000,"&lt;&gt;"&amp;"",'Pre-reg'!H2:H1000,"Pass")</f>
        <v>16</v>
      </c>
      <c r="O19" s="22">
        <f>COUNTIFS('Pre-reg'!A2:A1000,L19,'Pre-reg'!C2:C1000,"&lt;&gt;"&amp;"",'Pre-reg'!H2:H1000,"Fail")</f>
        <v>1</v>
      </c>
      <c r="P19" s="23">
        <f t="shared" si="1"/>
        <v>0</v>
      </c>
      <c r="Q19" s="24" t="str">
        <f>IFERROR(__xludf.DUMMYFUNCTION("""COMPUTED_VALUE"""),"MOSIP-15375")</f>
        <v>MOSIP-15375</v>
      </c>
      <c r="R19" s="39">
        <f>COUNTIFS(RegClient!A2:A983,Q19,RegClient!C2:C983,"&lt;&gt;"&amp;"") </f>
        <v>3</v>
      </c>
      <c r="S19" s="40">
        <f>COUNTIFS(RegClient!A2:A983,Q19,RegClient!C2:C983,"&lt;&gt;"&amp;"",RegClient!I2:I983,"Pass")</f>
        <v>3</v>
      </c>
      <c r="T19" s="37">
        <f>COUNTIFS(RegClient!A2:A983,Q19,RegClient!C2:C983,"&lt;&gt;"&amp;"",RegClient!I2:I983,"Fail)")</f>
        <v>0</v>
      </c>
      <c r="U19" s="26">
        <f t="shared" si="2"/>
        <v>0</v>
      </c>
      <c r="V19" s="24" t="str">
        <f>IFERROR(__xludf.DUMMYFUNCTION("""COMPUTED_VALUE"""),"MOSIP-13118")</f>
        <v>MOSIP-13118</v>
      </c>
      <c r="W19" s="39">
        <f>COUNTIFS(RegProc!A2:A968,V19,RegProc!C2:C968,"&lt;&gt;"&amp;"") </f>
        <v>8</v>
      </c>
      <c r="X19" s="40">
        <f>COUNTIFS(RegProc!A2:A968,V19,RegProc!C2:C968,"&lt;&gt;"&amp;"",RegProc!I2:I968,"Pass")</f>
        <v>7</v>
      </c>
      <c r="Y19" s="37">
        <f>COUNTIFS(RegProc!A2:A968,V19,RegProc!C2:C968,"&lt;&gt;"&amp;"",RegProc!I2:I968,"Fail")</f>
        <v>1</v>
      </c>
      <c r="Z19" s="26">
        <f t="shared" si="3"/>
        <v>0</v>
      </c>
      <c r="AA19" s="3"/>
      <c r="AB19" s="4"/>
      <c r="AC19" s="4"/>
      <c r="AD19" s="5"/>
      <c r="AE19" s="6"/>
      <c r="AF19" s="53" t="str">
        <f>IFERROR(__xludf.DUMMYFUNCTION("""COMPUTED_VALUE"""),"MOSIP-8572")</f>
        <v>MOSIP-8572</v>
      </c>
      <c r="AG19" s="39">
        <f>COUNTIFS(Admin!A2:A1049,AF19,Admin!C2:C1049,"&lt;&gt;"&amp;"") </f>
        <v>2</v>
      </c>
      <c r="AH19" s="40">
        <f>COUNTIFS(Admin!A2:A1049,AF19,Admin!C2:C1049,"&lt;&gt;"&amp;"",Admin!I2:I1049,"Pass")</f>
        <v>0</v>
      </c>
      <c r="AI19" s="37">
        <f>COUNTIFS(Admin!A2:A1049,AF19,Admin!C2:C1049,"&lt;&gt;"&amp;"",Admin!I2:I1049,"Fail")</f>
        <v>2</v>
      </c>
      <c r="AJ19" s="26">
        <f t="shared" si="5"/>
        <v>0</v>
      </c>
      <c r="AK19" s="24" t="str">
        <f>IFERROR(__xludf.DUMMYFUNCTION("""COMPUTED_VALUE"""),"MOSIP-15203")</f>
        <v>MOSIP-15203</v>
      </c>
      <c r="AL19" s="39">
        <f>COUNTIFS(IDA!A2:A1975,AK19,IDA!C2:C1975,"&lt;&gt;"&amp;"") </f>
        <v>6</v>
      </c>
      <c r="AM19" s="40">
        <f>COUNTIFS(IDA!A2:A1975,AK19,IDA!C2:C1975,"&lt;&gt;"&amp;"",IDA!I2:I1975,"Pass")</f>
        <v>5</v>
      </c>
      <c r="AN19" s="37">
        <f>COUNTIFS(IDA!A2:A1975,AK19,IDA!C2:C1975,"&lt;&gt;"&amp;"",IDA!I2:I1975,"Fail")</f>
        <v>1</v>
      </c>
      <c r="AO19" s="26">
        <f t="shared" si="6"/>
        <v>0</v>
      </c>
      <c r="AP19" s="42" t="str">
        <f>IFERROR(__xludf.DUMMYFUNCTION("""COMPUTED_VALUE"""),"MOSIP-11401")</f>
        <v>MOSIP-11401</v>
      </c>
      <c r="AQ19" s="39">
        <f>COUNTIFS(PMS!A2:A761,AP19,PMS!C2:C761,"&lt;&gt;"&amp;"") </f>
        <v>16</v>
      </c>
      <c r="AR19" s="40">
        <f>COUNTIFS(PMS!A2:A761,AP19,PMS!C2:C761,"&lt;&gt;"&amp;"",PMS!I2:I761,"Pass")</f>
        <v>16</v>
      </c>
      <c r="AS19" s="37">
        <f>COUNTIFS(PMS!A2:A761,AP19,PMS!C2:C761,"&lt;&gt;"&amp;"",PMS!I2:I761,"Fail")</f>
        <v>0</v>
      </c>
      <c r="AT19" s="31">
        <f t="shared" si="7"/>
        <v>0</v>
      </c>
      <c r="AU19" s="2"/>
      <c r="AV19" s="2"/>
      <c r="AW19" s="2"/>
      <c r="AX19" s="2"/>
    </row>
    <row r="20">
      <c r="A20" s="2"/>
      <c r="B20" s="2"/>
      <c r="C20" s="51" t="s">
        <v>4</v>
      </c>
      <c r="D20" s="14"/>
      <c r="E20" s="15"/>
      <c r="F20" s="52" t="str">
        <f t="shared" si="11"/>
        <v>Test Rate : 100%  With Pass Rate : 89%</v>
      </c>
      <c r="G20" s="14"/>
      <c r="H20" s="14"/>
      <c r="I20" s="14"/>
      <c r="J20" s="15"/>
      <c r="K20" s="2"/>
      <c r="L20" s="24" t="str">
        <f>IFERROR(__xludf.DUMMYFUNCTION("""COMPUTED_VALUE"""),"MOSIP-17076")</f>
        <v>MOSIP-17076</v>
      </c>
      <c r="M20" s="20">
        <f>COUNTIFS('Pre-reg'!A2:A1000,L20,'Pre-reg'!C2:C1000,"&lt;&gt;"&amp;"") </f>
        <v>11</v>
      </c>
      <c r="N20" s="21">
        <f>COUNTIFS('Pre-reg'!A2:A1000,L20,'Pre-reg'!C2:C1000,"&lt;&gt;"&amp;"",'Pre-reg'!H2:H1000,"Pass")</f>
        <v>11</v>
      </c>
      <c r="O20" s="22">
        <f>COUNTIFS('Pre-reg'!A2:A1000,L20,'Pre-reg'!C2:C1000,"&lt;&gt;"&amp;"",'Pre-reg'!H2:H1000,"Fail")</f>
        <v>0</v>
      </c>
      <c r="P20" s="23">
        <f t="shared" si="1"/>
        <v>0</v>
      </c>
      <c r="Q20" s="24" t="str">
        <f>IFERROR(__xludf.DUMMYFUNCTION("""COMPUTED_VALUE"""),"MOSIP-16334")</f>
        <v>MOSIP-16334</v>
      </c>
      <c r="R20" s="39">
        <f>COUNTIFS(RegClient!A2:A983,Q20,RegClient!C2:C983,"&lt;&gt;"&amp;"") </f>
        <v>12</v>
      </c>
      <c r="S20" s="40">
        <f>COUNTIFS(RegClient!A2:A983,Q20,RegClient!C2:C983,"&lt;&gt;"&amp;"",RegClient!I2:I983,"Pass")</f>
        <v>12</v>
      </c>
      <c r="T20" s="37">
        <f>COUNTIFS(RegClient!A2:A983,Q20,RegClient!C2:C983,"&lt;&gt;"&amp;"",RegClient!I2:I983,"Fail)")</f>
        <v>0</v>
      </c>
      <c r="U20" s="26">
        <f t="shared" si="2"/>
        <v>0</v>
      </c>
      <c r="V20" s="24" t="str">
        <f>IFERROR(__xludf.DUMMYFUNCTION("""COMPUTED_VALUE"""),"MOSIP_15130")</f>
        <v>MOSIP_15130</v>
      </c>
      <c r="W20" s="39">
        <f>COUNTIFS(RegProc!A2:A968,V20,RegProc!C2:C968,"&lt;&gt;"&amp;"") </f>
        <v>32</v>
      </c>
      <c r="X20" s="40">
        <f>COUNTIFS(RegProc!A2:A968,V20,RegProc!C2:C968,"&lt;&gt;"&amp;"",RegProc!I2:I968,"Pass")</f>
        <v>32</v>
      </c>
      <c r="Y20" s="37">
        <f>COUNTIFS(RegProc!A2:A968,V20,RegProc!C2:C968,"&lt;&gt;"&amp;"",RegProc!I2:I968,"Fail")</f>
        <v>0</v>
      </c>
      <c r="Z20" s="26">
        <f t="shared" si="3"/>
        <v>0</v>
      </c>
      <c r="AA20" s="3"/>
      <c r="AB20" s="4"/>
      <c r="AC20" s="4"/>
      <c r="AD20" s="5"/>
      <c r="AE20" s="6"/>
      <c r="AF20" s="53" t="str">
        <f>IFERROR(__xludf.DUMMYFUNCTION("""COMPUTED_VALUE"""),"MOSIP-11647")</f>
        <v>MOSIP-11647</v>
      </c>
      <c r="AG20" s="39">
        <f>COUNTIFS(Admin!A2:A1049,AF20,Admin!C2:C1049,"&lt;&gt;"&amp;"") </f>
        <v>5</v>
      </c>
      <c r="AH20" s="40">
        <f>COUNTIFS(Admin!A2:A1049,AF20,Admin!C2:C1049,"&lt;&gt;"&amp;"",Admin!I2:I1049,"Pass")</f>
        <v>5</v>
      </c>
      <c r="AI20" s="37">
        <f>COUNTIFS(Admin!A2:A1049,AF20,Admin!C2:C1049,"&lt;&gt;"&amp;"",Admin!I2:I1049,"Fail")</f>
        <v>0</v>
      </c>
      <c r="AJ20" s="26">
        <f t="shared" si="5"/>
        <v>0</v>
      </c>
      <c r="AK20" s="24" t="str">
        <f>IFERROR(__xludf.DUMMYFUNCTION("""COMPUTED_VALUE"""),"MOSIP-15206")</f>
        <v>MOSIP-15206</v>
      </c>
      <c r="AL20" s="39">
        <f>COUNTIFS(IDA!A2:A1975,AK20,IDA!C2:C1975,"&lt;&gt;"&amp;"") </f>
        <v>5</v>
      </c>
      <c r="AM20" s="40">
        <f>COUNTIFS(IDA!A2:A1975,AK20,IDA!C2:C1975,"&lt;&gt;"&amp;"",IDA!I2:I1975,"Pass")</f>
        <v>4</v>
      </c>
      <c r="AN20" s="37">
        <f>COUNTIFS(IDA!A2:A1975,AK20,IDA!C2:C1975,"&lt;&gt;"&amp;"",IDA!I2:I1975,"Fail")</f>
        <v>1</v>
      </c>
      <c r="AO20" s="26">
        <f t="shared" si="6"/>
        <v>0</v>
      </c>
      <c r="AP20" s="42" t="str">
        <f>IFERROR(__xludf.DUMMYFUNCTION("""COMPUTED_VALUE"""),"MOSIP- 17920")</f>
        <v>MOSIP- 17920</v>
      </c>
      <c r="AQ20" s="39">
        <f>COUNTIFS(PMS!A2:A761,AP20,PMS!C2:C761,"&lt;&gt;"&amp;"") </f>
        <v>34</v>
      </c>
      <c r="AR20" s="40">
        <f>COUNTIFS(PMS!A2:A761,AP20,PMS!C2:C761,"&lt;&gt;"&amp;"",PMS!I2:I761,"Pass")</f>
        <v>31</v>
      </c>
      <c r="AS20" s="37">
        <f>COUNTIFS(PMS!A2:A761,AP20,PMS!C2:C761,"&lt;&gt;"&amp;"",PMS!I2:I761,"Fail")</f>
        <v>3</v>
      </c>
      <c r="AT20" s="31">
        <f t="shared" si="7"/>
        <v>0</v>
      </c>
      <c r="AU20" s="2"/>
      <c r="AV20" s="2"/>
      <c r="AW20" s="2"/>
      <c r="AX20" s="2"/>
    </row>
    <row r="21">
      <c r="A21" s="2"/>
      <c r="B21" s="2"/>
      <c r="C21" s="51" t="s">
        <v>5</v>
      </c>
      <c r="D21" s="14"/>
      <c r="E21" s="15"/>
      <c r="F21" s="52" t="str">
        <f t="shared" si="11"/>
        <v>Test Rate : 100%  With Pass Rate : 96%</v>
      </c>
      <c r="G21" s="14"/>
      <c r="H21" s="14"/>
      <c r="I21" s="14"/>
      <c r="J21" s="15"/>
      <c r="K21" s="2"/>
      <c r="L21" s="24" t="str">
        <f>IFERROR(__xludf.DUMMYFUNCTION("""COMPUTED_VALUE"""),"MOSIP-17641")</f>
        <v>MOSIP-17641</v>
      </c>
      <c r="M21" s="20">
        <f>COUNTIFS('Pre-reg'!A2:A1000,L21,'Pre-reg'!C2:C1000,"&lt;&gt;"&amp;"") </f>
        <v>8</v>
      </c>
      <c r="N21" s="21">
        <f>COUNTIFS('Pre-reg'!A2:A1000,L21,'Pre-reg'!C2:C1000,"&lt;&gt;"&amp;"",'Pre-reg'!H2:H1000,"Pass")</f>
        <v>8</v>
      </c>
      <c r="O21" s="22">
        <f>COUNTIFS('Pre-reg'!A2:A1000,L21,'Pre-reg'!C2:C1000,"&lt;&gt;"&amp;"",'Pre-reg'!H2:H1000,"Fail")</f>
        <v>0</v>
      </c>
      <c r="P21" s="23">
        <f t="shared" si="1"/>
        <v>0</v>
      </c>
      <c r="Q21" s="24" t="str">
        <f>IFERROR(__xludf.DUMMYFUNCTION("""COMPUTED_VALUE"""),"MOSIP-12162")</f>
        <v>MOSIP-12162</v>
      </c>
      <c r="R21" s="39">
        <f>COUNTIFS(RegClient!A2:A983,Q21,RegClient!C2:C983,"&lt;&gt;"&amp;"") </f>
        <v>13</v>
      </c>
      <c r="S21" s="40">
        <f>COUNTIFS(RegClient!A2:A983,Q21,RegClient!C2:C983,"&lt;&gt;"&amp;"",RegClient!I2:I983,"Pass")</f>
        <v>13</v>
      </c>
      <c r="T21" s="37">
        <f>COUNTIFS(RegClient!A2:A983,Q21,RegClient!C2:C983,"&lt;&gt;"&amp;"",RegClient!I2:I983,"Fail)")</f>
        <v>0</v>
      </c>
      <c r="U21" s="26">
        <f t="shared" si="2"/>
        <v>0</v>
      </c>
      <c r="V21" s="24" t="str">
        <f>IFERROR(__xludf.DUMMYFUNCTION("""COMPUTED_VALUE"""),"MOSIP-15215")</f>
        <v>MOSIP-15215</v>
      </c>
      <c r="W21" s="39">
        <f>COUNTIFS(RegProc!A2:A968,V21,RegProc!C2:C968,"&lt;&gt;"&amp;"") </f>
        <v>5</v>
      </c>
      <c r="X21" s="40">
        <f>COUNTIFS(RegProc!A2:A968,V21,RegProc!C2:C968,"&lt;&gt;"&amp;"",RegProc!I2:I968,"Pass")</f>
        <v>0</v>
      </c>
      <c r="Y21" s="37">
        <f>COUNTIFS(RegProc!A2:A968,V21,RegProc!C2:C968,"&lt;&gt;"&amp;"",RegProc!I2:I968,"Fail")</f>
        <v>5</v>
      </c>
      <c r="Z21" s="26">
        <f t="shared" si="3"/>
        <v>0</v>
      </c>
      <c r="AA21" s="3"/>
      <c r="AB21" s="4"/>
      <c r="AC21" s="4"/>
      <c r="AD21" s="5"/>
      <c r="AE21" s="6"/>
      <c r="AF21" s="53" t="str">
        <f>IFERROR(__xludf.DUMMYFUNCTION("""COMPUTED_VALUE"""),"MOSIP-13761")</f>
        <v>MOSIP-13761</v>
      </c>
      <c r="AG21" s="39">
        <f>COUNTIFS(Admin!A2:A1049,AF21,Admin!C2:C1049,"&lt;&gt;"&amp;"") </f>
        <v>3</v>
      </c>
      <c r="AH21" s="40">
        <f>COUNTIFS(Admin!A2:A1049,AF21,Admin!C2:C1049,"&lt;&gt;"&amp;"",Admin!I2:I1049,"Pass")</f>
        <v>3</v>
      </c>
      <c r="AI21" s="37">
        <f>COUNTIFS(Admin!A2:A1049,AF21,Admin!C2:C1049,"&lt;&gt;"&amp;"",Admin!I2:I1049,"Fail")</f>
        <v>0</v>
      </c>
      <c r="AJ21" s="26">
        <f t="shared" si="5"/>
        <v>0</v>
      </c>
      <c r="AK21" s="24" t="str">
        <f>IFERROR(__xludf.DUMMYFUNCTION("""COMPUTED_VALUE"""),"MOSIP-14738")</f>
        <v>MOSIP-14738</v>
      </c>
      <c r="AL21" s="39">
        <f>COUNTIFS(IDA!A2:A1975,AK21,IDA!C2:C1975,"&lt;&gt;"&amp;"") </f>
        <v>7</v>
      </c>
      <c r="AM21" s="40">
        <f>COUNTIFS(IDA!A2:A1975,AK21,IDA!C2:C1975,"&lt;&gt;"&amp;"",IDA!I2:I1975,"Pass")</f>
        <v>6</v>
      </c>
      <c r="AN21" s="37">
        <f>COUNTIFS(IDA!A2:A1975,AK21,IDA!C2:C1975,"&lt;&gt;"&amp;"",IDA!I2:I1975,"Fail")</f>
        <v>1</v>
      </c>
      <c r="AO21" s="26">
        <f t="shared" si="6"/>
        <v>0</v>
      </c>
      <c r="AP21" s="42" t="str">
        <f>IFERROR(__xludf.DUMMYFUNCTION("""COMPUTED_VALUE"""),"MOSIP-17921")</f>
        <v>MOSIP-17921</v>
      </c>
      <c r="AQ21" s="39">
        <f>COUNTIFS(PMS!A2:A761,AP21,PMS!C2:C761,"&lt;&gt;"&amp;"") </f>
        <v>47</v>
      </c>
      <c r="AR21" s="40">
        <f>COUNTIFS(PMS!A2:A761,AP21,PMS!C2:C761,"&lt;&gt;"&amp;"",PMS!I2:I761,"Pass")</f>
        <v>44</v>
      </c>
      <c r="AS21" s="37">
        <f>COUNTIFS(PMS!A2:A761,AP21,PMS!C2:C761,"&lt;&gt;"&amp;"",PMS!I2:I761,"Fail")</f>
        <v>3</v>
      </c>
      <c r="AT21" s="31">
        <f t="shared" si="7"/>
        <v>0</v>
      </c>
      <c r="AU21" s="2"/>
      <c r="AV21" s="2"/>
      <c r="AW21" s="2"/>
      <c r="AX21" s="2"/>
    </row>
    <row r="22">
      <c r="A22" s="2"/>
      <c r="B22" s="2"/>
      <c r="C22" s="51" t="s">
        <v>6</v>
      </c>
      <c r="D22" s="14"/>
      <c r="E22" s="15"/>
      <c r="F22" s="52" t="str">
        <f t="shared" si="11"/>
        <v>Test Rate : 100%  With Pass Rate : 96%</v>
      </c>
      <c r="G22" s="14"/>
      <c r="H22" s="14"/>
      <c r="I22" s="14"/>
      <c r="J22" s="15"/>
      <c r="K22" s="2"/>
      <c r="L22" s="24" t="str">
        <f>IFERROR(__xludf.DUMMYFUNCTION("""COMPUTED_VALUE"""),"MOSIP-10946")</f>
        <v>MOSIP-10946</v>
      </c>
      <c r="M22" s="20">
        <f>COUNTIFS('Pre-reg'!A2:A1000,L22,'Pre-reg'!C2:C1000,"&lt;&gt;"&amp;"") </f>
        <v>4</v>
      </c>
      <c r="N22" s="21">
        <f>COUNTIFS('Pre-reg'!A2:A1000,L22,'Pre-reg'!C2:C1000,"&lt;&gt;"&amp;"",'Pre-reg'!H2:H1000,"Pass")</f>
        <v>4</v>
      </c>
      <c r="O22" s="22">
        <f>COUNTIFS('Pre-reg'!A2:A1000,L22,'Pre-reg'!C2:C1000,"&lt;&gt;"&amp;"",'Pre-reg'!H2:H1000,"Fail")</f>
        <v>0</v>
      </c>
      <c r="P22" s="23">
        <f t="shared" si="1"/>
        <v>0</v>
      </c>
      <c r="Q22" s="24" t="str">
        <f>IFERROR(__xludf.DUMMYFUNCTION("""COMPUTED_VALUE"""),"MOSIP-11510")</f>
        <v>MOSIP-11510</v>
      </c>
      <c r="R22" s="39">
        <f>COUNTIFS(RegClient!A2:A983,Q22,RegClient!C2:C983,"&lt;&gt;"&amp;"") </f>
        <v>7</v>
      </c>
      <c r="S22" s="40">
        <f>COUNTIFS(RegClient!A2:A983,Q22,RegClient!C2:C983,"&lt;&gt;"&amp;"",RegClient!I2:I983,"Pass")</f>
        <v>7</v>
      </c>
      <c r="T22" s="37">
        <f>COUNTIFS(RegClient!A2:A983,Q22,RegClient!C2:C983,"&lt;&gt;"&amp;"",RegClient!I2:I983,"Fail)")</f>
        <v>0</v>
      </c>
      <c r="U22" s="26">
        <f t="shared" si="2"/>
        <v>0</v>
      </c>
      <c r="V22" s="24" t="str">
        <f>IFERROR(__xludf.DUMMYFUNCTION("""COMPUTED_VALUE"""),"MOSIP-13091")</f>
        <v>MOSIP-13091</v>
      </c>
      <c r="W22" s="39">
        <f>COUNTIFS(RegProc!A2:A968,V22,RegProc!C2:C968,"&lt;&gt;"&amp;"") </f>
        <v>11</v>
      </c>
      <c r="X22" s="40">
        <f>COUNTIFS(RegProc!A2:A968,V22,RegProc!C2:C968,"&lt;&gt;"&amp;"",RegProc!I2:I968,"Pass")</f>
        <v>11</v>
      </c>
      <c r="Y22" s="37">
        <f>COUNTIFS(RegProc!A2:A968,V22,RegProc!C2:C968,"&lt;&gt;"&amp;"",RegProc!I2:I968,"Fail")</f>
        <v>0</v>
      </c>
      <c r="Z22" s="26">
        <f t="shared" si="3"/>
        <v>0</v>
      </c>
      <c r="AA22" s="3"/>
      <c r="AB22" s="4"/>
      <c r="AC22" s="4"/>
      <c r="AD22" s="5"/>
      <c r="AE22" s="6"/>
      <c r="AF22" s="53" t="str">
        <f>IFERROR(__xludf.DUMMYFUNCTION("""COMPUTED_VALUE"""),"MOSIP-8938")</f>
        <v>MOSIP-8938</v>
      </c>
      <c r="AG22" s="39">
        <f>COUNTIFS(Admin!A2:A1049,AF22,Admin!C2:C1049,"&lt;&gt;"&amp;"") </f>
        <v>2</v>
      </c>
      <c r="AH22" s="40">
        <f>COUNTIFS(Admin!A2:A1049,AF22,Admin!C2:C1049,"&lt;&gt;"&amp;"",Admin!I2:I1049,"Pass")</f>
        <v>2</v>
      </c>
      <c r="AI22" s="37">
        <f>COUNTIFS(Admin!A2:A1049,AF22,Admin!C2:C1049,"&lt;&gt;"&amp;"",Admin!I2:I1049,"Fail")</f>
        <v>0</v>
      </c>
      <c r="AJ22" s="26">
        <f t="shared" si="5"/>
        <v>0</v>
      </c>
      <c r="AK22" s="24" t="str">
        <f>IFERROR(__xludf.DUMMYFUNCTION("""COMPUTED_VALUE"""),"MOSIP-15190")</f>
        <v>MOSIP-15190</v>
      </c>
      <c r="AL22" s="39">
        <f>COUNTIFS(IDA!A2:A1975,AK22,IDA!C2:C1975,"&lt;&gt;"&amp;"") </f>
        <v>2</v>
      </c>
      <c r="AM22" s="40">
        <f>COUNTIFS(IDA!A2:A1975,AK22,IDA!C2:C1975,"&lt;&gt;"&amp;"",IDA!I2:I1975,"Pass")</f>
        <v>2</v>
      </c>
      <c r="AN22" s="37">
        <f>COUNTIFS(IDA!A2:A1975,AK22,IDA!C2:C1975,"&lt;&gt;"&amp;"",IDA!I2:I1975,"Fail")</f>
        <v>0</v>
      </c>
      <c r="AO22" s="26">
        <f t="shared" si="6"/>
        <v>0</v>
      </c>
      <c r="AP22" s="42" t="str">
        <f>IFERROR(__xludf.DUMMYFUNCTION("""COMPUTED_VALUE"""),"MOSIP- 17959")</f>
        <v>MOSIP- 17959</v>
      </c>
      <c r="AQ22" s="39">
        <f>COUNTIFS(PMS!A2:A761,AP22,PMS!C2:C761,"&lt;&gt;"&amp;"") </f>
        <v>44</v>
      </c>
      <c r="AR22" s="40">
        <f>COUNTIFS(PMS!A2:A761,AP22,PMS!C2:C761,"&lt;&gt;"&amp;"",PMS!I2:I761,"Pass")</f>
        <v>40</v>
      </c>
      <c r="AS22" s="37">
        <f>COUNTIFS(PMS!A2:A761,AP22,PMS!C2:C761,"&lt;&gt;"&amp;"",PMS!I2:I761,"Fail")</f>
        <v>4</v>
      </c>
      <c r="AT22" s="31">
        <f t="shared" si="7"/>
        <v>0</v>
      </c>
      <c r="AU22" s="2"/>
      <c r="AV22" s="2"/>
      <c r="AW22" s="2"/>
      <c r="AX22" s="2"/>
    </row>
    <row r="23">
      <c r="A23" s="2"/>
      <c r="B23" s="2"/>
      <c r="G23" s="2"/>
      <c r="H23" s="2"/>
      <c r="I23" s="2"/>
      <c r="J23" s="2"/>
      <c r="K23" s="2"/>
      <c r="L23" s="42" t="str">
        <f>IFERROR(__xludf.DUMMYFUNCTION("""COMPUTED_VALUE"""),"MOSIP_10807")</f>
        <v>MOSIP_10807</v>
      </c>
      <c r="M23" s="20">
        <f>COUNTIFS('Pre-reg'!A2:A1000,L23,'Pre-reg'!C2:C1000,"&lt;&gt;"&amp;"") </f>
        <v>8</v>
      </c>
      <c r="N23" s="21">
        <f>COUNTIFS('Pre-reg'!A2:A1000,L23,'Pre-reg'!C2:C1000,"&lt;&gt;"&amp;"",'Pre-reg'!H2:H1000,"Pass")</f>
        <v>8</v>
      </c>
      <c r="O23" s="22">
        <f>COUNTIFS('Pre-reg'!A2:A1000,L23,'Pre-reg'!C2:C1000,"&lt;&gt;"&amp;"",'Pre-reg'!H2:H1000,"Fail")</f>
        <v>0</v>
      </c>
      <c r="P23" s="23">
        <f t="shared" si="1"/>
        <v>0</v>
      </c>
      <c r="Q23" s="24" t="str">
        <f>IFERROR(__xludf.DUMMYFUNCTION("""COMPUTED_VALUE"""),"MOSIP-11295")</f>
        <v>MOSIP-11295</v>
      </c>
      <c r="R23" s="39">
        <f>COUNTIFS(RegClient!A2:A983,Q23,RegClient!C2:C983,"&lt;&gt;"&amp;"") </f>
        <v>5</v>
      </c>
      <c r="S23" s="40">
        <f>COUNTIFS(RegClient!A2:A983,Q23,RegClient!C2:C983,"&lt;&gt;"&amp;"",RegClient!I2:I983,"Pass")</f>
        <v>5</v>
      </c>
      <c r="T23" s="37">
        <f>COUNTIFS(RegClient!A2:A983,Q23,RegClient!C2:C983,"&lt;&gt;"&amp;"",RegClient!I2:I983,"Fail)")</f>
        <v>0</v>
      </c>
      <c r="U23" s="26">
        <f t="shared" si="2"/>
        <v>0</v>
      </c>
      <c r="V23" s="24" t="str">
        <f>IFERROR(__xludf.DUMMYFUNCTION("""COMPUTED_VALUE"""),"MOSIP-13087")</f>
        <v>MOSIP-13087</v>
      </c>
      <c r="W23" s="39">
        <f>COUNTIFS(RegProc!A2:A968,V23,RegProc!C2:C968,"&lt;&gt;"&amp;"") </f>
        <v>20</v>
      </c>
      <c r="X23" s="40">
        <f>COUNTIFS(RegProc!A2:A968,V23,RegProc!C2:C968,"&lt;&gt;"&amp;"",RegProc!I2:I968,"Pass")</f>
        <v>20</v>
      </c>
      <c r="Y23" s="37">
        <f>COUNTIFS(RegProc!A2:A968,V23,RegProc!C2:C968,"&lt;&gt;"&amp;"",RegProc!I2:I968,"Fail")</f>
        <v>0</v>
      </c>
      <c r="Z23" s="26">
        <f t="shared" si="3"/>
        <v>0</v>
      </c>
      <c r="AA23" s="3"/>
      <c r="AB23" s="4"/>
      <c r="AC23" s="4"/>
      <c r="AD23" s="5"/>
      <c r="AE23" s="6"/>
      <c r="AF23" s="53" t="str">
        <f>IFERROR(__xludf.DUMMYFUNCTION("""COMPUTED_VALUE"""),"MOSIP-8530")</f>
        <v>MOSIP-8530</v>
      </c>
      <c r="AG23" s="39">
        <f>COUNTIFS(Admin!A2:A1049,AF23,Admin!C2:C1049,"&lt;&gt;"&amp;"") </f>
        <v>28</v>
      </c>
      <c r="AH23" s="40">
        <f>COUNTIFS(Admin!A2:A1049,AF23,Admin!C2:C1049,"&lt;&gt;"&amp;"",Admin!I2:I1049,"Pass")</f>
        <v>23</v>
      </c>
      <c r="AI23" s="37">
        <f>COUNTIFS(Admin!A2:A1049,AF23,Admin!C2:C1049,"&lt;&gt;"&amp;"",Admin!I2:I1049,"Fail")</f>
        <v>5</v>
      </c>
      <c r="AJ23" s="26">
        <f t="shared" si="5"/>
        <v>0</v>
      </c>
      <c r="AK23" s="24" t="str">
        <f>IFERROR(__xludf.DUMMYFUNCTION("""COMPUTED_VALUE"""),"MOSIP-11851")</f>
        <v>MOSIP-11851</v>
      </c>
      <c r="AL23" s="39">
        <f>COUNTIFS(IDA!A2:A1975,AK23,IDA!C2:C1975,"&lt;&gt;"&amp;"") </f>
        <v>41</v>
      </c>
      <c r="AM23" s="40">
        <f>COUNTIFS(IDA!A2:A1975,AK23,IDA!C2:C1975,"&lt;&gt;"&amp;"",IDA!I2:I1975,"Pass")</f>
        <v>41</v>
      </c>
      <c r="AN23" s="37">
        <f>COUNTIFS(IDA!A2:A1975,AK23,IDA!C2:C1975,"&lt;&gt;"&amp;"",IDA!I2:I1975,"Fail")</f>
        <v>0</v>
      </c>
      <c r="AO23" s="26">
        <f t="shared" si="6"/>
        <v>0</v>
      </c>
      <c r="AP23" s="42" t="str">
        <f>IFERROR(__xludf.DUMMYFUNCTION("""COMPUTED_VALUE"""),"MOSIP-18350")</f>
        <v>MOSIP-18350</v>
      </c>
      <c r="AQ23" s="39">
        <f>COUNTIFS(PMS!A2:A761,AP23,PMS!C2:C761,"&lt;&gt;"&amp;"") </f>
        <v>18</v>
      </c>
      <c r="AR23" s="40">
        <f>COUNTIFS(PMS!A2:A761,AP23,PMS!C2:C761,"&lt;&gt;"&amp;"",PMS!I2:I761,"Pass")</f>
        <v>17</v>
      </c>
      <c r="AS23" s="37">
        <f>COUNTIFS(PMS!A2:A761,AP23,PMS!C2:C761,"&lt;&gt;"&amp;"",PMS!I2:I761,"Fail")</f>
        <v>1</v>
      </c>
      <c r="AT23" s="31">
        <f t="shared" si="7"/>
        <v>0</v>
      </c>
      <c r="AU23" s="2"/>
      <c r="AV23" s="2"/>
      <c r="AW23" s="2"/>
      <c r="AX23" s="2"/>
    </row>
    <row r="24">
      <c r="A24" s="2"/>
      <c r="B24" s="2"/>
      <c r="C24" s="2"/>
      <c r="D24" s="2"/>
      <c r="E24" s="2"/>
      <c r="F24" s="2"/>
      <c r="G24" s="2"/>
      <c r="H24" s="2"/>
      <c r="I24" s="2"/>
      <c r="J24" s="2"/>
      <c r="K24" s="2"/>
      <c r="L24" s="42" t="str">
        <f>IFERROR(__xludf.DUMMYFUNCTION("""COMPUTED_VALUE"""),"MOSIP-10812")</f>
        <v>MOSIP-10812</v>
      </c>
      <c r="M24" s="54">
        <f>COUNTIFS('Pre-reg'!A2:A1000,L24,'Pre-reg'!C2:C1000,"&lt;&gt;"&amp;"") </f>
        <v>1</v>
      </c>
      <c r="N24" s="40">
        <f>COUNTIFS('Pre-reg'!A2:A1000,L24,'Pre-reg'!C2:C1000,"&lt;&gt;"&amp;"",'Pre-reg'!H2:H1000,"Pass")</f>
        <v>1</v>
      </c>
      <c r="O24" s="37">
        <f>COUNTIFS('Pre-reg'!A2:A1000,L24,'Pre-reg'!C2:C1000,"&lt;&gt;"&amp;"",'Pre-reg'!H2:H1000,"Fail")</f>
        <v>0</v>
      </c>
      <c r="P24" s="23">
        <f t="shared" si="1"/>
        <v>0</v>
      </c>
      <c r="Q24" s="24" t="str">
        <f>IFERROR(__xludf.DUMMYFUNCTION("""COMPUTED_VALUE"""),"MOSIP-10804")</f>
        <v>MOSIP-10804</v>
      </c>
      <c r="R24" s="39">
        <f>COUNTIFS(RegClient!A2:A983,Q24,RegClient!C2:C983,"&lt;&gt;"&amp;"") </f>
        <v>2</v>
      </c>
      <c r="S24" s="40">
        <f>COUNTIFS(RegClient!A2:A983,Q24,RegClient!C2:C983,"&lt;&gt;"&amp;"",RegClient!I2:I983,"Pass")</f>
        <v>2</v>
      </c>
      <c r="T24" s="37">
        <f>COUNTIFS(RegClient!A2:A983,Q24,RegClient!C2:C983,"&lt;&gt;"&amp;"",RegClient!I2:I983,"Fail)")</f>
        <v>0</v>
      </c>
      <c r="U24" s="26">
        <f t="shared" si="2"/>
        <v>0</v>
      </c>
      <c r="V24" s="24" t="str">
        <f>IFERROR(__xludf.DUMMYFUNCTION("""COMPUTED_VALUE"""),"MOSIP-12427")</f>
        <v>MOSIP-12427</v>
      </c>
      <c r="W24" s="39">
        <f>COUNTIFS(RegProc!A2:A968,V24,RegProc!C2:C968,"&lt;&gt;"&amp;"") </f>
        <v>4</v>
      </c>
      <c r="X24" s="40">
        <f>COUNTIFS(RegProc!A2:A968,V24,RegProc!C2:C968,"&lt;&gt;"&amp;"",RegProc!I2:I968,"Pass")</f>
        <v>4</v>
      </c>
      <c r="Y24" s="37">
        <f>COUNTIFS(RegProc!A2:A968,V24,RegProc!C2:C968,"&lt;&gt;"&amp;"",RegProc!I2:I968,"Fail")</f>
        <v>0</v>
      </c>
      <c r="Z24" s="26">
        <f t="shared" si="3"/>
        <v>0</v>
      </c>
      <c r="AA24" s="55"/>
      <c r="AB24" s="56"/>
      <c r="AC24" s="56"/>
      <c r="AD24" s="56"/>
      <c r="AE24" s="57"/>
      <c r="AF24" s="53" t="str">
        <f>IFERROR(__xludf.DUMMYFUNCTION("""COMPUTED_VALUE"""),"MOSIP-12430")</f>
        <v>MOSIP-12430</v>
      </c>
      <c r="AG24" s="39">
        <f>COUNTIFS(Admin!A2:A1049,AF24,Admin!C2:C1049,"&lt;&gt;"&amp;"") </f>
        <v>13</v>
      </c>
      <c r="AH24" s="40">
        <f>COUNTIFS(Admin!A2:A1049,AF24,Admin!C2:C1049,"&lt;&gt;"&amp;"",Admin!I2:I1049,"Pass")</f>
        <v>11</v>
      </c>
      <c r="AI24" s="37">
        <f>COUNTIFS(Admin!A2:A1049,AF24,Admin!C2:C1049,"&lt;&gt;"&amp;"",Admin!I2:I1049,"Fail")</f>
        <v>2</v>
      </c>
      <c r="AJ24" s="26">
        <f t="shared" si="5"/>
        <v>0</v>
      </c>
      <c r="AK24" s="24" t="str">
        <f>IFERROR(__xludf.DUMMYFUNCTION("""COMPUTED_VALUE"""),"MOSIP- 7333")</f>
        <v>MOSIP- 7333</v>
      </c>
      <c r="AL24" s="39">
        <f>COUNTIFS(IDA!A2:A1975,AK24,IDA!C2:C1975,"&lt;&gt;"&amp;"") </f>
        <v>9</v>
      </c>
      <c r="AM24" s="40">
        <f>COUNTIFS(IDA!A2:A1975,AK24,IDA!C2:C1975,"&lt;&gt;"&amp;"",IDA!I2:I1975,"Pass")</f>
        <v>9</v>
      </c>
      <c r="AN24" s="37">
        <f>COUNTIFS(IDA!A2:A1975,AK24,IDA!C2:C1975,"&lt;&gt;"&amp;"",IDA!I2:I1975,"Fail")</f>
        <v>0</v>
      </c>
      <c r="AO24" s="26">
        <f t="shared" si="6"/>
        <v>0</v>
      </c>
      <c r="AP24" s="42" t="str">
        <f>IFERROR(__xludf.DUMMYFUNCTION("""COMPUTED_VALUE"""),"MOSIP-12001")</f>
        <v>MOSIP-12001</v>
      </c>
      <c r="AQ24" s="39">
        <f>COUNTIFS(PMS!A2:A761,AP24,PMS!C2:C761,"&lt;&gt;"&amp;"") </f>
        <v>16</v>
      </c>
      <c r="AR24" s="40">
        <f>COUNTIFS(PMS!A2:A761,AP24,PMS!C2:C761,"&lt;&gt;"&amp;"",PMS!I2:I761,"Pass")</f>
        <v>15</v>
      </c>
      <c r="AS24" s="37">
        <f>COUNTIFS(PMS!A2:A761,AP24,PMS!C2:C761,"&lt;&gt;"&amp;"",PMS!I2:I761,"Fail")</f>
        <v>1</v>
      </c>
      <c r="AT24" s="31">
        <f t="shared" si="7"/>
        <v>0</v>
      </c>
      <c r="AU24" s="2"/>
      <c r="AV24" s="2"/>
      <c r="AW24" s="2"/>
      <c r="AX24" s="2"/>
    </row>
    <row r="25">
      <c r="A25" s="2"/>
      <c r="B25" s="58" t="str">
        <f>"Functional Testing -  Stories Verified : " &amp; C13-D13</f>
        <v>Functional Testing -  Stories Verified : 253</v>
      </c>
      <c r="C25" s="59"/>
      <c r="D25" s="59"/>
      <c r="E25" s="59"/>
      <c r="F25" s="59"/>
      <c r="G25" s="59"/>
      <c r="H25" s="59"/>
      <c r="I25" s="59"/>
      <c r="J25" s="60"/>
      <c r="K25" s="2"/>
      <c r="L25" s="42" t="str">
        <f>IFERROR(__xludf.DUMMYFUNCTION("""COMPUTED_VALUE"""),"MOSIP-10951")</f>
        <v>MOSIP-10951</v>
      </c>
      <c r="M25" s="54">
        <f>COUNTIFS('Pre-reg'!A2:A1000,L25,'Pre-reg'!C2:C1000,"&lt;&gt;"&amp;"") </f>
        <v>2</v>
      </c>
      <c r="N25" s="40">
        <f>COUNTIFS('Pre-reg'!A2:A1000,L25,'Pre-reg'!C2:C1000,"&lt;&gt;"&amp;"",'Pre-reg'!H2:H1000,"Pass")</f>
        <v>2</v>
      </c>
      <c r="O25" s="37">
        <f>COUNTIFS('Pre-reg'!A2:A1000,L25,'Pre-reg'!C2:C1000,"&lt;&gt;"&amp;"",'Pre-reg'!H2:H1000,"Fail")</f>
        <v>0</v>
      </c>
      <c r="P25" s="23">
        <f t="shared" si="1"/>
        <v>0</v>
      </c>
      <c r="Q25" s="24" t="str">
        <f>IFERROR(__xludf.DUMMYFUNCTION("""COMPUTED_VALUE"""),"MOSIP-10817")</f>
        <v>MOSIP-10817</v>
      </c>
      <c r="R25" s="39">
        <f>COUNTIFS(RegClient!A2:A983,Q25,RegClient!C2:C983,"&lt;&gt;"&amp;"") </f>
        <v>11</v>
      </c>
      <c r="S25" s="40">
        <f>COUNTIFS(RegClient!A2:A983,Q25,RegClient!C2:C983,"&lt;&gt;"&amp;"",RegClient!I2:I983,"Pass")</f>
        <v>11</v>
      </c>
      <c r="T25" s="37">
        <f>COUNTIFS(RegClient!A2:A983,Q25,RegClient!C2:C983,"&lt;&gt;"&amp;"",RegClient!I2:I983,"Fail)")</f>
        <v>0</v>
      </c>
      <c r="U25" s="26">
        <f t="shared" si="2"/>
        <v>0</v>
      </c>
      <c r="V25" s="24" t="str">
        <f>IFERROR(__xludf.DUMMYFUNCTION("""COMPUTED_VALUE"""),"MOSIP-11499")</f>
        <v>MOSIP-11499</v>
      </c>
      <c r="W25" s="39">
        <f>COUNTIFS(RegProc!A2:A968,V25,RegProc!C2:C968,"&lt;&gt;"&amp;"") </f>
        <v>4</v>
      </c>
      <c r="X25" s="40">
        <f>COUNTIFS(RegProc!A2:A968,V25,RegProc!C2:C968,"&lt;&gt;"&amp;"",RegProc!I2:I968,"Pass")</f>
        <v>4</v>
      </c>
      <c r="Y25" s="37">
        <f>COUNTIFS(RegProc!A2:A968,V25,RegProc!C2:C968,"&lt;&gt;"&amp;"",RegProc!I2:I968,"Fail")</f>
        <v>0</v>
      </c>
      <c r="Z25" s="26">
        <f t="shared" si="3"/>
        <v>0</v>
      </c>
      <c r="AA25" s="55"/>
      <c r="AB25" s="56"/>
      <c r="AC25" s="56"/>
      <c r="AD25" s="56"/>
      <c r="AE25" s="57"/>
      <c r="AF25" s="3"/>
      <c r="AG25" s="2"/>
      <c r="AH25" s="2"/>
      <c r="AI25" s="2"/>
      <c r="AJ25" s="2"/>
      <c r="AK25" s="24" t="str">
        <f>IFERROR(__xludf.DUMMYFUNCTION("""COMPUTED_VALUE"""),"MOSIP-14739")</f>
        <v>MOSIP-14739</v>
      </c>
      <c r="AL25" s="39">
        <f>COUNTIFS(IDA!A2:A1975,AK25,IDA!C2:C1975,"&lt;&gt;"&amp;"") </f>
        <v>1</v>
      </c>
      <c r="AM25" s="40">
        <f>COUNTIFS(IDA!A2:A1975,AK25,IDA!C2:C1975,"&lt;&gt;"&amp;"",IDA!I2:I1975,"Pass")</f>
        <v>1</v>
      </c>
      <c r="AN25" s="37">
        <f>COUNTIFS(IDA!A2:A1975,AK25,IDA!C2:C1975,"&lt;&gt;"&amp;"",IDA!I2:I1975,"Fail")</f>
        <v>0</v>
      </c>
      <c r="AO25" s="26">
        <f t="shared" si="6"/>
        <v>0</v>
      </c>
      <c r="AP25" s="55"/>
      <c r="AQ25" s="56"/>
      <c r="AR25" s="56"/>
      <c r="AS25" s="56"/>
      <c r="AT25" s="57"/>
      <c r="AU25" s="2"/>
      <c r="AV25" s="2"/>
      <c r="AW25" s="2"/>
      <c r="AX25" s="2"/>
    </row>
    <row r="26">
      <c r="A26" s="2"/>
      <c r="B26" s="61" t="str">
        <f>"                 Test cases : " &amp; E13 &amp; "  Passed : " &amp; H13 &amp; "    Failed : " &amp; I13 &amp; "   Skipped : " &amp; J13</f>
        <v>                 Test cases : 4283  Passed : 4024    Failed : 259   Skipped : 0</v>
      </c>
      <c r="J26" s="62"/>
      <c r="K26" s="2"/>
      <c r="L26" s="42" t="str">
        <f>IFERROR(__xludf.DUMMYFUNCTION("""COMPUTED_VALUE"""),"MOSIP-10958")</f>
        <v>MOSIP-10958</v>
      </c>
      <c r="M26" s="54">
        <f>COUNTIFS('Pre-reg'!A2:A1000,L26,'Pre-reg'!C2:C1000,"&lt;&gt;"&amp;"") </f>
        <v>8</v>
      </c>
      <c r="N26" s="40">
        <f>COUNTIFS('Pre-reg'!A2:A1000,L26,'Pre-reg'!C2:C1000,"&lt;&gt;"&amp;"",'Pre-reg'!H2:H1000,"Pass")</f>
        <v>8</v>
      </c>
      <c r="O26" s="37">
        <f>COUNTIFS('Pre-reg'!A2:A1000,L26,'Pre-reg'!C2:C1000,"&lt;&gt;"&amp;"",'Pre-reg'!H2:H1000,"Fail")</f>
        <v>0</v>
      </c>
      <c r="P26" s="23">
        <f t="shared" si="1"/>
        <v>0</v>
      </c>
      <c r="Q26" s="24" t="str">
        <f>IFERROR(__xludf.DUMMYFUNCTION("""COMPUTED_VALUE"""),"MOSIP-10703")</f>
        <v>MOSIP-10703</v>
      </c>
      <c r="R26" s="39">
        <f>COUNTIFS(RegClient!A2:A983,Q26,RegClient!C2:C983,"&lt;&gt;"&amp;"") </f>
        <v>5</v>
      </c>
      <c r="S26" s="40">
        <f>COUNTIFS(RegClient!A2:A983,Q26,RegClient!C2:C983,"&lt;&gt;"&amp;"",RegClient!I2:I983,"Pass")</f>
        <v>5</v>
      </c>
      <c r="T26" s="37">
        <f>COUNTIFS(RegClient!A2:A983,Q26,RegClient!C2:C983,"&lt;&gt;"&amp;"",RegClient!I2:I983,"Fail)")</f>
        <v>0</v>
      </c>
      <c r="U26" s="26">
        <f t="shared" si="2"/>
        <v>0</v>
      </c>
      <c r="V26" s="24" t="str">
        <f>IFERROR(__xludf.DUMMYFUNCTION("""COMPUTED_VALUE"""),"MOSIP-11260")</f>
        <v>MOSIP-11260</v>
      </c>
      <c r="W26" s="39">
        <f>COUNTIFS(RegProc!A2:A968,V26,RegProc!C2:C968,"&lt;&gt;"&amp;"") </f>
        <v>4</v>
      </c>
      <c r="X26" s="40">
        <f>COUNTIFS(RegProc!A2:A968,V26,RegProc!C2:C968,"&lt;&gt;"&amp;"",RegProc!I2:I968,"Pass")</f>
        <v>2</v>
      </c>
      <c r="Y26" s="37">
        <f>COUNTIFS(RegProc!A2:A968,V26,RegProc!C2:C968,"&lt;&gt;"&amp;"",RegProc!I2:I968,"Fail")</f>
        <v>2</v>
      </c>
      <c r="Z26" s="26">
        <f t="shared" si="3"/>
        <v>0</v>
      </c>
      <c r="AA26" s="55"/>
      <c r="AB26" s="56"/>
      <c r="AC26" s="56"/>
      <c r="AD26" s="56"/>
      <c r="AE26" s="57"/>
      <c r="AF26" s="55"/>
      <c r="AG26" s="56"/>
      <c r="AH26" s="56"/>
      <c r="AI26" s="56"/>
      <c r="AJ26" s="57"/>
      <c r="AK26" s="24" t="str">
        <f>IFERROR(__xludf.DUMMYFUNCTION("""COMPUTED_VALUE"""),"MOSIP-15100")</f>
        <v>MOSIP-15100</v>
      </c>
      <c r="AL26" s="39">
        <f>COUNTIFS(IDA!A2:A1975,AK26,IDA!C2:C1975,"&lt;&gt;"&amp;"") </f>
        <v>17</v>
      </c>
      <c r="AM26" s="40">
        <f>COUNTIFS(IDA!A2:A1975,AK26,IDA!C2:C1975,"&lt;&gt;"&amp;"",IDA!I2:I1975,"Pass")</f>
        <v>17</v>
      </c>
      <c r="AN26" s="37">
        <f>COUNTIFS(IDA!A2:A1975,AK26,IDA!C2:C1975,"&lt;&gt;"&amp;"",IDA!I2:I1975,"Fail")</f>
        <v>0</v>
      </c>
      <c r="AO26" s="26">
        <f t="shared" si="6"/>
        <v>0</v>
      </c>
      <c r="AP26" s="55"/>
      <c r="AQ26" s="56"/>
      <c r="AR26" s="56"/>
      <c r="AS26" s="56"/>
      <c r="AT26" s="57"/>
      <c r="AU26" s="2"/>
      <c r="AV26" s="2"/>
      <c r="AW26" s="2"/>
      <c r="AX26" s="2"/>
    </row>
    <row r="27">
      <c r="A27" s="2"/>
      <c r="B27" s="63" t="str">
        <f>"                 Test Rate : " &amp; INT((((H13+I13)/E13)*100)) &amp; "%    With Pass Rate : " &amp; INT((H13/(H13+I13))*100)  &amp; "%"</f>
        <v>                 Test Rate : 100%    With Pass Rate : 93%</v>
      </c>
      <c r="C27" s="64"/>
      <c r="D27" s="64"/>
      <c r="E27" s="64"/>
      <c r="F27" s="64"/>
      <c r="G27" s="64"/>
      <c r="H27" s="64"/>
      <c r="I27" s="64"/>
      <c r="J27" s="65"/>
      <c r="K27" s="2"/>
      <c r="L27" s="42" t="str">
        <f>IFERROR(__xludf.DUMMYFUNCTION("""COMPUTED_VALUE"""),"MOSIP-10959")</f>
        <v>MOSIP-10959</v>
      </c>
      <c r="M27" s="54">
        <f>COUNTIFS('Pre-reg'!A2:A1000,L27,'Pre-reg'!C2:C1000,"&lt;&gt;"&amp;"") </f>
        <v>5</v>
      </c>
      <c r="N27" s="40">
        <f>COUNTIFS('Pre-reg'!A2:A1000,L27,'Pre-reg'!C2:C1000,"&lt;&gt;"&amp;"",'Pre-reg'!H2:H1000,"Pass")</f>
        <v>5</v>
      </c>
      <c r="O27" s="37">
        <f>COUNTIFS('Pre-reg'!A2:A1000,L27,'Pre-reg'!C2:C1000,"&lt;&gt;"&amp;"",'Pre-reg'!H2:H1000,"Fail")</f>
        <v>0</v>
      </c>
      <c r="P27" s="23">
        <f t="shared" si="1"/>
        <v>0</v>
      </c>
      <c r="Q27" s="24" t="str">
        <f>IFERROR(__xludf.DUMMYFUNCTION("""COMPUTED_VALUE"""),"MOSIP-15319")</f>
        <v>MOSIP-15319</v>
      </c>
      <c r="R27" s="39">
        <f>COUNTIFS(RegClient!A2:A983,Q27,RegClient!C2:C983,"&lt;&gt;"&amp;"") </f>
        <v>6</v>
      </c>
      <c r="S27" s="40">
        <f>COUNTIFS(RegClient!A2:A983,Q27,RegClient!C2:C983,"&lt;&gt;"&amp;"",RegClient!I2:I983,"Pass")</f>
        <v>6</v>
      </c>
      <c r="T27" s="37">
        <f>COUNTIFS(RegClient!A2:A983,Q27,RegClient!C2:C983,"&lt;&gt;"&amp;"",RegClient!I2:I983,"Fail)")</f>
        <v>0</v>
      </c>
      <c r="U27" s="26">
        <f t="shared" si="2"/>
        <v>0</v>
      </c>
      <c r="V27" s="24" t="str">
        <f>IFERROR(__xludf.DUMMYFUNCTION("""COMPUTED_VALUE"""),"MOSIP-11244")</f>
        <v>MOSIP-11244</v>
      </c>
      <c r="W27" s="39">
        <f>COUNTIFS(RegProc!A2:A968,V27,RegProc!C2:C968,"&lt;&gt;"&amp;"") </f>
        <v>8</v>
      </c>
      <c r="X27" s="40">
        <f>COUNTIFS(RegProc!A2:A968,V27,RegProc!C2:C968,"&lt;&gt;"&amp;"",RegProc!I2:I968,"Pass")</f>
        <v>8</v>
      </c>
      <c r="Y27" s="37">
        <f>COUNTIFS(RegProc!A2:A968,V27,RegProc!C2:C968,"&lt;&gt;"&amp;"",RegProc!I2:I968,"Fail")</f>
        <v>0</v>
      </c>
      <c r="Z27" s="26">
        <f t="shared" si="3"/>
        <v>0</v>
      </c>
      <c r="AA27" s="55"/>
      <c r="AB27" s="56"/>
      <c r="AC27" s="56"/>
      <c r="AD27" s="56"/>
      <c r="AE27" s="57"/>
      <c r="AF27" s="55"/>
      <c r="AG27" s="56"/>
      <c r="AH27" s="56"/>
      <c r="AI27" s="56"/>
      <c r="AJ27" s="57"/>
      <c r="AK27" s="24" t="str">
        <f>IFERROR(__xludf.DUMMYFUNCTION("""COMPUTED_VALUE"""),"MOSIP-14565")</f>
        <v>MOSIP-14565</v>
      </c>
      <c r="AL27" s="39">
        <f>COUNTIFS(IDA!A2:A1975,AK27,IDA!C2:C1975,"&lt;&gt;"&amp;"") </f>
        <v>8</v>
      </c>
      <c r="AM27" s="40">
        <f>COUNTIFS(IDA!A2:A1975,AK27,IDA!C2:C1975,"&lt;&gt;"&amp;"",IDA!I2:I1975,"Pass")</f>
        <v>8</v>
      </c>
      <c r="AN27" s="37">
        <f>COUNTIFS(IDA!A2:A1975,AK27,IDA!C2:C1975,"&lt;&gt;"&amp;"",IDA!I2:I1975,"Fail")</f>
        <v>0</v>
      </c>
      <c r="AO27" s="26">
        <f t="shared" si="6"/>
        <v>0</v>
      </c>
      <c r="AP27" s="55"/>
      <c r="AQ27" s="56"/>
      <c r="AR27" s="56"/>
      <c r="AS27" s="56"/>
      <c r="AT27" s="57"/>
      <c r="AU27" s="2"/>
      <c r="AV27" s="2"/>
      <c r="AW27" s="2"/>
      <c r="AX27" s="2"/>
    </row>
    <row r="28">
      <c r="A28" s="2"/>
      <c r="B28" s="2"/>
      <c r="C28" s="2"/>
      <c r="D28" s="66">
        <f> COUNTA('Real Device Testing'!C2:C638)</f>
        <v>475</v>
      </c>
      <c r="E28" s="66">
        <f>COUNTIF('Real Device Testing'!I2:I638, "Pass")</f>
        <v>356</v>
      </c>
      <c r="F28" s="66">
        <f>COUNTIF('Real Device Testing'!I2:I638, "Fail")</f>
        <v>55</v>
      </c>
      <c r="G28" s="66">
        <f>D28-E28-F28</f>
        <v>64</v>
      </c>
      <c r="H28" s="2"/>
      <c r="I28" s="2"/>
      <c r="J28" s="2"/>
      <c r="K28" s="2"/>
      <c r="L28" s="42" t="str">
        <f>IFERROR(__xludf.DUMMYFUNCTION("""COMPUTED_VALUE"""),"MOSIP-11080")</f>
        <v>MOSIP-11080</v>
      </c>
      <c r="M28" s="54">
        <f>COUNTIFS('Pre-reg'!A2:A1000,L28,'Pre-reg'!C2:C1000,"&lt;&gt;"&amp;"") </f>
        <v>6</v>
      </c>
      <c r="N28" s="40">
        <f>COUNTIFS('Pre-reg'!A2:A1000,L28,'Pre-reg'!C2:C1000,"&lt;&gt;"&amp;"",'Pre-reg'!H2:H1000,"Pass")</f>
        <v>6</v>
      </c>
      <c r="O28" s="37">
        <f>COUNTIFS('Pre-reg'!A2:A1000,L28,'Pre-reg'!C2:C1000,"&lt;&gt;"&amp;"",'Pre-reg'!H2:H1000,"Fail")</f>
        <v>0</v>
      </c>
      <c r="P28" s="23">
        <f t="shared" si="1"/>
        <v>0</v>
      </c>
      <c r="Q28" s="24" t="str">
        <f>IFERROR(__xludf.DUMMYFUNCTION("""COMPUTED_VALUE"""),"MOSIP-15381")</f>
        <v>MOSIP-15381</v>
      </c>
      <c r="R28" s="39">
        <f>COUNTIFS(RegClient!A2:A983,Q28,RegClient!C2:C983,"&lt;&gt;"&amp;"") </f>
        <v>12</v>
      </c>
      <c r="S28" s="40">
        <f>COUNTIFS(RegClient!A2:A983,Q28,RegClient!C2:C983,"&lt;&gt;"&amp;"",RegClient!I2:I983,"Pass")</f>
        <v>12</v>
      </c>
      <c r="T28" s="37">
        <f>COUNTIFS(RegClient!A2:A983,Q28,RegClient!C2:C983,"&lt;&gt;"&amp;"",RegClient!I2:I983,"Fail)")</f>
        <v>0</v>
      </c>
      <c r="U28" s="26">
        <f t="shared" si="2"/>
        <v>0</v>
      </c>
      <c r="V28" s="24" t="str">
        <f>IFERROR(__xludf.DUMMYFUNCTION("""COMPUTED_VALUE"""),"MOSIP-11155")</f>
        <v>MOSIP-11155</v>
      </c>
      <c r="W28" s="39">
        <f>COUNTIFS(RegProc!A2:A968,V28,RegProc!C2:C968,"&lt;&gt;"&amp;"") </f>
        <v>7</v>
      </c>
      <c r="X28" s="40">
        <f>COUNTIFS(RegProc!A2:A968,V28,RegProc!C2:C968,"&lt;&gt;"&amp;"",RegProc!I2:I968,"Pass")</f>
        <v>7</v>
      </c>
      <c r="Y28" s="37">
        <f>COUNTIFS(RegProc!A2:A968,V28,RegProc!C2:C968,"&lt;&gt;"&amp;"",RegProc!I2:I968,"Fail")</f>
        <v>0</v>
      </c>
      <c r="Z28" s="26">
        <f t="shared" si="3"/>
        <v>0</v>
      </c>
      <c r="AA28" s="55"/>
      <c r="AB28" s="56"/>
      <c r="AC28" s="56"/>
      <c r="AD28" s="56"/>
      <c r="AE28" s="57"/>
      <c r="AF28" s="3"/>
      <c r="AG28" s="2"/>
      <c r="AH28" s="2"/>
      <c r="AI28" s="2"/>
      <c r="AJ28" s="2"/>
      <c r="AK28" s="24" t="str">
        <f>IFERROR(__xludf.DUMMYFUNCTION("""COMPUTED_VALUE"""),"MOSIP-15362")</f>
        <v>MOSIP-15362</v>
      </c>
      <c r="AL28" s="39">
        <f>COUNTIFS(IDA!A2:A1975,AK28,IDA!C2:C1975,"&lt;&gt;"&amp;"") </f>
        <v>3</v>
      </c>
      <c r="AM28" s="40">
        <f>COUNTIFS(IDA!A2:A1975,AK28,IDA!C2:C1975,"&lt;&gt;"&amp;"",IDA!I2:I1975,"Pass")</f>
        <v>3</v>
      </c>
      <c r="AN28" s="37">
        <f>COUNTIFS(IDA!A2:A1975,AK28,IDA!C2:C1975,"&lt;&gt;"&amp;"",IDA!I2:I1975,"Fail")</f>
        <v>0</v>
      </c>
      <c r="AO28" s="26">
        <f t="shared" si="6"/>
        <v>0</v>
      </c>
      <c r="AP28" s="55"/>
      <c r="AQ28" s="56"/>
      <c r="AR28" s="56"/>
      <c r="AS28" s="56"/>
      <c r="AT28" s="57"/>
      <c r="AU28" s="2"/>
      <c r="AV28" s="2"/>
      <c r="AW28" s="2"/>
      <c r="AX28" s="2"/>
    </row>
    <row r="29">
      <c r="A29" s="2"/>
      <c r="B29" s="58" t="str">
        <f>"Device Testing - Test cases :  " &amp;D28  &amp; "  Passed : " &amp;E28  &amp; "  Failed : " &amp;F28  &amp; "  Skipped : " &amp; G28</f>
        <v>Device Testing - Test cases :  475  Passed : 356  Failed : 55  Skipped : 64</v>
      </c>
      <c r="C29" s="59"/>
      <c r="D29" s="59"/>
      <c r="E29" s="59"/>
      <c r="F29" s="59"/>
      <c r="G29" s="59"/>
      <c r="H29" s="59"/>
      <c r="I29" s="59"/>
      <c r="J29" s="60"/>
      <c r="K29" s="2"/>
      <c r="L29" s="42" t="str">
        <f>IFERROR(__xludf.DUMMYFUNCTION("""COMPUTED_VALUE"""),"MOSIP-9961")</f>
        <v>MOSIP-9961</v>
      </c>
      <c r="M29" s="54">
        <f>COUNTIFS('Pre-reg'!A2:A1000,L29,'Pre-reg'!C2:C1000,"&lt;&gt;"&amp;"") </f>
        <v>3</v>
      </c>
      <c r="N29" s="40">
        <f>COUNTIFS('Pre-reg'!A2:A1000,L29,'Pre-reg'!C2:C1000,"&lt;&gt;"&amp;"",'Pre-reg'!H2:H1000,"Pass")</f>
        <v>3</v>
      </c>
      <c r="O29" s="37">
        <f>COUNTIFS('Pre-reg'!A2:A1000,L29,'Pre-reg'!C2:C1000,"&lt;&gt;"&amp;"",'Pre-reg'!H2:H1000,"Fail")</f>
        <v>0</v>
      </c>
      <c r="P29" s="23">
        <f t="shared" si="1"/>
        <v>0</v>
      </c>
      <c r="Q29" s="24" t="str">
        <f>IFERROR(__xludf.DUMMYFUNCTION("""COMPUTED_VALUE"""),"MOSIP-11154")</f>
        <v>MOSIP-11154</v>
      </c>
      <c r="R29" s="39">
        <f>COUNTIFS(RegClient!A2:A983,Q29,RegClient!C2:C983,"&lt;&gt;"&amp;"") </f>
        <v>5</v>
      </c>
      <c r="S29" s="40">
        <f>COUNTIFS(RegClient!A2:A983,Q29,RegClient!C2:C983,"&lt;&gt;"&amp;"",RegClient!I2:I983,"Pass")</f>
        <v>5</v>
      </c>
      <c r="T29" s="37">
        <f>COUNTIFS(RegClient!A2:A983,Q29,RegClient!C2:C983,"&lt;&gt;"&amp;"",RegClient!I2:I983,"Fail)")</f>
        <v>0</v>
      </c>
      <c r="U29" s="26">
        <f t="shared" si="2"/>
        <v>0</v>
      </c>
      <c r="V29" s="24" t="str">
        <f>IFERROR(__xludf.DUMMYFUNCTION("""COMPUTED_VALUE"""),"MOSIP-10583")</f>
        <v>MOSIP-10583</v>
      </c>
      <c r="W29" s="39">
        <f>COUNTIFS(RegProc!A2:A968,V29,RegProc!C2:C968,"&lt;&gt;"&amp;"") </f>
        <v>7</v>
      </c>
      <c r="X29" s="40">
        <f>COUNTIFS(RegProc!A2:A968,V29,RegProc!C2:C968,"&lt;&gt;"&amp;"",RegProc!I2:I968,"Pass")</f>
        <v>6</v>
      </c>
      <c r="Y29" s="37">
        <f>COUNTIFS(RegProc!A2:A968,V29,RegProc!C2:C968,"&lt;&gt;"&amp;"",RegProc!I2:I968,"Fail")</f>
        <v>1</v>
      </c>
      <c r="Z29" s="26">
        <f t="shared" si="3"/>
        <v>0</v>
      </c>
      <c r="AA29" s="55"/>
      <c r="AB29" s="56"/>
      <c r="AC29" s="56"/>
      <c r="AD29" s="56"/>
      <c r="AE29" s="57"/>
      <c r="AF29" s="3"/>
      <c r="AG29" s="2"/>
      <c r="AH29" s="2"/>
      <c r="AI29" s="2"/>
      <c r="AJ29" s="2"/>
      <c r="AK29" s="24" t="str">
        <f>IFERROR(__xludf.DUMMYFUNCTION("""COMPUTED_VALUE"""),"MOSIP-15390")</f>
        <v>MOSIP-15390</v>
      </c>
      <c r="AL29" s="39">
        <f>COUNTIFS(IDA!A2:A1975,AK29,IDA!C2:C1975,"&lt;&gt;"&amp;"") </f>
        <v>12</v>
      </c>
      <c r="AM29" s="40">
        <f>COUNTIFS(IDA!A2:A1975,AK29,IDA!C2:C1975,"&lt;&gt;"&amp;"",IDA!I2:I1975,"Pass")</f>
        <v>12</v>
      </c>
      <c r="AN29" s="37">
        <f>COUNTIFS(IDA!A2:A1975,AK29,IDA!C2:C1975,"&lt;&gt;"&amp;"",IDA!I2:I1975,"Fail")</f>
        <v>0</v>
      </c>
      <c r="AO29" s="26">
        <f t="shared" si="6"/>
        <v>0</v>
      </c>
      <c r="AP29" s="55"/>
      <c r="AQ29" s="56"/>
      <c r="AR29" s="56"/>
      <c r="AS29" s="56"/>
      <c r="AT29" s="67"/>
      <c r="AU29" s="2"/>
      <c r="AV29" s="2"/>
      <c r="AW29" s="2"/>
      <c r="AX29" s="2"/>
    </row>
    <row r="30">
      <c r="A30" s="2"/>
      <c r="B30" s="63" t="str">
        <f>"                          Test Rate : " &amp; INT((((E28+F28)/D28)*100)) &amp; "%  With Pass Rate : " &amp; INT((E28/(E28+F28))*100)  &amp; "%"</f>
        <v>                          Test Rate : 86%  With Pass Rate : 86%</v>
      </c>
      <c r="C30" s="64"/>
      <c r="D30" s="64"/>
      <c r="E30" s="64"/>
      <c r="F30" s="64"/>
      <c r="G30" s="64"/>
      <c r="H30" s="64"/>
      <c r="I30" s="64"/>
      <c r="J30" s="65"/>
      <c r="K30" s="2"/>
      <c r="L30" s="42" t="str">
        <f>IFERROR(__xludf.DUMMYFUNCTION("""COMPUTED_VALUE"""),"MOSIP-10847")</f>
        <v>MOSIP-10847</v>
      </c>
      <c r="M30" s="54">
        <f>COUNTIFS('Pre-reg'!A2:A1000,L30,'Pre-reg'!C2:C1000,"&lt;&gt;"&amp;"") </f>
        <v>5</v>
      </c>
      <c r="N30" s="40">
        <f>COUNTIFS('Pre-reg'!A2:A1000,L30,'Pre-reg'!C2:C1000,"&lt;&gt;"&amp;"",'Pre-reg'!H2:H1000,"Pass")</f>
        <v>5</v>
      </c>
      <c r="O30" s="37">
        <f>COUNTIFS('Pre-reg'!A2:A1000,L30,'Pre-reg'!C2:C1000,"&lt;&gt;"&amp;"",'Pre-reg'!H2:H1000,"Fail")</f>
        <v>0</v>
      </c>
      <c r="P30" s="23">
        <f t="shared" si="1"/>
        <v>0</v>
      </c>
      <c r="Q30" s="24" t="str">
        <f>IFERROR(__xludf.DUMMYFUNCTION("""COMPUTED_VALUE"""),"MOSIP-8164")</f>
        <v>MOSIP-8164</v>
      </c>
      <c r="R30" s="39">
        <f>COUNTIFS(RegClient!A2:A983,Q30,RegClient!C2:C983,"&lt;&gt;"&amp;"") </f>
        <v>9</v>
      </c>
      <c r="S30" s="40">
        <f>COUNTIFS(RegClient!A2:A983,Q30,RegClient!C2:C983,"&lt;&gt;"&amp;"",RegClient!I2:I983,"Pass")</f>
        <v>9</v>
      </c>
      <c r="T30" s="37">
        <f>COUNTIFS(RegClient!A2:A983,Q30,RegClient!C2:C983,"&lt;&gt;"&amp;"",RegClient!I2:I983,"Fail)")</f>
        <v>0</v>
      </c>
      <c r="U30" s="26">
        <f t="shared" si="2"/>
        <v>0</v>
      </c>
      <c r="V30" s="24" t="str">
        <f>IFERROR(__xludf.DUMMYFUNCTION("""COMPUTED_VALUE"""),"MOSIP-10231")</f>
        <v>MOSIP-10231</v>
      </c>
      <c r="W30" s="39">
        <f>COUNTIFS(RegProc!A2:A968,V30,RegProc!C2:C968,"&lt;&gt;"&amp;"") </f>
        <v>4</v>
      </c>
      <c r="X30" s="40">
        <f>COUNTIFS(RegProc!A2:A968,V30,RegProc!C2:C968,"&lt;&gt;"&amp;"",RegProc!I2:I968,"Pass")</f>
        <v>4</v>
      </c>
      <c r="Y30" s="37">
        <f>COUNTIFS(RegProc!A2:A968,V30,RegProc!C2:C968,"&lt;&gt;"&amp;"",RegProc!I2:I968,"Fail")</f>
        <v>0</v>
      </c>
      <c r="Z30" s="26">
        <f t="shared" si="3"/>
        <v>0</v>
      </c>
      <c r="AA30" s="55"/>
      <c r="AB30" s="56"/>
      <c r="AC30" s="56"/>
      <c r="AD30" s="56"/>
      <c r="AE30" s="57"/>
      <c r="AF30" s="3"/>
      <c r="AG30" s="2"/>
      <c r="AH30" s="2"/>
      <c r="AI30" s="2"/>
      <c r="AJ30" s="2"/>
      <c r="AK30" s="24" t="str">
        <f>IFERROR(__xludf.DUMMYFUNCTION("""COMPUTED_VALUE"""),"MOSIP-15048")</f>
        <v>MOSIP-15048</v>
      </c>
      <c r="AL30" s="39">
        <f>COUNTIFS(IDA!A2:A1975,AK30,IDA!C2:C1975,"&lt;&gt;"&amp;"") </f>
        <v>12</v>
      </c>
      <c r="AM30" s="40">
        <f>COUNTIFS(IDA!A2:A1975,AK30,IDA!C2:C1975,"&lt;&gt;"&amp;"",IDA!I2:I1975,"Pass")</f>
        <v>12</v>
      </c>
      <c r="AN30" s="37">
        <f>COUNTIFS(IDA!A2:A1975,AK30,IDA!C2:C1975,"&lt;&gt;"&amp;"",IDA!I2:I1975,"Fail")</f>
        <v>0</v>
      </c>
      <c r="AO30" s="26">
        <f t="shared" si="6"/>
        <v>0</v>
      </c>
      <c r="AP30" s="55"/>
      <c r="AQ30" s="56"/>
      <c r="AR30" s="56"/>
      <c r="AS30" s="56"/>
      <c r="AT30" s="57"/>
      <c r="AU30" s="2"/>
      <c r="AV30" s="2"/>
      <c r="AW30" s="2"/>
      <c r="AX30" s="2"/>
    </row>
    <row r="31">
      <c r="A31" s="2"/>
      <c r="B31" s="2"/>
      <c r="C31" s="2"/>
      <c r="D31" s="66">
        <f>COUNTA('E2E Scenarios'!B2:B100)</f>
        <v>54</v>
      </c>
      <c r="E31" s="66">
        <f>COUNTIF('E2E Scenarios'!C2:C100, "Pass")</f>
        <v>53</v>
      </c>
      <c r="F31" s="66">
        <f>COUNTIF('E2E Scenarios'!C2:C100, "Fail")</f>
        <v>0</v>
      </c>
      <c r="G31" s="66">
        <f>D31-E31-F31</f>
        <v>1</v>
      </c>
      <c r="H31" s="2"/>
      <c r="I31" s="2"/>
      <c r="J31" s="2"/>
      <c r="K31" s="2"/>
      <c r="L31" s="42" t="str">
        <f>IFERROR(__xludf.DUMMYFUNCTION("""COMPUTED_VALUE"""),"MOSIP-11297")</f>
        <v>MOSIP-11297</v>
      </c>
      <c r="M31" s="54">
        <f>COUNTIFS('Pre-reg'!A2:A1000,L31,'Pre-reg'!C2:C1000,"&lt;&gt;"&amp;"") </f>
        <v>6</v>
      </c>
      <c r="N31" s="40">
        <f>COUNTIFS('Pre-reg'!A2:A1000,L31,'Pre-reg'!C2:C1000,"&lt;&gt;"&amp;"",'Pre-reg'!H2:H1000,"Pass")</f>
        <v>6</v>
      </c>
      <c r="O31" s="37">
        <f>COUNTIFS('Pre-reg'!A2:A1000,L31,'Pre-reg'!C2:C1000,"&lt;&gt;"&amp;"",'Pre-reg'!H2:H1000,"Fail")</f>
        <v>0</v>
      </c>
      <c r="P31" s="23">
        <f t="shared" si="1"/>
        <v>0</v>
      </c>
      <c r="Q31" s="24" t="str">
        <f>IFERROR(__xludf.DUMMYFUNCTION("""COMPUTED_VALUE"""),"MOSIP-12576")</f>
        <v>MOSIP-12576</v>
      </c>
      <c r="R31" s="39">
        <f>COUNTIFS(RegClient!A2:A983,Q31,RegClient!C2:C983,"&lt;&gt;"&amp;"") </f>
        <v>26</v>
      </c>
      <c r="S31" s="40">
        <f>COUNTIFS(RegClient!A2:A983,Q31,RegClient!C2:C983,"&lt;&gt;"&amp;"",RegClient!I2:I983,"Pass")</f>
        <v>20</v>
      </c>
      <c r="T31" s="37">
        <f>COUNTIFS(RegClient!A2:A983,Q31,RegClient!C2:C983,"&lt;&gt;"&amp;"",RegClient!I2:I983,"Fail)")</f>
        <v>0</v>
      </c>
      <c r="U31" s="26">
        <f t="shared" si="2"/>
        <v>6</v>
      </c>
      <c r="V31" s="24" t="str">
        <f>IFERROR(__xludf.DUMMYFUNCTION("""COMPUTED_VALUE"""),"MOSIP-9833")</f>
        <v>MOSIP-9833</v>
      </c>
      <c r="W31" s="39">
        <f>COUNTIFS(RegProc!A2:A968,V31,RegProc!C2:C968,"&lt;&gt;"&amp;"") </f>
        <v>8</v>
      </c>
      <c r="X31" s="40">
        <f>COUNTIFS(RegProc!A2:A968,V31,RegProc!C2:C968,"&lt;&gt;"&amp;"",RegProc!I2:I968,"Pass")</f>
        <v>8</v>
      </c>
      <c r="Y31" s="37">
        <f>COUNTIFS(RegProc!A2:A968,V31,RegProc!C2:C968,"&lt;&gt;"&amp;"",RegProc!I2:I968,"Fail")</f>
        <v>0</v>
      </c>
      <c r="Z31" s="26">
        <f t="shared" si="3"/>
        <v>0</v>
      </c>
      <c r="AA31" s="55"/>
      <c r="AB31" s="56"/>
      <c r="AC31" s="56"/>
      <c r="AD31" s="56"/>
      <c r="AE31" s="57"/>
      <c r="AF31" s="55"/>
      <c r="AG31" s="56"/>
      <c r="AH31" s="56"/>
      <c r="AI31" s="56"/>
      <c r="AJ31" s="57"/>
      <c r="AK31" s="68" t="str">
        <f>IFERROR(__xludf.DUMMYFUNCTION("""COMPUTED_VALUE"""),"MOSIP_15641")</f>
        <v>MOSIP_15641</v>
      </c>
      <c r="AL31" s="39">
        <f>COUNTIFS(IDA!A2:A1975,AK31,IDA!C2:C1975,"&lt;&gt;"&amp;"") </f>
        <v>2</v>
      </c>
      <c r="AM31" s="40">
        <f>COUNTIFS(IDA!A2:A1975,AK31,IDA!C2:C1975,"&lt;&gt;"&amp;"",IDA!I2:I1975,"Pass")</f>
        <v>2</v>
      </c>
      <c r="AN31" s="37">
        <f>COUNTIFS(IDA!A2:A1975,AK31,IDA!C2:C1975,"&lt;&gt;"&amp;"",IDA!I2:I1975,"Fail")</f>
        <v>0</v>
      </c>
      <c r="AO31" s="26">
        <f t="shared" si="6"/>
        <v>0</v>
      </c>
      <c r="AP31" s="55"/>
      <c r="AQ31" s="56"/>
      <c r="AR31" s="56"/>
      <c r="AS31" s="56"/>
      <c r="AT31" s="57"/>
      <c r="AU31" s="2"/>
      <c r="AV31" s="2"/>
      <c r="AW31" s="2"/>
      <c r="AX31" s="2"/>
    </row>
    <row r="32">
      <c r="A32" s="2"/>
      <c r="B32" s="58" t="str">
        <f>"End To End Testing-  Scenarios : "  &amp;D31  &amp; "   Passed : " &amp; E31&amp; "   Failed : " &amp;  F31&amp; "   Skipped : " &amp; G31</f>
        <v>End To End Testing-  Scenarios : 54   Passed : 53   Failed : 0   Skipped : 1</v>
      </c>
      <c r="C32" s="59"/>
      <c r="D32" s="59"/>
      <c r="E32" s="59"/>
      <c r="F32" s="59"/>
      <c r="G32" s="59"/>
      <c r="H32" s="59"/>
      <c r="I32" s="59"/>
      <c r="J32" s="60"/>
      <c r="K32" s="2"/>
      <c r="L32" s="42" t="str">
        <f>IFERROR(__xludf.DUMMYFUNCTION("""COMPUTED_VALUE"""),"MOSIP-11299")</f>
        <v>MOSIP-11299</v>
      </c>
      <c r="M32" s="54">
        <f>COUNTIFS('Pre-reg'!A2:A1000,L32,'Pre-reg'!C2:C1000,"&lt;&gt;"&amp;"") </f>
        <v>6</v>
      </c>
      <c r="N32" s="40">
        <f>COUNTIFS('Pre-reg'!A2:A1000,L32,'Pre-reg'!C2:C1000,"&lt;&gt;"&amp;"",'Pre-reg'!H2:H1000,"Pass")</f>
        <v>6</v>
      </c>
      <c r="O32" s="37">
        <f>COUNTIFS('Pre-reg'!A2:A1000,L32,'Pre-reg'!C2:C1000,"&lt;&gt;"&amp;"",'Pre-reg'!H2:H1000,"Fail")</f>
        <v>0</v>
      </c>
      <c r="P32" s="23">
        <f t="shared" si="1"/>
        <v>0</v>
      </c>
      <c r="Q32" s="24" t="str">
        <f>IFERROR(__xludf.DUMMYFUNCTION("""COMPUTED_VALUE"""),"MOSIP-10268")</f>
        <v>MOSIP-10268</v>
      </c>
      <c r="R32" s="39">
        <f>COUNTIFS(RegClient!A2:A983,Q32,RegClient!C2:C983,"&lt;&gt;"&amp;"") </f>
        <v>10</v>
      </c>
      <c r="S32" s="40">
        <f>COUNTIFS(RegClient!A2:A983,Q32,RegClient!C2:C983,"&lt;&gt;"&amp;"",RegClient!I2:I983,"Pass")</f>
        <v>10</v>
      </c>
      <c r="T32" s="37">
        <f>COUNTIFS(RegClient!A2:A983,Q32,RegClient!C2:C983,"&lt;&gt;"&amp;"",RegClient!I2:I983,"Fail)")</f>
        <v>0</v>
      </c>
      <c r="U32" s="26">
        <f t="shared" si="2"/>
        <v>0</v>
      </c>
      <c r="V32" s="24" t="str">
        <f>IFERROR(__xludf.DUMMYFUNCTION("""COMPUTED_VALUE"""),"MOSIP-8567")</f>
        <v>MOSIP-8567</v>
      </c>
      <c r="W32" s="39">
        <f>COUNTIFS(RegProc!A2:A968,V32,RegProc!C2:C968,"&lt;&gt;"&amp;"") </f>
        <v>13</v>
      </c>
      <c r="X32" s="40">
        <f>COUNTIFS(RegProc!A2:A968,V32,RegProc!C2:C968,"&lt;&gt;"&amp;"",RegProc!I2:I968,"Pass")</f>
        <v>13</v>
      </c>
      <c r="Y32" s="37">
        <f>COUNTIFS(RegProc!A2:A968,V32,RegProc!C2:C968,"&lt;&gt;"&amp;"",RegProc!I2:I968,"Fail")</f>
        <v>0</v>
      </c>
      <c r="Z32" s="26">
        <f t="shared" si="3"/>
        <v>0</v>
      </c>
      <c r="AA32" s="55"/>
      <c r="AB32" s="56"/>
      <c r="AC32" s="56"/>
      <c r="AD32" s="56"/>
      <c r="AE32" s="57"/>
      <c r="AF32" s="55"/>
      <c r="AG32" s="56"/>
      <c r="AH32" s="56"/>
      <c r="AI32" s="56"/>
      <c r="AJ32" s="57"/>
      <c r="AK32" s="68" t="str">
        <f>IFERROR(__xludf.DUMMYFUNCTION("""COMPUTED_VALUE"""),"MOSIP-15671")</f>
        <v>MOSIP-15671</v>
      </c>
      <c r="AL32" s="39">
        <f>COUNTIFS(IDA!A2:A1975,AK32,IDA!C2:C1975,"&lt;&gt;"&amp;"") </f>
        <v>6</v>
      </c>
      <c r="AM32" s="40">
        <f>COUNTIFS(IDA!A2:A1975,AK32,IDA!C2:C1975,"&lt;&gt;"&amp;"",IDA!I2:I1975,"Pass")</f>
        <v>6</v>
      </c>
      <c r="AN32" s="37">
        <f>COUNTIFS(IDA!A2:A1975,AK32,IDA!C2:C1975,"&lt;&gt;"&amp;"",IDA!I2:I1975,"Fail")</f>
        <v>0</v>
      </c>
      <c r="AO32" s="26">
        <f t="shared" si="6"/>
        <v>0</v>
      </c>
      <c r="AP32" s="55"/>
      <c r="AQ32" s="56"/>
      <c r="AR32" s="56"/>
      <c r="AS32" s="56"/>
      <c r="AT32" s="57"/>
      <c r="AU32" s="2"/>
      <c r="AV32" s="2"/>
      <c r="AW32" s="2"/>
      <c r="AX32" s="2"/>
    </row>
    <row r="33">
      <c r="A33" s="2"/>
      <c r="B33" s="63" t="str">
        <f>"                                  Test Rate : " &amp; INT((((E31+F31)/D31)*100)) &amp; "%  With Pass Rate : " &amp; INT((E31/(E31+F31))*100)  &amp; "%"</f>
        <v>                                  Test Rate : 98%  With Pass Rate : 100%</v>
      </c>
      <c r="C33" s="64"/>
      <c r="D33" s="64"/>
      <c r="E33" s="64"/>
      <c r="F33" s="64"/>
      <c r="G33" s="64"/>
      <c r="H33" s="64"/>
      <c r="I33" s="64"/>
      <c r="J33" s="65"/>
      <c r="K33" s="2"/>
      <c r="L33" s="42" t="str">
        <f>IFERROR(__xludf.DUMMYFUNCTION("""COMPUTED_VALUE"""),"MOSIP-11300")</f>
        <v>MOSIP-11300</v>
      </c>
      <c r="M33" s="54">
        <f>COUNTIFS('Pre-reg'!A2:A1000,L33,'Pre-reg'!C2:C1000,"&lt;&gt;"&amp;"") </f>
        <v>7</v>
      </c>
      <c r="N33" s="40">
        <f>COUNTIFS('Pre-reg'!A2:A1000,L33,'Pre-reg'!C2:C1000,"&lt;&gt;"&amp;"",'Pre-reg'!H2:H1000,"Pass")</f>
        <v>7</v>
      </c>
      <c r="O33" s="37">
        <f>COUNTIFS('Pre-reg'!A2:A1000,L33,'Pre-reg'!C2:C1000,"&lt;&gt;"&amp;"",'Pre-reg'!H2:H1000,"Fail")</f>
        <v>0</v>
      </c>
      <c r="P33" s="23">
        <f t="shared" si="1"/>
        <v>0</v>
      </c>
      <c r="Q33" s="42" t="str">
        <f>IFERROR(__xludf.DUMMYFUNCTION("""COMPUTED_VALUE"""),"MOSIP-12152")</f>
        <v>MOSIP-12152</v>
      </c>
      <c r="R33" s="39">
        <f>COUNTIFS(RegClient!A2:A983,Q33,RegClient!C2:C983,"&lt;&gt;"&amp;"") </f>
        <v>33</v>
      </c>
      <c r="S33" s="40">
        <f>COUNTIFS(RegClient!A2:A983,Q33,RegClient!C2:C983,"&lt;&gt;"&amp;"",RegClient!I2:I983,"Pass")</f>
        <v>33</v>
      </c>
      <c r="T33" s="37">
        <f>COUNTIFS(RegClient!A2:A983,Q33,RegClient!C2:C983,"&lt;&gt;"&amp;"",RegClient!I2:I983,"Fail)")</f>
        <v>0</v>
      </c>
      <c r="U33" s="26">
        <f t="shared" si="2"/>
        <v>0</v>
      </c>
      <c r="V33" s="24" t="str">
        <f>IFERROR(__xludf.DUMMYFUNCTION("""COMPUTED_VALUE"""),"MOSIP-12097")</f>
        <v>MOSIP-12097</v>
      </c>
      <c r="W33" s="39">
        <f>COUNTIFS(RegProc!A2:A968,V33,RegProc!C2:C968,"&lt;&gt;"&amp;"") </f>
        <v>10</v>
      </c>
      <c r="X33" s="40">
        <f>COUNTIFS(RegProc!A2:A968,V33,RegProc!C2:C968,"&lt;&gt;"&amp;"",RegProc!I2:I968,"Pass")</f>
        <v>10</v>
      </c>
      <c r="Y33" s="37">
        <f>COUNTIFS(RegProc!A2:A968,V33,RegProc!C2:C968,"&lt;&gt;"&amp;"",RegProc!I2:I968,"Fail")</f>
        <v>0</v>
      </c>
      <c r="Z33" s="26">
        <f t="shared" si="3"/>
        <v>0</v>
      </c>
      <c r="AA33" s="55"/>
      <c r="AB33" s="56"/>
      <c r="AC33" s="56"/>
      <c r="AD33" s="56"/>
      <c r="AE33" s="57"/>
      <c r="AF33" s="55"/>
      <c r="AG33" s="56"/>
      <c r="AH33" s="56"/>
      <c r="AI33" s="56"/>
      <c r="AJ33" s="57"/>
      <c r="AK33" s="68" t="str">
        <f>IFERROR(__xludf.DUMMYFUNCTION("""COMPUTED_VALUE"""),"MOSIP-15973")</f>
        <v>MOSIP-15973</v>
      </c>
      <c r="AL33" s="39">
        <f>COUNTIFS(IDA!A2:A1975,AK33,IDA!C2:C1975,"&lt;&gt;"&amp;"") </f>
        <v>1</v>
      </c>
      <c r="AM33" s="40">
        <f>COUNTIFS(IDA!A2:A1975,AK33,IDA!C2:C1975,"&lt;&gt;"&amp;"",IDA!I2:I1975,"Pass")</f>
        <v>1</v>
      </c>
      <c r="AN33" s="37">
        <f>COUNTIFS(IDA!A2:A1975,AK33,IDA!C2:C1975,"&lt;&gt;"&amp;"",IDA!I2:I1975,"Fail")</f>
        <v>0</v>
      </c>
      <c r="AO33" s="26">
        <f t="shared" si="6"/>
        <v>0</v>
      </c>
      <c r="AP33" s="55"/>
      <c r="AQ33" s="56"/>
      <c r="AR33" s="56"/>
      <c r="AS33" s="56"/>
      <c r="AT33" s="57"/>
      <c r="AU33" s="2"/>
      <c r="AV33" s="2"/>
      <c r="AW33" s="2"/>
      <c r="AX33" s="2"/>
    </row>
    <row r="34">
      <c r="A34" s="2"/>
      <c r="B34" s="2"/>
      <c r="C34" s="2"/>
      <c r="D34" s="2"/>
      <c r="E34" s="2"/>
      <c r="F34" s="2"/>
      <c r="G34" s="2"/>
      <c r="H34" s="2"/>
      <c r="I34" s="2"/>
      <c r="J34" s="2"/>
      <c r="K34" s="2"/>
      <c r="L34" s="42" t="str">
        <f>IFERROR(__xludf.DUMMYFUNCTION("""COMPUTED_VALUE"""),"MOSIP-11496")</f>
        <v>MOSIP-11496</v>
      </c>
      <c r="M34" s="54">
        <f>COUNTIFS('Pre-reg'!A2:A1000,L34,'Pre-reg'!C2:C1000,"&lt;&gt;"&amp;"") </f>
        <v>5</v>
      </c>
      <c r="N34" s="40">
        <f>COUNTIFS('Pre-reg'!A2:A1000,L34,'Pre-reg'!C2:C1000,"&lt;&gt;"&amp;"",'Pre-reg'!H2:H1000,"Pass")</f>
        <v>5</v>
      </c>
      <c r="O34" s="37">
        <f>COUNTIFS('Pre-reg'!A2:A1000,L34,'Pre-reg'!C2:C1000,"&lt;&gt;"&amp;"",'Pre-reg'!H2:H1000,"Fail")</f>
        <v>0</v>
      </c>
      <c r="P34" s="23">
        <f t="shared" si="1"/>
        <v>0</v>
      </c>
      <c r="Q34" s="42" t="str">
        <f>IFERROR(__xludf.DUMMYFUNCTION("""COMPUTED_VALUE"""),"MOSIP-8592")</f>
        <v>MOSIP-8592</v>
      </c>
      <c r="R34" s="39">
        <f>COUNTIFS(RegClient!A2:A983,Q34,RegClient!C2:C983,"&lt;&gt;"&amp;"") </f>
        <v>3</v>
      </c>
      <c r="S34" s="40">
        <f>COUNTIFS(RegClient!A2:A983,Q34,RegClient!C2:C983,"&lt;&gt;"&amp;"",RegClient!I2:I983,"Pass")</f>
        <v>3</v>
      </c>
      <c r="T34" s="37">
        <f>COUNTIFS(RegClient!A2:A983,Q34,RegClient!C2:C983,"&lt;&gt;"&amp;"",RegClient!I2:I983,"Fail)")</f>
        <v>0</v>
      </c>
      <c r="U34" s="26">
        <f t="shared" si="2"/>
        <v>0</v>
      </c>
      <c r="V34" s="24" t="str">
        <f>IFERROR(__xludf.DUMMYFUNCTION("""COMPUTED_VALUE"""),"MOSIP-15612")</f>
        <v>MOSIP-15612</v>
      </c>
      <c r="W34" s="39">
        <f>COUNTIFS(RegProc!A2:A968,V34,RegProc!C2:C968,"&lt;&gt;"&amp;"") </f>
        <v>6</v>
      </c>
      <c r="X34" s="40">
        <f>COUNTIFS(RegProc!A2:A968,V34,RegProc!C2:C968,"&lt;&gt;"&amp;"",RegProc!I2:I968,"Pass")</f>
        <v>6</v>
      </c>
      <c r="Y34" s="37">
        <f>COUNTIFS(RegProc!A2:A968,V34,RegProc!C2:C968,"&lt;&gt;"&amp;"",RegProc!I2:I968,"Fail")</f>
        <v>0</v>
      </c>
      <c r="Z34" s="26">
        <f t="shared" si="3"/>
        <v>0</v>
      </c>
      <c r="AA34" s="55"/>
      <c r="AB34" s="56"/>
      <c r="AC34" s="56"/>
      <c r="AD34" s="56"/>
      <c r="AE34" s="57"/>
      <c r="AF34" s="55"/>
      <c r="AG34" s="56"/>
      <c r="AH34" s="56"/>
      <c r="AI34" s="56"/>
      <c r="AJ34" s="57"/>
      <c r="AK34" s="68" t="str">
        <f>IFERROR(__xludf.DUMMYFUNCTION("""COMPUTED_VALUE"""),"MOSIP-17348")</f>
        <v>MOSIP-17348</v>
      </c>
      <c r="AL34" s="39">
        <f>COUNTIFS(IDA!A2:A1975,AK34,IDA!C2:C1975,"&lt;&gt;"&amp;"") </f>
        <v>10</v>
      </c>
      <c r="AM34" s="40">
        <f>COUNTIFS(IDA!A2:A1975,AK34,IDA!C2:C1975,"&lt;&gt;"&amp;"",IDA!I2:I1975,"Pass")</f>
        <v>10</v>
      </c>
      <c r="AN34" s="37">
        <f>COUNTIFS(IDA!A2:A1975,AK34,IDA!C2:C1975,"&lt;&gt;"&amp;"",IDA!I2:I1975,"Fail")</f>
        <v>0</v>
      </c>
      <c r="AO34" s="26">
        <f t="shared" si="6"/>
        <v>0</v>
      </c>
      <c r="AP34" s="55"/>
      <c r="AQ34" s="56"/>
      <c r="AR34" s="56"/>
      <c r="AS34" s="56"/>
      <c r="AT34" s="57"/>
      <c r="AU34" s="2"/>
      <c r="AV34" s="2"/>
      <c r="AW34" s="2"/>
      <c r="AX34" s="2"/>
    </row>
    <row r="35">
      <c r="A35" s="2"/>
      <c r="B35" s="58" t="str">
        <f>"API Testing -  External Endpoints : " &amp; 'API Testing'!D12&amp; "    Tested : " &amp; 'API Testing'!E12</f>
        <v>API Testing -  External Endpoints : 444    Tested : 412</v>
      </c>
      <c r="C35" s="59"/>
      <c r="D35" s="59"/>
      <c r="E35" s="59"/>
      <c r="F35" s="59"/>
      <c r="G35" s="59"/>
      <c r="H35" s="59"/>
      <c r="I35" s="59"/>
      <c r="J35" s="60"/>
      <c r="K35" s="2"/>
      <c r="L35" s="42" t="str">
        <f>IFERROR(__xludf.DUMMYFUNCTION("""COMPUTED_VALUE"""),"MOSIP-11659")</f>
        <v>MOSIP-11659</v>
      </c>
      <c r="M35" s="54">
        <f>COUNTIFS('Pre-reg'!A2:A1000,L35,'Pre-reg'!C2:C1000,"&lt;&gt;"&amp;"") </f>
        <v>10</v>
      </c>
      <c r="N35" s="40">
        <f>COUNTIFS('Pre-reg'!A2:A1000,L35,'Pre-reg'!C2:C1000,"&lt;&gt;"&amp;"",'Pre-reg'!H2:H1000,"Pass")</f>
        <v>10</v>
      </c>
      <c r="O35" s="37">
        <f>COUNTIFS('Pre-reg'!A2:A1000,L35,'Pre-reg'!C2:C1000,"&lt;&gt;"&amp;"",'Pre-reg'!H2:H1000,"Fail")</f>
        <v>0</v>
      </c>
      <c r="P35" s="23">
        <f t="shared" si="1"/>
        <v>0</v>
      </c>
      <c r="Q35" s="42" t="str">
        <f>IFERROR(__xludf.DUMMYFUNCTION("""COMPUTED_VALUE"""),"MOSIP-13087")</f>
        <v>MOSIP-13087</v>
      </c>
      <c r="R35" s="39">
        <f>COUNTIFS(RegClient!A2:A983,Q35,RegClient!C2:C983,"&lt;&gt;"&amp;"") </f>
        <v>6</v>
      </c>
      <c r="S35" s="40">
        <f>COUNTIFS(RegClient!A2:A983,Q35,RegClient!C2:C983,"&lt;&gt;"&amp;"",RegClient!I2:I983,"Pass")</f>
        <v>6</v>
      </c>
      <c r="T35" s="37">
        <f>COUNTIFS(RegClient!A2:A983,Q35,RegClient!C2:C983,"&lt;&gt;"&amp;"",RegClient!I2:I983,"Fail)")</f>
        <v>0</v>
      </c>
      <c r="U35" s="26">
        <f t="shared" si="2"/>
        <v>0</v>
      </c>
      <c r="V35" s="24" t="str">
        <f>IFERROR(__xludf.DUMMYFUNCTION("""COMPUTED_VALUE"""),"MOSIP-13117")</f>
        <v>MOSIP-13117</v>
      </c>
      <c r="W35" s="39">
        <f>COUNTIFS(RegProc!A2:A968,V35,RegProc!C2:C968,"&lt;&gt;"&amp;"") </f>
        <v>4</v>
      </c>
      <c r="X35" s="40">
        <f>COUNTIFS(RegProc!A2:A968,V35,RegProc!C2:C968,"&lt;&gt;"&amp;"",RegProc!I2:I968,"Pass")</f>
        <v>3</v>
      </c>
      <c r="Y35" s="37">
        <f>COUNTIFS(RegProc!A2:A968,V35,RegProc!C2:C968,"&lt;&gt;"&amp;"",RegProc!I2:I968,"Fail")</f>
        <v>1</v>
      </c>
      <c r="Z35" s="26">
        <f t="shared" si="3"/>
        <v>0</v>
      </c>
      <c r="AA35" s="55"/>
      <c r="AB35" s="56"/>
      <c r="AC35" s="56"/>
      <c r="AD35" s="56"/>
      <c r="AE35" s="57"/>
      <c r="AF35" s="55"/>
      <c r="AG35" s="56"/>
      <c r="AH35" s="56"/>
      <c r="AI35" s="56"/>
      <c r="AJ35" s="57"/>
      <c r="AK35" s="68" t="str">
        <f>IFERROR(__xludf.DUMMYFUNCTION("""COMPUTED_VALUE"""),"MOSIP-10476")</f>
        <v>MOSIP-10476</v>
      </c>
      <c r="AL35" s="39">
        <f>COUNTIFS(IDA!A2:A1975,AK35,IDA!C2:C1975,"&lt;&gt;"&amp;"") </f>
        <v>21</v>
      </c>
      <c r="AM35" s="40">
        <f>COUNTIFS(IDA!A2:A1975,AK35,IDA!C2:C1975,"&lt;&gt;"&amp;"",IDA!I2:I1975,"Pass")</f>
        <v>9</v>
      </c>
      <c r="AN35" s="37">
        <f>COUNTIFS(IDA!A2:A1975,AK35,IDA!C2:C1975,"&lt;&gt;"&amp;"",IDA!I2:I1975,"Fail")</f>
        <v>12</v>
      </c>
      <c r="AO35" s="26">
        <f t="shared" si="6"/>
        <v>0</v>
      </c>
      <c r="AP35" s="55"/>
      <c r="AQ35" s="56"/>
      <c r="AR35" s="56"/>
      <c r="AS35" s="56"/>
      <c r="AT35" s="67"/>
      <c r="AU35" s="2"/>
      <c r="AV35" s="2"/>
      <c r="AW35" s="2"/>
      <c r="AX35" s="2"/>
    </row>
    <row r="36">
      <c r="A36" s="2"/>
      <c r="B36" s="61" t="str">
        <f>"                      Test cases : " &amp;'API Testing'!G12  &amp; "  Passed : " &amp;'API Testing'!I12  &amp; "    Failed : " &amp;'API Testing'!H12  &amp; "   Skipped : " &amp; 'API Testing'!J12</f>
        <v>                      Test cases : 1753  Passed : 1745    Failed : 8   Skipped : 0</v>
      </c>
      <c r="J36" s="62"/>
      <c r="K36" s="2"/>
      <c r="L36" s="42" t="str">
        <f>IFERROR(__xludf.DUMMYFUNCTION("""COMPUTED_VALUE"""),"MOSIP-13822")</f>
        <v>MOSIP-13822</v>
      </c>
      <c r="M36" s="54">
        <f>COUNTIFS('Pre-reg'!A2:A1000,L36,'Pre-reg'!C2:C1000,"&lt;&gt;"&amp;"") </f>
        <v>11</v>
      </c>
      <c r="N36" s="40">
        <f>COUNTIFS('Pre-reg'!A2:A1000,L36,'Pre-reg'!C2:C1000,"&lt;&gt;"&amp;"",'Pre-reg'!H2:H1000,"Pass")</f>
        <v>11</v>
      </c>
      <c r="O36" s="37">
        <f>COUNTIFS('Pre-reg'!A2:A1000,L36,'Pre-reg'!C2:C1000,"&lt;&gt;"&amp;"",'Pre-reg'!H2:H1000,"Fail")</f>
        <v>0</v>
      </c>
      <c r="P36" s="23">
        <f t="shared" si="1"/>
        <v>0</v>
      </c>
      <c r="Q36" s="42" t="str">
        <f>IFERROR(__xludf.DUMMYFUNCTION("""COMPUTED_VALUE"""),"MOSIP-12462")</f>
        <v>MOSIP-12462</v>
      </c>
      <c r="R36" s="39">
        <f>COUNTIFS(RegClient!A2:A983,Q36,RegClient!C2:C983,"&lt;&gt;"&amp;"") </f>
        <v>3</v>
      </c>
      <c r="S36" s="40">
        <f>COUNTIFS(RegClient!A2:A983,Q36,RegClient!C2:C983,"&lt;&gt;"&amp;"",RegClient!I2:I983,"Pass")</f>
        <v>3</v>
      </c>
      <c r="T36" s="37">
        <f>COUNTIFS(RegClient!A2:A983,Q36,RegClient!C2:C983,"&lt;&gt;"&amp;"",RegClient!I2:I983,"Fail)")</f>
        <v>0</v>
      </c>
      <c r="U36" s="26">
        <f t="shared" si="2"/>
        <v>0</v>
      </c>
      <c r="V36" s="24" t="str">
        <f>IFERROR(__xludf.DUMMYFUNCTION("""COMPUTED_VALUE"""),"MOSIP-12649")</f>
        <v>MOSIP-12649</v>
      </c>
      <c r="W36" s="39">
        <f>COUNTIFS(RegProc!A2:A968,V36,RegProc!C2:C968,"&lt;&gt;"&amp;"") </f>
        <v>4</v>
      </c>
      <c r="X36" s="40">
        <f>COUNTIFS(RegProc!A2:A968,V36,RegProc!C2:C968,"&lt;&gt;"&amp;"",RegProc!I2:I968,"Pass")</f>
        <v>4</v>
      </c>
      <c r="Y36" s="37">
        <f>COUNTIFS(RegProc!A2:A968,V36,RegProc!C2:C968,"&lt;&gt;"&amp;"",RegProc!I2:I968,"Fail")</f>
        <v>0</v>
      </c>
      <c r="Z36" s="26">
        <f t="shared" si="3"/>
        <v>0</v>
      </c>
      <c r="AA36" s="55"/>
      <c r="AB36" s="56"/>
      <c r="AC36" s="56"/>
      <c r="AD36" s="56"/>
      <c r="AE36" s="57"/>
      <c r="AF36" s="55"/>
      <c r="AG36" s="56"/>
      <c r="AH36" s="56"/>
      <c r="AI36" s="56"/>
      <c r="AJ36" s="57"/>
      <c r="AK36" s="68" t="str">
        <f>IFERROR(__xludf.DUMMYFUNCTION("""COMPUTED_VALUE"""),"MOSIP-18462")</f>
        <v>MOSIP-18462</v>
      </c>
      <c r="AL36" s="39">
        <f>COUNTIFS(IDA!A2:A1975,AK36,IDA!C2:C1975,"&lt;&gt;"&amp;"") </f>
        <v>7</v>
      </c>
      <c r="AM36" s="40">
        <f>COUNTIFS(IDA!A2:A1975,AK36,IDA!C2:C1975,"&lt;&gt;"&amp;"",IDA!I2:I1975,"Pass")</f>
        <v>7</v>
      </c>
      <c r="AN36" s="37">
        <f>COUNTIFS(IDA!A2:A1975,AK36,IDA!C2:C1975,"&lt;&gt;"&amp;"",IDA!I2:I1975,"Fail")</f>
        <v>0</v>
      </c>
      <c r="AO36" s="26">
        <f t="shared" si="6"/>
        <v>0</v>
      </c>
      <c r="AP36" s="55"/>
      <c r="AQ36" s="56"/>
      <c r="AR36" s="56"/>
      <c r="AS36" s="56"/>
      <c r="AT36" s="67"/>
      <c r="AU36" s="2"/>
      <c r="AV36" s="2"/>
      <c r="AW36" s="2"/>
      <c r="AX36" s="2"/>
    </row>
    <row r="37">
      <c r="A37" s="2"/>
      <c r="B37" s="63" t="str">
        <f>"                     Test Rate : " &amp;'API Testing'!D14  &amp; "%    With Pass Rate : " &amp;'API Testing'!D15   &amp; "%"</f>
        <v>                     Test Rate : 92%    With Pass Rate : 99%</v>
      </c>
      <c r="C37" s="64"/>
      <c r="D37" s="64"/>
      <c r="E37" s="64"/>
      <c r="F37" s="64"/>
      <c r="G37" s="64"/>
      <c r="H37" s="64"/>
      <c r="I37" s="64"/>
      <c r="J37" s="65"/>
      <c r="K37" s="2"/>
      <c r="L37" s="42" t="str">
        <f>IFERROR(__xludf.DUMMYFUNCTION("""COMPUTED_VALUE"""),"MOSIP-14056")</f>
        <v>MOSIP-14056</v>
      </c>
      <c r="M37" s="54">
        <f>COUNTIFS('Pre-reg'!A2:A1000,L37,'Pre-reg'!C2:C1000,"&lt;&gt;"&amp;"") </f>
        <v>5</v>
      </c>
      <c r="N37" s="40">
        <f>COUNTIFS('Pre-reg'!A2:A1000,L37,'Pre-reg'!C2:C1000,"&lt;&gt;"&amp;"",'Pre-reg'!H2:H1000,"Pass")</f>
        <v>5</v>
      </c>
      <c r="O37" s="37">
        <f>COUNTIFS('Pre-reg'!A2:A1000,L37,'Pre-reg'!C2:C1000,"&lt;&gt;"&amp;"",'Pre-reg'!H2:H1000,"Fail")</f>
        <v>0</v>
      </c>
      <c r="P37" s="23">
        <f t="shared" si="1"/>
        <v>0</v>
      </c>
      <c r="Q37" s="42" t="str">
        <f>IFERROR(__xludf.DUMMYFUNCTION("""COMPUTED_VALUE"""),"MOSIP-7798")</f>
        <v>MOSIP-7798</v>
      </c>
      <c r="R37" s="39">
        <f>COUNTIFS(RegClient!A2:A983,Q37,RegClient!C2:C983,"&lt;&gt;"&amp;"") </f>
        <v>23</v>
      </c>
      <c r="S37" s="40">
        <f>COUNTIFS(RegClient!A2:A983,Q37,RegClient!C2:C983,"&lt;&gt;"&amp;"",RegClient!I2:I983,"Pass")</f>
        <v>23</v>
      </c>
      <c r="T37" s="37">
        <f>COUNTIFS(RegClient!A2:A983,Q37,RegClient!C2:C983,"&lt;&gt;"&amp;"",RegClient!I2:I983,"Fail)")</f>
        <v>0</v>
      </c>
      <c r="U37" s="26">
        <f t="shared" si="2"/>
        <v>0</v>
      </c>
      <c r="V37" s="24" t="str">
        <f>IFERROR(__xludf.DUMMYFUNCTION("""COMPUTED_VALUE"""),"MOSIP-9834")</f>
        <v>MOSIP-9834</v>
      </c>
      <c r="W37" s="39">
        <f>COUNTIFS(RegProc!A2:A968,V37,RegProc!C2:C968,"&lt;&gt;"&amp;"") </f>
        <v>4</v>
      </c>
      <c r="X37" s="40">
        <f>COUNTIFS(RegProc!A2:A968,V37,RegProc!C2:C968,"&lt;&gt;"&amp;"",RegProc!I2:I968,"Pass")</f>
        <v>4</v>
      </c>
      <c r="Y37" s="37">
        <f>COUNTIFS(RegProc!A2:A968,V37,RegProc!C2:C968,"&lt;&gt;"&amp;"",RegProc!I2:I968,"Fail")</f>
        <v>0</v>
      </c>
      <c r="Z37" s="26">
        <f t="shared" si="3"/>
        <v>0</v>
      </c>
      <c r="AA37" s="55"/>
      <c r="AB37" s="56"/>
      <c r="AC37" s="56"/>
      <c r="AD37" s="56"/>
      <c r="AE37" s="57"/>
      <c r="AF37" s="55"/>
      <c r="AG37" s="56"/>
      <c r="AH37" s="56"/>
      <c r="AI37" s="56"/>
      <c r="AJ37" s="57"/>
      <c r="AK37" s="68" t="str">
        <f>IFERROR(__xludf.DUMMYFUNCTION("""COMPUTED_VALUE"""),"MOSIP-18463")</f>
        <v>MOSIP-18463</v>
      </c>
      <c r="AL37" s="39">
        <f>COUNTIFS(IDA!A2:A1975,AK37,IDA!C2:C1975,"&lt;&gt;"&amp;"") </f>
        <v>5</v>
      </c>
      <c r="AM37" s="40">
        <f>COUNTIFS(IDA!A2:A1975,AK37,IDA!C2:C1975,"&lt;&gt;"&amp;"",IDA!I2:I1975,"Pass")</f>
        <v>5</v>
      </c>
      <c r="AN37" s="37">
        <f>COUNTIFS(IDA!A2:A1975,AK37,IDA!C2:C1975,"&lt;&gt;"&amp;"",IDA!I2:I1975,"Fail")</f>
        <v>0</v>
      </c>
      <c r="AO37" s="26">
        <f t="shared" si="6"/>
        <v>0</v>
      </c>
      <c r="AP37" s="55"/>
      <c r="AQ37" s="56"/>
      <c r="AR37" s="56"/>
      <c r="AS37" s="56"/>
      <c r="AT37" s="67"/>
      <c r="AU37" s="2"/>
      <c r="AV37" s="2"/>
      <c r="AW37" s="2"/>
      <c r="AX37" s="2"/>
    </row>
    <row r="38">
      <c r="A38" s="2"/>
      <c r="B38" s="2"/>
      <c r="C38" s="2"/>
      <c r="D38" s="2"/>
      <c r="E38" s="2"/>
      <c r="F38" s="2"/>
      <c r="G38" s="2"/>
      <c r="H38" s="2"/>
      <c r="I38" s="2"/>
      <c r="J38" s="2"/>
      <c r="K38" s="2"/>
      <c r="L38" s="42" t="str">
        <f>IFERROR(__xludf.DUMMYFUNCTION("""COMPUTED_VALUE"""),"MOSIP-554")</f>
        <v>MOSIP-554</v>
      </c>
      <c r="M38" s="54">
        <f>COUNTIFS('Pre-reg'!A2:A1000,L38,'Pre-reg'!C2:C1000,"&lt;&gt;"&amp;"") </f>
        <v>16</v>
      </c>
      <c r="N38" s="40">
        <f>COUNTIFS('Pre-reg'!A2:A1000,L38,'Pre-reg'!C2:C1000,"&lt;&gt;"&amp;"",'Pre-reg'!H2:H1000,"Pass")</f>
        <v>15</v>
      </c>
      <c r="O38" s="37">
        <f>COUNTIFS('Pre-reg'!A2:A1000,L38,'Pre-reg'!C2:C1000,"&lt;&gt;"&amp;"",'Pre-reg'!H2:H1000,"Fail")</f>
        <v>1</v>
      </c>
      <c r="P38" s="23">
        <f t="shared" si="1"/>
        <v>0</v>
      </c>
      <c r="Q38" s="42" t="str">
        <f>IFERROR(__xludf.DUMMYFUNCTION("""COMPUTED_VALUE"""),"MOSIP-13115")</f>
        <v>MOSIP-13115</v>
      </c>
      <c r="R38" s="39">
        <f>COUNTIFS(RegClient!A2:A983,Q38,RegClient!C2:C983,"&lt;&gt;"&amp;"") </f>
        <v>36</v>
      </c>
      <c r="S38" s="40">
        <f>COUNTIFS(RegClient!A2:A983,Q38,RegClient!C2:C983,"&lt;&gt;"&amp;"",RegClient!I2:I983,"Pass")</f>
        <v>36</v>
      </c>
      <c r="T38" s="37">
        <f>COUNTIFS(RegClient!A2:A983,Q38,RegClient!C2:C983,"&lt;&gt;"&amp;"",RegClient!I2:I983,"Fail)")</f>
        <v>0</v>
      </c>
      <c r="U38" s="26">
        <f t="shared" si="2"/>
        <v>0</v>
      </c>
      <c r="V38" s="24" t="str">
        <f>IFERROR(__xludf.DUMMYFUNCTION("""COMPUTED_VALUE"""),"MOSIP-12369")</f>
        <v>MOSIP-12369</v>
      </c>
      <c r="W38" s="39">
        <f>COUNTIFS(RegProc!A2:A968,V38,RegProc!C2:C968,"&lt;&gt;"&amp;"") </f>
        <v>6</v>
      </c>
      <c r="X38" s="40">
        <f>COUNTIFS(RegProc!A2:A968,V38,RegProc!C2:C968,"&lt;&gt;"&amp;"",RegProc!I2:I968,"Pass")</f>
        <v>6</v>
      </c>
      <c r="Y38" s="37">
        <f>COUNTIFS(RegProc!A2:A968,V38,RegProc!C2:C968,"&lt;&gt;"&amp;"",RegProc!I2:I968,"Fail")</f>
        <v>0</v>
      </c>
      <c r="Z38" s="26">
        <f t="shared" si="3"/>
        <v>0</v>
      </c>
      <c r="AA38" s="55"/>
      <c r="AB38" s="56"/>
      <c r="AC38" s="56"/>
      <c r="AD38" s="56"/>
      <c r="AE38" s="57"/>
      <c r="AF38" s="55"/>
      <c r="AG38" s="56"/>
      <c r="AH38" s="56"/>
      <c r="AI38" s="56"/>
      <c r="AJ38" s="57"/>
      <c r="AK38" s="68" t="str">
        <f>IFERROR(__xludf.DUMMYFUNCTION("""COMPUTED_VALUE"""),"MOSIP-13998")</f>
        <v>MOSIP-13998</v>
      </c>
      <c r="AL38" s="39">
        <f>COUNTIFS(IDA!A2:A1975,AK38,IDA!C2:C1975,"&lt;&gt;"&amp;"") </f>
        <v>6</v>
      </c>
      <c r="AM38" s="40">
        <f>COUNTIFS(IDA!A2:A1975,AK38,IDA!C2:C1975,"&lt;&gt;"&amp;"",IDA!I2:I1975,"Pass")</f>
        <v>6</v>
      </c>
      <c r="AN38" s="37">
        <f>COUNTIFS(IDA!A2:A1975,AK38,IDA!C2:C1975,"&lt;&gt;"&amp;"",IDA!I2:I1975,"Fail")</f>
        <v>0</v>
      </c>
      <c r="AO38" s="26">
        <f t="shared" si="6"/>
        <v>0</v>
      </c>
      <c r="AP38" s="55"/>
      <c r="AQ38" s="56"/>
      <c r="AR38" s="56"/>
      <c r="AS38" s="56"/>
      <c r="AT38" s="67"/>
      <c r="AU38" s="2"/>
      <c r="AV38" s="2"/>
      <c r="AW38" s="2"/>
      <c r="AX38" s="2"/>
    </row>
    <row r="39">
      <c r="A39" s="2"/>
      <c r="B39" s="2"/>
      <c r="C39" s="2"/>
      <c r="D39" s="2"/>
      <c r="E39" s="2"/>
      <c r="F39" s="2"/>
      <c r="G39" s="2"/>
      <c r="H39" s="2"/>
      <c r="I39" s="2"/>
      <c r="J39" s="2"/>
      <c r="K39" s="2"/>
      <c r="L39" s="42" t="str">
        <f>IFERROR(__xludf.DUMMYFUNCTION("""COMPUTED_VALUE"""),"MOSIP-17633")</f>
        <v>MOSIP-17633</v>
      </c>
      <c r="M39" s="54">
        <f>COUNTIFS('Pre-reg'!A2:A1000,L39,'Pre-reg'!C2:C1000,"&lt;&gt;"&amp;"") </f>
        <v>66</v>
      </c>
      <c r="N39" s="40">
        <f>COUNTIFS('Pre-reg'!A2:A1000,L39,'Pre-reg'!C2:C1000,"&lt;&gt;"&amp;"",'Pre-reg'!H2:H1000,"Pass")</f>
        <v>65</v>
      </c>
      <c r="O39" s="37">
        <f>COUNTIFS('Pre-reg'!A2:A1000,L39,'Pre-reg'!C2:C1000,"&lt;&gt;"&amp;"",'Pre-reg'!H2:H1000,"Fail")</f>
        <v>1</v>
      </c>
      <c r="P39" s="23">
        <f t="shared" si="1"/>
        <v>0</v>
      </c>
      <c r="Q39" s="42" t="str">
        <f>IFERROR(__xludf.DUMMYFUNCTION("""COMPUTED_VALUE"""),"MOSIP-8682")</f>
        <v>MOSIP-8682</v>
      </c>
      <c r="R39" s="39">
        <f>COUNTIFS(RegClient!A2:A983,Q39,RegClient!C2:C983,"&lt;&gt;"&amp;"") </f>
        <v>20</v>
      </c>
      <c r="S39" s="40">
        <f>COUNTIFS(RegClient!A2:A983,Q39,RegClient!C2:C983,"&lt;&gt;"&amp;"",RegClient!I2:I983,"Pass")</f>
        <v>20</v>
      </c>
      <c r="T39" s="37">
        <f>COUNTIFS(RegClient!A2:A983,Q39,RegClient!C2:C983,"&lt;&gt;"&amp;"",RegClient!I2:I983,"Fail)")</f>
        <v>0</v>
      </c>
      <c r="U39" s="26">
        <f t="shared" si="2"/>
        <v>0</v>
      </c>
      <c r="V39" s="24" t="str">
        <f>IFERROR(__xludf.DUMMYFUNCTION("""COMPUTED_VALUE"""),"MOSIP-12368")</f>
        <v>MOSIP-12368</v>
      </c>
      <c r="W39" s="39">
        <f>COUNTIFS(RegProc!A2:A968,V39,RegProc!C2:C968,"&lt;&gt;"&amp;"") </f>
        <v>4</v>
      </c>
      <c r="X39" s="40">
        <f>COUNTIFS(RegProc!A2:A968,V39,RegProc!C2:C968,"&lt;&gt;"&amp;"",RegProc!I2:I968,"Pass")</f>
        <v>4</v>
      </c>
      <c r="Y39" s="37">
        <f>COUNTIFS(RegProc!A2:A968,V39,RegProc!C2:C968,"&lt;&gt;"&amp;"",RegProc!I2:I968,"Fail")</f>
        <v>0</v>
      </c>
      <c r="Z39" s="26">
        <f t="shared" si="3"/>
        <v>0</v>
      </c>
      <c r="AA39" s="55"/>
      <c r="AB39" s="56"/>
      <c r="AC39" s="56"/>
      <c r="AD39" s="56"/>
      <c r="AE39" s="67"/>
      <c r="AF39" s="55"/>
      <c r="AG39" s="56"/>
      <c r="AH39" s="56"/>
      <c r="AI39" s="56"/>
      <c r="AJ39" s="67"/>
      <c r="AK39" s="68" t="str">
        <f>IFERROR(__xludf.DUMMYFUNCTION("""COMPUTED_VALUE"""),"MOSIP-16542")</f>
        <v>MOSIP-16542</v>
      </c>
      <c r="AL39" s="39">
        <f>COUNTIFS(IDA!A2:A1975,AK39,IDA!C2:C1975,"&lt;&gt;"&amp;"") </f>
        <v>5</v>
      </c>
      <c r="AM39" s="40">
        <f>COUNTIFS(IDA!A2:A1975,AK39,IDA!C2:C1975,"&lt;&gt;"&amp;"",IDA!I2:I1975,"Pass")</f>
        <v>5</v>
      </c>
      <c r="AN39" s="37">
        <f>COUNTIFS(IDA!A2:A1975,AK39,IDA!C2:C1975,"&lt;&gt;"&amp;"",IDA!I2:I1975,"Fail")</f>
        <v>0</v>
      </c>
      <c r="AO39" s="26">
        <f t="shared" si="6"/>
        <v>0</v>
      </c>
      <c r="AP39" s="55"/>
      <c r="AQ39" s="56"/>
      <c r="AR39" s="56"/>
      <c r="AS39" s="56"/>
      <c r="AT39" s="67"/>
      <c r="AU39" s="2"/>
      <c r="AV39" s="2"/>
      <c r="AW39" s="2"/>
      <c r="AX39" s="2"/>
    </row>
    <row r="40">
      <c r="A40" s="2"/>
      <c r="B40" s="2"/>
      <c r="C40" s="2"/>
      <c r="D40" s="2"/>
      <c r="E40" s="2"/>
      <c r="F40" s="2"/>
      <c r="G40" s="2"/>
      <c r="H40" s="2"/>
      <c r="I40" s="2"/>
      <c r="J40" s="2"/>
      <c r="K40" s="2"/>
      <c r="L40" s="42" t="str">
        <f>IFERROR(__xludf.DUMMYFUNCTION("""COMPUTED_VALUE"""),"MOSIP-11656")</f>
        <v>MOSIP-11656</v>
      </c>
      <c r="M40" s="54">
        <f>COUNTIFS('Pre-reg'!A2:A1000,L40,'Pre-reg'!C2:C1000,"&lt;&gt;"&amp;"") </f>
        <v>17</v>
      </c>
      <c r="N40" s="40">
        <f>COUNTIFS('Pre-reg'!A2:A1000,L40,'Pre-reg'!C2:C1000,"&lt;&gt;"&amp;"",'Pre-reg'!H2:H1000,"Pass")</f>
        <v>16</v>
      </c>
      <c r="O40" s="37">
        <f>COUNTIFS('Pre-reg'!A2:A1000,L40,'Pre-reg'!C2:C1000,"&lt;&gt;"&amp;"",'Pre-reg'!H2:H1000,"Fail")</f>
        <v>1</v>
      </c>
      <c r="P40" s="23">
        <f t="shared" si="1"/>
        <v>0</v>
      </c>
      <c r="Q40" s="3"/>
      <c r="R40" s="4"/>
      <c r="S40" s="4"/>
      <c r="T40" s="5"/>
      <c r="U40" s="6"/>
      <c r="V40" s="24" t="str">
        <f>IFERROR(__xludf.DUMMYFUNCTION("""COMPUTED_VALUE"""),"MOSIP-8565")</f>
        <v>MOSIP-8565</v>
      </c>
      <c r="W40" s="39">
        <f>COUNTIFS(RegProc!A2:A968,V40,RegProc!C2:C968,"&lt;&gt;"&amp;"") </f>
        <v>6</v>
      </c>
      <c r="X40" s="40">
        <f>COUNTIFS(RegProc!A2:A968,V40,RegProc!C2:C968,"&lt;&gt;"&amp;"",RegProc!I2:I968,"Pass")</f>
        <v>6</v>
      </c>
      <c r="Y40" s="37">
        <f>COUNTIFS(RegProc!A2:A968,V40,RegProc!C2:C968,"&lt;&gt;"&amp;"",RegProc!I2:I968,"Fail")</f>
        <v>0</v>
      </c>
      <c r="Z40" s="26">
        <f t="shared" si="3"/>
        <v>0</v>
      </c>
      <c r="AA40" s="55"/>
      <c r="AB40" s="56"/>
      <c r="AC40" s="56"/>
      <c r="AD40" s="56"/>
      <c r="AE40" s="67"/>
      <c r="AF40" s="55"/>
      <c r="AG40" s="56"/>
      <c r="AH40" s="56"/>
      <c r="AI40" s="56"/>
      <c r="AJ40" s="67"/>
      <c r="AK40" s="68" t="str">
        <f>IFERROR(__xludf.DUMMYFUNCTION("""COMPUTED_VALUE"""),"MOSIP-11728")</f>
        <v>MOSIP-11728</v>
      </c>
      <c r="AL40" s="39">
        <f>COUNTIFS(IDA!A2:A1975,AK40,IDA!C2:C1975,"&lt;&gt;"&amp;"") </f>
        <v>5</v>
      </c>
      <c r="AM40" s="40">
        <f>COUNTIFS(IDA!A2:A1975,AK40,IDA!C2:C1975,"&lt;&gt;"&amp;"",IDA!I2:I1975,"Pass")</f>
        <v>5</v>
      </c>
      <c r="AN40" s="37">
        <f>COUNTIFS(IDA!A2:A1975,AK40,IDA!C2:C1975,"&lt;&gt;"&amp;"",IDA!I2:I1975,"Fail")</f>
        <v>0</v>
      </c>
      <c r="AO40" s="26">
        <f t="shared" si="6"/>
        <v>0</v>
      </c>
      <c r="AP40" s="55"/>
      <c r="AQ40" s="56"/>
      <c r="AR40" s="56"/>
      <c r="AS40" s="56"/>
      <c r="AT40" s="67"/>
      <c r="AU40" s="2"/>
      <c r="AV40" s="2"/>
      <c r="AW40" s="2"/>
      <c r="AX40" s="2"/>
    </row>
    <row r="41">
      <c r="A41" s="2"/>
      <c r="B41" s="2"/>
      <c r="C41" s="2"/>
      <c r="D41" s="2"/>
      <c r="E41" s="2"/>
      <c r="F41" s="2"/>
      <c r="G41" s="2"/>
      <c r="H41" s="2"/>
      <c r="I41" s="2"/>
      <c r="J41" s="2"/>
      <c r="K41" s="2"/>
      <c r="L41" s="42" t="str">
        <f>IFERROR(__xludf.DUMMYFUNCTION("""COMPUTED_VALUE"""),"MOSIP_9997")</f>
        <v>MOSIP_9997</v>
      </c>
      <c r="M41" s="54">
        <f>COUNTIFS('Pre-reg'!A2:A1000,L41,'Pre-reg'!C2:C1000,"&lt;&gt;"&amp;"") </f>
        <v>7</v>
      </c>
      <c r="N41" s="40">
        <f>COUNTIFS('Pre-reg'!A2:A1000,L41,'Pre-reg'!C2:C1000,"&lt;&gt;"&amp;"",'Pre-reg'!H2:H1000,"Pass")</f>
        <v>6</v>
      </c>
      <c r="O41" s="37">
        <f>COUNTIFS('Pre-reg'!A2:A1000,L41,'Pre-reg'!C2:C1000,"&lt;&gt;"&amp;"",'Pre-reg'!H2:H1000,"Fail")</f>
        <v>1</v>
      </c>
      <c r="P41" s="23">
        <f t="shared" si="1"/>
        <v>0</v>
      </c>
      <c r="Q41" s="3"/>
      <c r="R41" s="4"/>
      <c r="S41" s="4"/>
      <c r="T41" s="5"/>
      <c r="U41" s="6"/>
      <c r="V41" s="24" t="str">
        <f>IFERROR(__xludf.DUMMYFUNCTION("""COMPUTED_VALUE"""),"MOSIP-12713")</f>
        <v>MOSIP-12713</v>
      </c>
      <c r="W41" s="39">
        <f>COUNTIFS(RegProc!A2:A968,V41,RegProc!C2:C968,"&lt;&gt;"&amp;"") </f>
        <v>3</v>
      </c>
      <c r="X41" s="40">
        <f>COUNTIFS(RegProc!A2:A968,V41,RegProc!C2:C968,"&lt;&gt;"&amp;"",RegProc!I2:I968,"Pass")</f>
        <v>3</v>
      </c>
      <c r="Y41" s="37">
        <f>COUNTIFS(RegProc!A2:A968,V41,RegProc!C2:C968,"&lt;&gt;"&amp;"",RegProc!I2:I968,"Fail")</f>
        <v>0</v>
      </c>
      <c r="Z41" s="26">
        <f t="shared" si="3"/>
        <v>0</v>
      </c>
      <c r="AA41" s="55"/>
      <c r="AB41" s="56"/>
      <c r="AC41" s="56"/>
      <c r="AD41" s="56"/>
      <c r="AE41" s="67"/>
      <c r="AF41" s="55"/>
      <c r="AG41" s="56"/>
      <c r="AH41" s="56"/>
      <c r="AI41" s="56"/>
      <c r="AJ41" s="67"/>
      <c r="AK41" s="69" t="str">
        <f>IFERROR(__xludf.DUMMYFUNCTION("""COMPUTED_VALUE"""),"MOSIP-11479")</f>
        <v>MOSIP-11479</v>
      </c>
      <c r="AL41" s="70">
        <f>COUNTIFS(IDA!A2:A1975,AK41,IDA!C2:C1975,"&lt;&gt;"&amp;"") </f>
        <v>8</v>
      </c>
      <c r="AM41" s="71">
        <f>COUNTIFS(IDA!A2:A1975,AK41,IDA!C2:C1975,"&lt;&gt;"&amp;"",IDA!I2:I1975,"Pass")</f>
        <v>8</v>
      </c>
      <c r="AN41" s="72">
        <f>COUNTIFS(IDA!A2:A1975,AK41,IDA!C2:C1975,"&lt;&gt;"&amp;"",IDA!I2:I1975,"Fail")</f>
        <v>0</v>
      </c>
      <c r="AO41" s="26">
        <f t="shared" si="6"/>
        <v>0</v>
      </c>
      <c r="AP41" s="55"/>
      <c r="AQ41" s="56"/>
      <c r="AR41" s="56"/>
      <c r="AS41" s="56"/>
      <c r="AT41" s="67"/>
      <c r="AU41" s="2"/>
      <c r="AV41" s="2"/>
      <c r="AW41" s="2"/>
      <c r="AX41" s="2"/>
    </row>
    <row r="42">
      <c r="A42" s="2"/>
      <c r="B42" s="2"/>
      <c r="C42" s="2"/>
      <c r="D42" s="2"/>
      <c r="E42" s="2"/>
      <c r="F42" s="2"/>
      <c r="G42" s="2"/>
      <c r="H42" s="2"/>
      <c r="I42" s="2"/>
      <c r="J42" s="2"/>
      <c r="K42" s="2"/>
      <c r="L42" s="73" t="str">
        <f>IFERROR(__xludf.DUMMYFUNCTION("""COMPUTED_VALUE"""),"MOSIP-8936")</f>
        <v>MOSIP-8936</v>
      </c>
      <c r="M42" s="34">
        <f>COUNTIFS('Pre-reg'!A2:A1000,L42,'Pre-reg'!C2:C1000,"&lt;&gt;"&amp;"") </f>
        <v>7</v>
      </c>
      <c r="N42" s="40">
        <f>COUNTIFS('Pre-reg'!A2:A1000,L42,'Pre-reg'!C2:C1000,"&lt;&gt;"&amp;"",'Pre-reg'!H2:H1000,"Pass")</f>
        <v>7</v>
      </c>
      <c r="O42" s="37">
        <f>COUNTIFS('Pre-reg'!A2:A1000,L42,'Pre-reg'!C2:C1000,"&lt;&gt;"&amp;"",'Pre-reg'!H2:H1000,"Fail")</f>
        <v>0</v>
      </c>
      <c r="P42" s="23">
        <f t="shared" si="1"/>
        <v>0</v>
      </c>
      <c r="Q42" s="3"/>
      <c r="R42" s="4"/>
      <c r="S42" s="4"/>
      <c r="T42" s="5"/>
      <c r="U42" s="6"/>
      <c r="V42" s="73" t="str">
        <f>IFERROR(__xludf.DUMMYFUNCTION("""COMPUTED_VALUE"""),"MOSIP-12228")</f>
        <v>MOSIP-12228</v>
      </c>
      <c r="W42" s="39">
        <f>COUNTIFS(RegProc!A2:A968,V42,RegProc!C2:C968,"&lt;&gt;"&amp;"") </f>
        <v>12</v>
      </c>
      <c r="X42" s="40">
        <f>COUNTIFS(RegProc!A2:A968,V42,RegProc!C2:C968,"&lt;&gt;"&amp;"",RegProc!I2:I968,"Pass")</f>
        <v>12</v>
      </c>
      <c r="Y42" s="37">
        <f>COUNTIFS(RegProc!A2:A968,V42,RegProc!C2:C968,"&lt;&gt;"&amp;"",RegProc!I2:I968,"Fail")</f>
        <v>0</v>
      </c>
      <c r="Z42" s="26">
        <f t="shared" si="3"/>
        <v>0</v>
      </c>
      <c r="AA42" s="55"/>
      <c r="AB42" s="56"/>
      <c r="AC42" s="56"/>
      <c r="AD42" s="56"/>
      <c r="AE42" s="67"/>
      <c r="AF42" s="55"/>
      <c r="AG42" s="56"/>
      <c r="AH42" s="56"/>
      <c r="AI42" s="56"/>
      <c r="AJ42" s="67"/>
      <c r="AK42" s="68" t="str">
        <f>IFERROR(__xludf.DUMMYFUNCTION("""COMPUTED_VALUE"""),"MOSIP-10802")</f>
        <v>MOSIP-10802</v>
      </c>
      <c r="AL42" s="39">
        <f>COUNTIFS(IDA!A2:A1975,AK42,IDA!C2:C1975,"&lt;&gt;"&amp;"") </f>
        <v>2</v>
      </c>
      <c r="AM42" s="40">
        <f>COUNTIFS(IDA!A2:A1975,AK42,IDA!C2:C1975,"&lt;&gt;"&amp;"",IDA!I2:I1975,"Pass")</f>
        <v>2</v>
      </c>
      <c r="AN42" s="37">
        <f>COUNTIFS(IDA!A2:A1975,AK42,IDA!C2:C1975,"&lt;&gt;"&amp;"",IDA!I2:I1975,"Fail")</f>
        <v>0</v>
      </c>
      <c r="AO42" s="74">
        <f t="shared" si="6"/>
        <v>0</v>
      </c>
      <c r="AP42" s="55"/>
      <c r="AQ42" s="56"/>
      <c r="AR42" s="56"/>
      <c r="AS42" s="56"/>
      <c r="AT42" s="67"/>
      <c r="AU42" s="2"/>
      <c r="AV42" s="2"/>
      <c r="AW42" s="2"/>
      <c r="AX42" s="2"/>
    </row>
    <row r="43">
      <c r="A43" s="2"/>
      <c r="B43" s="2"/>
      <c r="C43" s="2"/>
      <c r="D43" s="2"/>
      <c r="E43" s="2"/>
      <c r="F43" s="2"/>
      <c r="G43" s="2"/>
      <c r="H43" s="2"/>
      <c r="I43" s="2"/>
      <c r="J43" s="2"/>
      <c r="K43" s="2"/>
      <c r="L43" s="42" t="str">
        <f>IFERROR(__xludf.DUMMYFUNCTION("""COMPUTED_VALUE"""),"MOSIP-8575")</f>
        <v>MOSIP-8575</v>
      </c>
      <c r="M43" s="39">
        <f>COUNTIFS('Pre-reg'!A2:A1000,L43,'Pre-reg'!C2:C1000,"&lt;&gt;"&amp;"") </f>
        <v>9</v>
      </c>
      <c r="N43" s="40">
        <f>COUNTIFS('Pre-reg'!A2:A1000,L43,'Pre-reg'!C2:C1000,"&lt;&gt;"&amp;"",'Pre-reg'!H2:H1000,"Pass")</f>
        <v>9</v>
      </c>
      <c r="O43" s="37">
        <f>COUNTIFS('Pre-reg'!A2:A1000,L43,'Pre-reg'!C2:C1000,"&lt;&gt;"&amp;"",'Pre-reg'!H2:H1000,"Fail")</f>
        <v>0</v>
      </c>
      <c r="P43" s="23">
        <f t="shared" si="1"/>
        <v>0</v>
      </c>
      <c r="Q43" s="3"/>
      <c r="R43" s="4"/>
      <c r="S43" s="4"/>
      <c r="T43" s="5"/>
      <c r="U43" s="6"/>
      <c r="V43" s="42" t="str">
        <f>IFERROR(__xludf.DUMMYFUNCTION("""COMPUTED_VALUE"""),"MOSIP-12370")</f>
        <v>MOSIP-12370</v>
      </c>
      <c r="W43" s="39">
        <f>COUNTIFS(RegProc!A2:A968,V43,RegProc!C2:C968,"&lt;&gt;"&amp;"") </f>
        <v>3</v>
      </c>
      <c r="X43" s="40">
        <f>COUNTIFS(RegProc!A2:A968,V43,RegProc!C2:C968,"&lt;&gt;"&amp;"",RegProc!I2:I968,"Pass")</f>
        <v>0</v>
      </c>
      <c r="Y43" s="37">
        <f>COUNTIFS(RegProc!A2:A968,V43,RegProc!C2:C968,"&lt;&gt;"&amp;"",RegProc!I2:I968,"Fail")</f>
        <v>3</v>
      </c>
      <c r="Z43" s="26">
        <f t="shared" si="3"/>
        <v>0</v>
      </c>
      <c r="AA43" s="55"/>
      <c r="AB43" s="56"/>
      <c r="AC43" s="56"/>
      <c r="AD43" s="56"/>
      <c r="AE43" s="67"/>
      <c r="AF43" s="55"/>
      <c r="AG43" s="56"/>
      <c r="AH43" s="56"/>
      <c r="AI43" s="56"/>
      <c r="AJ43" s="67"/>
      <c r="AK43" s="68" t="str">
        <f>IFERROR(__xludf.DUMMYFUNCTION("""COMPUTED_VALUE"""),"MOSIP-10704")</f>
        <v>MOSIP-10704</v>
      </c>
      <c r="AL43" s="39">
        <f>COUNTIFS(IDA!A2:A1975,AK43,IDA!C2:C1975,"&lt;&gt;"&amp;"") </f>
        <v>3</v>
      </c>
      <c r="AM43" s="40">
        <f>COUNTIFS(IDA!A2:A1975,AK43,IDA!C2:C1975,"&lt;&gt;"&amp;"",IDA!I2:I1975,"Pass")</f>
        <v>1</v>
      </c>
      <c r="AN43" s="37">
        <f>COUNTIFS(IDA!A2:A1975,AK43,IDA!C2:C1975,"&lt;&gt;"&amp;"",IDA!I2:I1975,"Fail")</f>
        <v>2</v>
      </c>
      <c r="AO43" s="74">
        <f t="shared" si="6"/>
        <v>0</v>
      </c>
      <c r="AP43" s="55"/>
      <c r="AQ43" s="56"/>
      <c r="AR43" s="56"/>
      <c r="AS43" s="56"/>
      <c r="AT43" s="67"/>
      <c r="AU43" s="2"/>
      <c r="AV43" s="2"/>
      <c r="AW43" s="2"/>
      <c r="AX43" s="2"/>
    </row>
    <row r="44">
      <c r="A44" s="2"/>
      <c r="B44" s="2"/>
      <c r="C44" s="2"/>
      <c r="D44" s="2"/>
      <c r="E44" s="2"/>
      <c r="F44" s="2"/>
      <c r="G44" s="2"/>
      <c r="H44" s="2"/>
      <c r="I44" s="2"/>
      <c r="J44" s="2"/>
      <c r="K44" s="2"/>
      <c r="L44" s="42" t="str">
        <f>IFERROR(__xludf.DUMMYFUNCTION("""COMPUTED_VALUE"""),"MOSIP-8168")</f>
        <v>MOSIP-8168</v>
      </c>
      <c r="M44" s="39">
        <f>COUNTIFS('Pre-reg'!A2:A1000,L44,'Pre-reg'!C2:C1000,"&lt;&gt;"&amp;"") </f>
        <v>7</v>
      </c>
      <c r="N44" s="40">
        <f>COUNTIFS('Pre-reg'!A2:A1000,L44,'Pre-reg'!C2:C1000,"&lt;&gt;"&amp;"",'Pre-reg'!H2:H1000,"Pass")</f>
        <v>7</v>
      </c>
      <c r="O44" s="37">
        <f>COUNTIFS('Pre-reg'!A2:A1000,L44,'Pre-reg'!C2:C1000,"&lt;&gt;"&amp;"",'Pre-reg'!H2:H1000,"Fail")</f>
        <v>0</v>
      </c>
      <c r="P44" s="23">
        <f t="shared" si="1"/>
        <v>0</v>
      </c>
      <c r="Q44" s="3"/>
      <c r="R44" s="4"/>
      <c r="S44" s="4"/>
      <c r="T44" s="5"/>
      <c r="U44" s="6"/>
      <c r="V44" s="42" t="str">
        <f>IFERROR(__xludf.DUMMYFUNCTION("""COMPUTED_VALUE"""),"MOSIP-9843")</f>
        <v>MOSIP-9843</v>
      </c>
      <c r="W44" s="39">
        <f>COUNTIFS(RegProc!A2:A968,V44,RegProc!C2:C968,"&lt;&gt;"&amp;"") </f>
        <v>2</v>
      </c>
      <c r="X44" s="40">
        <f>COUNTIFS(RegProc!A2:A968,V44,RegProc!C2:C968,"&lt;&gt;"&amp;"",RegProc!I2:I968,"Pass")</f>
        <v>2</v>
      </c>
      <c r="Y44" s="37">
        <f>COUNTIFS(RegProc!A2:A968,V44,RegProc!C2:C968,"&lt;&gt;"&amp;"",RegProc!I2:I968,"Fail")</f>
        <v>0</v>
      </c>
      <c r="Z44" s="26">
        <f t="shared" si="3"/>
        <v>0</v>
      </c>
      <c r="AA44" s="55"/>
      <c r="AB44" s="56"/>
      <c r="AC44" s="56"/>
      <c r="AD44" s="56"/>
      <c r="AE44" s="67"/>
      <c r="AF44" s="55"/>
      <c r="AG44" s="56"/>
      <c r="AH44" s="56"/>
      <c r="AI44" s="56"/>
      <c r="AJ44" s="67"/>
      <c r="AK44" s="68" t="str">
        <f>IFERROR(__xludf.DUMMYFUNCTION("""COMPUTED_VALUE"""),"MOSIP-10477")</f>
        <v>MOSIP-10477</v>
      </c>
      <c r="AL44" s="39">
        <f>COUNTIFS(IDA!A2:A1975,AK44,IDA!C2:C1975,"&lt;&gt;"&amp;"") </f>
        <v>5</v>
      </c>
      <c r="AM44" s="40">
        <f>COUNTIFS(IDA!A2:A1975,AK44,IDA!C2:C1975,"&lt;&gt;"&amp;"",IDA!I2:I1975,"Pass")</f>
        <v>2</v>
      </c>
      <c r="AN44" s="37">
        <f>COUNTIFS(IDA!A2:A1975,AK44,IDA!C2:C1975,"&lt;&gt;"&amp;"",IDA!I2:I1975,"Fail")</f>
        <v>3</v>
      </c>
      <c r="AO44" s="74">
        <f t="shared" si="6"/>
        <v>0</v>
      </c>
      <c r="AP44" s="55"/>
      <c r="AQ44" s="56"/>
      <c r="AR44" s="56"/>
      <c r="AS44" s="56"/>
      <c r="AT44" s="67"/>
      <c r="AU44" s="2"/>
      <c r="AV44" s="2"/>
      <c r="AW44" s="2"/>
      <c r="AX44" s="2"/>
    </row>
    <row r="45">
      <c r="A45" s="2"/>
      <c r="B45" s="2"/>
      <c r="C45" s="2"/>
      <c r="D45" s="2"/>
      <c r="E45" s="2"/>
      <c r="F45" s="2"/>
      <c r="G45" s="2"/>
      <c r="H45" s="2"/>
      <c r="I45" s="2"/>
      <c r="J45" s="2"/>
      <c r="K45" s="2"/>
      <c r="L45" s="42" t="str">
        <f>IFERROR(__xludf.DUMMYFUNCTION("""COMPUTED_VALUE"""),"MOSIP-12618")</f>
        <v>MOSIP-12618</v>
      </c>
      <c r="M45" s="39">
        <f>COUNTIFS('Pre-reg'!A2:A1000,L45,'Pre-reg'!C2:C1000,"&lt;&gt;"&amp;"") </f>
        <v>25</v>
      </c>
      <c r="N45" s="40">
        <f>COUNTIFS('Pre-reg'!A2:A1000,L45,'Pre-reg'!C2:C1000,"&lt;&gt;"&amp;"",'Pre-reg'!H2:H1000,"Pass")</f>
        <v>25</v>
      </c>
      <c r="O45" s="37">
        <f>COUNTIFS('Pre-reg'!A2:A1000,L45,'Pre-reg'!C2:C1000,"&lt;&gt;"&amp;"",'Pre-reg'!H2:H1000,"Fail")</f>
        <v>0</v>
      </c>
      <c r="P45" s="23">
        <f t="shared" si="1"/>
        <v>0</v>
      </c>
      <c r="Q45" s="3"/>
      <c r="R45" s="4"/>
      <c r="S45" s="4"/>
      <c r="T45" s="5"/>
      <c r="U45" s="6"/>
      <c r="V45" s="42" t="str">
        <f>IFERROR(__xludf.DUMMYFUNCTION("""COMPUTED_VALUE"""),"MOSIP-11474")</f>
        <v>MOSIP-11474</v>
      </c>
      <c r="W45" s="39">
        <f>COUNTIFS(RegProc!A2:A968,V45,RegProc!C2:C968,"&lt;&gt;"&amp;"") </f>
        <v>3</v>
      </c>
      <c r="X45" s="40">
        <f>COUNTIFS(RegProc!A2:A968,V45,RegProc!C2:C968,"&lt;&gt;"&amp;"",RegProc!I2:I968,"Pass")</f>
        <v>3</v>
      </c>
      <c r="Y45" s="37">
        <f>COUNTIFS(RegProc!A2:A968,V45,RegProc!C2:C968,"&lt;&gt;"&amp;"",RegProc!I2:I968,"Fail")</f>
        <v>0</v>
      </c>
      <c r="Z45" s="26">
        <f t="shared" si="3"/>
        <v>0</v>
      </c>
      <c r="AA45" s="55"/>
      <c r="AB45" s="56"/>
      <c r="AC45" s="56"/>
      <c r="AD45" s="56"/>
      <c r="AE45" s="67"/>
      <c r="AF45" s="55"/>
      <c r="AG45" s="56"/>
      <c r="AH45" s="56"/>
      <c r="AI45" s="56"/>
      <c r="AJ45" s="67"/>
      <c r="AK45" s="68" t="str">
        <f>IFERROR(__xludf.DUMMYFUNCTION("""COMPUTED_VALUE"""),"MOSIP-10334")</f>
        <v>MOSIP-10334</v>
      </c>
      <c r="AL45" s="39">
        <f>COUNTIFS(IDA!A2:A1975,AK45,IDA!C2:C1975,"&lt;&gt;"&amp;"") </f>
        <v>5</v>
      </c>
      <c r="AM45" s="40">
        <f>COUNTIFS(IDA!A2:A1975,AK45,IDA!C2:C1975,"&lt;&gt;"&amp;"",IDA!I2:I1975,"Pass")</f>
        <v>5</v>
      </c>
      <c r="AN45" s="37">
        <f>COUNTIFS(IDA!A2:A1975,AK45,IDA!C2:C1975,"&lt;&gt;"&amp;"",IDA!I2:I1975,"Fail")</f>
        <v>0</v>
      </c>
      <c r="AO45" s="74">
        <f t="shared" si="6"/>
        <v>0</v>
      </c>
      <c r="AP45" s="55"/>
      <c r="AQ45" s="56"/>
      <c r="AR45" s="56"/>
      <c r="AS45" s="56"/>
      <c r="AT45" s="67"/>
      <c r="AU45" s="2"/>
      <c r="AV45" s="2"/>
      <c r="AW45" s="2"/>
      <c r="AX45" s="2"/>
    </row>
    <row r="46">
      <c r="A46" s="2"/>
      <c r="B46" s="2"/>
      <c r="C46" s="2"/>
      <c r="D46" s="2"/>
      <c r="E46" s="2"/>
      <c r="F46" s="2"/>
      <c r="G46" s="2"/>
      <c r="H46" s="2"/>
      <c r="I46" s="2"/>
      <c r="J46" s="2"/>
      <c r="K46" s="2"/>
      <c r="L46" s="42" t="str">
        <f>IFERROR(__xludf.DUMMYFUNCTION("""COMPUTED_VALUE"""),"MOSIP-11296")</f>
        <v>MOSIP-11296</v>
      </c>
      <c r="M46" s="39">
        <f>COUNTIFS('Pre-reg'!A2:A1000,L46,'Pre-reg'!C2:C1000,"&lt;&gt;"&amp;"") </f>
        <v>16</v>
      </c>
      <c r="N46" s="40">
        <f>COUNTIFS('Pre-reg'!A2:A1000,L46,'Pre-reg'!C2:C1000,"&lt;&gt;"&amp;"",'Pre-reg'!H2:H1000,"Pass")</f>
        <v>16</v>
      </c>
      <c r="O46" s="37">
        <f>COUNTIFS('Pre-reg'!A2:A1000,L46,'Pre-reg'!C2:C1000,"&lt;&gt;"&amp;"",'Pre-reg'!H2:H1000,"Fail")</f>
        <v>0</v>
      </c>
      <c r="P46" s="23">
        <f t="shared" si="1"/>
        <v>0</v>
      </c>
      <c r="Q46" s="3"/>
      <c r="R46" s="4"/>
      <c r="S46" s="4"/>
      <c r="T46" s="5"/>
      <c r="U46" s="6"/>
      <c r="V46" s="3"/>
      <c r="W46" s="4"/>
      <c r="X46" s="4"/>
      <c r="Y46" s="5"/>
      <c r="Z46" s="6"/>
      <c r="AA46" s="55"/>
      <c r="AB46" s="56"/>
      <c r="AC46" s="56"/>
      <c r="AD46" s="56"/>
      <c r="AE46" s="67"/>
      <c r="AF46" s="55"/>
      <c r="AG46" s="56"/>
      <c r="AH46" s="56"/>
      <c r="AI46" s="56"/>
      <c r="AJ46" s="67"/>
      <c r="AK46" s="68" t="str">
        <f>IFERROR(__xludf.DUMMYFUNCTION("""COMPUTED_VALUE"""),"MOSIP-9800")</f>
        <v>MOSIP-9800</v>
      </c>
      <c r="AL46" s="39">
        <f>COUNTIFS(IDA!A2:A1975,AK46,IDA!C2:C1975,"&lt;&gt;"&amp;"") </f>
        <v>2</v>
      </c>
      <c r="AM46" s="40">
        <f>COUNTIFS(IDA!A2:A1975,AK46,IDA!C2:C1975,"&lt;&gt;"&amp;"",IDA!I2:I1975,"Pass")</f>
        <v>2</v>
      </c>
      <c r="AN46" s="37">
        <f>COUNTIFS(IDA!A2:A1975,AK46,IDA!C2:C1975,"&lt;&gt;"&amp;"",IDA!I2:I1975,"Fail")</f>
        <v>0</v>
      </c>
      <c r="AO46" s="74">
        <f t="shared" si="6"/>
        <v>0</v>
      </c>
      <c r="AP46" s="55"/>
      <c r="AQ46" s="56"/>
      <c r="AR46" s="56"/>
      <c r="AS46" s="56"/>
      <c r="AT46" s="67"/>
      <c r="AU46" s="2"/>
      <c r="AV46" s="2"/>
      <c r="AW46" s="2"/>
      <c r="AX46" s="2"/>
    </row>
    <row r="47">
      <c r="A47" s="2"/>
      <c r="B47" s="2"/>
      <c r="C47" s="2"/>
      <c r="D47" s="2"/>
      <c r="E47" s="2"/>
      <c r="F47" s="2"/>
      <c r="G47" s="2"/>
      <c r="H47" s="2"/>
      <c r="I47" s="2"/>
      <c r="J47" s="2"/>
      <c r="K47" s="2"/>
      <c r="L47" s="42" t="str">
        <f>IFERROR(__xludf.DUMMYFUNCTION("""COMPUTED_VALUE"""),"MOSIP-17337")</f>
        <v>MOSIP-17337</v>
      </c>
      <c r="M47" s="39">
        <f>COUNTIFS('Pre-reg'!A2:A1000,L47,'Pre-reg'!C2:C1000,"&lt;&gt;"&amp;"") </f>
        <v>10</v>
      </c>
      <c r="N47" s="40">
        <f>COUNTIFS('Pre-reg'!A2:A1000,L47,'Pre-reg'!C2:C1000,"&lt;&gt;"&amp;"",'Pre-reg'!H2:H1000,"Pass")</f>
        <v>9</v>
      </c>
      <c r="O47" s="37">
        <f>COUNTIFS('Pre-reg'!A2:A1000,L47,'Pre-reg'!C2:C1000,"&lt;&gt;"&amp;"",'Pre-reg'!H2:H1000,"Fail")</f>
        <v>1</v>
      </c>
      <c r="P47" s="75">
        <f t="shared" si="1"/>
        <v>0</v>
      </c>
      <c r="Q47" s="76"/>
      <c r="R47" s="4"/>
      <c r="S47" s="4"/>
      <c r="T47" s="5"/>
      <c r="U47" s="6"/>
      <c r="V47" s="3"/>
      <c r="W47" s="4"/>
      <c r="X47" s="4"/>
      <c r="Y47" s="5"/>
      <c r="Z47" s="6"/>
      <c r="AA47" s="55"/>
      <c r="AB47" s="56"/>
      <c r="AC47" s="56"/>
      <c r="AD47" s="56"/>
      <c r="AE47" s="67"/>
      <c r="AF47" s="55"/>
      <c r="AG47" s="56"/>
      <c r="AH47" s="56"/>
      <c r="AI47" s="56"/>
      <c r="AJ47" s="67"/>
      <c r="AK47" s="68" t="str">
        <f>IFERROR(__xludf.DUMMYFUNCTION("""COMPUTED_VALUE"""),"MOSIP-10822")</f>
        <v>MOSIP-10822</v>
      </c>
      <c r="AL47" s="39">
        <f>COUNTIFS(IDA!A2:A1975,AK47,IDA!C2:C1975,"&lt;&gt;"&amp;"") </f>
        <v>7</v>
      </c>
      <c r="AM47" s="40">
        <f>COUNTIFS(IDA!A2:A1975,AK47,IDA!C2:C1975,"&lt;&gt;"&amp;"",IDA!I2:I1975,"Pass")</f>
        <v>7</v>
      </c>
      <c r="AN47" s="37">
        <f>COUNTIFS(IDA!A2:A1975,AK47,IDA!C2:C1975,"&lt;&gt;"&amp;"",IDA!I2:I1975,"Fail")</f>
        <v>0</v>
      </c>
      <c r="AO47" s="74">
        <f t="shared" si="6"/>
        <v>0</v>
      </c>
      <c r="AP47" s="55"/>
      <c r="AQ47" s="56"/>
      <c r="AR47" s="56"/>
      <c r="AS47" s="56"/>
      <c r="AT47" s="67"/>
      <c r="AU47" s="2"/>
      <c r="AV47" s="2"/>
      <c r="AW47" s="2"/>
      <c r="AX47" s="2"/>
    </row>
    <row r="48">
      <c r="A48" s="2"/>
      <c r="B48" s="2"/>
      <c r="C48" s="2"/>
      <c r="D48" s="2"/>
      <c r="E48" s="2"/>
      <c r="F48" s="2"/>
      <c r="G48" s="2"/>
      <c r="H48" s="2"/>
      <c r="I48" s="2"/>
      <c r="J48" s="2"/>
      <c r="K48" s="2"/>
      <c r="L48" s="3"/>
      <c r="M48" s="4"/>
      <c r="N48" s="4"/>
      <c r="O48" s="5"/>
      <c r="P48" s="6"/>
      <c r="Q48" s="3"/>
      <c r="R48" s="4"/>
      <c r="S48" s="4"/>
      <c r="T48" s="5"/>
      <c r="U48" s="6"/>
      <c r="V48" s="3"/>
      <c r="W48" s="4"/>
      <c r="X48" s="4"/>
      <c r="Y48" s="5"/>
      <c r="Z48" s="6"/>
      <c r="AA48" s="55"/>
      <c r="AB48" s="56"/>
      <c r="AC48" s="56"/>
      <c r="AD48" s="56"/>
      <c r="AE48" s="67"/>
      <c r="AF48" s="55"/>
      <c r="AG48" s="56"/>
      <c r="AH48" s="56"/>
      <c r="AI48" s="56"/>
      <c r="AJ48" s="67"/>
      <c r="AK48" s="68" t="str">
        <f>IFERROR(__xludf.DUMMYFUNCTION("""COMPUTED_VALUE"""),"MOSIP-8726")</f>
        <v>MOSIP-8726</v>
      </c>
      <c r="AL48" s="39">
        <f>COUNTIFS(IDA!A2:A1975,AK48,IDA!C2:C1975,"&lt;&gt;"&amp;"") </f>
        <v>15</v>
      </c>
      <c r="AM48" s="40">
        <f>COUNTIFS(IDA!A2:A1975,AK48,IDA!C2:C1975,"&lt;&gt;"&amp;"",IDA!I2:I1975,"Pass")</f>
        <v>15</v>
      </c>
      <c r="AN48" s="37">
        <f>COUNTIFS(IDA!A2:A1975,AK48,IDA!C2:C1975,"&lt;&gt;"&amp;"",IDA!I2:I1975,"Fail")</f>
        <v>0</v>
      </c>
      <c r="AO48" s="74">
        <f t="shared" si="6"/>
        <v>0</v>
      </c>
      <c r="AP48" s="55"/>
      <c r="AQ48" s="56"/>
      <c r="AR48" s="56"/>
      <c r="AS48" s="56"/>
      <c r="AT48" s="67"/>
      <c r="AU48" s="2"/>
      <c r="AV48" s="2"/>
      <c r="AW48" s="2"/>
      <c r="AX48" s="2"/>
    </row>
    <row r="49">
      <c r="A49" s="2"/>
      <c r="B49" s="2"/>
      <c r="C49" s="2"/>
      <c r="D49" s="2"/>
      <c r="E49" s="2"/>
      <c r="F49" s="2"/>
      <c r="G49" s="2"/>
      <c r="H49" s="2"/>
      <c r="I49" s="2"/>
      <c r="J49" s="2"/>
      <c r="K49" s="2"/>
      <c r="L49" s="3"/>
      <c r="M49" s="4"/>
      <c r="N49" s="4"/>
      <c r="O49" s="5"/>
      <c r="P49" s="6"/>
      <c r="Q49" s="3"/>
      <c r="R49" s="4"/>
      <c r="S49" s="4"/>
      <c r="T49" s="5"/>
      <c r="U49" s="6"/>
      <c r="V49" s="3"/>
      <c r="W49" s="4"/>
      <c r="X49" s="4"/>
      <c r="Y49" s="5"/>
      <c r="Z49" s="6"/>
      <c r="AA49" s="55"/>
      <c r="AB49" s="56"/>
      <c r="AC49" s="56"/>
      <c r="AD49" s="56"/>
      <c r="AE49" s="67"/>
      <c r="AF49" s="55"/>
      <c r="AG49" s="56"/>
      <c r="AH49" s="56"/>
      <c r="AI49" s="56"/>
      <c r="AJ49" s="67"/>
      <c r="AK49" s="77" t="str">
        <f>IFERROR(__xludf.DUMMYFUNCTION("""COMPUTED_VALUE"""),"MOSIP-17072")</f>
        <v>MOSIP-17072</v>
      </c>
      <c r="AL49" s="39">
        <f>COUNTIFS(IDA!A2:A1975,AK49,IDA!C2:C1975,"&lt;&gt;"&amp;"") </f>
        <v>24</v>
      </c>
      <c r="AM49" s="40">
        <f>COUNTIFS(IDA!A2:A1975,AK49,IDA!C2:C1975,"&lt;&gt;"&amp;"",IDA!I2:I1975,"Pass")</f>
        <v>23</v>
      </c>
      <c r="AN49" s="37">
        <f>COUNTIFS(IDA!A2:A1975,AK49,IDA!C2:C1975,"&lt;&gt;"&amp;"",IDA!I2:I1975,"Fail")</f>
        <v>1</v>
      </c>
      <c r="AO49" s="74">
        <f t="shared" si="6"/>
        <v>0</v>
      </c>
      <c r="AP49" s="55"/>
      <c r="AQ49" s="56"/>
      <c r="AR49" s="56"/>
      <c r="AS49" s="56"/>
      <c r="AT49" s="67"/>
      <c r="AU49" s="2"/>
      <c r="AV49" s="2"/>
      <c r="AW49" s="2"/>
      <c r="AX49" s="2"/>
    </row>
    <row r="50">
      <c r="A50" s="2"/>
      <c r="B50" s="2"/>
      <c r="C50" s="2"/>
      <c r="D50" s="2"/>
      <c r="E50" s="2"/>
      <c r="F50" s="2"/>
      <c r="G50" s="2"/>
      <c r="H50" s="2"/>
      <c r="I50" s="2"/>
      <c r="J50" s="2"/>
      <c r="K50" s="2"/>
      <c r="L50" s="3"/>
      <c r="M50" s="4"/>
      <c r="N50" s="4"/>
      <c r="O50" s="5"/>
      <c r="P50" s="6"/>
      <c r="Q50" s="3"/>
      <c r="R50" s="4"/>
      <c r="S50" s="4"/>
      <c r="T50" s="5"/>
      <c r="U50" s="6"/>
      <c r="V50" s="3"/>
      <c r="W50" s="4"/>
      <c r="X50" s="4"/>
      <c r="Y50" s="5"/>
      <c r="Z50" s="6"/>
      <c r="AA50" s="55"/>
      <c r="AB50" s="56"/>
      <c r="AC50" s="56"/>
      <c r="AD50" s="56"/>
      <c r="AE50" s="67"/>
      <c r="AF50" s="55"/>
      <c r="AG50" s="56"/>
      <c r="AH50" s="56"/>
      <c r="AI50" s="56"/>
      <c r="AJ50" s="67"/>
      <c r="AK50" s="77" t="str">
        <f>IFERROR(__xludf.DUMMYFUNCTION("""COMPUTED_VALUE"""),"MOSIP-15975")</f>
        <v>MOSIP-15975</v>
      </c>
      <c r="AL50" s="39">
        <f>COUNTIFS(IDA!A2:A1975,AK50,IDA!C2:C1975,"&lt;&gt;"&amp;"") </f>
        <v>10</v>
      </c>
      <c r="AM50" s="40">
        <f>COUNTIFS(IDA!A2:A1975,AK50,IDA!C2:C1975,"&lt;&gt;"&amp;"",IDA!I2:I1975,"Pass")</f>
        <v>10</v>
      </c>
      <c r="AN50" s="37">
        <f>COUNTIFS(IDA!A2:A1975,AK50,IDA!C2:C1975,"&lt;&gt;"&amp;"",IDA!I2:I1975,"Fail")</f>
        <v>0</v>
      </c>
      <c r="AO50" s="74">
        <f t="shared" si="6"/>
        <v>0</v>
      </c>
      <c r="AP50" s="55"/>
      <c r="AQ50" s="56"/>
      <c r="AR50" s="56"/>
      <c r="AS50" s="56"/>
      <c r="AT50" s="67"/>
      <c r="AU50" s="2"/>
      <c r="AV50" s="2"/>
      <c r="AW50" s="2"/>
      <c r="AX50" s="2"/>
    </row>
    <row r="51">
      <c r="A51" s="2"/>
      <c r="B51" s="2"/>
      <c r="C51" s="2"/>
      <c r="D51" s="2"/>
      <c r="E51" s="2"/>
      <c r="F51" s="2"/>
      <c r="G51" s="2"/>
      <c r="H51" s="2"/>
      <c r="I51" s="2"/>
      <c r="J51" s="2"/>
      <c r="K51" s="2"/>
      <c r="L51" s="3"/>
      <c r="M51" s="4"/>
      <c r="N51" s="4"/>
      <c r="O51" s="5"/>
      <c r="P51" s="6"/>
      <c r="Q51" s="3"/>
      <c r="R51" s="4"/>
      <c r="S51" s="4"/>
      <c r="T51" s="5"/>
      <c r="U51" s="6"/>
      <c r="V51" s="3"/>
      <c r="W51" s="4"/>
      <c r="X51" s="4"/>
      <c r="Y51" s="5"/>
      <c r="Z51" s="6"/>
      <c r="AA51" s="55"/>
      <c r="AB51" s="56"/>
      <c r="AC51" s="56"/>
      <c r="AD51" s="56"/>
      <c r="AE51" s="67"/>
      <c r="AF51" s="55"/>
      <c r="AG51" s="56"/>
      <c r="AH51" s="56"/>
      <c r="AI51" s="56"/>
      <c r="AJ51" s="67"/>
      <c r="AK51" s="77" t="str">
        <f>IFERROR(__xludf.DUMMYFUNCTION("""COMPUTED_VALUE"""),"MOSIP-16602")</f>
        <v>MOSIP-16602</v>
      </c>
      <c r="AL51" s="39">
        <f>COUNTIFS(IDA!A2:A1975,AK51,IDA!C2:C1975,"&lt;&gt;"&amp;"") </f>
        <v>16</v>
      </c>
      <c r="AM51" s="40">
        <f>COUNTIFS(IDA!A2:A1975,AK51,IDA!C2:C1975,"&lt;&gt;"&amp;"",IDA!I2:I1975,"Pass")</f>
        <v>16</v>
      </c>
      <c r="AN51" s="37">
        <f>COUNTIFS(IDA!A2:A1975,AK51,IDA!C2:C1975,"&lt;&gt;"&amp;"",IDA!I2:I1975,"Fail")</f>
        <v>0</v>
      </c>
      <c r="AO51" s="74">
        <f t="shared" si="6"/>
        <v>0</v>
      </c>
      <c r="AP51" s="55"/>
      <c r="AQ51" s="56"/>
      <c r="AR51" s="56"/>
      <c r="AS51" s="56"/>
      <c r="AT51" s="67"/>
      <c r="AU51" s="2"/>
      <c r="AV51" s="2"/>
      <c r="AW51" s="2"/>
      <c r="AX51" s="2"/>
    </row>
    <row r="52">
      <c r="A52" s="2"/>
      <c r="B52" s="2"/>
      <c r="C52" s="2"/>
      <c r="D52" s="2"/>
      <c r="E52" s="2"/>
      <c r="F52" s="2"/>
      <c r="G52" s="2"/>
      <c r="H52" s="2"/>
      <c r="I52" s="2"/>
      <c r="J52" s="2"/>
      <c r="K52" s="2"/>
      <c r="L52" s="3"/>
      <c r="M52" s="4"/>
      <c r="N52" s="4"/>
      <c r="O52" s="5"/>
      <c r="P52" s="6"/>
      <c r="Q52" s="55"/>
      <c r="R52" s="56"/>
      <c r="S52" s="56"/>
      <c r="T52" s="56"/>
      <c r="U52" s="57"/>
      <c r="V52" s="3"/>
      <c r="W52" s="4"/>
      <c r="X52" s="4"/>
      <c r="Y52" s="5"/>
      <c r="Z52" s="6"/>
      <c r="AA52" s="55"/>
      <c r="AB52" s="56"/>
      <c r="AC52" s="56"/>
      <c r="AD52" s="56"/>
      <c r="AE52" s="67"/>
      <c r="AF52" s="55"/>
      <c r="AG52" s="56"/>
      <c r="AH52" s="56"/>
      <c r="AI52" s="56"/>
      <c r="AJ52" s="67"/>
      <c r="AK52" s="77" t="str">
        <f>IFERROR(__xludf.DUMMYFUNCTION("""COMPUTED_VALUE"""),"MOSIP-15694")</f>
        <v>MOSIP-15694</v>
      </c>
      <c r="AL52" s="39">
        <f>COUNTIFS(IDA!A2:A1975,AK52,IDA!C2:C1975,"&lt;&gt;"&amp;"") </f>
        <v>1</v>
      </c>
      <c r="AM52" s="40">
        <f>COUNTIFS(IDA!A2:A1975,AK52,IDA!C2:C1975,"&lt;&gt;"&amp;"",IDA!I2:I1975,"Pass")</f>
        <v>1</v>
      </c>
      <c r="AN52" s="37">
        <f>COUNTIFS(IDA!A2:A1975,AK52,IDA!C2:C1975,"&lt;&gt;"&amp;"",IDA!I2:I1975,"Fail")</f>
        <v>0</v>
      </c>
      <c r="AO52" s="74">
        <f t="shared" si="6"/>
        <v>0</v>
      </c>
      <c r="AP52" s="55"/>
      <c r="AQ52" s="56"/>
      <c r="AR52" s="56"/>
      <c r="AS52" s="56"/>
      <c r="AT52" s="67"/>
      <c r="AU52" s="2"/>
      <c r="AV52" s="2"/>
      <c r="AW52" s="2"/>
      <c r="AX52" s="2"/>
    </row>
    <row r="53">
      <c r="A53" s="2"/>
      <c r="B53" s="2"/>
      <c r="C53" s="2"/>
      <c r="D53" s="2"/>
      <c r="E53" s="2"/>
      <c r="F53" s="2"/>
      <c r="G53" s="2"/>
      <c r="H53" s="2"/>
      <c r="I53" s="2"/>
      <c r="J53" s="2"/>
      <c r="K53" s="2"/>
      <c r="L53" s="3"/>
      <c r="M53" s="4"/>
      <c r="N53" s="4"/>
      <c r="O53" s="5"/>
      <c r="P53" s="6"/>
      <c r="Q53" s="55"/>
      <c r="R53" s="56"/>
      <c r="S53" s="56"/>
      <c r="T53" s="56"/>
      <c r="U53" s="57"/>
      <c r="V53" s="55"/>
      <c r="W53" s="56"/>
      <c r="X53" s="56"/>
      <c r="Y53" s="56"/>
      <c r="Z53" s="57"/>
      <c r="AA53" s="55"/>
      <c r="AB53" s="56"/>
      <c r="AC53" s="56"/>
      <c r="AD53" s="56"/>
      <c r="AE53" s="67"/>
      <c r="AF53" s="55"/>
      <c r="AG53" s="56"/>
      <c r="AH53" s="56"/>
      <c r="AI53" s="56"/>
      <c r="AJ53" s="67"/>
      <c r="AK53" s="77" t="str">
        <f>IFERROR(__xludf.DUMMYFUNCTION("""COMPUTED_VALUE"""),"MOSIP-14740")</f>
        <v>MOSIP-14740</v>
      </c>
      <c r="AL53" s="39">
        <f>COUNTIFS(IDA!A2:A1975,AK53,IDA!C2:C1975,"&lt;&gt;"&amp;"") </f>
        <v>1</v>
      </c>
      <c r="AM53" s="40">
        <f>COUNTIFS(IDA!A2:A1975,AK53,IDA!C2:C1975,"&lt;&gt;"&amp;"",IDA!I2:I1975,"Pass")</f>
        <v>1</v>
      </c>
      <c r="AN53" s="37">
        <f>COUNTIFS(IDA!A2:A1975,AK53,IDA!C2:C1975,"&lt;&gt;"&amp;"",IDA!I2:I1975,"Fail")</f>
        <v>0</v>
      </c>
      <c r="AO53" s="74">
        <f t="shared" si="6"/>
        <v>0</v>
      </c>
      <c r="AP53" s="55"/>
      <c r="AQ53" s="56"/>
      <c r="AR53" s="56"/>
      <c r="AS53" s="56"/>
      <c r="AT53" s="67"/>
      <c r="AU53" s="2"/>
      <c r="AV53" s="2"/>
      <c r="AW53" s="2"/>
      <c r="AX53" s="2"/>
    </row>
    <row r="54">
      <c r="A54" s="2"/>
      <c r="B54" s="2"/>
      <c r="C54" s="2"/>
      <c r="D54" s="2"/>
      <c r="E54" s="2"/>
      <c r="F54" s="2"/>
      <c r="G54" s="2"/>
      <c r="H54" s="2"/>
      <c r="I54" s="2"/>
      <c r="J54" s="2"/>
      <c r="K54" s="2"/>
      <c r="L54" s="3"/>
      <c r="M54" s="4"/>
      <c r="N54" s="4"/>
      <c r="O54" s="5"/>
      <c r="P54" s="6"/>
      <c r="Q54" s="55"/>
      <c r="R54" s="56"/>
      <c r="S54" s="56"/>
      <c r="T54" s="56"/>
      <c r="U54" s="57"/>
      <c r="V54" s="55"/>
      <c r="W54" s="56"/>
      <c r="X54" s="56"/>
      <c r="Y54" s="56"/>
      <c r="Z54" s="57"/>
      <c r="AA54" s="55"/>
      <c r="AB54" s="56"/>
      <c r="AC54" s="56"/>
      <c r="AD54" s="56"/>
      <c r="AE54" s="67"/>
      <c r="AF54" s="55"/>
      <c r="AG54" s="56"/>
      <c r="AH54" s="56"/>
      <c r="AI54" s="56"/>
      <c r="AJ54" s="67"/>
      <c r="AK54" s="77" t="str">
        <f>IFERROR(__xludf.DUMMYFUNCTION("""COMPUTED_VALUE"""),"MOSIP-14494")</f>
        <v>MOSIP-14494</v>
      </c>
      <c r="AL54" s="39">
        <f>COUNTIFS(IDA!A2:A1975,AK54,IDA!C2:C1975,"&lt;&gt;"&amp;"") </f>
        <v>2</v>
      </c>
      <c r="AM54" s="40">
        <f>COUNTIFS(IDA!A2:A1975,AK54,IDA!C2:C1975,"&lt;&gt;"&amp;"",IDA!I2:I1975,"Pass")</f>
        <v>2</v>
      </c>
      <c r="AN54" s="37">
        <f>COUNTIFS(IDA!A2:A1975,AK54,IDA!C2:C1975,"&lt;&gt;"&amp;"",IDA!I2:I1975,"Fail")</f>
        <v>0</v>
      </c>
      <c r="AO54" s="74">
        <f t="shared" si="6"/>
        <v>0</v>
      </c>
      <c r="AP54" s="55"/>
      <c r="AQ54" s="56"/>
      <c r="AR54" s="56"/>
      <c r="AS54" s="56"/>
      <c r="AT54" s="67"/>
      <c r="AU54" s="2"/>
      <c r="AV54" s="2"/>
      <c r="AW54" s="2"/>
      <c r="AX54" s="2"/>
    </row>
    <row r="55">
      <c r="A55" s="2"/>
      <c r="B55" s="2"/>
      <c r="C55" s="2"/>
      <c r="D55" s="2"/>
      <c r="E55" s="2"/>
      <c r="F55" s="2"/>
      <c r="G55" s="2"/>
      <c r="H55" s="2"/>
      <c r="I55" s="2"/>
      <c r="J55" s="2"/>
      <c r="K55" s="2"/>
      <c r="L55" s="3"/>
      <c r="M55" s="4"/>
      <c r="N55" s="4"/>
      <c r="O55" s="5"/>
      <c r="P55" s="6"/>
      <c r="Q55" s="55"/>
      <c r="R55" s="56"/>
      <c r="S55" s="56"/>
      <c r="T55" s="56"/>
      <c r="U55" s="57"/>
      <c r="V55" s="55"/>
      <c r="W55" s="56"/>
      <c r="X55" s="56"/>
      <c r="Y55" s="56"/>
      <c r="Z55" s="57"/>
      <c r="AA55" s="55"/>
      <c r="AB55" s="56"/>
      <c r="AC55" s="56"/>
      <c r="AD55" s="56"/>
      <c r="AE55" s="67"/>
      <c r="AF55" s="55"/>
      <c r="AG55" s="56"/>
      <c r="AH55" s="56"/>
      <c r="AI55" s="56"/>
      <c r="AJ55" s="67"/>
      <c r="AK55" s="77" t="str">
        <f>IFERROR(__xludf.DUMMYFUNCTION("""COMPUTED_VALUE"""),"MOSIP-11881")</f>
        <v>MOSIP-11881</v>
      </c>
      <c r="AL55" s="39">
        <f>COUNTIFS(IDA!A2:A1975,AK55,IDA!C2:C1975,"&lt;&gt;"&amp;"") </f>
        <v>9</v>
      </c>
      <c r="AM55" s="40">
        <f>COUNTIFS(IDA!A2:A1975,AK55,IDA!C2:C1975,"&lt;&gt;"&amp;"",IDA!I2:I1975,"Pass")</f>
        <v>9</v>
      </c>
      <c r="AN55" s="37">
        <f>COUNTIFS(IDA!A2:A1975,AK55,IDA!C2:C1975,"&lt;&gt;"&amp;"",IDA!I2:I1975,"Fail")</f>
        <v>0</v>
      </c>
      <c r="AO55" s="74">
        <f t="shared" si="6"/>
        <v>0</v>
      </c>
      <c r="AP55" s="55"/>
      <c r="AQ55" s="56"/>
      <c r="AR55" s="56"/>
      <c r="AS55" s="56"/>
      <c r="AT55" s="67"/>
      <c r="AU55" s="2"/>
      <c r="AV55" s="2"/>
      <c r="AW55" s="2"/>
      <c r="AX55" s="2"/>
    </row>
    <row r="56">
      <c r="A56" s="2"/>
      <c r="B56" s="2"/>
      <c r="C56" s="2"/>
      <c r="D56" s="2"/>
      <c r="E56" s="2"/>
      <c r="F56" s="2"/>
      <c r="G56" s="2"/>
      <c r="H56" s="2"/>
      <c r="I56" s="2"/>
      <c r="J56" s="2"/>
      <c r="K56" s="2"/>
      <c r="L56" s="3"/>
      <c r="M56" s="4"/>
      <c r="N56" s="4"/>
      <c r="O56" s="5"/>
      <c r="P56" s="6"/>
      <c r="Q56" s="55"/>
      <c r="R56" s="56"/>
      <c r="S56" s="56"/>
      <c r="T56" s="56"/>
      <c r="U56" s="57"/>
      <c r="V56" s="55"/>
      <c r="W56" s="56"/>
      <c r="X56" s="56"/>
      <c r="Y56" s="56"/>
      <c r="Z56" s="57"/>
      <c r="AA56" s="55"/>
      <c r="AB56" s="56"/>
      <c r="AC56" s="56"/>
      <c r="AD56" s="56"/>
      <c r="AE56" s="67"/>
      <c r="AF56" s="55"/>
      <c r="AG56" s="56"/>
      <c r="AH56" s="56"/>
      <c r="AI56" s="56"/>
      <c r="AJ56" s="67"/>
      <c r="AK56" s="42" t="str">
        <f>IFERROR(__xludf.DUMMYFUNCTION("""COMPUTED_VALUE"""),"MOSIP-11845")</f>
        <v>MOSIP-11845</v>
      </c>
      <c r="AL56" s="39">
        <f>COUNTIFS(IDA!A2:A1975,AK56,IDA!C2:C1975,"&lt;&gt;"&amp;"") </f>
        <v>7</v>
      </c>
      <c r="AM56" s="40">
        <f>COUNTIFS(IDA!A2:A1975,AK56,IDA!C2:C1975,"&lt;&gt;"&amp;"",IDA!I2:I1975,"Pass")</f>
        <v>7</v>
      </c>
      <c r="AN56" s="37">
        <f>COUNTIFS(IDA!A2:A1975,AK56,IDA!C2:C1975,"&lt;&gt;"&amp;"",IDA!I2:I1975,"Fail")</f>
        <v>0</v>
      </c>
      <c r="AO56" s="74">
        <f t="shared" si="6"/>
        <v>0</v>
      </c>
      <c r="AP56" s="55"/>
      <c r="AQ56" s="56"/>
      <c r="AR56" s="56"/>
      <c r="AS56" s="56"/>
      <c r="AT56" s="67"/>
      <c r="AU56" s="2"/>
      <c r="AV56" s="2"/>
      <c r="AW56" s="2"/>
      <c r="AX56" s="2"/>
    </row>
    <row r="57">
      <c r="A57" s="2"/>
      <c r="B57" s="2"/>
      <c r="C57" s="2"/>
      <c r="D57" s="2"/>
      <c r="E57" s="2"/>
      <c r="F57" s="2"/>
      <c r="G57" s="2"/>
      <c r="H57" s="2"/>
      <c r="I57" s="2"/>
      <c r="J57" s="2"/>
      <c r="K57" s="2"/>
      <c r="L57" s="3"/>
      <c r="M57" s="4"/>
      <c r="N57" s="4"/>
      <c r="O57" s="5"/>
      <c r="P57" s="6"/>
      <c r="Q57" s="55"/>
      <c r="R57" s="56"/>
      <c r="S57" s="56"/>
      <c r="T57" s="56"/>
      <c r="U57" s="57"/>
      <c r="V57" s="55"/>
      <c r="W57" s="56"/>
      <c r="X57" s="56"/>
      <c r="Y57" s="56"/>
      <c r="Z57" s="57"/>
      <c r="AA57" s="55"/>
      <c r="AB57" s="56"/>
      <c r="AC57" s="56"/>
      <c r="AD57" s="56"/>
      <c r="AE57" s="67"/>
      <c r="AF57" s="55"/>
      <c r="AG57" s="56"/>
      <c r="AH57" s="56"/>
      <c r="AI57" s="56"/>
      <c r="AJ57" s="67"/>
      <c r="AK57" s="42" t="str">
        <f>IFERROR(__xludf.DUMMYFUNCTION("""COMPUTED_VALUE"""),"MOSIP-11844")</f>
        <v>MOSIP-11844</v>
      </c>
      <c r="AL57" s="39">
        <f>COUNTIFS(IDA!A2:A1975,AK57,IDA!C2:C1975,"&lt;&gt;"&amp;"") </f>
        <v>5</v>
      </c>
      <c r="AM57" s="40">
        <f>COUNTIFS(IDA!A2:A1975,AK57,IDA!C2:C1975,"&lt;&gt;"&amp;"",IDA!I2:I1975,"Pass")</f>
        <v>5</v>
      </c>
      <c r="AN57" s="37">
        <f>COUNTIFS(IDA!A2:A1975,AK57,IDA!C2:C1975,"&lt;&gt;"&amp;"",IDA!I2:I1975,"Fail")</f>
        <v>0</v>
      </c>
      <c r="AO57" s="74">
        <f t="shared" si="6"/>
        <v>0</v>
      </c>
      <c r="AP57" s="55"/>
      <c r="AQ57" s="56"/>
      <c r="AR57" s="56"/>
      <c r="AS57" s="56"/>
      <c r="AT57" s="67"/>
      <c r="AU57" s="2"/>
      <c r="AV57" s="2"/>
      <c r="AW57" s="2"/>
      <c r="AX57" s="2"/>
    </row>
    <row r="58">
      <c r="A58" s="2"/>
      <c r="B58" s="2"/>
      <c r="C58" s="2"/>
      <c r="D58" s="2"/>
      <c r="E58" s="2"/>
      <c r="F58" s="2"/>
      <c r="G58" s="2"/>
      <c r="H58" s="2"/>
      <c r="I58" s="2"/>
      <c r="J58" s="2"/>
      <c r="K58" s="2"/>
      <c r="L58" s="3"/>
      <c r="M58" s="4"/>
      <c r="N58" s="4"/>
      <c r="O58" s="5"/>
      <c r="P58" s="6"/>
      <c r="Q58" s="55"/>
      <c r="R58" s="56"/>
      <c r="S58" s="56"/>
      <c r="T58" s="56"/>
      <c r="U58" s="57"/>
      <c r="V58" s="55"/>
      <c r="W58" s="56"/>
      <c r="X58" s="56"/>
      <c r="Y58" s="56"/>
      <c r="Z58" s="57"/>
      <c r="AA58" s="55"/>
      <c r="AB58" s="56"/>
      <c r="AC58" s="56"/>
      <c r="AD58" s="56"/>
      <c r="AE58" s="67"/>
      <c r="AF58" s="55"/>
      <c r="AG58" s="56"/>
      <c r="AH58" s="56"/>
      <c r="AI58" s="56"/>
      <c r="AJ58" s="67"/>
      <c r="AK58" s="42" t="str">
        <f>IFERROR(__xludf.DUMMYFUNCTION("""COMPUTED_VALUE"""),"MOSIP-11011")</f>
        <v>MOSIP-11011</v>
      </c>
      <c r="AL58" s="39">
        <f>COUNTIFS(IDA!A2:A1975,AK58,IDA!C2:C1975,"&lt;&gt;"&amp;"") </f>
        <v>9</v>
      </c>
      <c r="AM58" s="40">
        <f>COUNTIFS(IDA!A2:A1975,AK58,IDA!C2:C1975,"&lt;&gt;"&amp;"",IDA!I2:I1975,"Pass")</f>
        <v>9</v>
      </c>
      <c r="AN58" s="37">
        <f>COUNTIFS(IDA!A2:A1975,AK58,IDA!C2:C1975,"&lt;&gt;"&amp;"",IDA!I2:I1975,"Fail")</f>
        <v>0</v>
      </c>
      <c r="AO58" s="74">
        <f t="shared" si="6"/>
        <v>0</v>
      </c>
      <c r="AP58" s="55"/>
      <c r="AQ58" s="56"/>
      <c r="AR58" s="56"/>
      <c r="AS58" s="56"/>
      <c r="AT58" s="67"/>
      <c r="AU58" s="2"/>
      <c r="AV58" s="2"/>
      <c r="AW58" s="2"/>
      <c r="AX58" s="2"/>
    </row>
    <row r="59">
      <c r="A59" s="2"/>
      <c r="B59" s="2"/>
      <c r="C59" s="2"/>
      <c r="D59" s="2"/>
      <c r="E59" s="2"/>
      <c r="F59" s="2"/>
      <c r="G59" s="2"/>
      <c r="H59" s="2"/>
      <c r="I59" s="2"/>
      <c r="J59" s="2"/>
      <c r="K59" s="2"/>
      <c r="L59" s="3"/>
      <c r="M59" s="4"/>
      <c r="N59" s="4"/>
      <c r="O59" s="5"/>
      <c r="P59" s="6"/>
      <c r="Q59" s="55"/>
      <c r="R59" s="56"/>
      <c r="S59" s="56"/>
      <c r="T59" s="56"/>
      <c r="U59" s="57"/>
      <c r="V59" s="55"/>
      <c r="W59" s="56"/>
      <c r="X59" s="56"/>
      <c r="Y59" s="56"/>
      <c r="Z59" s="57"/>
      <c r="AA59" s="55"/>
      <c r="AB59" s="56"/>
      <c r="AC59" s="56"/>
      <c r="AD59" s="56"/>
      <c r="AE59" s="67"/>
      <c r="AF59" s="55"/>
      <c r="AG59" s="56"/>
      <c r="AH59" s="56"/>
      <c r="AI59" s="56"/>
      <c r="AJ59" s="67"/>
      <c r="AK59" s="42" t="str">
        <f>IFERROR(__xludf.DUMMYFUNCTION("""COMPUTED_VALUE"""),"MOSIP-9802")</f>
        <v>MOSIP-9802</v>
      </c>
      <c r="AL59" s="39">
        <f>COUNTIFS(IDA!A2:A1975,AK59,IDA!C2:C1975,"&lt;&gt;"&amp;"") </f>
        <v>5</v>
      </c>
      <c r="AM59" s="40">
        <f>COUNTIFS(IDA!A2:A1975,AK59,IDA!C2:C1975,"&lt;&gt;"&amp;"",IDA!I2:I1975,"Pass")</f>
        <v>5</v>
      </c>
      <c r="AN59" s="37">
        <f>COUNTIFS(IDA!A2:A1975,AK59,IDA!C2:C1975,"&lt;&gt;"&amp;"",IDA!I2:I1975,"Fail")</f>
        <v>0</v>
      </c>
      <c r="AO59" s="74">
        <f t="shared" si="6"/>
        <v>0</v>
      </c>
      <c r="AP59" s="55"/>
      <c r="AQ59" s="56"/>
      <c r="AR59" s="56"/>
      <c r="AS59" s="56"/>
      <c r="AT59" s="67"/>
      <c r="AU59" s="2"/>
      <c r="AV59" s="2"/>
      <c r="AW59" s="2"/>
      <c r="AX59" s="2"/>
    </row>
    <row r="60">
      <c r="A60" s="2"/>
      <c r="B60" s="2"/>
      <c r="C60" s="2"/>
      <c r="D60" s="2"/>
      <c r="E60" s="2"/>
      <c r="F60" s="2"/>
      <c r="G60" s="2"/>
      <c r="H60" s="2"/>
      <c r="I60" s="2"/>
      <c r="J60" s="2"/>
      <c r="K60" s="2"/>
      <c r="L60" s="3"/>
      <c r="M60" s="4"/>
      <c r="N60" s="4"/>
      <c r="O60" s="5"/>
      <c r="P60" s="6"/>
      <c r="Q60" s="55"/>
      <c r="R60" s="56"/>
      <c r="S60" s="56"/>
      <c r="T60" s="56"/>
      <c r="U60" s="67"/>
      <c r="V60" s="55"/>
      <c r="W60" s="56"/>
      <c r="X60" s="56"/>
      <c r="Y60" s="56"/>
      <c r="Z60" s="57"/>
      <c r="AA60" s="55"/>
      <c r="AB60" s="56"/>
      <c r="AC60" s="56"/>
      <c r="AD60" s="56"/>
      <c r="AE60" s="67"/>
      <c r="AF60" s="55"/>
      <c r="AG60" s="56"/>
      <c r="AH60" s="56"/>
      <c r="AI60" s="56"/>
      <c r="AJ60" s="67"/>
      <c r="AK60" s="42" t="str">
        <f>IFERROR(__xludf.DUMMYFUNCTION("""COMPUTED_VALUE"""),"MOSIP-9652")</f>
        <v>MOSIP-9652</v>
      </c>
      <c r="AL60" s="39">
        <f>COUNTIFS(IDA!A2:A1975,AK60,IDA!C2:C1975,"&lt;&gt;"&amp;"") </f>
        <v>10</v>
      </c>
      <c r="AM60" s="40">
        <f>COUNTIFS(IDA!A2:A1975,AK60,IDA!C2:C1975,"&lt;&gt;"&amp;"",IDA!I2:I1975,"Pass")</f>
        <v>10</v>
      </c>
      <c r="AN60" s="37">
        <f>COUNTIFS(IDA!A2:A1975,AK60,IDA!C2:C1975,"&lt;&gt;"&amp;"",IDA!I2:I1975,"Fail")</f>
        <v>0</v>
      </c>
      <c r="AO60" s="74">
        <f t="shared" si="6"/>
        <v>0</v>
      </c>
      <c r="AP60" s="55"/>
      <c r="AQ60" s="56"/>
      <c r="AR60" s="56"/>
      <c r="AS60" s="56"/>
      <c r="AT60" s="67"/>
      <c r="AU60" s="2"/>
      <c r="AV60" s="2"/>
      <c r="AW60" s="2"/>
      <c r="AX60" s="2"/>
    </row>
    <row r="61">
      <c r="A61" s="2"/>
      <c r="B61" s="2"/>
      <c r="C61" s="2"/>
      <c r="D61" s="2"/>
      <c r="E61" s="2"/>
      <c r="F61" s="2"/>
      <c r="G61" s="2"/>
      <c r="H61" s="2"/>
      <c r="I61" s="2"/>
      <c r="J61" s="2"/>
      <c r="K61" s="2"/>
      <c r="L61" s="3"/>
      <c r="M61" s="4"/>
      <c r="N61" s="4"/>
      <c r="O61" s="5"/>
      <c r="P61" s="6"/>
      <c r="Q61" s="55"/>
      <c r="R61" s="56"/>
      <c r="S61" s="56"/>
      <c r="T61" s="56"/>
      <c r="U61" s="67"/>
      <c r="V61" s="55"/>
      <c r="W61" s="56"/>
      <c r="X61" s="56"/>
      <c r="Y61" s="56"/>
      <c r="Z61" s="57"/>
      <c r="AA61" s="55"/>
      <c r="AB61" s="56"/>
      <c r="AC61" s="56"/>
      <c r="AD61" s="56"/>
      <c r="AE61" s="67"/>
      <c r="AF61" s="55"/>
      <c r="AG61" s="56"/>
      <c r="AH61" s="56"/>
      <c r="AI61" s="56"/>
      <c r="AJ61" s="67"/>
      <c r="AK61" s="42" t="str">
        <f>IFERROR(__xludf.DUMMYFUNCTION("""COMPUTED_VALUE"""),"MOSIP-9633")</f>
        <v>MOSIP-9633</v>
      </c>
      <c r="AL61" s="39">
        <f>COUNTIFS(IDA!A2:A1975,AK61,IDA!C2:C1975,"&lt;&gt;"&amp;"") </f>
        <v>6</v>
      </c>
      <c r="AM61" s="40">
        <f>COUNTIFS(IDA!A2:A1975,AK61,IDA!C2:C1975,"&lt;&gt;"&amp;"",IDA!I2:I1975,"Pass")</f>
        <v>6</v>
      </c>
      <c r="AN61" s="37">
        <f>COUNTIFS(IDA!A2:A1975,AK61,IDA!C2:C1975,"&lt;&gt;"&amp;"",IDA!I2:I1975,"Fail")</f>
        <v>0</v>
      </c>
      <c r="AO61" s="74">
        <f t="shared" si="6"/>
        <v>0</v>
      </c>
      <c r="AP61" s="55"/>
      <c r="AQ61" s="56"/>
      <c r="AR61" s="56"/>
      <c r="AS61" s="56"/>
      <c r="AT61" s="67"/>
      <c r="AU61" s="2"/>
      <c r="AV61" s="2"/>
      <c r="AW61" s="2"/>
      <c r="AX61" s="2"/>
    </row>
    <row r="62">
      <c r="A62" s="2"/>
      <c r="B62" s="2"/>
      <c r="C62" s="2"/>
      <c r="D62" s="2"/>
      <c r="E62" s="2"/>
      <c r="F62" s="2"/>
      <c r="G62" s="2"/>
      <c r="H62" s="2"/>
      <c r="I62" s="2"/>
      <c r="J62" s="2"/>
      <c r="K62" s="2"/>
      <c r="L62" s="3"/>
      <c r="M62" s="4"/>
      <c r="N62" s="4"/>
      <c r="O62" s="5"/>
      <c r="P62" s="6"/>
      <c r="Q62" s="55"/>
      <c r="R62" s="56"/>
      <c r="S62" s="56"/>
      <c r="T62" s="56"/>
      <c r="U62" s="67"/>
      <c r="V62" s="55"/>
      <c r="W62" s="56"/>
      <c r="X62" s="56"/>
      <c r="Y62" s="56"/>
      <c r="Z62" s="57"/>
      <c r="AA62" s="55"/>
      <c r="AB62" s="56"/>
      <c r="AC62" s="56"/>
      <c r="AD62" s="56"/>
      <c r="AE62" s="67"/>
      <c r="AF62" s="55"/>
      <c r="AG62" s="56"/>
      <c r="AH62" s="56"/>
      <c r="AI62" s="56"/>
      <c r="AJ62" s="67"/>
      <c r="AK62" s="42" t="str">
        <f>IFERROR(__xludf.DUMMYFUNCTION("""COMPUTED_VALUE"""),"MOSIP-8593")</f>
        <v>MOSIP-8593</v>
      </c>
      <c r="AL62" s="39">
        <f>COUNTIFS(IDA!A2:A1975,AK62,IDA!C2:C1975,"&lt;&gt;"&amp;"") </f>
        <v>17</v>
      </c>
      <c r="AM62" s="40">
        <f>COUNTIFS(IDA!A2:A1975,AK62,IDA!C2:C1975,"&lt;&gt;"&amp;"",IDA!I2:I1975,"Pass")</f>
        <v>17</v>
      </c>
      <c r="AN62" s="37">
        <f>COUNTIFS(IDA!A2:A1975,AK62,IDA!C2:C1975,"&lt;&gt;"&amp;"",IDA!I2:I1975,"Fail")</f>
        <v>0</v>
      </c>
      <c r="AO62" s="74">
        <f t="shared" si="6"/>
        <v>0</v>
      </c>
      <c r="AP62" s="55"/>
      <c r="AQ62" s="56"/>
      <c r="AR62" s="56"/>
      <c r="AS62" s="56"/>
      <c r="AT62" s="67"/>
      <c r="AU62" s="2"/>
      <c r="AV62" s="2"/>
      <c r="AW62" s="2"/>
      <c r="AX62" s="2"/>
    </row>
    <row r="63">
      <c r="A63" s="2"/>
      <c r="B63" s="2"/>
      <c r="C63" s="2"/>
      <c r="D63" s="2"/>
      <c r="E63" s="2"/>
      <c r="F63" s="2"/>
      <c r="G63" s="2"/>
      <c r="H63" s="2"/>
      <c r="I63" s="2"/>
      <c r="J63" s="2"/>
      <c r="K63" s="2"/>
      <c r="L63" s="3"/>
      <c r="M63" s="4"/>
      <c r="N63" s="4"/>
      <c r="O63" s="5"/>
      <c r="P63" s="6"/>
      <c r="Q63" s="55"/>
      <c r="R63" s="56"/>
      <c r="S63" s="56"/>
      <c r="T63" s="56"/>
      <c r="U63" s="67"/>
      <c r="V63" s="55"/>
      <c r="W63" s="56"/>
      <c r="X63" s="56"/>
      <c r="Y63" s="56"/>
      <c r="Z63" s="57"/>
      <c r="AA63" s="55"/>
      <c r="AB63" s="56"/>
      <c r="AC63" s="56"/>
      <c r="AD63" s="56"/>
      <c r="AE63" s="67"/>
      <c r="AF63" s="55"/>
      <c r="AG63" s="56"/>
      <c r="AH63" s="56"/>
      <c r="AI63" s="56"/>
      <c r="AJ63" s="67"/>
      <c r="AK63" s="42" t="str">
        <f>IFERROR(__xludf.DUMMYFUNCTION("""COMPUTED_VALUE"""),"MOSIP-8294")</f>
        <v>MOSIP-8294</v>
      </c>
      <c r="AL63" s="39">
        <f>COUNTIFS(IDA!A2:A1975,AK63,IDA!C2:C1975,"&lt;&gt;"&amp;"") </f>
        <v>11</v>
      </c>
      <c r="AM63" s="40">
        <f>COUNTIFS(IDA!A2:A1975,AK63,IDA!C2:C1975,"&lt;&gt;"&amp;"",IDA!I2:I1975,"Pass")</f>
        <v>11</v>
      </c>
      <c r="AN63" s="37">
        <f>COUNTIFS(IDA!A2:A1975,AK63,IDA!C2:C1975,"&lt;&gt;"&amp;"",IDA!I2:I1975,"Fail")</f>
        <v>0</v>
      </c>
      <c r="AO63" s="74">
        <f t="shared" si="6"/>
        <v>0</v>
      </c>
      <c r="AP63" s="55"/>
      <c r="AQ63" s="56"/>
      <c r="AR63" s="56"/>
      <c r="AS63" s="56"/>
      <c r="AT63" s="67"/>
      <c r="AU63" s="2"/>
      <c r="AV63" s="2"/>
      <c r="AW63" s="2"/>
      <c r="AX63" s="2"/>
    </row>
    <row r="64">
      <c r="A64" s="2"/>
      <c r="B64" s="2"/>
      <c r="C64" s="2"/>
      <c r="D64" s="2"/>
      <c r="E64" s="2"/>
      <c r="F64" s="2"/>
      <c r="G64" s="2"/>
      <c r="H64" s="2"/>
      <c r="I64" s="2"/>
      <c r="J64" s="2"/>
      <c r="K64" s="2"/>
      <c r="L64" s="3"/>
      <c r="M64" s="4"/>
      <c r="N64" s="4"/>
      <c r="O64" s="5"/>
      <c r="P64" s="6"/>
      <c r="Q64" s="55"/>
      <c r="R64" s="56"/>
      <c r="S64" s="56"/>
      <c r="T64" s="56"/>
      <c r="U64" s="67"/>
      <c r="V64" s="55"/>
      <c r="W64" s="56"/>
      <c r="X64" s="56"/>
      <c r="Y64" s="56"/>
      <c r="Z64" s="57"/>
      <c r="AA64" s="55"/>
      <c r="AB64" s="56"/>
      <c r="AC64" s="56"/>
      <c r="AD64" s="56"/>
      <c r="AE64" s="67"/>
      <c r="AF64" s="55"/>
      <c r="AG64" s="56"/>
      <c r="AH64" s="56"/>
      <c r="AI64" s="56"/>
      <c r="AJ64" s="67"/>
      <c r="AK64" s="42" t="str">
        <f>IFERROR(__xludf.DUMMYFUNCTION("""COMPUTED_VALUE"""),"MOSIP-8248")</f>
        <v>MOSIP-8248</v>
      </c>
      <c r="AL64" s="39">
        <f>COUNTIFS(IDA!A2:A1975,AK64,IDA!C2:C1975,"&lt;&gt;"&amp;"") </f>
        <v>9</v>
      </c>
      <c r="AM64" s="40">
        <f>COUNTIFS(IDA!A2:A1975,AK64,IDA!C2:C1975,"&lt;&gt;"&amp;"",IDA!I2:I1975,"Pass")</f>
        <v>9</v>
      </c>
      <c r="AN64" s="37">
        <f>COUNTIFS(IDA!A2:A1975,AK64,IDA!C2:C1975,"&lt;&gt;"&amp;"",IDA!I2:I1975,"Fail")</f>
        <v>0</v>
      </c>
      <c r="AO64" s="74">
        <f t="shared" si="6"/>
        <v>0</v>
      </c>
      <c r="AP64" s="55"/>
      <c r="AQ64" s="56"/>
      <c r="AR64" s="56"/>
      <c r="AS64" s="56"/>
      <c r="AT64" s="67"/>
      <c r="AU64" s="2"/>
      <c r="AV64" s="2"/>
      <c r="AW64" s="2"/>
      <c r="AX64" s="2"/>
    </row>
    <row r="65">
      <c r="A65" s="2"/>
      <c r="B65" s="2"/>
      <c r="C65" s="2"/>
      <c r="D65" s="2"/>
      <c r="E65" s="2"/>
      <c r="F65" s="2"/>
      <c r="G65" s="2"/>
      <c r="H65" s="2"/>
      <c r="I65" s="2"/>
      <c r="J65" s="2"/>
      <c r="K65" s="2"/>
      <c r="L65" s="3"/>
      <c r="M65" s="4"/>
      <c r="N65" s="4"/>
      <c r="O65" s="5"/>
      <c r="P65" s="6"/>
      <c r="Q65" s="55"/>
      <c r="R65" s="56"/>
      <c r="S65" s="56"/>
      <c r="T65" s="56"/>
      <c r="U65" s="67"/>
      <c r="V65" s="55"/>
      <c r="W65" s="56"/>
      <c r="X65" s="56"/>
      <c r="Y65" s="56"/>
      <c r="Z65" s="57"/>
      <c r="AA65" s="55"/>
      <c r="AB65" s="56"/>
      <c r="AC65" s="56"/>
      <c r="AD65" s="56"/>
      <c r="AE65" s="67"/>
      <c r="AF65" s="55"/>
      <c r="AG65" s="56"/>
      <c r="AH65" s="56"/>
      <c r="AI65" s="56"/>
      <c r="AJ65" s="67"/>
      <c r="AK65" s="42" t="str">
        <f>IFERROR(__xludf.DUMMYFUNCTION("""COMPUTED_VALUE"""),"MOSIP-8563")</f>
        <v>MOSIP-8563</v>
      </c>
      <c r="AL65" s="39">
        <f>COUNTIFS(IDA!A2:A1975,AK65,IDA!C2:C1975,"&lt;&gt;"&amp;"") </f>
        <v>3</v>
      </c>
      <c r="AM65" s="40">
        <f>COUNTIFS(IDA!A2:A1975,AK65,IDA!C2:C1975,"&lt;&gt;"&amp;"",IDA!I2:I1975,"Pass")</f>
        <v>3</v>
      </c>
      <c r="AN65" s="37">
        <f>COUNTIFS(IDA!A2:A1975,AK65,IDA!C2:C1975,"&lt;&gt;"&amp;"",IDA!I2:I1975,"Fail")</f>
        <v>0</v>
      </c>
      <c r="AO65" s="74">
        <f t="shared" si="6"/>
        <v>0</v>
      </c>
      <c r="AP65" s="55"/>
      <c r="AQ65" s="56"/>
      <c r="AR65" s="56"/>
      <c r="AS65" s="56"/>
      <c r="AT65" s="67"/>
      <c r="AU65" s="2"/>
      <c r="AV65" s="2"/>
      <c r="AW65" s="2"/>
      <c r="AX65" s="2"/>
    </row>
    <row r="66">
      <c r="A66" s="2"/>
      <c r="B66" s="2"/>
      <c r="C66" s="2"/>
      <c r="D66" s="2"/>
      <c r="E66" s="2"/>
      <c r="F66" s="2"/>
      <c r="G66" s="2"/>
      <c r="H66" s="2"/>
      <c r="I66" s="2"/>
      <c r="J66" s="2"/>
      <c r="K66" s="2"/>
      <c r="L66" s="3"/>
      <c r="M66" s="4"/>
      <c r="N66" s="4"/>
      <c r="O66" s="5"/>
      <c r="P66" s="6"/>
      <c r="Q66" s="55"/>
      <c r="R66" s="56"/>
      <c r="S66" s="56"/>
      <c r="T66" s="56"/>
      <c r="U66" s="67"/>
      <c r="V66" s="55"/>
      <c r="W66" s="56"/>
      <c r="X66" s="56"/>
      <c r="Y66" s="56"/>
      <c r="Z66" s="57"/>
      <c r="AA66" s="55"/>
      <c r="AB66" s="56"/>
      <c r="AC66" s="56"/>
      <c r="AD66" s="56"/>
      <c r="AE66" s="67"/>
      <c r="AF66" s="55"/>
      <c r="AG66" s="56"/>
      <c r="AH66" s="56"/>
      <c r="AI66" s="56"/>
      <c r="AJ66" s="67"/>
      <c r="AK66" s="42" t="str">
        <f>IFERROR(__xludf.DUMMYFUNCTION("""COMPUTED_VALUE"""),"MOSIP-8293")</f>
        <v>MOSIP-8293</v>
      </c>
      <c r="AL66" s="39">
        <f>COUNTIFS(IDA!A2:A1975,AK66,IDA!C2:C1975,"&lt;&gt;"&amp;"") </f>
        <v>3</v>
      </c>
      <c r="AM66" s="40">
        <f>COUNTIFS(IDA!A2:A1975,AK66,IDA!C2:C1975,"&lt;&gt;"&amp;"",IDA!I2:I1975,"Pass")</f>
        <v>3</v>
      </c>
      <c r="AN66" s="37">
        <f>COUNTIFS(IDA!A2:A1975,AK66,IDA!C2:C1975,"&lt;&gt;"&amp;"",IDA!I2:I1975,"Fail")</f>
        <v>0</v>
      </c>
      <c r="AO66" s="74">
        <f t="shared" si="6"/>
        <v>0</v>
      </c>
      <c r="AP66" s="55"/>
      <c r="AQ66" s="56"/>
      <c r="AR66" s="56"/>
      <c r="AS66" s="56"/>
      <c r="AT66" s="67"/>
      <c r="AU66" s="2"/>
      <c r="AV66" s="2"/>
      <c r="AW66" s="2"/>
      <c r="AX66" s="2"/>
    </row>
    <row r="67">
      <c r="A67" s="2"/>
      <c r="B67" s="2"/>
      <c r="C67" s="2"/>
      <c r="D67" s="2"/>
      <c r="E67" s="2"/>
      <c r="F67" s="2"/>
      <c r="G67" s="2"/>
      <c r="H67" s="2"/>
      <c r="I67" s="2"/>
      <c r="J67" s="2"/>
      <c r="K67" s="2"/>
      <c r="L67" s="3"/>
      <c r="M67" s="4"/>
      <c r="N67" s="4"/>
      <c r="O67" s="5"/>
      <c r="P67" s="6"/>
      <c r="Q67" s="55"/>
      <c r="R67" s="56"/>
      <c r="S67" s="56"/>
      <c r="T67" s="56"/>
      <c r="U67" s="67"/>
      <c r="V67" s="55"/>
      <c r="W67" s="56"/>
      <c r="X67" s="56"/>
      <c r="Y67" s="56"/>
      <c r="Z67" s="57"/>
      <c r="AA67" s="55"/>
      <c r="AB67" s="56"/>
      <c r="AC67" s="56"/>
      <c r="AD67" s="56"/>
      <c r="AE67" s="67"/>
      <c r="AF67" s="55"/>
      <c r="AG67" s="56"/>
      <c r="AH67" s="56"/>
      <c r="AI67" s="56"/>
      <c r="AJ67" s="67"/>
      <c r="AK67" s="42" t="str">
        <f>IFERROR(__xludf.DUMMYFUNCTION("""COMPUTED_VALUE"""),"MOSIP-8292")</f>
        <v>MOSIP-8292</v>
      </c>
      <c r="AL67" s="39">
        <f>COUNTIFS(IDA!A2:A1975,AK67,IDA!C2:C1975,"&lt;&gt;"&amp;"") </f>
        <v>18</v>
      </c>
      <c r="AM67" s="40">
        <f>COUNTIFS(IDA!A2:A1975,AK67,IDA!C2:C1975,"&lt;&gt;"&amp;"",IDA!I2:I1975,"Pass")</f>
        <v>18</v>
      </c>
      <c r="AN67" s="37">
        <f>COUNTIFS(IDA!A2:A1975,AK67,IDA!C2:C1975,"&lt;&gt;"&amp;"",IDA!I2:I1975,"Fail")</f>
        <v>0</v>
      </c>
      <c r="AO67" s="74">
        <f t="shared" si="6"/>
        <v>0</v>
      </c>
      <c r="AP67" s="55"/>
      <c r="AQ67" s="56"/>
      <c r="AR67" s="56"/>
      <c r="AS67" s="56"/>
      <c r="AT67" s="67"/>
      <c r="AU67" s="2"/>
      <c r="AV67" s="2"/>
      <c r="AW67" s="2"/>
      <c r="AX67" s="2"/>
    </row>
    <row r="68">
      <c r="A68" s="2"/>
      <c r="B68" s="2"/>
      <c r="C68" s="2"/>
      <c r="D68" s="2"/>
      <c r="E68" s="2"/>
      <c r="F68" s="2"/>
      <c r="G68" s="2"/>
      <c r="H68" s="2"/>
      <c r="I68" s="2"/>
      <c r="J68" s="2"/>
      <c r="K68" s="2"/>
      <c r="L68" s="3"/>
      <c r="M68" s="4"/>
      <c r="N68" s="4"/>
      <c r="O68" s="5"/>
      <c r="P68" s="6"/>
      <c r="Q68" s="55"/>
      <c r="R68" s="56"/>
      <c r="S68" s="56"/>
      <c r="T68" s="56"/>
      <c r="U68" s="67"/>
      <c r="V68" s="55"/>
      <c r="W68" s="56"/>
      <c r="X68" s="56"/>
      <c r="Y68" s="56"/>
      <c r="Z68" s="57"/>
      <c r="AA68" s="3"/>
      <c r="AB68" s="2"/>
      <c r="AC68" s="2"/>
      <c r="AD68" s="2"/>
      <c r="AE68" s="2"/>
      <c r="AF68" s="3"/>
      <c r="AG68" s="2"/>
      <c r="AH68" s="2"/>
      <c r="AI68" s="2"/>
      <c r="AJ68" s="2"/>
      <c r="AK68" s="42" t="str">
        <f>IFERROR(__xludf.DUMMYFUNCTION("""COMPUTED_VALUE"""),"MOSIP-8291")</f>
        <v>MOSIP-8291</v>
      </c>
      <c r="AL68" s="39">
        <f>COUNTIFS(IDA!A2:A1975,AK68,IDA!C2:C1975,"&lt;&gt;"&amp;"") </f>
        <v>7</v>
      </c>
      <c r="AM68" s="40">
        <f>COUNTIFS(IDA!A2:A1975,AK68,IDA!C2:C1975,"&lt;&gt;"&amp;"",IDA!I2:I1975,"Pass")</f>
        <v>7</v>
      </c>
      <c r="AN68" s="37">
        <f>COUNTIFS(IDA!A2:A1975,AK68,IDA!C2:C1975,"&lt;&gt;"&amp;"",IDA!I2:I1975,"Fail")</f>
        <v>0</v>
      </c>
      <c r="AO68" s="74">
        <f t="shared" si="6"/>
        <v>0</v>
      </c>
      <c r="AP68" s="55"/>
      <c r="AQ68" s="56"/>
      <c r="AR68" s="56"/>
      <c r="AS68" s="56"/>
      <c r="AT68" s="67"/>
      <c r="AU68" s="2"/>
      <c r="AV68" s="2"/>
      <c r="AW68" s="2"/>
      <c r="AX68" s="2"/>
    </row>
    <row r="69">
      <c r="A69" s="2"/>
      <c r="B69" s="2"/>
      <c r="C69" s="2"/>
      <c r="D69" s="2"/>
      <c r="E69" s="2"/>
      <c r="F69" s="2"/>
      <c r="G69" s="2"/>
      <c r="H69" s="2"/>
      <c r="I69" s="2"/>
      <c r="J69" s="2"/>
      <c r="K69" s="2"/>
      <c r="L69" s="3"/>
      <c r="M69" s="4"/>
      <c r="N69" s="4"/>
      <c r="O69" s="5"/>
      <c r="P69" s="6"/>
      <c r="Q69" s="55"/>
      <c r="R69" s="56"/>
      <c r="S69" s="56"/>
      <c r="T69" s="56"/>
      <c r="U69" s="67"/>
      <c r="V69" s="55"/>
      <c r="W69" s="56"/>
      <c r="X69" s="56"/>
      <c r="Y69" s="56"/>
      <c r="Z69" s="57"/>
      <c r="AA69" s="3"/>
      <c r="AB69" s="2"/>
      <c r="AC69" s="2"/>
      <c r="AD69" s="2"/>
      <c r="AE69" s="2"/>
      <c r="AF69" s="3"/>
      <c r="AG69" s="2"/>
      <c r="AH69" s="2"/>
      <c r="AI69" s="2"/>
      <c r="AJ69" s="2"/>
      <c r="AK69" s="42" t="str">
        <f>IFERROR(__xludf.DUMMYFUNCTION("""COMPUTED_VALUE"""),"MOSIP-8893")</f>
        <v>MOSIP-8893</v>
      </c>
      <c r="AL69" s="39">
        <f>COUNTIFS(IDA!A2:A1975,AK69,IDA!C2:C1975,"&lt;&gt;"&amp;"") </f>
        <v>9</v>
      </c>
      <c r="AM69" s="40">
        <f>COUNTIFS(IDA!A2:A1975,AK69,IDA!C2:C1975,"&lt;&gt;"&amp;"",IDA!I2:I1975,"Pass")</f>
        <v>9</v>
      </c>
      <c r="AN69" s="37">
        <f>COUNTIFS(IDA!A2:A1975,AK69,IDA!C2:C1975,"&lt;&gt;"&amp;"",IDA!I2:I1975,"Fail")</f>
        <v>0</v>
      </c>
      <c r="AO69" s="74">
        <f t="shared" si="6"/>
        <v>0</v>
      </c>
      <c r="AP69" s="55"/>
      <c r="AQ69" s="56"/>
      <c r="AR69" s="56"/>
      <c r="AS69" s="56"/>
      <c r="AT69" s="67"/>
      <c r="AU69" s="2"/>
      <c r="AV69" s="2"/>
      <c r="AW69" s="2"/>
      <c r="AX69" s="2"/>
    </row>
    <row r="70">
      <c r="A70" s="2"/>
      <c r="B70" s="2"/>
      <c r="C70" s="2"/>
      <c r="D70" s="2"/>
      <c r="E70" s="2"/>
      <c r="F70" s="2"/>
      <c r="G70" s="2"/>
      <c r="H70" s="2"/>
      <c r="I70" s="2"/>
      <c r="J70" s="2"/>
      <c r="K70" s="2"/>
      <c r="L70" s="3"/>
      <c r="M70" s="4"/>
      <c r="N70" s="4"/>
      <c r="O70" s="5"/>
      <c r="P70" s="6"/>
      <c r="Q70" s="55"/>
      <c r="R70" s="56"/>
      <c r="S70" s="56"/>
      <c r="T70" s="56"/>
      <c r="U70" s="67"/>
      <c r="V70" s="55"/>
      <c r="W70" s="56"/>
      <c r="X70" s="56"/>
      <c r="Y70" s="56"/>
      <c r="Z70" s="57"/>
      <c r="AA70" s="3"/>
      <c r="AB70" s="2"/>
      <c r="AC70" s="2"/>
      <c r="AD70" s="2"/>
      <c r="AE70" s="2"/>
      <c r="AF70" s="3"/>
      <c r="AG70" s="2"/>
      <c r="AH70" s="2"/>
      <c r="AI70" s="2"/>
      <c r="AJ70" s="2"/>
      <c r="AK70" s="42" t="str">
        <f>IFERROR(__xludf.DUMMYFUNCTION("""COMPUTED_VALUE"""),"MOSIP-9530")</f>
        <v>MOSIP-9530</v>
      </c>
      <c r="AL70" s="39">
        <f>COUNTIFS(IDA!A2:A1975,AK70,IDA!C2:C1975,"&lt;&gt;"&amp;"") </f>
        <v>14</v>
      </c>
      <c r="AM70" s="40">
        <f>COUNTIFS(IDA!A2:A1975,AK70,IDA!C2:C1975,"&lt;&gt;"&amp;"",IDA!I2:I1975,"Pass")</f>
        <v>12</v>
      </c>
      <c r="AN70" s="37">
        <f>COUNTIFS(IDA!A2:A1975,AK70,IDA!C2:C1975,"&lt;&gt;"&amp;"",IDA!I2:I1975,"Fail")</f>
        <v>2</v>
      </c>
      <c r="AO70" s="74">
        <f t="shared" si="6"/>
        <v>0</v>
      </c>
      <c r="AP70" s="55"/>
      <c r="AQ70" s="56"/>
      <c r="AR70" s="56"/>
      <c r="AS70" s="56"/>
      <c r="AT70" s="67"/>
      <c r="AU70" s="2"/>
      <c r="AV70" s="2"/>
      <c r="AW70" s="2"/>
      <c r="AX70" s="2"/>
    </row>
    <row r="71">
      <c r="A71" s="2"/>
      <c r="B71" s="2"/>
      <c r="C71" s="2"/>
      <c r="D71" s="2"/>
      <c r="E71" s="2"/>
      <c r="F71" s="2"/>
      <c r="G71" s="2"/>
      <c r="H71" s="2"/>
      <c r="I71" s="2"/>
      <c r="J71" s="2"/>
      <c r="K71" s="2"/>
      <c r="L71" s="3"/>
      <c r="M71" s="4"/>
      <c r="N71" s="4"/>
      <c r="O71" s="5"/>
      <c r="P71" s="6"/>
      <c r="Q71" s="3"/>
      <c r="R71" s="2"/>
      <c r="S71" s="2"/>
      <c r="T71" s="2"/>
      <c r="U71" s="2"/>
      <c r="V71" s="55"/>
      <c r="W71" s="56"/>
      <c r="X71" s="56"/>
      <c r="Y71" s="56"/>
      <c r="Z71" s="57"/>
      <c r="AA71" s="3"/>
      <c r="AB71" s="2"/>
      <c r="AC71" s="2"/>
      <c r="AD71" s="2"/>
      <c r="AE71" s="2"/>
      <c r="AF71" s="3"/>
      <c r="AG71" s="2"/>
      <c r="AH71" s="2"/>
      <c r="AI71" s="2"/>
      <c r="AJ71" s="2"/>
      <c r="AK71" s="42" t="str">
        <f>IFERROR(__xludf.DUMMYFUNCTION("""COMPUTED_VALUE"""),"MOSIP-8604")</f>
        <v>MOSIP-8604</v>
      </c>
      <c r="AL71" s="39">
        <f>COUNTIFS(IDA!A2:A1975,AK71,IDA!C2:C1975,"&lt;&gt;"&amp;"") </f>
        <v>17</v>
      </c>
      <c r="AM71" s="40">
        <f>COUNTIFS(IDA!A2:A1975,AK71,IDA!C2:C1975,"&lt;&gt;"&amp;"",IDA!I2:I1975,"Pass")</f>
        <v>17</v>
      </c>
      <c r="AN71" s="37">
        <f>COUNTIFS(IDA!A2:A1975,AK71,IDA!C2:C1975,"&lt;&gt;"&amp;"",IDA!I2:I1975,"Fail")</f>
        <v>0</v>
      </c>
      <c r="AO71" s="74">
        <f t="shared" si="6"/>
        <v>0</v>
      </c>
      <c r="AP71" s="55"/>
      <c r="AQ71" s="56"/>
      <c r="AR71" s="56"/>
      <c r="AS71" s="56"/>
      <c r="AT71" s="67"/>
      <c r="AU71" s="2"/>
      <c r="AV71" s="2"/>
      <c r="AW71" s="2"/>
      <c r="AX71" s="2"/>
    </row>
    <row r="72">
      <c r="A72" s="2"/>
      <c r="B72" s="2"/>
      <c r="C72" s="2"/>
      <c r="D72" s="2"/>
      <c r="E72" s="2"/>
      <c r="F72" s="2"/>
      <c r="G72" s="2"/>
      <c r="H72" s="2"/>
      <c r="I72" s="2"/>
      <c r="J72" s="2"/>
      <c r="K72" s="2"/>
      <c r="L72" s="3"/>
      <c r="M72" s="4"/>
      <c r="N72" s="4"/>
      <c r="O72" s="5"/>
      <c r="P72" s="6"/>
      <c r="Q72" s="3"/>
      <c r="R72" s="2"/>
      <c r="S72" s="2"/>
      <c r="T72" s="2"/>
      <c r="U72" s="2"/>
      <c r="V72" s="55"/>
      <c r="W72" s="56"/>
      <c r="X72" s="56"/>
      <c r="Y72" s="56"/>
      <c r="Z72" s="57"/>
      <c r="AA72" s="3"/>
      <c r="AB72" s="2"/>
      <c r="AC72" s="2"/>
      <c r="AD72" s="2"/>
      <c r="AE72" s="2"/>
      <c r="AF72" s="3"/>
      <c r="AG72" s="2"/>
      <c r="AH72" s="2"/>
      <c r="AI72" s="2"/>
      <c r="AJ72" s="2"/>
      <c r="AK72" s="42" t="str">
        <f>IFERROR(__xludf.DUMMYFUNCTION("""COMPUTED_VALUE"""),"MOSIP-11790")</f>
        <v>MOSIP-11790</v>
      </c>
      <c r="AL72" s="39">
        <f>COUNTIFS(IDA!A2:A1975,AK72,IDA!C2:C1975,"&lt;&gt;"&amp;"") </f>
        <v>14</v>
      </c>
      <c r="AM72" s="40">
        <f>COUNTIFS(IDA!A2:A1975,AK72,IDA!C2:C1975,"&lt;&gt;"&amp;"",IDA!I2:I1975,"Pass")</f>
        <v>14</v>
      </c>
      <c r="AN72" s="37">
        <f>COUNTIFS(IDA!A2:A1975,AK72,IDA!C2:C1975,"&lt;&gt;"&amp;"",IDA!I2:I1975,"Fail")</f>
        <v>0</v>
      </c>
      <c r="AO72" s="74">
        <f t="shared" si="6"/>
        <v>0</v>
      </c>
      <c r="AP72" s="55"/>
      <c r="AQ72" s="56"/>
      <c r="AR72" s="56"/>
      <c r="AS72" s="56"/>
      <c r="AT72" s="67"/>
      <c r="AU72" s="2"/>
      <c r="AV72" s="2"/>
      <c r="AW72" s="2"/>
      <c r="AX72" s="2"/>
    </row>
    <row r="73">
      <c r="A73" s="2"/>
      <c r="B73" s="2"/>
      <c r="C73" s="2"/>
      <c r="D73" s="2"/>
      <c r="E73" s="2"/>
      <c r="F73" s="2"/>
      <c r="G73" s="2"/>
      <c r="H73" s="2"/>
      <c r="I73" s="2"/>
      <c r="J73" s="2"/>
      <c r="K73" s="2"/>
      <c r="L73" s="3"/>
      <c r="M73" s="4"/>
      <c r="N73" s="4"/>
      <c r="O73" s="5"/>
      <c r="P73" s="6"/>
      <c r="Q73" s="3"/>
      <c r="R73" s="2"/>
      <c r="S73" s="2"/>
      <c r="T73" s="2"/>
      <c r="U73" s="2"/>
      <c r="V73" s="55"/>
      <c r="W73" s="56"/>
      <c r="X73" s="56"/>
      <c r="Y73" s="56"/>
      <c r="Z73" s="57"/>
      <c r="AA73" s="3"/>
      <c r="AB73" s="2"/>
      <c r="AC73" s="2"/>
      <c r="AD73" s="2"/>
      <c r="AE73" s="2"/>
      <c r="AF73" s="3"/>
      <c r="AG73" s="2"/>
      <c r="AH73" s="2"/>
      <c r="AI73" s="2"/>
      <c r="AJ73" s="2"/>
      <c r="AK73" s="42" t="str">
        <f>IFERROR(__xludf.DUMMYFUNCTION("""COMPUTED_VALUE"""),"MOSIP-11501")</f>
        <v>MOSIP-11501</v>
      </c>
      <c r="AL73" s="39">
        <f>COUNTIFS(IDA!A2:A1975,AK73,IDA!C2:C1975,"&lt;&gt;"&amp;"") </f>
        <v>8</v>
      </c>
      <c r="AM73" s="40">
        <f>COUNTIFS(IDA!A2:A1975,AK73,IDA!C2:C1975,"&lt;&gt;"&amp;"",IDA!I2:I1975,"Pass")</f>
        <v>8</v>
      </c>
      <c r="AN73" s="37">
        <f>COUNTIFS(IDA!A2:A1975,AK73,IDA!C2:C1975,"&lt;&gt;"&amp;"",IDA!I2:I1975,"Fail")</f>
        <v>0</v>
      </c>
      <c r="AO73" s="74">
        <f t="shared" si="6"/>
        <v>0</v>
      </c>
      <c r="AP73" s="55"/>
      <c r="AQ73" s="56"/>
      <c r="AR73" s="56"/>
      <c r="AS73" s="56"/>
      <c r="AT73" s="67"/>
      <c r="AU73" s="2"/>
      <c r="AV73" s="2"/>
      <c r="AW73" s="2"/>
      <c r="AX73" s="2"/>
    </row>
    <row r="74">
      <c r="A74" s="2"/>
      <c r="B74" s="2"/>
      <c r="C74" s="2"/>
      <c r="D74" s="2"/>
      <c r="E74" s="2"/>
      <c r="F74" s="2"/>
      <c r="G74" s="2"/>
      <c r="H74" s="2"/>
      <c r="I74" s="2"/>
      <c r="J74" s="2"/>
      <c r="K74" s="2"/>
      <c r="L74" s="3"/>
      <c r="M74" s="4"/>
      <c r="N74" s="4"/>
      <c r="O74" s="5"/>
      <c r="P74" s="6"/>
      <c r="Q74" s="3"/>
      <c r="R74" s="2"/>
      <c r="S74" s="2"/>
      <c r="T74" s="2"/>
      <c r="U74" s="2"/>
      <c r="V74" s="55"/>
      <c r="W74" s="56"/>
      <c r="X74" s="56"/>
      <c r="Y74" s="56"/>
      <c r="Z74" s="57"/>
      <c r="AA74" s="3"/>
      <c r="AB74" s="2"/>
      <c r="AC74" s="2"/>
      <c r="AD74" s="2"/>
      <c r="AE74" s="2"/>
      <c r="AF74" s="3"/>
      <c r="AG74" s="2"/>
      <c r="AH74" s="2"/>
      <c r="AI74" s="2"/>
      <c r="AJ74" s="2"/>
      <c r="AK74" s="42" t="str">
        <f>IFERROR(__xludf.DUMMYFUNCTION("""COMPUTED_VALUE"""),"MOSIP-11472")</f>
        <v>MOSIP-11472</v>
      </c>
      <c r="AL74" s="39">
        <f>COUNTIFS(IDA!A2:A1975,AK74,IDA!C2:C1975,"&lt;&gt;"&amp;"") </f>
        <v>8</v>
      </c>
      <c r="AM74" s="40">
        <f>COUNTIFS(IDA!A2:A1975,AK74,IDA!C2:C1975,"&lt;&gt;"&amp;"",IDA!I2:I1975,"Pass")</f>
        <v>8</v>
      </c>
      <c r="AN74" s="37">
        <f>COUNTIFS(IDA!A2:A1975,AK74,IDA!C2:C1975,"&lt;&gt;"&amp;"",IDA!I2:I1975,"Fail")</f>
        <v>0</v>
      </c>
      <c r="AO74" s="74">
        <f t="shared" si="6"/>
        <v>0</v>
      </c>
      <c r="AP74" s="55"/>
      <c r="AQ74" s="56"/>
      <c r="AR74" s="56"/>
      <c r="AS74" s="56"/>
      <c r="AT74" s="67"/>
      <c r="AU74" s="2"/>
      <c r="AV74" s="2"/>
      <c r="AW74" s="2"/>
      <c r="AX74" s="2"/>
    </row>
    <row r="75">
      <c r="A75" s="2"/>
      <c r="B75" s="2"/>
      <c r="C75" s="2"/>
      <c r="D75" s="2"/>
      <c r="E75" s="2"/>
      <c r="F75" s="2"/>
      <c r="G75" s="2"/>
      <c r="H75" s="2"/>
      <c r="I75" s="2"/>
      <c r="J75" s="2"/>
      <c r="K75" s="2"/>
      <c r="L75" s="3"/>
      <c r="M75" s="4"/>
      <c r="N75" s="4"/>
      <c r="O75" s="5"/>
      <c r="P75" s="6"/>
      <c r="Q75" s="3"/>
      <c r="R75" s="2"/>
      <c r="S75" s="2"/>
      <c r="T75" s="2"/>
      <c r="U75" s="2"/>
      <c r="V75" s="55"/>
      <c r="W75" s="56"/>
      <c r="X75" s="56"/>
      <c r="Y75" s="56"/>
      <c r="Z75" s="57"/>
      <c r="AA75" s="3"/>
      <c r="AB75" s="2"/>
      <c r="AC75" s="2"/>
      <c r="AD75" s="2"/>
      <c r="AE75" s="2"/>
      <c r="AF75" s="3"/>
      <c r="AG75" s="2"/>
      <c r="AH75" s="2"/>
      <c r="AI75" s="2"/>
      <c r="AJ75" s="2"/>
      <c r="AK75" s="42" t="str">
        <f>IFERROR(__xludf.DUMMYFUNCTION("""COMPUTED_VALUE"""),"MOSIP-10707")</f>
        <v>MOSIP-10707</v>
      </c>
      <c r="AL75" s="39">
        <f>COUNTIFS(IDA!A2:A1975,AK75,IDA!C2:C1975,"&lt;&gt;"&amp;"") </f>
        <v>5</v>
      </c>
      <c r="AM75" s="40">
        <f>COUNTIFS(IDA!A2:A1975,AK75,IDA!C2:C1975,"&lt;&gt;"&amp;"",IDA!I2:I1975,"Pass")</f>
        <v>5</v>
      </c>
      <c r="AN75" s="37">
        <f>COUNTIFS(IDA!A2:A1975,AK75,IDA!C2:C1975,"&lt;&gt;"&amp;"",IDA!I2:I1975,"Fail")</f>
        <v>0</v>
      </c>
      <c r="AO75" s="74">
        <f t="shared" si="6"/>
        <v>0</v>
      </c>
      <c r="AP75" s="55"/>
      <c r="AQ75" s="56"/>
      <c r="AR75" s="56"/>
      <c r="AS75" s="56"/>
      <c r="AT75" s="67"/>
      <c r="AU75" s="2"/>
      <c r="AV75" s="2"/>
      <c r="AW75" s="2"/>
      <c r="AX75" s="2"/>
    </row>
    <row r="76">
      <c r="A76" s="2"/>
      <c r="B76" s="2"/>
      <c r="C76" s="2"/>
      <c r="D76" s="2"/>
      <c r="E76" s="2"/>
      <c r="F76" s="2"/>
      <c r="G76" s="2"/>
      <c r="H76" s="2"/>
      <c r="I76" s="2"/>
      <c r="J76" s="2"/>
      <c r="K76" s="2"/>
      <c r="L76" s="3"/>
      <c r="M76" s="4"/>
      <c r="N76" s="4"/>
      <c r="O76" s="5"/>
      <c r="P76" s="6"/>
      <c r="Q76" s="3"/>
      <c r="R76" s="2"/>
      <c r="S76" s="2"/>
      <c r="T76" s="2"/>
      <c r="U76" s="2"/>
      <c r="V76" s="55"/>
      <c r="W76" s="56"/>
      <c r="X76" s="56"/>
      <c r="Y76" s="56"/>
      <c r="Z76" s="57"/>
      <c r="AA76" s="3"/>
      <c r="AB76" s="2"/>
      <c r="AC76" s="2"/>
      <c r="AD76" s="2"/>
      <c r="AE76" s="2"/>
      <c r="AF76" s="3"/>
      <c r="AG76" s="2"/>
      <c r="AH76" s="2"/>
      <c r="AI76" s="2"/>
      <c r="AJ76" s="2"/>
      <c r="AK76" s="42" t="str">
        <f>IFERROR(__xludf.DUMMYFUNCTION("""COMPUTED_VALUE"""),"MOSIP-9850")</f>
        <v>MOSIP-9850</v>
      </c>
      <c r="AL76" s="25">
        <f>COUNTIFS(IDA!A2:A1975,AK76,IDA!C2:C1975,"&lt;&gt;"&amp;"") </f>
        <v>3</v>
      </c>
      <c r="AM76" s="40">
        <f>COUNTIFS(IDA!A2:A1975,AK76,IDA!C2:C1975,"&lt;&gt;"&amp;"",IDA!I2:I1975,"Pass")</f>
        <v>3</v>
      </c>
      <c r="AN76" s="37">
        <f>COUNTIFS(IDA!A2:A1975,AK76,IDA!C2:C1975,"&lt;&gt;"&amp;"",IDA!I2:I1975,"Fail")</f>
        <v>0</v>
      </c>
      <c r="AO76" s="74">
        <f t="shared" si="6"/>
        <v>0</v>
      </c>
      <c r="AP76" s="55"/>
      <c r="AQ76" s="56"/>
      <c r="AR76" s="56"/>
      <c r="AS76" s="56"/>
      <c r="AT76" s="67"/>
      <c r="AU76" s="2"/>
      <c r="AV76" s="2"/>
      <c r="AW76" s="2"/>
      <c r="AX76" s="2"/>
    </row>
    <row r="77">
      <c r="A77" s="2"/>
      <c r="B77" s="2"/>
      <c r="C77" s="2"/>
      <c r="D77" s="2"/>
      <c r="E77" s="2"/>
      <c r="F77" s="2"/>
      <c r="G77" s="2"/>
      <c r="H77" s="2"/>
      <c r="I77" s="2"/>
      <c r="J77" s="2"/>
      <c r="K77" s="2"/>
      <c r="L77" s="3"/>
      <c r="M77" s="4"/>
      <c r="N77" s="4"/>
      <c r="O77" s="5"/>
      <c r="P77" s="6"/>
      <c r="Q77" s="3"/>
      <c r="R77" s="2"/>
      <c r="S77" s="2"/>
      <c r="T77" s="2"/>
      <c r="U77" s="2"/>
      <c r="V77" s="55"/>
      <c r="W77" s="56"/>
      <c r="X77" s="56"/>
      <c r="Y77" s="56"/>
      <c r="Z77" s="67"/>
      <c r="AA77" s="3"/>
      <c r="AB77" s="2"/>
      <c r="AC77" s="2"/>
      <c r="AD77" s="2"/>
      <c r="AE77" s="2"/>
      <c r="AF77" s="3"/>
      <c r="AG77" s="2"/>
      <c r="AH77" s="2"/>
      <c r="AI77" s="2"/>
      <c r="AJ77" s="2"/>
      <c r="AK77" s="42" t="str">
        <f>IFERROR(__xludf.DUMMYFUNCTION("""COMPUTED_VALUE"""),"MOSIP-9846")</f>
        <v>MOSIP-9846</v>
      </c>
      <c r="AL77" s="25">
        <f>COUNTIFS(IDA!A2:A1975,AK77,IDA!C2:C1975,"&lt;&gt;"&amp;"") </f>
        <v>1</v>
      </c>
      <c r="AM77" s="40">
        <f>COUNTIFS(IDA!A2:A1975,AK77,IDA!C2:C1975,"&lt;&gt;"&amp;"",IDA!I2:I1975,"Pass")</f>
        <v>1</v>
      </c>
      <c r="AN77" s="37">
        <f>COUNTIFS(IDA!A2:A1975,AK77,IDA!C2:C1975,"&lt;&gt;"&amp;"",IDA!I2:I1975,"Fail")</f>
        <v>0</v>
      </c>
      <c r="AO77" s="74">
        <f t="shared" si="6"/>
        <v>0</v>
      </c>
      <c r="AP77" s="55"/>
      <c r="AQ77" s="56"/>
      <c r="AR77" s="56"/>
      <c r="AS77" s="56"/>
      <c r="AT77" s="67"/>
      <c r="AU77" s="2"/>
      <c r="AV77" s="2"/>
      <c r="AW77" s="2"/>
      <c r="AX77" s="2"/>
    </row>
    <row r="78">
      <c r="A78" s="2"/>
      <c r="B78" s="2"/>
      <c r="C78" s="2"/>
      <c r="D78" s="2"/>
      <c r="E78" s="2"/>
      <c r="F78" s="2"/>
      <c r="G78" s="2"/>
      <c r="H78" s="2"/>
      <c r="I78" s="2"/>
      <c r="J78" s="2"/>
      <c r="K78" s="2"/>
      <c r="L78" s="3"/>
      <c r="M78" s="4"/>
      <c r="N78" s="4"/>
      <c r="O78" s="5"/>
      <c r="P78" s="6"/>
      <c r="Q78" s="3"/>
      <c r="R78" s="2"/>
      <c r="S78" s="2"/>
      <c r="T78" s="2"/>
      <c r="U78" s="2"/>
      <c r="V78" s="55"/>
      <c r="W78" s="56"/>
      <c r="X78" s="56"/>
      <c r="Y78" s="56"/>
      <c r="Z78" s="67"/>
      <c r="AA78" s="3"/>
      <c r="AB78" s="2"/>
      <c r="AC78" s="2"/>
      <c r="AD78" s="2"/>
      <c r="AE78" s="2"/>
      <c r="AF78" s="3"/>
      <c r="AG78" s="2"/>
      <c r="AH78" s="2"/>
      <c r="AI78" s="2"/>
      <c r="AJ78" s="2"/>
      <c r="AK78" s="42" t="str">
        <f>IFERROR(__xludf.DUMMYFUNCTION("""COMPUTED_VALUE"""),"MOSIP-8547")</f>
        <v>MOSIP-8547</v>
      </c>
      <c r="AL78" s="25">
        <f>COUNTIFS(IDA!A2:A1975,AK78,IDA!C2:C1975,"&lt;&gt;"&amp;"") </f>
        <v>11</v>
      </c>
      <c r="AM78" s="40">
        <f>COUNTIFS(IDA!A2:A1975,AK78,IDA!C2:C1975,"&lt;&gt;"&amp;"",IDA!I2:I1975,"Pass")</f>
        <v>11</v>
      </c>
      <c r="AN78" s="37">
        <f>COUNTIFS(IDA!A2:A1975,AK78,IDA!C2:C1975,"&lt;&gt;"&amp;"",IDA!I2:I1975,"Fail")</f>
        <v>0</v>
      </c>
      <c r="AO78" s="74">
        <f t="shared" si="6"/>
        <v>0</v>
      </c>
      <c r="AP78" s="2"/>
      <c r="AQ78" s="2"/>
      <c r="AR78" s="2"/>
      <c r="AS78" s="2"/>
      <c r="AT78" s="7"/>
      <c r="AU78" s="2"/>
      <c r="AV78" s="2"/>
      <c r="AW78" s="2"/>
      <c r="AX78" s="2"/>
    </row>
    <row r="79">
      <c r="A79" s="2"/>
      <c r="B79" s="2"/>
      <c r="C79" s="2"/>
      <c r="D79" s="2"/>
      <c r="E79" s="2"/>
      <c r="F79" s="2"/>
      <c r="G79" s="2"/>
      <c r="H79" s="2"/>
      <c r="I79" s="2"/>
      <c r="J79" s="2"/>
      <c r="K79" s="2"/>
      <c r="L79" s="3"/>
      <c r="M79" s="4"/>
      <c r="N79" s="4"/>
      <c r="O79" s="5"/>
      <c r="P79" s="6"/>
      <c r="Q79" s="3"/>
      <c r="R79" s="2"/>
      <c r="S79" s="2"/>
      <c r="T79" s="2"/>
      <c r="U79" s="2"/>
      <c r="V79" s="55"/>
      <c r="W79" s="56"/>
      <c r="X79" s="56"/>
      <c r="Y79" s="56"/>
      <c r="Z79" s="67"/>
      <c r="AA79" s="3"/>
      <c r="AB79" s="2"/>
      <c r="AC79" s="2"/>
      <c r="AD79" s="2"/>
      <c r="AE79" s="2"/>
      <c r="AF79" s="3"/>
      <c r="AG79" s="2"/>
      <c r="AH79" s="2"/>
      <c r="AI79" s="2"/>
      <c r="AJ79" s="2"/>
      <c r="AK79" s="42" t="str">
        <f>IFERROR(__xludf.DUMMYFUNCTION("""COMPUTED_VALUE"""),"MOSIP-9849")</f>
        <v>MOSIP-9849</v>
      </c>
      <c r="AL79" s="25">
        <f>COUNTIFS(IDA!A2:A1975,AK79,IDA!C2:C1975,"&lt;&gt;"&amp;"") </f>
        <v>2</v>
      </c>
      <c r="AM79" s="40">
        <f>COUNTIFS(IDA!A2:A1975,AK79,IDA!C2:C1975,"&lt;&gt;"&amp;"",IDA!I2:I1975,"Pass")</f>
        <v>2</v>
      </c>
      <c r="AN79" s="37">
        <f>COUNTIFS(IDA!A2:A1975,AK79,IDA!C2:C1975,"&lt;&gt;"&amp;"",IDA!I2:I1975,"Fail")</f>
        <v>0</v>
      </c>
      <c r="AO79" s="74">
        <f t="shared" si="6"/>
        <v>0</v>
      </c>
      <c r="AP79" s="2"/>
      <c r="AQ79" s="2"/>
      <c r="AR79" s="2"/>
      <c r="AS79" s="2"/>
      <c r="AT79" s="7"/>
      <c r="AU79" s="2"/>
      <c r="AV79" s="2"/>
      <c r="AW79" s="2"/>
      <c r="AX79" s="2"/>
    </row>
    <row r="80">
      <c r="A80" s="2"/>
      <c r="B80" s="2"/>
      <c r="C80" s="2"/>
      <c r="D80" s="2"/>
      <c r="E80" s="2"/>
      <c r="F80" s="2"/>
      <c r="G80" s="2"/>
      <c r="H80" s="2"/>
      <c r="I80" s="2"/>
      <c r="J80" s="2"/>
      <c r="K80" s="2"/>
      <c r="L80" s="3"/>
      <c r="M80" s="4"/>
      <c r="N80" s="4"/>
      <c r="O80" s="5"/>
      <c r="P80" s="6"/>
      <c r="Q80" s="3"/>
      <c r="R80" s="2"/>
      <c r="S80" s="2"/>
      <c r="T80" s="2"/>
      <c r="U80" s="2"/>
      <c r="V80" s="55"/>
      <c r="W80" s="56"/>
      <c r="X80" s="56"/>
      <c r="Y80" s="56"/>
      <c r="Z80" s="67"/>
      <c r="AA80" s="3"/>
      <c r="AB80" s="2"/>
      <c r="AC80" s="2"/>
      <c r="AD80" s="2"/>
      <c r="AE80" s="2"/>
      <c r="AF80" s="3"/>
      <c r="AG80" s="2"/>
      <c r="AH80" s="2"/>
      <c r="AI80" s="2"/>
      <c r="AJ80" s="2"/>
      <c r="AK80" s="55"/>
      <c r="AL80" s="56"/>
      <c r="AM80" s="56"/>
      <c r="AN80" s="56"/>
      <c r="AO80" s="57"/>
      <c r="AP80" s="2"/>
      <c r="AQ80" s="2"/>
      <c r="AR80" s="2"/>
      <c r="AS80" s="2"/>
      <c r="AT80" s="7"/>
      <c r="AU80" s="2"/>
      <c r="AV80" s="2"/>
      <c r="AW80" s="2"/>
      <c r="AX80" s="2"/>
    </row>
    <row r="81">
      <c r="A81" s="2"/>
      <c r="B81" s="2"/>
      <c r="C81" s="2"/>
      <c r="D81" s="2"/>
      <c r="E81" s="2"/>
      <c r="F81" s="2"/>
      <c r="G81" s="2"/>
      <c r="H81" s="2"/>
      <c r="I81" s="2"/>
      <c r="J81" s="2"/>
      <c r="K81" s="2"/>
      <c r="L81" s="3"/>
      <c r="M81" s="4"/>
      <c r="N81" s="4"/>
      <c r="O81" s="5"/>
      <c r="P81" s="6"/>
      <c r="Q81" s="3"/>
      <c r="R81" s="2"/>
      <c r="S81" s="2"/>
      <c r="T81" s="2"/>
      <c r="U81" s="2"/>
      <c r="V81" s="55"/>
      <c r="W81" s="56"/>
      <c r="X81" s="56"/>
      <c r="Y81" s="56"/>
      <c r="Z81" s="67"/>
      <c r="AA81" s="3"/>
      <c r="AB81" s="2"/>
      <c r="AC81" s="2"/>
      <c r="AD81" s="2"/>
      <c r="AE81" s="2"/>
      <c r="AF81" s="3"/>
      <c r="AG81" s="2"/>
      <c r="AH81" s="2"/>
      <c r="AI81" s="2"/>
      <c r="AJ81" s="2"/>
      <c r="AK81" s="55"/>
      <c r="AL81" s="56"/>
      <c r="AM81" s="56"/>
      <c r="AN81" s="56"/>
      <c r="AO81" s="57"/>
      <c r="AP81" s="2"/>
      <c r="AQ81" s="2"/>
      <c r="AR81" s="2"/>
      <c r="AS81" s="2"/>
      <c r="AT81" s="7"/>
      <c r="AU81" s="2"/>
      <c r="AV81" s="2"/>
      <c r="AW81" s="2"/>
      <c r="AX81" s="2"/>
    </row>
    <row r="82">
      <c r="A82" s="2"/>
      <c r="B82" s="2"/>
      <c r="C82" s="2"/>
      <c r="D82" s="2"/>
      <c r="E82" s="2"/>
      <c r="F82" s="2"/>
      <c r="G82" s="2"/>
      <c r="H82" s="2"/>
      <c r="I82" s="2"/>
      <c r="J82" s="2"/>
      <c r="K82" s="2"/>
      <c r="L82" s="3"/>
      <c r="M82" s="4"/>
      <c r="N82" s="4"/>
      <c r="O82" s="5"/>
      <c r="P82" s="6"/>
      <c r="Q82" s="3"/>
      <c r="R82" s="2"/>
      <c r="S82" s="2"/>
      <c r="T82" s="2"/>
      <c r="U82" s="2"/>
      <c r="V82" s="55"/>
      <c r="W82" s="56"/>
      <c r="X82" s="56"/>
      <c r="Y82" s="56"/>
      <c r="Z82" s="67"/>
      <c r="AA82" s="3"/>
      <c r="AB82" s="2"/>
      <c r="AC82" s="2"/>
      <c r="AD82" s="2"/>
      <c r="AE82" s="2"/>
      <c r="AF82" s="3"/>
      <c r="AG82" s="2"/>
      <c r="AH82" s="2"/>
      <c r="AI82" s="2"/>
      <c r="AJ82" s="2"/>
      <c r="AK82" s="55"/>
      <c r="AL82" s="56"/>
      <c r="AM82" s="56"/>
      <c r="AN82" s="56"/>
      <c r="AO82" s="57"/>
      <c r="AP82" s="3"/>
      <c r="AQ82" s="2"/>
      <c r="AR82" s="2"/>
      <c r="AS82" s="2"/>
      <c r="AT82" s="7"/>
      <c r="AU82" s="2"/>
      <c r="AV82" s="2"/>
      <c r="AW82" s="2"/>
      <c r="AX82" s="2"/>
    </row>
    <row r="83">
      <c r="A83" s="2"/>
      <c r="B83" s="2"/>
      <c r="C83" s="2"/>
      <c r="D83" s="2"/>
      <c r="E83" s="2"/>
      <c r="F83" s="2"/>
      <c r="G83" s="2"/>
      <c r="H83" s="2"/>
      <c r="I83" s="2"/>
      <c r="J83" s="2"/>
      <c r="K83" s="2"/>
      <c r="L83" s="3"/>
      <c r="M83" s="4"/>
      <c r="N83" s="4"/>
      <c r="O83" s="5"/>
      <c r="P83" s="6"/>
      <c r="Q83" s="3"/>
      <c r="R83" s="2"/>
      <c r="S83" s="2"/>
      <c r="T83" s="2"/>
      <c r="U83" s="2"/>
      <c r="V83" s="55"/>
      <c r="W83" s="56"/>
      <c r="X83" s="56"/>
      <c r="Y83" s="56"/>
      <c r="Z83" s="67"/>
      <c r="AA83" s="3"/>
      <c r="AB83" s="2"/>
      <c r="AC83" s="2"/>
      <c r="AD83" s="2"/>
      <c r="AE83" s="2"/>
      <c r="AF83" s="3"/>
      <c r="AG83" s="2"/>
      <c r="AH83" s="2"/>
      <c r="AI83" s="2"/>
      <c r="AJ83" s="2"/>
      <c r="AK83" s="55"/>
      <c r="AL83" s="56"/>
      <c r="AM83" s="56"/>
      <c r="AN83" s="56"/>
      <c r="AO83" s="57"/>
      <c r="AP83" s="3"/>
      <c r="AQ83" s="2"/>
      <c r="AR83" s="2"/>
      <c r="AS83" s="2"/>
      <c r="AT83" s="7"/>
      <c r="AU83" s="2"/>
      <c r="AV83" s="2"/>
      <c r="AW83" s="2"/>
      <c r="AX83" s="2"/>
    </row>
    <row r="84">
      <c r="A84" s="2"/>
      <c r="B84" s="2"/>
      <c r="C84" s="2"/>
      <c r="D84" s="2"/>
      <c r="E84" s="2"/>
      <c r="F84" s="2"/>
      <c r="G84" s="2"/>
      <c r="H84" s="2"/>
      <c r="I84" s="2"/>
      <c r="J84" s="2"/>
      <c r="K84" s="2"/>
      <c r="L84" s="3"/>
      <c r="M84" s="4"/>
      <c r="N84" s="4"/>
      <c r="O84" s="5"/>
      <c r="P84" s="6"/>
      <c r="Q84" s="3"/>
      <c r="R84" s="2"/>
      <c r="S84" s="2"/>
      <c r="T84" s="2"/>
      <c r="U84" s="2"/>
      <c r="V84" s="55"/>
      <c r="W84" s="56"/>
      <c r="X84" s="56"/>
      <c r="Y84" s="56"/>
      <c r="Z84" s="67"/>
      <c r="AA84" s="3"/>
      <c r="AB84" s="2"/>
      <c r="AC84" s="2"/>
      <c r="AD84" s="2"/>
      <c r="AE84" s="2"/>
      <c r="AF84" s="3"/>
      <c r="AG84" s="2"/>
      <c r="AH84" s="2"/>
      <c r="AI84" s="2"/>
      <c r="AJ84" s="2"/>
      <c r="AK84" s="55"/>
      <c r="AL84" s="56"/>
      <c r="AM84" s="56"/>
      <c r="AN84" s="56"/>
      <c r="AO84" s="67"/>
      <c r="AP84" s="3"/>
      <c r="AQ84" s="2"/>
      <c r="AR84" s="2"/>
      <c r="AS84" s="2"/>
      <c r="AT84" s="7"/>
      <c r="AU84" s="2"/>
      <c r="AV84" s="2"/>
      <c r="AW84" s="2"/>
      <c r="AX84" s="2"/>
    </row>
    <row r="85">
      <c r="A85" s="2"/>
      <c r="B85" s="2"/>
      <c r="C85" s="2"/>
      <c r="D85" s="2"/>
      <c r="E85" s="2"/>
      <c r="F85" s="2"/>
      <c r="G85" s="2"/>
      <c r="H85" s="2"/>
      <c r="I85" s="2"/>
      <c r="J85" s="2"/>
      <c r="K85" s="2"/>
      <c r="L85" s="3"/>
      <c r="M85" s="4"/>
      <c r="N85" s="4"/>
      <c r="O85" s="5"/>
      <c r="P85" s="6"/>
      <c r="Q85" s="3"/>
      <c r="R85" s="2"/>
      <c r="S85" s="2"/>
      <c r="T85" s="2"/>
      <c r="U85" s="2"/>
      <c r="V85" s="55"/>
      <c r="W85" s="56"/>
      <c r="X85" s="56"/>
      <c r="Y85" s="56"/>
      <c r="Z85" s="67"/>
      <c r="AA85" s="3"/>
      <c r="AB85" s="2"/>
      <c r="AC85" s="2"/>
      <c r="AD85" s="2"/>
      <c r="AE85" s="2"/>
      <c r="AF85" s="3"/>
      <c r="AG85" s="2"/>
      <c r="AH85" s="2"/>
      <c r="AI85" s="2"/>
      <c r="AJ85" s="2"/>
      <c r="AK85" s="3"/>
      <c r="AL85" s="2"/>
      <c r="AM85" s="2"/>
      <c r="AN85" s="2"/>
      <c r="AO85" s="2"/>
      <c r="AP85" s="3"/>
      <c r="AQ85" s="2"/>
      <c r="AR85" s="2"/>
      <c r="AS85" s="2"/>
      <c r="AT85" s="7"/>
      <c r="AU85" s="2"/>
      <c r="AV85" s="2"/>
      <c r="AW85" s="2"/>
      <c r="AX85" s="2"/>
    </row>
    <row r="86">
      <c r="A86" s="2"/>
      <c r="B86" s="2"/>
      <c r="C86" s="2"/>
      <c r="D86" s="2"/>
      <c r="E86" s="2"/>
      <c r="F86" s="2"/>
      <c r="G86" s="2"/>
      <c r="H86" s="2"/>
      <c r="I86" s="2"/>
      <c r="J86" s="2"/>
      <c r="K86" s="2"/>
      <c r="L86" s="3"/>
      <c r="M86" s="4"/>
      <c r="N86" s="4"/>
      <c r="O86" s="5"/>
      <c r="P86" s="6"/>
      <c r="Q86" s="3"/>
      <c r="R86" s="2"/>
      <c r="S86" s="2"/>
      <c r="T86" s="2"/>
      <c r="U86" s="2"/>
      <c r="V86" s="55"/>
      <c r="W86" s="56"/>
      <c r="X86" s="56"/>
      <c r="Y86" s="56"/>
      <c r="Z86" s="67"/>
      <c r="AA86" s="3"/>
      <c r="AB86" s="2"/>
      <c r="AC86" s="2"/>
      <c r="AD86" s="2"/>
      <c r="AE86" s="2"/>
      <c r="AF86" s="3"/>
      <c r="AG86" s="2"/>
      <c r="AH86" s="2"/>
      <c r="AI86" s="2"/>
      <c r="AJ86" s="2"/>
      <c r="AK86" s="55"/>
      <c r="AL86" s="56"/>
      <c r="AM86" s="56"/>
      <c r="AN86" s="56"/>
      <c r="AO86" s="57"/>
      <c r="AP86" s="3"/>
      <c r="AQ86" s="2"/>
      <c r="AR86" s="2"/>
      <c r="AS86" s="2"/>
      <c r="AT86" s="7"/>
      <c r="AU86" s="2"/>
      <c r="AV86" s="2"/>
      <c r="AW86" s="2"/>
      <c r="AX86" s="2"/>
    </row>
    <row r="87">
      <c r="A87" s="2"/>
      <c r="B87" s="2"/>
      <c r="C87" s="2"/>
      <c r="D87" s="2"/>
      <c r="E87" s="2"/>
      <c r="F87" s="2"/>
      <c r="G87" s="2"/>
      <c r="H87" s="2"/>
      <c r="I87" s="2"/>
      <c r="J87" s="2"/>
      <c r="K87" s="2"/>
      <c r="L87" s="3"/>
      <c r="M87" s="4"/>
      <c r="N87" s="4"/>
      <c r="O87" s="5"/>
      <c r="P87" s="6"/>
      <c r="Q87" s="3"/>
      <c r="R87" s="2"/>
      <c r="S87" s="2"/>
      <c r="T87" s="2"/>
      <c r="U87" s="2"/>
      <c r="V87" s="55"/>
      <c r="W87" s="56"/>
      <c r="X87" s="56"/>
      <c r="Y87" s="56"/>
      <c r="Z87" s="67"/>
      <c r="AA87" s="3"/>
      <c r="AB87" s="2"/>
      <c r="AC87" s="2"/>
      <c r="AD87" s="2"/>
      <c r="AE87" s="2"/>
      <c r="AF87" s="3"/>
      <c r="AG87" s="2"/>
      <c r="AH87" s="2"/>
      <c r="AI87" s="2"/>
      <c r="AJ87" s="2"/>
      <c r="AK87" s="55"/>
      <c r="AL87" s="56"/>
      <c r="AM87" s="56"/>
      <c r="AN87" s="56"/>
      <c r="AO87" s="67"/>
      <c r="AP87" s="3"/>
      <c r="AQ87" s="2"/>
      <c r="AR87" s="2"/>
      <c r="AS87" s="2"/>
      <c r="AT87" s="7"/>
      <c r="AU87" s="2"/>
      <c r="AV87" s="2"/>
      <c r="AW87" s="2"/>
      <c r="AX87" s="2"/>
    </row>
    <row r="88">
      <c r="A88" s="2"/>
      <c r="B88" s="2"/>
      <c r="C88" s="2"/>
      <c r="D88" s="2"/>
      <c r="E88" s="2"/>
      <c r="F88" s="2"/>
      <c r="G88" s="2"/>
      <c r="H88" s="2"/>
      <c r="I88" s="2"/>
      <c r="J88" s="2"/>
      <c r="K88" s="2"/>
      <c r="L88" s="3"/>
      <c r="M88" s="4"/>
      <c r="N88" s="4"/>
      <c r="O88" s="5"/>
      <c r="P88" s="6"/>
      <c r="Q88" s="3"/>
      <c r="R88" s="2"/>
      <c r="S88" s="2"/>
      <c r="T88" s="2"/>
      <c r="U88" s="2"/>
      <c r="V88" s="55"/>
      <c r="W88" s="56"/>
      <c r="X88" s="56"/>
      <c r="Y88" s="56"/>
      <c r="Z88" s="67"/>
      <c r="AA88" s="3"/>
      <c r="AB88" s="2"/>
      <c r="AC88" s="2"/>
      <c r="AD88" s="2"/>
      <c r="AE88" s="2"/>
      <c r="AF88" s="3"/>
      <c r="AG88" s="2"/>
      <c r="AH88" s="2"/>
      <c r="AI88" s="2"/>
      <c r="AJ88" s="2"/>
      <c r="AK88" s="55"/>
      <c r="AL88" s="56"/>
      <c r="AM88" s="56"/>
      <c r="AN88" s="56"/>
      <c r="AO88" s="67"/>
      <c r="AP88" s="3"/>
      <c r="AQ88" s="2"/>
      <c r="AR88" s="2"/>
      <c r="AS88" s="2"/>
      <c r="AT88" s="7"/>
      <c r="AU88" s="2"/>
      <c r="AV88" s="2"/>
      <c r="AW88" s="2"/>
      <c r="AX88" s="2"/>
    </row>
    <row r="89">
      <c r="A89" s="2"/>
      <c r="B89" s="2"/>
      <c r="C89" s="2"/>
      <c r="D89" s="2"/>
      <c r="E89" s="2"/>
      <c r="F89" s="2"/>
      <c r="G89" s="2"/>
      <c r="H89" s="2"/>
      <c r="I89" s="2"/>
      <c r="J89" s="2"/>
      <c r="K89" s="2"/>
      <c r="L89" s="3"/>
      <c r="M89" s="4"/>
      <c r="N89" s="4"/>
      <c r="O89" s="5"/>
      <c r="P89" s="6"/>
      <c r="Q89" s="3"/>
      <c r="R89" s="2"/>
      <c r="S89" s="2"/>
      <c r="T89" s="2"/>
      <c r="U89" s="2"/>
      <c r="V89" s="55"/>
      <c r="W89" s="56"/>
      <c r="X89" s="56"/>
      <c r="Y89" s="56"/>
      <c r="Z89" s="67"/>
      <c r="AA89" s="3"/>
      <c r="AB89" s="2"/>
      <c r="AC89" s="2"/>
      <c r="AD89" s="2"/>
      <c r="AE89" s="2"/>
      <c r="AF89" s="3"/>
      <c r="AG89" s="2"/>
      <c r="AH89" s="2"/>
      <c r="AI89" s="2"/>
      <c r="AJ89" s="2"/>
      <c r="AK89" s="55"/>
      <c r="AL89" s="56"/>
      <c r="AM89" s="56"/>
      <c r="AN89" s="56"/>
      <c r="AO89" s="67"/>
      <c r="AP89" s="3"/>
      <c r="AQ89" s="2"/>
      <c r="AR89" s="2"/>
      <c r="AS89" s="2"/>
      <c r="AT89" s="7"/>
      <c r="AU89" s="2"/>
      <c r="AV89" s="2"/>
      <c r="AW89" s="2"/>
      <c r="AX89" s="2"/>
    </row>
    <row r="90">
      <c r="A90" s="2"/>
      <c r="B90" s="2"/>
      <c r="C90" s="2"/>
      <c r="D90" s="2"/>
      <c r="E90" s="2"/>
      <c r="F90" s="2"/>
      <c r="G90" s="2"/>
      <c r="H90" s="2"/>
      <c r="I90" s="2"/>
      <c r="J90" s="2"/>
      <c r="K90" s="2"/>
      <c r="L90" s="3"/>
      <c r="M90" s="4"/>
      <c r="N90" s="4"/>
      <c r="O90" s="5"/>
      <c r="P90" s="6"/>
      <c r="Q90" s="3"/>
      <c r="R90" s="2"/>
      <c r="S90" s="2"/>
      <c r="T90" s="2"/>
      <c r="U90" s="2"/>
      <c r="V90" s="55"/>
      <c r="W90" s="56"/>
      <c r="X90" s="56"/>
      <c r="Y90" s="56"/>
      <c r="Z90" s="67"/>
      <c r="AA90" s="3"/>
      <c r="AB90" s="2"/>
      <c r="AC90" s="2"/>
      <c r="AD90" s="2"/>
      <c r="AE90" s="2"/>
      <c r="AF90" s="3"/>
      <c r="AG90" s="2"/>
      <c r="AH90" s="2"/>
      <c r="AI90" s="2"/>
      <c r="AJ90" s="2"/>
      <c r="AK90" s="55"/>
      <c r="AL90" s="56"/>
      <c r="AM90" s="56"/>
      <c r="AN90" s="56"/>
      <c r="AO90" s="67"/>
      <c r="AP90" s="3"/>
      <c r="AQ90" s="2"/>
      <c r="AR90" s="2"/>
      <c r="AS90" s="2"/>
      <c r="AT90" s="7"/>
      <c r="AU90" s="2"/>
      <c r="AV90" s="2"/>
      <c r="AW90" s="2"/>
      <c r="AX90" s="2"/>
    </row>
    <row r="91">
      <c r="A91" s="2"/>
      <c r="B91" s="2"/>
      <c r="C91" s="2"/>
      <c r="D91" s="2"/>
      <c r="E91" s="2"/>
      <c r="F91" s="2"/>
      <c r="G91" s="2"/>
      <c r="H91" s="2"/>
      <c r="I91" s="2"/>
      <c r="J91" s="2"/>
      <c r="K91" s="2"/>
      <c r="L91" s="3"/>
      <c r="M91" s="4"/>
      <c r="N91" s="4"/>
      <c r="O91" s="5"/>
      <c r="P91" s="6"/>
      <c r="Q91" s="3"/>
      <c r="R91" s="2"/>
      <c r="S91" s="2"/>
      <c r="T91" s="2"/>
      <c r="U91" s="2"/>
      <c r="V91" s="55"/>
      <c r="W91" s="56"/>
      <c r="X91" s="56"/>
      <c r="Y91" s="56"/>
      <c r="Z91" s="67"/>
      <c r="AA91" s="3"/>
      <c r="AB91" s="2"/>
      <c r="AC91" s="2"/>
      <c r="AD91" s="2"/>
      <c r="AE91" s="2"/>
      <c r="AF91" s="3"/>
      <c r="AG91" s="2"/>
      <c r="AH91" s="2"/>
      <c r="AI91" s="2"/>
      <c r="AJ91" s="2"/>
      <c r="AK91" s="55"/>
      <c r="AL91" s="56"/>
      <c r="AM91" s="56"/>
      <c r="AN91" s="56"/>
      <c r="AO91" s="67"/>
      <c r="AP91" s="3"/>
      <c r="AQ91" s="2"/>
      <c r="AR91" s="2"/>
      <c r="AS91" s="2"/>
      <c r="AT91" s="7"/>
      <c r="AU91" s="2"/>
      <c r="AV91" s="2"/>
      <c r="AW91" s="2"/>
      <c r="AX91" s="2"/>
    </row>
    <row r="92">
      <c r="A92" s="2"/>
      <c r="B92" s="2"/>
      <c r="C92" s="2"/>
      <c r="D92" s="2"/>
      <c r="E92" s="2"/>
      <c r="F92" s="2"/>
      <c r="G92" s="2"/>
      <c r="H92" s="2"/>
      <c r="I92" s="2"/>
      <c r="J92" s="2"/>
      <c r="K92" s="2"/>
      <c r="L92" s="3"/>
      <c r="M92" s="4"/>
      <c r="N92" s="4"/>
      <c r="O92" s="5"/>
      <c r="P92" s="6"/>
      <c r="Q92" s="3"/>
      <c r="R92" s="2"/>
      <c r="S92" s="2"/>
      <c r="T92" s="2"/>
      <c r="U92" s="2"/>
      <c r="V92" s="55"/>
      <c r="W92" s="56"/>
      <c r="X92" s="56"/>
      <c r="Y92" s="56"/>
      <c r="Z92" s="67"/>
      <c r="AA92" s="3"/>
      <c r="AB92" s="2"/>
      <c r="AC92" s="2"/>
      <c r="AD92" s="2"/>
      <c r="AE92" s="2"/>
      <c r="AF92" s="3"/>
      <c r="AG92" s="2"/>
      <c r="AH92" s="2"/>
      <c r="AI92" s="2"/>
      <c r="AJ92" s="2"/>
      <c r="AK92" s="55"/>
      <c r="AL92" s="56"/>
      <c r="AM92" s="56"/>
      <c r="AN92" s="56"/>
      <c r="AO92" s="67"/>
      <c r="AP92" s="3"/>
      <c r="AQ92" s="2"/>
      <c r="AR92" s="2"/>
      <c r="AS92" s="2"/>
      <c r="AT92" s="7"/>
      <c r="AU92" s="2"/>
      <c r="AV92" s="2"/>
      <c r="AW92" s="2"/>
      <c r="AX92" s="2"/>
    </row>
    <row r="93">
      <c r="A93" s="2"/>
      <c r="B93" s="2"/>
      <c r="C93" s="2"/>
      <c r="D93" s="2"/>
      <c r="E93" s="2"/>
      <c r="F93" s="2"/>
      <c r="G93" s="2"/>
      <c r="H93" s="2"/>
      <c r="I93" s="2"/>
      <c r="J93" s="2"/>
      <c r="K93" s="2"/>
      <c r="L93" s="3"/>
      <c r="M93" s="4"/>
      <c r="N93" s="4"/>
      <c r="O93" s="5"/>
      <c r="P93" s="6"/>
      <c r="Q93" s="3"/>
      <c r="R93" s="2"/>
      <c r="S93" s="2"/>
      <c r="T93" s="2"/>
      <c r="U93" s="2"/>
      <c r="V93" s="55"/>
      <c r="W93" s="56"/>
      <c r="X93" s="56"/>
      <c r="Y93" s="56"/>
      <c r="Z93" s="67"/>
      <c r="AA93" s="3"/>
      <c r="AB93" s="2"/>
      <c r="AC93" s="2"/>
      <c r="AD93" s="2"/>
      <c r="AE93" s="2"/>
      <c r="AF93" s="3"/>
      <c r="AG93" s="2"/>
      <c r="AH93" s="2"/>
      <c r="AI93" s="2"/>
      <c r="AJ93" s="2"/>
      <c r="AK93" s="55"/>
      <c r="AL93" s="56"/>
      <c r="AM93" s="56"/>
      <c r="AN93" s="56"/>
      <c r="AO93" s="67"/>
      <c r="AP93" s="3"/>
      <c r="AQ93" s="2"/>
      <c r="AR93" s="2"/>
      <c r="AS93" s="2"/>
      <c r="AT93" s="7"/>
      <c r="AU93" s="2"/>
      <c r="AV93" s="2"/>
      <c r="AW93" s="2"/>
      <c r="AX93" s="2"/>
    </row>
    <row r="94">
      <c r="A94" s="2"/>
      <c r="B94" s="2"/>
      <c r="C94" s="2"/>
      <c r="D94" s="2"/>
      <c r="E94" s="2"/>
      <c r="F94" s="2"/>
      <c r="G94" s="2"/>
      <c r="H94" s="2"/>
      <c r="I94" s="2"/>
      <c r="J94" s="2"/>
      <c r="K94" s="2"/>
      <c r="L94" s="3"/>
      <c r="M94" s="4"/>
      <c r="N94" s="4"/>
      <c r="O94" s="5"/>
      <c r="P94" s="6"/>
      <c r="Q94" s="3"/>
      <c r="R94" s="2"/>
      <c r="S94" s="2"/>
      <c r="T94" s="2"/>
      <c r="U94" s="2"/>
      <c r="V94" s="55"/>
      <c r="W94" s="56"/>
      <c r="X94" s="56"/>
      <c r="Y94" s="56"/>
      <c r="Z94" s="67"/>
      <c r="AA94" s="3"/>
      <c r="AB94" s="2"/>
      <c r="AC94" s="2"/>
      <c r="AD94" s="2"/>
      <c r="AE94" s="2"/>
      <c r="AF94" s="3"/>
      <c r="AG94" s="2"/>
      <c r="AH94" s="2"/>
      <c r="AI94" s="2"/>
      <c r="AJ94" s="2"/>
      <c r="AK94" s="55"/>
      <c r="AL94" s="56"/>
      <c r="AM94" s="56"/>
      <c r="AN94" s="56"/>
      <c r="AO94" s="67"/>
      <c r="AP94" s="3"/>
      <c r="AQ94" s="2"/>
      <c r="AR94" s="2"/>
      <c r="AS94" s="2"/>
      <c r="AT94" s="7"/>
      <c r="AU94" s="2"/>
      <c r="AV94" s="2"/>
      <c r="AW94" s="2"/>
      <c r="AX94" s="2"/>
    </row>
    <row r="95">
      <c r="A95" s="2"/>
      <c r="B95" s="2"/>
      <c r="C95" s="2"/>
      <c r="D95" s="2"/>
      <c r="E95" s="2"/>
      <c r="F95" s="2"/>
      <c r="G95" s="2"/>
      <c r="H95" s="2"/>
      <c r="I95" s="2"/>
      <c r="J95" s="2"/>
      <c r="K95" s="2"/>
      <c r="L95" s="3"/>
      <c r="M95" s="4"/>
      <c r="N95" s="4"/>
      <c r="O95" s="5"/>
      <c r="P95" s="6"/>
      <c r="Q95" s="3"/>
      <c r="R95" s="2"/>
      <c r="S95" s="2"/>
      <c r="T95" s="2"/>
      <c r="U95" s="2"/>
      <c r="V95" s="55"/>
      <c r="W95" s="56"/>
      <c r="X95" s="56"/>
      <c r="Y95" s="56"/>
      <c r="Z95" s="67"/>
      <c r="AA95" s="3"/>
      <c r="AB95" s="2"/>
      <c r="AC95" s="2"/>
      <c r="AD95" s="2"/>
      <c r="AE95" s="2"/>
      <c r="AF95" s="3"/>
      <c r="AG95" s="2"/>
      <c r="AH95" s="2"/>
      <c r="AI95" s="2"/>
      <c r="AJ95" s="2"/>
      <c r="AK95" s="55"/>
      <c r="AL95" s="56"/>
      <c r="AM95" s="56"/>
      <c r="AN95" s="56"/>
      <c r="AO95" s="67"/>
      <c r="AP95" s="3"/>
      <c r="AQ95" s="2"/>
      <c r="AR95" s="2"/>
      <c r="AS95" s="2"/>
      <c r="AT95" s="7"/>
      <c r="AU95" s="2"/>
      <c r="AV95" s="2"/>
      <c r="AW95" s="2"/>
      <c r="AX95" s="2"/>
    </row>
    <row r="96">
      <c r="A96" s="2"/>
      <c r="B96" s="2"/>
      <c r="C96" s="2"/>
      <c r="D96" s="2"/>
      <c r="E96" s="2"/>
      <c r="F96" s="2"/>
      <c r="G96" s="2"/>
      <c r="H96" s="2"/>
      <c r="I96" s="2"/>
      <c r="J96" s="2"/>
      <c r="K96" s="2"/>
      <c r="L96" s="3"/>
      <c r="M96" s="4"/>
      <c r="N96" s="4"/>
      <c r="O96" s="5"/>
      <c r="P96" s="6"/>
      <c r="Q96" s="3"/>
      <c r="R96" s="2"/>
      <c r="S96" s="2"/>
      <c r="T96" s="2"/>
      <c r="U96" s="2"/>
      <c r="V96" s="55"/>
      <c r="W96" s="56"/>
      <c r="X96" s="56"/>
      <c r="Y96" s="56"/>
      <c r="Z96" s="67"/>
      <c r="AA96" s="3"/>
      <c r="AB96" s="2"/>
      <c r="AC96" s="2"/>
      <c r="AD96" s="2"/>
      <c r="AE96" s="2"/>
      <c r="AF96" s="3"/>
      <c r="AG96" s="2"/>
      <c r="AH96" s="2"/>
      <c r="AI96" s="2"/>
      <c r="AJ96" s="2"/>
      <c r="AK96" s="55"/>
      <c r="AL96" s="56"/>
      <c r="AM96" s="56"/>
      <c r="AN96" s="56"/>
      <c r="AO96" s="67"/>
      <c r="AP96" s="3"/>
      <c r="AQ96" s="2"/>
      <c r="AR96" s="2"/>
      <c r="AS96" s="2"/>
      <c r="AT96" s="7"/>
      <c r="AU96" s="2"/>
      <c r="AV96" s="2"/>
      <c r="AW96" s="2"/>
      <c r="AX96" s="2"/>
    </row>
    <row r="97">
      <c r="A97" s="2"/>
      <c r="B97" s="2"/>
      <c r="C97" s="2"/>
      <c r="D97" s="2"/>
      <c r="E97" s="2"/>
      <c r="F97" s="2"/>
      <c r="G97" s="2"/>
      <c r="H97" s="2"/>
      <c r="I97" s="2"/>
      <c r="J97" s="2"/>
      <c r="K97" s="2"/>
      <c r="L97" s="3"/>
      <c r="M97" s="4"/>
      <c r="N97" s="4"/>
      <c r="O97" s="5"/>
      <c r="P97" s="6"/>
      <c r="Q97" s="3"/>
      <c r="R97" s="2"/>
      <c r="S97" s="2"/>
      <c r="T97" s="2"/>
      <c r="U97" s="2"/>
      <c r="V97" s="3"/>
      <c r="W97" s="2"/>
      <c r="X97" s="2"/>
      <c r="Y97" s="2"/>
      <c r="Z97" s="2"/>
      <c r="AA97" s="3"/>
      <c r="AB97" s="2"/>
      <c r="AC97" s="2"/>
      <c r="AD97" s="2"/>
      <c r="AE97" s="2"/>
      <c r="AF97" s="3"/>
      <c r="AG97" s="2"/>
      <c r="AH97" s="2"/>
      <c r="AI97" s="2"/>
      <c r="AJ97" s="2"/>
      <c r="AK97" s="55"/>
      <c r="AL97" s="56"/>
      <c r="AM97" s="56"/>
      <c r="AN97" s="56"/>
      <c r="AO97" s="67"/>
      <c r="AP97" s="3"/>
      <c r="AQ97" s="2"/>
      <c r="AR97" s="2"/>
      <c r="AS97" s="2"/>
      <c r="AT97" s="7"/>
      <c r="AU97" s="2"/>
      <c r="AV97" s="2"/>
      <c r="AW97" s="2"/>
      <c r="AX97" s="2"/>
    </row>
    <row r="98">
      <c r="A98" s="2"/>
      <c r="B98" s="2"/>
      <c r="C98" s="2"/>
      <c r="D98" s="2"/>
      <c r="E98" s="2"/>
      <c r="F98" s="2"/>
      <c r="G98" s="2"/>
      <c r="H98" s="2"/>
      <c r="I98" s="2"/>
      <c r="J98" s="2"/>
      <c r="K98" s="2"/>
      <c r="L98" s="3"/>
      <c r="M98" s="4"/>
      <c r="N98" s="4"/>
      <c r="O98" s="5"/>
      <c r="P98" s="6"/>
      <c r="Q98" s="3"/>
      <c r="R98" s="2"/>
      <c r="S98" s="2"/>
      <c r="T98" s="2"/>
      <c r="U98" s="2"/>
      <c r="V98" s="3"/>
      <c r="W98" s="2"/>
      <c r="X98" s="2"/>
      <c r="Y98" s="2"/>
      <c r="Z98" s="2"/>
      <c r="AA98" s="3"/>
      <c r="AB98" s="2"/>
      <c r="AC98" s="2"/>
      <c r="AD98" s="2"/>
      <c r="AE98" s="2"/>
      <c r="AF98" s="3"/>
      <c r="AG98" s="2"/>
      <c r="AH98" s="2"/>
      <c r="AI98" s="2"/>
      <c r="AJ98" s="2"/>
      <c r="AK98" s="55"/>
      <c r="AL98" s="56"/>
      <c r="AM98" s="56"/>
      <c r="AN98" s="56"/>
      <c r="AO98" s="67"/>
      <c r="AP98" s="3"/>
      <c r="AQ98" s="2"/>
      <c r="AR98" s="2"/>
      <c r="AS98" s="2"/>
      <c r="AT98" s="7"/>
      <c r="AU98" s="2"/>
      <c r="AV98" s="2"/>
      <c r="AW98" s="2"/>
      <c r="AX98" s="2"/>
    </row>
    <row r="99">
      <c r="A99" s="2"/>
      <c r="B99" s="2"/>
      <c r="C99" s="2"/>
      <c r="D99" s="2"/>
      <c r="E99" s="2"/>
      <c r="F99" s="2"/>
      <c r="G99" s="2"/>
      <c r="H99" s="2"/>
      <c r="I99" s="2"/>
      <c r="J99" s="2"/>
      <c r="K99" s="2"/>
      <c r="L99" s="3"/>
      <c r="M99" s="4"/>
      <c r="N99" s="4"/>
      <c r="O99" s="5"/>
      <c r="P99" s="6"/>
      <c r="Q99" s="3"/>
      <c r="R99" s="2"/>
      <c r="S99" s="2"/>
      <c r="T99" s="2"/>
      <c r="U99" s="2"/>
      <c r="V99" s="3"/>
      <c r="W99" s="2"/>
      <c r="X99" s="2"/>
      <c r="Y99" s="2"/>
      <c r="Z99" s="2"/>
      <c r="AA99" s="3"/>
      <c r="AB99" s="2"/>
      <c r="AC99" s="2"/>
      <c r="AD99" s="2"/>
      <c r="AE99" s="2"/>
      <c r="AF99" s="3"/>
      <c r="AG99" s="2"/>
      <c r="AH99" s="2"/>
      <c r="AI99" s="2"/>
      <c r="AJ99" s="2"/>
      <c r="AK99" s="55"/>
      <c r="AL99" s="56"/>
      <c r="AM99" s="56"/>
      <c r="AN99" s="56"/>
      <c r="AO99" s="67"/>
      <c r="AP99" s="3"/>
      <c r="AQ99" s="2"/>
      <c r="AR99" s="2"/>
      <c r="AS99" s="2"/>
      <c r="AT99" s="7"/>
      <c r="AU99" s="2"/>
      <c r="AV99" s="2"/>
      <c r="AW99" s="2"/>
      <c r="AX99" s="2"/>
    </row>
    <row r="100">
      <c r="A100" s="2"/>
      <c r="B100" s="2"/>
      <c r="C100" s="2"/>
      <c r="D100" s="2"/>
      <c r="E100" s="2"/>
      <c r="F100" s="2"/>
      <c r="G100" s="2"/>
      <c r="H100" s="2"/>
      <c r="I100" s="2"/>
      <c r="J100" s="2"/>
      <c r="K100" s="2"/>
      <c r="L100" s="3"/>
      <c r="M100" s="4"/>
      <c r="N100" s="4"/>
      <c r="O100" s="5"/>
      <c r="P100" s="6"/>
      <c r="Q100" s="3"/>
      <c r="R100" s="2"/>
      <c r="S100" s="2"/>
      <c r="T100" s="2"/>
      <c r="U100" s="2"/>
      <c r="V100" s="3"/>
      <c r="W100" s="2"/>
      <c r="X100" s="2"/>
      <c r="Y100" s="2"/>
      <c r="Z100" s="2"/>
      <c r="AA100" s="3"/>
      <c r="AB100" s="2"/>
      <c r="AC100" s="2"/>
      <c r="AD100" s="2"/>
      <c r="AE100" s="2"/>
      <c r="AF100" s="3"/>
      <c r="AG100" s="2"/>
      <c r="AH100" s="2"/>
      <c r="AI100" s="2"/>
      <c r="AJ100" s="2"/>
      <c r="AK100" s="55"/>
      <c r="AL100" s="56"/>
      <c r="AM100" s="56"/>
      <c r="AN100" s="56"/>
      <c r="AO100" s="67"/>
      <c r="AP100" s="3"/>
      <c r="AQ100" s="2"/>
      <c r="AR100" s="2"/>
      <c r="AS100" s="2"/>
      <c r="AT100" s="7"/>
      <c r="AU100" s="2"/>
      <c r="AV100" s="2"/>
      <c r="AW100" s="2"/>
      <c r="AX100" s="2"/>
    </row>
    <row r="101">
      <c r="A101" s="2"/>
      <c r="B101" s="2"/>
      <c r="C101" s="2"/>
      <c r="D101" s="2"/>
      <c r="E101" s="2"/>
      <c r="F101" s="2"/>
      <c r="G101" s="2"/>
      <c r="H101" s="2"/>
      <c r="I101" s="2"/>
      <c r="J101" s="2"/>
      <c r="K101" s="2"/>
      <c r="L101" s="3"/>
      <c r="M101" s="4"/>
      <c r="N101" s="4"/>
      <c r="O101" s="5"/>
      <c r="P101" s="6"/>
      <c r="Q101" s="3"/>
      <c r="R101" s="2"/>
      <c r="S101" s="2"/>
      <c r="T101" s="2"/>
      <c r="U101" s="2"/>
      <c r="V101" s="3"/>
      <c r="W101" s="2"/>
      <c r="X101" s="2"/>
      <c r="Y101" s="2"/>
      <c r="Z101" s="2"/>
      <c r="AA101" s="3"/>
      <c r="AB101" s="2"/>
      <c r="AC101" s="2"/>
      <c r="AD101" s="2"/>
      <c r="AE101" s="2"/>
      <c r="AF101" s="3"/>
      <c r="AG101" s="2"/>
      <c r="AH101" s="2"/>
      <c r="AI101" s="2"/>
      <c r="AJ101" s="2"/>
      <c r="AK101" s="55"/>
      <c r="AL101" s="56"/>
      <c r="AM101" s="56"/>
      <c r="AN101" s="56"/>
      <c r="AO101" s="67"/>
      <c r="AP101" s="3"/>
      <c r="AQ101" s="2"/>
      <c r="AR101" s="2"/>
      <c r="AS101" s="2"/>
      <c r="AT101" s="7"/>
      <c r="AU101" s="2"/>
      <c r="AV101" s="2"/>
      <c r="AW101" s="2"/>
      <c r="AX101" s="2"/>
    </row>
    <row r="102">
      <c r="A102" s="2"/>
      <c r="B102" s="2"/>
      <c r="C102" s="2"/>
      <c r="D102" s="2"/>
      <c r="E102" s="2"/>
      <c r="F102" s="2"/>
      <c r="G102" s="2"/>
      <c r="H102" s="2"/>
      <c r="I102" s="2"/>
      <c r="J102" s="2"/>
      <c r="K102" s="2"/>
      <c r="L102" s="3"/>
      <c r="M102" s="4"/>
      <c r="N102" s="4"/>
      <c r="O102" s="5"/>
      <c r="P102" s="6"/>
      <c r="Q102" s="3"/>
      <c r="R102" s="2"/>
      <c r="S102" s="2"/>
      <c r="T102" s="2"/>
      <c r="U102" s="2"/>
      <c r="V102" s="3"/>
      <c r="W102" s="2"/>
      <c r="X102" s="2"/>
      <c r="Y102" s="2"/>
      <c r="Z102" s="2"/>
      <c r="AA102" s="3"/>
      <c r="AB102" s="2"/>
      <c r="AC102" s="2"/>
      <c r="AD102" s="2"/>
      <c r="AE102" s="2"/>
      <c r="AF102" s="3"/>
      <c r="AG102" s="2"/>
      <c r="AH102" s="2"/>
      <c r="AI102" s="2"/>
      <c r="AJ102" s="2"/>
      <c r="AK102" s="55"/>
      <c r="AL102" s="56"/>
      <c r="AM102" s="56"/>
      <c r="AN102" s="56"/>
      <c r="AO102" s="67"/>
      <c r="AP102" s="3"/>
      <c r="AQ102" s="2"/>
      <c r="AR102" s="2"/>
      <c r="AS102" s="2"/>
      <c r="AT102" s="7"/>
      <c r="AU102" s="2"/>
      <c r="AV102" s="2"/>
      <c r="AW102" s="2"/>
      <c r="AX102" s="2"/>
    </row>
    <row r="103">
      <c r="A103" s="2"/>
      <c r="B103" s="2"/>
      <c r="C103" s="2"/>
      <c r="D103" s="2"/>
      <c r="E103" s="2"/>
      <c r="F103" s="2"/>
      <c r="G103" s="2"/>
      <c r="H103" s="2"/>
      <c r="I103" s="2"/>
      <c r="J103" s="2"/>
      <c r="K103" s="2"/>
      <c r="L103" s="3"/>
      <c r="M103" s="4"/>
      <c r="N103" s="4"/>
      <c r="O103" s="5"/>
      <c r="P103" s="6"/>
      <c r="Q103" s="3"/>
      <c r="R103" s="2"/>
      <c r="S103" s="2"/>
      <c r="T103" s="2"/>
      <c r="U103" s="2"/>
      <c r="V103" s="3"/>
      <c r="W103" s="2"/>
      <c r="X103" s="2"/>
      <c r="Y103" s="2"/>
      <c r="Z103" s="2"/>
      <c r="AA103" s="3"/>
      <c r="AB103" s="2"/>
      <c r="AC103" s="2"/>
      <c r="AD103" s="2"/>
      <c r="AE103" s="2"/>
      <c r="AF103" s="3"/>
      <c r="AG103" s="2"/>
      <c r="AH103" s="2"/>
      <c r="AI103" s="2"/>
      <c r="AJ103" s="2"/>
      <c r="AK103" s="55"/>
      <c r="AL103" s="56"/>
      <c r="AM103" s="56"/>
      <c r="AN103" s="56"/>
      <c r="AO103" s="67"/>
      <c r="AP103" s="3"/>
      <c r="AQ103" s="2"/>
      <c r="AR103" s="2"/>
      <c r="AS103" s="2"/>
      <c r="AT103" s="7"/>
      <c r="AU103" s="2"/>
      <c r="AV103" s="2"/>
      <c r="AW103" s="2"/>
      <c r="AX103" s="2"/>
    </row>
    <row r="104">
      <c r="A104" s="2"/>
      <c r="B104" s="2"/>
      <c r="C104" s="2"/>
      <c r="D104" s="2"/>
      <c r="E104" s="2"/>
      <c r="F104" s="2"/>
      <c r="G104" s="2"/>
      <c r="H104" s="2"/>
      <c r="I104" s="2"/>
      <c r="J104" s="2"/>
      <c r="K104" s="2"/>
      <c r="L104" s="3"/>
      <c r="M104" s="4"/>
      <c r="N104" s="4"/>
      <c r="O104" s="5"/>
      <c r="P104" s="6"/>
      <c r="Q104" s="3"/>
      <c r="R104" s="2"/>
      <c r="S104" s="2"/>
      <c r="T104" s="2"/>
      <c r="U104" s="2"/>
      <c r="V104" s="3"/>
      <c r="W104" s="2"/>
      <c r="X104" s="2"/>
      <c r="Y104" s="2"/>
      <c r="Z104" s="2"/>
      <c r="AA104" s="3"/>
      <c r="AB104" s="2"/>
      <c r="AC104" s="2"/>
      <c r="AD104" s="2"/>
      <c r="AE104" s="2"/>
      <c r="AF104" s="3"/>
      <c r="AG104" s="2"/>
      <c r="AH104" s="2"/>
      <c r="AI104" s="2"/>
      <c r="AJ104" s="2"/>
      <c r="AK104" s="55"/>
      <c r="AL104" s="56"/>
      <c r="AM104" s="56"/>
      <c r="AN104" s="56"/>
      <c r="AO104" s="67"/>
      <c r="AP104" s="3"/>
      <c r="AQ104" s="2"/>
      <c r="AR104" s="2"/>
      <c r="AS104" s="2"/>
      <c r="AT104" s="7"/>
      <c r="AU104" s="2"/>
      <c r="AV104" s="2"/>
      <c r="AW104" s="2"/>
      <c r="AX104" s="2"/>
    </row>
    <row r="105">
      <c r="A105" s="2"/>
      <c r="B105" s="2"/>
      <c r="C105" s="2"/>
      <c r="D105" s="2"/>
      <c r="E105" s="2"/>
      <c r="F105" s="2"/>
      <c r="G105" s="2"/>
      <c r="H105" s="2"/>
      <c r="I105" s="2"/>
      <c r="J105" s="2"/>
      <c r="K105" s="2"/>
      <c r="L105" s="3"/>
      <c r="M105" s="4"/>
      <c r="N105" s="4"/>
      <c r="O105" s="5"/>
      <c r="P105" s="6"/>
      <c r="Q105" s="3"/>
      <c r="R105" s="2"/>
      <c r="S105" s="2"/>
      <c r="T105" s="2"/>
      <c r="U105" s="2"/>
      <c r="V105" s="3"/>
      <c r="W105" s="2"/>
      <c r="X105" s="2"/>
      <c r="Y105" s="2"/>
      <c r="Z105" s="2"/>
      <c r="AA105" s="3"/>
      <c r="AB105" s="2"/>
      <c r="AC105" s="2"/>
      <c r="AD105" s="2"/>
      <c r="AE105" s="2"/>
      <c r="AF105" s="3"/>
      <c r="AG105" s="2"/>
      <c r="AH105" s="2"/>
      <c r="AI105" s="2"/>
      <c r="AJ105" s="2"/>
      <c r="AK105" s="55"/>
      <c r="AL105" s="56"/>
      <c r="AM105" s="56"/>
      <c r="AN105" s="56"/>
      <c r="AO105" s="67"/>
      <c r="AP105" s="3"/>
      <c r="AQ105" s="2"/>
      <c r="AR105" s="2"/>
      <c r="AS105" s="2"/>
      <c r="AT105" s="7"/>
      <c r="AU105" s="2"/>
      <c r="AV105" s="2"/>
      <c r="AW105" s="2"/>
      <c r="AX105" s="2"/>
    </row>
    <row r="106">
      <c r="A106" s="2"/>
      <c r="B106" s="2"/>
      <c r="C106" s="2"/>
      <c r="D106" s="2"/>
      <c r="E106" s="2"/>
      <c r="F106" s="2"/>
      <c r="G106" s="2"/>
      <c r="H106" s="2"/>
      <c r="I106" s="2"/>
      <c r="J106" s="2"/>
      <c r="K106" s="2"/>
      <c r="L106" s="3"/>
      <c r="M106" s="4"/>
      <c r="N106" s="4"/>
      <c r="O106" s="5"/>
      <c r="P106" s="6"/>
      <c r="Q106" s="3"/>
      <c r="R106" s="2"/>
      <c r="S106" s="2"/>
      <c r="T106" s="2"/>
      <c r="U106" s="2"/>
      <c r="V106" s="3"/>
      <c r="W106" s="2"/>
      <c r="X106" s="2"/>
      <c r="Y106" s="2"/>
      <c r="Z106" s="2"/>
      <c r="AA106" s="3"/>
      <c r="AB106" s="2"/>
      <c r="AC106" s="2"/>
      <c r="AD106" s="2"/>
      <c r="AE106" s="2"/>
      <c r="AF106" s="3"/>
      <c r="AG106" s="2"/>
      <c r="AH106" s="2"/>
      <c r="AI106" s="2"/>
      <c r="AJ106" s="2"/>
      <c r="AK106" s="55"/>
      <c r="AL106" s="56"/>
      <c r="AM106" s="56"/>
      <c r="AN106" s="56"/>
      <c r="AO106" s="67"/>
      <c r="AP106" s="3"/>
      <c r="AQ106" s="2"/>
      <c r="AR106" s="2"/>
      <c r="AS106" s="2"/>
      <c r="AT106" s="7"/>
      <c r="AU106" s="2"/>
      <c r="AV106" s="2"/>
      <c r="AW106" s="2"/>
      <c r="AX106" s="2"/>
    </row>
    <row r="107">
      <c r="A107" s="2"/>
      <c r="B107" s="2"/>
      <c r="C107" s="2"/>
      <c r="D107" s="2"/>
      <c r="E107" s="2"/>
      <c r="F107" s="2"/>
      <c r="G107" s="2"/>
      <c r="H107" s="2"/>
      <c r="I107" s="2"/>
      <c r="J107" s="2"/>
      <c r="K107" s="2"/>
      <c r="L107" s="3"/>
      <c r="M107" s="4"/>
      <c r="N107" s="4"/>
      <c r="O107" s="5"/>
      <c r="P107" s="6"/>
      <c r="Q107" s="3"/>
      <c r="R107" s="2"/>
      <c r="S107" s="2"/>
      <c r="T107" s="2"/>
      <c r="U107" s="2"/>
      <c r="V107" s="3"/>
      <c r="W107" s="2"/>
      <c r="X107" s="2"/>
      <c r="Y107" s="2"/>
      <c r="Z107" s="2"/>
      <c r="AA107" s="3"/>
      <c r="AB107" s="2"/>
      <c r="AC107" s="2"/>
      <c r="AD107" s="2"/>
      <c r="AE107" s="2"/>
      <c r="AF107" s="3"/>
      <c r="AG107" s="2"/>
      <c r="AH107" s="2"/>
      <c r="AI107" s="2"/>
      <c r="AJ107" s="2"/>
      <c r="AK107" s="55"/>
      <c r="AL107" s="56"/>
      <c r="AM107" s="56"/>
      <c r="AN107" s="56"/>
      <c r="AO107" s="67"/>
      <c r="AP107" s="3"/>
      <c r="AQ107" s="2"/>
      <c r="AR107" s="2"/>
      <c r="AS107" s="2"/>
      <c r="AT107" s="7"/>
      <c r="AU107" s="2"/>
      <c r="AV107" s="2"/>
      <c r="AW107" s="2"/>
      <c r="AX107" s="2"/>
    </row>
    <row r="108">
      <c r="A108" s="2"/>
      <c r="B108" s="2"/>
      <c r="C108" s="2"/>
      <c r="D108" s="2"/>
      <c r="E108" s="2"/>
      <c r="F108" s="2"/>
      <c r="G108" s="2"/>
      <c r="H108" s="2"/>
      <c r="I108" s="2"/>
      <c r="J108" s="2"/>
      <c r="K108" s="2"/>
      <c r="L108" s="3"/>
      <c r="M108" s="4"/>
      <c r="N108" s="4"/>
      <c r="O108" s="5"/>
      <c r="P108" s="6"/>
      <c r="Q108" s="3"/>
      <c r="R108" s="2"/>
      <c r="S108" s="2"/>
      <c r="T108" s="2"/>
      <c r="U108" s="2"/>
      <c r="V108" s="3"/>
      <c r="W108" s="2"/>
      <c r="X108" s="2"/>
      <c r="Y108" s="2"/>
      <c r="Z108" s="2"/>
      <c r="AA108" s="3"/>
      <c r="AB108" s="2"/>
      <c r="AC108" s="2"/>
      <c r="AD108" s="2"/>
      <c r="AE108" s="2"/>
      <c r="AF108" s="3"/>
      <c r="AG108" s="2"/>
      <c r="AH108" s="2"/>
      <c r="AI108" s="2"/>
      <c r="AJ108" s="2"/>
      <c r="AK108" s="55"/>
      <c r="AL108" s="56"/>
      <c r="AM108" s="56"/>
      <c r="AN108" s="56"/>
      <c r="AO108" s="67"/>
      <c r="AP108" s="3"/>
      <c r="AQ108" s="2"/>
      <c r="AR108" s="2"/>
      <c r="AS108" s="2"/>
      <c r="AT108" s="7"/>
      <c r="AU108" s="2"/>
      <c r="AV108" s="2"/>
      <c r="AW108" s="2"/>
      <c r="AX108" s="2"/>
    </row>
    <row r="109">
      <c r="A109" s="2"/>
      <c r="B109" s="2"/>
      <c r="C109" s="2"/>
      <c r="D109" s="2"/>
      <c r="E109" s="2"/>
      <c r="F109" s="2"/>
      <c r="G109" s="2"/>
      <c r="H109" s="2"/>
      <c r="I109" s="2"/>
      <c r="J109" s="2"/>
      <c r="K109" s="2"/>
      <c r="L109" s="3"/>
      <c r="M109" s="4"/>
      <c r="N109" s="4"/>
      <c r="O109" s="5"/>
      <c r="P109" s="6"/>
      <c r="Q109" s="3"/>
      <c r="R109" s="2"/>
      <c r="S109" s="2"/>
      <c r="T109" s="2"/>
      <c r="U109" s="2"/>
      <c r="V109" s="3"/>
      <c r="W109" s="2"/>
      <c r="X109" s="2"/>
      <c r="Y109" s="2"/>
      <c r="Z109" s="2"/>
      <c r="AA109" s="3"/>
      <c r="AB109" s="2"/>
      <c r="AC109" s="2"/>
      <c r="AD109" s="2"/>
      <c r="AE109" s="2"/>
      <c r="AF109" s="3"/>
      <c r="AG109" s="2"/>
      <c r="AH109" s="2"/>
      <c r="AI109" s="2"/>
      <c r="AJ109" s="2"/>
      <c r="AK109" s="55"/>
      <c r="AL109" s="56"/>
      <c r="AM109" s="56"/>
      <c r="AN109" s="56"/>
      <c r="AO109" s="67"/>
      <c r="AP109" s="3"/>
      <c r="AQ109" s="2"/>
      <c r="AR109" s="2"/>
      <c r="AS109" s="2"/>
      <c r="AT109" s="7"/>
      <c r="AU109" s="2"/>
      <c r="AV109" s="2"/>
      <c r="AW109" s="2"/>
      <c r="AX109" s="2"/>
    </row>
    <row r="110">
      <c r="A110" s="2"/>
      <c r="B110" s="2"/>
      <c r="C110" s="2"/>
      <c r="D110" s="2"/>
      <c r="E110" s="2"/>
      <c r="F110" s="2"/>
      <c r="G110" s="2"/>
      <c r="H110" s="2"/>
      <c r="I110" s="2"/>
      <c r="J110" s="2"/>
      <c r="K110" s="2"/>
      <c r="L110" s="3"/>
      <c r="M110" s="4"/>
      <c r="N110" s="4"/>
      <c r="O110" s="5"/>
      <c r="P110" s="6"/>
      <c r="Q110" s="3"/>
      <c r="R110" s="2"/>
      <c r="S110" s="2"/>
      <c r="T110" s="2"/>
      <c r="U110" s="2"/>
      <c r="V110" s="3"/>
      <c r="W110" s="2"/>
      <c r="X110" s="2"/>
      <c r="Y110" s="2"/>
      <c r="Z110" s="2"/>
      <c r="AA110" s="3"/>
      <c r="AB110" s="2"/>
      <c r="AC110" s="2"/>
      <c r="AD110" s="2"/>
      <c r="AE110" s="2"/>
      <c r="AF110" s="3"/>
      <c r="AG110" s="2"/>
      <c r="AH110" s="2"/>
      <c r="AI110" s="2"/>
      <c r="AJ110" s="2"/>
      <c r="AK110" s="55"/>
      <c r="AL110" s="56"/>
      <c r="AM110" s="56"/>
      <c r="AN110" s="56"/>
      <c r="AO110" s="67"/>
      <c r="AP110" s="3"/>
      <c r="AQ110" s="2"/>
      <c r="AR110" s="2"/>
      <c r="AS110" s="2"/>
      <c r="AT110" s="7"/>
      <c r="AU110" s="2"/>
      <c r="AV110" s="2"/>
      <c r="AW110" s="2"/>
      <c r="AX110" s="2"/>
    </row>
    <row r="111">
      <c r="A111" s="2"/>
      <c r="B111" s="2"/>
      <c r="C111" s="2"/>
      <c r="D111" s="2"/>
      <c r="E111" s="2"/>
      <c r="F111" s="2"/>
      <c r="G111" s="2"/>
      <c r="H111" s="2"/>
      <c r="I111" s="2"/>
      <c r="J111" s="2"/>
      <c r="K111" s="2"/>
      <c r="L111" s="3"/>
      <c r="M111" s="4"/>
      <c r="N111" s="4"/>
      <c r="O111" s="5"/>
      <c r="P111" s="6"/>
      <c r="Q111" s="3"/>
      <c r="R111" s="2"/>
      <c r="S111" s="2"/>
      <c r="T111" s="2"/>
      <c r="U111" s="2"/>
      <c r="V111" s="3"/>
      <c r="W111" s="2"/>
      <c r="X111" s="2"/>
      <c r="Y111" s="2"/>
      <c r="Z111" s="2"/>
      <c r="AA111" s="3"/>
      <c r="AB111" s="2"/>
      <c r="AC111" s="2"/>
      <c r="AD111" s="2"/>
      <c r="AE111" s="2"/>
      <c r="AF111" s="3"/>
      <c r="AG111" s="2"/>
      <c r="AH111" s="2"/>
      <c r="AI111" s="2"/>
      <c r="AJ111" s="2"/>
      <c r="AK111" s="55"/>
      <c r="AL111" s="56"/>
      <c r="AM111" s="56"/>
      <c r="AN111" s="56"/>
      <c r="AO111" s="67"/>
      <c r="AP111" s="3"/>
      <c r="AQ111" s="2"/>
      <c r="AR111" s="2"/>
      <c r="AS111" s="2"/>
      <c r="AT111" s="7"/>
      <c r="AU111" s="2"/>
      <c r="AV111" s="2"/>
      <c r="AW111" s="2"/>
      <c r="AX111" s="2"/>
    </row>
    <row r="112">
      <c r="A112" s="2"/>
      <c r="B112" s="2"/>
      <c r="C112" s="2"/>
      <c r="D112" s="2"/>
      <c r="E112" s="2"/>
      <c r="F112" s="2"/>
      <c r="G112" s="2"/>
      <c r="H112" s="2"/>
      <c r="I112" s="2"/>
      <c r="J112" s="2"/>
      <c r="K112" s="2"/>
      <c r="L112" s="3"/>
      <c r="M112" s="4"/>
      <c r="N112" s="4"/>
      <c r="O112" s="5"/>
      <c r="P112" s="6"/>
      <c r="Q112" s="3"/>
      <c r="R112" s="2"/>
      <c r="S112" s="2"/>
      <c r="T112" s="2"/>
      <c r="U112" s="2"/>
      <c r="V112" s="3"/>
      <c r="W112" s="2"/>
      <c r="X112" s="2"/>
      <c r="Y112" s="2"/>
      <c r="Z112" s="2"/>
      <c r="AA112" s="3"/>
      <c r="AB112" s="2"/>
      <c r="AC112" s="2"/>
      <c r="AD112" s="2"/>
      <c r="AE112" s="2"/>
      <c r="AF112" s="3"/>
      <c r="AG112" s="2"/>
      <c r="AH112" s="2"/>
      <c r="AI112" s="2"/>
      <c r="AJ112" s="2"/>
      <c r="AK112" s="55"/>
      <c r="AL112" s="56"/>
      <c r="AM112" s="56"/>
      <c r="AN112" s="56"/>
      <c r="AO112" s="67"/>
      <c r="AP112" s="3"/>
      <c r="AQ112" s="2"/>
      <c r="AR112" s="2"/>
      <c r="AS112" s="2"/>
      <c r="AT112" s="7"/>
      <c r="AU112" s="2"/>
      <c r="AV112" s="2"/>
      <c r="AW112" s="2"/>
      <c r="AX112" s="2"/>
    </row>
    <row r="113">
      <c r="A113" s="2"/>
      <c r="B113" s="2"/>
      <c r="C113" s="2"/>
      <c r="D113" s="2"/>
      <c r="E113" s="2"/>
      <c r="F113" s="2"/>
      <c r="G113" s="2"/>
      <c r="H113" s="2"/>
      <c r="I113" s="2"/>
      <c r="J113" s="2"/>
      <c r="K113" s="2"/>
      <c r="L113" s="3"/>
      <c r="M113" s="4"/>
      <c r="N113" s="4"/>
      <c r="O113" s="5"/>
      <c r="P113" s="6"/>
      <c r="Q113" s="3"/>
      <c r="R113" s="2"/>
      <c r="S113" s="2"/>
      <c r="T113" s="2"/>
      <c r="U113" s="2"/>
      <c r="V113" s="3"/>
      <c r="W113" s="2"/>
      <c r="X113" s="2"/>
      <c r="Y113" s="2"/>
      <c r="Z113" s="2"/>
      <c r="AA113" s="3"/>
      <c r="AB113" s="2"/>
      <c r="AC113" s="2"/>
      <c r="AD113" s="2"/>
      <c r="AE113" s="2"/>
      <c r="AF113" s="3"/>
      <c r="AG113" s="2"/>
      <c r="AH113" s="2"/>
      <c r="AI113" s="2"/>
      <c r="AJ113" s="2"/>
      <c r="AK113" s="55"/>
      <c r="AL113" s="56"/>
      <c r="AM113" s="56"/>
      <c r="AN113" s="56"/>
      <c r="AO113" s="67"/>
      <c r="AP113" s="3"/>
      <c r="AQ113" s="2"/>
      <c r="AR113" s="2"/>
      <c r="AS113" s="2"/>
      <c r="AT113" s="7"/>
      <c r="AU113" s="2"/>
      <c r="AV113" s="2"/>
      <c r="AW113" s="2"/>
      <c r="AX113" s="2"/>
    </row>
    <row r="114">
      <c r="A114" s="2"/>
      <c r="B114" s="2"/>
      <c r="C114" s="2"/>
      <c r="D114" s="2"/>
      <c r="E114" s="2"/>
      <c r="F114" s="2"/>
      <c r="G114" s="2"/>
      <c r="H114" s="2"/>
      <c r="I114" s="2"/>
      <c r="J114" s="2"/>
      <c r="K114" s="2"/>
      <c r="L114" s="3"/>
      <c r="M114" s="4"/>
      <c r="N114" s="4"/>
      <c r="O114" s="5"/>
      <c r="P114" s="6"/>
      <c r="Q114" s="3"/>
      <c r="R114" s="2"/>
      <c r="S114" s="2"/>
      <c r="T114" s="2"/>
      <c r="U114" s="2"/>
      <c r="V114" s="3"/>
      <c r="W114" s="2"/>
      <c r="X114" s="2"/>
      <c r="Y114" s="2"/>
      <c r="Z114" s="2"/>
      <c r="AA114" s="3"/>
      <c r="AB114" s="2"/>
      <c r="AC114" s="2"/>
      <c r="AD114" s="2"/>
      <c r="AE114" s="2"/>
      <c r="AF114" s="3"/>
      <c r="AG114" s="2"/>
      <c r="AH114" s="2"/>
      <c r="AI114" s="2"/>
      <c r="AJ114" s="2"/>
      <c r="AK114" s="55"/>
      <c r="AL114" s="56"/>
      <c r="AM114" s="56"/>
      <c r="AN114" s="56"/>
      <c r="AO114" s="67"/>
      <c r="AP114" s="3"/>
      <c r="AQ114" s="2"/>
      <c r="AR114" s="2"/>
      <c r="AS114" s="2"/>
      <c r="AT114" s="7"/>
      <c r="AU114" s="2"/>
      <c r="AV114" s="2"/>
      <c r="AW114" s="2"/>
      <c r="AX114" s="2"/>
    </row>
    <row r="115">
      <c r="A115" s="2"/>
      <c r="B115" s="2"/>
      <c r="C115" s="2"/>
      <c r="D115" s="2"/>
      <c r="E115" s="2"/>
      <c r="F115" s="2"/>
      <c r="G115" s="2"/>
      <c r="H115" s="2"/>
      <c r="I115" s="2"/>
      <c r="J115" s="2"/>
      <c r="K115" s="2"/>
      <c r="L115" s="3"/>
      <c r="M115" s="4"/>
      <c r="N115" s="4"/>
      <c r="O115" s="5"/>
      <c r="P115" s="6"/>
      <c r="Q115" s="3"/>
      <c r="R115" s="2"/>
      <c r="S115" s="2"/>
      <c r="T115" s="2"/>
      <c r="U115" s="2"/>
      <c r="V115" s="3"/>
      <c r="W115" s="2"/>
      <c r="X115" s="2"/>
      <c r="Y115" s="2"/>
      <c r="Z115" s="2"/>
      <c r="AA115" s="3"/>
      <c r="AB115" s="2"/>
      <c r="AC115" s="2"/>
      <c r="AD115" s="2"/>
      <c r="AE115" s="2"/>
      <c r="AF115" s="3"/>
      <c r="AG115" s="2"/>
      <c r="AH115" s="2"/>
      <c r="AI115" s="2"/>
      <c r="AJ115" s="2"/>
      <c r="AK115" s="55"/>
      <c r="AL115" s="56"/>
      <c r="AM115" s="56"/>
      <c r="AN115" s="56"/>
      <c r="AO115" s="67"/>
      <c r="AP115" s="3"/>
      <c r="AQ115" s="2"/>
      <c r="AR115" s="2"/>
      <c r="AS115" s="2"/>
      <c r="AT115" s="7"/>
      <c r="AU115" s="2"/>
      <c r="AV115" s="2"/>
      <c r="AW115" s="2"/>
      <c r="AX115" s="2"/>
    </row>
    <row r="116">
      <c r="A116" s="2"/>
      <c r="B116" s="2"/>
      <c r="C116" s="2"/>
      <c r="D116" s="2"/>
      <c r="E116" s="2"/>
      <c r="F116" s="2"/>
      <c r="G116" s="2"/>
      <c r="H116" s="2"/>
      <c r="I116" s="2"/>
      <c r="J116" s="2"/>
      <c r="K116" s="2"/>
      <c r="L116" s="3"/>
      <c r="M116" s="4"/>
      <c r="N116" s="4"/>
      <c r="O116" s="5"/>
      <c r="P116" s="6"/>
      <c r="Q116" s="3"/>
      <c r="R116" s="2"/>
      <c r="S116" s="2"/>
      <c r="T116" s="2"/>
      <c r="U116" s="2"/>
      <c r="V116" s="3"/>
      <c r="W116" s="2"/>
      <c r="X116" s="2"/>
      <c r="Y116" s="2"/>
      <c r="Z116" s="2"/>
      <c r="AA116" s="3"/>
      <c r="AB116" s="2"/>
      <c r="AC116" s="2"/>
      <c r="AD116" s="2"/>
      <c r="AE116" s="2"/>
      <c r="AF116" s="3"/>
      <c r="AG116" s="2"/>
      <c r="AH116" s="2"/>
      <c r="AI116" s="2"/>
      <c r="AJ116" s="2"/>
      <c r="AK116" s="3"/>
      <c r="AL116" s="2"/>
      <c r="AM116" s="2"/>
      <c r="AN116" s="2"/>
      <c r="AO116" s="2"/>
      <c r="AP116" s="3"/>
      <c r="AQ116" s="2"/>
      <c r="AR116" s="2"/>
      <c r="AS116" s="2"/>
      <c r="AT116" s="7"/>
      <c r="AU116" s="2"/>
      <c r="AV116" s="2"/>
      <c r="AW116" s="2"/>
      <c r="AX116" s="2"/>
    </row>
    <row r="117">
      <c r="A117" s="2"/>
      <c r="B117" s="2"/>
      <c r="C117" s="2"/>
      <c r="D117" s="2"/>
      <c r="E117" s="2"/>
      <c r="F117" s="2"/>
      <c r="G117" s="2"/>
      <c r="H117" s="2"/>
      <c r="I117" s="2"/>
      <c r="J117" s="2"/>
      <c r="K117" s="2"/>
      <c r="L117" s="3"/>
      <c r="M117" s="4"/>
      <c r="N117" s="4"/>
      <c r="O117" s="5"/>
      <c r="P117" s="6"/>
      <c r="Q117" s="3"/>
      <c r="R117" s="2"/>
      <c r="S117" s="2"/>
      <c r="T117" s="2"/>
      <c r="U117" s="2"/>
      <c r="V117" s="3"/>
      <c r="W117" s="2"/>
      <c r="X117" s="2"/>
      <c r="Y117" s="2"/>
      <c r="Z117" s="2"/>
      <c r="AA117" s="3"/>
      <c r="AB117" s="2"/>
      <c r="AC117" s="2"/>
      <c r="AD117" s="2"/>
      <c r="AE117" s="2"/>
      <c r="AF117" s="3"/>
      <c r="AG117" s="2"/>
      <c r="AH117" s="2"/>
      <c r="AI117" s="2"/>
      <c r="AJ117" s="2"/>
      <c r="AK117" s="3"/>
      <c r="AL117" s="2"/>
      <c r="AM117" s="2"/>
      <c r="AN117" s="2"/>
      <c r="AO117" s="2"/>
      <c r="AP117" s="3"/>
      <c r="AQ117" s="2"/>
      <c r="AR117" s="2"/>
      <c r="AS117" s="2"/>
      <c r="AT117" s="7"/>
      <c r="AU117" s="2"/>
      <c r="AV117" s="2"/>
      <c r="AW117" s="2"/>
      <c r="AX117" s="2"/>
    </row>
    <row r="118">
      <c r="A118" s="2"/>
      <c r="B118" s="2"/>
      <c r="C118" s="2"/>
      <c r="D118" s="2"/>
      <c r="E118" s="2"/>
      <c r="F118" s="2"/>
      <c r="G118" s="2"/>
      <c r="H118" s="2"/>
      <c r="I118" s="2"/>
      <c r="J118" s="2"/>
      <c r="K118" s="2"/>
      <c r="L118" s="3"/>
      <c r="M118" s="4"/>
      <c r="N118" s="4"/>
      <c r="O118" s="5"/>
      <c r="P118" s="6"/>
      <c r="Q118" s="3"/>
      <c r="R118" s="2"/>
      <c r="S118" s="2"/>
      <c r="T118" s="2"/>
      <c r="U118" s="2"/>
      <c r="V118" s="3"/>
      <c r="W118" s="2"/>
      <c r="X118" s="2"/>
      <c r="Y118" s="2"/>
      <c r="Z118" s="2"/>
      <c r="AA118" s="3"/>
      <c r="AB118" s="2"/>
      <c r="AC118" s="2"/>
      <c r="AD118" s="2"/>
      <c r="AE118" s="2"/>
      <c r="AF118" s="3"/>
      <c r="AG118" s="2"/>
      <c r="AH118" s="2"/>
      <c r="AI118" s="2"/>
      <c r="AJ118" s="2"/>
      <c r="AK118" s="3"/>
      <c r="AL118" s="2"/>
      <c r="AM118" s="2"/>
      <c r="AN118" s="2"/>
      <c r="AO118" s="2"/>
      <c r="AP118" s="3"/>
      <c r="AQ118" s="2"/>
      <c r="AR118" s="2"/>
      <c r="AS118" s="2"/>
      <c r="AT118" s="7"/>
      <c r="AU118" s="2"/>
      <c r="AV118" s="2"/>
      <c r="AW118" s="2"/>
      <c r="AX118" s="2"/>
    </row>
    <row r="119">
      <c r="A119" s="2"/>
      <c r="B119" s="2"/>
      <c r="C119" s="2"/>
      <c r="D119" s="2"/>
      <c r="E119" s="2"/>
      <c r="F119" s="2"/>
      <c r="G119" s="2"/>
      <c r="H119" s="2"/>
      <c r="I119" s="2"/>
      <c r="J119" s="2"/>
      <c r="K119" s="2"/>
      <c r="L119" s="3"/>
      <c r="M119" s="4"/>
      <c r="N119" s="4"/>
      <c r="O119" s="5"/>
      <c r="P119" s="6"/>
      <c r="Q119" s="3"/>
      <c r="R119" s="2"/>
      <c r="S119" s="2"/>
      <c r="T119" s="2"/>
      <c r="U119" s="2"/>
      <c r="V119" s="3"/>
      <c r="W119" s="2"/>
      <c r="X119" s="2"/>
      <c r="Y119" s="2"/>
      <c r="Z119" s="2"/>
      <c r="AA119" s="3"/>
      <c r="AB119" s="2"/>
      <c r="AC119" s="2"/>
      <c r="AD119" s="2"/>
      <c r="AE119" s="2"/>
      <c r="AF119" s="3"/>
      <c r="AG119" s="2"/>
      <c r="AH119" s="2"/>
      <c r="AI119" s="2"/>
      <c r="AJ119" s="2"/>
      <c r="AK119" s="3"/>
      <c r="AL119" s="2"/>
      <c r="AM119" s="2"/>
      <c r="AN119" s="2"/>
      <c r="AO119" s="2"/>
      <c r="AP119" s="3"/>
      <c r="AQ119" s="2"/>
      <c r="AR119" s="2"/>
      <c r="AS119" s="2"/>
      <c r="AT119" s="7"/>
      <c r="AU119" s="2"/>
      <c r="AV119" s="2"/>
      <c r="AW119" s="2"/>
      <c r="AX119" s="2"/>
    </row>
    <row r="120">
      <c r="A120" s="2"/>
      <c r="B120" s="2"/>
      <c r="C120" s="2"/>
      <c r="D120" s="2"/>
      <c r="E120" s="2"/>
      <c r="F120" s="2"/>
      <c r="G120" s="2"/>
      <c r="H120" s="2"/>
      <c r="I120" s="2"/>
      <c r="J120" s="2"/>
      <c r="K120" s="2"/>
      <c r="L120" s="3"/>
      <c r="M120" s="4"/>
      <c r="N120" s="4"/>
      <c r="O120" s="5"/>
      <c r="P120" s="6"/>
      <c r="Q120" s="3"/>
      <c r="R120" s="2"/>
      <c r="S120" s="2"/>
      <c r="T120" s="2"/>
      <c r="U120" s="2"/>
      <c r="V120" s="3"/>
      <c r="W120" s="2"/>
      <c r="X120" s="2"/>
      <c r="Y120" s="2"/>
      <c r="Z120" s="2"/>
      <c r="AA120" s="3"/>
      <c r="AB120" s="2"/>
      <c r="AC120" s="2"/>
      <c r="AD120" s="2"/>
      <c r="AE120" s="2"/>
      <c r="AF120" s="3"/>
      <c r="AG120" s="2"/>
      <c r="AH120" s="2"/>
      <c r="AI120" s="2"/>
      <c r="AJ120" s="2"/>
      <c r="AK120" s="3"/>
      <c r="AL120" s="2"/>
      <c r="AM120" s="2"/>
      <c r="AN120" s="2"/>
      <c r="AO120" s="2"/>
      <c r="AP120" s="3"/>
      <c r="AQ120" s="2"/>
      <c r="AR120" s="2"/>
      <c r="AS120" s="2"/>
      <c r="AT120" s="7"/>
      <c r="AU120" s="2"/>
      <c r="AV120" s="2"/>
      <c r="AW120" s="2"/>
      <c r="AX120" s="2"/>
    </row>
    <row r="121">
      <c r="A121" s="2"/>
      <c r="B121" s="2"/>
      <c r="C121" s="2"/>
      <c r="D121" s="2"/>
      <c r="E121" s="2"/>
      <c r="F121" s="2"/>
      <c r="G121" s="2"/>
      <c r="H121" s="2"/>
      <c r="I121" s="2"/>
      <c r="J121" s="2"/>
      <c r="K121" s="2"/>
      <c r="L121" s="3"/>
      <c r="M121" s="4"/>
      <c r="N121" s="4"/>
      <c r="O121" s="5"/>
      <c r="P121" s="6"/>
      <c r="Q121" s="3"/>
      <c r="R121" s="2"/>
      <c r="S121" s="2"/>
      <c r="T121" s="2"/>
      <c r="U121" s="2"/>
      <c r="V121" s="3"/>
      <c r="W121" s="2"/>
      <c r="X121" s="2"/>
      <c r="Y121" s="2"/>
      <c r="Z121" s="2"/>
      <c r="AA121" s="3"/>
      <c r="AB121" s="2"/>
      <c r="AC121" s="2"/>
      <c r="AD121" s="2"/>
      <c r="AE121" s="2"/>
      <c r="AF121" s="3"/>
      <c r="AG121" s="2"/>
      <c r="AH121" s="2"/>
      <c r="AI121" s="2"/>
      <c r="AJ121" s="2"/>
      <c r="AK121" s="3"/>
      <c r="AL121" s="2"/>
      <c r="AM121" s="2"/>
      <c r="AN121" s="2"/>
      <c r="AO121" s="2"/>
      <c r="AP121" s="3"/>
      <c r="AQ121" s="2"/>
      <c r="AR121" s="2"/>
      <c r="AS121" s="2"/>
      <c r="AT121" s="7"/>
      <c r="AU121" s="2"/>
      <c r="AV121" s="2"/>
      <c r="AW121" s="2"/>
      <c r="AX121" s="2"/>
    </row>
    <row r="122">
      <c r="A122" s="2"/>
      <c r="B122" s="2"/>
      <c r="C122" s="2"/>
      <c r="D122" s="2"/>
      <c r="E122" s="2"/>
      <c r="F122" s="2"/>
      <c r="G122" s="2"/>
      <c r="H122" s="2"/>
      <c r="I122" s="2"/>
      <c r="J122" s="2"/>
      <c r="K122" s="2"/>
      <c r="L122" s="3"/>
      <c r="M122" s="4"/>
      <c r="N122" s="4"/>
      <c r="O122" s="5"/>
      <c r="P122" s="6"/>
      <c r="Q122" s="3"/>
      <c r="R122" s="2"/>
      <c r="S122" s="2"/>
      <c r="T122" s="2"/>
      <c r="U122" s="2"/>
      <c r="V122" s="3"/>
      <c r="W122" s="2"/>
      <c r="X122" s="2"/>
      <c r="Y122" s="2"/>
      <c r="Z122" s="2"/>
      <c r="AA122" s="3"/>
      <c r="AB122" s="2"/>
      <c r="AC122" s="2"/>
      <c r="AD122" s="2"/>
      <c r="AE122" s="2"/>
      <c r="AF122" s="3"/>
      <c r="AG122" s="2"/>
      <c r="AH122" s="2"/>
      <c r="AI122" s="2"/>
      <c r="AJ122" s="2"/>
      <c r="AK122" s="3"/>
      <c r="AL122" s="2"/>
      <c r="AM122" s="2"/>
      <c r="AN122" s="2"/>
      <c r="AO122" s="2"/>
      <c r="AP122" s="3"/>
      <c r="AQ122" s="2"/>
      <c r="AR122" s="2"/>
      <c r="AS122" s="2"/>
      <c r="AT122" s="7"/>
      <c r="AU122" s="2"/>
      <c r="AV122" s="2"/>
      <c r="AW122" s="2"/>
      <c r="AX122" s="2"/>
    </row>
    <row r="123">
      <c r="A123" s="2"/>
      <c r="B123" s="2"/>
      <c r="C123" s="2"/>
      <c r="D123" s="2"/>
      <c r="E123" s="2"/>
      <c r="F123" s="2"/>
      <c r="G123" s="2"/>
      <c r="H123" s="2"/>
      <c r="I123" s="2"/>
      <c r="J123" s="2"/>
      <c r="K123" s="2"/>
      <c r="L123" s="3"/>
      <c r="M123" s="4"/>
      <c r="N123" s="4"/>
      <c r="O123" s="5"/>
      <c r="P123" s="6"/>
      <c r="Q123" s="3"/>
      <c r="R123" s="2"/>
      <c r="S123" s="2"/>
      <c r="T123" s="2"/>
      <c r="U123" s="2"/>
      <c r="V123" s="3"/>
      <c r="W123" s="2"/>
      <c r="X123" s="2"/>
      <c r="Y123" s="2"/>
      <c r="Z123" s="2"/>
      <c r="AA123" s="3"/>
      <c r="AB123" s="2"/>
      <c r="AC123" s="2"/>
      <c r="AD123" s="2"/>
      <c r="AE123" s="2"/>
      <c r="AF123" s="3"/>
      <c r="AG123" s="2"/>
      <c r="AH123" s="2"/>
      <c r="AI123" s="2"/>
      <c r="AJ123" s="2"/>
      <c r="AK123" s="3"/>
      <c r="AL123" s="2"/>
      <c r="AM123" s="2"/>
      <c r="AN123" s="2"/>
      <c r="AO123" s="2"/>
      <c r="AP123" s="3"/>
      <c r="AQ123" s="2"/>
      <c r="AR123" s="2"/>
      <c r="AS123" s="2"/>
      <c r="AT123" s="7"/>
      <c r="AU123" s="2"/>
      <c r="AV123" s="2"/>
      <c r="AW123" s="2"/>
      <c r="AX123" s="2"/>
    </row>
    <row r="124">
      <c r="A124" s="2"/>
      <c r="B124" s="2"/>
      <c r="C124" s="2"/>
      <c r="D124" s="2"/>
      <c r="E124" s="2"/>
      <c r="F124" s="2"/>
      <c r="G124" s="2"/>
      <c r="H124" s="2"/>
      <c r="I124" s="2"/>
      <c r="J124" s="2"/>
      <c r="K124" s="2"/>
      <c r="L124" s="3"/>
      <c r="M124" s="4"/>
      <c r="N124" s="4"/>
      <c r="O124" s="5"/>
      <c r="P124" s="6"/>
      <c r="Q124" s="3"/>
      <c r="R124" s="2"/>
      <c r="S124" s="2"/>
      <c r="T124" s="2"/>
      <c r="U124" s="2"/>
      <c r="V124" s="3"/>
      <c r="W124" s="2"/>
      <c r="X124" s="2"/>
      <c r="Y124" s="2"/>
      <c r="Z124" s="2"/>
      <c r="AA124" s="3"/>
      <c r="AB124" s="2"/>
      <c r="AC124" s="2"/>
      <c r="AD124" s="2"/>
      <c r="AE124" s="2"/>
      <c r="AF124" s="3"/>
      <c r="AG124" s="2"/>
      <c r="AH124" s="2"/>
      <c r="AI124" s="2"/>
      <c r="AJ124" s="2"/>
      <c r="AK124" s="3"/>
      <c r="AL124" s="2"/>
      <c r="AM124" s="2"/>
      <c r="AN124" s="2"/>
      <c r="AO124" s="2"/>
      <c r="AP124" s="3"/>
      <c r="AQ124" s="2"/>
      <c r="AR124" s="2"/>
      <c r="AS124" s="2"/>
      <c r="AT124" s="7"/>
      <c r="AU124" s="2"/>
      <c r="AV124" s="2"/>
      <c r="AW124" s="2"/>
      <c r="AX124" s="2"/>
    </row>
    <row r="125">
      <c r="A125" s="2"/>
      <c r="B125" s="2"/>
      <c r="C125" s="2"/>
      <c r="D125" s="2"/>
      <c r="E125" s="2"/>
      <c r="F125" s="2"/>
      <c r="G125" s="2"/>
      <c r="H125" s="2"/>
      <c r="I125" s="2"/>
      <c r="J125" s="2"/>
      <c r="K125" s="2"/>
      <c r="L125" s="3"/>
      <c r="M125" s="4"/>
      <c r="N125" s="4"/>
      <c r="O125" s="5"/>
      <c r="P125" s="6"/>
      <c r="Q125" s="3"/>
      <c r="R125" s="2"/>
      <c r="S125" s="2"/>
      <c r="T125" s="2"/>
      <c r="U125" s="2"/>
      <c r="V125" s="3"/>
      <c r="W125" s="2"/>
      <c r="X125" s="2"/>
      <c r="Y125" s="2"/>
      <c r="Z125" s="2"/>
      <c r="AA125" s="3"/>
      <c r="AB125" s="2"/>
      <c r="AC125" s="2"/>
      <c r="AD125" s="2"/>
      <c r="AE125" s="2"/>
      <c r="AF125" s="3"/>
      <c r="AG125" s="2"/>
      <c r="AH125" s="2"/>
      <c r="AI125" s="2"/>
      <c r="AJ125" s="2"/>
      <c r="AK125" s="3"/>
      <c r="AL125" s="2"/>
      <c r="AM125" s="2"/>
      <c r="AN125" s="2"/>
      <c r="AO125" s="2"/>
      <c r="AP125" s="3"/>
      <c r="AQ125" s="2"/>
      <c r="AR125" s="2"/>
      <c r="AS125" s="2"/>
      <c r="AT125" s="7"/>
      <c r="AU125" s="2"/>
      <c r="AV125" s="2"/>
      <c r="AW125" s="2"/>
      <c r="AX125" s="2"/>
    </row>
    <row r="126">
      <c r="A126" s="2"/>
      <c r="B126" s="2"/>
      <c r="C126" s="2"/>
      <c r="D126" s="2"/>
      <c r="E126" s="2"/>
      <c r="F126" s="2"/>
      <c r="G126" s="2"/>
      <c r="H126" s="2"/>
      <c r="I126" s="2"/>
      <c r="J126" s="2"/>
      <c r="K126" s="2"/>
      <c r="L126" s="3"/>
      <c r="M126" s="4"/>
      <c r="N126" s="4"/>
      <c r="O126" s="5"/>
      <c r="P126" s="6"/>
      <c r="Q126" s="3"/>
      <c r="R126" s="2"/>
      <c r="S126" s="2"/>
      <c r="T126" s="2"/>
      <c r="U126" s="2"/>
      <c r="V126" s="3"/>
      <c r="W126" s="2"/>
      <c r="X126" s="2"/>
      <c r="Y126" s="2"/>
      <c r="Z126" s="2"/>
      <c r="AA126" s="3"/>
      <c r="AB126" s="2"/>
      <c r="AC126" s="2"/>
      <c r="AD126" s="2"/>
      <c r="AE126" s="2"/>
      <c r="AF126" s="3"/>
      <c r="AG126" s="2"/>
      <c r="AH126" s="2"/>
      <c r="AI126" s="2"/>
      <c r="AJ126" s="2"/>
      <c r="AK126" s="3"/>
      <c r="AL126" s="2"/>
      <c r="AM126" s="2"/>
      <c r="AN126" s="2"/>
      <c r="AO126" s="2"/>
      <c r="AP126" s="3"/>
      <c r="AQ126" s="2"/>
      <c r="AR126" s="2"/>
      <c r="AS126" s="2"/>
      <c r="AT126" s="7"/>
      <c r="AU126" s="2"/>
      <c r="AV126" s="2"/>
      <c r="AW126" s="2"/>
      <c r="AX126" s="2"/>
    </row>
    <row r="127">
      <c r="A127" s="2"/>
      <c r="B127" s="2"/>
      <c r="C127" s="2"/>
      <c r="D127" s="2"/>
      <c r="E127" s="2"/>
      <c r="F127" s="2"/>
      <c r="G127" s="2"/>
      <c r="H127" s="2"/>
      <c r="I127" s="2"/>
      <c r="J127" s="2"/>
      <c r="K127" s="2"/>
      <c r="L127" s="3"/>
      <c r="M127" s="4"/>
      <c r="N127" s="4"/>
      <c r="O127" s="5"/>
      <c r="P127" s="6"/>
      <c r="Q127" s="3"/>
      <c r="R127" s="2"/>
      <c r="S127" s="2"/>
      <c r="T127" s="2"/>
      <c r="U127" s="2"/>
      <c r="V127" s="3"/>
      <c r="W127" s="2"/>
      <c r="X127" s="2"/>
      <c r="Y127" s="2"/>
      <c r="Z127" s="2"/>
      <c r="AA127" s="3"/>
      <c r="AB127" s="2"/>
      <c r="AC127" s="2"/>
      <c r="AD127" s="2"/>
      <c r="AE127" s="2"/>
      <c r="AF127" s="3"/>
      <c r="AG127" s="2"/>
      <c r="AH127" s="2"/>
      <c r="AI127" s="2"/>
      <c r="AJ127" s="2"/>
      <c r="AK127" s="3"/>
      <c r="AL127" s="2"/>
      <c r="AM127" s="2"/>
      <c r="AN127" s="2"/>
      <c r="AO127" s="2"/>
      <c r="AP127" s="3"/>
      <c r="AQ127" s="2"/>
      <c r="AR127" s="2"/>
      <c r="AS127" s="2"/>
      <c r="AT127" s="7"/>
      <c r="AU127" s="2"/>
      <c r="AV127" s="2"/>
      <c r="AW127" s="2"/>
      <c r="AX127" s="2"/>
    </row>
    <row r="128">
      <c r="A128" s="2"/>
      <c r="B128" s="2"/>
      <c r="C128" s="2"/>
      <c r="D128" s="2"/>
      <c r="E128" s="2"/>
      <c r="F128" s="2"/>
      <c r="G128" s="2"/>
      <c r="H128" s="2"/>
      <c r="I128" s="2"/>
      <c r="J128" s="2"/>
      <c r="K128" s="2"/>
      <c r="L128" s="3"/>
      <c r="M128" s="4"/>
      <c r="N128" s="4"/>
      <c r="O128" s="5"/>
      <c r="P128" s="6"/>
      <c r="Q128" s="3"/>
      <c r="R128" s="2"/>
      <c r="S128" s="2"/>
      <c r="T128" s="2"/>
      <c r="U128" s="2"/>
      <c r="V128" s="3"/>
      <c r="W128" s="2"/>
      <c r="X128" s="2"/>
      <c r="Y128" s="2"/>
      <c r="Z128" s="2"/>
      <c r="AA128" s="3"/>
      <c r="AB128" s="2"/>
      <c r="AC128" s="2"/>
      <c r="AD128" s="2"/>
      <c r="AE128" s="2"/>
      <c r="AF128" s="3"/>
      <c r="AG128" s="2"/>
      <c r="AH128" s="2"/>
      <c r="AI128" s="2"/>
      <c r="AJ128" s="2"/>
      <c r="AK128" s="3"/>
      <c r="AL128" s="2"/>
      <c r="AM128" s="2"/>
      <c r="AN128" s="2"/>
      <c r="AO128" s="2"/>
      <c r="AP128" s="3"/>
      <c r="AQ128" s="2"/>
      <c r="AR128" s="2"/>
      <c r="AS128" s="2"/>
      <c r="AT128" s="7"/>
      <c r="AU128" s="2"/>
      <c r="AV128" s="2"/>
      <c r="AW128" s="2"/>
      <c r="AX128" s="2"/>
    </row>
    <row r="129">
      <c r="A129" s="2"/>
      <c r="B129" s="2"/>
      <c r="C129" s="2"/>
      <c r="D129" s="2"/>
      <c r="E129" s="2"/>
      <c r="F129" s="2"/>
      <c r="G129" s="2"/>
      <c r="H129" s="2"/>
      <c r="I129" s="2"/>
      <c r="J129" s="2"/>
      <c r="K129" s="2"/>
      <c r="L129" s="3"/>
      <c r="M129" s="4"/>
      <c r="N129" s="4"/>
      <c r="O129" s="5"/>
      <c r="P129" s="6"/>
      <c r="Q129" s="3"/>
      <c r="R129" s="2"/>
      <c r="S129" s="2"/>
      <c r="T129" s="2"/>
      <c r="U129" s="2"/>
      <c r="V129" s="3"/>
      <c r="W129" s="2"/>
      <c r="X129" s="2"/>
      <c r="Y129" s="2"/>
      <c r="Z129" s="2"/>
      <c r="AA129" s="3"/>
      <c r="AB129" s="2"/>
      <c r="AC129" s="2"/>
      <c r="AD129" s="2"/>
      <c r="AE129" s="2"/>
      <c r="AF129" s="3"/>
      <c r="AG129" s="2"/>
      <c r="AH129" s="2"/>
      <c r="AI129" s="2"/>
      <c r="AJ129" s="2"/>
      <c r="AK129" s="3"/>
      <c r="AL129" s="2"/>
      <c r="AM129" s="2"/>
      <c r="AN129" s="2"/>
      <c r="AO129" s="2"/>
      <c r="AP129" s="3"/>
      <c r="AQ129" s="2"/>
      <c r="AR129" s="2"/>
      <c r="AS129" s="2"/>
      <c r="AT129" s="7"/>
      <c r="AU129" s="2"/>
      <c r="AV129" s="2"/>
      <c r="AW129" s="2"/>
      <c r="AX129" s="2"/>
    </row>
    <row r="130">
      <c r="A130" s="2"/>
      <c r="B130" s="2"/>
      <c r="C130" s="2"/>
      <c r="D130" s="2"/>
      <c r="E130" s="2"/>
      <c r="F130" s="2"/>
      <c r="G130" s="2"/>
      <c r="H130" s="2"/>
      <c r="I130" s="2"/>
      <c r="J130" s="2"/>
      <c r="K130" s="2"/>
      <c r="L130" s="3"/>
      <c r="M130" s="4"/>
      <c r="N130" s="4"/>
      <c r="O130" s="5"/>
      <c r="P130" s="6"/>
      <c r="Q130" s="3"/>
      <c r="R130" s="2"/>
      <c r="S130" s="2"/>
      <c r="T130" s="2"/>
      <c r="U130" s="2"/>
      <c r="V130" s="3"/>
      <c r="W130" s="2"/>
      <c r="X130" s="2"/>
      <c r="Y130" s="2"/>
      <c r="Z130" s="2"/>
      <c r="AA130" s="3"/>
      <c r="AB130" s="2"/>
      <c r="AC130" s="2"/>
      <c r="AD130" s="2"/>
      <c r="AE130" s="2"/>
      <c r="AF130" s="3"/>
      <c r="AG130" s="2"/>
      <c r="AH130" s="2"/>
      <c r="AI130" s="2"/>
      <c r="AJ130" s="2"/>
      <c r="AK130" s="3"/>
      <c r="AL130" s="2"/>
      <c r="AM130" s="2"/>
      <c r="AN130" s="2"/>
      <c r="AO130" s="2"/>
      <c r="AP130" s="3"/>
      <c r="AQ130" s="2"/>
      <c r="AR130" s="2"/>
      <c r="AS130" s="2"/>
      <c r="AT130" s="7"/>
      <c r="AU130" s="2"/>
      <c r="AV130" s="2"/>
      <c r="AW130" s="2"/>
      <c r="AX130" s="2"/>
    </row>
    <row r="131">
      <c r="A131" s="2"/>
      <c r="B131" s="2"/>
      <c r="C131" s="2"/>
      <c r="D131" s="2"/>
      <c r="E131" s="2"/>
      <c r="F131" s="2"/>
      <c r="G131" s="2"/>
      <c r="H131" s="2"/>
      <c r="I131" s="2"/>
      <c r="J131" s="2"/>
      <c r="K131" s="2"/>
      <c r="L131" s="3"/>
      <c r="M131" s="4"/>
      <c r="N131" s="4"/>
      <c r="O131" s="5"/>
      <c r="P131" s="6"/>
      <c r="Q131" s="3"/>
      <c r="R131" s="2"/>
      <c r="S131" s="2"/>
      <c r="T131" s="2"/>
      <c r="U131" s="2"/>
      <c r="V131" s="3"/>
      <c r="W131" s="2"/>
      <c r="X131" s="2"/>
      <c r="Y131" s="2"/>
      <c r="Z131" s="2"/>
      <c r="AA131" s="3"/>
      <c r="AB131" s="2"/>
      <c r="AC131" s="2"/>
      <c r="AD131" s="2"/>
      <c r="AE131" s="2"/>
      <c r="AF131" s="3"/>
      <c r="AG131" s="2"/>
      <c r="AH131" s="2"/>
      <c r="AI131" s="2"/>
      <c r="AJ131" s="2"/>
      <c r="AK131" s="3"/>
      <c r="AL131" s="2"/>
      <c r="AM131" s="2"/>
      <c r="AN131" s="2"/>
      <c r="AO131" s="2"/>
      <c r="AP131" s="3"/>
      <c r="AQ131" s="2"/>
      <c r="AR131" s="2"/>
      <c r="AS131" s="2"/>
      <c r="AT131" s="7"/>
      <c r="AU131" s="2"/>
      <c r="AV131" s="2"/>
      <c r="AW131" s="2"/>
      <c r="AX131" s="2"/>
    </row>
    <row r="132">
      <c r="A132" s="2"/>
      <c r="B132" s="2"/>
      <c r="C132" s="2"/>
      <c r="D132" s="2"/>
      <c r="E132" s="2"/>
      <c r="F132" s="2"/>
      <c r="G132" s="2"/>
      <c r="H132" s="2"/>
      <c r="I132" s="2"/>
      <c r="J132" s="2"/>
      <c r="K132" s="2"/>
      <c r="L132" s="3"/>
      <c r="M132" s="4"/>
      <c r="N132" s="4"/>
      <c r="O132" s="5"/>
      <c r="P132" s="6"/>
      <c r="Q132" s="3"/>
      <c r="R132" s="2"/>
      <c r="S132" s="2"/>
      <c r="T132" s="2"/>
      <c r="U132" s="2"/>
      <c r="V132" s="3"/>
      <c r="W132" s="2"/>
      <c r="X132" s="2"/>
      <c r="Y132" s="2"/>
      <c r="Z132" s="2"/>
      <c r="AA132" s="3"/>
      <c r="AB132" s="2"/>
      <c r="AC132" s="2"/>
      <c r="AD132" s="2"/>
      <c r="AE132" s="2"/>
      <c r="AF132" s="3"/>
      <c r="AG132" s="2"/>
      <c r="AH132" s="2"/>
      <c r="AI132" s="2"/>
      <c r="AJ132" s="2"/>
      <c r="AK132" s="3"/>
      <c r="AL132" s="2"/>
      <c r="AM132" s="2"/>
      <c r="AN132" s="2"/>
      <c r="AO132" s="2"/>
      <c r="AP132" s="3"/>
      <c r="AQ132" s="2"/>
      <c r="AR132" s="2"/>
      <c r="AS132" s="2"/>
      <c r="AT132" s="7"/>
      <c r="AU132" s="2"/>
      <c r="AV132" s="2"/>
      <c r="AW132" s="2"/>
      <c r="AX132" s="2"/>
    </row>
    <row r="133">
      <c r="A133" s="2"/>
      <c r="B133" s="2"/>
      <c r="C133" s="2"/>
      <c r="D133" s="2"/>
      <c r="E133" s="2"/>
      <c r="F133" s="2"/>
      <c r="G133" s="2"/>
      <c r="H133" s="2"/>
      <c r="I133" s="2"/>
      <c r="J133" s="2"/>
      <c r="K133" s="2"/>
      <c r="L133" s="3"/>
      <c r="M133" s="4"/>
      <c r="N133" s="4"/>
      <c r="O133" s="5"/>
      <c r="P133" s="6"/>
      <c r="Q133" s="3"/>
      <c r="R133" s="2"/>
      <c r="S133" s="2"/>
      <c r="T133" s="2"/>
      <c r="U133" s="2"/>
      <c r="V133" s="3"/>
      <c r="W133" s="2"/>
      <c r="X133" s="2"/>
      <c r="Y133" s="2"/>
      <c r="Z133" s="2"/>
      <c r="AA133" s="3"/>
      <c r="AB133" s="2"/>
      <c r="AC133" s="2"/>
      <c r="AD133" s="2"/>
      <c r="AE133" s="2"/>
      <c r="AF133" s="3"/>
      <c r="AG133" s="2"/>
      <c r="AH133" s="2"/>
      <c r="AI133" s="2"/>
      <c r="AJ133" s="2"/>
      <c r="AK133" s="3"/>
      <c r="AL133" s="2"/>
      <c r="AM133" s="2"/>
      <c r="AN133" s="2"/>
      <c r="AO133" s="2"/>
      <c r="AP133" s="3"/>
      <c r="AQ133" s="2"/>
      <c r="AR133" s="2"/>
      <c r="AS133" s="2"/>
      <c r="AT133" s="7"/>
      <c r="AU133" s="2"/>
      <c r="AV133" s="2"/>
      <c r="AW133" s="2"/>
      <c r="AX133" s="2"/>
    </row>
    <row r="134">
      <c r="A134" s="2"/>
      <c r="B134" s="2"/>
      <c r="C134" s="2"/>
      <c r="D134" s="2"/>
      <c r="E134" s="2"/>
      <c r="F134" s="2"/>
      <c r="G134" s="2"/>
      <c r="H134" s="2"/>
      <c r="I134" s="2"/>
      <c r="J134" s="2"/>
      <c r="K134" s="2"/>
      <c r="L134" s="3"/>
      <c r="M134" s="4"/>
      <c r="N134" s="4"/>
      <c r="O134" s="5"/>
      <c r="P134" s="6"/>
      <c r="Q134" s="3"/>
      <c r="R134" s="2"/>
      <c r="S134" s="2"/>
      <c r="T134" s="2"/>
      <c r="U134" s="2"/>
      <c r="V134" s="3"/>
      <c r="W134" s="2"/>
      <c r="X134" s="2"/>
      <c r="Y134" s="2"/>
      <c r="Z134" s="2"/>
      <c r="AA134" s="3"/>
      <c r="AB134" s="2"/>
      <c r="AC134" s="2"/>
      <c r="AD134" s="2"/>
      <c r="AE134" s="2"/>
      <c r="AF134" s="3"/>
      <c r="AG134" s="2"/>
      <c r="AH134" s="2"/>
      <c r="AI134" s="2"/>
      <c r="AJ134" s="2"/>
      <c r="AK134" s="3"/>
      <c r="AL134" s="2"/>
      <c r="AM134" s="2"/>
      <c r="AN134" s="2"/>
      <c r="AO134" s="2"/>
      <c r="AP134" s="3"/>
      <c r="AQ134" s="2"/>
      <c r="AR134" s="2"/>
      <c r="AS134" s="2"/>
      <c r="AT134" s="7"/>
      <c r="AU134" s="2"/>
      <c r="AV134" s="2"/>
      <c r="AW134" s="2"/>
      <c r="AX134" s="2"/>
    </row>
    <row r="135">
      <c r="A135" s="2"/>
      <c r="B135" s="2"/>
      <c r="C135" s="2"/>
      <c r="D135" s="2"/>
      <c r="E135" s="2"/>
      <c r="F135" s="2"/>
      <c r="G135" s="2"/>
      <c r="H135" s="2"/>
      <c r="I135" s="2"/>
      <c r="J135" s="2"/>
      <c r="K135" s="2"/>
      <c r="L135" s="3"/>
      <c r="M135" s="4"/>
      <c r="N135" s="4"/>
      <c r="O135" s="5"/>
      <c r="P135" s="6"/>
      <c r="Q135" s="3"/>
      <c r="R135" s="2"/>
      <c r="S135" s="2"/>
      <c r="T135" s="2"/>
      <c r="U135" s="2"/>
      <c r="V135" s="3"/>
      <c r="W135" s="2"/>
      <c r="X135" s="2"/>
      <c r="Y135" s="2"/>
      <c r="Z135" s="2"/>
      <c r="AA135" s="3"/>
      <c r="AB135" s="2"/>
      <c r="AC135" s="2"/>
      <c r="AD135" s="2"/>
      <c r="AE135" s="2"/>
      <c r="AF135" s="3"/>
      <c r="AG135" s="2"/>
      <c r="AH135" s="2"/>
      <c r="AI135" s="2"/>
      <c r="AJ135" s="2"/>
      <c r="AK135" s="3"/>
      <c r="AL135" s="2"/>
      <c r="AM135" s="2"/>
      <c r="AN135" s="2"/>
      <c r="AO135" s="2"/>
      <c r="AP135" s="3"/>
      <c r="AQ135" s="2"/>
      <c r="AR135" s="2"/>
      <c r="AS135" s="2"/>
      <c r="AT135" s="7"/>
      <c r="AU135" s="2"/>
      <c r="AV135" s="2"/>
      <c r="AW135" s="2"/>
      <c r="AX135" s="2"/>
    </row>
    <row r="136">
      <c r="A136" s="2"/>
      <c r="B136" s="2"/>
      <c r="C136" s="2"/>
      <c r="D136" s="2"/>
      <c r="E136" s="2"/>
      <c r="F136" s="2"/>
      <c r="G136" s="2"/>
      <c r="H136" s="2"/>
      <c r="I136" s="2"/>
      <c r="J136" s="2"/>
      <c r="K136" s="2"/>
      <c r="L136" s="3"/>
      <c r="M136" s="4"/>
      <c r="N136" s="4"/>
      <c r="O136" s="5"/>
      <c r="P136" s="6"/>
      <c r="Q136" s="3"/>
      <c r="R136" s="2"/>
      <c r="S136" s="2"/>
      <c r="T136" s="2"/>
      <c r="U136" s="2"/>
      <c r="V136" s="3"/>
      <c r="W136" s="2"/>
      <c r="X136" s="2"/>
      <c r="Y136" s="2"/>
      <c r="Z136" s="2"/>
      <c r="AA136" s="3"/>
      <c r="AB136" s="2"/>
      <c r="AC136" s="2"/>
      <c r="AD136" s="2"/>
      <c r="AE136" s="2"/>
      <c r="AF136" s="3"/>
      <c r="AG136" s="2"/>
      <c r="AH136" s="2"/>
      <c r="AI136" s="2"/>
      <c r="AJ136" s="2"/>
      <c r="AK136" s="3"/>
      <c r="AL136" s="2"/>
      <c r="AM136" s="2"/>
      <c r="AN136" s="2"/>
      <c r="AO136" s="2"/>
      <c r="AP136" s="3"/>
      <c r="AQ136" s="2"/>
      <c r="AR136" s="2"/>
      <c r="AS136" s="2"/>
      <c r="AT136" s="7"/>
      <c r="AU136" s="2"/>
      <c r="AV136" s="2"/>
      <c r="AW136" s="2"/>
      <c r="AX136" s="2"/>
    </row>
    <row r="137">
      <c r="A137" s="2"/>
      <c r="B137" s="2"/>
      <c r="C137" s="2"/>
      <c r="D137" s="2"/>
      <c r="E137" s="2"/>
      <c r="F137" s="2"/>
      <c r="G137" s="2"/>
      <c r="H137" s="2"/>
      <c r="I137" s="2"/>
      <c r="J137" s="2"/>
      <c r="K137" s="2"/>
      <c r="L137" s="3"/>
      <c r="M137" s="4"/>
      <c r="N137" s="4"/>
      <c r="O137" s="5"/>
      <c r="P137" s="6"/>
      <c r="Q137" s="3"/>
      <c r="R137" s="2"/>
      <c r="S137" s="2"/>
      <c r="T137" s="2"/>
      <c r="U137" s="2"/>
      <c r="V137" s="3"/>
      <c r="W137" s="2"/>
      <c r="X137" s="2"/>
      <c r="Y137" s="2"/>
      <c r="Z137" s="2"/>
      <c r="AA137" s="3"/>
      <c r="AB137" s="2"/>
      <c r="AC137" s="2"/>
      <c r="AD137" s="2"/>
      <c r="AE137" s="2"/>
      <c r="AF137" s="3"/>
      <c r="AG137" s="2"/>
      <c r="AH137" s="2"/>
      <c r="AI137" s="2"/>
      <c r="AJ137" s="2"/>
      <c r="AK137" s="3"/>
      <c r="AL137" s="2"/>
      <c r="AM137" s="2"/>
      <c r="AN137" s="2"/>
      <c r="AO137" s="2"/>
      <c r="AP137" s="3"/>
      <c r="AQ137" s="2"/>
      <c r="AR137" s="2"/>
      <c r="AS137" s="2"/>
      <c r="AT137" s="7"/>
      <c r="AU137" s="2"/>
      <c r="AV137" s="2"/>
      <c r="AW137" s="2"/>
      <c r="AX137" s="2"/>
    </row>
    <row r="138">
      <c r="A138" s="2"/>
      <c r="B138" s="2"/>
      <c r="C138" s="2"/>
      <c r="D138" s="2"/>
      <c r="E138" s="2"/>
      <c r="F138" s="2"/>
      <c r="G138" s="2"/>
      <c r="H138" s="2"/>
      <c r="I138" s="2"/>
      <c r="J138" s="2"/>
      <c r="K138" s="2"/>
      <c r="L138" s="3"/>
      <c r="M138" s="4"/>
      <c r="N138" s="4"/>
      <c r="O138" s="5"/>
      <c r="P138" s="6"/>
      <c r="Q138" s="3"/>
      <c r="R138" s="2"/>
      <c r="S138" s="2"/>
      <c r="T138" s="2"/>
      <c r="U138" s="2"/>
      <c r="V138" s="3"/>
      <c r="W138" s="2"/>
      <c r="X138" s="2"/>
      <c r="Y138" s="2"/>
      <c r="Z138" s="2"/>
      <c r="AA138" s="3"/>
      <c r="AB138" s="2"/>
      <c r="AC138" s="2"/>
      <c r="AD138" s="2"/>
      <c r="AE138" s="2"/>
      <c r="AF138" s="3"/>
      <c r="AG138" s="2"/>
      <c r="AH138" s="2"/>
      <c r="AI138" s="2"/>
      <c r="AJ138" s="2"/>
      <c r="AK138" s="3"/>
      <c r="AL138" s="2"/>
      <c r="AM138" s="2"/>
      <c r="AN138" s="2"/>
      <c r="AO138" s="2"/>
      <c r="AP138" s="3"/>
      <c r="AQ138" s="2"/>
      <c r="AR138" s="2"/>
      <c r="AS138" s="2"/>
      <c r="AT138" s="7"/>
      <c r="AU138" s="2"/>
      <c r="AV138" s="2"/>
      <c r="AW138" s="2"/>
      <c r="AX138" s="2"/>
    </row>
    <row r="139">
      <c r="A139" s="2"/>
      <c r="B139" s="2"/>
      <c r="C139" s="2"/>
      <c r="D139" s="2"/>
      <c r="E139" s="2"/>
      <c r="F139" s="2"/>
      <c r="G139" s="2"/>
      <c r="H139" s="2"/>
      <c r="I139" s="2"/>
      <c r="J139" s="2"/>
      <c r="K139" s="2"/>
      <c r="L139" s="3"/>
      <c r="M139" s="4"/>
      <c r="N139" s="4"/>
      <c r="O139" s="5"/>
      <c r="P139" s="6"/>
      <c r="Q139" s="3"/>
      <c r="R139" s="2"/>
      <c r="S139" s="2"/>
      <c r="T139" s="2"/>
      <c r="U139" s="2"/>
      <c r="V139" s="3"/>
      <c r="W139" s="2"/>
      <c r="X139" s="2"/>
      <c r="Y139" s="2"/>
      <c r="Z139" s="2"/>
      <c r="AA139" s="3"/>
      <c r="AB139" s="2"/>
      <c r="AC139" s="2"/>
      <c r="AD139" s="2"/>
      <c r="AE139" s="2"/>
      <c r="AF139" s="3"/>
      <c r="AG139" s="2"/>
      <c r="AH139" s="2"/>
      <c r="AI139" s="2"/>
      <c r="AJ139" s="2"/>
      <c r="AK139" s="3"/>
      <c r="AL139" s="2"/>
      <c r="AM139" s="2"/>
      <c r="AN139" s="2"/>
      <c r="AO139" s="2"/>
      <c r="AP139" s="3"/>
      <c r="AQ139" s="2"/>
      <c r="AR139" s="2"/>
      <c r="AS139" s="2"/>
      <c r="AT139" s="7"/>
      <c r="AU139" s="2"/>
      <c r="AV139" s="2"/>
      <c r="AW139" s="2"/>
      <c r="AX139" s="2"/>
    </row>
    <row r="140">
      <c r="A140" s="2"/>
      <c r="B140" s="2"/>
      <c r="C140" s="2"/>
      <c r="D140" s="2"/>
      <c r="E140" s="2"/>
      <c r="F140" s="2"/>
      <c r="G140" s="2"/>
      <c r="H140" s="2"/>
      <c r="I140" s="2"/>
      <c r="J140" s="2"/>
      <c r="K140" s="2"/>
      <c r="L140" s="3"/>
      <c r="M140" s="4"/>
      <c r="N140" s="4"/>
      <c r="O140" s="5"/>
      <c r="P140" s="6"/>
      <c r="Q140" s="3"/>
      <c r="R140" s="2"/>
      <c r="S140" s="2"/>
      <c r="T140" s="2"/>
      <c r="U140" s="2"/>
      <c r="V140" s="3"/>
      <c r="W140" s="2"/>
      <c r="X140" s="2"/>
      <c r="Y140" s="2"/>
      <c r="Z140" s="2"/>
      <c r="AA140" s="3"/>
      <c r="AB140" s="2"/>
      <c r="AC140" s="2"/>
      <c r="AD140" s="2"/>
      <c r="AE140" s="2"/>
      <c r="AF140" s="3"/>
      <c r="AG140" s="2"/>
      <c r="AH140" s="2"/>
      <c r="AI140" s="2"/>
      <c r="AJ140" s="2"/>
      <c r="AK140" s="3"/>
      <c r="AL140" s="2"/>
      <c r="AM140" s="2"/>
      <c r="AN140" s="2"/>
      <c r="AO140" s="2"/>
      <c r="AP140" s="3"/>
      <c r="AQ140" s="2"/>
      <c r="AR140" s="2"/>
      <c r="AS140" s="2"/>
      <c r="AT140" s="7"/>
      <c r="AU140" s="2"/>
      <c r="AV140" s="2"/>
      <c r="AW140" s="2"/>
      <c r="AX140" s="2"/>
    </row>
    <row r="141">
      <c r="A141" s="2"/>
      <c r="B141" s="2"/>
      <c r="C141" s="2"/>
      <c r="D141" s="2"/>
      <c r="E141" s="2"/>
      <c r="F141" s="2"/>
      <c r="G141" s="2"/>
      <c r="H141" s="2"/>
      <c r="I141" s="2"/>
      <c r="J141" s="2"/>
      <c r="K141" s="2"/>
      <c r="L141" s="3"/>
      <c r="M141" s="4"/>
      <c r="N141" s="4"/>
      <c r="O141" s="5"/>
      <c r="P141" s="6"/>
      <c r="Q141" s="3"/>
      <c r="R141" s="2"/>
      <c r="S141" s="2"/>
      <c r="T141" s="2"/>
      <c r="U141" s="2"/>
      <c r="V141" s="3"/>
      <c r="W141" s="2"/>
      <c r="X141" s="2"/>
      <c r="Y141" s="2"/>
      <c r="Z141" s="2"/>
      <c r="AA141" s="3"/>
      <c r="AB141" s="2"/>
      <c r="AC141" s="2"/>
      <c r="AD141" s="2"/>
      <c r="AE141" s="2"/>
      <c r="AF141" s="3"/>
      <c r="AG141" s="2"/>
      <c r="AH141" s="2"/>
      <c r="AI141" s="2"/>
      <c r="AJ141" s="2"/>
      <c r="AK141" s="3"/>
      <c r="AL141" s="2"/>
      <c r="AM141" s="2"/>
      <c r="AN141" s="2"/>
      <c r="AO141" s="2"/>
      <c r="AP141" s="3"/>
      <c r="AQ141" s="2"/>
      <c r="AR141" s="2"/>
      <c r="AS141" s="2"/>
      <c r="AT141" s="7"/>
      <c r="AU141" s="2"/>
      <c r="AV141" s="2"/>
      <c r="AW141" s="2"/>
      <c r="AX141" s="2"/>
    </row>
    <row r="142">
      <c r="A142" s="2"/>
      <c r="B142" s="2"/>
      <c r="C142" s="2"/>
      <c r="D142" s="2"/>
      <c r="E142" s="2"/>
      <c r="F142" s="2"/>
      <c r="G142" s="2"/>
      <c r="H142" s="2"/>
      <c r="I142" s="2"/>
      <c r="J142" s="2"/>
      <c r="K142" s="2"/>
      <c r="L142" s="3"/>
      <c r="M142" s="4"/>
      <c r="N142" s="4"/>
      <c r="O142" s="5"/>
      <c r="P142" s="6"/>
      <c r="Q142" s="3"/>
      <c r="R142" s="2"/>
      <c r="S142" s="2"/>
      <c r="T142" s="2"/>
      <c r="U142" s="2"/>
      <c r="V142" s="3"/>
      <c r="W142" s="2"/>
      <c r="X142" s="2"/>
      <c r="Y142" s="2"/>
      <c r="Z142" s="2"/>
      <c r="AA142" s="3"/>
      <c r="AB142" s="2"/>
      <c r="AC142" s="2"/>
      <c r="AD142" s="2"/>
      <c r="AE142" s="2"/>
      <c r="AF142" s="3"/>
      <c r="AG142" s="2"/>
      <c r="AH142" s="2"/>
      <c r="AI142" s="2"/>
      <c r="AJ142" s="2"/>
      <c r="AK142" s="3"/>
      <c r="AL142" s="2"/>
      <c r="AM142" s="2"/>
      <c r="AN142" s="2"/>
      <c r="AO142" s="2"/>
      <c r="AP142" s="3"/>
      <c r="AQ142" s="2"/>
      <c r="AR142" s="2"/>
      <c r="AS142" s="2"/>
      <c r="AT142" s="7"/>
      <c r="AU142" s="2"/>
      <c r="AV142" s="2"/>
      <c r="AW142" s="2"/>
      <c r="AX142" s="2"/>
    </row>
    <row r="143">
      <c r="A143" s="2"/>
      <c r="B143" s="2"/>
      <c r="C143" s="2"/>
      <c r="D143" s="2"/>
      <c r="E143" s="2"/>
      <c r="F143" s="2"/>
      <c r="G143" s="2"/>
      <c r="H143" s="2"/>
      <c r="I143" s="2"/>
      <c r="J143" s="2"/>
      <c r="K143" s="2"/>
      <c r="L143" s="3"/>
      <c r="M143" s="4"/>
      <c r="N143" s="4"/>
      <c r="O143" s="5"/>
      <c r="P143" s="6"/>
      <c r="Q143" s="3"/>
      <c r="R143" s="2"/>
      <c r="S143" s="2"/>
      <c r="T143" s="2"/>
      <c r="U143" s="2"/>
      <c r="V143" s="3"/>
      <c r="W143" s="2"/>
      <c r="X143" s="2"/>
      <c r="Y143" s="2"/>
      <c r="Z143" s="2"/>
      <c r="AA143" s="3"/>
      <c r="AB143" s="2"/>
      <c r="AC143" s="2"/>
      <c r="AD143" s="2"/>
      <c r="AE143" s="2"/>
      <c r="AF143" s="3"/>
      <c r="AG143" s="2"/>
      <c r="AH143" s="2"/>
      <c r="AI143" s="2"/>
      <c r="AJ143" s="2"/>
      <c r="AK143" s="3"/>
      <c r="AL143" s="2"/>
      <c r="AM143" s="2"/>
      <c r="AN143" s="2"/>
      <c r="AO143" s="2"/>
      <c r="AP143" s="3"/>
      <c r="AQ143" s="2"/>
      <c r="AR143" s="2"/>
      <c r="AS143" s="2"/>
      <c r="AT143" s="7"/>
      <c r="AU143" s="2"/>
      <c r="AV143" s="2"/>
      <c r="AW143" s="2"/>
      <c r="AX143" s="2"/>
    </row>
    <row r="144">
      <c r="A144" s="2"/>
      <c r="B144" s="2"/>
      <c r="C144" s="2"/>
      <c r="D144" s="2"/>
      <c r="E144" s="2"/>
      <c r="F144" s="2"/>
      <c r="G144" s="2"/>
      <c r="H144" s="2"/>
      <c r="I144" s="2"/>
      <c r="J144" s="2"/>
      <c r="K144" s="2"/>
      <c r="L144" s="3"/>
      <c r="M144" s="4"/>
      <c r="N144" s="4"/>
      <c r="O144" s="5"/>
      <c r="P144" s="6"/>
      <c r="Q144" s="3"/>
      <c r="R144" s="2"/>
      <c r="S144" s="2"/>
      <c r="T144" s="2"/>
      <c r="U144" s="2"/>
      <c r="V144" s="3"/>
      <c r="W144" s="2"/>
      <c r="X144" s="2"/>
      <c r="Y144" s="2"/>
      <c r="Z144" s="2"/>
      <c r="AA144" s="3"/>
      <c r="AB144" s="2"/>
      <c r="AC144" s="2"/>
      <c r="AD144" s="2"/>
      <c r="AE144" s="2"/>
      <c r="AF144" s="3"/>
      <c r="AG144" s="2"/>
      <c r="AH144" s="2"/>
      <c r="AI144" s="2"/>
      <c r="AJ144" s="2"/>
      <c r="AK144" s="3"/>
      <c r="AL144" s="2"/>
      <c r="AM144" s="2"/>
      <c r="AN144" s="2"/>
      <c r="AO144" s="2"/>
      <c r="AP144" s="3"/>
      <c r="AQ144" s="2"/>
      <c r="AR144" s="2"/>
      <c r="AS144" s="2"/>
      <c r="AT144" s="7"/>
      <c r="AU144" s="2"/>
      <c r="AV144" s="2"/>
      <c r="AW144" s="2"/>
      <c r="AX144" s="2"/>
    </row>
    <row r="145">
      <c r="A145" s="2"/>
      <c r="B145" s="2"/>
      <c r="C145" s="2"/>
      <c r="D145" s="2"/>
      <c r="E145" s="2"/>
      <c r="F145" s="2"/>
      <c r="G145" s="2"/>
      <c r="H145" s="2"/>
      <c r="I145" s="2"/>
      <c r="J145" s="2"/>
      <c r="K145" s="2"/>
      <c r="L145" s="3"/>
      <c r="M145" s="4"/>
      <c r="N145" s="4"/>
      <c r="O145" s="5"/>
      <c r="P145" s="6"/>
      <c r="Q145" s="3"/>
      <c r="R145" s="2"/>
      <c r="S145" s="2"/>
      <c r="T145" s="2"/>
      <c r="U145" s="2"/>
      <c r="V145" s="3"/>
      <c r="W145" s="2"/>
      <c r="X145" s="2"/>
      <c r="Y145" s="2"/>
      <c r="Z145" s="2"/>
      <c r="AA145" s="3"/>
      <c r="AB145" s="2"/>
      <c r="AC145" s="2"/>
      <c r="AD145" s="2"/>
      <c r="AE145" s="2"/>
      <c r="AF145" s="3"/>
      <c r="AG145" s="2"/>
      <c r="AH145" s="2"/>
      <c r="AI145" s="2"/>
      <c r="AJ145" s="2"/>
      <c r="AK145" s="3"/>
      <c r="AL145" s="2"/>
      <c r="AM145" s="2"/>
      <c r="AN145" s="2"/>
      <c r="AO145" s="2"/>
      <c r="AP145" s="3"/>
      <c r="AQ145" s="2"/>
      <c r="AR145" s="2"/>
      <c r="AS145" s="2"/>
      <c r="AT145" s="7"/>
      <c r="AU145" s="2"/>
      <c r="AV145" s="2"/>
      <c r="AW145" s="2"/>
      <c r="AX145" s="2"/>
    </row>
    <row r="146">
      <c r="A146" s="2"/>
      <c r="B146" s="2"/>
      <c r="C146" s="2"/>
      <c r="D146" s="2"/>
      <c r="E146" s="2"/>
      <c r="F146" s="2"/>
      <c r="G146" s="2"/>
      <c r="H146" s="2"/>
      <c r="I146" s="2"/>
      <c r="J146" s="2"/>
      <c r="K146" s="2"/>
      <c r="L146" s="3"/>
      <c r="M146" s="4"/>
      <c r="N146" s="4"/>
      <c r="O146" s="5"/>
      <c r="P146" s="6"/>
      <c r="Q146" s="3"/>
      <c r="R146" s="2"/>
      <c r="S146" s="2"/>
      <c r="T146" s="2"/>
      <c r="U146" s="2"/>
      <c r="V146" s="3"/>
      <c r="W146" s="2"/>
      <c r="X146" s="2"/>
      <c r="Y146" s="2"/>
      <c r="Z146" s="2"/>
      <c r="AA146" s="3"/>
      <c r="AB146" s="2"/>
      <c r="AC146" s="2"/>
      <c r="AD146" s="2"/>
      <c r="AE146" s="2"/>
      <c r="AF146" s="3"/>
      <c r="AG146" s="2"/>
      <c r="AH146" s="2"/>
      <c r="AI146" s="2"/>
      <c r="AJ146" s="2"/>
      <c r="AK146" s="3"/>
      <c r="AL146" s="2"/>
      <c r="AM146" s="2"/>
      <c r="AN146" s="2"/>
      <c r="AO146" s="2"/>
      <c r="AP146" s="3"/>
      <c r="AQ146" s="2"/>
      <c r="AR146" s="2"/>
      <c r="AS146" s="2"/>
      <c r="AT146" s="7"/>
      <c r="AU146" s="2"/>
      <c r="AV146" s="2"/>
      <c r="AW146" s="2"/>
      <c r="AX146" s="2"/>
    </row>
    <row r="147">
      <c r="A147" s="2"/>
      <c r="B147" s="2"/>
      <c r="C147" s="2"/>
      <c r="D147" s="2"/>
      <c r="E147" s="2"/>
      <c r="F147" s="2"/>
      <c r="G147" s="2"/>
      <c r="H147" s="2"/>
      <c r="I147" s="2"/>
      <c r="J147" s="2"/>
      <c r="K147" s="2"/>
      <c r="L147" s="3"/>
      <c r="M147" s="4"/>
      <c r="N147" s="4"/>
      <c r="O147" s="5"/>
      <c r="P147" s="6"/>
      <c r="Q147" s="3"/>
      <c r="R147" s="2"/>
      <c r="S147" s="2"/>
      <c r="T147" s="2"/>
      <c r="U147" s="2"/>
      <c r="V147" s="3"/>
      <c r="W147" s="2"/>
      <c r="X147" s="2"/>
      <c r="Y147" s="2"/>
      <c r="Z147" s="2"/>
      <c r="AA147" s="3"/>
      <c r="AB147" s="2"/>
      <c r="AC147" s="2"/>
      <c r="AD147" s="2"/>
      <c r="AE147" s="2"/>
      <c r="AF147" s="3"/>
      <c r="AG147" s="2"/>
      <c r="AH147" s="2"/>
      <c r="AI147" s="2"/>
      <c r="AJ147" s="2"/>
      <c r="AK147" s="3"/>
      <c r="AL147" s="2"/>
      <c r="AM147" s="2"/>
      <c r="AN147" s="2"/>
      <c r="AO147" s="2"/>
      <c r="AP147" s="3"/>
      <c r="AQ147" s="2"/>
      <c r="AR147" s="2"/>
      <c r="AS147" s="2"/>
      <c r="AT147" s="7"/>
      <c r="AU147" s="2"/>
      <c r="AV147" s="2"/>
      <c r="AW147" s="2"/>
      <c r="AX147" s="2"/>
    </row>
    <row r="148">
      <c r="A148" s="2"/>
      <c r="B148" s="2"/>
      <c r="C148" s="2"/>
      <c r="D148" s="2"/>
      <c r="E148" s="2"/>
      <c r="F148" s="2"/>
      <c r="G148" s="2"/>
      <c r="H148" s="2"/>
      <c r="I148" s="2"/>
      <c r="J148" s="2"/>
      <c r="K148" s="2"/>
      <c r="L148" s="3"/>
      <c r="M148" s="4"/>
      <c r="N148" s="4"/>
      <c r="O148" s="5"/>
      <c r="P148" s="6"/>
      <c r="Q148" s="3"/>
      <c r="R148" s="2"/>
      <c r="S148" s="2"/>
      <c r="T148" s="2"/>
      <c r="U148" s="2"/>
      <c r="V148" s="3"/>
      <c r="W148" s="2"/>
      <c r="X148" s="2"/>
      <c r="Y148" s="2"/>
      <c r="Z148" s="2"/>
      <c r="AA148" s="3"/>
      <c r="AB148" s="2"/>
      <c r="AC148" s="2"/>
      <c r="AD148" s="2"/>
      <c r="AE148" s="2"/>
      <c r="AF148" s="3"/>
      <c r="AG148" s="2"/>
      <c r="AH148" s="2"/>
      <c r="AI148" s="2"/>
      <c r="AJ148" s="2"/>
      <c r="AK148" s="3"/>
      <c r="AL148" s="2"/>
      <c r="AM148" s="2"/>
      <c r="AN148" s="2"/>
      <c r="AO148" s="2"/>
      <c r="AP148" s="3"/>
      <c r="AQ148" s="2"/>
      <c r="AR148" s="2"/>
      <c r="AS148" s="2"/>
      <c r="AT148" s="7"/>
      <c r="AU148" s="2"/>
      <c r="AV148" s="2"/>
      <c r="AW148" s="2"/>
      <c r="AX148" s="2"/>
    </row>
    <row r="149">
      <c r="A149" s="2"/>
      <c r="B149" s="2"/>
      <c r="C149" s="2"/>
      <c r="D149" s="2"/>
      <c r="E149" s="2"/>
      <c r="F149" s="2"/>
      <c r="G149" s="2"/>
      <c r="H149" s="2"/>
      <c r="I149" s="2"/>
      <c r="J149" s="2"/>
      <c r="K149" s="2"/>
      <c r="L149" s="3"/>
      <c r="M149" s="4"/>
      <c r="N149" s="4"/>
      <c r="O149" s="5"/>
      <c r="P149" s="6"/>
      <c r="Q149" s="3"/>
      <c r="R149" s="2"/>
      <c r="S149" s="2"/>
      <c r="T149" s="2"/>
      <c r="U149" s="2"/>
      <c r="V149" s="3"/>
      <c r="W149" s="2"/>
      <c r="X149" s="2"/>
      <c r="Y149" s="2"/>
      <c r="Z149" s="2"/>
      <c r="AA149" s="3"/>
      <c r="AB149" s="2"/>
      <c r="AC149" s="2"/>
      <c r="AD149" s="2"/>
      <c r="AE149" s="2"/>
      <c r="AF149" s="3"/>
      <c r="AG149" s="2"/>
      <c r="AH149" s="2"/>
      <c r="AI149" s="2"/>
      <c r="AJ149" s="2"/>
      <c r="AK149" s="3"/>
      <c r="AL149" s="2"/>
      <c r="AM149" s="2"/>
      <c r="AN149" s="2"/>
      <c r="AO149" s="2"/>
      <c r="AP149" s="3"/>
      <c r="AQ149" s="2"/>
      <c r="AR149" s="2"/>
      <c r="AS149" s="2"/>
      <c r="AT149" s="7"/>
      <c r="AU149" s="2"/>
      <c r="AV149" s="2"/>
      <c r="AW149" s="2"/>
      <c r="AX149" s="2"/>
    </row>
    <row r="150">
      <c r="A150" s="2"/>
      <c r="B150" s="2"/>
      <c r="C150" s="2"/>
      <c r="D150" s="2"/>
      <c r="E150" s="2"/>
      <c r="F150" s="2"/>
      <c r="G150" s="2"/>
      <c r="H150" s="2"/>
      <c r="I150" s="2"/>
      <c r="J150" s="2"/>
      <c r="K150" s="2"/>
      <c r="L150" s="3"/>
      <c r="M150" s="4"/>
      <c r="N150" s="4"/>
      <c r="O150" s="5"/>
      <c r="P150" s="6"/>
      <c r="Q150" s="3"/>
      <c r="R150" s="2"/>
      <c r="S150" s="2"/>
      <c r="T150" s="2"/>
      <c r="U150" s="2"/>
      <c r="V150" s="3"/>
      <c r="W150" s="2"/>
      <c r="X150" s="2"/>
      <c r="Y150" s="2"/>
      <c r="Z150" s="2"/>
      <c r="AA150" s="3"/>
      <c r="AB150" s="2"/>
      <c r="AC150" s="2"/>
      <c r="AD150" s="2"/>
      <c r="AE150" s="2"/>
      <c r="AF150" s="3"/>
      <c r="AG150" s="2"/>
      <c r="AH150" s="2"/>
      <c r="AI150" s="2"/>
      <c r="AJ150" s="2"/>
      <c r="AK150" s="3"/>
      <c r="AL150" s="2"/>
      <c r="AM150" s="2"/>
      <c r="AN150" s="2"/>
      <c r="AO150" s="2"/>
      <c r="AP150" s="3"/>
      <c r="AQ150" s="2"/>
      <c r="AR150" s="2"/>
      <c r="AS150" s="2"/>
      <c r="AT150" s="7"/>
      <c r="AU150" s="2"/>
      <c r="AV150" s="2"/>
      <c r="AW150" s="2"/>
      <c r="AX150" s="2"/>
    </row>
    <row r="151">
      <c r="A151" s="2"/>
      <c r="B151" s="2"/>
      <c r="C151" s="2"/>
      <c r="D151" s="2"/>
      <c r="E151" s="2"/>
      <c r="F151" s="2"/>
      <c r="G151" s="2"/>
      <c r="H151" s="2"/>
      <c r="I151" s="2"/>
      <c r="J151" s="2"/>
      <c r="K151" s="2"/>
      <c r="L151" s="3"/>
      <c r="M151" s="4"/>
      <c r="N151" s="4"/>
      <c r="O151" s="5"/>
      <c r="P151" s="6"/>
      <c r="Q151" s="3"/>
      <c r="R151" s="2"/>
      <c r="S151" s="2"/>
      <c r="T151" s="2"/>
      <c r="U151" s="2"/>
      <c r="V151" s="3"/>
      <c r="W151" s="2"/>
      <c r="X151" s="2"/>
      <c r="Y151" s="2"/>
      <c r="Z151" s="2"/>
      <c r="AA151" s="3"/>
      <c r="AB151" s="2"/>
      <c r="AC151" s="2"/>
      <c r="AD151" s="2"/>
      <c r="AE151" s="2"/>
      <c r="AF151" s="3"/>
      <c r="AG151" s="2"/>
      <c r="AH151" s="2"/>
      <c r="AI151" s="2"/>
      <c r="AJ151" s="2"/>
      <c r="AK151" s="3"/>
      <c r="AL151" s="2"/>
      <c r="AM151" s="2"/>
      <c r="AN151" s="2"/>
      <c r="AO151" s="2"/>
      <c r="AP151" s="3"/>
      <c r="AQ151" s="2"/>
      <c r="AR151" s="2"/>
      <c r="AS151" s="2"/>
      <c r="AT151" s="7"/>
      <c r="AU151" s="2"/>
      <c r="AV151" s="2"/>
      <c r="AW151" s="2"/>
      <c r="AX151" s="2"/>
    </row>
    <row r="152">
      <c r="A152" s="2"/>
      <c r="B152" s="2"/>
      <c r="C152" s="2"/>
      <c r="D152" s="2"/>
      <c r="E152" s="2"/>
      <c r="F152" s="2"/>
      <c r="G152" s="2"/>
      <c r="H152" s="2"/>
      <c r="I152" s="2"/>
      <c r="J152" s="2"/>
      <c r="K152" s="2"/>
      <c r="L152" s="3"/>
      <c r="M152" s="4"/>
      <c r="N152" s="4"/>
      <c r="O152" s="5"/>
      <c r="P152" s="6"/>
      <c r="Q152" s="3"/>
      <c r="R152" s="2"/>
      <c r="S152" s="2"/>
      <c r="T152" s="2"/>
      <c r="U152" s="2"/>
      <c r="V152" s="3"/>
      <c r="W152" s="2"/>
      <c r="X152" s="2"/>
      <c r="Y152" s="2"/>
      <c r="Z152" s="2"/>
      <c r="AA152" s="3"/>
      <c r="AB152" s="2"/>
      <c r="AC152" s="2"/>
      <c r="AD152" s="2"/>
      <c r="AE152" s="2"/>
      <c r="AF152" s="3"/>
      <c r="AG152" s="2"/>
      <c r="AH152" s="2"/>
      <c r="AI152" s="2"/>
      <c r="AJ152" s="2"/>
      <c r="AK152" s="3"/>
      <c r="AL152" s="2"/>
      <c r="AM152" s="2"/>
      <c r="AN152" s="2"/>
      <c r="AO152" s="2"/>
      <c r="AP152" s="3"/>
      <c r="AQ152" s="2"/>
      <c r="AR152" s="2"/>
      <c r="AS152" s="2"/>
      <c r="AT152" s="7"/>
      <c r="AU152" s="2"/>
      <c r="AV152" s="2"/>
      <c r="AW152" s="2"/>
      <c r="AX152" s="2"/>
    </row>
    <row r="153">
      <c r="A153" s="2"/>
      <c r="B153" s="2"/>
      <c r="C153" s="2"/>
      <c r="D153" s="2"/>
      <c r="E153" s="2"/>
      <c r="F153" s="2"/>
      <c r="G153" s="2"/>
      <c r="H153" s="2"/>
      <c r="I153" s="2"/>
      <c r="J153" s="2"/>
      <c r="K153" s="2"/>
      <c r="L153" s="3"/>
      <c r="M153" s="4"/>
      <c r="N153" s="4"/>
      <c r="O153" s="5"/>
      <c r="P153" s="6"/>
      <c r="Q153" s="3"/>
      <c r="R153" s="2"/>
      <c r="S153" s="2"/>
      <c r="T153" s="2"/>
      <c r="U153" s="2"/>
      <c r="V153" s="3"/>
      <c r="W153" s="2"/>
      <c r="X153" s="2"/>
      <c r="Y153" s="2"/>
      <c r="Z153" s="2"/>
      <c r="AA153" s="3"/>
      <c r="AB153" s="2"/>
      <c r="AC153" s="2"/>
      <c r="AD153" s="2"/>
      <c r="AE153" s="2"/>
      <c r="AF153" s="3"/>
      <c r="AG153" s="2"/>
      <c r="AH153" s="2"/>
      <c r="AI153" s="2"/>
      <c r="AJ153" s="2"/>
      <c r="AK153" s="3"/>
      <c r="AL153" s="2"/>
      <c r="AM153" s="2"/>
      <c r="AN153" s="2"/>
      <c r="AO153" s="2"/>
      <c r="AP153" s="3"/>
      <c r="AQ153" s="2"/>
      <c r="AR153" s="2"/>
      <c r="AS153" s="2"/>
      <c r="AT153" s="7"/>
      <c r="AU153" s="2"/>
      <c r="AV153" s="2"/>
      <c r="AW153" s="2"/>
      <c r="AX153" s="2"/>
    </row>
    <row r="154">
      <c r="A154" s="2"/>
      <c r="B154" s="2"/>
      <c r="C154" s="2"/>
      <c r="D154" s="2"/>
      <c r="E154" s="2"/>
      <c r="F154" s="2"/>
      <c r="G154" s="2"/>
      <c r="H154" s="2"/>
      <c r="I154" s="2"/>
      <c r="J154" s="2"/>
      <c r="K154" s="2"/>
      <c r="L154" s="3"/>
      <c r="M154" s="4"/>
      <c r="N154" s="4"/>
      <c r="O154" s="5"/>
      <c r="P154" s="6"/>
      <c r="Q154" s="3"/>
      <c r="R154" s="2"/>
      <c r="S154" s="2"/>
      <c r="T154" s="2"/>
      <c r="U154" s="2"/>
      <c r="V154" s="3"/>
      <c r="W154" s="2"/>
      <c r="X154" s="2"/>
      <c r="Y154" s="2"/>
      <c r="Z154" s="2"/>
      <c r="AA154" s="3"/>
      <c r="AB154" s="2"/>
      <c r="AC154" s="2"/>
      <c r="AD154" s="2"/>
      <c r="AE154" s="2"/>
      <c r="AF154" s="3"/>
      <c r="AG154" s="2"/>
      <c r="AH154" s="2"/>
      <c r="AI154" s="2"/>
      <c r="AJ154" s="2"/>
      <c r="AK154" s="3"/>
      <c r="AL154" s="2"/>
      <c r="AM154" s="2"/>
      <c r="AN154" s="2"/>
      <c r="AO154" s="2"/>
      <c r="AP154" s="3"/>
      <c r="AQ154" s="2"/>
      <c r="AR154" s="2"/>
      <c r="AS154" s="2"/>
      <c r="AT154" s="7"/>
      <c r="AU154" s="2"/>
      <c r="AV154" s="2"/>
      <c r="AW154" s="2"/>
      <c r="AX154" s="2"/>
    </row>
    <row r="155">
      <c r="A155" s="2"/>
      <c r="B155" s="2"/>
      <c r="C155" s="2"/>
      <c r="D155" s="2"/>
      <c r="E155" s="2"/>
      <c r="F155" s="2"/>
      <c r="G155" s="2"/>
      <c r="H155" s="2"/>
      <c r="I155" s="2"/>
      <c r="J155" s="2"/>
      <c r="K155" s="2"/>
      <c r="L155" s="3"/>
      <c r="M155" s="4"/>
      <c r="N155" s="4"/>
      <c r="O155" s="5"/>
      <c r="P155" s="6"/>
      <c r="Q155" s="3"/>
      <c r="R155" s="2"/>
      <c r="S155" s="2"/>
      <c r="T155" s="2"/>
      <c r="U155" s="2"/>
      <c r="V155" s="3"/>
      <c r="W155" s="2"/>
      <c r="X155" s="2"/>
      <c r="Y155" s="2"/>
      <c r="Z155" s="2"/>
      <c r="AA155" s="3"/>
      <c r="AB155" s="2"/>
      <c r="AC155" s="2"/>
      <c r="AD155" s="2"/>
      <c r="AE155" s="2"/>
      <c r="AF155" s="3"/>
      <c r="AG155" s="2"/>
      <c r="AH155" s="2"/>
      <c r="AI155" s="2"/>
      <c r="AJ155" s="2"/>
      <c r="AK155" s="3"/>
      <c r="AL155" s="2"/>
      <c r="AM155" s="2"/>
      <c r="AN155" s="2"/>
      <c r="AO155" s="2"/>
      <c r="AP155" s="3"/>
      <c r="AQ155" s="2"/>
      <c r="AR155" s="2"/>
      <c r="AS155" s="2"/>
      <c r="AT155" s="7"/>
      <c r="AU155" s="2"/>
      <c r="AV155" s="2"/>
      <c r="AW155" s="2"/>
      <c r="AX155" s="2"/>
    </row>
    <row r="156">
      <c r="A156" s="2"/>
      <c r="B156" s="2"/>
      <c r="C156" s="2"/>
      <c r="D156" s="2"/>
      <c r="E156" s="2"/>
      <c r="F156" s="2"/>
      <c r="G156" s="2"/>
      <c r="H156" s="2"/>
      <c r="I156" s="2"/>
      <c r="J156" s="2"/>
      <c r="K156" s="2"/>
      <c r="L156" s="3"/>
      <c r="M156" s="4"/>
      <c r="N156" s="4"/>
      <c r="O156" s="5"/>
      <c r="P156" s="6"/>
      <c r="Q156" s="3"/>
      <c r="R156" s="2"/>
      <c r="S156" s="2"/>
      <c r="T156" s="2"/>
      <c r="U156" s="2"/>
      <c r="V156" s="3"/>
      <c r="W156" s="2"/>
      <c r="X156" s="2"/>
      <c r="Y156" s="2"/>
      <c r="Z156" s="2"/>
      <c r="AA156" s="3"/>
      <c r="AB156" s="2"/>
      <c r="AC156" s="2"/>
      <c r="AD156" s="2"/>
      <c r="AE156" s="2"/>
      <c r="AF156" s="3"/>
      <c r="AG156" s="2"/>
      <c r="AH156" s="2"/>
      <c r="AI156" s="2"/>
      <c r="AJ156" s="2"/>
      <c r="AK156" s="3"/>
      <c r="AL156" s="2"/>
      <c r="AM156" s="2"/>
      <c r="AN156" s="2"/>
      <c r="AO156" s="2"/>
      <c r="AP156" s="3"/>
      <c r="AQ156" s="2"/>
      <c r="AR156" s="2"/>
      <c r="AS156" s="2"/>
      <c r="AT156" s="7"/>
      <c r="AU156" s="2"/>
      <c r="AV156" s="2"/>
      <c r="AW156" s="2"/>
      <c r="AX156" s="2"/>
    </row>
    <row r="157">
      <c r="A157" s="2"/>
      <c r="B157" s="2"/>
      <c r="C157" s="2"/>
      <c r="D157" s="2"/>
      <c r="E157" s="2"/>
      <c r="F157" s="2"/>
      <c r="G157" s="2"/>
      <c r="H157" s="2"/>
      <c r="I157" s="2"/>
      <c r="J157" s="2"/>
      <c r="K157" s="2"/>
      <c r="L157" s="3"/>
      <c r="M157" s="4"/>
      <c r="N157" s="4"/>
      <c r="O157" s="5"/>
      <c r="P157" s="6"/>
      <c r="Q157" s="3"/>
      <c r="R157" s="2"/>
      <c r="S157" s="2"/>
      <c r="T157" s="2"/>
      <c r="U157" s="2"/>
      <c r="V157" s="3"/>
      <c r="W157" s="2"/>
      <c r="X157" s="2"/>
      <c r="Y157" s="2"/>
      <c r="Z157" s="2"/>
      <c r="AA157" s="3"/>
      <c r="AB157" s="2"/>
      <c r="AC157" s="2"/>
      <c r="AD157" s="2"/>
      <c r="AE157" s="2"/>
      <c r="AF157" s="3"/>
      <c r="AG157" s="2"/>
      <c r="AH157" s="2"/>
      <c r="AI157" s="2"/>
      <c r="AJ157" s="2"/>
      <c r="AK157" s="3"/>
      <c r="AL157" s="2"/>
      <c r="AM157" s="2"/>
      <c r="AN157" s="2"/>
      <c r="AO157" s="2"/>
      <c r="AP157" s="3"/>
      <c r="AQ157" s="2"/>
      <c r="AR157" s="2"/>
      <c r="AS157" s="2"/>
      <c r="AT157" s="7"/>
      <c r="AU157" s="2"/>
      <c r="AV157" s="2"/>
      <c r="AW157" s="2"/>
      <c r="AX157" s="2"/>
    </row>
    <row r="158">
      <c r="A158" s="2"/>
      <c r="B158" s="2"/>
      <c r="C158" s="2"/>
      <c r="D158" s="2"/>
      <c r="E158" s="2"/>
      <c r="F158" s="2"/>
      <c r="G158" s="2"/>
      <c r="H158" s="2"/>
      <c r="I158" s="2"/>
      <c r="J158" s="2"/>
      <c r="K158" s="2"/>
      <c r="L158" s="3"/>
      <c r="M158" s="4"/>
      <c r="N158" s="4"/>
      <c r="O158" s="5"/>
      <c r="P158" s="6"/>
      <c r="Q158" s="3"/>
      <c r="R158" s="2"/>
      <c r="S158" s="2"/>
      <c r="T158" s="2"/>
      <c r="U158" s="2"/>
      <c r="V158" s="3"/>
      <c r="W158" s="2"/>
      <c r="X158" s="2"/>
      <c r="Y158" s="2"/>
      <c r="Z158" s="2"/>
      <c r="AA158" s="3"/>
      <c r="AB158" s="2"/>
      <c r="AC158" s="2"/>
      <c r="AD158" s="2"/>
      <c r="AE158" s="2"/>
      <c r="AF158" s="3"/>
      <c r="AG158" s="2"/>
      <c r="AH158" s="2"/>
      <c r="AI158" s="2"/>
      <c r="AJ158" s="2"/>
      <c r="AK158" s="3"/>
      <c r="AL158" s="2"/>
      <c r="AM158" s="2"/>
      <c r="AN158" s="2"/>
      <c r="AO158" s="2"/>
      <c r="AP158" s="3"/>
      <c r="AQ158" s="2"/>
      <c r="AR158" s="2"/>
      <c r="AS158" s="2"/>
      <c r="AT158" s="7"/>
      <c r="AU158" s="2"/>
      <c r="AV158" s="2"/>
      <c r="AW158" s="2"/>
      <c r="AX158" s="2"/>
    </row>
    <row r="159">
      <c r="A159" s="2"/>
      <c r="B159" s="2"/>
      <c r="C159" s="2"/>
      <c r="D159" s="2"/>
      <c r="E159" s="2"/>
      <c r="F159" s="2"/>
      <c r="G159" s="2"/>
      <c r="H159" s="2"/>
      <c r="I159" s="2"/>
      <c r="J159" s="2"/>
      <c r="K159" s="2"/>
      <c r="L159" s="3"/>
      <c r="M159" s="4"/>
      <c r="N159" s="4"/>
      <c r="O159" s="5"/>
      <c r="P159" s="6"/>
      <c r="Q159" s="3"/>
      <c r="R159" s="2"/>
      <c r="S159" s="2"/>
      <c r="T159" s="2"/>
      <c r="U159" s="2"/>
      <c r="V159" s="3"/>
      <c r="W159" s="2"/>
      <c r="X159" s="2"/>
      <c r="Y159" s="2"/>
      <c r="Z159" s="2"/>
      <c r="AA159" s="3"/>
      <c r="AB159" s="2"/>
      <c r="AC159" s="2"/>
      <c r="AD159" s="2"/>
      <c r="AE159" s="2"/>
      <c r="AF159" s="3"/>
      <c r="AG159" s="2"/>
      <c r="AH159" s="2"/>
      <c r="AI159" s="2"/>
      <c r="AJ159" s="2"/>
      <c r="AK159" s="3"/>
      <c r="AL159" s="2"/>
      <c r="AM159" s="2"/>
      <c r="AN159" s="2"/>
      <c r="AO159" s="2"/>
      <c r="AP159" s="3"/>
      <c r="AQ159" s="2"/>
      <c r="AR159" s="2"/>
      <c r="AS159" s="2"/>
      <c r="AT159" s="7"/>
      <c r="AU159" s="2"/>
      <c r="AV159" s="2"/>
      <c r="AW159" s="2"/>
      <c r="AX159" s="2"/>
    </row>
    <row r="160">
      <c r="A160" s="2"/>
      <c r="B160" s="2"/>
      <c r="C160" s="2"/>
      <c r="D160" s="2"/>
      <c r="E160" s="2"/>
      <c r="F160" s="2"/>
      <c r="G160" s="2"/>
      <c r="H160" s="2"/>
      <c r="I160" s="2"/>
      <c r="J160" s="2"/>
      <c r="K160" s="2"/>
      <c r="L160" s="3"/>
      <c r="M160" s="4"/>
      <c r="N160" s="4"/>
      <c r="O160" s="5"/>
      <c r="P160" s="6"/>
      <c r="Q160" s="3"/>
      <c r="R160" s="2"/>
      <c r="S160" s="2"/>
      <c r="T160" s="2"/>
      <c r="U160" s="2"/>
      <c r="V160" s="3"/>
      <c r="W160" s="2"/>
      <c r="X160" s="2"/>
      <c r="Y160" s="2"/>
      <c r="Z160" s="2"/>
      <c r="AA160" s="3"/>
      <c r="AB160" s="2"/>
      <c r="AC160" s="2"/>
      <c r="AD160" s="2"/>
      <c r="AE160" s="2"/>
      <c r="AF160" s="3"/>
      <c r="AG160" s="2"/>
      <c r="AH160" s="2"/>
      <c r="AI160" s="2"/>
      <c r="AJ160" s="2"/>
      <c r="AK160" s="3"/>
      <c r="AL160" s="2"/>
      <c r="AM160" s="2"/>
      <c r="AN160" s="2"/>
      <c r="AO160" s="2"/>
      <c r="AP160" s="3"/>
      <c r="AQ160" s="2"/>
      <c r="AR160" s="2"/>
      <c r="AS160" s="2"/>
      <c r="AT160" s="7"/>
      <c r="AU160" s="2"/>
      <c r="AV160" s="2"/>
      <c r="AW160" s="2"/>
      <c r="AX160" s="2"/>
    </row>
    <row r="161">
      <c r="A161" s="2"/>
      <c r="B161" s="2"/>
      <c r="C161" s="2"/>
      <c r="D161" s="2"/>
      <c r="E161" s="2"/>
      <c r="F161" s="2"/>
      <c r="G161" s="2"/>
      <c r="H161" s="2"/>
      <c r="I161" s="2"/>
      <c r="J161" s="2"/>
      <c r="K161" s="2"/>
      <c r="L161" s="3"/>
      <c r="M161" s="4"/>
      <c r="N161" s="4"/>
      <c r="O161" s="5"/>
      <c r="P161" s="6"/>
      <c r="Q161" s="3"/>
      <c r="R161" s="2"/>
      <c r="S161" s="2"/>
      <c r="T161" s="2"/>
      <c r="U161" s="2"/>
      <c r="V161" s="3"/>
      <c r="W161" s="2"/>
      <c r="X161" s="2"/>
      <c r="Y161" s="2"/>
      <c r="Z161" s="2"/>
      <c r="AA161" s="3"/>
      <c r="AB161" s="2"/>
      <c r="AC161" s="2"/>
      <c r="AD161" s="2"/>
      <c r="AE161" s="2"/>
      <c r="AF161" s="3"/>
      <c r="AG161" s="2"/>
      <c r="AH161" s="2"/>
      <c r="AI161" s="2"/>
      <c r="AJ161" s="2"/>
      <c r="AK161" s="3"/>
      <c r="AL161" s="2"/>
      <c r="AM161" s="2"/>
      <c r="AN161" s="2"/>
      <c r="AO161" s="2"/>
      <c r="AP161" s="3"/>
      <c r="AQ161" s="2"/>
      <c r="AR161" s="2"/>
      <c r="AS161" s="2"/>
      <c r="AT161" s="7"/>
      <c r="AU161" s="2"/>
      <c r="AV161" s="2"/>
      <c r="AW161" s="2"/>
      <c r="AX161" s="2"/>
    </row>
    <row r="162">
      <c r="A162" s="2"/>
      <c r="B162" s="2"/>
      <c r="C162" s="2"/>
      <c r="D162" s="2"/>
      <c r="E162" s="2"/>
      <c r="F162" s="2"/>
      <c r="G162" s="2"/>
      <c r="H162" s="2"/>
      <c r="I162" s="2"/>
      <c r="J162" s="2"/>
      <c r="K162" s="2"/>
      <c r="L162" s="3"/>
      <c r="M162" s="4"/>
      <c r="N162" s="4"/>
      <c r="O162" s="5"/>
      <c r="P162" s="6"/>
      <c r="Q162" s="3"/>
      <c r="R162" s="2"/>
      <c r="S162" s="2"/>
      <c r="T162" s="2"/>
      <c r="U162" s="2"/>
      <c r="V162" s="3"/>
      <c r="W162" s="2"/>
      <c r="X162" s="2"/>
      <c r="Y162" s="2"/>
      <c r="Z162" s="2"/>
      <c r="AA162" s="3"/>
      <c r="AB162" s="2"/>
      <c r="AC162" s="2"/>
      <c r="AD162" s="2"/>
      <c r="AE162" s="2"/>
      <c r="AF162" s="3"/>
      <c r="AG162" s="2"/>
      <c r="AH162" s="2"/>
      <c r="AI162" s="2"/>
      <c r="AJ162" s="2"/>
      <c r="AK162" s="3"/>
      <c r="AL162" s="2"/>
      <c r="AM162" s="2"/>
      <c r="AN162" s="2"/>
      <c r="AO162" s="2"/>
      <c r="AP162" s="3"/>
      <c r="AQ162" s="2"/>
      <c r="AR162" s="2"/>
      <c r="AS162" s="2"/>
      <c r="AT162" s="7"/>
      <c r="AU162" s="2"/>
      <c r="AV162" s="2"/>
      <c r="AW162" s="2"/>
      <c r="AX162" s="2"/>
    </row>
    <row r="163">
      <c r="A163" s="2"/>
      <c r="B163" s="2"/>
      <c r="C163" s="2"/>
      <c r="D163" s="2"/>
      <c r="E163" s="2"/>
      <c r="F163" s="2"/>
      <c r="G163" s="2"/>
      <c r="H163" s="2"/>
      <c r="I163" s="2"/>
      <c r="J163" s="2"/>
      <c r="K163" s="2"/>
      <c r="L163" s="3"/>
      <c r="M163" s="4"/>
      <c r="N163" s="4"/>
      <c r="O163" s="5"/>
      <c r="P163" s="6"/>
      <c r="Q163" s="3"/>
      <c r="R163" s="2"/>
      <c r="S163" s="2"/>
      <c r="T163" s="2"/>
      <c r="U163" s="2"/>
      <c r="V163" s="3"/>
      <c r="W163" s="2"/>
      <c r="X163" s="2"/>
      <c r="Y163" s="2"/>
      <c r="Z163" s="2"/>
      <c r="AA163" s="3"/>
      <c r="AB163" s="2"/>
      <c r="AC163" s="2"/>
      <c r="AD163" s="2"/>
      <c r="AE163" s="2"/>
      <c r="AF163" s="3"/>
      <c r="AG163" s="2"/>
      <c r="AH163" s="2"/>
      <c r="AI163" s="2"/>
      <c r="AJ163" s="2"/>
      <c r="AK163" s="3"/>
      <c r="AL163" s="2"/>
      <c r="AM163" s="2"/>
      <c r="AN163" s="2"/>
      <c r="AO163" s="2"/>
      <c r="AP163" s="3"/>
      <c r="AQ163" s="2"/>
      <c r="AR163" s="2"/>
      <c r="AS163" s="2"/>
      <c r="AT163" s="7"/>
      <c r="AU163" s="2"/>
      <c r="AV163" s="2"/>
      <c r="AW163" s="2"/>
      <c r="AX163" s="2"/>
    </row>
    <row r="164">
      <c r="A164" s="2"/>
      <c r="B164" s="2"/>
      <c r="C164" s="2"/>
      <c r="D164" s="2"/>
      <c r="E164" s="2"/>
      <c r="F164" s="2"/>
      <c r="G164" s="2"/>
      <c r="H164" s="2"/>
      <c r="I164" s="2"/>
      <c r="J164" s="2"/>
      <c r="K164" s="2"/>
      <c r="L164" s="3"/>
      <c r="M164" s="4"/>
      <c r="N164" s="4"/>
      <c r="O164" s="5"/>
      <c r="P164" s="6"/>
      <c r="Q164" s="3"/>
      <c r="R164" s="2"/>
      <c r="S164" s="2"/>
      <c r="T164" s="2"/>
      <c r="U164" s="2"/>
      <c r="V164" s="3"/>
      <c r="W164" s="2"/>
      <c r="X164" s="2"/>
      <c r="Y164" s="2"/>
      <c r="Z164" s="2"/>
      <c r="AA164" s="3"/>
      <c r="AB164" s="2"/>
      <c r="AC164" s="2"/>
      <c r="AD164" s="2"/>
      <c r="AE164" s="2"/>
      <c r="AF164" s="3"/>
      <c r="AG164" s="2"/>
      <c r="AH164" s="2"/>
      <c r="AI164" s="2"/>
      <c r="AJ164" s="2"/>
      <c r="AK164" s="3"/>
      <c r="AL164" s="2"/>
      <c r="AM164" s="2"/>
      <c r="AN164" s="2"/>
      <c r="AO164" s="2"/>
      <c r="AP164" s="3"/>
      <c r="AQ164" s="2"/>
      <c r="AR164" s="2"/>
      <c r="AS164" s="2"/>
      <c r="AT164" s="7"/>
      <c r="AU164" s="2"/>
      <c r="AV164" s="2"/>
      <c r="AW164" s="2"/>
      <c r="AX164" s="2"/>
    </row>
    <row r="165">
      <c r="A165" s="2"/>
      <c r="B165" s="2"/>
      <c r="C165" s="2"/>
      <c r="D165" s="2"/>
      <c r="E165" s="2"/>
      <c r="F165" s="2"/>
      <c r="G165" s="2"/>
      <c r="H165" s="2"/>
      <c r="I165" s="2"/>
      <c r="J165" s="2"/>
      <c r="K165" s="2"/>
      <c r="L165" s="3"/>
      <c r="M165" s="4"/>
      <c r="N165" s="4"/>
      <c r="O165" s="5"/>
      <c r="P165" s="6"/>
      <c r="Q165" s="3"/>
      <c r="R165" s="2"/>
      <c r="S165" s="2"/>
      <c r="T165" s="2"/>
      <c r="U165" s="2"/>
      <c r="V165" s="3"/>
      <c r="W165" s="2"/>
      <c r="X165" s="2"/>
      <c r="Y165" s="2"/>
      <c r="Z165" s="2"/>
      <c r="AA165" s="3"/>
      <c r="AB165" s="2"/>
      <c r="AC165" s="2"/>
      <c r="AD165" s="2"/>
      <c r="AE165" s="2"/>
      <c r="AF165" s="3"/>
      <c r="AG165" s="2"/>
      <c r="AH165" s="2"/>
      <c r="AI165" s="2"/>
      <c r="AJ165" s="2"/>
      <c r="AK165" s="3"/>
      <c r="AL165" s="2"/>
      <c r="AM165" s="2"/>
      <c r="AN165" s="2"/>
      <c r="AO165" s="2"/>
      <c r="AP165" s="3"/>
      <c r="AQ165" s="2"/>
      <c r="AR165" s="2"/>
      <c r="AS165" s="2"/>
      <c r="AT165" s="7"/>
      <c r="AU165" s="2"/>
      <c r="AV165" s="2"/>
      <c r="AW165" s="2"/>
      <c r="AX165" s="2"/>
    </row>
    <row r="166">
      <c r="A166" s="2"/>
      <c r="B166" s="2"/>
      <c r="C166" s="2"/>
      <c r="D166" s="2"/>
      <c r="E166" s="2"/>
      <c r="F166" s="2"/>
      <c r="G166" s="2"/>
      <c r="H166" s="2"/>
      <c r="I166" s="2"/>
      <c r="J166" s="2"/>
      <c r="K166" s="2"/>
      <c r="L166" s="3"/>
      <c r="M166" s="4"/>
      <c r="N166" s="4"/>
      <c r="O166" s="5"/>
      <c r="P166" s="6"/>
      <c r="Q166" s="3"/>
      <c r="R166" s="2"/>
      <c r="S166" s="2"/>
      <c r="T166" s="2"/>
      <c r="U166" s="2"/>
      <c r="V166" s="3"/>
      <c r="W166" s="2"/>
      <c r="X166" s="2"/>
      <c r="Y166" s="2"/>
      <c r="Z166" s="2"/>
      <c r="AA166" s="3"/>
      <c r="AB166" s="2"/>
      <c r="AC166" s="2"/>
      <c r="AD166" s="2"/>
      <c r="AE166" s="2"/>
      <c r="AF166" s="3"/>
      <c r="AG166" s="2"/>
      <c r="AH166" s="2"/>
      <c r="AI166" s="2"/>
      <c r="AJ166" s="2"/>
      <c r="AK166" s="3"/>
      <c r="AL166" s="2"/>
      <c r="AM166" s="2"/>
      <c r="AN166" s="2"/>
      <c r="AO166" s="2"/>
      <c r="AP166" s="3"/>
      <c r="AQ166" s="2"/>
      <c r="AR166" s="2"/>
      <c r="AS166" s="2"/>
      <c r="AT166" s="7"/>
      <c r="AU166" s="2"/>
      <c r="AV166" s="2"/>
      <c r="AW166" s="2"/>
      <c r="AX166" s="2"/>
    </row>
    <row r="167">
      <c r="A167" s="2"/>
      <c r="B167" s="2"/>
      <c r="C167" s="2"/>
      <c r="D167" s="2"/>
      <c r="E167" s="2"/>
      <c r="F167" s="2"/>
      <c r="G167" s="2"/>
      <c r="H167" s="2"/>
      <c r="I167" s="2"/>
      <c r="J167" s="2"/>
      <c r="K167" s="2"/>
      <c r="L167" s="3"/>
      <c r="M167" s="4"/>
      <c r="N167" s="4"/>
      <c r="O167" s="5"/>
      <c r="P167" s="6"/>
      <c r="Q167" s="3"/>
      <c r="R167" s="2"/>
      <c r="S167" s="2"/>
      <c r="T167" s="2"/>
      <c r="U167" s="2"/>
      <c r="V167" s="3"/>
      <c r="W167" s="2"/>
      <c r="X167" s="2"/>
      <c r="Y167" s="2"/>
      <c r="Z167" s="2"/>
      <c r="AA167" s="3"/>
      <c r="AB167" s="2"/>
      <c r="AC167" s="2"/>
      <c r="AD167" s="2"/>
      <c r="AE167" s="2"/>
      <c r="AF167" s="3"/>
      <c r="AG167" s="2"/>
      <c r="AH167" s="2"/>
      <c r="AI167" s="2"/>
      <c r="AJ167" s="2"/>
      <c r="AK167" s="3"/>
      <c r="AL167" s="2"/>
      <c r="AM167" s="2"/>
      <c r="AN167" s="2"/>
      <c r="AO167" s="2"/>
      <c r="AP167" s="3"/>
      <c r="AQ167" s="2"/>
      <c r="AR167" s="2"/>
      <c r="AS167" s="2"/>
      <c r="AT167" s="7"/>
      <c r="AU167" s="2"/>
      <c r="AV167" s="2"/>
      <c r="AW167" s="2"/>
      <c r="AX167" s="2"/>
    </row>
    <row r="168">
      <c r="A168" s="2"/>
      <c r="B168" s="2"/>
      <c r="C168" s="2"/>
      <c r="D168" s="2"/>
      <c r="E168" s="2"/>
      <c r="F168" s="2"/>
      <c r="G168" s="2"/>
      <c r="H168" s="2"/>
      <c r="I168" s="2"/>
      <c r="J168" s="2"/>
      <c r="K168" s="2"/>
      <c r="L168" s="3"/>
      <c r="M168" s="4"/>
      <c r="N168" s="4"/>
      <c r="O168" s="5"/>
      <c r="P168" s="6"/>
      <c r="Q168" s="3"/>
      <c r="R168" s="2"/>
      <c r="S168" s="2"/>
      <c r="T168" s="2"/>
      <c r="U168" s="2"/>
      <c r="V168" s="3"/>
      <c r="W168" s="2"/>
      <c r="X168" s="2"/>
      <c r="Y168" s="2"/>
      <c r="Z168" s="2"/>
      <c r="AA168" s="3"/>
      <c r="AB168" s="2"/>
      <c r="AC168" s="2"/>
      <c r="AD168" s="2"/>
      <c r="AE168" s="2"/>
      <c r="AF168" s="3"/>
      <c r="AG168" s="2"/>
      <c r="AH168" s="2"/>
      <c r="AI168" s="2"/>
      <c r="AJ168" s="2"/>
      <c r="AK168" s="3"/>
      <c r="AL168" s="2"/>
      <c r="AM168" s="2"/>
      <c r="AN168" s="2"/>
      <c r="AO168" s="2"/>
      <c r="AP168" s="3"/>
      <c r="AQ168" s="2"/>
      <c r="AR168" s="2"/>
      <c r="AS168" s="2"/>
      <c r="AT168" s="7"/>
      <c r="AU168" s="2"/>
      <c r="AV168" s="2"/>
      <c r="AW168" s="2"/>
      <c r="AX168" s="2"/>
    </row>
    <row r="169">
      <c r="A169" s="2"/>
      <c r="B169" s="2"/>
      <c r="C169" s="2"/>
      <c r="D169" s="2"/>
      <c r="E169" s="2"/>
      <c r="F169" s="2"/>
      <c r="G169" s="2"/>
      <c r="H169" s="2"/>
      <c r="I169" s="2"/>
      <c r="J169" s="2"/>
      <c r="K169" s="2"/>
      <c r="L169" s="3"/>
      <c r="M169" s="4"/>
      <c r="N169" s="4"/>
      <c r="O169" s="5"/>
      <c r="P169" s="6"/>
      <c r="Q169" s="3"/>
      <c r="R169" s="2"/>
      <c r="S169" s="2"/>
      <c r="T169" s="2"/>
      <c r="U169" s="2"/>
      <c r="V169" s="3"/>
      <c r="W169" s="2"/>
      <c r="X169" s="2"/>
      <c r="Y169" s="2"/>
      <c r="Z169" s="2"/>
      <c r="AA169" s="3"/>
      <c r="AB169" s="2"/>
      <c r="AC169" s="2"/>
      <c r="AD169" s="2"/>
      <c r="AE169" s="2"/>
      <c r="AF169" s="3"/>
      <c r="AG169" s="2"/>
      <c r="AH169" s="2"/>
      <c r="AI169" s="2"/>
      <c r="AJ169" s="2"/>
      <c r="AK169" s="3"/>
      <c r="AL169" s="2"/>
      <c r="AM169" s="2"/>
      <c r="AN169" s="2"/>
      <c r="AO169" s="2"/>
      <c r="AP169" s="3"/>
      <c r="AQ169" s="2"/>
      <c r="AR169" s="2"/>
      <c r="AS169" s="2"/>
      <c r="AT169" s="7"/>
      <c r="AU169" s="2"/>
      <c r="AV169" s="2"/>
      <c r="AW169" s="2"/>
      <c r="AX169" s="2"/>
    </row>
    <row r="170">
      <c r="A170" s="2"/>
      <c r="B170" s="2"/>
      <c r="C170" s="2"/>
      <c r="D170" s="2"/>
      <c r="E170" s="2"/>
      <c r="F170" s="2"/>
      <c r="G170" s="2"/>
      <c r="H170" s="2"/>
      <c r="I170" s="2"/>
      <c r="J170" s="2"/>
      <c r="K170" s="2"/>
      <c r="L170" s="3"/>
      <c r="M170" s="4"/>
      <c r="N170" s="4"/>
      <c r="O170" s="5"/>
      <c r="P170" s="6"/>
      <c r="Q170" s="3"/>
      <c r="R170" s="2"/>
      <c r="S170" s="2"/>
      <c r="T170" s="2"/>
      <c r="U170" s="2"/>
      <c r="V170" s="3"/>
      <c r="W170" s="2"/>
      <c r="X170" s="2"/>
      <c r="Y170" s="2"/>
      <c r="Z170" s="2"/>
      <c r="AA170" s="3"/>
      <c r="AB170" s="2"/>
      <c r="AC170" s="2"/>
      <c r="AD170" s="2"/>
      <c r="AE170" s="2"/>
      <c r="AF170" s="3"/>
      <c r="AG170" s="2"/>
      <c r="AH170" s="2"/>
      <c r="AI170" s="2"/>
      <c r="AJ170" s="2"/>
      <c r="AK170" s="3"/>
      <c r="AL170" s="2"/>
      <c r="AM170" s="2"/>
      <c r="AN170" s="2"/>
      <c r="AO170" s="2"/>
      <c r="AP170" s="3"/>
      <c r="AQ170" s="2"/>
      <c r="AR170" s="2"/>
      <c r="AS170" s="2"/>
      <c r="AT170" s="7"/>
      <c r="AU170" s="2"/>
      <c r="AV170" s="2"/>
      <c r="AW170" s="2"/>
      <c r="AX170" s="2"/>
    </row>
    <row r="171">
      <c r="A171" s="2"/>
      <c r="B171" s="2"/>
      <c r="C171" s="2"/>
      <c r="D171" s="2"/>
      <c r="E171" s="2"/>
      <c r="F171" s="2"/>
      <c r="G171" s="2"/>
      <c r="H171" s="2"/>
      <c r="I171" s="2"/>
      <c r="J171" s="2"/>
      <c r="K171" s="2"/>
      <c r="L171" s="3"/>
      <c r="M171" s="4"/>
      <c r="N171" s="4"/>
      <c r="O171" s="5"/>
      <c r="P171" s="6"/>
      <c r="Q171" s="3"/>
      <c r="R171" s="2"/>
      <c r="S171" s="2"/>
      <c r="T171" s="2"/>
      <c r="U171" s="2"/>
      <c r="V171" s="3"/>
      <c r="W171" s="2"/>
      <c r="X171" s="2"/>
      <c r="Y171" s="2"/>
      <c r="Z171" s="2"/>
      <c r="AA171" s="3"/>
      <c r="AB171" s="2"/>
      <c r="AC171" s="2"/>
      <c r="AD171" s="2"/>
      <c r="AE171" s="2"/>
      <c r="AF171" s="3"/>
      <c r="AG171" s="2"/>
      <c r="AH171" s="2"/>
      <c r="AI171" s="2"/>
      <c r="AJ171" s="2"/>
      <c r="AK171" s="3"/>
      <c r="AL171" s="2"/>
      <c r="AM171" s="2"/>
      <c r="AN171" s="2"/>
      <c r="AO171" s="2"/>
      <c r="AP171" s="3"/>
      <c r="AQ171" s="2"/>
      <c r="AR171" s="2"/>
      <c r="AS171" s="2"/>
      <c r="AT171" s="7"/>
      <c r="AU171" s="2"/>
      <c r="AV171" s="2"/>
      <c r="AW171" s="2"/>
      <c r="AX171" s="2"/>
    </row>
    <row r="172">
      <c r="A172" s="2"/>
      <c r="B172" s="2"/>
      <c r="C172" s="2"/>
      <c r="D172" s="2"/>
      <c r="E172" s="2"/>
      <c r="F172" s="2"/>
      <c r="G172" s="2"/>
      <c r="H172" s="2"/>
      <c r="I172" s="2"/>
      <c r="J172" s="2"/>
      <c r="K172" s="2"/>
      <c r="L172" s="3"/>
      <c r="M172" s="4"/>
      <c r="N172" s="4"/>
      <c r="O172" s="5"/>
      <c r="P172" s="6"/>
      <c r="Q172" s="3"/>
      <c r="R172" s="2"/>
      <c r="S172" s="2"/>
      <c r="T172" s="2"/>
      <c r="U172" s="2"/>
      <c r="V172" s="3"/>
      <c r="W172" s="2"/>
      <c r="X172" s="2"/>
      <c r="Y172" s="2"/>
      <c r="Z172" s="2"/>
      <c r="AA172" s="3"/>
      <c r="AB172" s="2"/>
      <c r="AC172" s="2"/>
      <c r="AD172" s="2"/>
      <c r="AE172" s="2"/>
      <c r="AF172" s="3"/>
      <c r="AG172" s="2"/>
      <c r="AH172" s="2"/>
      <c r="AI172" s="2"/>
      <c r="AJ172" s="2"/>
      <c r="AK172" s="3"/>
      <c r="AL172" s="2"/>
      <c r="AM172" s="2"/>
      <c r="AN172" s="2"/>
      <c r="AO172" s="2"/>
      <c r="AP172" s="3"/>
      <c r="AQ172" s="2"/>
      <c r="AR172" s="2"/>
      <c r="AS172" s="2"/>
      <c r="AT172" s="7"/>
      <c r="AU172" s="2"/>
      <c r="AV172" s="2"/>
      <c r="AW172" s="2"/>
      <c r="AX172" s="2"/>
    </row>
    <row r="173">
      <c r="A173" s="2"/>
      <c r="B173" s="2"/>
      <c r="C173" s="2"/>
      <c r="D173" s="2"/>
      <c r="E173" s="2"/>
      <c r="F173" s="2"/>
      <c r="G173" s="2"/>
      <c r="H173" s="2"/>
      <c r="I173" s="2"/>
      <c r="J173" s="2"/>
      <c r="K173" s="2"/>
      <c r="L173" s="3"/>
      <c r="M173" s="4"/>
      <c r="N173" s="4"/>
      <c r="O173" s="5"/>
      <c r="P173" s="6"/>
      <c r="Q173" s="3"/>
      <c r="R173" s="2"/>
      <c r="S173" s="2"/>
      <c r="T173" s="2"/>
      <c r="U173" s="2"/>
      <c r="V173" s="3"/>
      <c r="W173" s="2"/>
      <c r="X173" s="2"/>
      <c r="Y173" s="2"/>
      <c r="Z173" s="2"/>
      <c r="AA173" s="3"/>
      <c r="AB173" s="2"/>
      <c r="AC173" s="2"/>
      <c r="AD173" s="2"/>
      <c r="AE173" s="2"/>
      <c r="AF173" s="3"/>
      <c r="AG173" s="2"/>
      <c r="AH173" s="2"/>
      <c r="AI173" s="2"/>
      <c r="AJ173" s="2"/>
      <c r="AK173" s="3"/>
      <c r="AL173" s="2"/>
      <c r="AM173" s="2"/>
      <c r="AN173" s="2"/>
      <c r="AO173" s="2"/>
      <c r="AP173" s="3"/>
      <c r="AQ173" s="2"/>
      <c r="AR173" s="2"/>
      <c r="AS173" s="2"/>
      <c r="AT173" s="7"/>
      <c r="AU173" s="2"/>
      <c r="AV173" s="2"/>
      <c r="AW173" s="2"/>
      <c r="AX173" s="2"/>
    </row>
    <row r="174">
      <c r="A174" s="2"/>
      <c r="B174" s="2"/>
      <c r="C174" s="2"/>
      <c r="D174" s="2"/>
      <c r="E174" s="2"/>
      <c r="F174" s="2"/>
      <c r="G174" s="2"/>
      <c r="H174" s="2"/>
      <c r="I174" s="2"/>
      <c r="J174" s="2"/>
      <c r="K174" s="2"/>
      <c r="L174" s="3"/>
      <c r="M174" s="4"/>
      <c r="N174" s="4"/>
      <c r="O174" s="5"/>
      <c r="P174" s="6"/>
      <c r="Q174" s="3"/>
      <c r="R174" s="2"/>
      <c r="S174" s="2"/>
      <c r="T174" s="2"/>
      <c r="U174" s="2"/>
      <c r="V174" s="3"/>
      <c r="W174" s="2"/>
      <c r="X174" s="2"/>
      <c r="Y174" s="2"/>
      <c r="Z174" s="2"/>
      <c r="AA174" s="3"/>
      <c r="AB174" s="2"/>
      <c r="AC174" s="2"/>
      <c r="AD174" s="2"/>
      <c r="AE174" s="2"/>
      <c r="AF174" s="3"/>
      <c r="AG174" s="2"/>
      <c r="AH174" s="2"/>
      <c r="AI174" s="2"/>
      <c r="AJ174" s="2"/>
      <c r="AK174" s="3"/>
      <c r="AL174" s="2"/>
      <c r="AM174" s="2"/>
      <c r="AN174" s="2"/>
      <c r="AO174" s="2"/>
      <c r="AP174" s="3"/>
      <c r="AQ174" s="2"/>
      <c r="AR174" s="2"/>
      <c r="AS174" s="2"/>
      <c r="AT174" s="7"/>
      <c r="AU174" s="2"/>
      <c r="AV174" s="2"/>
      <c r="AW174" s="2"/>
      <c r="AX174" s="2"/>
    </row>
    <row r="175">
      <c r="A175" s="2"/>
      <c r="B175" s="2"/>
      <c r="C175" s="2"/>
      <c r="D175" s="2"/>
      <c r="E175" s="2"/>
      <c r="F175" s="2"/>
      <c r="G175" s="2"/>
      <c r="H175" s="2"/>
      <c r="I175" s="2"/>
      <c r="J175" s="2"/>
      <c r="K175" s="2"/>
      <c r="L175" s="3"/>
      <c r="M175" s="4"/>
      <c r="N175" s="4"/>
      <c r="O175" s="5"/>
      <c r="P175" s="6"/>
      <c r="Q175" s="3"/>
      <c r="R175" s="2"/>
      <c r="S175" s="2"/>
      <c r="T175" s="2"/>
      <c r="U175" s="2"/>
      <c r="V175" s="3"/>
      <c r="W175" s="2"/>
      <c r="X175" s="2"/>
      <c r="Y175" s="2"/>
      <c r="Z175" s="2"/>
      <c r="AA175" s="3"/>
      <c r="AB175" s="2"/>
      <c r="AC175" s="2"/>
      <c r="AD175" s="2"/>
      <c r="AE175" s="2"/>
      <c r="AF175" s="3"/>
      <c r="AG175" s="2"/>
      <c r="AH175" s="2"/>
      <c r="AI175" s="2"/>
      <c r="AJ175" s="2"/>
      <c r="AK175" s="3"/>
      <c r="AL175" s="2"/>
      <c r="AM175" s="2"/>
      <c r="AN175" s="2"/>
      <c r="AO175" s="2"/>
      <c r="AP175" s="3"/>
      <c r="AQ175" s="2"/>
      <c r="AR175" s="2"/>
      <c r="AS175" s="2"/>
      <c r="AT175" s="7"/>
      <c r="AU175" s="2"/>
      <c r="AV175" s="2"/>
      <c r="AW175" s="2"/>
      <c r="AX175" s="2"/>
    </row>
    <row r="176">
      <c r="A176" s="2"/>
      <c r="B176" s="2"/>
      <c r="C176" s="2"/>
      <c r="D176" s="2"/>
      <c r="E176" s="2"/>
      <c r="F176" s="2"/>
      <c r="G176" s="2"/>
      <c r="H176" s="2"/>
      <c r="I176" s="2"/>
      <c r="J176" s="2"/>
      <c r="K176" s="2"/>
      <c r="L176" s="3"/>
      <c r="M176" s="4"/>
      <c r="N176" s="4"/>
      <c r="O176" s="5"/>
      <c r="P176" s="6"/>
      <c r="Q176" s="3"/>
      <c r="R176" s="2"/>
      <c r="S176" s="2"/>
      <c r="T176" s="2"/>
      <c r="U176" s="2"/>
      <c r="V176" s="3"/>
      <c r="W176" s="2"/>
      <c r="X176" s="2"/>
      <c r="Y176" s="2"/>
      <c r="Z176" s="2"/>
      <c r="AA176" s="3"/>
      <c r="AB176" s="2"/>
      <c r="AC176" s="2"/>
      <c r="AD176" s="2"/>
      <c r="AE176" s="2"/>
      <c r="AF176" s="3"/>
      <c r="AG176" s="2"/>
      <c r="AH176" s="2"/>
      <c r="AI176" s="2"/>
      <c r="AJ176" s="2"/>
      <c r="AK176" s="3"/>
      <c r="AL176" s="2"/>
      <c r="AM176" s="2"/>
      <c r="AN176" s="2"/>
      <c r="AO176" s="2"/>
      <c r="AP176" s="3"/>
      <c r="AQ176" s="2"/>
      <c r="AR176" s="2"/>
      <c r="AS176" s="2"/>
      <c r="AT176" s="7"/>
      <c r="AU176" s="2"/>
      <c r="AV176" s="2"/>
      <c r="AW176" s="2"/>
      <c r="AX176" s="2"/>
    </row>
    <row r="177">
      <c r="A177" s="2"/>
      <c r="B177" s="2"/>
      <c r="C177" s="2"/>
      <c r="D177" s="2"/>
      <c r="E177" s="2"/>
      <c r="F177" s="2"/>
      <c r="G177" s="2"/>
      <c r="H177" s="2"/>
      <c r="I177" s="2"/>
      <c r="J177" s="2"/>
      <c r="K177" s="2"/>
      <c r="L177" s="3"/>
      <c r="M177" s="4"/>
      <c r="N177" s="4"/>
      <c r="O177" s="5"/>
      <c r="P177" s="6"/>
      <c r="Q177" s="3"/>
      <c r="R177" s="2"/>
      <c r="S177" s="2"/>
      <c r="T177" s="2"/>
      <c r="U177" s="2"/>
      <c r="V177" s="3"/>
      <c r="W177" s="2"/>
      <c r="X177" s="2"/>
      <c r="Y177" s="2"/>
      <c r="Z177" s="2"/>
      <c r="AA177" s="3"/>
      <c r="AB177" s="2"/>
      <c r="AC177" s="2"/>
      <c r="AD177" s="2"/>
      <c r="AE177" s="2"/>
      <c r="AF177" s="3"/>
      <c r="AG177" s="2"/>
      <c r="AH177" s="2"/>
      <c r="AI177" s="2"/>
      <c r="AJ177" s="2"/>
      <c r="AK177" s="3"/>
      <c r="AL177" s="2"/>
      <c r="AM177" s="2"/>
      <c r="AN177" s="2"/>
      <c r="AO177" s="2"/>
      <c r="AP177" s="3"/>
      <c r="AQ177" s="2"/>
      <c r="AR177" s="2"/>
      <c r="AS177" s="2"/>
      <c r="AT177" s="7"/>
      <c r="AU177" s="2"/>
      <c r="AV177" s="2"/>
      <c r="AW177" s="2"/>
      <c r="AX177" s="2"/>
    </row>
    <row r="178">
      <c r="A178" s="2"/>
      <c r="B178" s="2"/>
      <c r="C178" s="2"/>
      <c r="D178" s="2"/>
      <c r="E178" s="2"/>
      <c r="F178" s="2"/>
      <c r="G178" s="2"/>
      <c r="H178" s="2"/>
      <c r="I178" s="2"/>
      <c r="J178" s="2"/>
      <c r="K178" s="2"/>
      <c r="L178" s="3"/>
      <c r="M178" s="4"/>
      <c r="N178" s="4"/>
      <c r="O178" s="5"/>
      <c r="P178" s="6"/>
      <c r="Q178" s="3"/>
      <c r="R178" s="2"/>
      <c r="S178" s="2"/>
      <c r="T178" s="2"/>
      <c r="U178" s="2"/>
      <c r="V178" s="3"/>
      <c r="W178" s="2"/>
      <c r="X178" s="2"/>
      <c r="Y178" s="2"/>
      <c r="Z178" s="2"/>
      <c r="AA178" s="3"/>
      <c r="AB178" s="2"/>
      <c r="AC178" s="2"/>
      <c r="AD178" s="2"/>
      <c r="AE178" s="2"/>
      <c r="AF178" s="3"/>
      <c r="AG178" s="2"/>
      <c r="AH178" s="2"/>
      <c r="AI178" s="2"/>
      <c r="AJ178" s="2"/>
      <c r="AK178" s="3"/>
      <c r="AL178" s="2"/>
      <c r="AM178" s="2"/>
      <c r="AN178" s="2"/>
      <c r="AO178" s="2"/>
      <c r="AP178" s="3"/>
      <c r="AQ178" s="2"/>
      <c r="AR178" s="2"/>
      <c r="AS178" s="2"/>
      <c r="AT178" s="7"/>
      <c r="AU178" s="2"/>
      <c r="AV178" s="2"/>
      <c r="AW178" s="2"/>
      <c r="AX178" s="2"/>
    </row>
    <row r="179">
      <c r="A179" s="2"/>
      <c r="B179" s="2"/>
      <c r="C179" s="2"/>
      <c r="D179" s="2"/>
      <c r="E179" s="2"/>
      <c r="F179" s="2"/>
      <c r="G179" s="2"/>
      <c r="H179" s="2"/>
      <c r="I179" s="2"/>
      <c r="J179" s="2"/>
      <c r="K179" s="2"/>
      <c r="L179" s="3"/>
      <c r="M179" s="4"/>
      <c r="N179" s="4"/>
      <c r="O179" s="5"/>
      <c r="P179" s="6"/>
      <c r="Q179" s="3"/>
      <c r="R179" s="2"/>
      <c r="S179" s="2"/>
      <c r="T179" s="2"/>
      <c r="U179" s="2"/>
      <c r="V179" s="3"/>
      <c r="W179" s="2"/>
      <c r="X179" s="2"/>
      <c r="Y179" s="2"/>
      <c r="Z179" s="2"/>
      <c r="AA179" s="3"/>
      <c r="AB179" s="2"/>
      <c r="AC179" s="2"/>
      <c r="AD179" s="2"/>
      <c r="AE179" s="2"/>
      <c r="AF179" s="3"/>
      <c r="AG179" s="2"/>
      <c r="AH179" s="2"/>
      <c r="AI179" s="2"/>
      <c r="AJ179" s="2"/>
      <c r="AK179" s="3"/>
      <c r="AL179" s="2"/>
      <c r="AM179" s="2"/>
      <c r="AN179" s="2"/>
      <c r="AO179" s="2"/>
      <c r="AP179" s="3"/>
      <c r="AQ179" s="2"/>
      <c r="AR179" s="2"/>
      <c r="AS179" s="2"/>
      <c r="AT179" s="7"/>
      <c r="AU179" s="2"/>
      <c r="AV179" s="2"/>
      <c r="AW179" s="2"/>
      <c r="AX179" s="2"/>
    </row>
    <row r="180">
      <c r="A180" s="2"/>
      <c r="B180" s="2"/>
      <c r="C180" s="2"/>
      <c r="D180" s="2"/>
      <c r="E180" s="2"/>
      <c r="F180" s="2"/>
      <c r="G180" s="2"/>
      <c r="H180" s="2"/>
      <c r="I180" s="2"/>
      <c r="J180" s="2"/>
      <c r="K180" s="2"/>
      <c r="L180" s="3"/>
      <c r="M180" s="4"/>
      <c r="N180" s="4"/>
      <c r="O180" s="5"/>
      <c r="P180" s="6"/>
      <c r="Q180" s="3"/>
      <c r="R180" s="2"/>
      <c r="S180" s="2"/>
      <c r="T180" s="2"/>
      <c r="U180" s="2"/>
      <c r="V180" s="3"/>
      <c r="W180" s="2"/>
      <c r="X180" s="2"/>
      <c r="Y180" s="2"/>
      <c r="Z180" s="2"/>
      <c r="AA180" s="3"/>
      <c r="AB180" s="2"/>
      <c r="AC180" s="2"/>
      <c r="AD180" s="2"/>
      <c r="AE180" s="2"/>
      <c r="AF180" s="3"/>
      <c r="AG180" s="2"/>
      <c r="AH180" s="2"/>
      <c r="AI180" s="2"/>
      <c r="AJ180" s="2"/>
      <c r="AK180" s="3"/>
      <c r="AL180" s="2"/>
      <c r="AM180" s="2"/>
      <c r="AN180" s="2"/>
      <c r="AO180" s="2"/>
      <c r="AP180" s="3"/>
      <c r="AQ180" s="2"/>
      <c r="AR180" s="2"/>
      <c r="AS180" s="2"/>
      <c r="AT180" s="7"/>
      <c r="AU180" s="2"/>
      <c r="AV180" s="2"/>
      <c r="AW180" s="2"/>
      <c r="AX180" s="2"/>
    </row>
    <row r="181">
      <c r="A181" s="2"/>
      <c r="B181" s="2"/>
      <c r="C181" s="2"/>
      <c r="D181" s="2"/>
      <c r="E181" s="2"/>
      <c r="F181" s="2"/>
      <c r="G181" s="2"/>
      <c r="H181" s="2"/>
      <c r="I181" s="2"/>
      <c r="J181" s="2"/>
      <c r="K181" s="2"/>
      <c r="L181" s="3"/>
      <c r="M181" s="4"/>
      <c r="N181" s="4"/>
      <c r="O181" s="5"/>
      <c r="P181" s="6"/>
      <c r="Q181" s="3"/>
      <c r="R181" s="2"/>
      <c r="S181" s="2"/>
      <c r="T181" s="2"/>
      <c r="U181" s="2"/>
      <c r="V181" s="3"/>
      <c r="W181" s="2"/>
      <c r="X181" s="2"/>
      <c r="Y181" s="2"/>
      <c r="Z181" s="2"/>
      <c r="AA181" s="3"/>
      <c r="AB181" s="2"/>
      <c r="AC181" s="2"/>
      <c r="AD181" s="2"/>
      <c r="AE181" s="2"/>
      <c r="AF181" s="3"/>
      <c r="AG181" s="2"/>
      <c r="AH181" s="2"/>
      <c r="AI181" s="2"/>
      <c r="AJ181" s="2"/>
      <c r="AK181" s="3"/>
      <c r="AL181" s="2"/>
      <c r="AM181" s="2"/>
      <c r="AN181" s="2"/>
      <c r="AO181" s="2"/>
      <c r="AP181" s="3"/>
      <c r="AQ181" s="2"/>
      <c r="AR181" s="2"/>
      <c r="AS181" s="2"/>
      <c r="AT181" s="7"/>
      <c r="AU181" s="2"/>
      <c r="AV181" s="2"/>
      <c r="AW181" s="2"/>
      <c r="AX181" s="2"/>
    </row>
    <row r="182">
      <c r="A182" s="2"/>
      <c r="B182" s="2"/>
      <c r="C182" s="2"/>
      <c r="D182" s="2"/>
      <c r="E182" s="2"/>
      <c r="F182" s="2"/>
      <c r="G182" s="2"/>
      <c r="H182" s="2"/>
      <c r="I182" s="2"/>
      <c r="J182" s="2"/>
      <c r="K182" s="2"/>
      <c r="L182" s="3"/>
      <c r="M182" s="4"/>
      <c r="N182" s="4"/>
      <c r="O182" s="5"/>
      <c r="P182" s="6"/>
      <c r="Q182" s="3"/>
      <c r="R182" s="2"/>
      <c r="S182" s="2"/>
      <c r="T182" s="2"/>
      <c r="U182" s="2"/>
      <c r="V182" s="3"/>
      <c r="W182" s="2"/>
      <c r="X182" s="2"/>
      <c r="Y182" s="2"/>
      <c r="Z182" s="2"/>
      <c r="AA182" s="3"/>
      <c r="AB182" s="2"/>
      <c r="AC182" s="2"/>
      <c r="AD182" s="2"/>
      <c r="AE182" s="2"/>
      <c r="AF182" s="3"/>
      <c r="AG182" s="2"/>
      <c r="AH182" s="2"/>
      <c r="AI182" s="2"/>
      <c r="AJ182" s="2"/>
      <c r="AK182" s="3"/>
      <c r="AL182" s="2"/>
      <c r="AM182" s="2"/>
      <c r="AN182" s="2"/>
      <c r="AO182" s="2"/>
      <c r="AP182" s="3"/>
      <c r="AQ182" s="2"/>
      <c r="AR182" s="2"/>
      <c r="AS182" s="2"/>
      <c r="AT182" s="7"/>
      <c r="AU182" s="2"/>
      <c r="AV182" s="2"/>
      <c r="AW182" s="2"/>
      <c r="AX182" s="2"/>
    </row>
    <row r="183">
      <c r="A183" s="2"/>
      <c r="B183" s="2"/>
      <c r="C183" s="2"/>
      <c r="D183" s="2"/>
      <c r="E183" s="2"/>
      <c r="F183" s="2"/>
      <c r="G183" s="2"/>
      <c r="H183" s="2"/>
      <c r="I183" s="2"/>
      <c r="J183" s="2"/>
      <c r="K183" s="2"/>
      <c r="L183" s="3"/>
      <c r="M183" s="4"/>
      <c r="N183" s="4"/>
      <c r="O183" s="5"/>
      <c r="P183" s="6"/>
      <c r="Q183" s="3"/>
      <c r="R183" s="2"/>
      <c r="S183" s="2"/>
      <c r="T183" s="2"/>
      <c r="U183" s="2"/>
      <c r="V183" s="3"/>
      <c r="W183" s="2"/>
      <c r="X183" s="2"/>
      <c r="Y183" s="2"/>
      <c r="Z183" s="2"/>
      <c r="AA183" s="3"/>
      <c r="AB183" s="2"/>
      <c r="AC183" s="2"/>
      <c r="AD183" s="2"/>
      <c r="AE183" s="2"/>
      <c r="AF183" s="3"/>
      <c r="AG183" s="2"/>
      <c r="AH183" s="2"/>
      <c r="AI183" s="2"/>
      <c r="AJ183" s="2"/>
      <c r="AK183" s="3"/>
      <c r="AL183" s="2"/>
      <c r="AM183" s="2"/>
      <c r="AN183" s="2"/>
      <c r="AO183" s="2"/>
      <c r="AP183" s="3"/>
      <c r="AQ183" s="2"/>
      <c r="AR183" s="2"/>
      <c r="AS183" s="2"/>
      <c r="AT183" s="7"/>
      <c r="AU183" s="2"/>
      <c r="AV183" s="2"/>
      <c r="AW183" s="2"/>
      <c r="AX183" s="2"/>
    </row>
    <row r="184">
      <c r="A184" s="2"/>
      <c r="B184" s="2"/>
      <c r="C184" s="2"/>
      <c r="D184" s="2"/>
      <c r="E184" s="2"/>
      <c r="F184" s="2"/>
      <c r="G184" s="2"/>
      <c r="H184" s="2"/>
      <c r="I184" s="2"/>
      <c r="J184" s="2"/>
      <c r="K184" s="2"/>
      <c r="L184" s="3"/>
      <c r="M184" s="4"/>
      <c r="N184" s="4"/>
      <c r="O184" s="5"/>
      <c r="P184" s="6"/>
      <c r="Q184" s="3"/>
      <c r="R184" s="2"/>
      <c r="S184" s="2"/>
      <c r="T184" s="2"/>
      <c r="U184" s="2"/>
      <c r="V184" s="3"/>
      <c r="W184" s="2"/>
      <c r="X184" s="2"/>
      <c r="Y184" s="2"/>
      <c r="Z184" s="2"/>
      <c r="AA184" s="3"/>
      <c r="AB184" s="2"/>
      <c r="AC184" s="2"/>
      <c r="AD184" s="2"/>
      <c r="AE184" s="2"/>
      <c r="AF184" s="3"/>
      <c r="AG184" s="2"/>
      <c r="AH184" s="2"/>
      <c r="AI184" s="2"/>
      <c r="AJ184" s="2"/>
      <c r="AK184" s="3"/>
      <c r="AL184" s="2"/>
      <c r="AM184" s="2"/>
      <c r="AN184" s="2"/>
      <c r="AO184" s="2"/>
      <c r="AP184" s="3"/>
      <c r="AQ184" s="2"/>
      <c r="AR184" s="2"/>
      <c r="AS184" s="2"/>
      <c r="AT184" s="7"/>
      <c r="AU184" s="2"/>
      <c r="AV184" s="2"/>
      <c r="AW184" s="2"/>
      <c r="AX184" s="2"/>
    </row>
    <row r="185">
      <c r="A185" s="2"/>
      <c r="B185" s="2"/>
      <c r="C185" s="2"/>
      <c r="D185" s="2"/>
      <c r="E185" s="2"/>
      <c r="F185" s="2"/>
      <c r="G185" s="2"/>
      <c r="H185" s="2"/>
      <c r="I185" s="2"/>
      <c r="J185" s="2"/>
      <c r="K185" s="2"/>
      <c r="L185" s="3"/>
      <c r="M185" s="4"/>
      <c r="N185" s="4"/>
      <c r="O185" s="5"/>
      <c r="P185" s="6"/>
      <c r="Q185" s="3"/>
      <c r="R185" s="2"/>
      <c r="S185" s="2"/>
      <c r="T185" s="2"/>
      <c r="U185" s="2"/>
      <c r="V185" s="3"/>
      <c r="W185" s="2"/>
      <c r="X185" s="2"/>
      <c r="Y185" s="2"/>
      <c r="Z185" s="2"/>
      <c r="AA185" s="3"/>
      <c r="AB185" s="2"/>
      <c r="AC185" s="2"/>
      <c r="AD185" s="2"/>
      <c r="AE185" s="2"/>
      <c r="AF185" s="3"/>
      <c r="AG185" s="2"/>
      <c r="AH185" s="2"/>
      <c r="AI185" s="2"/>
      <c r="AJ185" s="2"/>
      <c r="AK185" s="3"/>
      <c r="AL185" s="2"/>
      <c r="AM185" s="2"/>
      <c r="AN185" s="2"/>
      <c r="AO185" s="2"/>
      <c r="AP185" s="3"/>
      <c r="AQ185" s="2"/>
      <c r="AR185" s="2"/>
      <c r="AS185" s="2"/>
      <c r="AT185" s="7"/>
      <c r="AU185" s="2"/>
      <c r="AV185" s="2"/>
      <c r="AW185" s="2"/>
      <c r="AX185" s="2"/>
    </row>
    <row r="186">
      <c r="A186" s="2"/>
      <c r="B186" s="2"/>
      <c r="C186" s="2"/>
      <c r="D186" s="2"/>
      <c r="E186" s="2"/>
      <c r="F186" s="2"/>
      <c r="G186" s="2"/>
      <c r="H186" s="2"/>
      <c r="I186" s="2"/>
      <c r="J186" s="2"/>
      <c r="K186" s="2"/>
      <c r="L186" s="3"/>
      <c r="M186" s="4"/>
      <c r="N186" s="4"/>
      <c r="O186" s="5"/>
      <c r="P186" s="6"/>
      <c r="Q186" s="3"/>
      <c r="R186" s="2"/>
      <c r="S186" s="2"/>
      <c r="T186" s="2"/>
      <c r="U186" s="2"/>
      <c r="V186" s="3"/>
      <c r="W186" s="2"/>
      <c r="X186" s="2"/>
      <c r="Y186" s="2"/>
      <c r="Z186" s="2"/>
      <c r="AA186" s="3"/>
      <c r="AB186" s="2"/>
      <c r="AC186" s="2"/>
      <c r="AD186" s="2"/>
      <c r="AE186" s="2"/>
      <c r="AF186" s="3"/>
      <c r="AG186" s="2"/>
      <c r="AH186" s="2"/>
      <c r="AI186" s="2"/>
      <c r="AJ186" s="2"/>
      <c r="AK186" s="3"/>
      <c r="AL186" s="2"/>
      <c r="AM186" s="2"/>
      <c r="AN186" s="2"/>
      <c r="AO186" s="2"/>
      <c r="AP186" s="3"/>
      <c r="AQ186" s="2"/>
      <c r="AR186" s="2"/>
      <c r="AS186" s="2"/>
      <c r="AT186" s="7"/>
      <c r="AU186" s="2"/>
      <c r="AV186" s="2"/>
      <c r="AW186" s="2"/>
      <c r="AX186" s="2"/>
    </row>
    <row r="187">
      <c r="A187" s="2"/>
      <c r="B187" s="2"/>
      <c r="C187" s="2"/>
      <c r="D187" s="2"/>
      <c r="E187" s="2"/>
      <c r="F187" s="2"/>
      <c r="G187" s="2"/>
      <c r="H187" s="2"/>
      <c r="I187" s="2"/>
      <c r="J187" s="2"/>
      <c r="K187" s="2"/>
      <c r="L187" s="3"/>
      <c r="M187" s="4"/>
      <c r="N187" s="4"/>
      <c r="O187" s="5"/>
      <c r="P187" s="6"/>
      <c r="Q187" s="3"/>
      <c r="R187" s="2"/>
      <c r="S187" s="2"/>
      <c r="T187" s="2"/>
      <c r="U187" s="2"/>
      <c r="V187" s="3"/>
      <c r="W187" s="2"/>
      <c r="X187" s="2"/>
      <c r="Y187" s="2"/>
      <c r="Z187" s="2"/>
      <c r="AA187" s="3"/>
      <c r="AB187" s="2"/>
      <c r="AC187" s="2"/>
      <c r="AD187" s="2"/>
      <c r="AE187" s="2"/>
      <c r="AF187" s="3"/>
      <c r="AG187" s="2"/>
      <c r="AH187" s="2"/>
      <c r="AI187" s="2"/>
      <c r="AJ187" s="2"/>
      <c r="AK187" s="3"/>
      <c r="AL187" s="2"/>
      <c r="AM187" s="2"/>
      <c r="AN187" s="2"/>
      <c r="AO187" s="2"/>
      <c r="AP187" s="3"/>
      <c r="AQ187" s="2"/>
      <c r="AR187" s="2"/>
      <c r="AS187" s="2"/>
      <c r="AT187" s="7"/>
      <c r="AU187" s="2"/>
      <c r="AV187" s="2"/>
      <c r="AW187" s="2"/>
      <c r="AX187" s="2"/>
    </row>
    <row r="188">
      <c r="A188" s="2"/>
      <c r="B188" s="2"/>
      <c r="C188" s="2"/>
      <c r="D188" s="2"/>
      <c r="E188" s="2"/>
      <c r="F188" s="2"/>
      <c r="G188" s="2"/>
      <c r="H188" s="2"/>
      <c r="I188" s="2"/>
      <c r="J188" s="2"/>
      <c r="K188" s="2"/>
      <c r="L188" s="3"/>
      <c r="M188" s="4"/>
      <c r="N188" s="4"/>
      <c r="O188" s="5"/>
      <c r="P188" s="6"/>
      <c r="Q188" s="3"/>
      <c r="R188" s="2"/>
      <c r="S188" s="2"/>
      <c r="T188" s="2"/>
      <c r="U188" s="2"/>
      <c r="V188" s="3"/>
      <c r="W188" s="2"/>
      <c r="X188" s="2"/>
      <c r="Y188" s="2"/>
      <c r="Z188" s="2"/>
      <c r="AA188" s="3"/>
      <c r="AB188" s="2"/>
      <c r="AC188" s="2"/>
      <c r="AD188" s="2"/>
      <c r="AE188" s="2"/>
      <c r="AF188" s="3"/>
      <c r="AG188" s="2"/>
      <c r="AH188" s="2"/>
      <c r="AI188" s="2"/>
      <c r="AJ188" s="2"/>
      <c r="AK188" s="3"/>
      <c r="AL188" s="2"/>
      <c r="AM188" s="2"/>
      <c r="AN188" s="2"/>
      <c r="AO188" s="2"/>
      <c r="AP188" s="3"/>
      <c r="AQ188" s="2"/>
      <c r="AR188" s="2"/>
      <c r="AS188" s="2"/>
      <c r="AT188" s="7"/>
      <c r="AU188" s="2"/>
      <c r="AV188" s="2"/>
      <c r="AW188" s="2"/>
      <c r="AX188" s="2"/>
    </row>
    <row r="189">
      <c r="A189" s="2"/>
      <c r="B189" s="2"/>
      <c r="C189" s="2"/>
      <c r="D189" s="2"/>
      <c r="E189" s="2"/>
      <c r="F189" s="2"/>
      <c r="G189" s="2"/>
      <c r="H189" s="2"/>
      <c r="I189" s="2"/>
      <c r="J189" s="2"/>
      <c r="K189" s="2"/>
      <c r="L189" s="3"/>
      <c r="M189" s="4"/>
      <c r="N189" s="4"/>
      <c r="O189" s="5"/>
      <c r="P189" s="6"/>
      <c r="Q189" s="3"/>
      <c r="R189" s="2"/>
      <c r="S189" s="2"/>
      <c r="T189" s="2"/>
      <c r="U189" s="2"/>
      <c r="V189" s="3"/>
      <c r="W189" s="2"/>
      <c r="X189" s="2"/>
      <c r="Y189" s="2"/>
      <c r="Z189" s="2"/>
      <c r="AA189" s="3"/>
      <c r="AB189" s="2"/>
      <c r="AC189" s="2"/>
      <c r="AD189" s="2"/>
      <c r="AE189" s="2"/>
      <c r="AF189" s="3"/>
      <c r="AG189" s="2"/>
      <c r="AH189" s="2"/>
      <c r="AI189" s="2"/>
      <c r="AJ189" s="2"/>
      <c r="AK189" s="3"/>
      <c r="AL189" s="2"/>
      <c r="AM189" s="2"/>
      <c r="AN189" s="2"/>
      <c r="AO189" s="2"/>
      <c r="AP189" s="3"/>
      <c r="AQ189" s="2"/>
      <c r="AR189" s="2"/>
      <c r="AS189" s="2"/>
      <c r="AT189" s="7"/>
      <c r="AU189" s="2"/>
      <c r="AV189" s="2"/>
      <c r="AW189" s="2"/>
      <c r="AX189" s="2"/>
    </row>
    <row r="190">
      <c r="A190" s="2"/>
      <c r="B190" s="2"/>
      <c r="C190" s="2"/>
      <c r="D190" s="2"/>
      <c r="E190" s="2"/>
      <c r="F190" s="2"/>
      <c r="G190" s="2"/>
      <c r="H190" s="2"/>
      <c r="I190" s="2"/>
      <c r="J190" s="2"/>
      <c r="K190" s="2"/>
      <c r="L190" s="3"/>
      <c r="M190" s="4"/>
      <c r="N190" s="4"/>
      <c r="O190" s="5"/>
      <c r="P190" s="6"/>
      <c r="Q190" s="3"/>
      <c r="R190" s="2"/>
      <c r="S190" s="2"/>
      <c r="T190" s="2"/>
      <c r="U190" s="2"/>
      <c r="V190" s="3"/>
      <c r="W190" s="2"/>
      <c r="X190" s="2"/>
      <c r="Y190" s="2"/>
      <c r="Z190" s="2"/>
      <c r="AA190" s="3"/>
      <c r="AB190" s="2"/>
      <c r="AC190" s="2"/>
      <c r="AD190" s="2"/>
      <c r="AE190" s="2"/>
      <c r="AF190" s="3"/>
      <c r="AG190" s="2"/>
      <c r="AH190" s="2"/>
      <c r="AI190" s="2"/>
      <c r="AJ190" s="2"/>
      <c r="AK190" s="3"/>
      <c r="AL190" s="2"/>
      <c r="AM190" s="2"/>
      <c r="AN190" s="2"/>
      <c r="AO190" s="2"/>
      <c r="AP190" s="3"/>
      <c r="AQ190" s="2"/>
      <c r="AR190" s="2"/>
      <c r="AS190" s="2"/>
      <c r="AT190" s="7"/>
      <c r="AU190" s="2"/>
      <c r="AV190" s="2"/>
      <c r="AW190" s="2"/>
      <c r="AX190" s="2"/>
    </row>
    <row r="191">
      <c r="A191" s="2"/>
      <c r="B191" s="2"/>
      <c r="C191" s="2"/>
      <c r="D191" s="2"/>
      <c r="E191" s="2"/>
      <c r="F191" s="2"/>
      <c r="G191" s="2"/>
      <c r="H191" s="2"/>
      <c r="I191" s="2"/>
      <c r="J191" s="2"/>
      <c r="K191" s="2"/>
      <c r="L191" s="3"/>
      <c r="M191" s="4"/>
      <c r="N191" s="4"/>
      <c r="O191" s="5"/>
      <c r="P191" s="6"/>
      <c r="Q191" s="3"/>
      <c r="R191" s="2"/>
      <c r="S191" s="2"/>
      <c r="T191" s="2"/>
      <c r="U191" s="2"/>
      <c r="V191" s="3"/>
      <c r="W191" s="2"/>
      <c r="X191" s="2"/>
      <c r="Y191" s="2"/>
      <c r="Z191" s="2"/>
      <c r="AA191" s="3"/>
      <c r="AB191" s="2"/>
      <c r="AC191" s="2"/>
      <c r="AD191" s="2"/>
      <c r="AE191" s="2"/>
      <c r="AF191" s="3"/>
      <c r="AG191" s="2"/>
      <c r="AH191" s="2"/>
      <c r="AI191" s="2"/>
      <c r="AJ191" s="2"/>
      <c r="AK191" s="3"/>
      <c r="AL191" s="2"/>
      <c r="AM191" s="2"/>
      <c r="AN191" s="2"/>
      <c r="AO191" s="2"/>
      <c r="AP191" s="3"/>
      <c r="AQ191" s="2"/>
      <c r="AR191" s="2"/>
      <c r="AS191" s="2"/>
      <c r="AT191" s="7"/>
      <c r="AU191" s="2"/>
      <c r="AV191" s="2"/>
      <c r="AW191" s="2"/>
      <c r="AX191" s="2"/>
    </row>
    <row r="192">
      <c r="A192" s="2"/>
      <c r="B192" s="2"/>
      <c r="C192" s="2"/>
      <c r="D192" s="2"/>
      <c r="E192" s="2"/>
      <c r="F192" s="2"/>
      <c r="G192" s="2"/>
      <c r="H192" s="2"/>
      <c r="I192" s="2"/>
      <c r="J192" s="2"/>
      <c r="K192" s="2"/>
      <c r="L192" s="3"/>
      <c r="M192" s="4"/>
      <c r="N192" s="4"/>
      <c r="O192" s="5"/>
      <c r="P192" s="6"/>
      <c r="Q192" s="3"/>
      <c r="R192" s="2"/>
      <c r="S192" s="2"/>
      <c r="T192" s="2"/>
      <c r="U192" s="2"/>
      <c r="V192" s="3"/>
      <c r="W192" s="2"/>
      <c r="X192" s="2"/>
      <c r="Y192" s="2"/>
      <c r="Z192" s="2"/>
      <c r="AA192" s="3"/>
      <c r="AB192" s="2"/>
      <c r="AC192" s="2"/>
      <c r="AD192" s="2"/>
      <c r="AE192" s="2"/>
      <c r="AF192" s="3"/>
      <c r="AG192" s="2"/>
      <c r="AH192" s="2"/>
      <c r="AI192" s="2"/>
      <c r="AJ192" s="2"/>
      <c r="AK192" s="3"/>
      <c r="AL192" s="2"/>
      <c r="AM192" s="2"/>
      <c r="AN192" s="2"/>
      <c r="AO192" s="2"/>
      <c r="AP192" s="3"/>
      <c r="AQ192" s="2"/>
      <c r="AR192" s="2"/>
      <c r="AS192" s="2"/>
      <c r="AT192" s="7"/>
      <c r="AU192" s="2"/>
      <c r="AV192" s="2"/>
      <c r="AW192" s="2"/>
      <c r="AX192" s="2"/>
    </row>
    <row r="193">
      <c r="A193" s="2"/>
      <c r="B193" s="2"/>
      <c r="C193" s="2"/>
      <c r="D193" s="2"/>
      <c r="E193" s="2"/>
      <c r="F193" s="2"/>
      <c r="G193" s="2"/>
      <c r="H193" s="2"/>
      <c r="I193" s="2"/>
      <c r="J193" s="2"/>
      <c r="K193" s="2"/>
      <c r="L193" s="3"/>
      <c r="M193" s="4"/>
      <c r="N193" s="4"/>
      <c r="O193" s="5"/>
      <c r="P193" s="6"/>
      <c r="Q193" s="3"/>
      <c r="R193" s="2"/>
      <c r="S193" s="2"/>
      <c r="T193" s="2"/>
      <c r="U193" s="2"/>
      <c r="V193" s="3"/>
      <c r="W193" s="2"/>
      <c r="X193" s="2"/>
      <c r="Y193" s="2"/>
      <c r="Z193" s="2"/>
      <c r="AA193" s="3"/>
      <c r="AB193" s="2"/>
      <c r="AC193" s="2"/>
      <c r="AD193" s="2"/>
      <c r="AE193" s="2"/>
      <c r="AF193" s="3"/>
      <c r="AG193" s="2"/>
      <c r="AH193" s="2"/>
      <c r="AI193" s="2"/>
      <c r="AJ193" s="2"/>
      <c r="AK193" s="3"/>
      <c r="AL193" s="2"/>
      <c r="AM193" s="2"/>
      <c r="AN193" s="2"/>
      <c r="AO193" s="2"/>
      <c r="AP193" s="3"/>
      <c r="AQ193" s="2"/>
      <c r="AR193" s="2"/>
      <c r="AS193" s="2"/>
      <c r="AT193" s="7"/>
      <c r="AU193" s="2"/>
      <c r="AV193" s="2"/>
      <c r="AW193" s="2"/>
      <c r="AX193" s="2"/>
    </row>
    <row r="194">
      <c r="A194" s="2"/>
      <c r="B194" s="2"/>
      <c r="C194" s="2"/>
      <c r="D194" s="2"/>
      <c r="E194" s="2"/>
      <c r="F194" s="2"/>
      <c r="G194" s="2"/>
      <c r="H194" s="2"/>
      <c r="I194" s="2"/>
      <c r="J194" s="2"/>
      <c r="K194" s="2"/>
      <c r="L194" s="3"/>
      <c r="M194" s="4"/>
      <c r="N194" s="4"/>
      <c r="O194" s="5"/>
      <c r="P194" s="6"/>
      <c r="Q194" s="3"/>
      <c r="R194" s="2"/>
      <c r="S194" s="2"/>
      <c r="T194" s="2"/>
      <c r="U194" s="2"/>
      <c r="V194" s="3"/>
      <c r="W194" s="2"/>
      <c r="X194" s="2"/>
      <c r="Y194" s="2"/>
      <c r="Z194" s="2"/>
      <c r="AA194" s="3"/>
      <c r="AB194" s="2"/>
      <c r="AC194" s="2"/>
      <c r="AD194" s="2"/>
      <c r="AE194" s="2"/>
      <c r="AF194" s="3"/>
      <c r="AG194" s="2"/>
      <c r="AH194" s="2"/>
      <c r="AI194" s="2"/>
      <c r="AJ194" s="2"/>
      <c r="AK194" s="3"/>
      <c r="AL194" s="2"/>
      <c r="AM194" s="2"/>
      <c r="AN194" s="2"/>
      <c r="AO194" s="2"/>
      <c r="AP194" s="3"/>
      <c r="AQ194" s="2"/>
      <c r="AR194" s="2"/>
      <c r="AS194" s="2"/>
      <c r="AT194" s="7"/>
      <c r="AU194" s="2"/>
      <c r="AV194" s="2"/>
      <c r="AW194" s="2"/>
      <c r="AX194" s="2"/>
    </row>
    <row r="195">
      <c r="A195" s="2"/>
      <c r="B195" s="2"/>
      <c r="C195" s="2"/>
      <c r="D195" s="2"/>
      <c r="E195" s="2"/>
      <c r="F195" s="2"/>
      <c r="G195" s="2"/>
      <c r="H195" s="2"/>
      <c r="I195" s="2"/>
      <c r="J195" s="2"/>
      <c r="K195" s="2"/>
      <c r="L195" s="3"/>
      <c r="M195" s="4"/>
      <c r="N195" s="4"/>
      <c r="O195" s="5"/>
      <c r="P195" s="6"/>
      <c r="Q195" s="3"/>
      <c r="R195" s="2"/>
      <c r="S195" s="2"/>
      <c r="T195" s="2"/>
      <c r="U195" s="2"/>
      <c r="V195" s="3"/>
      <c r="W195" s="2"/>
      <c r="X195" s="2"/>
      <c r="Y195" s="2"/>
      <c r="Z195" s="2"/>
      <c r="AA195" s="3"/>
      <c r="AB195" s="2"/>
      <c r="AC195" s="2"/>
      <c r="AD195" s="2"/>
      <c r="AE195" s="2"/>
      <c r="AF195" s="3"/>
      <c r="AG195" s="2"/>
      <c r="AH195" s="2"/>
      <c r="AI195" s="2"/>
      <c r="AJ195" s="2"/>
      <c r="AK195" s="3"/>
      <c r="AL195" s="2"/>
      <c r="AM195" s="2"/>
      <c r="AN195" s="2"/>
      <c r="AO195" s="2"/>
      <c r="AP195" s="3"/>
      <c r="AQ195" s="2"/>
      <c r="AR195" s="2"/>
      <c r="AS195" s="2"/>
      <c r="AT195" s="7"/>
      <c r="AU195" s="2"/>
      <c r="AV195" s="2"/>
      <c r="AW195" s="2"/>
      <c r="AX195" s="2"/>
    </row>
    <row r="196">
      <c r="A196" s="2"/>
      <c r="B196" s="2"/>
      <c r="C196" s="2"/>
      <c r="D196" s="2"/>
      <c r="E196" s="2"/>
      <c r="F196" s="2"/>
      <c r="G196" s="2"/>
      <c r="H196" s="2"/>
      <c r="I196" s="2"/>
      <c r="J196" s="2"/>
      <c r="K196" s="2"/>
      <c r="L196" s="3"/>
      <c r="M196" s="4"/>
      <c r="N196" s="4"/>
      <c r="O196" s="5"/>
      <c r="P196" s="6"/>
      <c r="Q196" s="3"/>
      <c r="R196" s="2"/>
      <c r="S196" s="2"/>
      <c r="T196" s="2"/>
      <c r="U196" s="2"/>
      <c r="V196" s="3"/>
      <c r="W196" s="2"/>
      <c r="X196" s="2"/>
      <c r="Y196" s="2"/>
      <c r="Z196" s="2"/>
      <c r="AA196" s="3"/>
      <c r="AB196" s="2"/>
      <c r="AC196" s="2"/>
      <c r="AD196" s="2"/>
      <c r="AE196" s="2"/>
      <c r="AF196" s="3"/>
      <c r="AG196" s="2"/>
      <c r="AH196" s="2"/>
      <c r="AI196" s="2"/>
      <c r="AJ196" s="2"/>
      <c r="AK196" s="3"/>
      <c r="AL196" s="2"/>
      <c r="AM196" s="2"/>
      <c r="AN196" s="2"/>
      <c r="AO196" s="2"/>
      <c r="AP196" s="3"/>
      <c r="AQ196" s="2"/>
      <c r="AR196" s="2"/>
      <c r="AS196" s="2"/>
      <c r="AT196" s="7"/>
      <c r="AU196" s="2"/>
      <c r="AV196" s="2"/>
      <c r="AW196" s="2"/>
      <c r="AX196" s="2"/>
    </row>
    <row r="197">
      <c r="A197" s="2"/>
      <c r="B197" s="2"/>
      <c r="C197" s="2"/>
      <c r="D197" s="2"/>
      <c r="E197" s="2"/>
      <c r="F197" s="2"/>
      <c r="G197" s="2"/>
      <c r="H197" s="2"/>
      <c r="I197" s="2"/>
      <c r="J197" s="2"/>
      <c r="K197" s="2"/>
      <c r="L197" s="3"/>
      <c r="M197" s="4"/>
      <c r="N197" s="4"/>
      <c r="O197" s="5"/>
      <c r="P197" s="6"/>
      <c r="Q197" s="3"/>
      <c r="R197" s="2"/>
      <c r="S197" s="2"/>
      <c r="T197" s="2"/>
      <c r="U197" s="2"/>
      <c r="V197" s="3"/>
      <c r="W197" s="2"/>
      <c r="X197" s="2"/>
      <c r="Y197" s="2"/>
      <c r="Z197" s="2"/>
      <c r="AA197" s="3"/>
      <c r="AB197" s="2"/>
      <c r="AC197" s="2"/>
      <c r="AD197" s="2"/>
      <c r="AE197" s="2"/>
      <c r="AF197" s="3"/>
      <c r="AG197" s="2"/>
      <c r="AH197" s="2"/>
      <c r="AI197" s="2"/>
      <c r="AJ197" s="2"/>
      <c r="AK197" s="3"/>
      <c r="AL197" s="2"/>
      <c r="AM197" s="2"/>
      <c r="AN197" s="2"/>
      <c r="AO197" s="2"/>
      <c r="AP197" s="3"/>
      <c r="AQ197" s="2"/>
      <c r="AR197" s="2"/>
      <c r="AS197" s="2"/>
      <c r="AT197" s="7"/>
      <c r="AU197" s="2"/>
      <c r="AV197" s="2"/>
      <c r="AW197" s="2"/>
      <c r="AX197" s="2"/>
    </row>
    <row r="198">
      <c r="A198" s="2"/>
      <c r="B198" s="2"/>
      <c r="C198" s="2"/>
      <c r="D198" s="2"/>
      <c r="E198" s="2"/>
      <c r="F198" s="2"/>
      <c r="G198" s="2"/>
      <c r="H198" s="2"/>
      <c r="I198" s="2"/>
      <c r="J198" s="2"/>
      <c r="K198" s="2"/>
      <c r="L198" s="3"/>
      <c r="M198" s="4"/>
      <c r="N198" s="4"/>
      <c r="O198" s="5"/>
      <c r="P198" s="6"/>
      <c r="Q198" s="3"/>
      <c r="R198" s="2"/>
      <c r="S198" s="2"/>
      <c r="T198" s="2"/>
      <c r="U198" s="2"/>
      <c r="V198" s="3"/>
      <c r="W198" s="2"/>
      <c r="X198" s="2"/>
      <c r="Y198" s="2"/>
      <c r="Z198" s="2"/>
      <c r="AA198" s="3"/>
      <c r="AB198" s="2"/>
      <c r="AC198" s="2"/>
      <c r="AD198" s="2"/>
      <c r="AE198" s="2"/>
      <c r="AF198" s="3"/>
      <c r="AG198" s="2"/>
      <c r="AH198" s="2"/>
      <c r="AI198" s="2"/>
      <c r="AJ198" s="2"/>
      <c r="AK198" s="3"/>
      <c r="AL198" s="2"/>
      <c r="AM198" s="2"/>
      <c r="AN198" s="2"/>
      <c r="AO198" s="2"/>
      <c r="AP198" s="3"/>
      <c r="AQ198" s="2"/>
      <c r="AR198" s="2"/>
      <c r="AS198" s="2"/>
      <c r="AT198" s="7"/>
      <c r="AU198" s="2"/>
      <c r="AV198" s="2"/>
      <c r="AW198" s="2"/>
      <c r="AX198" s="2"/>
    </row>
    <row r="199">
      <c r="A199" s="2"/>
      <c r="B199" s="2"/>
      <c r="C199" s="2"/>
      <c r="D199" s="2"/>
      <c r="E199" s="2"/>
      <c r="F199" s="2"/>
      <c r="G199" s="2"/>
      <c r="H199" s="2"/>
      <c r="I199" s="2"/>
      <c r="J199" s="2"/>
      <c r="K199" s="2"/>
      <c r="L199" s="3"/>
      <c r="M199" s="4"/>
      <c r="N199" s="4"/>
      <c r="O199" s="5"/>
      <c r="P199" s="6"/>
      <c r="Q199" s="3"/>
      <c r="R199" s="2"/>
      <c r="S199" s="2"/>
      <c r="T199" s="2"/>
      <c r="U199" s="2"/>
      <c r="V199" s="3"/>
      <c r="W199" s="2"/>
      <c r="X199" s="2"/>
      <c r="Y199" s="2"/>
      <c r="Z199" s="2"/>
      <c r="AA199" s="3"/>
      <c r="AB199" s="2"/>
      <c r="AC199" s="2"/>
      <c r="AD199" s="2"/>
      <c r="AE199" s="2"/>
      <c r="AF199" s="3"/>
      <c r="AG199" s="2"/>
      <c r="AH199" s="2"/>
      <c r="AI199" s="2"/>
      <c r="AJ199" s="2"/>
      <c r="AK199" s="3"/>
      <c r="AL199" s="2"/>
      <c r="AM199" s="2"/>
      <c r="AN199" s="2"/>
      <c r="AO199" s="2"/>
      <c r="AP199" s="3"/>
      <c r="AQ199" s="2"/>
      <c r="AR199" s="2"/>
      <c r="AS199" s="2"/>
      <c r="AT199" s="7"/>
      <c r="AU199" s="2"/>
      <c r="AV199" s="2"/>
      <c r="AW199" s="2"/>
      <c r="AX199" s="2"/>
    </row>
    <row r="200">
      <c r="A200" s="2"/>
      <c r="B200" s="2"/>
      <c r="C200" s="2"/>
      <c r="D200" s="2"/>
      <c r="E200" s="2"/>
      <c r="F200" s="2"/>
      <c r="G200" s="2"/>
      <c r="H200" s="2"/>
      <c r="I200" s="2"/>
      <c r="J200" s="2"/>
      <c r="K200" s="2"/>
      <c r="L200" s="3"/>
      <c r="M200" s="4"/>
      <c r="N200" s="4"/>
      <c r="O200" s="5"/>
      <c r="P200" s="6"/>
      <c r="Q200" s="3"/>
      <c r="R200" s="2"/>
      <c r="S200" s="2"/>
      <c r="T200" s="2"/>
      <c r="U200" s="2"/>
      <c r="V200" s="3"/>
      <c r="W200" s="2"/>
      <c r="X200" s="2"/>
      <c r="Y200" s="2"/>
      <c r="Z200" s="2"/>
      <c r="AA200" s="3"/>
      <c r="AB200" s="2"/>
      <c r="AC200" s="2"/>
      <c r="AD200" s="2"/>
      <c r="AE200" s="2"/>
      <c r="AF200" s="3"/>
      <c r="AG200" s="2"/>
      <c r="AH200" s="2"/>
      <c r="AI200" s="2"/>
      <c r="AJ200" s="2"/>
      <c r="AK200" s="3"/>
      <c r="AL200" s="2"/>
      <c r="AM200" s="2"/>
      <c r="AN200" s="2"/>
      <c r="AO200" s="2"/>
      <c r="AP200" s="3"/>
      <c r="AQ200" s="2"/>
      <c r="AR200" s="2"/>
      <c r="AS200" s="2"/>
      <c r="AT200" s="7"/>
      <c r="AU200" s="2"/>
      <c r="AV200" s="2"/>
      <c r="AW200" s="2"/>
      <c r="AX200" s="2"/>
    </row>
    <row r="201">
      <c r="A201" s="2"/>
      <c r="B201" s="2"/>
      <c r="C201" s="2"/>
      <c r="D201" s="2"/>
      <c r="E201" s="2"/>
      <c r="F201" s="2"/>
      <c r="G201" s="2"/>
      <c r="H201" s="2"/>
      <c r="I201" s="2"/>
      <c r="J201" s="2"/>
      <c r="K201" s="2"/>
      <c r="L201" s="3"/>
      <c r="M201" s="4"/>
      <c r="N201" s="4"/>
      <c r="O201" s="5"/>
      <c r="P201" s="6"/>
      <c r="Q201" s="3"/>
      <c r="R201" s="2"/>
      <c r="S201" s="2"/>
      <c r="T201" s="2"/>
      <c r="U201" s="2"/>
      <c r="V201" s="3"/>
      <c r="W201" s="2"/>
      <c r="X201" s="2"/>
      <c r="Y201" s="2"/>
      <c r="Z201" s="2"/>
      <c r="AA201" s="3"/>
      <c r="AB201" s="2"/>
      <c r="AC201" s="2"/>
      <c r="AD201" s="2"/>
      <c r="AE201" s="2"/>
      <c r="AF201" s="3"/>
      <c r="AG201" s="2"/>
      <c r="AH201" s="2"/>
      <c r="AI201" s="2"/>
      <c r="AJ201" s="2"/>
      <c r="AK201" s="3"/>
      <c r="AL201" s="2"/>
      <c r="AM201" s="2"/>
      <c r="AN201" s="2"/>
      <c r="AO201" s="2"/>
      <c r="AP201" s="3"/>
      <c r="AQ201" s="2"/>
      <c r="AR201" s="2"/>
      <c r="AS201" s="2"/>
      <c r="AT201" s="7"/>
      <c r="AU201" s="2"/>
      <c r="AV201" s="2"/>
      <c r="AW201" s="2"/>
      <c r="AX201" s="2"/>
    </row>
    <row r="202">
      <c r="A202" s="2"/>
      <c r="B202" s="2"/>
      <c r="C202" s="2"/>
      <c r="D202" s="2"/>
      <c r="E202" s="2"/>
      <c r="F202" s="2"/>
      <c r="G202" s="2"/>
      <c r="H202" s="2"/>
      <c r="I202" s="2"/>
      <c r="J202" s="2"/>
      <c r="K202" s="2"/>
      <c r="L202" s="3"/>
      <c r="M202" s="4"/>
      <c r="N202" s="4"/>
      <c r="O202" s="5"/>
      <c r="P202" s="6"/>
      <c r="Q202" s="3"/>
      <c r="R202" s="2"/>
      <c r="S202" s="2"/>
      <c r="T202" s="2"/>
      <c r="U202" s="2"/>
      <c r="V202" s="3"/>
      <c r="W202" s="2"/>
      <c r="X202" s="2"/>
      <c r="Y202" s="2"/>
      <c r="Z202" s="2"/>
      <c r="AA202" s="3"/>
      <c r="AB202" s="2"/>
      <c r="AC202" s="2"/>
      <c r="AD202" s="2"/>
      <c r="AE202" s="2"/>
      <c r="AF202" s="3"/>
      <c r="AG202" s="2"/>
      <c r="AH202" s="2"/>
      <c r="AI202" s="2"/>
      <c r="AJ202" s="2"/>
      <c r="AK202" s="3"/>
      <c r="AL202" s="2"/>
      <c r="AM202" s="2"/>
      <c r="AN202" s="2"/>
      <c r="AO202" s="2"/>
      <c r="AP202" s="3"/>
      <c r="AQ202" s="2"/>
      <c r="AR202" s="2"/>
      <c r="AS202" s="2"/>
      <c r="AT202" s="7"/>
      <c r="AU202" s="2"/>
      <c r="AV202" s="2"/>
      <c r="AW202" s="2"/>
      <c r="AX202" s="2"/>
    </row>
    <row r="203">
      <c r="A203" s="2"/>
      <c r="B203" s="2"/>
      <c r="C203" s="2"/>
      <c r="D203" s="2"/>
      <c r="E203" s="2"/>
      <c r="F203" s="2"/>
      <c r="G203" s="2"/>
      <c r="H203" s="2"/>
      <c r="I203" s="2"/>
      <c r="J203" s="2"/>
      <c r="K203" s="2"/>
      <c r="L203" s="3"/>
      <c r="M203" s="4"/>
      <c r="N203" s="4"/>
      <c r="O203" s="5"/>
      <c r="P203" s="6"/>
      <c r="Q203" s="3"/>
      <c r="R203" s="2"/>
      <c r="S203" s="2"/>
      <c r="T203" s="2"/>
      <c r="U203" s="2"/>
      <c r="V203" s="3"/>
      <c r="W203" s="2"/>
      <c r="X203" s="2"/>
      <c r="Y203" s="2"/>
      <c r="Z203" s="2"/>
      <c r="AA203" s="3"/>
      <c r="AB203" s="2"/>
      <c r="AC203" s="2"/>
      <c r="AD203" s="2"/>
      <c r="AE203" s="2"/>
      <c r="AF203" s="3"/>
      <c r="AG203" s="2"/>
      <c r="AH203" s="2"/>
      <c r="AI203" s="2"/>
      <c r="AJ203" s="2"/>
      <c r="AK203" s="3"/>
      <c r="AL203" s="2"/>
      <c r="AM203" s="2"/>
      <c r="AN203" s="2"/>
      <c r="AO203" s="2"/>
      <c r="AP203" s="3"/>
      <c r="AQ203" s="2"/>
      <c r="AR203" s="2"/>
      <c r="AS203" s="2"/>
      <c r="AT203" s="7"/>
      <c r="AU203" s="2"/>
      <c r="AV203" s="2"/>
      <c r="AW203" s="2"/>
      <c r="AX203" s="2"/>
    </row>
    <row r="204">
      <c r="A204" s="2"/>
      <c r="B204" s="2"/>
      <c r="C204" s="2"/>
      <c r="D204" s="2"/>
      <c r="E204" s="2"/>
      <c r="F204" s="2"/>
      <c r="G204" s="2"/>
      <c r="H204" s="2"/>
      <c r="I204" s="2"/>
      <c r="J204" s="2"/>
      <c r="K204" s="2"/>
      <c r="L204" s="3"/>
      <c r="M204" s="4"/>
      <c r="N204" s="4"/>
      <c r="O204" s="5"/>
      <c r="P204" s="6"/>
      <c r="Q204" s="3"/>
      <c r="R204" s="2"/>
      <c r="S204" s="2"/>
      <c r="T204" s="2"/>
      <c r="U204" s="2"/>
      <c r="V204" s="3"/>
      <c r="W204" s="2"/>
      <c r="X204" s="2"/>
      <c r="Y204" s="2"/>
      <c r="Z204" s="2"/>
      <c r="AA204" s="3"/>
      <c r="AB204" s="2"/>
      <c r="AC204" s="2"/>
      <c r="AD204" s="2"/>
      <c r="AE204" s="2"/>
      <c r="AF204" s="3"/>
      <c r="AG204" s="2"/>
      <c r="AH204" s="2"/>
      <c r="AI204" s="2"/>
      <c r="AJ204" s="2"/>
      <c r="AK204" s="3"/>
      <c r="AL204" s="2"/>
      <c r="AM204" s="2"/>
      <c r="AN204" s="2"/>
      <c r="AO204" s="2"/>
      <c r="AP204" s="3"/>
      <c r="AQ204" s="2"/>
      <c r="AR204" s="2"/>
      <c r="AS204" s="2"/>
      <c r="AT204" s="7"/>
      <c r="AU204" s="2"/>
      <c r="AV204" s="2"/>
      <c r="AW204" s="2"/>
      <c r="AX204" s="2"/>
    </row>
    <row r="205">
      <c r="A205" s="2"/>
      <c r="B205" s="2"/>
      <c r="C205" s="2"/>
      <c r="D205" s="2"/>
      <c r="E205" s="2"/>
      <c r="F205" s="2"/>
      <c r="G205" s="2"/>
      <c r="H205" s="2"/>
      <c r="I205" s="2"/>
      <c r="J205" s="2"/>
      <c r="K205" s="2"/>
      <c r="L205" s="3"/>
      <c r="M205" s="4"/>
      <c r="N205" s="4"/>
      <c r="O205" s="5"/>
      <c r="P205" s="6"/>
      <c r="Q205" s="3"/>
      <c r="R205" s="2"/>
      <c r="S205" s="2"/>
      <c r="T205" s="2"/>
      <c r="U205" s="2"/>
      <c r="V205" s="3"/>
      <c r="W205" s="2"/>
      <c r="X205" s="2"/>
      <c r="Y205" s="2"/>
      <c r="Z205" s="2"/>
      <c r="AA205" s="3"/>
      <c r="AB205" s="2"/>
      <c r="AC205" s="2"/>
      <c r="AD205" s="2"/>
      <c r="AE205" s="2"/>
      <c r="AF205" s="3"/>
      <c r="AG205" s="2"/>
      <c r="AH205" s="2"/>
      <c r="AI205" s="2"/>
      <c r="AJ205" s="2"/>
      <c r="AK205" s="3"/>
      <c r="AL205" s="2"/>
      <c r="AM205" s="2"/>
      <c r="AN205" s="2"/>
      <c r="AO205" s="2"/>
      <c r="AP205" s="3"/>
      <c r="AQ205" s="2"/>
      <c r="AR205" s="2"/>
      <c r="AS205" s="2"/>
      <c r="AT205" s="7"/>
      <c r="AU205" s="2"/>
      <c r="AV205" s="2"/>
      <c r="AW205" s="2"/>
      <c r="AX205" s="2"/>
    </row>
    <row r="206">
      <c r="A206" s="2"/>
      <c r="B206" s="2"/>
      <c r="C206" s="2"/>
      <c r="D206" s="2"/>
      <c r="E206" s="2"/>
      <c r="F206" s="2"/>
      <c r="G206" s="2"/>
      <c r="H206" s="2"/>
      <c r="I206" s="2"/>
      <c r="J206" s="2"/>
      <c r="K206" s="2"/>
      <c r="L206" s="3"/>
      <c r="M206" s="4"/>
      <c r="N206" s="4"/>
      <c r="O206" s="5"/>
      <c r="P206" s="6"/>
      <c r="Q206" s="3"/>
      <c r="R206" s="2"/>
      <c r="S206" s="2"/>
      <c r="T206" s="2"/>
      <c r="U206" s="2"/>
      <c r="V206" s="3"/>
      <c r="W206" s="2"/>
      <c r="X206" s="2"/>
      <c r="Y206" s="2"/>
      <c r="Z206" s="2"/>
      <c r="AA206" s="3"/>
      <c r="AB206" s="2"/>
      <c r="AC206" s="2"/>
      <c r="AD206" s="2"/>
      <c r="AE206" s="2"/>
      <c r="AF206" s="3"/>
      <c r="AG206" s="2"/>
      <c r="AH206" s="2"/>
      <c r="AI206" s="2"/>
      <c r="AJ206" s="2"/>
      <c r="AK206" s="3"/>
      <c r="AL206" s="2"/>
      <c r="AM206" s="2"/>
      <c r="AN206" s="2"/>
      <c r="AO206" s="2"/>
      <c r="AP206" s="3"/>
      <c r="AQ206" s="2"/>
      <c r="AR206" s="2"/>
      <c r="AS206" s="2"/>
      <c r="AT206" s="7"/>
      <c r="AU206" s="2"/>
      <c r="AV206" s="2"/>
      <c r="AW206" s="2"/>
      <c r="AX206" s="2"/>
    </row>
    <row r="207">
      <c r="A207" s="2"/>
      <c r="B207" s="2"/>
      <c r="C207" s="2"/>
      <c r="D207" s="2"/>
      <c r="E207" s="2"/>
      <c r="F207" s="2"/>
      <c r="G207" s="2"/>
      <c r="H207" s="2"/>
      <c r="I207" s="2"/>
      <c r="J207" s="2"/>
      <c r="K207" s="2"/>
      <c r="L207" s="3"/>
      <c r="M207" s="4"/>
      <c r="N207" s="4"/>
      <c r="O207" s="5"/>
      <c r="P207" s="6"/>
      <c r="Q207" s="3"/>
      <c r="R207" s="2"/>
      <c r="S207" s="2"/>
      <c r="T207" s="2"/>
      <c r="U207" s="2"/>
      <c r="V207" s="3"/>
      <c r="W207" s="2"/>
      <c r="X207" s="2"/>
      <c r="Y207" s="2"/>
      <c r="Z207" s="2"/>
      <c r="AA207" s="3"/>
      <c r="AB207" s="2"/>
      <c r="AC207" s="2"/>
      <c r="AD207" s="2"/>
      <c r="AE207" s="2"/>
      <c r="AF207" s="3"/>
      <c r="AG207" s="2"/>
      <c r="AH207" s="2"/>
      <c r="AI207" s="2"/>
      <c r="AJ207" s="2"/>
      <c r="AK207" s="3"/>
      <c r="AL207" s="2"/>
      <c r="AM207" s="2"/>
      <c r="AN207" s="2"/>
      <c r="AO207" s="2"/>
      <c r="AP207" s="3"/>
      <c r="AQ207" s="2"/>
      <c r="AR207" s="2"/>
      <c r="AS207" s="2"/>
      <c r="AT207" s="7"/>
      <c r="AU207" s="2"/>
      <c r="AV207" s="2"/>
      <c r="AW207" s="2"/>
      <c r="AX207" s="2"/>
    </row>
    <row r="208">
      <c r="A208" s="2"/>
      <c r="B208" s="2"/>
      <c r="C208" s="2"/>
      <c r="D208" s="2"/>
      <c r="E208" s="2"/>
      <c r="F208" s="2"/>
      <c r="G208" s="2"/>
      <c r="H208" s="2"/>
      <c r="I208" s="2"/>
      <c r="J208" s="2"/>
      <c r="K208" s="2"/>
      <c r="L208" s="3"/>
      <c r="M208" s="4"/>
      <c r="N208" s="4"/>
      <c r="O208" s="5"/>
      <c r="P208" s="6"/>
      <c r="Q208" s="3"/>
      <c r="R208" s="2"/>
      <c r="S208" s="2"/>
      <c r="T208" s="2"/>
      <c r="U208" s="2"/>
      <c r="V208" s="3"/>
      <c r="W208" s="2"/>
      <c r="X208" s="2"/>
      <c r="Y208" s="2"/>
      <c r="Z208" s="2"/>
      <c r="AA208" s="3"/>
      <c r="AB208" s="2"/>
      <c r="AC208" s="2"/>
      <c r="AD208" s="2"/>
      <c r="AE208" s="2"/>
      <c r="AF208" s="3"/>
      <c r="AG208" s="2"/>
      <c r="AH208" s="2"/>
      <c r="AI208" s="2"/>
      <c r="AJ208" s="2"/>
      <c r="AK208" s="3"/>
      <c r="AL208" s="2"/>
      <c r="AM208" s="2"/>
      <c r="AN208" s="2"/>
      <c r="AO208" s="2"/>
      <c r="AP208" s="3"/>
      <c r="AQ208" s="2"/>
      <c r="AR208" s="2"/>
      <c r="AS208" s="2"/>
      <c r="AT208" s="7"/>
      <c r="AU208" s="2"/>
      <c r="AV208" s="2"/>
      <c r="AW208" s="2"/>
      <c r="AX208" s="2"/>
    </row>
    <row r="209">
      <c r="A209" s="2"/>
      <c r="B209" s="2"/>
      <c r="C209" s="2"/>
      <c r="D209" s="2"/>
      <c r="E209" s="2"/>
      <c r="F209" s="2"/>
      <c r="G209" s="2"/>
      <c r="H209" s="2"/>
      <c r="I209" s="2"/>
      <c r="J209" s="2"/>
      <c r="K209" s="2"/>
      <c r="L209" s="3"/>
      <c r="M209" s="4"/>
      <c r="N209" s="4"/>
      <c r="O209" s="5"/>
      <c r="P209" s="6"/>
      <c r="Q209" s="3"/>
      <c r="R209" s="2"/>
      <c r="S209" s="2"/>
      <c r="T209" s="2"/>
      <c r="U209" s="2"/>
      <c r="V209" s="3"/>
      <c r="W209" s="2"/>
      <c r="X209" s="2"/>
      <c r="Y209" s="2"/>
      <c r="Z209" s="2"/>
      <c r="AA209" s="3"/>
      <c r="AB209" s="2"/>
      <c r="AC209" s="2"/>
      <c r="AD209" s="2"/>
      <c r="AE209" s="2"/>
      <c r="AF209" s="3"/>
      <c r="AG209" s="2"/>
      <c r="AH209" s="2"/>
      <c r="AI209" s="2"/>
      <c r="AJ209" s="2"/>
      <c r="AK209" s="3"/>
      <c r="AL209" s="2"/>
      <c r="AM209" s="2"/>
      <c r="AN209" s="2"/>
      <c r="AO209" s="2"/>
      <c r="AP209" s="3"/>
      <c r="AQ209" s="2"/>
      <c r="AR209" s="2"/>
      <c r="AS209" s="2"/>
      <c r="AT209" s="7"/>
      <c r="AU209" s="2"/>
      <c r="AV209" s="2"/>
      <c r="AW209" s="2"/>
      <c r="AX209" s="2"/>
    </row>
    <row r="210">
      <c r="A210" s="2"/>
      <c r="B210" s="2"/>
      <c r="C210" s="2"/>
      <c r="D210" s="2"/>
      <c r="E210" s="2"/>
      <c r="F210" s="2"/>
      <c r="G210" s="2"/>
      <c r="H210" s="2"/>
      <c r="I210" s="2"/>
      <c r="J210" s="2"/>
      <c r="K210" s="2"/>
      <c r="L210" s="3"/>
      <c r="M210" s="4"/>
      <c r="N210" s="4"/>
      <c r="O210" s="5"/>
      <c r="P210" s="6"/>
      <c r="Q210" s="3"/>
      <c r="R210" s="2"/>
      <c r="S210" s="2"/>
      <c r="T210" s="2"/>
      <c r="U210" s="2"/>
      <c r="V210" s="3"/>
      <c r="W210" s="2"/>
      <c r="X210" s="2"/>
      <c r="Y210" s="2"/>
      <c r="Z210" s="2"/>
      <c r="AA210" s="3"/>
      <c r="AB210" s="2"/>
      <c r="AC210" s="2"/>
      <c r="AD210" s="2"/>
      <c r="AE210" s="2"/>
      <c r="AF210" s="3"/>
      <c r="AG210" s="2"/>
      <c r="AH210" s="2"/>
      <c r="AI210" s="2"/>
      <c r="AJ210" s="2"/>
      <c r="AK210" s="3"/>
      <c r="AL210" s="2"/>
      <c r="AM210" s="2"/>
      <c r="AN210" s="2"/>
      <c r="AO210" s="2"/>
      <c r="AP210" s="3"/>
      <c r="AQ210" s="2"/>
      <c r="AR210" s="2"/>
      <c r="AS210" s="2"/>
      <c r="AT210" s="7"/>
      <c r="AU210" s="2"/>
      <c r="AV210" s="2"/>
      <c r="AW210" s="2"/>
      <c r="AX210" s="2"/>
    </row>
    <row r="211">
      <c r="A211" s="2"/>
      <c r="B211" s="2"/>
      <c r="C211" s="2"/>
      <c r="D211" s="2"/>
      <c r="E211" s="2"/>
      <c r="F211" s="2"/>
      <c r="G211" s="2"/>
      <c r="H211" s="2"/>
      <c r="I211" s="2"/>
      <c r="J211" s="2"/>
      <c r="K211" s="2"/>
      <c r="L211" s="3"/>
      <c r="M211" s="4"/>
      <c r="N211" s="4"/>
      <c r="O211" s="5"/>
      <c r="P211" s="6"/>
      <c r="Q211" s="3"/>
      <c r="R211" s="2"/>
      <c r="S211" s="2"/>
      <c r="T211" s="2"/>
      <c r="U211" s="2"/>
      <c r="V211" s="3"/>
      <c r="W211" s="2"/>
      <c r="X211" s="2"/>
      <c r="Y211" s="2"/>
      <c r="Z211" s="2"/>
      <c r="AA211" s="3"/>
      <c r="AB211" s="2"/>
      <c r="AC211" s="2"/>
      <c r="AD211" s="2"/>
      <c r="AE211" s="2"/>
      <c r="AF211" s="3"/>
      <c r="AG211" s="2"/>
      <c r="AH211" s="2"/>
      <c r="AI211" s="2"/>
      <c r="AJ211" s="2"/>
      <c r="AK211" s="3"/>
      <c r="AL211" s="2"/>
      <c r="AM211" s="2"/>
      <c r="AN211" s="2"/>
      <c r="AO211" s="2"/>
      <c r="AP211" s="3"/>
      <c r="AQ211" s="2"/>
      <c r="AR211" s="2"/>
      <c r="AS211" s="2"/>
      <c r="AT211" s="7"/>
      <c r="AU211" s="2"/>
      <c r="AV211" s="2"/>
      <c r="AW211" s="2"/>
      <c r="AX211" s="2"/>
    </row>
    <row r="212">
      <c r="A212" s="2"/>
      <c r="B212" s="2"/>
      <c r="C212" s="2"/>
      <c r="D212" s="2"/>
      <c r="E212" s="2"/>
      <c r="F212" s="2"/>
      <c r="G212" s="2"/>
      <c r="H212" s="2"/>
      <c r="I212" s="2"/>
      <c r="J212" s="2"/>
      <c r="K212" s="2"/>
      <c r="L212" s="3"/>
      <c r="M212" s="4"/>
      <c r="N212" s="4"/>
      <c r="O212" s="5"/>
      <c r="P212" s="6"/>
      <c r="Q212" s="3"/>
      <c r="R212" s="2"/>
      <c r="S212" s="2"/>
      <c r="T212" s="2"/>
      <c r="U212" s="2"/>
      <c r="V212" s="3"/>
      <c r="W212" s="2"/>
      <c r="X212" s="2"/>
      <c r="Y212" s="2"/>
      <c r="Z212" s="2"/>
      <c r="AA212" s="3"/>
      <c r="AB212" s="2"/>
      <c r="AC212" s="2"/>
      <c r="AD212" s="2"/>
      <c r="AE212" s="2"/>
      <c r="AF212" s="3"/>
      <c r="AG212" s="2"/>
      <c r="AH212" s="2"/>
      <c r="AI212" s="2"/>
      <c r="AJ212" s="2"/>
      <c r="AK212" s="3"/>
      <c r="AL212" s="2"/>
      <c r="AM212" s="2"/>
      <c r="AN212" s="2"/>
      <c r="AO212" s="2"/>
      <c r="AP212" s="3"/>
      <c r="AQ212" s="2"/>
      <c r="AR212" s="2"/>
      <c r="AS212" s="2"/>
      <c r="AT212" s="7"/>
      <c r="AU212" s="2"/>
      <c r="AV212" s="2"/>
      <c r="AW212" s="2"/>
      <c r="AX212" s="2"/>
    </row>
    <row r="213">
      <c r="A213" s="2"/>
      <c r="B213" s="2"/>
      <c r="C213" s="2"/>
      <c r="D213" s="2"/>
      <c r="E213" s="2"/>
      <c r="F213" s="2"/>
      <c r="G213" s="2"/>
      <c r="H213" s="2"/>
      <c r="I213" s="2"/>
      <c r="J213" s="2"/>
      <c r="K213" s="2"/>
      <c r="L213" s="3"/>
      <c r="M213" s="4"/>
      <c r="N213" s="4"/>
      <c r="O213" s="5"/>
      <c r="P213" s="6"/>
      <c r="Q213" s="3"/>
      <c r="R213" s="2"/>
      <c r="S213" s="2"/>
      <c r="T213" s="2"/>
      <c r="U213" s="2"/>
      <c r="V213" s="3"/>
      <c r="W213" s="2"/>
      <c r="X213" s="2"/>
      <c r="Y213" s="2"/>
      <c r="Z213" s="2"/>
      <c r="AA213" s="3"/>
      <c r="AB213" s="2"/>
      <c r="AC213" s="2"/>
      <c r="AD213" s="2"/>
      <c r="AE213" s="2"/>
      <c r="AF213" s="3"/>
      <c r="AG213" s="2"/>
      <c r="AH213" s="2"/>
      <c r="AI213" s="2"/>
      <c r="AJ213" s="2"/>
      <c r="AK213" s="3"/>
      <c r="AL213" s="2"/>
      <c r="AM213" s="2"/>
      <c r="AN213" s="2"/>
      <c r="AO213" s="2"/>
      <c r="AP213" s="3"/>
      <c r="AQ213" s="2"/>
      <c r="AR213" s="2"/>
      <c r="AS213" s="2"/>
      <c r="AT213" s="7"/>
      <c r="AU213" s="2"/>
      <c r="AV213" s="2"/>
      <c r="AW213" s="2"/>
      <c r="AX213" s="2"/>
    </row>
    <row r="214">
      <c r="A214" s="2"/>
      <c r="B214" s="2"/>
      <c r="C214" s="2"/>
      <c r="D214" s="2"/>
      <c r="E214" s="2"/>
      <c r="F214" s="2"/>
      <c r="G214" s="2"/>
      <c r="H214" s="2"/>
      <c r="I214" s="2"/>
      <c r="J214" s="2"/>
      <c r="K214" s="2"/>
      <c r="L214" s="3"/>
      <c r="M214" s="4"/>
      <c r="N214" s="4"/>
      <c r="O214" s="5"/>
      <c r="P214" s="6"/>
      <c r="Q214" s="3"/>
      <c r="R214" s="2"/>
      <c r="S214" s="2"/>
      <c r="T214" s="2"/>
      <c r="U214" s="2"/>
      <c r="V214" s="3"/>
      <c r="W214" s="2"/>
      <c r="X214" s="2"/>
      <c r="Y214" s="2"/>
      <c r="Z214" s="2"/>
      <c r="AA214" s="3"/>
      <c r="AB214" s="2"/>
      <c r="AC214" s="2"/>
      <c r="AD214" s="2"/>
      <c r="AE214" s="2"/>
      <c r="AF214" s="3"/>
      <c r="AG214" s="2"/>
      <c r="AH214" s="2"/>
      <c r="AI214" s="2"/>
      <c r="AJ214" s="2"/>
      <c r="AK214" s="3"/>
      <c r="AL214" s="2"/>
      <c r="AM214" s="2"/>
      <c r="AN214" s="2"/>
      <c r="AO214" s="2"/>
      <c r="AP214" s="3"/>
      <c r="AQ214" s="2"/>
      <c r="AR214" s="2"/>
      <c r="AS214" s="2"/>
      <c r="AT214" s="7"/>
      <c r="AU214" s="2"/>
      <c r="AV214" s="2"/>
      <c r="AW214" s="2"/>
      <c r="AX214" s="2"/>
    </row>
    <row r="215">
      <c r="A215" s="2"/>
      <c r="B215" s="2"/>
      <c r="C215" s="2"/>
      <c r="D215" s="2"/>
      <c r="E215" s="2"/>
      <c r="F215" s="2"/>
      <c r="G215" s="2"/>
      <c r="H215" s="2"/>
      <c r="I215" s="2"/>
      <c r="J215" s="2"/>
      <c r="K215" s="2"/>
      <c r="L215" s="3"/>
      <c r="M215" s="4"/>
      <c r="N215" s="4"/>
      <c r="O215" s="5"/>
      <c r="P215" s="6"/>
      <c r="Q215" s="3"/>
      <c r="R215" s="2"/>
      <c r="S215" s="2"/>
      <c r="T215" s="2"/>
      <c r="U215" s="2"/>
      <c r="V215" s="3"/>
      <c r="W215" s="2"/>
      <c r="X215" s="2"/>
      <c r="Y215" s="2"/>
      <c r="Z215" s="2"/>
      <c r="AA215" s="3"/>
      <c r="AB215" s="2"/>
      <c r="AC215" s="2"/>
      <c r="AD215" s="2"/>
      <c r="AE215" s="2"/>
      <c r="AF215" s="3"/>
      <c r="AG215" s="2"/>
      <c r="AH215" s="2"/>
      <c r="AI215" s="2"/>
      <c r="AJ215" s="2"/>
      <c r="AK215" s="3"/>
      <c r="AL215" s="2"/>
      <c r="AM215" s="2"/>
      <c r="AN215" s="2"/>
      <c r="AO215" s="2"/>
      <c r="AP215" s="3"/>
      <c r="AQ215" s="2"/>
      <c r="AR215" s="2"/>
      <c r="AS215" s="2"/>
      <c r="AT215" s="7"/>
      <c r="AU215" s="2"/>
      <c r="AV215" s="2"/>
      <c r="AW215" s="2"/>
      <c r="AX215" s="2"/>
    </row>
    <row r="216">
      <c r="A216" s="2"/>
      <c r="B216" s="2"/>
      <c r="C216" s="2"/>
      <c r="D216" s="2"/>
      <c r="E216" s="2"/>
      <c r="F216" s="2"/>
      <c r="G216" s="2"/>
      <c r="H216" s="2"/>
      <c r="I216" s="2"/>
      <c r="J216" s="2"/>
      <c r="K216" s="2"/>
      <c r="L216" s="3"/>
      <c r="M216" s="4"/>
      <c r="N216" s="4"/>
      <c r="O216" s="5"/>
      <c r="P216" s="6"/>
      <c r="Q216" s="3"/>
      <c r="R216" s="2"/>
      <c r="S216" s="2"/>
      <c r="T216" s="2"/>
      <c r="U216" s="2"/>
      <c r="V216" s="3"/>
      <c r="W216" s="2"/>
      <c r="X216" s="2"/>
      <c r="Y216" s="2"/>
      <c r="Z216" s="2"/>
      <c r="AA216" s="3"/>
      <c r="AB216" s="2"/>
      <c r="AC216" s="2"/>
      <c r="AD216" s="2"/>
      <c r="AE216" s="2"/>
      <c r="AF216" s="3"/>
      <c r="AG216" s="2"/>
      <c r="AH216" s="2"/>
      <c r="AI216" s="2"/>
      <c r="AJ216" s="2"/>
      <c r="AK216" s="3"/>
      <c r="AL216" s="2"/>
      <c r="AM216" s="2"/>
      <c r="AN216" s="2"/>
      <c r="AO216" s="2"/>
      <c r="AP216" s="3"/>
      <c r="AQ216" s="2"/>
      <c r="AR216" s="2"/>
      <c r="AS216" s="2"/>
      <c r="AT216" s="7"/>
      <c r="AU216" s="2"/>
      <c r="AV216" s="2"/>
      <c r="AW216" s="2"/>
      <c r="AX216" s="2"/>
    </row>
    <row r="217">
      <c r="A217" s="2"/>
      <c r="B217" s="2"/>
      <c r="C217" s="2"/>
      <c r="D217" s="2"/>
      <c r="E217" s="2"/>
      <c r="F217" s="2"/>
      <c r="G217" s="2"/>
      <c r="H217" s="2"/>
      <c r="I217" s="2"/>
      <c r="J217" s="2"/>
      <c r="K217" s="2"/>
      <c r="L217" s="3"/>
      <c r="M217" s="4"/>
      <c r="N217" s="4"/>
      <c r="O217" s="5"/>
      <c r="P217" s="6"/>
      <c r="Q217" s="3"/>
      <c r="R217" s="2"/>
      <c r="S217" s="2"/>
      <c r="T217" s="2"/>
      <c r="U217" s="2"/>
      <c r="V217" s="3"/>
      <c r="W217" s="2"/>
      <c r="X217" s="2"/>
      <c r="Y217" s="2"/>
      <c r="Z217" s="2"/>
      <c r="AA217" s="3"/>
      <c r="AB217" s="2"/>
      <c r="AC217" s="2"/>
      <c r="AD217" s="2"/>
      <c r="AE217" s="2"/>
      <c r="AF217" s="3"/>
      <c r="AG217" s="2"/>
      <c r="AH217" s="2"/>
      <c r="AI217" s="2"/>
      <c r="AJ217" s="2"/>
      <c r="AK217" s="3"/>
      <c r="AL217" s="2"/>
      <c r="AM217" s="2"/>
      <c r="AN217" s="2"/>
      <c r="AO217" s="2"/>
      <c r="AP217" s="3"/>
      <c r="AQ217" s="2"/>
      <c r="AR217" s="2"/>
      <c r="AS217" s="2"/>
      <c r="AT217" s="7"/>
      <c r="AU217" s="2"/>
      <c r="AV217" s="2"/>
      <c r="AW217" s="2"/>
      <c r="AX217" s="2"/>
    </row>
    <row r="218">
      <c r="A218" s="2"/>
      <c r="B218" s="2"/>
      <c r="C218" s="2"/>
      <c r="D218" s="2"/>
      <c r="E218" s="2"/>
      <c r="F218" s="2"/>
      <c r="G218" s="2"/>
      <c r="H218" s="2"/>
      <c r="I218" s="2"/>
      <c r="J218" s="2"/>
      <c r="K218" s="2"/>
      <c r="L218" s="3"/>
      <c r="M218" s="4"/>
      <c r="N218" s="4"/>
      <c r="O218" s="5"/>
      <c r="P218" s="6"/>
      <c r="Q218" s="3"/>
      <c r="R218" s="2"/>
      <c r="S218" s="2"/>
      <c r="T218" s="2"/>
      <c r="U218" s="2"/>
      <c r="V218" s="3"/>
      <c r="W218" s="2"/>
      <c r="X218" s="2"/>
      <c r="Y218" s="2"/>
      <c r="Z218" s="2"/>
      <c r="AA218" s="3"/>
      <c r="AB218" s="2"/>
      <c r="AC218" s="2"/>
      <c r="AD218" s="2"/>
      <c r="AE218" s="2"/>
      <c r="AF218" s="3"/>
      <c r="AG218" s="2"/>
      <c r="AH218" s="2"/>
      <c r="AI218" s="2"/>
      <c r="AJ218" s="2"/>
      <c r="AK218" s="3"/>
      <c r="AL218" s="2"/>
      <c r="AM218" s="2"/>
      <c r="AN218" s="2"/>
      <c r="AO218" s="2"/>
      <c r="AP218" s="3"/>
      <c r="AQ218" s="2"/>
      <c r="AR218" s="2"/>
      <c r="AS218" s="2"/>
      <c r="AT218" s="7"/>
      <c r="AU218" s="2"/>
      <c r="AV218" s="2"/>
      <c r="AW218" s="2"/>
      <c r="AX218" s="2"/>
    </row>
    <row r="219">
      <c r="A219" s="2"/>
      <c r="B219" s="2"/>
      <c r="C219" s="2"/>
      <c r="D219" s="2"/>
      <c r="E219" s="2"/>
      <c r="F219" s="2"/>
      <c r="G219" s="2"/>
      <c r="H219" s="2"/>
      <c r="I219" s="2"/>
      <c r="J219" s="2"/>
      <c r="K219" s="2"/>
      <c r="L219" s="3"/>
      <c r="M219" s="4"/>
      <c r="N219" s="4"/>
      <c r="O219" s="5"/>
      <c r="P219" s="6"/>
      <c r="Q219" s="3"/>
      <c r="R219" s="2"/>
      <c r="S219" s="2"/>
      <c r="T219" s="2"/>
      <c r="U219" s="2"/>
      <c r="V219" s="3"/>
      <c r="W219" s="2"/>
      <c r="X219" s="2"/>
      <c r="Y219" s="2"/>
      <c r="Z219" s="2"/>
      <c r="AA219" s="3"/>
      <c r="AB219" s="2"/>
      <c r="AC219" s="2"/>
      <c r="AD219" s="2"/>
      <c r="AE219" s="2"/>
      <c r="AF219" s="3"/>
      <c r="AG219" s="2"/>
      <c r="AH219" s="2"/>
      <c r="AI219" s="2"/>
      <c r="AJ219" s="2"/>
      <c r="AK219" s="3"/>
      <c r="AL219" s="2"/>
      <c r="AM219" s="2"/>
      <c r="AN219" s="2"/>
      <c r="AO219" s="2"/>
      <c r="AP219" s="3"/>
      <c r="AQ219" s="2"/>
      <c r="AR219" s="2"/>
      <c r="AS219" s="2"/>
      <c r="AT219" s="7"/>
      <c r="AU219" s="2"/>
      <c r="AV219" s="2"/>
      <c r="AW219" s="2"/>
      <c r="AX219" s="2"/>
    </row>
    <row r="220">
      <c r="A220" s="2"/>
      <c r="B220" s="2"/>
      <c r="C220" s="2"/>
      <c r="D220" s="2"/>
      <c r="E220" s="2"/>
      <c r="F220" s="2"/>
      <c r="G220" s="2"/>
      <c r="H220" s="2"/>
      <c r="I220" s="2"/>
      <c r="J220" s="2"/>
      <c r="K220" s="2"/>
      <c r="L220" s="3"/>
      <c r="M220" s="4"/>
      <c r="N220" s="4"/>
      <c r="O220" s="5"/>
      <c r="P220" s="6"/>
      <c r="Q220" s="3"/>
      <c r="R220" s="2"/>
      <c r="S220" s="2"/>
      <c r="T220" s="2"/>
      <c r="U220" s="2"/>
      <c r="V220" s="3"/>
      <c r="W220" s="2"/>
      <c r="X220" s="2"/>
      <c r="Y220" s="2"/>
      <c r="Z220" s="2"/>
      <c r="AA220" s="3"/>
      <c r="AB220" s="2"/>
      <c r="AC220" s="2"/>
      <c r="AD220" s="2"/>
      <c r="AE220" s="2"/>
      <c r="AF220" s="3"/>
      <c r="AG220" s="2"/>
      <c r="AH220" s="2"/>
      <c r="AI220" s="2"/>
      <c r="AJ220" s="2"/>
      <c r="AK220" s="3"/>
      <c r="AL220" s="2"/>
      <c r="AM220" s="2"/>
      <c r="AN220" s="2"/>
      <c r="AO220" s="2"/>
      <c r="AP220" s="3"/>
      <c r="AQ220" s="2"/>
      <c r="AR220" s="2"/>
      <c r="AS220" s="2"/>
      <c r="AT220" s="7"/>
      <c r="AU220" s="2"/>
      <c r="AV220" s="2"/>
      <c r="AW220" s="2"/>
      <c r="AX220" s="2"/>
    </row>
    <row r="221">
      <c r="A221" s="2"/>
      <c r="B221" s="2"/>
      <c r="C221" s="2"/>
      <c r="D221" s="2"/>
      <c r="E221" s="2"/>
      <c r="F221" s="2"/>
      <c r="G221" s="2"/>
      <c r="H221" s="2"/>
      <c r="I221" s="2"/>
      <c r="J221" s="2"/>
      <c r="K221" s="2"/>
      <c r="L221" s="3"/>
      <c r="M221" s="4"/>
      <c r="N221" s="4"/>
      <c r="O221" s="5"/>
      <c r="P221" s="6"/>
      <c r="Q221" s="3"/>
      <c r="R221" s="2"/>
      <c r="S221" s="2"/>
      <c r="T221" s="2"/>
      <c r="U221" s="2"/>
      <c r="V221" s="3"/>
      <c r="W221" s="2"/>
      <c r="X221" s="2"/>
      <c r="Y221" s="2"/>
      <c r="Z221" s="2"/>
      <c r="AA221" s="3"/>
      <c r="AB221" s="2"/>
      <c r="AC221" s="2"/>
      <c r="AD221" s="2"/>
      <c r="AE221" s="2"/>
      <c r="AF221" s="3"/>
      <c r="AG221" s="2"/>
      <c r="AH221" s="2"/>
      <c r="AI221" s="2"/>
      <c r="AJ221" s="2"/>
      <c r="AK221" s="3"/>
      <c r="AL221" s="2"/>
      <c r="AM221" s="2"/>
      <c r="AN221" s="2"/>
      <c r="AO221" s="2"/>
      <c r="AP221" s="3"/>
      <c r="AQ221" s="2"/>
      <c r="AR221" s="2"/>
      <c r="AS221" s="2"/>
      <c r="AT221" s="7"/>
      <c r="AU221" s="2"/>
      <c r="AV221" s="2"/>
      <c r="AW221" s="2"/>
      <c r="AX221" s="2"/>
    </row>
    <row r="222">
      <c r="A222" s="2"/>
      <c r="B222" s="2"/>
      <c r="C222" s="2"/>
      <c r="D222" s="2"/>
      <c r="E222" s="2"/>
      <c r="F222" s="2"/>
      <c r="G222" s="2"/>
      <c r="H222" s="2"/>
      <c r="I222" s="2"/>
      <c r="J222" s="2"/>
      <c r="K222" s="2"/>
      <c r="L222" s="3"/>
      <c r="M222" s="4"/>
      <c r="N222" s="4"/>
      <c r="O222" s="5"/>
      <c r="P222" s="6"/>
      <c r="Q222" s="3"/>
      <c r="R222" s="2"/>
      <c r="S222" s="2"/>
      <c r="T222" s="2"/>
      <c r="U222" s="2"/>
      <c r="V222" s="3"/>
      <c r="W222" s="2"/>
      <c r="X222" s="2"/>
      <c r="Y222" s="2"/>
      <c r="Z222" s="2"/>
      <c r="AA222" s="3"/>
      <c r="AB222" s="2"/>
      <c r="AC222" s="2"/>
      <c r="AD222" s="2"/>
      <c r="AE222" s="2"/>
      <c r="AF222" s="3"/>
      <c r="AG222" s="2"/>
      <c r="AH222" s="2"/>
      <c r="AI222" s="2"/>
      <c r="AJ222" s="2"/>
      <c r="AK222" s="3"/>
      <c r="AL222" s="2"/>
      <c r="AM222" s="2"/>
      <c r="AN222" s="2"/>
      <c r="AO222" s="2"/>
      <c r="AP222" s="3"/>
      <c r="AQ222" s="2"/>
      <c r="AR222" s="2"/>
      <c r="AS222" s="2"/>
      <c r="AT222" s="7"/>
      <c r="AU222" s="2"/>
      <c r="AV222" s="2"/>
      <c r="AW222" s="2"/>
      <c r="AX222" s="2"/>
    </row>
    <row r="223">
      <c r="A223" s="2"/>
      <c r="B223" s="2"/>
      <c r="C223" s="2"/>
      <c r="D223" s="2"/>
      <c r="E223" s="2"/>
      <c r="F223" s="2"/>
      <c r="G223" s="2"/>
      <c r="H223" s="2"/>
      <c r="I223" s="2"/>
      <c r="J223" s="2"/>
      <c r="K223" s="2"/>
      <c r="L223" s="3"/>
      <c r="M223" s="4"/>
      <c r="N223" s="4"/>
      <c r="O223" s="5"/>
      <c r="P223" s="6"/>
      <c r="Q223" s="3"/>
      <c r="R223" s="2"/>
      <c r="S223" s="2"/>
      <c r="T223" s="2"/>
      <c r="U223" s="2"/>
      <c r="V223" s="3"/>
      <c r="W223" s="2"/>
      <c r="X223" s="2"/>
      <c r="Y223" s="2"/>
      <c r="Z223" s="2"/>
      <c r="AA223" s="3"/>
      <c r="AB223" s="2"/>
      <c r="AC223" s="2"/>
      <c r="AD223" s="2"/>
      <c r="AE223" s="2"/>
      <c r="AF223" s="3"/>
      <c r="AG223" s="2"/>
      <c r="AH223" s="2"/>
      <c r="AI223" s="2"/>
      <c r="AJ223" s="2"/>
      <c r="AK223" s="3"/>
      <c r="AL223" s="2"/>
      <c r="AM223" s="2"/>
      <c r="AN223" s="2"/>
      <c r="AO223" s="2"/>
      <c r="AP223" s="3"/>
      <c r="AQ223" s="2"/>
      <c r="AR223" s="2"/>
      <c r="AS223" s="2"/>
      <c r="AT223" s="7"/>
      <c r="AU223" s="2"/>
      <c r="AV223" s="2"/>
      <c r="AW223" s="2"/>
      <c r="AX223" s="2"/>
    </row>
    <row r="224">
      <c r="A224" s="2"/>
      <c r="B224" s="2"/>
      <c r="C224" s="2"/>
      <c r="D224" s="2"/>
      <c r="E224" s="2"/>
      <c r="F224" s="2"/>
      <c r="G224" s="2"/>
      <c r="H224" s="2"/>
      <c r="I224" s="2"/>
      <c r="J224" s="2"/>
      <c r="K224" s="2"/>
      <c r="L224" s="3"/>
      <c r="M224" s="4"/>
      <c r="N224" s="4"/>
      <c r="O224" s="5"/>
      <c r="P224" s="6"/>
      <c r="Q224" s="3"/>
      <c r="R224" s="2"/>
      <c r="S224" s="2"/>
      <c r="T224" s="2"/>
      <c r="U224" s="2"/>
      <c r="V224" s="3"/>
      <c r="W224" s="2"/>
      <c r="X224" s="2"/>
      <c r="Y224" s="2"/>
      <c r="Z224" s="2"/>
      <c r="AA224" s="3"/>
      <c r="AB224" s="2"/>
      <c r="AC224" s="2"/>
      <c r="AD224" s="2"/>
      <c r="AE224" s="2"/>
      <c r="AF224" s="3"/>
      <c r="AG224" s="2"/>
      <c r="AH224" s="2"/>
      <c r="AI224" s="2"/>
      <c r="AJ224" s="2"/>
      <c r="AK224" s="3"/>
      <c r="AL224" s="2"/>
      <c r="AM224" s="2"/>
      <c r="AN224" s="2"/>
      <c r="AO224" s="2"/>
      <c r="AP224" s="3"/>
      <c r="AQ224" s="2"/>
      <c r="AR224" s="2"/>
      <c r="AS224" s="2"/>
      <c r="AT224" s="7"/>
      <c r="AU224" s="2"/>
      <c r="AV224" s="2"/>
      <c r="AW224" s="2"/>
      <c r="AX224" s="2"/>
    </row>
    <row r="225">
      <c r="A225" s="2"/>
      <c r="B225" s="2"/>
      <c r="C225" s="2"/>
      <c r="D225" s="2"/>
      <c r="E225" s="2"/>
      <c r="F225" s="2"/>
      <c r="G225" s="2"/>
      <c r="H225" s="2"/>
      <c r="I225" s="2"/>
      <c r="J225" s="2"/>
      <c r="K225" s="2"/>
      <c r="L225" s="3"/>
      <c r="M225" s="4"/>
      <c r="N225" s="4"/>
      <c r="O225" s="5"/>
      <c r="P225" s="6"/>
      <c r="Q225" s="3"/>
      <c r="R225" s="2"/>
      <c r="S225" s="2"/>
      <c r="T225" s="2"/>
      <c r="U225" s="2"/>
      <c r="V225" s="3"/>
      <c r="W225" s="2"/>
      <c r="X225" s="2"/>
      <c r="Y225" s="2"/>
      <c r="Z225" s="2"/>
      <c r="AA225" s="3"/>
      <c r="AB225" s="2"/>
      <c r="AC225" s="2"/>
      <c r="AD225" s="2"/>
      <c r="AE225" s="2"/>
      <c r="AF225" s="3"/>
      <c r="AG225" s="2"/>
      <c r="AH225" s="2"/>
      <c r="AI225" s="2"/>
      <c r="AJ225" s="2"/>
      <c r="AK225" s="3"/>
      <c r="AL225" s="2"/>
      <c r="AM225" s="2"/>
      <c r="AN225" s="2"/>
      <c r="AO225" s="2"/>
      <c r="AP225" s="3"/>
      <c r="AQ225" s="2"/>
      <c r="AR225" s="2"/>
      <c r="AS225" s="2"/>
      <c r="AT225" s="7"/>
      <c r="AU225" s="2"/>
      <c r="AV225" s="2"/>
      <c r="AW225" s="2"/>
      <c r="AX225" s="2"/>
    </row>
    <row r="226">
      <c r="A226" s="2"/>
      <c r="B226" s="2"/>
      <c r="C226" s="2"/>
      <c r="D226" s="2"/>
      <c r="E226" s="2"/>
      <c r="F226" s="2"/>
      <c r="G226" s="2"/>
      <c r="H226" s="2"/>
      <c r="I226" s="2"/>
      <c r="J226" s="2"/>
      <c r="K226" s="2"/>
      <c r="L226" s="3"/>
      <c r="M226" s="4"/>
      <c r="N226" s="4"/>
      <c r="O226" s="5"/>
      <c r="P226" s="6"/>
      <c r="Q226" s="3"/>
      <c r="R226" s="2"/>
      <c r="S226" s="2"/>
      <c r="T226" s="2"/>
      <c r="U226" s="2"/>
      <c r="V226" s="3"/>
      <c r="W226" s="2"/>
      <c r="X226" s="2"/>
      <c r="Y226" s="2"/>
      <c r="Z226" s="2"/>
      <c r="AA226" s="3"/>
      <c r="AB226" s="2"/>
      <c r="AC226" s="2"/>
      <c r="AD226" s="2"/>
      <c r="AE226" s="2"/>
      <c r="AF226" s="3"/>
      <c r="AG226" s="2"/>
      <c r="AH226" s="2"/>
      <c r="AI226" s="2"/>
      <c r="AJ226" s="2"/>
      <c r="AK226" s="3"/>
      <c r="AL226" s="2"/>
      <c r="AM226" s="2"/>
      <c r="AN226" s="2"/>
      <c r="AO226" s="2"/>
      <c r="AP226" s="3"/>
      <c r="AQ226" s="2"/>
      <c r="AR226" s="2"/>
      <c r="AS226" s="2"/>
      <c r="AT226" s="7"/>
      <c r="AU226" s="2"/>
      <c r="AV226" s="2"/>
      <c r="AW226" s="2"/>
      <c r="AX226" s="2"/>
    </row>
    <row r="227">
      <c r="A227" s="2"/>
      <c r="B227" s="2"/>
      <c r="C227" s="2"/>
      <c r="D227" s="2"/>
      <c r="E227" s="2"/>
      <c r="F227" s="2"/>
      <c r="G227" s="2"/>
      <c r="H227" s="2"/>
      <c r="I227" s="2"/>
      <c r="J227" s="2"/>
      <c r="K227" s="2"/>
      <c r="L227" s="3"/>
      <c r="M227" s="4"/>
      <c r="N227" s="4"/>
      <c r="O227" s="5"/>
      <c r="P227" s="6"/>
      <c r="Q227" s="3"/>
      <c r="R227" s="2"/>
      <c r="S227" s="2"/>
      <c r="T227" s="2"/>
      <c r="U227" s="2"/>
      <c r="V227" s="3"/>
      <c r="W227" s="2"/>
      <c r="X227" s="2"/>
      <c r="Y227" s="2"/>
      <c r="Z227" s="2"/>
      <c r="AA227" s="3"/>
      <c r="AB227" s="2"/>
      <c r="AC227" s="2"/>
      <c r="AD227" s="2"/>
      <c r="AE227" s="2"/>
      <c r="AF227" s="3"/>
      <c r="AG227" s="2"/>
      <c r="AH227" s="2"/>
      <c r="AI227" s="2"/>
      <c r="AJ227" s="2"/>
      <c r="AK227" s="3"/>
      <c r="AL227" s="2"/>
      <c r="AM227" s="2"/>
      <c r="AN227" s="2"/>
      <c r="AO227" s="2"/>
      <c r="AP227" s="3"/>
      <c r="AQ227" s="2"/>
      <c r="AR227" s="2"/>
      <c r="AS227" s="2"/>
      <c r="AT227" s="7"/>
      <c r="AU227" s="2"/>
      <c r="AV227" s="2"/>
      <c r="AW227" s="2"/>
      <c r="AX227" s="2"/>
    </row>
    <row r="228">
      <c r="A228" s="2"/>
      <c r="B228" s="2"/>
      <c r="C228" s="2"/>
      <c r="D228" s="2"/>
      <c r="E228" s="2"/>
      <c r="F228" s="2"/>
      <c r="G228" s="2"/>
      <c r="H228" s="2"/>
      <c r="I228" s="2"/>
      <c r="J228" s="2"/>
      <c r="K228" s="2"/>
      <c r="L228" s="3"/>
      <c r="M228" s="4"/>
      <c r="N228" s="4"/>
      <c r="O228" s="5"/>
      <c r="P228" s="6"/>
      <c r="Q228" s="3"/>
      <c r="R228" s="2"/>
      <c r="S228" s="2"/>
      <c r="T228" s="2"/>
      <c r="U228" s="2"/>
      <c r="V228" s="3"/>
      <c r="W228" s="2"/>
      <c r="X228" s="2"/>
      <c r="Y228" s="2"/>
      <c r="Z228" s="2"/>
      <c r="AA228" s="3"/>
      <c r="AB228" s="2"/>
      <c r="AC228" s="2"/>
      <c r="AD228" s="2"/>
      <c r="AE228" s="2"/>
      <c r="AF228" s="3"/>
      <c r="AG228" s="2"/>
      <c r="AH228" s="2"/>
      <c r="AI228" s="2"/>
      <c r="AJ228" s="2"/>
      <c r="AK228" s="3"/>
      <c r="AL228" s="2"/>
      <c r="AM228" s="2"/>
      <c r="AN228" s="2"/>
      <c r="AO228" s="2"/>
      <c r="AP228" s="3"/>
      <c r="AQ228" s="2"/>
      <c r="AR228" s="2"/>
      <c r="AS228" s="2"/>
      <c r="AT228" s="7"/>
      <c r="AU228" s="2"/>
      <c r="AV228" s="2"/>
      <c r="AW228" s="2"/>
      <c r="AX228" s="2"/>
    </row>
    <row r="229">
      <c r="A229" s="2"/>
      <c r="B229" s="2"/>
      <c r="C229" s="2"/>
      <c r="D229" s="2"/>
      <c r="E229" s="2"/>
      <c r="F229" s="2"/>
      <c r="G229" s="2"/>
      <c r="H229" s="2"/>
      <c r="I229" s="2"/>
      <c r="J229" s="2"/>
      <c r="K229" s="2"/>
      <c r="L229" s="3"/>
      <c r="M229" s="4"/>
      <c r="N229" s="4"/>
      <c r="O229" s="5"/>
      <c r="P229" s="6"/>
      <c r="Q229" s="3"/>
      <c r="R229" s="2"/>
      <c r="S229" s="2"/>
      <c r="T229" s="2"/>
      <c r="U229" s="2"/>
      <c r="V229" s="3"/>
      <c r="W229" s="2"/>
      <c r="X229" s="2"/>
      <c r="Y229" s="2"/>
      <c r="Z229" s="2"/>
      <c r="AA229" s="3"/>
      <c r="AB229" s="2"/>
      <c r="AC229" s="2"/>
      <c r="AD229" s="2"/>
      <c r="AE229" s="2"/>
      <c r="AF229" s="3"/>
      <c r="AG229" s="2"/>
      <c r="AH229" s="2"/>
      <c r="AI229" s="2"/>
      <c r="AJ229" s="2"/>
      <c r="AK229" s="3"/>
      <c r="AL229" s="2"/>
      <c r="AM229" s="2"/>
      <c r="AN229" s="2"/>
      <c r="AO229" s="2"/>
      <c r="AP229" s="3"/>
      <c r="AQ229" s="2"/>
      <c r="AR229" s="2"/>
      <c r="AS229" s="2"/>
      <c r="AT229" s="7"/>
      <c r="AU229" s="2"/>
      <c r="AV229" s="2"/>
      <c r="AW229" s="2"/>
      <c r="AX229" s="2"/>
    </row>
    <row r="230">
      <c r="A230" s="2"/>
      <c r="B230" s="2"/>
      <c r="C230" s="2"/>
      <c r="D230" s="2"/>
      <c r="E230" s="2"/>
      <c r="F230" s="2"/>
      <c r="G230" s="2"/>
      <c r="H230" s="2"/>
      <c r="I230" s="2"/>
      <c r="J230" s="2"/>
      <c r="K230" s="2"/>
      <c r="L230" s="3"/>
      <c r="M230" s="4"/>
      <c r="N230" s="4"/>
      <c r="O230" s="5"/>
      <c r="P230" s="6"/>
      <c r="Q230" s="3"/>
      <c r="R230" s="2"/>
      <c r="S230" s="2"/>
      <c r="T230" s="2"/>
      <c r="U230" s="2"/>
      <c r="V230" s="3"/>
      <c r="W230" s="2"/>
      <c r="X230" s="2"/>
      <c r="Y230" s="2"/>
      <c r="Z230" s="2"/>
      <c r="AA230" s="3"/>
      <c r="AB230" s="2"/>
      <c r="AC230" s="2"/>
      <c r="AD230" s="2"/>
      <c r="AE230" s="2"/>
      <c r="AF230" s="3"/>
      <c r="AG230" s="2"/>
      <c r="AH230" s="2"/>
      <c r="AI230" s="2"/>
      <c r="AJ230" s="2"/>
      <c r="AK230" s="3"/>
      <c r="AL230" s="2"/>
      <c r="AM230" s="2"/>
      <c r="AN230" s="2"/>
      <c r="AO230" s="2"/>
      <c r="AP230" s="3"/>
      <c r="AQ230" s="2"/>
      <c r="AR230" s="2"/>
      <c r="AS230" s="2"/>
      <c r="AT230" s="7"/>
      <c r="AU230" s="2"/>
      <c r="AV230" s="2"/>
      <c r="AW230" s="2"/>
      <c r="AX230" s="2"/>
    </row>
    <row r="231">
      <c r="A231" s="2"/>
      <c r="B231" s="2"/>
      <c r="C231" s="2"/>
      <c r="D231" s="2"/>
      <c r="E231" s="2"/>
      <c r="F231" s="2"/>
      <c r="G231" s="2"/>
      <c r="H231" s="2"/>
      <c r="I231" s="2"/>
      <c r="J231" s="2"/>
      <c r="K231" s="2"/>
      <c r="L231" s="3"/>
      <c r="M231" s="4"/>
      <c r="N231" s="4"/>
      <c r="O231" s="5"/>
      <c r="P231" s="6"/>
      <c r="Q231" s="3"/>
      <c r="R231" s="2"/>
      <c r="S231" s="2"/>
      <c r="T231" s="2"/>
      <c r="U231" s="2"/>
      <c r="V231" s="3"/>
      <c r="W231" s="2"/>
      <c r="X231" s="2"/>
      <c r="Y231" s="2"/>
      <c r="Z231" s="2"/>
      <c r="AA231" s="3"/>
      <c r="AB231" s="2"/>
      <c r="AC231" s="2"/>
      <c r="AD231" s="2"/>
      <c r="AE231" s="2"/>
      <c r="AF231" s="3"/>
      <c r="AG231" s="2"/>
      <c r="AH231" s="2"/>
      <c r="AI231" s="2"/>
      <c r="AJ231" s="2"/>
      <c r="AK231" s="3"/>
      <c r="AL231" s="2"/>
      <c r="AM231" s="2"/>
      <c r="AN231" s="2"/>
      <c r="AO231" s="2"/>
      <c r="AP231" s="3"/>
      <c r="AQ231" s="2"/>
      <c r="AR231" s="2"/>
      <c r="AS231" s="2"/>
      <c r="AT231" s="7"/>
      <c r="AU231" s="2"/>
      <c r="AV231" s="2"/>
      <c r="AW231" s="2"/>
      <c r="AX231" s="2"/>
    </row>
    <row r="232">
      <c r="A232" s="2"/>
      <c r="B232" s="2"/>
      <c r="C232" s="2"/>
      <c r="D232" s="2"/>
      <c r="E232" s="2"/>
      <c r="F232" s="2"/>
      <c r="G232" s="2"/>
      <c r="H232" s="2"/>
      <c r="I232" s="2"/>
      <c r="J232" s="2"/>
      <c r="K232" s="2"/>
      <c r="L232" s="3"/>
      <c r="M232" s="4"/>
      <c r="N232" s="4"/>
      <c r="O232" s="5"/>
      <c r="P232" s="6"/>
      <c r="Q232" s="3"/>
      <c r="R232" s="2"/>
      <c r="S232" s="2"/>
      <c r="T232" s="2"/>
      <c r="U232" s="2"/>
      <c r="V232" s="3"/>
      <c r="W232" s="2"/>
      <c r="X232" s="2"/>
      <c r="Y232" s="2"/>
      <c r="Z232" s="2"/>
      <c r="AA232" s="3"/>
      <c r="AB232" s="2"/>
      <c r="AC232" s="2"/>
      <c r="AD232" s="2"/>
      <c r="AE232" s="2"/>
      <c r="AF232" s="3"/>
      <c r="AG232" s="2"/>
      <c r="AH232" s="2"/>
      <c r="AI232" s="2"/>
      <c r="AJ232" s="2"/>
      <c r="AK232" s="3"/>
      <c r="AL232" s="2"/>
      <c r="AM232" s="2"/>
      <c r="AN232" s="2"/>
      <c r="AO232" s="2"/>
      <c r="AP232" s="3"/>
      <c r="AQ232" s="2"/>
      <c r="AR232" s="2"/>
      <c r="AS232" s="2"/>
      <c r="AT232" s="7"/>
      <c r="AU232" s="2"/>
      <c r="AV232" s="2"/>
      <c r="AW232" s="2"/>
      <c r="AX232" s="2"/>
    </row>
    <row r="233">
      <c r="A233" s="2"/>
      <c r="B233" s="2"/>
      <c r="C233" s="2"/>
      <c r="D233" s="2"/>
      <c r="E233" s="2"/>
      <c r="F233" s="2"/>
      <c r="G233" s="2"/>
      <c r="H233" s="2"/>
      <c r="I233" s="2"/>
      <c r="J233" s="2"/>
      <c r="K233" s="2"/>
      <c r="L233" s="3"/>
      <c r="M233" s="4"/>
      <c r="N233" s="4"/>
      <c r="O233" s="5"/>
      <c r="P233" s="6"/>
      <c r="Q233" s="3"/>
      <c r="R233" s="2"/>
      <c r="S233" s="2"/>
      <c r="T233" s="2"/>
      <c r="U233" s="2"/>
      <c r="V233" s="3"/>
      <c r="W233" s="2"/>
      <c r="X233" s="2"/>
      <c r="Y233" s="2"/>
      <c r="Z233" s="2"/>
      <c r="AA233" s="3"/>
      <c r="AB233" s="2"/>
      <c r="AC233" s="2"/>
      <c r="AD233" s="2"/>
      <c r="AE233" s="2"/>
      <c r="AF233" s="3"/>
      <c r="AG233" s="2"/>
      <c r="AH233" s="2"/>
      <c r="AI233" s="2"/>
      <c r="AJ233" s="2"/>
      <c r="AK233" s="3"/>
      <c r="AL233" s="2"/>
      <c r="AM233" s="2"/>
      <c r="AN233" s="2"/>
      <c r="AO233" s="2"/>
      <c r="AP233" s="3"/>
      <c r="AQ233" s="2"/>
      <c r="AR233" s="2"/>
      <c r="AS233" s="2"/>
      <c r="AT233" s="7"/>
      <c r="AU233" s="2"/>
      <c r="AV233" s="2"/>
      <c r="AW233" s="2"/>
      <c r="AX233" s="2"/>
    </row>
    <row r="234">
      <c r="A234" s="2"/>
      <c r="B234" s="2"/>
      <c r="C234" s="2"/>
      <c r="D234" s="2"/>
      <c r="E234" s="2"/>
      <c r="F234" s="2"/>
      <c r="G234" s="2"/>
      <c r="H234" s="2"/>
      <c r="I234" s="2"/>
      <c r="J234" s="2"/>
      <c r="K234" s="2"/>
      <c r="L234" s="3"/>
      <c r="M234" s="4"/>
      <c r="N234" s="4"/>
      <c r="O234" s="5"/>
      <c r="P234" s="6"/>
      <c r="Q234" s="3"/>
      <c r="R234" s="2"/>
      <c r="S234" s="2"/>
      <c r="T234" s="2"/>
      <c r="U234" s="2"/>
      <c r="V234" s="3"/>
      <c r="W234" s="2"/>
      <c r="X234" s="2"/>
      <c r="Y234" s="2"/>
      <c r="Z234" s="2"/>
      <c r="AA234" s="3"/>
      <c r="AB234" s="2"/>
      <c r="AC234" s="2"/>
      <c r="AD234" s="2"/>
      <c r="AE234" s="2"/>
      <c r="AF234" s="3"/>
      <c r="AG234" s="2"/>
      <c r="AH234" s="2"/>
      <c r="AI234" s="2"/>
      <c r="AJ234" s="2"/>
      <c r="AK234" s="3"/>
      <c r="AL234" s="2"/>
      <c r="AM234" s="2"/>
      <c r="AN234" s="2"/>
      <c r="AO234" s="2"/>
      <c r="AP234" s="3"/>
      <c r="AQ234" s="2"/>
      <c r="AR234" s="2"/>
      <c r="AS234" s="2"/>
      <c r="AT234" s="7"/>
      <c r="AU234" s="2"/>
      <c r="AV234" s="2"/>
      <c r="AW234" s="2"/>
      <c r="AX234" s="2"/>
    </row>
    <row r="235">
      <c r="A235" s="2"/>
      <c r="B235" s="2"/>
      <c r="C235" s="2"/>
      <c r="D235" s="2"/>
      <c r="E235" s="2"/>
      <c r="F235" s="2"/>
      <c r="G235" s="2"/>
      <c r="H235" s="2"/>
      <c r="I235" s="2"/>
      <c r="J235" s="2"/>
      <c r="K235" s="2"/>
      <c r="L235" s="3"/>
      <c r="M235" s="4"/>
      <c r="N235" s="4"/>
      <c r="O235" s="5"/>
      <c r="P235" s="6"/>
      <c r="Q235" s="3"/>
      <c r="R235" s="2"/>
      <c r="S235" s="2"/>
      <c r="T235" s="2"/>
      <c r="U235" s="2"/>
      <c r="V235" s="3"/>
      <c r="W235" s="2"/>
      <c r="X235" s="2"/>
      <c r="Y235" s="2"/>
      <c r="Z235" s="2"/>
      <c r="AA235" s="3"/>
      <c r="AB235" s="2"/>
      <c r="AC235" s="2"/>
      <c r="AD235" s="2"/>
      <c r="AE235" s="2"/>
      <c r="AF235" s="3"/>
      <c r="AG235" s="2"/>
      <c r="AH235" s="2"/>
      <c r="AI235" s="2"/>
      <c r="AJ235" s="2"/>
      <c r="AK235" s="3"/>
      <c r="AL235" s="2"/>
      <c r="AM235" s="2"/>
      <c r="AN235" s="2"/>
      <c r="AO235" s="2"/>
      <c r="AP235" s="3"/>
      <c r="AQ235" s="2"/>
      <c r="AR235" s="2"/>
      <c r="AS235" s="2"/>
      <c r="AT235" s="7"/>
      <c r="AU235" s="2"/>
      <c r="AV235" s="2"/>
      <c r="AW235" s="2"/>
      <c r="AX235" s="2"/>
    </row>
    <row r="236">
      <c r="A236" s="2"/>
      <c r="B236" s="2"/>
      <c r="C236" s="2"/>
      <c r="D236" s="2"/>
      <c r="E236" s="2"/>
      <c r="F236" s="2"/>
      <c r="G236" s="2"/>
      <c r="H236" s="2"/>
      <c r="I236" s="2"/>
      <c r="J236" s="2"/>
      <c r="K236" s="2"/>
      <c r="L236" s="3"/>
      <c r="M236" s="4"/>
      <c r="N236" s="4"/>
      <c r="O236" s="5"/>
      <c r="P236" s="6"/>
      <c r="Q236" s="3"/>
      <c r="R236" s="2"/>
      <c r="S236" s="2"/>
      <c r="T236" s="2"/>
      <c r="U236" s="2"/>
      <c r="V236" s="3"/>
      <c r="W236" s="2"/>
      <c r="X236" s="2"/>
      <c r="Y236" s="2"/>
      <c r="Z236" s="2"/>
      <c r="AA236" s="3"/>
      <c r="AB236" s="2"/>
      <c r="AC236" s="2"/>
      <c r="AD236" s="2"/>
      <c r="AE236" s="2"/>
      <c r="AF236" s="3"/>
      <c r="AG236" s="2"/>
      <c r="AH236" s="2"/>
      <c r="AI236" s="2"/>
      <c r="AJ236" s="2"/>
      <c r="AK236" s="3"/>
      <c r="AL236" s="2"/>
      <c r="AM236" s="2"/>
      <c r="AN236" s="2"/>
      <c r="AO236" s="2"/>
      <c r="AP236" s="3"/>
      <c r="AQ236" s="2"/>
      <c r="AR236" s="2"/>
      <c r="AS236" s="2"/>
      <c r="AT236" s="7"/>
      <c r="AU236" s="2"/>
      <c r="AV236" s="2"/>
      <c r="AW236" s="2"/>
      <c r="AX236" s="2"/>
    </row>
    <row r="237">
      <c r="A237" s="2"/>
      <c r="B237" s="2"/>
      <c r="C237" s="2"/>
      <c r="D237" s="2"/>
      <c r="E237" s="2"/>
      <c r="F237" s="2"/>
      <c r="G237" s="2"/>
      <c r="H237" s="2"/>
      <c r="I237" s="2"/>
      <c r="J237" s="2"/>
      <c r="K237" s="2"/>
      <c r="L237" s="3"/>
      <c r="M237" s="4"/>
      <c r="N237" s="4"/>
      <c r="O237" s="5"/>
      <c r="P237" s="6"/>
      <c r="Q237" s="3"/>
      <c r="R237" s="2"/>
      <c r="S237" s="2"/>
      <c r="T237" s="2"/>
      <c r="U237" s="2"/>
      <c r="V237" s="3"/>
      <c r="W237" s="2"/>
      <c r="X237" s="2"/>
      <c r="Y237" s="2"/>
      <c r="Z237" s="2"/>
      <c r="AA237" s="3"/>
      <c r="AB237" s="2"/>
      <c r="AC237" s="2"/>
      <c r="AD237" s="2"/>
      <c r="AE237" s="2"/>
      <c r="AF237" s="3"/>
      <c r="AG237" s="2"/>
      <c r="AH237" s="2"/>
      <c r="AI237" s="2"/>
      <c r="AJ237" s="2"/>
      <c r="AK237" s="3"/>
      <c r="AL237" s="2"/>
      <c r="AM237" s="2"/>
      <c r="AN237" s="2"/>
      <c r="AO237" s="2"/>
      <c r="AP237" s="3"/>
      <c r="AQ237" s="2"/>
      <c r="AR237" s="2"/>
      <c r="AS237" s="2"/>
      <c r="AT237" s="7"/>
      <c r="AU237" s="2"/>
      <c r="AV237" s="2"/>
      <c r="AW237" s="2"/>
      <c r="AX237" s="2"/>
    </row>
    <row r="238">
      <c r="A238" s="2"/>
      <c r="B238" s="2"/>
      <c r="C238" s="2"/>
      <c r="D238" s="2"/>
      <c r="E238" s="2"/>
      <c r="F238" s="2"/>
      <c r="G238" s="2"/>
      <c r="H238" s="2"/>
      <c r="I238" s="2"/>
      <c r="J238" s="2"/>
      <c r="K238" s="2"/>
      <c r="L238" s="3"/>
      <c r="M238" s="4"/>
      <c r="N238" s="4"/>
      <c r="O238" s="5"/>
      <c r="P238" s="6"/>
      <c r="Q238" s="3"/>
      <c r="R238" s="2"/>
      <c r="S238" s="2"/>
      <c r="T238" s="2"/>
      <c r="U238" s="2"/>
      <c r="V238" s="3"/>
      <c r="W238" s="2"/>
      <c r="X238" s="2"/>
      <c r="Y238" s="2"/>
      <c r="Z238" s="2"/>
      <c r="AA238" s="3"/>
      <c r="AB238" s="2"/>
      <c r="AC238" s="2"/>
      <c r="AD238" s="2"/>
      <c r="AE238" s="2"/>
      <c r="AF238" s="3"/>
      <c r="AG238" s="2"/>
      <c r="AH238" s="2"/>
      <c r="AI238" s="2"/>
      <c r="AJ238" s="2"/>
      <c r="AK238" s="3"/>
      <c r="AL238" s="2"/>
      <c r="AM238" s="2"/>
      <c r="AN238" s="2"/>
      <c r="AO238" s="2"/>
      <c r="AP238" s="3"/>
      <c r="AQ238" s="2"/>
      <c r="AR238" s="2"/>
      <c r="AS238" s="2"/>
      <c r="AT238" s="7"/>
      <c r="AU238" s="2"/>
      <c r="AV238" s="2"/>
      <c r="AW238" s="2"/>
      <c r="AX238" s="2"/>
    </row>
    <row r="239">
      <c r="A239" s="2"/>
      <c r="B239" s="2"/>
      <c r="C239" s="2"/>
      <c r="D239" s="2"/>
      <c r="E239" s="2"/>
      <c r="F239" s="2"/>
      <c r="G239" s="2"/>
      <c r="H239" s="2"/>
      <c r="I239" s="2"/>
      <c r="J239" s="2"/>
      <c r="K239" s="2"/>
      <c r="L239" s="3"/>
      <c r="M239" s="4"/>
      <c r="N239" s="4"/>
      <c r="O239" s="5"/>
      <c r="P239" s="6"/>
      <c r="Q239" s="3"/>
      <c r="R239" s="2"/>
      <c r="S239" s="2"/>
      <c r="T239" s="2"/>
      <c r="U239" s="2"/>
      <c r="V239" s="3"/>
      <c r="W239" s="2"/>
      <c r="X239" s="2"/>
      <c r="Y239" s="2"/>
      <c r="Z239" s="2"/>
      <c r="AA239" s="3"/>
      <c r="AB239" s="2"/>
      <c r="AC239" s="2"/>
      <c r="AD239" s="2"/>
      <c r="AE239" s="2"/>
      <c r="AF239" s="3"/>
      <c r="AG239" s="2"/>
      <c r="AH239" s="2"/>
      <c r="AI239" s="2"/>
      <c r="AJ239" s="2"/>
      <c r="AK239" s="3"/>
      <c r="AL239" s="2"/>
      <c r="AM239" s="2"/>
      <c r="AN239" s="2"/>
      <c r="AO239" s="2"/>
      <c r="AP239" s="3"/>
      <c r="AQ239" s="2"/>
      <c r="AR239" s="2"/>
      <c r="AS239" s="2"/>
      <c r="AT239" s="7"/>
      <c r="AU239" s="2"/>
      <c r="AV239" s="2"/>
      <c r="AW239" s="2"/>
      <c r="AX239" s="2"/>
    </row>
    <row r="240">
      <c r="A240" s="2"/>
      <c r="B240" s="2"/>
      <c r="C240" s="2"/>
      <c r="D240" s="2"/>
      <c r="E240" s="2"/>
      <c r="F240" s="2"/>
      <c r="G240" s="2"/>
      <c r="H240" s="2"/>
      <c r="I240" s="2"/>
      <c r="J240" s="2"/>
      <c r="K240" s="2"/>
      <c r="L240" s="3"/>
      <c r="M240" s="4"/>
      <c r="N240" s="4"/>
      <c r="O240" s="5"/>
      <c r="P240" s="6"/>
      <c r="Q240" s="3"/>
      <c r="R240" s="2"/>
      <c r="S240" s="2"/>
      <c r="T240" s="2"/>
      <c r="U240" s="2"/>
      <c r="V240" s="3"/>
      <c r="W240" s="2"/>
      <c r="X240" s="2"/>
      <c r="Y240" s="2"/>
      <c r="Z240" s="2"/>
      <c r="AA240" s="3"/>
      <c r="AB240" s="2"/>
      <c r="AC240" s="2"/>
      <c r="AD240" s="2"/>
      <c r="AE240" s="2"/>
      <c r="AF240" s="3"/>
      <c r="AG240" s="2"/>
      <c r="AH240" s="2"/>
      <c r="AI240" s="2"/>
      <c r="AJ240" s="2"/>
      <c r="AK240" s="3"/>
      <c r="AL240" s="2"/>
      <c r="AM240" s="2"/>
      <c r="AN240" s="2"/>
      <c r="AO240" s="2"/>
      <c r="AP240" s="3"/>
      <c r="AQ240" s="2"/>
      <c r="AR240" s="2"/>
      <c r="AS240" s="2"/>
      <c r="AT240" s="7"/>
      <c r="AU240" s="2"/>
      <c r="AV240" s="2"/>
      <c r="AW240" s="2"/>
      <c r="AX240" s="2"/>
    </row>
    <row r="241">
      <c r="A241" s="2"/>
      <c r="B241" s="2"/>
      <c r="C241" s="2"/>
      <c r="D241" s="2"/>
      <c r="E241" s="2"/>
      <c r="F241" s="2"/>
      <c r="G241" s="2"/>
      <c r="H241" s="2"/>
      <c r="I241" s="2"/>
      <c r="J241" s="2"/>
      <c r="K241" s="2"/>
      <c r="L241" s="3"/>
      <c r="M241" s="4"/>
      <c r="N241" s="4"/>
      <c r="O241" s="5"/>
      <c r="P241" s="6"/>
      <c r="Q241" s="3"/>
      <c r="R241" s="2"/>
      <c r="S241" s="2"/>
      <c r="T241" s="2"/>
      <c r="U241" s="2"/>
      <c r="V241" s="3"/>
      <c r="W241" s="2"/>
      <c r="X241" s="2"/>
      <c r="Y241" s="2"/>
      <c r="Z241" s="2"/>
      <c r="AA241" s="3"/>
      <c r="AB241" s="2"/>
      <c r="AC241" s="2"/>
      <c r="AD241" s="2"/>
      <c r="AE241" s="2"/>
      <c r="AF241" s="3"/>
      <c r="AG241" s="2"/>
      <c r="AH241" s="2"/>
      <c r="AI241" s="2"/>
      <c r="AJ241" s="2"/>
      <c r="AK241" s="3"/>
      <c r="AL241" s="2"/>
      <c r="AM241" s="2"/>
      <c r="AN241" s="2"/>
      <c r="AO241" s="2"/>
      <c r="AP241" s="3"/>
      <c r="AQ241" s="2"/>
      <c r="AR241" s="2"/>
      <c r="AS241" s="2"/>
      <c r="AT241" s="7"/>
      <c r="AU241" s="2"/>
      <c r="AV241" s="2"/>
      <c r="AW241" s="2"/>
      <c r="AX241" s="2"/>
    </row>
    <row r="242">
      <c r="A242" s="2"/>
      <c r="B242" s="2"/>
      <c r="C242" s="2"/>
      <c r="D242" s="2"/>
      <c r="E242" s="2"/>
      <c r="F242" s="2"/>
      <c r="G242" s="2"/>
      <c r="H242" s="2"/>
      <c r="I242" s="2"/>
      <c r="J242" s="2"/>
      <c r="K242" s="2"/>
      <c r="L242" s="3"/>
      <c r="M242" s="4"/>
      <c r="N242" s="4"/>
      <c r="O242" s="5"/>
      <c r="P242" s="6"/>
      <c r="Q242" s="3"/>
      <c r="R242" s="2"/>
      <c r="S242" s="2"/>
      <c r="T242" s="2"/>
      <c r="U242" s="2"/>
      <c r="V242" s="3"/>
      <c r="W242" s="2"/>
      <c r="X242" s="2"/>
      <c r="Y242" s="2"/>
      <c r="Z242" s="2"/>
      <c r="AA242" s="3"/>
      <c r="AB242" s="2"/>
      <c r="AC242" s="2"/>
      <c r="AD242" s="2"/>
      <c r="AE242" s="2"/>
      <c r="AF242" s="3"/>
      <c r="AG242" s="2"/>
      <c r="AH242" s="2"/>
      <c r="AI242" s="2"/>
      <c r="AJ242" s="2"/>
      <c r="AK242" s="3"/>
      <c r="AL242" s="2"/>
      <c r="AM242" s="2"/>
      <c r="AN242" s="2"/>
      <c r="AO242" s="2"/>
      <c r="AP242" s="3"/>
      <c r="AQ242" s="2"/>
      <c r="AR242" s="2"/>
      <c r="AS242" s="2"/>
      <c r="AT242" s="7"/>
      <c r="AU242" s="2"/>
      <c r="AV242" s="2"/>
      <c r="AW242" s="2"/>
      <c r="AX242" s="2"/>
    </row>
    <row r="243">
      <c r="A243" s="2"/>
      <c r="B243" s="2"/>
      <c r="C243" s="2"/>
      <c r="D243" s="2"/>
      <c r="E243" s="2"/>
      <c r="F243" s="2"/>
      <c r="G243" s="2"/>
      <c r="H243" s="2"/>
      <c r="I243" s="2"/>
      <c r="J243" s="2"/>
      <c r="K243" s="2"/>
      <c r="L243" s="3"/>
      <c r="M243" s="4"/>
      <c r="N243" s="4"/>
      <c r="O243" s="5"/>
      <c r="P243" s="6"/>
      <c r="Q243" s="3"/>
      <c r="R243" s="2"/>
      <c r="S243" s="2"/>
      <c r="T243" s="2"/>
      <c r="U243" s="2"/>
      <c r="V243" s="3"/>
      <c r="W243" s="2"/>
      <c r="X243" s="2"/>
      <c r="Y243" s="2"/>
      <c r="Z243" s="2"/>
      <c r="AA243" s="3"/>
      <c r="AB243" s="2"/>
      <c r="AC243" s="2"/>
      <c r="AD243" s="2"/>
      <c r="AE243" s="2"/>
      <c r="AF243" s="3"/>
      <c r="AG243" s="2"/>
      <c r="AH243" s="2"/>
      <c r="AI243" s="2"/>
      <c r="AJ243" s="2"/>
      <c r="AK243" s="3"/>
      <c r="AL243" s="2"/>
      <c r="AM243" s="2"/>
      <c r="AN243" s="2"/>
      <c r="AO243" s="2"/>
      <c r="AP243" s="3"/>
      <c r="AQ243" s="2"/>
      <c r="AR243" s="2"/>
      <c r="AS243" s="2"/>
      <c r="AT243" s="7"/>
      <c r="AU243" s="2"/>
      <c r="AV243" s="2"/>
      <c r="AW243" s="2"/>
      <c r="AX243" s="2"/>
    </row>
    <row r="244">
      <c r="A244" s="2"/>
      <c r="B244" s="2"/>
      <c r="C244" s="2"/>
      <c r="D244" s="2"/>
      <c r="E244" s="2"/>
      <c r="F244" s="2"/>
      <c r="G244" s="2"/>
      <c r="H244" s="2"/>
      <c r="I244" s="2"/>
      <c r="J244" s="2"/>
      <c r="K244" s="2"/>
      <c r="L244" s="3"/>
      <c r="M244" s="4"/>
      <c r="N244" s="4"/>
      <c r="O244" s="5"/>
      <c r="P244" s="6"/>
      <c r="Q244" s="3"/>
      <c r="R244" s="2"/>
      <c r="S244" s="2"/>
      <c r="T244" s="2"/>
      <c r="U244" s="2"/>
      <c r="V244" s="3"/>
      <c r="W244" s="2"/>
      <c r="X244" s="2"/>
      <c r="Y244" s="2"/>
      <c r="Z244" s="2"/>
      <c r="AA244" s="3"/>
      <c r="AB244" s="2"/>
      <c r="AC244" s="2"/>
      <c r="AD244" s="2"/>
      <c r="AE244" s="2"/>
      <c r="AF244" s="3"/>
      <c r="AG244" s="2"/>
      <c r="AH244" s="2"/>
      <c r="AI244" s="2"/>
      <c r="AJ244" s="2"/>
      <c r="AK244" s="3"/>
      <c r="AL244" s="2"/>
      <c r="AM244" s="2"/>
      <c r="AN244" s="2"/>
      <c r="AO244" s="2"/>
      <c r="AP244" s="3"/>
      <c r="AQ244" s="2"/>
      <c r="AR244" s="2"/>
      <c r="AS244" s="2"/>
      <c r="AT244" s="7"/>
      <c r="AU244" s="2"/>
      <c r="AV244" s="2"/>
      <c r="AW244" s="2"/>
      <c r="AX244" s="2"/>
    </row>
    <row r="245">
      <c r="A245" s="2"/>
      <c r="B245" s="2"/>
      <c r="C245" s="2"/>
      <c r="D245" s="2"/>
      <c r="E245" s="2"/>
      <c r="F245" s="2"/>
      <c r="G245" s="2"/>
      <c r="H245" s="2"/>
      <c r="I245" s="2"/>
      <c r="J245" s="2"/>
      <c r="K245" s="2"/>
      <c r="L245" s="3"/>
      <c r="M245" s="4"/>
      <c r="N245" s="4"/>
      <c r="O245" s="5"/>
      <c r="P245" s="6"/>
      <c r="Q245" s="3"/>
      <c r="R245" s="2"/>
      <c r="S245" s="2"/>
      <c r="T245" s="2"/>
      <c r="U245" s="2"/>
      <c r="V245" s="3"/>
      <c r="W245" s="2"/>
      <c r="X245" s="2"/>
      <c r="Y245" s="2"/>
      <c r="Z245" s="2"/>
      <c r="AA245" s="3"/>
      <c r="AB245" s="2"/>
      <c r="AC245" s="2"/>
      <c r="AD245" s="2"/>
      <c r="AE245" s="2"/>
      <c r="AF245" s="3"/>
      <c r="AG245" s="2"/>
      <c r="AH245" s="2"/>
      <c r="AI245" s="2"/>
      <c r="AJ245" s="2"/>
      <c r="AK245" s="3"/>
      <c r="AL245" s="2"/>
      <c r="AM245" s="2"/>
      <c r="AN245" s="2"/>
      <c r="AO245" s="2"/>
      <c r="AP245" s="3"/>
      <c r="AQ245" s="2"/>
      <c r="AR245" s="2"/>
      <c r="AS245" s="2"/>
      <c r="AT245" s="7"/>
      <c r="AU245" s="2"/>
      <c r="AV245" s="2"/>
      <c r="AW245" s="2"/>
      <c r="AX245" s="2"/>
    </row>
    <row r="246">
      <c r="A246" s="2"/>
      <c r="B246" s="2"/>
      <c r="C246" s="2"/>
      <c r="D246" s="2"/>
      <c r="E246" s="2"/>
      <c r="F246" s="2"/>
      <c r="G246" s="2"/>
      <c r="H246" s="2"/>
      <c r="I246" s="2"/>
      <c r="J246" s="2"/>
      <c r="K246" s="2"/>
      <c r="L246" s="3"/>
      <c r="M246" s="4"/>
      <c r="N246" s="4"/>
      <c r="O246" s="5"/>
      <c r="P246" s="6"/>
      <c r="Q246" s="3"/>
      <c r="R246" s="2"/>
      <c r="S246" s="2"/>
      <c r="T246" s="2"/>
      <c r="U246" s="2"/>
      <c r="V246" s="3"/>
      <c r="W246" s="2"/>
      <c r="X246" s="2"/>
      <c r="Y246" s="2"/>
      <c r="Z246" s="2"/>
      <c r="AA246" s="3"/>
      <c r="AB246" s="2"/>
      <c r="AC246" s="2"/>
      <c r="AD246" s="2"/>
      <c r="AE246" s="2"/>
      <c r="AF246" s="3"/>
      <c r="AG246" s="2"/>
      <c r="AH246" s="2"/>
      <c r="AI246" s="2"/>
      <c r="AJ246" s="2"/>
      <c r="AK246" s="3"/>
      <c r="AL246" s="2"/>
      <c r="AM246" s="2"/>
      <c r="AN246" s="2"/>
      <c r="AO246" s="2"/>
      <c r="AP246" s="3"/>
      <c r="AQ246" s="2"/>
      <c r="AR246" s="2"/>
      <c r="AS246" s="2"/>
      <c r="AT246" s="7"/>
      <c r="AU246" s="2"/>
      <c r="AV246" s="2"/>
      <c r="AW246" s="2"/>
      <c r="AX246" s="2"/>
    </row>
    <row r="247">
      <c r="A247" s="2"/>
      <c r="B247" s="2"/>
      <c r="C247" s="2"/>
      <c r="D247" s="2"/>
      <c r="E247" s="2"/>
      <c r="F247" s="2"/>
      <c r="G247" s="2"/>
      <c r="H247" s="2"/>
      <c r="I247" s="2"/>
      <c r="J247" s="2"/>
      <c r="K247" s="2"/>
      <c r="L247" s="3"/>
      <c r="M247" s="4"/>
      <c r="N247" s="4"/>
      <c r="O247" s="5"/>
      <c r="P247" s="6"/>
      <c r="Q247" s="3"/>
      <c r="R247" s="2"/>
      <c r="S247" s="2"/>
      <c r="T247" s="2"/>
      <c r="U247" s="2"/>
      <c r="V247" s="3"/>
      <c r="W247" s="2"/>
      <c r="X247" s="2"/>
      <c r="Y247" s="2"/>
      <c r="Z247" s="2"/>
      <c r="AA247" s="3"/>
      <c r="AB247" s="2"/>
      <c r="AC247" s="2"/>
      <c r="AD247" s="2"/>
      <c r="AE247" s="2"/>
      <c r="AF247" s="3"/>
      <c r="AG247" s="2"/>
      <c r="AH247" s="2"/>
      <c r="AI247" s="2"/>
      <c r="AJ247" s="2"/>
      <c r="AK247" s="3"/>
      <c r="AL247" s="2"/>
      <c r="AM247" s="2"/>
      <c r="AN247" s="2"/>
      <c r="AO247" s="2"/>
      <c r="AP247" s="3"/>
      <c r="AQ247" s="2"/>
      <c r="AR247" s="2"/>
      <c r="AS247" s="2"/>
      <c r="AT247" s="7"/>
      <c r="AU247" s="2"/>
      <c r="AV247" s="2"/>
      <c r="AW247" s="2"/>
      <c r="AX247" s="2"/>
    </row>
    <row r="248">
      <c r="A248" s="2"/>
      <c r="B248" s="2"/>
      <c r="C248" s="2"/>
      <c r="D248" s="2"/>
      <c r="E248" s="2"/>
      <c r="F248" s="2"/>
      <c r="G248" s="2"/>
      <c r="H248" s="2"/>
      <c r="I248" s="2"/>
      <c r="J248" s="2"/>
      <c r="K248" s="2"/>
      <c r="L248" s="3"/>
      <c r="M248" s="4"/>
      <c r="N248" s="4"/>
      <c r="O248" s="5"/>
      <c r="P248" s="6"/>
      <c r="Q248" s="3"/>
      <c r="R248" s="2"/>
      <c r="S248" s="2"/>
      <c r="T248" s="2"/>
      <c r="U248" s="2"/>
      <c r="V248" s="3"/>
      <c r="W248" s="2"/>
      <c r="X248" s="2"/>
      <c r="Y248" s="2"/>
      <c r="Z248" s="2"/>
      <c r="AA248" s="3"/>
      <c r="AB248" s="2"/>
      <c r="AC248" s="2"/>
      <c r="AD248" s="2"/>
      <c r="AE248" s="2"/>
      <c r="AF248" s="3"/>
      <c r="AG248" s="2"/>
      <c r="AH248" s="2"/>
      <c r="AI248" s="2"/>
      <c r="AJ248" s="2"/>
      <c r="AK248" s="3"/>
      <c r="AL248" s="2"/>
      <c r="AM248" s="2"/>
      <c r="AN248" s="2"/>
      <c r="AO248" s="2"/>
      <c r="AP248" s="3"/>
      <c r="AQ248" s="2"/>
      <c r="AR248" s="2"/>
      <c r="AS248" s="2"/>
      <c r="AT248" s="7"/>
      <c r="AU248" s="2"/>
      <c r="AV248" s="2"/>
      <c r="AW248" s="2"/>
      <c r="AX248" s="2"/>
    </row>
    <row r="249">
      <c r="A249" s="2"/>
      <c r="B249" s="2"/>
      <c r="C249" s="2"/>
      <c r="D249" s="2"/>
      <c r="E249" s="2"/>
      <c r="F249" s="2"/>
      <c r="G249" s="2"/>
      <c r="H249" s="2"/>
      <c r="I249" s="2"/>
      <c r="J249" s="2"/>
      <c r="K249" s="2"/>
      <c r="L249" s="3"/>
      <c r="M249" s="4"/>
      <c r="N249" s="4"/>
      <c r="O249" s="5"/>
      <c r="P249" s="6"/>
      <c r="Q249" s="3"/>
      <c r="R249" s="2"/>
      <c r="S249" s="2"/>
      <c r="T249" s="2"/>
      <c r="U249" s="2"/>
      <c r="V249" s="3"/>
      <c r="W249" s="2"/>
      <c r="X249" s="2"/>
      <c r="Y249" s="2"/>
      <c r="Z249" s="2"/>
      <c r="AA249" s="3"/>
      <c r="AB249" s="2"/>
      <c r="AC249" s="2"/>
      <c r="AD249" s="2"/>
      <c r="AE249" s="2"/>
      <c r="AF249" s="3"/>
      <c r="AG249" s="2"/>
      <c r="AH249" s="2"/>
      <c r="AI249" s="2"/>
      <c r="AJ249" s="2"/>
      <c r="AK249" s="3"/>
      <c r="AL249" s="2"/>
      <c r="AM249" s="2"/>
      <c r="AN249" s="2"/>
      <c r="AO249" s="2"/>
      <c r="AP249" s="3"/>
      <c r="AQ249" s="2"/>
      <c r="AR249" s="2"/>
      <c r="AS249" s="2"/>
      <c r="AT249" s="7"/>
      <c r="AU249" s="2"/>
      <c r="AV249" s="2"/>
      <c r="AW249" s="2"/>
      <c r="AX249" s="2"/>
    </row>
    <row r="250">
      <c r="A250" s="2"/>
      <c r="B250" s="2"/>
      <c r="C250" s="2"/>
      <c r="D250" s="2"/>
      <c r="E250" s="2"/>
      <c r="F250" s="2"/>
      <c r="G250" s="2"/>
      <c r="H250" s="2"/>
      <c r="I250" s="2"/>
      <c r="J250" s="2"/>
      <c r="K250" s="2"/>
      <c r="L250" s="3"/>
      <c r="M250" s="4"/>
      <c r="N250" s="4"/>
      <c r="O250" s="5"/>
      <c r="P250" s="6"/>
      <c r="Q250" s="3"/>
      <c r="R250" s="2"/>
      <c r="S250" s="2"/>
      <c r="T250" s="2"/>
      <c r="U250" s="2"/>
      <c r="V250" s="3"/>
      <c r="W250" s="2"/>
      <c r="X250" s="2"/>
      <c r="Y250" s="2"/>
      <c r="Z250" s="2"/>
      <c r="AA250" s="3"/>
      <c r="AB250" s="2"/>
      <c r="AC250" s="2"/>
      <c r="AD250" s="2"/>
      <c r="AE250" s="2"/>
      <c r="AF250" s="3"/>
      <c r="AG250" s="2"/>
      <c r="AH250" s="2"/>
      <c r="AI250" s="2"/>
      <c r="AJ250" s="2"/>
      <c r="AK250" s="3"/>
      <c r="AL250" s="2"/>
      <c r="AM250" s="2"/>
      <c r="AN250" s="2"/>
      <c r="AO250" s="2"/>
      <c r="AP250" s="3"/>
      <c r="AQ250" s="2"/>
      <c r="AR250" s="2"/>
      <c r="AS250" s="2"/>
      <c r="AT250" s="7"/>
      <c r="AU250" s="2"/>
      <c r="AV250" s="2"/>
      <c r="AW250" s="2"/>
      <c r="AX250" s="2"/>
    </row>
    <row r="251">
      <c r="A251" s="2"/>
      <c r="B251" s="2"/>
      <c r="C251" s="2"/>
      <c r="D251" s="2"/>
      <c r="E251" s="2"/>
      <c r="F251" s="2"/>
      <c r="G251" s="2"/>
      <c r="H251" s="2"/>
      <c r="I251" s="2"/>
      <c r="J251" s="2"/>
      <c r="K251" s="2"/>
      <c r="L251" s="3"/>
      <c r="M251" s="4"/>
      <c r="N251" s="4"/>
      <c r="O251" s="5"/>
      <c r="P251" s="6"/>
      <c r="Q251" s="3"/>
      <c r="R251" s="2"/>
      <c r="S251" s="2"/>
      <c r="T251" s="2"/>
      <c r="U251" s="2"/>
      <c r="V251" s="3"/>
      <c r="W251" s="2"/>
      <c r="X251" s="2"/>
      <c r="Y251" s="2"/>
      <c r="Z251" s="2"/>
      <c r="AA251" s="3"/>
      <c r="AB251" s="2"/>
      <c r="AC251" s="2"/>
      <c r="AD251" s="2"/>
      <c r="AE251" s="2"/>
      <c r="AF251" s="3"/>
      <c r="AG251" s="2"/>
      <c r="AH251" s="2"/>
      <c r="AI251" s="2"/>
      <c r="AJ251" s="2"/>
      <c r="AK251" s="3"/>
      <c r="AL251" s="2"/>
      <c r="AM251" s="2"/>
      <c r="AN251" s="2"/>
      <c r="AO251" s="2"/>
      <c r="AP251" s="3"/>
      <c r="AQ251" s="2"/>
      <c r="AR251" s="2"/>
      <c r="AS251" s="2"/>
      <c r="AT251" s="7"/>
      <c r="AU251" s="2"/>
      <c r="AV251" s="2"/>
      <c r="AW251" s="2"/>
      <c r="AX251" s="2"/>
    </row>
    <row r="252">
      <c r="A252" s="2"/>
      <c r="B252" s="2"/>
      <c r="C252" s="2"/>
      <c r="D252" s="2"/>
      <c r="E252" s="2"/>
      <c r="F252" s="2"/>
      <c r="G252" s="2"/>
      <c r="H252" s="2"/>
      <c r="I252" s="2"/>
      <c r="J252" s="2"/>
      <c r="K252" s="2"/>
      <c r="L252" s="3"/>
      <c r="M252" s="4"/>
      <c r="N252" s="4"/>
      <c r="O252" s="5"/>
      <c r="P252" s="6"/>
      <c r="Q252" s="3"/>
      <c r="R252" s="2"/>
      <c r="S252" s="2"/>
      <c r="T252" s="2"/>
      <c r="U252" s="2"/>
      <c r="V252" s="3"/>
      <c r="W252" s="2"/>
      <c r="X252" s="2"/>
      <c r="Y252" s="2"/>
      <c r="Z252" s="2"/>
      <c r="AA252" s="3"/>
      <c r="AB252" s="2"/>
      <c r="AC252" s="2"/>
      <c r="AD252" s="2"/>
      <c r="AE252" s="2"/>
      <c r="AF252" s="3"/>
      <c r="AG252" s="2"/>
      <c r="AH252" s="2"/>
      <c r="AI252" s="2"/>
      <c r="AJ252" s="2"/>
      <c r="AK252" s="3"/>
      <c r="AL252" s="2"/>
      <c r="AM252" s="2"/>
      <c r="AN252" s="2"/>
      <c r="AO252" s="2"/>
      <c r="AP252" s="3"/>
      <c r="AQ252" s="2"/>
      <c r="AR252" s="2"/>
      <c r="AS252" s="2"/>
      <c r="AT252" s="7"/>
      <c r="AU252" s="2"/>
      <c r="AV252" s="2"/>
      <c r="AW252" s="2"/>
      <c r="AX252" s="2"/>
    </row>
    <row r="253">
      <c r="A253" s="2"/>
      <c r="B253" s="2"/>
      <c r="C253" s="2"/>
      <c r="D253" s="2"/>
      <c r="E253" s="2"/>
      <c r="F253" s="2"/>
      <c r="G253" s="2"/>
      <c r="H253" s="2"/>
      <c r="I253" s="2"/>
      <c r="J253" s="2"/>
      <c r="K253" s="2"/>
      <c r="L253" s="3"/>
      <c r="M253" s="4"/>
      <c r="N253" s="4"/>
      <c r="O253" s="5"/>
      <c r="P253" s="6"/>
      <c r="Q253" s="3"/>
      <c r="R253" s="2"/>
      <c r="S253" s="2"/>
      <c r="T253" s="2"/>
      <c r="U253" s="2"/>
      <c r="V253" s="3"/>
      <c r="W253" s="2"/>
      <c r="X253" s="2"/>
      <c r="Y253" s="2"/>
      <c r="Z253" s="2"/>
      <c r="AA253" s="3"/>
      <c r="AB253" s="2"/>
      <c r="AC253" s="2"/>
      <c r="AD253" s="2"/>
      <c r="AE253" s="2"/>
      <c r="AF253" s="3"/>
      <c r="AG253" s="2"/>
      <c r="AH253" s="2"/>
      <c r="AI253" s="2"/>
      <c r="AJ253" s="2"/>
      <c r="AK253" s="3"/>
      <c r="AL253" s="2"/>
      <c r="AM253" s="2"/>
      <c r="AN253" s="2"/>
      <c r="AO253" s="2"/>
      <c r="AP253" s="3"/>
      <c r="AQ253" s="2"/>
      <c r="AR253" s="2"/>
      <c r="AS253" s="2"/>
      <c r="AT253" s="7"/>
      <c r="AU253" s="2"/>
      <c r="AV253" s="2"/>
      <c r="AW253" s="2"/>
      <c r="AX253" s="2"/>
    </row>
    <row r="254">
      <c r="A254" s="2"/>
      <c r="B254" s="2"/>
      <c r="C254" s="2"/>
      <c r="D254" s="2"/>
      <c r="E254" s="2"/>
      <c r="F254" s="2"/>
      <c r="G254" s="2"/>
      <c r="H254" s="2"/>
      <c r="I254" s="2"/>
      <c r="J254" s="2"/>
      <c r="K254" s="2"/>
      <c r="L254" s="3"/>
      <c r="M254" s="4"/>
      <c r="N254" s="4"/>
      <c r="O254" s="5"/>
      <c r="P254" s="6"/>
      <c r="Q254" s="3"/>
      <c r="R254" s="2"/>
      <c r="S254" s="2"/>
      <c r="T254" s="2"/>
      <c r="U254" s="2"/>
      <c r="V254" s="3"/>
      <c r="W254" s="2"/>
      <c r="X254" s="2"/>
      <c r="Y254" s="2"/>
      <c r="Z254" s="2"/>
      <c r="AA254" s="3"/>
      <c r="AB254" s="2"/>
      <c r="AC254" s="2"/>
      <c r="AD254" s="2"/>
      <c r="AE254" s="2"/>
      <c r="AF254" s="3"/>
      <c r="AG254" s="2"/>
      <c r="AH254" s="2"/>
      <c r="AI254" s="2"/>
      <c r="AJ254" s="2"/>
      <c r="AK254" s="3"/>
      <c r="AL254" s="2"/>
      <c r="AM254" s="2"/>
      <c r="AN254" s="2"/>
      <c r="AO254" s="2"/>
      <c r="AP254" s="3"/>
      <c r="AQ254" s="2"/>
      <c r="AR254" s="2"/>
      <c r="AS254" s="2"/>
      <c r="AT254" s="7"/>
      <c r="AU254" s="2"/>
      <c r="AV254" s="2"/>
      <c r="AW254" s="2"/>
      <c r="AX254" s="2"/>
    </row>
    <row r="255">
      <c r="A255" s="2"/>
      <c r="B255" s="2"/>
      <c r="C255" s="2"/>
      <c r="D255" s="2"/>
      <c r="E255" s="2"/>
      <c r="F255" s="2"/>
      <c r="G255" s="2"/>
      <c r="H255" s="2"/>
      <c r="I255" s="2"/>
      <c r="J255" s="2"/>
      <c r="K255" s="2"/>
      <c r="L255" s="3"/>
      <c r="M255" s="4"/>
      <c r="N255" s="4"/>
      <c r="O255" s="5"/>
      <c r="P255" s="6"/>
      <c r="Q255" s="3"/>
      <c r="R255" s="2"/>
      <c r="S255" s="2"/>
      <c r="T255" s="2"/>
      <c r="U255" s="2"/>
      <c r="V255" s="3"/>
      <c r="W255" s="2"/>
      <c r="X255" s="2"/>
      <c r="Y255" s="2"/>
      <c r="Z255" s="2"/>
      <c r="AA255" s="3"/>
      <c r="AB255" s="2"/>
      <c r="AC255" s="2"/>
      <c r="AD255" s="2"/>
      <c r="AE255" s="2"/>
      <c r="AF255" s="3"/>
      <c r="AG255" s="2"/>
      <c r="AH255" s="2"/>
      <c r="AI255" s="2"/>
      <c r="AJ255" s="2"/>
      <c r="AK255" s="3"/>
      <c r="AL255" s="2"/>
      <c r="AM255" s="2"/>
      <c r="AN255" s="2"/>
      <c r="AO255" s="2"/>
      <c r="AP255" s="3"/>
      <c r="AQ255" s="2"/>
      <c r="AR255" s="2"/>
      <c r="AS255" s="2"/>
      <c r="AT255" s="7"/>
      <c r="AU255" s="2"/>
      <c r="AV255" s="2"/>
      <c r="AW255" s="2"/>
      <c r="AX255" s="2"/>
    </row>
    <row r="256">
      <c r="A256" s="2"/>
      <c r="B256" s="2"/>
      <c r="C256" s="2"/>
      <c r="D256" s="2"/>
      <c r="E256" s="2"/>
      <c r="F256" s="2"/>
      <c r="G256" s="2"/>
      <c r="H256" s="2"/>
      <c r="I256" s="2"/>
      <c r="J256" s="2"/>
      <c r="K256" s="2"/>
      <c r="L256" s="3"/>
      <c r="M256" s="4"/>
      <c r="N256" s="4"/>
      <c r="O256" s="5"/>
      <c r="P256" s="6"/>
      <c r="Q256" s="3"/>
      <c r="R256" s="2"/>
      <c r="S256" s="2"/>
      <c r="T256" s="2"/>
      <c r="U256" s="2"/>
      <c r="V256" s="3"/>
      <c r="W256" s="2"/>
      <c r="X256" s="2"/>
      <c r="Y256" s="2"/>
      <c r="Z256" s="2"/>
      <c r="AA256" s="3"/>
      <c r="AB256" s="2"/>
      <c r="AC256" s="2"/>
      <c r="AD256" s="2"/>
      <c r="AE256" s="2"/>
      <c r="AF256" s="3"/>
      <c r="AG256" s="2"/>
      <c r="AH256" s="2"/>
      <c r="AI256" s="2"/>
      <c r="AJ256" s="2"/>
      <c r="AK256" s="3"/>
      <c r="AL256" s="2"/>
      <c r="AM256" s="2"/>
      <c r="AN256" s="2"/>
      <c r="AO256" s="2"/>
      <c r="AP256" s="3"/>
      <c r="AQ256" s="2"/>
      <c r="AR256" s="2"/>
      <c r="AS256" s="2"/>
      <c r="AT256" s="7"/>
      <c r="AU256" s="2"/>
      <c r="AV256" s="2"/>
      <c r="AW256" s="2"/>
      <c r="AX256" s="2"/>
    </row>
    <row r="257">
      <c r="A257" s="2"/>
      <c r="B257" s="2"/>
      <c r="C257" s="2"/>
      <c r="D257" s="2"/>
      <c r="E257" s="2"/>
      <c r="F257" s="2"/>
      <c r="G257" s="2"/>
      <c r="H257" s="2"/>
      <c r="I257" s="2"/>
      <c r="J257" s="2"/>
      <c r="K257" s="2"/>
      <c r="L257" s="3"/>
      <c r="M257" s="4"/>
      <c r="N257" s="4"/>
      <c r="O257" s="5"/>
      <c r="P257" s="6"/>
      <c r="Q257" s="3"/>
      <c r="R257" s="2"/>
      <c r="S257" s="2"/>
      <c r="T257" s="2"/>
      <c r="U257" s="2"/>
      <c r="V257" s="3"/>
      <c r="W257" s="2"/>
      <c r="X257" s="2"/>
      <c r="Y257" s="2"/>
      <c r="Z257" s="2"/>
      <c r="AA257" s="3"/>
      <c r="AB257" s="2"/>
      <c r="AC257" s="2"/>
      <c r="AD257" s="2"/>
      <c r="AE257" s="2"/>
      <c r="AF257" s="3"/>
      <c r="AG257" s="2"/>
      <c r="AH257" s="2"/>
      <c r="AI257" s="2"/>
      <c r="AJ257" s="2"/>
      <c r="AK257" s="3"/>
      <c r="AL257" s="2"/>
      <c r="AM257" s="2"/>
      <c r="AN257" s="2"/>
      <c r="AO257" s="2"/>
      <c r="AP257" s="3"/>
      <c r="AQ257" s="2"/>
      <c r="AR257" s="2"/>
      <c r="AS257" s="2"/>
      <c r="AT257" s="7"/>
      <c r="AU257" s="2"/>
      <c r="AV257" s="2"/>
      <c r="AW257" s="2"/>
      <c r="AX257" s="2"/>
    </row>
    <row r="258">
      <c r="A258" s="2"/>
      <c r="B258" s="2"/>
      <c r="C258" s="2"/>
      <c r="D258" s="2"/>
      <c r="E258" s="2"/>
      <c r="F258" s="2"/>
      <c r="G258" s="2"/>
      <c r="H258" s="2"/>
      <c r="I258" s="2"/>
      <c r="J258" s="2"/>
      <c r="K258" s="2"/>
      <c r="L258" s="3"/>
      <c r="M258" s="4"/>
      <c r="N258" s="4"/>
      <c r="O258" s="5"/>
      <c r="P258" s="6"/>
      <c r="Q258" s="3"/>
      <c r="R258" s="2"/>
      <c r="S258" s="2"/>
      <c r="T258" s="2"/>
      <c r="U258" s="2"/>
      <c r="V258" s="3"/>
      <c r="W258" s="2"/>
      <c r="X258" s="2"/>
      <c r="Y258" s="2"/>
      <c r="Z258" s="2"/>
      <c r="AA258" s="3"/>
      <c r="AB258" s="2"/>
      <c r="AC258" s="2"/>
      <c r="AD258" s="2"/>
      <c r="AE258" s="2"/>
      <c r="AF258" s="3"/>
      <c r="AG258" s="2"/>
      <c r="AH258" s="2"/>
      <c r="AI258" s="2"/>
      <c r="AJ258" s="2"/>
      <c r="AK258" s="3"/>
      <c r="AL258" s="2"/>
      <c r="AM258" s="2"/>
      <c r="AN258" s="2"/>
      <c r="AO258" s="2"/>
      <c r="AP258" s="3"/>
      <c r="AQ258" s="2"/>
      <c r="AR258" s="2"/>
      <c r="AS258" s="2"/>
      <c r="AT258" s="7"/>
      <c r="AU258" s="2"/>
      <c r="AV258" s="2"/>
      <c r="AW258" s="2"/>
      <c r="AX258" s="2"/>
    </row>
    <row r="259">
      <c r="A259" s="2"/>
      <c r="B259" s="2"/>
      <c r="C259" s="2"/>
      <c r="D259" s="2"/>
      <c r="E259" s="2"/>
      <c r="F259" s="2"/>
      <c r="G259" s="2"/>
      <c r="H259" s="2"/>
      <c r="I259" s="2"/>
      <c r="J259" s="2"/>
      <c r="K259" s="2"/>
      <c r="L259" s="3"/>
      <c r="M259" s="4"/>
      <c r="N259" s="4"/>
      <c r="O259" s="5"/>
      <c r="P259" s="6"/>
      <c r="Q259" s="3"/>
      <c r="R259" s="2"/>
      <c r="S259" s="2"/>
      <c r="T259" s="2"/>
      <c r="U259" s="2"/>
      <c r="V259" s="3"/>
      <c r="W259" s="2"/>
      <c r="X259" s="2"/>
      <c r="Y259" s="2"/>
      <c r="Z259" s="2"/>
      <c r="AA259" s="3"/>
      <c r="AB259" s="2"/>
      <c r="AC259" s="2"/>
      <c r="AD259" s="2"/>
      <c r="AE259" s="2"/>
      <c r="AF259" s="3"/>
      <c r="AG259" s="2"/>
      <c r="AH259" s="2"/>
      <c r="AI259" s="2"/>
      <c r="AJ259" s="2"/>
      <c r="AK259" s="3"/>
      <c r="AL259" s="2"/>
      <c r="AM259" s="2"/>
      <c r="AN259" s="2"/>
      <c r="AO259" s="2"/>
      <c r="AP259" s="3"/>
      <c r="AQ259" s="2"/>
      <c r="AR259" s="2"/>
      <c r="AS259" s="2"/>
      <c r="AT259" s="7"/>
      <c r="AU259" s="2"/>
      <c r="AV259" s="2"/>
      <c r="AW259" s="2"/>
      <c r="AX259" s="2"/>
    </row>
    <row r="260">
      <c r="A260" s="2"/>
      <c r="B260" s="2"/>
      <c r="C260" s="2"/>
      <c r="D260" s="2"/>
      <c r="E260" s="2"/>
      <c r="F260" s="2"/>
      <c r="G260" s="2"/>
      <c r="H260" s="2"/>
      <c r="I260" s="2"/>
      <c r="J260" s="2"/>
      <c r="K260" s="2"/>
      <c r="L260" s="3"/>
      <c r="M260" s="4"/>
      <c r="N260" s="4"/>
      <c r="O260" s="5"/>
      <c r="P260" s="6"/>
      <c r="Q260" s="3"/>
      <c r="R260" s="2"/>
      <c r="S260" s="2"/>
      <c r="T260" s="2"/>
      <c r="U260" s="2"/>
      <c r="V260" s="3"/>
      <c r="W260" s="2"/>
      <c r="X260" s="2"/>
      <c r="Y260" s="2"/>
      <c r="Z260" s="2"/>
      <c r="AA260" s="3"/>
      <c r="AB260" s="2"/>
      <c r="AC260" s="2"/>
      <c r="AD260" s="2"/>
      <c r="AE260" s="2"/>
      <c r="AF260" s="3"/>
      <c r="AG260" s="2"/>
      <c r="AH260" s="2"/>
      <c r="AI260" s="2"/>
      <c r="AJ260" s="2"/>
      <c r="AK260" s="3"/>
      <c r="AL260" s="2"/>
      <c r="AM260" s="2"/>
      <c r="AN260" s="2"/>
      <c r="AO260" s="2"/>
      <c r="AP260" s="3"/>
      <c r="AQ260" s="2"/>
      <c r="AR260" s="2"/>
      <c r="AS260" s="2"/>
      <c r="AT260" s="7"/>
      <c r="AU260" s="2"/>
      <c r="AV260" s="2"/>
      <c r="AW260" s="2"/>
      <c r="AX260" s="2"/>
    </row>
    <row r="261">
      <c r="A261" s="2"/>
      <c r="B261" s="2"/>
      <c r="C261" s="2"/>
      <c r="D261" s="2"/>
      <c r="E261" s="2"/>
      <c r="F261" s="2"/>
      <c r="G261" s="2"/>
      <c r="H261" s="2"/>
      <c r="I261" s="2"/>
      <c r="J261" s="2"/>
      <c r="K261" s="2"/>
      <c r="L261" s="3"/>
      <c r="M261" s="4"/>
      <c r="N261" s="4"/>
      <c r="O261" s="5"/>
      <c r="P261" s="6"/>
      <c r="Q261" s="3"/>
      <c r="R261" s="2"/>
      <c r="S261" s="2"/>
      <c r="T261" s="2"/>
      <c r="U261" s="2"/>
      <c r="V261" s="3"/>
      <c r="W261" s="2"/>
      <c r="X261" s="2"/>
      <c r="Y261" s="2"/>
      <c r="Z261" s="2"/>
      <c r="AA261" s="3"/>
      <c r="AB261" s="2"/>
      <c r="AC261" s="2"/>
      <c r="AD261" s="2"/>
      <c r="AE261" s="2"/>
      <c r="AF261" s="3"/>
      <c r="AG261" s="2"/>
      <c r="AH261" s="2"/>
      <c r="AI261" s="2"/>
      <c r="AJ261" s="2"/>
      <c r="AK261" s="3"/>
      <c r="AL261" s="2"/>
      <c r="AM261" s="2"/>
      <c r="AN261" s="2"/>
      <c r="AO261" s="2"/>
      <c r="AP261" s="3"/>
      <c r="AQ261" s="2"/>
      <c r="AR261" s="2"/>
      <c r="AS261" s="2"/>
      <c r="AT261" s="7"/>
      <c r="AU261" s="2"/>
      <c r="AV261" s="2"/>
      <c r="AW261" s="2"/>
      <c r="AX261" s="2"/>
    </row>
    <row r="262">
      <c r="A262" s="2"/>
      <c r="B262" s="2"/>
      <c r="C262" s="2"/>
      <c r="D262" s="2"/>
      <c r="E262" s="2"/>
      <c r="F262" s="2"/>
      <c r="G262" s="2"/>
      <c r="H262" s="2"/>
      <c r="I262" s="2"/>
      <c r="J262" s="2"/>
      <c r="K262" s="2"/>
      <c r="L262" s="3"/>
      <c r="M262" s="4"/>
      <c r="N262" s="4"/>
      <c r="O262" s="5"/>
      <c r="P262" s="6"/>
      <c r="Q262" s="3"/>
      <c r="R262" s="2"/>
      <c r="S262" s="2"/>
      <c r="T262" s="2"/>
      <c r="U262" s="2"/>
      <c r="V262" s="3"/>
      <c r="W262" s="2"/>
      <c r="X262" s="2"/>
      <c r="Y262" s="2"/>
      <c r="Z262" s="2"/>
      <c r="AA262" s="3"/>
      <c r="AB262" s="2"/>
      <c r="AC262" s="2"/>
      <c r="AD262" s="2"/>
      <c r="AE262" s="2"/>
      <c r="AF262" s="3"/>
      <c r="AG262" s="2"/>
      <c r="AH262" s="2"/>
      <c r="AI262" s="2"/>
      <c r="AJ262" s="2"/>
      <c r="AK262" s="3"/>
      <c r="AL262" s="2"/>
      <c r="AM262" s="2"/>
      <c r="AN262" s="2"/>
      <c r="AO262" s="2"/>
      <c r="AP262" s="3"/>
      <c r="AQ262" s="2"/>
      <c r="AR262" s="2"/>
      <c r="AS262" s="2"/>
      <c r="AT262" s="7"/>
      <c r="AU262" s="2"/>
      <c r="AV262" s="2"/>
      <c r="AW262" s="2"/>
      <c r="AX262" s="2"/>
    </row>
    <row r="263">
      <c r="A263" s="2"/>
      <c r="B263" s="2"/>
      <c r="C263" s="2"/>
      <c r="D263" s="2"/>
      <c r="E263" s="2"/>
      <c r="F263" s="2"/>
      <c r="G263" s="2"/>
      <c r="H263" s="2"/>
      <c r="I263" s="2"/>
      <c r="J263" s="2"/>
      <c r="K263" s="2"/>
      <c r="L263" s="3"/>
      <c r="M263" s="4"/>
      <c r="N263" s="4"/>
      <c r="O263" s="5"/>
      <c r="P263" s="6"/>
      <c r="Q263" s="3"/>
      <c r="R263" s="2"/>
      <c r="S263" s="2"/>
      <c r="T263" s="2"/>
      <c r="U263" s="2"/>
      <c r="V263" s="3"/>
      <c r="W263" s="2"/>
      <c r="X263" s="2"/>
      <c r="Y263" s="2"/>
      <c r="Z263" s="2"/>
      <c r="AA263" s="3"/>
      <c r="AB263" s="2"/>
      <c r="AC263" s="2"/>
      <c r="AD263" s="2"/>
      <c r="AE263" s="2"/>
      <c r="AF263" s="3"/>
      <c r="AG263" s="2"/>
      <c r="AH263" s="2"/>
      <c r="AI263" s="2"/>
      <c r="AJ263" s="2"/>
      <c r="AK263" s="3"/>
      <c r="AL263" s="2"/>
      <c r="AM263" s="2"/>
      <c r="AN263" s="2"/>
      <c r="AO263" s="2"/>
      <c r="AP263" s="3"/>
      <c r="AQ263" s="2"/>
      <c r="AR263" s="2"/>
      <c r="AS263" s="2"/>
      <c r="AT263" s="7"/>
      <c r="AU263" s="2"/>
      <c r="AV263" s="2"/>
      <c r="AW263" s="2"/>
      <c r="AX263" s="2"/>
    </row>
    <row r="264">
      <c r="A264" s="2"/>
      <c r="B264" s="2"/>
      <c r="C264" s="2"/>
      <c r="D264" s="2"/>
      <c r="E264" s="2"/>
      <c r="F264" s="2"/>
      <c r="G264" s="2"/>
      <c r="H264" s="2"/>
      <c r="I264" s="2"/>
      <c r="J264" s="2"/>
      <c r="K264" s="2"/>
      <c r="L264" s="3"/>
      <c r="M264" s="4"/>
      <c r="N264" s="4"/>
      <c r="O264" s="5"/>
      <c r="P264" s="6"/>
      <c r="Q264" s="3"/>
      <c r="R264" s="2"/>
      <c r="S264" s="2"/>
      <c r="T264" s="2"/>
      <c r="U264" s="2"/>
      <c r="V264" s="3"/>
      <c r="W264" s="2"/>
      <c r="X264" s="2"/>
      <c r="Y264" s="2"/>
      <c r="Z264" s="2"/>
      <c r="AA264" s="3"/>
      <c r="AB264" s="2"/>
      <c r="AC264" s="2"/>
      <c r="AD264" s="2"/>
      <c r="AE264" s="2"/>
      <c r="AF264" s="3"/>
      <c r="AG264" s="2"/>
      <c r="AH264" s="2"/>
      <c r="AI264" s="2"/>
      <c r="AJ264" s="2"/>
      <c r="AK264" s="3"/>
      <c r="AL264" s="2"/>
      <c r="AM264" s="2"/>
      <c r="AN264" s="2"/>
      <c r="AO264" s="2"/>
      <c r="AP264" s="3"/>
      <c r="AQ264" s="2"/>
      <c r="AR264" s="2"/>
      <c r="AS264" s="2"/>
      <c r="AT264" s="7"/>
      <c r="AU264" s="2"/>
      <c r="AV264" s="2"/>
      <c r="AW264" s="2"/>
      <c r="AX264" s="2"/>
    </row>
    <row r="265">
      <c r="A265" s="2"/>
      <c r="B265" s="2"/>
      <c r="C265" s="2"/>
      <c r="D265" s="2"/>
      <c r="E265" s="2"/>
      <c r="F265" s="2"/>
      <c r="G265" s="2"/>
      <c r="H265" s="2"/>
      <c r="I265" s="2"/>
      <c r="J265" s="2"/>
      <c r="K265" s="2"/>
      <c r="L265" s="3"/>
      <c r="M265" s="4"/>
      <c r="N265" s="4"/>
      <c r="O265" s="5"/>
      <c r="P265" s="6"/>
      <c r="Q265" s="3"/>
      <c r="R265" s="2"/>
      <c r="S265" s="2"/>
      <c r="T265" s="2"/>
      <c r="U265" s="2"/>
      <c r="V265" s="3"/>
      <c r="W265" s="2"/>
      <c r="X265" s="2"/>
      <c r="Y265" s="2"/>
      <c r="Z265" s="2"/>
      <c r="AA265" s="3"/>
      <c r="AB265" s="2"/>
      <c r="AC265" s="2"/>
      <c r="AD265" s="2"/>
      <c r="AE265" s="2"/>
      <c r="AF265" s="3"/>
      <c r="AG265" s="2"/>
      <c r="AH265" s="2"/>
      <c r="AI265" s="2"/>
      <c r="AJ265" s="2"/>
      <c r="AK265" s="3"/>
      <c r="AL265" s="2"/>
      <c r="AM265" s="2"/>
      <c r="AN265" s="2"/>
      <c r="AO265" s="2"/>
      <c r="AP265" s="3"/>
      <c r="AQ265" s="2"/>
      <c r="AR265" s="2"/>
      <c r="AS265" s="2"/>
      <c r="AT265" s="7"/>
      <c r="AU265" s="2"/>
      <c r="AV265" s="2"/>
      <c r="AW265" s="2"/>
      <c r="AX265" s="2"/>
    </row>
    <row r="266">
      <c r="A266" s="2"/>
      <c r="B266" s="2"/>
      <c r="C266" s="2"/>
      <c r="D266" s="2"/>
      <c r="E266" s="2"/>
      <c r="F266" s="2"/>
      <c r="G266" s="2"/>
      <c r="H266" s="2"/>
      <c r="I266" s="2"/>
      <c r="J266" s="2"/>
      <c r="K266" s="2"/>
      <c r="L266" s="3"/>
      <c r="M266" s="4"/>
      <c r="N266" s="4"/>
      <c r="O266" s="5"/>
      <c r="P266" s="6"/>
      <c r="Q266" s="3"/>
      <c r="R266" s="2"/>
      <c r="S266" s="2"/>
      <c r="T266" s="2"/>
      <c r="U266" s="2"/>
      <c r="V266" s="3"/>
      <c r="W266" s="2"/>
      <c r="X266" s="2"/>
      <c r="Y266" s="2"/>
      <c r="Z266" s="2"/>
      <c r="AA266" s="3"/>
      <c r="AB266" s="2"/>
      <c r="AC266" s="2"/>
      <c r="AD266" s="2"/>
      <c r="AE266" s="2"/>
      <c r="AF266" s="3"/>
      <c r="AG266" s="2"/>
      <c r="AH266" s="2"/>
      <c r="AI266" s="2"/>
      <c r="AJ266" s="2"/>
      <c r="AK266" s="3"/>
      <c r="AL266" s="2"/>
      <c r="AM266" s="2"/>
      <c r="AN266" s="2"/>
      <c r="AO266" s="2"/>
      <c r="AP266" s="3"/>
      <c r="AQ266" s="2"/>
      <c r="AR266" s="2"/>
      <c r="AS266" s="2"/>
      <c r="AT266" s="7"/>
      <c r="AU266" s="2"/>
      <c r="AV266" s="2"/>
      <c r="AW266" s="2"/>
      <c r="AX266" s="2"/>
    </row>
    <row r="267">
      <c r="A267" s="2"/>
      <c r="B267" s="2"/>
      <c r="C267" s="2"/>
      <c r="D267" s="2"/>
      <c r="E267" s="2"/>
      <c r="F267" s="2"/>
      <c r="G267" s="2"/>
      <c r="H267" s="2"/>
      <c r="I267" s="2"/>
      <c r="J267" s="2"/>
      <c r="K267" s="2"/>
      <c r="L267" s="3"/>
      <c r="M267" s="4"/>
      <c r="N267" s="4"/>
      <c r="O267" s="5"/>
      <c r="P267" s="6"/>
      <c r="Q267" s="3"/>
      <c r="R267" s="2"/>
      <c r="S267" s="2"/>
      <c r="T267" s="2"/>
      <c r="U267" s="2"/>
      <c r="V267" s="3"/>
      <c r="W267" s="2"/>
      <c r="X267" s="2"/>
      <c r="Y267" s="2"/>
      <c r="Z267" s="2"/>
      <c r="AA267" s="3"/>
      <c r="AB267" s="2"/>
      <c r="AC267" s="2"/>
      <c r="AD267" s="2"/>
      <c r="AE267" s="2"/>
      <c r="AF267" s="3"/>
      <c r="AG267" s="2"/>
      <c r="AH267" s="2"/>
      <c r="AI267" s="2"/>
      <c r="AJ267" s="2"/>
      <c r="AK267" s="3"/>
      <c r="AL267" s="2"/>
      <c r="AM267" s="2"/>
      <c r="AN267" s="2"/>
      <c r="AO267" s="2"/>
      <c r="AP267" s="3"/>
      <c r="AQ267" s="2"/>
      <c r="AR267" s="2"/>
      <c r="AS267" s="2"/>
      <c r="AT267" s="7"/>
      <c r="AU267" s="2"/>
      <c r="AV267" s="2"/>
      <c r="AW267" s="2"/>
      <c r="AX267" s="2"/>
    </row>
    <row r="268">
      <c r="A268" s="2"/>
      <c r="B268" s="2"/>
      <c r="C268" s="2"/>
      <c r="D268" s="2"/>
      <c r="E268" s="2"/>
      <c r="F268" s="2"/>
      <c r="G268" s="2"/>
      <c r="H268" s="2"/>
      <c r="I268" s="2"/>
      <c r="J268" s="2"/>
      <c r="K268" s="2"/>
      <c r="L268" s="3"/>
      <c r="M268" s="4"/>
      <c r="N268" s="4"/>
      <c r="O268" s="5"/>
      <c r="P268" s="6"/>
      <c r="Q268" s="3"/>
      <c r="R268" s="2"/>
      <c r="S268" s="2"/>
      <c r="T268" s="2"/>
      <c r="U268" s="2"/>
      <c r="V268" s="3"/>
      <c r="W268" s="2"/>
      <c r="X268" s="2"/>
      <c r="Y268" s="2"/>
      <c r="Z268" s="2"/>
      <c r="AA268" s="3"/>
      <c r="AB268" s="2"/>
      <c r="AC268" s="2"/>
      <c r="AD268" s="2"/>
      <c r="AE268" s="2"/>
      <c r="AF268" s="3"/>
      <c r="AG268" s="2"/>
      <c r="AH268" s="2"/>
      <c r="AI268" s="2"/>
      <c r="AJ268" s="2"/>
      <c r="AK268" s="3"/>
      <c r="AL268" s="2"/>
      <c r="AM268" s="2"/>
      <c r="AN268" s="2"/>
      <c r="AO268" s="2"/>
      <c r="AP268" s="3"/>
      <c r="AQ268" s="2"/>
      <c r="AR268" s="2"/>
      <c r="AS268" s="2"/>
      <c r="AT268" s="7"/>
      <c r="AU268" s="2"/>
      <c r="AV268" s="2"/>
      <c r="AW268" s="2"/>
      <c r="AX268" s="2"/>
    </row>
    <row r="269">
      <c r="A269" s="2"/>
      <c r="B269" s="2"/>
      <c r="C269" s="2"/>
      <c r="D269" s="2"/>
      <c r="E269" s="2"/>
      <c r="F269" s="2"/>
      <c r="G269" s="2"/>
      <c r="H269" s="2"/>
      <c r="I269" s="2"/>
      <c r="J269" s="2"/>
      <c r="K269" s="2"/>
      <c r="L269" s="3"/>
      <c r="M269" s="4"/>
      <c r="N269" s="4"/>
      <c r="O269" s="5"/>
      <c r="P269" s="6"/>
      <c r="Q269" s="3"/>
      <c r="R269" s="2"/>
      <c r="S269" s="2"/>
      <c r="T269" s="2"/>
      <c r="U269" s="2"/>
      <c r="V269" s="3"/>
      <c r="W269" s="2"/>
      <c r="X269" s="2"/>
      <c r="Y269" s="2"/>
      <c r="Z269" s="2"/>
      <c r="AA269" s="3"/>
      <c r="AB269" s="2"/>
      <c r="AC269" s="2"/>
      <c r="AD269" s="2"/>
      <c r="AE269" s="2"/>
      <c r="AF269" s="3"/>
      <c r="AG269" s="2"/>
      <c r="AH269" s="2"/>
      <c r="AI269" s="2"/>
      <c r="AJ269" s="2"/>
      <c r="AK269" s="3"/>
      <c r="AL269" s="2"/>
      <c r="AM269" s="2"/>
      <c r="AN269" s="2"/>
      <c r="AO269" s="2"/>
      <c r="AP269" s="3"/>
      <c r="AQ269" s="2"/>
      <c r="AR269" s="2"/>
      <c r="AS269" s="2"/>
      <c r="AT269" s="7"/>
      <c r="AU269" s="2"/>
      <c r="AV269" s="2"/>
      <c r="AW269" s="2"/>
      <c r="AX269" s="2"/>
    </row>
    <row r="270">
      <c r="A270" s="2"/>
      <c r="B270" s="2"/>
      <c r="C270" s="2"/>
      <c r="D270" s="2"/>
      <c r="E270" s="2"/>
      <c r="F270" s="2"/>
      <c r="G270" s="2"/>
      <c r="H270" s="2"/>
      <c r="I270" s="2"/>
      <c r="J270" s="2"/>
      <c r="K270" s="2"/>
      <c r="L270" s="3"/>
      <c r="M270" s="4"/>
      <c r="N270" s="4"/>
      <c r="O270" s="5"/>
      <c r="P270" s="6"/>
      <c r="Q270" s="3"/>
      <c r="R270" s="2"/>
      <c r="S270" s="2"/>
      <c r="T270" s="2"/>
      <c r="U270" s="2"/>
      <c r="V270" s="3"/>
      <c r="W270" s="2"/>
      <c r="X270" s="2"/>
      <c r="Y270" s="2"/>
      <c r="Z270" s="2"/>
      <c r="AA270" s="3"/>
      <c r="AB270" s="2"/>
      <c r="AC270" s="2"/>
      <c r="AD270" s="2"/>
      <c r="AE270" s="2"/>
      <c r="AF270" s="3"/>
      <c r="AG270" s="2"/>
      <c r="AH270" s="2"/>
      <c r="AI270" s="2"/>
      <c r="AJ270" s="2"/>
      <c r="AK270" s="3"/>
      <c r="AL270" s="2"/>
      <c r="AM270" s="2"/>
      <c r="AN270" s="2"/>
      <c r="AO270" s="2"/>
      <c r="AP270" s="3"/>
      <c r="AQ270" s="2"/>
      <c r="AR270" s="2"/>
      <c r="AS270" s="2"/>
      <c r="AT270" s="7"/>
      <c r="AU270" s="2"/>
      <c r="AV270" s="2"/>
      <c r="AW270" s="2"/>
      <c r="AX270" s="2"/>
    </row>
    <row r="271">
      <c r="A271" s="2"/>
      <c r="B271" s="2"/>
      <c r="C271" s="2"/>
      <c r="D271" s="2"/>
      <c r="E271" s="2"/>
      <c r="F271" s="2"/>
      <c r="G271" s="2"/>
      <c r="H271" s="2"/>
      <c r="I271" s="2"/>
      <c r="J271" s="2"/>
      <c r="K271" s="2"/>
      <c r="L271" s="3"/>
      <c r="M271" s="4"/>
      <c r="N271" s="4"/>
      <c r="O271" s="5"/>
      <c r="P271" s="6"/>
      <c r="Q271" s="3"/>
      <c r="R271" s="2"/>
      <c r="S271" s="2"/>
      <c r="T271" s="2"/>
      <c r="U271" s="2"/>
      <c r="V271" s="3"/>
      <c r="W271" s="2"/>
      <c r="X271" s="2"/>
      <c r="Y271" s="2"/>
      <c r="Z271" s="2"/>
      <c r="AA271" s="3"/>
      <c r="AB271" s="2"/>
      <c r="AC271" s="2"/>
      <c r="AD271" s="2"/>
      <c r="AE271" s="2"/>
      <c r="AF271" s="3"/>
      <c r="AG271" s="2"/>
      <c r="AH271" s="2"/>
      <c r="AI271" s="2"/>
      <c r="AJ271" s="2"/>
      <c r="AK271" s="3"/>
      <c r="AL271" s="2"/>
      <c r="AM271" s="2"/>
      <c r="AN271" s="2"/>
      <c r="AO271" s="2"/>
      <c r="AP271" s="3"/>
      <c r="AQ271" s="2"/>
      <c r="AR271" s="2"/>
      <c r="AS271" s="2"/>
      <c r="AT271" s="7"/>
      <c r="AU271" s="2"/>
      <c r="AV271" s="2"/>
      <c r="AW271" s="2"/>
      <c r="AX271" s="2"/>
    </row>
    <row r="272">
      <c r="A272" s="2"/>
      <c r="B272" s="2"/>
      <c r="C272" s="2"/>
      <c r="D272" s="2"/>
      <c r="E272" s="2"/>
      <c r="F272" s="2"/>
      <c r="G272" s="2"/>
      <c r="H272" s="2"/>
      <c r="I272" s="2"/>
      <c r="J272" s="2"/>
      <c r="K272" s="2"/>
      <c r="L272" s="3"/>
      <c r="M272" s="4"/>
      <c r="N272" s="4"/>
      <c r="O272" s="5"/>
      <c r="P272" s="6"/>
      <c r="Q272" s="3"/>
      <c r="R272" s="2"/>
      <c r="S272" s="2"/>
      <c r="T272" s="2"/>
      <c r="U272" s="2"/>
      <c r="V272" s="3"/>
      <c r="W272" s="2"/>
      <c r="X272" s="2"/>
      <c r="Y272" s="2"/>
      <c r="Z272" s="2"/>
      <c r="AA272" s="3"/>
      <c r="AB272" s="2"/>
      <c r="AC272" s="2"/>
      <c r="AD272" s="2"/>
      <c r="AE272" s="2"/>
      <c r="AF272" s="3"/>
      <c r="AG272" s="2"/>
      <c r="AH272" s="2"/>
      <c r="AI272" s="2"/>
      <c r="AJ272" s="2"/>
      <c r="AK272" s="3"/>
      <c r="AL272" s="2"/>
      <c r="AM272" s="2"/>
      <c r="AN272" s="2"/>
      <c r="AO272" s="2"/>
      <c r="AP272" s="3"/>
      <c r="AQ272" s="2"/>
      <c r="AR272" s="2"/>
      <c r="AS272" s="2"/>
      <c r="AT272" s="7"/>
      <c r="AU272" s="2"/>
      <c r="AV272" s="2"/>
      <c r="AW272" s="2"/>
      <c r="AX272" s="2"/>
    </row>
    <row r="273">
      <c r="A273" s="2"/>
      <c r="B273" s="2"/>
      <c r="C273" s="2"/>
      <c r="D273" s="2"/>
      <c r="E273" s="2"/>
      <c r="F273" s="2"/>
      <c r="G273" s="2"/>
      <c r="H273" s="2"/>
      <c r="I273" s="2"/>
      <c r="J273" s="2"/>
      <c r="K273" s="2"/>
      <c r="L273" s="3"/>
      <c r="M273" s="4"/>
      <c r="N273" s="4"/>
      <c r="O273" s="5"/>
      <c r="P273" s="6"/>
      <c r="Q273" s="3"/>
      <c r="R273" s="2"/>
      <c r="S273" s="2"/>
      <c r="T273" s="2"/>
      <c r="U273" s="2"/>
      <c r="V273" s="3"/>
      <c r="W273" s="2"/>
      <c r="X273" s="2"/>
      <c r="Y273" s="2"/>
      <c r="Z273" s="2"/>
      <c r="AA273" s="3"/>
      <c r="AB273" s="2"/>
      <c r="AC273" s="2"/>
      <c r="AD273" s="2"/>
      <c r="AE273" s="2"/>
      <c r="AF273" s="3"/>
      <c r="AG273" s="2"/>
      <c r="AH273" s="2"/>
      <c r="AI273" s="2"/>
      <c r="AJ273" s="2"/>
      <c r="AK273" s="3"/>
      <c r="AL273" s="2"/>
      <c r="AM273" s="2"/>
      <c r="AN273" s="2"/>
      <c r="AO273" s="2"/>
      <c r="AP273" s="3"/>
      <c r="AQ273" s="2"/>
      <c r="AR273" s="2"/>
      <c r="AS273" s="2"/>
      <c r="AT273" s="7"/>
      <c r="AU273" s="2"/>
      <c r="AV273" s="2"/>
      <c r="AW273" s="2"/>
      <c r="AX273" s="2"/>
    </row>
    <row r="274">
      <c r="A274" s="2"/>
      <c r="B274" s="2"/>
      <c r="C274" s="2"/>
      <c r="D274" s="2"/>
      <c r="E274" s="2"/>
      <c r="F274" s="2"/>
      <c r="G274" s="2"/>
      <c r="H274" s="2"/>
      <c r="I274" s="2"/>
      <c r="J274" s="2"/>
      <c r="K274" s="2"/>
      <c r="L274" s="3"/>
      <c r="M274" s="4"/>
      <c r="N274" s="4"/>
      <c r="O274" s="5"/>
      <c r="P274" s="6"/>
      <c r="Q274" s="3"/>
      <c r="R274" s="2"/>
      <c r="S274" s="2"/>
      <c r="T274" s="2"/>
      <c r="U274" s="2"/>
      <c r="V274" s="3"/>
      <c r="W274" s="2"/>
      <c r="X274" s="2"/>
      <c r="Y274" s="2"/>
      <c r="Z274" s="2"/>
      <c r="AA274" s="3"/>
      <c r="AB274" s="2"/>
      <c r="AC274" s="2"/>
      <c r="AD274" s="2"/>
      <c r="AE274" s="2"/>
      <c r="AF274" s="3"/>
      <c r="AG274" s="2"/>
      <c r="AH274" s="2"/>
      <c r="AI274" s="2"/>
      <c r="AJ274" s="2"/>
      <c r="AK274" s="3"/>
      <c r="AL274" s="2"/>
      <c r="AM274" s="2"/>
      <c r="AN274" s="2"/>
      <c r="AO274" s="2"/>
      <c r="AP274" s="3"/>
      <c r="AQ274" s="2"/>
      <c r="AR274" s="2"/>
      <c r="AS274" s="2"/>
      <c r="AT274" s="7"/>
      <c r="AU274" s="2"/>
      <c r="AV274" s="2"/>
      <c r="AW274" s="2"/>
      <c r="AX274" s="2"/>
    </row>
    <row r="275">
      <c r="A275" s="2"/>
      <c r="B275" s="2"/>
      <c r="C275" s="2"/>
      <c r="D275" s="2"/>
      <c r="E275" s="2"/>
      <c r="F275" s="2"/>
      <c r="G275" s="2"/>
      <c r="H275" s="2"/>
      <c r="I275" s="2"/>
      <c r="J275" s="2"/>
      <c r="K275" s="2"/>
      <c r="L275" s="3"/>
      <c r="M275" s="4"/>
      <c r="N275" s="4"/>
      <c r="O275" s="5"/>
      <c r="P275" s="6"/>
      <c r="Q275" s="3"/>
      <c r="R275" s="2"/>
      <c r="S275" s="2"/>
      <c r="T275" s="2"/>
      <c r="U275" s="2"/>
      <c r="V275" s="3"/>
      <c r="W275" s="2"/>
      <c r="X275" s="2"/>
      <c r="Y275" s="2"/>
      <c r="Z275" s="2"/>
      <c r="AA275" s="3"/>
      <c r="AB275" s="2"/>
      <c r="AC275" s="2"/>
      <c r="AD275" s="2"/>
      <c r="AE275" s="2"/>
      <c r="AF275" s="3"/>
      <c r="AG275" s="2"/>
      <c r="AH275" s="2"/>
      <c r="AI275" s="2"/>
      <c r="AJ275" s="2"/>
      <c r="AK275" s="3"/>
      <c r="AL275" s="2"/>
      <c r="AM275" s="2"/>
      <c r="AN275" s="2"/>
      <c r="AO275" s="2"/>
      <c r="AP275" s="3"/>
      <c r="AQ275" s="2"/>
      <c r="AR275" s="2"/>
      <c r="AS275" s="2"/>
      <c r="AT275" s="7"/>
      <c r="AU275" s="2"/>
      <c r="AV275" s="2"/>
      <c r="AW275" s="2"/>
      <c r="AX275" s="2"/>
    </row>
    <row r="276">
      <c r="A276" s="2"/>
      <c r="B276" s="2"/>
      <c r="C276" s="2"/>
      <c r="D276" s="2"/>
      <c r="E276" s="2"/>
      <c r="F276" s="2"/>
      <c r="G276" s="2"/>
      <c r="H276" s="2"/>
      <c r="I276" s="2"/>
      <c r="J276" s="2"/>
      <c r="K276" s="2"/>
      <c r="L276" s="3"/>
      <c r="M276" s="4"/>
      <c r="N276" s="4"/>
      <c r="O276" s="5"/>
      <c r="P276" s="6"/>
      <c r="Q276" s="3"/>
      <c r="R276" s="2"/>
      <c r="S276" s="2"/>
      <c r="T276" s="2"/>
      <c r="U276" s="2"/>
      <c r="V276" s="3"/>
      <c r="W276" s="2"/>
      <c r="X276" s="2"/>
      <c r="Y276" s="2"/>
      <c r="Z276" s="2"/>
      <c r="AA276" s="3"/>
      <c r="AB276" s="2"/>
      <c r="AC276" s="2"/>
      <c r="AD276" s="2"/>
      <c r="AE276" s="2"/>
      <c r="AF276" s="3"/>
      <c r="AG276" s="2"/>
      <c r="AH276" s="2"/>
      <c r="AI276" s="2"/>
      <c r="AJ276" s="2"/>
      <c r="AK276" s="3"/>
      <c r="AL276" s="2"/>
      <c r="AM276" s="2"/>
      <c r="AN276" s="2"/>
      <c r="AO276" s="2"/>
      <c r="AP276" s="3"/>
      <c r="AQ276" s="2"/>
      <c r="AR276" s="2"/>
      <c r="AS276" s="2"/>
      <c r="AT276" s="7"/>
      <c r="AU276" s="2"/>
      <c r="AV276" s="2"/>
      <c r="AW276" s="2"/>
      <c r="AX276" s="2"/>
    </row>
    <row r="277">
      <c r="A277" s="2"/>
      <c r="B277" s="2"/>
      <c r="C277" s="2"/>
      <c r="D277" s="2"/>
      <c r="E277" s="2"/>
      <c r="F277" s="2"/>
      <c r="G277" s="2"/>
      <c r="H277" s="2"/>
      <c r="I277" s="2"/>
      <c r="J277" s="2"/>
      <c r="K277" s="2"/>
      <c r="L277" s="3"/>
      <c r="M277" s="4"/>
      <c r="N277" s="4"/>
      <c r="O277" s="5"/>
      <c r="P277" s="6"/>
      <c r="Q277" s="3"/>
      <c r="R277" s="2"/>
      <c r="S277" s="2"/>
      <c r="T277" s="2"/>
      <c r="U277" s="2"/>
      <c r="V277" s="3"/>
      <c r="W277" s="2"/>
      <c r="X277" s="2"/>
      <c r="Y277" s="2"/>
      <c r="Z277" s="2"/>
      <c r="AA277" s="3"/>
      <c r="AB277" s="2"/>
      <c r="AC277" s="2"/>
      <c r="AD277" s="2"/>
      <c r="AE277" s="2"/>
      <c r="AF277" s="3"/>
      <c r="AG277" s="2"/>
      <c r="AH277" s="2"/>
      <c r="AI277" s="2"/>
      <c r="AJ277" s="2"/>
      <c r="AK277" s="3"/>
      <c r="AL277" s="2"/>
      <c r="AM277" s="2"/>
      <c r="AN277" s="2"/>
      <c r="AO277" s="2"/>
      <c r="AP277" s="3"/>
      <c r="AQ277" s="2"/>
      <c r="AR277" s="2"/>
      <c r="AS277" s="2"/>
      <c r="AT277" s="7"/>
      <c r="AU277" s="2"/>
      <c r="AV277" s="2"/>
      <c r="AW277" s="2"/>
      <c r="AX277" s="2"/>
    </row>
    <row r="278">
      <c r="A278" s="2"/>
      <c r="B278" s="2"/>
      <c r="C278" s="2"/>
      <c r="D278" s="2"/>
      <c r="E278" s="2"/>
      <c r="F278" s="2"/>
      <c r="G278" s="2"/>
      <c r="H278" s="2"/>
      <c r="I278" s="2"/>
      <c r="J278" s="2"/>
      <c r="K278" s="2"/>
      <c r="L278" s="3"/>
      <c r="M278" s="4"/>
      <c r="N278" s="4"/>
      <c r="O278" s="5"/>
      <c r="P278" s="6"/>
      <c r="Q278" s="3"/>
      <c r="R278" s="2"/>
      <c r="S278" s="2"/>
      <c r="T278" s="2"/>
      <c r="U278" s="2"/>
      <c r="V278" s="3"/>
      <c r="W278" s="2"/>
      <c r="X278" s="2"/>
      <c r="Y278" s="2"/>
      <c r="Z278" s="2"/>
      <c r="AA278" s="3"/>
      <c r="AB278" s="2"/>
      <c r="AC278" s="2"/>
      <c r="AD278" s="2"/>
      <c r="AE278" s="2"/>
      <c r="AF278" s="3"/>
      <c r="AG278" s="2"/>
      <c r="AH278" s="2"/>
      <c r="AI278" s="2"/>
      <c r="AJ278" s="2"/>
      <c r="AK278" s="3"/>
      <c r="AL278" s="2"/>
      <c r="AM278" s="2"/>
      <c r="AN278" s="2"/>
      <c r="AO278" s="2"/>
      <c r="AP278" s="3"/>
      <c r="AQ278" s="2"/>
      <c r="AR278" s="2"/>
      <c r="AS278" s="2"/>
      <c r="AT278" s="7"/>
      <c r="AU278" s="2"/>
      <c r="AV278" s="2"/>
      <c r="AW278" s="2"/>
      <c r="AX278" s="2"/>
    </row>
    <row r="279">
      <c r="A279" s="2"/>
      <c r="B279" s="2"/>
      <c r="C279" s="2"/>
      <c r="D279" s="2"/>
      <c r="E279" s="2"/>
      <c r="F279" s="2"/>
      <c r="G279" s="2"/>
      <c r="H279" s="2"/>
      <c r="I279" s="2"/>
      <c r="J279" s="2"/>
      <c r="K279" s="2"/>
      <c r="L279" s="3"/>
      <c r="M279" s="4"/>
      <c r="N279" s="4"/>
      <c r="O279" s="5"/>
      <c r="P279" s="6"/>
      <c r="Q279" s="3"/>
      <c r="R279" s="2"/>
      <c r="S279" s="2"/>
      <c r="T279" s="2"/>
      <c r="U279" s="2"/>
      <c r="V279" s="3"/>
      <c r="W279" s="2"/>
      <c r="X279" s="2"/>
      <c r="Y279" s="2"/>
      <c r="Z279" s="2"/>
      <c r="AA279" s="3"/>
      <c r="AB279" s="2"/>
      <c r="AC279" s="2"/>
      <c r="AD279" s="2"/>
      <c r="AE279" s="2"/>
      <c r="AF279" s="3"/>
      <c r="AG279" s="2"/>
      <c r="AH279" s="2"/>
      <c r="AI279" s="2"/>
      <c r="AJ279" s="2"/>
      <c r="AK279" s="3"/>
      <c r="AL279" s="2"/>
      <c r="AM279" s="2"/>
      <c r="AN279" s="2"/>
      <c r="AO279" s="2"/>
      <c r="AP279" s="3"/>
      <c r="AQ279" s="2"/>
      <c r="AR279" s="2"/>
      <c r="AS279" s="2"/>
      <c r="AT279" s="7"/>
      <c r="AU279" s="2"/>
      <c r="AV279" s="2"/>
      <c r="AW279" s="2"/>
      <c r="AX279" s="2"/>
    </row>
    <row r="280">
      <c r="A280" s="2"/>
      <c r="B280" s="2"/>
      <c r="C280" s="2"/>
      <c r="D280" s="2"/>
      <c r="E280" s="2"/>
      <c r="F280" s="2"/>
      <c r="G280" s="2"/>
      <c r="H280" s="2"/>
      <c r="I280" s="2"/>
      <c r="J280" s="2"/>
      <c r="K280" s="2"/>
      <c r="L280" s="3"/>
      <c r="M280" s="4"/>
      <c r="N280" s="4"/>
      <c r="O280" s="5"/>
      <c r="P280" s="6"/>
      <c r="Q280" s="3"/>
      <c r="R280" s="2"/>
      <c r="S280" s="2"/>
      <c r="T280" s="2"/>
      <c r="U280" s="2"/>
      <c r="V280" s="3"/>
      <c r="W280" s="2"/>
      <c r="X280" s="2"/>
      <c r="Y280" s="2"/>
      <c r="Z280" s="2"/>
      <c r="AA280" s="3"/>
      <c r="AB280" s="2"/>
      <c r="AC280" s="2"/>
      <c r="AD280" s="2"/>
      <c r="AE280" s="2"/>
      <c r="AF280" s="3"/>
      <c r="AG280" s="2"/>
      <c r="AH280" s="2"/>
      <c r="AI280" s="2"/>
      <c r="AJ280" s="2"/>
      <c r="AK280" s="3"/>
      <c r="AL280" s="2"/>
      <c r="AM280" s="2"/>
      <c r="AN280" s="2"/>
      <c r="AO280" s="2"/>
      <c r="AP280" s="3"/>
      <c r="AQ280" s="2"/>
      <c r="AR280" s="2"/>
      <c r="AS280" s="2"/>
      <c r="AT280" s="7"/>
      <c r="AU280" s="2"/>
      <c r="AV280" s="2"/>
      <c r="AW280" s="2"/>
      <c r="AX280" s="2"/>
    </row>
    <row r="281">
      <c r="A281" s="2"/>
      <c r="B281" s="2"/>
      <c r="C281" s="2"/>
      <c r="D281" s="2"/>
      <c r="E281" s="2"/>
      <c r="F281" s="2"/>
      <c r="G281" s="2"/>
      <c r="H281" s="2"/>
      <c r="I281" s="2"/>
      <c r="J281" s="2"/>
      <c r="K281" s="2"/>
      <c r="L281" s="3"/>
      <c r="M281" s="4"/>
      <c r="N281" s="4"/>
      <c r="O281" s="5"/>
      <c r="P281" s="6"/>
      <c r="Q281" s="3"/>
      <c r="R281" s="2"/>
      <c r="S281" s="2"/>
      <c r="T281" s="2"/>
      <c r="U281" s="2"/>
      <c r="V281" s="3"/>
      <c r="W281" s="2"/>
      <c r="X281" s="2"/>
      <c r="Y281" s="2"/>
      <c r="Z281" s="2"/>
      <c r="AA281" s="3"/>
      <c r="AB281" s="2"/>
      <c r="AC281" s="2"/>
      <c r="AD281" s="2"/>
      <c r="AE281" s="2"/>
      <c r="AF281" s="3"/>
      <c r="AG281" s="2"/>
      <c r="AH281" s="2"/>
      <c r="AI281" s="2"/>
      <c r="AJ281" s="2"/>
      <c r="AK281" s="3"/>
      <c r="AL281" s="2"/>
      <c r="AM281" s="2"/>
      <c r="AN281" s="2"/>
      <c r="AO281" s="2"/>
      <c r="AP281" s="3"/>
      <c r="AQ281" s="2"/>
      <c r="AR281" s="2"/>
      <c r="AS281" s="2"/>
      <c r="AT281" s="7"/>
      <c r="AU281" s="2"/>
      <c r="AV281" s="2"/>
      <c r="AW281" s="2"/>
      <c r="AX281" s="2"/>
    </row>
    <row r="282">
      <c r="A282" s="2"/>
      <c r="B282" s="2"/>
      <c r="C282" s="2"/>
      <c r="D282" s="2"/>
      <c r="E282" s="2"/>
      <c r="F282" s="2"/>
      <c r="G282" s="2"/>
      <c r="H282" s="2"/>
      <c r="I282" s="2"/>
      <c r="J282" s="2"/>
      <c r="K282" s="2"/>
      <c r="L282" s="3"/>
      <c r="M282" s="4"/>
      <c r="N282" s="4"/>
      <c r="O282" s="5"/>
      <c r="P282" s="6"/>
      <c r="Q282" s="3"/>
      <c r="R282" s="2"/>
      <c r="S282" s="2"/>
      <c r="T282" s="2"/>
      <c r="U282" s="2"/>
      <c r="V282" s="3"/>
      <c r="W282" s="2"/>
      <c r="X282" s="2"/>
      <c r="Y282" s="2"/>
      <c r="Z282" s="2"/>
      <c r="AA282" s="3"/>
      <c r="AB282" s="2"/>
      <c r="AC282" s="2"/>
      <c r="AD282" s="2"/>
      <c r="AE282" s="2"/>
      <c r="AF282" s="3"/>
      <c r="AG282" s="2"/>
      <c r="AH282" s="2"/>
      <c r="AI282" s="2"/>
      <c r="AJ282" s="2"/>
      <c r="AK282" s="3"/>
      <c r="AL282" s="2"/>
      <c r="AM282" s="2"/>
      <c r="AN282" s="2"/>
      <c r="AO282" s="2"/>
      <c r="AP282" s="3"/>
      <c r="AQ282" s="2"/>
      <c r="AR282" s="2"/>
      <c r="AS282" s="2"/>
      <c r="AT282" s="7"/>
      <c r="AU282" s="2"/>
      <c r="AV282" s="2"/>
      <c r="AW282" s="2"/>
      <c r="AX282" s="2"/>
    </row>
    <row r="283">
      <c r="A283" s="2"/>
      <c r="B283" s="2"/>
      <c r="C283" s="2"/>
      <c r="D283" s="2"/>
      <c r="E283" s="2"/>
      <c r="F283" s="2"/>
      <c r="G283" s="2"/>
      <c r="H283" s="2"/>
      <c r="I283" s="2"/>
      <c r="J283" s="2"/>
      <c r="K283" s="2"/>
      <c r="L283" s="3"/>
      <c r="M283" s="4"/>
      <c r="N283" s="4"/>
      <c r="O283" s="5"/>
      <c r="P283" s="6"/>
      <c r="Q283" s="3"/>
      <c r="R283" s="2"/>
      <c r="S283" s="2"/>
      <c r="T283" s="2"/>
      <c r="U283" s="2"/>
      <c r="V283" s="3"/>
      <c r="W283" s="2"/>
      <c r="X283" s="2"/>
      <c r="Y283" s="2"/>
      <c r="Z283" s="2"/>
      <c r="AA283" s="3"/>
      <c r="AB283" s="2"/>
      <c r="AC283" s="2"/>
      <c r="AD283" s="2"/>
      <c r="AE283" s="2"/>
      <c r="AF283" s="3"/>
      <c r="AG283" s="2"/>
      <c r="AH283" s="2"/>
      <c r="AI283" s="2"/>
      <c r="AJ283" s="2"/>
      <c r="AK283" s="3"/>
      <c r="AL283" s="2"/>
      <c r="AM283" s="2"/>
      <c r="AN283" s="2"/>
      <c r="AO283" s="2"/>
      <c r="AP283" s="3"/>
      <c r="AQ283" s="2"/>
      <c r="AR283" s="2"/>
      <c r="AS283" s="2"/>
      <c r="AT283" s="7"/>
      <c r="AU283" s="2"/>
      <c r="AV283" s="2"/>
      <c r="AW283" s="2"/>
      <c r="AX283" s="2"/>
    </row>
    <row r="284">
      <c r="A284" s="2"/>
      <c r="B284" s="2"/>
      <c r="C284" s="2"/>
      <c r="D284" s="2"/>
      <c r="E284" s="2"/>
      <c r="F284" s="2"/>
      <c r="G284" s="2"/>
      <c r="H284" s="2"/>
      <c r="I284" s="2"/>
      <c r="J284" s="2"/>
      <c r="K284" s="2"/>
      <c r="L284" s="3"/>
      <c r="M284" s="4"/>
      <c r="N284" s="4"/>
      <c r="O284" s="5"/>
      <c r="P284" s="6"/>
      <c r="Q284" s="3"/>
      <c r="R284" s="2"/>
      <c r="S284" s="2"/>
      <c r="T284" s="2"/>
      <c r="U284" s="2"/>
      <c r="V284" s="3"/>
      <c r="W284" s="2"/>
      <c r="X284" s="2"/>
      <c r="Y284" s="2"/>
      <c r="Z284" s="2"/>
      <c r="AA284" s="3"/>
      <c r="AB284" s="2"/>
      <c r="AC284" s="2"/>
      <c r="AD284" s="2"/>
      <c r="AE284" s="2"/>
      <c r="AF284" s="3"/>
      <c r="AG284" s="2"/>
      <c r="AH284" s="2"/>
      <c r="AI284" s="2"/>
      <c r="AJ284" s="2"/>
      <c r="AK284" s="3"/>
      <c r="AL284" s="2"/>
      <c r="AM284" s="2"/>
      <c r="AN284" s="2"/>
      <c r="AO284" s="2"/>
      <c r="AP284" s="3"/>
      <c r="AQ284" s="2"/>
      <c r="AR284" s="2"/>
      <c r="AS284" s="2"/>
      <c r="AT284" s="7"/>
      <c r="AU284" s="2"/>
      <c r="AV284" s="2"/>
      <c r="AW284" s="2"/>
      <c r="AX284" s="2"/>
    </row>
    <row r="285">
      <c r="A285" s="2"/>
      <c r="B285" s="2"/>
      <c r="C285" s="2"/>
      <c r="D285" s="2"/>
      <c r="E285" s="2"/>
      <c r="F285" s="2"/>
      <c r="G285" s="2"/>
      <c r="H285" s="2"/>
      <c r="I285" s="2"/>
      <c r="J285" s="2"/>
      <c r="K285" s="2"/>
      <c r="L285" s="3"/>
      <c r="M285" s="4"/>
      <c r="N285" s="4"/>
      <c r="O285" s="5"/>
      <c r="P285" s="6"/>
      <c r="Q285" s="3"/>
      <c r="R285" s="2"/>
      <c r="S285" s="2"/>
      <c r="T285" s="2"/>
      <c r="U285" s="2"/>
      <c r="V285" s="3"/>
      <c r="W285" s="2"/>
      <c r="X285" s="2"/>
      <c r="Y285" s="2"/>
      <c r="Z285" s="2"/>
      <c r="AA285" s="3"/>
      <c r="AB285" s="2"/>
      <c r="AC285" s="2"/>
      <c r="AD285" s="2"/>
      <c r="AE285" s="2"/>
      <c r="AF285" s="3"/>
      <c r="AG285" s="2"/>
      <c r="AH285" s="2"/>
      <c r="AI285" s="2"/>
      <c r="AJ285" s="2"/>
      <c r="AK285" s="3"/>
      <c r="AL285" s="2"/>
      <c r="AM285" s="2"/>
      <c r="AN285" s="2"/>
      <c r="AO285" s="2"/>
      <c r="AP285" s="3"/>
      <c r="AQ285" s="2"/>
      <c r="AR285" s="2"/>
      <c r="AS285" s="2"/>
      <c r="AT285" s="7"/>
      <c r="AU285" s="2"/>
      <c r="AV285" s="2"/>
      <c r="AW285" s="2"/>
      <c r="AX285" s="2"/>
    </row>
    <row r="286">
      <c r="A286" s="2"/>
      <c r="B286" s="2"/>
      <c r="C286" s="2"/>
      <c r="D286" s="2"/>
      <c r="E286" s="2"/>
      <c r="F286" s="2"/>
      <c r="G286" s="2"/>
      <c r="H286" s="2"/>
      <c r="I286" s="2"/>
      <c r="J286" s="2"/>
      <c r="K286" s="2"/>
      <c r="L286" s="3"/>
      <c r="M286" s="4"/>
      <c r="N286" s="4"/>
      <c r="O286" s="5"/>
      <c r="P286" s="6"/>
      <c r="Q286" s="3"/>
      <c r="R286" s="2"/>
      <c r="S286" s="2"/>
      <c r="T286" s="2"/>
      <c r="U286" s="2"/>
      <c r="V286" s="3"/>
      <c r="W286" s="2"/>
      <c r="X286" s="2"/>
      <c r="Y286" s="2"/>
      <c r="Z286" s="2"/>
      <c r="AA286" s="3"/>
      <c r="AB286" s="2"/>
      <c r="AC286" s="2"/>
      <c r="AD286" s="2"/>
      <c r="AE286" s="2"/>
      <c r="AF286" s="3"/>
      <c r="AG286" s="2"/>
      <c r="AH286" s="2"/>
      <c r="AI286" s="2"/>
      <c r="AJ286" s="2"/>
      <c r="AK286" s="3"/>
      <c r="AL286" s="2"/>
      <c r="AM286" s="2"/>
      <c r="AN286" s="2"/>
      <c r="AO286" s="2"/>
      <c r="AP286" s="3"/>
      <c r="AQ286" s="2"/>
      <c r="AR286" s="2"/>
      <c r="AS286" s="2"/>
      <c r="AT286" s="7"/>
      <c r="AU286" s="2"/>
      <c r="AV286" s="2"/>
      <c r="AW286" s="2"/>
      <c r="AX286" s="2"/>
    </row>
    <row r="287">
      <c r="A287" s="2"/>
      <c r="B287" s="2"/>
      <c r="C287" s="2"/>
      <c r="D287" s="2"/>
      <c r="E287" s="2"/>
      <c r="F287" s="2"/>
      <c r="G287" s="2"/>
      <c r="H287" s="2"/>
      <c r="I287" s="2"/>
      <c r="J287" s="2"/>
      <c r="K287" s="2"/>
      <c r="L287" s="3"/>
      <c r="M287" s="4"/>
      <c r="N287" s="4"/>
      <c r="O287" s="5"/>
      <c r="P287" s="6"/>
      <c r="Q287" s="3"/>
      <c r="R287" s="2"/>
      <c r="S287" s="2"/>
      <c r="T287" s="2"/>
      <c r="U287" s="2"/>
      <c r="V287" s="3"/>
      <c r="W287" s="2"/>
      <c r="X287" s="2"/>
      <c r="Y287" s="2"/>
      <c r="Z287" s="2"/>
      <c r="AA287" s="3"/>
      <c r="AB287" s="2"/>
      <c r="AC287" s="2"/>
      <c r="AD287" s="2"/>
      <c r="AE287" s="2"/>
      <c r="AF287" s="3"/>
      <c r="AG287" s="2"/>
      <c r="AH287" s="2"/>
      <c r="AI287" s="2"/>
      <c r="AJ287" s="2"/>
      <c r="AK287" s="3"/>
      <c r="AL287" s="2"/>
      <c r="AM287" s="2"/>
      <c r="AN287" s="2"/>
      <c r="AO287" s="2"/>
      <c r="AP287" s="3"/>
      <c r="AQ287" s="2"/>
      <c r="AR287" s="2"/>
      <c r="AS287" s="2"/>
      <c r="AT287" s="7"/>
      <c r="AU287" s="2"/>
      <c r="AV287" s="2"/>
      <c r="AW287" s="2"/>
      <c r="AX287" s="2"/>
    </row>
    <row r="288">
      <c r="A288" s="2"/>
      <c r="B288" s="2"/>
      <c r="C288" s="2"/>
      <c r="D288" s="2"/>
      <c r="E288" s="2"/>
      <c r="F288" s="2"/>
      <c r="G288" s="2"/>
      <c r="H288" s="2"/>
      <c r="I288" s="2"/>
      <c r="J288" s="2"/>
      <c r="K288" s="2"/>
      <c r="L288" s="3"/>
      <c r="M288" s="4"/>
      <c r="N288" s="4"/>
      <c r="O288" s="5"/>
      <c r="P288" s="6"/>
      <c r="Q288" s="3"/>
      <c r="R288" s="2"/>
      <c r="S288" s="2"/>
      <c r="T288" s="2"/>
      <c r="U288" s="2"/>
      <c r="V288" s="3"/>
      <c r="W288" s="2"/>
      <c r="X288" s="2"/>
      <c r="Y288" s="2"/>
      <c r="Z288" s="2"/>
      <c r="AA288" s="3"/>
      <c r="AB288" s="2"/>
      <c r="AC288" s="2"/>
      <c r="AD288" s="2"/>
      <c r="AE288" s="2"/>
      <c r="AF288" s="3"/>
      <c r="AG288" s="2"/>
      <c r="AH288" s="2"/>
      <c r="AI288" s="2"/>
      <c r="AJ288" s="2"/>
      <c r="AK288" s="3"/>
      <c r="AL288" s="2"/>
      <c r="AM288" s="2"/>
      <c r="AN288" s="2"/>
      <c r="AO288" s="2"/>
      <c r="AP288" s="3"/>
      <c r="AQ288" s="2"/>
      <c r="AR288" s="2"/>
      <c r="AS288" s="2"/>
      <c r="AT288" s="7"/>
      <c r="AU288" s="2"/>
      <c r="AV288" s="2"/>
      <c r="AW288" s="2"/>
      <c r="AX288" s="2"/>
    </row>
    <row r="289">
      <c r="A289" s="2"/>
      <c r="B289" s="2"/>
      <c r="C289" s="2"/>
      <c r="D289" s="2"/>
      <c r="E289" s="2"/>
      <c r="F289" s="2"/>
      <c r="G289" s="2"/>
      <c r="H289" s="2"/>
      <c r="I289" s="2"/>
      <c r="J289" s="2"/>
      <c r="K289" s="2"/>
      <c r="L289" s="3"/>
      <c r="M289" s="4"/>
      <c r="N289" s="4"/>
      <c r="O289" s="5"/>
      <c r="P289" s="6"/>
      <c r="Q289" s="3"/>
      <c r="R289" s="2"/>
      <c r="S289" s="2"/>
      <c r="T289" s="2"/>
      <c r="U289" s="2"/>
      <c r="V289" s="3"/>
      <c r="W289" s="2"/>
      <c r="X289" s="2"/>
      <c r="Y289" s="2"/>
      <c r="Z289" s="2"/>
      <c r="AA289" s="3"/>
      <c r="AB289" s="2"/>
      <c r="AC289" s="2"/>
      <c r="AD289" s="2"/>
      <c r="AE289" s="2"/>
      <c r="AF289" s="3"/>
      <c r="AG289" s="2"/>
      <c r="AH289" s="2"/>
      <c r="AI289" s="2"/>
      <c r="AJ289" s="2"/>
      <c r="AK289" s="3"/>
      <c r="AL289" s="2"/>
      <c r="AM289" s="2"/>
      <c r="AN289" s="2"/>
      <c r="AO289" s="2"/>
      <c r="AP289" s="3"/>
      <c r="AQ289" s="2"/>
      <c r="AR289" s="2"/>
      <c r="AS289" s="2"/>
      <c r="AT289" s="7"/>
      <c r="AU289" s="2"/>
      <c r="AV289" s="2"/>
      <c r="AW289" s="2"/>
      <c r="AX289" s="2"/>
    </row>
    <row r="290">
      <c r="A290" s="2"/>
      <c r="B290" s="2"/>
      <c r="C290" s="2"/>
      <c r="D290" s="2"/>
      <c r="E290" s="2"/>
      <c r="F290" s="2"/>
      <c r="G290" s="2"/>
      <c r="H290" s="2"/>
      <c r="I290" s="2"/>
      <c r="J290" s="2"/>
      <c r="K290" s="2"/>
      <c r="L290" s="3"/>
      <c r="M290" s="4"/>
      <c r="N290" s="4"/>
      <c r="O290" s="5"/>
      <c r="P290" s="6"/>
      <c r="Q290" s="3"/>
      <c r="R290" s="2"/>
      <c r="S290" s="2"/>
      <c r="T290" s="2"/>
      <c r="U290" s="2"/>
      <c r="V290" s="3"/>
      <c r="W290" s="2"/>
      <c r="X290" s="2"/>
      <c r="Y290" s="2"/>
      <c r="Z290" s="2"/>
      <c r="AA290" s="3"/>
      <c r="AB290" s="2"/>
      <c r="AC290" s="2"/>
      <c r="AD290" s="2"/>
      <c r="AE290" s="2"/>
      <c r="AF290" s="3"/>
      <c r="AG290" s="2"/>
      <c r="AH290" s="2"/>
      <c r="AI290" s="2"/>
      <c r="AJ290" s="2"/>
      <c r="AK290" s="3"/>
      <c r="AL290" s="2"/>
      <c r="AM290" s="2"/>
      <c r="AN290" s="2"/>
      <c r="AO290" s="2"/>
      <c r="AP290" s="3"/>
      <c r="AQ290" s="2"/>
      <c r="AR290" s="2"/>
      <c r="AS290" s="2"/>
      <c r="AT290" s="7"/>
      <c r="AU290" s="2"/>
      <c r="AV290" s="2"/>
      <c r="AW290" s="2"/>
      <c r="AX290" s="2"/>
    </row>
    <row r="291">
      <c r="A291" s="2"/>
      <c r="B291" s="2"/>
      <c r="C291" s="2"/>
      <c r="D291" s="2"/>
      <c r="E291" s="2"/>
      <c r="F291" s="2"/>
      <c r="G291" s="2"/>
      <c r="H291" s="2"/>
      <c r="I291" s="2"/>
      <c r="J291" s="2"/>
      <c r="K291" s="2"/>
      <c r="L291" s="3"/>
      <c r="M291" s="4"/>
      <c r="N291" s="4"/>
      <c r="O291" s="5"/>
      <c r="P291" s="6"/>
      <c r="Q291" s="3"/>
      <c r="R291" s="2"/>
      <c r="S291" s="2"/>
      <c r="T291" s="2"/>
      <c r="U291" s="2"/>
      <c r="V291" s="3"/>
      <c r="W291" s="2"/>
      <c r="X291" s="2"/>
      <c r="Y291" s="2"/>
      <c r="Z291" s="2"/>
      <c r="AA291" s="3"/>
      <c r="AB291" s="2"/>
      <c r="AC291" s="2"/>
      <c r="AD291" s="2"/>
      <c r="AE291" s="2"/>
      <c r="AF291" s="3"/>
      <c r="AG291" s="2"/>
      <c r="AH291" s="2"/>
      <c r="AI291" s="2"/>
      <c r="AJ291" s="2"/>
      <c r="AK291" s="3"/>
      <c r="AL291" s="2"/>
      <c r="AM291" s="2"/>
      <c r="AN291" s="2"/>
      <c r="AO291" s="2"/>
      <c r="AP291" s="3"/>
      <c r="AQ291" s="2"/>
      <c r="AR291" s="2"/>
      <c r="AS291" s="2"/>
      <c r="AT291" s="7"/>
      <c r="AU291" s="2"/>
      <c r="AV291" s="2"/>
      <c r="AW291" s="2"/>
      <c r="AX291" s="2"/>
    </row>
    <row r="292">
      <c r="A292" s="2"/>
      <c r="B292" s="2"/>
      <c r="C292" s="2"/>
      <c r="D292" s="2"/>
      <c r="E292" s="2"/>
      <c r="F292" s="2"/>
      <c r="G292" s="2"/>
      <c r="H292" s="2"/>
      <c r="I292" s="2"/>
      <c r="J292" s="2"/>
      <c r="K292" s="2"/>
      <c r="L292" s="3"/>
      <c r="M292" s="4"/>
      <c r="N292" s="4"/>
      <c r="O292" s="5"/>
      <c r="P292" s="6"/>
      <c r="Q292" s="3"/>
      <c r="R292" s="2"/>
      <c r="S292" s="2"/>
      <c r="T292" s="2"/>
      <c r="U292" s="2"/>
      <c r="V292" s="3"/>
      <c r="W292" s="2"/>
      <c r="X292" s="2"/>
      <c r="Y292" s="2"/>
      <c r="Z292" s="2"/>
      <c r="AA292" s="3"/>
      <c r="AB292" s="2"/>
      <c r="AC292" s="2"/>
      <c r="AD292" s="2"/>
      <c r="AE292" s="2"/>
      <c r="AF292" s="3"/>
      <c r="AG292" s="2"/>
      <c r="AH292" s="2"/>
      <c r="AI292" s="2"/>
      <c r="AJ292" s="2"/>
      <c r="AK292" s="3"/>
      <c r="AL292" s="2"/>
      <c r="AM292" s="2"/>
      <c r="AN292" s="2"/>
      <c r="AO292" s="2"/>
      <c r="AP292" s="3"/>
      <c r="AQ292" s="2"/>
      <c r="AR292" s="2"/>
      <c r="AS292" s="2"/>
      <c r="AT292" s="7"/>
      <c r="AU292" s="2"/>
      <c r="AV292" s="2"/>
      <c r="AW292" s="2"/>
      <c r="AX292" s="2"/>
    </row>
    <row r="293">
      <c r="A293" s="2"/>
      <c r="B293" s="2"/>
      <c r="C293" s="2"/>
      <c r="D293" s="2"/>
      <c r="E293" s="2"/>
      <c r="F293" s="2"/>
      <c r="G293" s="2"/>
      <c r="H293" s="2"/>
      <c r="I293" s="2"/>
      <c r="J293" s="2"/>
      <c r="K293" s="2"/>
      <c r="L293" s="3"/>
      <c r="M293" s="4"/>
      <c r="N293" s="4"/>
      <c r="O293" s="5"/>
      <c r="P293" s="6"/>
      <c r="Q293" s="3"/>
      <c r="R293" s="2"/>
      <c r="S293" s="2"/>
      <c r="T293" s="2"/>
      <c r="U293" s="2"/>
      <c r="V293" s="3"/>
      <c r="W293" s="2"/>
      <c r="X293" s="2"/>
      <c r="Y293" s="2"/>
      <c r="Z293" s="2"/>
      <c r="AA293" s="3"/>
      <c r="AB293" s="2"/>
      <c r="AC293" s="2"/>
      <c r="AD293" s="2"/>
      <c r="AE293" s="2"/>
      <c r="AF293" s="3"/>
      <c r="AG293" s="2"/>
      <c r="AH293" s="2"/>
      <c r="AI293" s="2"/>
      <c r="AJ293" s="2"/>
      <c r="AK293" s="3"/>
      <c r="AL293" s="2"/>
      <c r="AM293" s="2"/>
      <c r="AN293" s="2"/>
      <c r="AO293" s="2"/>
      <c r="AP293" s="3"/>
      <c r="AQ293" s="2"/>
      <c r="AR293" s="2"/>
      <c r="AS293" s="2"/>
      <c r="AT293" s="7"/>
      <c r="AU293" s="2"/>
      <c r="AV293" s="2"/>
      <c r="AW293" s="2"/>
      <c r="AX293" s="2"/>
    </row>
    <row r="294">
      <c r="A294" s="2"/>
      <c r="B294" s="2"/>
      <c r="C294" s="2"/>
      <c r="D294" s="2"/>
      <c r="E294" s="2"/>
      <c r="F294" s="2"/>
      <c r="G294" s="2"/>
      <c r="H294" s="2"/>
      <c r="I294" s="2"/>
      <c r="J294" s="2"/>
      <c r="K294" s="2"/>
      <c r="L294" s="3"/>
      <c r="M294" s="4"/>
      <c r="N294" s="4"/>
      <c r="O294" s="5"/>
      <c r="P294" s="6"/>
      <c r="Q294" s="3"/>
      <c r="R294" s="2"/>
      <c r="S294" s="2"/>
      <c r="T294" s="2"/>
      <c r="U294" s="2"/>
      <c r="V294" s="3"/>
      <c r="W294" s="2"/>
      <c r="X294" s="2"/>
      <c r="Y294" s="2"/>
      <c r="Z294" s="2"/>
      <c r="AA294" s="3"/>
      <c r="AB294" s="2"/>
      <c r="AC294" s="2"/>
      <c r="AD294" s="2"/>
      <c r="AE294" s="2"/>
      <c r="AF294" s="3"/>
      <c r="AG294" s="2"/>
      <c r="AH294" s="2"/>
      <c r="AI294" s="2"/>
      <c r="AJ294" s="2"/>
      <c r="AK294" s="3"/>
      <c r="AL294" s="2"/>
      <c r="AM294" s="2"/>
      <c r="AN294" s="2"/>
      <c r="AO294" s="2"/>
      <c r="AP294" s="3"/>
      <c r="AQ294" s="2"/>
      <c r="AR294" s="2"/>
      <c r="AS294" s="2"/>
      <c r="AT294" s="7"/>
      <c r="AU294" s="2"/>
      <c r="AV294" s="2"/>
      <c r="AW294" s="2"/>
      <c r="AX294" s="2"/>
    </row>
    <row r="295">
      <c r="A295" s="2"/>
      <c r="B295" s="2"/>
      <c r="C295" s="2"/>
      <c r="D295" s="2"/>
      <c r="E295" s="2"/>
      <c r="F295" s="2"/>
      <c r="G295" s="2"/>
      <c r="H295" s="2"/>
      <c r="I295" s="2"/>
      <c r="J295" s="2"/>
      <c r="K295" s="2"/>
      <c r="L295" s="3"/>
      <c r="M295" s="4"/>
      <c r="N295" s="4"/>
      <c r="O295" s="5"/>
      <c r="P295" s="6"/>
      <c r="Q295" s="3"/>
      <c r="R295" s="2"/>
      <c r="S295" s="2"/>
      <c r="T295" s="2"/>
      <c r="U295" s="2"/>
      <c r="V295" s="3"/>
      <c r="W295" s="2"/>
      <c r="X295" s="2"/>
      <c r="Y295" s="2"/>
      <c r="Z295" s="2"/>
      <c r="AA295" s="3"/>
      <c r="AB295" s="2"/>
      <c r="AC295" s="2"/>
      <c r="AD295" s="2"/>
      <c r="AE295" s="2"/>
      <c r="AF295" s="3"/>
      <c r="AG295" s="2"/>
      <c r="AH295" s="2"/>
      <c r="AI295" s="2"/>
      <c r="AJ295" s="2"/>
      <c r="AK295" s="3"/>
      <c r="AL295" s="2"/>
      <c r="AM295" s="2"/>
      <c r="AN295" s="2"/>
      <c r="AO295" s="2"/>
      <c r="AP295" s="3"/>
      <c r="AQ295" s="2"/>
      <c r="AR295" s="2"/>
      <c r="AS295" s="2"/>
      <c r="AT295" s="7"/>
      <c r="AU295" s="2"/>
      <c r="AV295" s="2"/>
      <c r="AW295" s="2"/>
      <c r="AX295" s="2"/>
    </row>
    <row r="296">
      <c r="A296" s="2"/>
      <c r="B296" s="2"/>
      <c r="C296" s="2"/>
      <c r="D296" s="2"/>
      <c r="E296" s="2"/>
      <c r="F296" s="2"/>
      <c r="G296" s="2"/>
      <c r="H296" s="2"/>
      <c r="I296" s="2"/>
      <c r="J296" s="2"/>
      <c r="K296" s="2"/>
      <c r="L296" s="3"/>
      <c r="M296" s="4"/>
      <c r="N296" s="4"/>
      <c r="O296" s="5"/>
      <c r="P296" s="6"/>
      <c r="Q296" s="3"/>
      <c r="R296" s="2"/>
      <c r="S296" s="2"/>
      <c r="T296" s="2"/>
      <c r="U296" s="2"/>
      <c r="V296" s="3"/>
      <c r="W296" s="2"/>
      <c r="X296" s="2"/>
      <c r="Y296" s="2"/>
      <c r="Z296" s="2"/>
      <c r="AA296" s="3"/>
      <c r="AB296" s="2"/>
      <c r="AC296" s="2"/>
      <c r="AD296" s="2"/>
      <c r="AE296" s="2"/>
      <c r="AF296" s="3"/>
      <c r="AG296" s="2"/>
      <c r="AH296" s="2"/>
      <c r="AI296" s="2"/>
      <c r="AJ296" s="2"/>
      <c r="AK296" s="3"/>
      <c r="AL296" s="2"/>
      <c r="AM296" s="2"/>
      <c r="AN296" s="2"/>
      <c r="AO296" s="2"/>
      <c r="AP296" s="3"/>
      <c r="AQ296" s="2"/>
      <c r="AR296" s="2"/>
      <c r="AS296" s="2"/>
      <c r="AT296" s="7"/>
      <c r="AU296" s="2"/>
      <c r="AV296" s="2"/>
      <c r="AW296" s="2"/>
      <c r="AX296" s="2"/>
    </row>
    <row r="297">
      <c r="A297" s="2"/>
      <c r="B297" s="2"/>
      <c r="C297" s="2"/>
      <c r="D297" s="2"/>
      <c r="E297" s="2"/>
      <c r="F297" s="2"/>
      <c r="G297" s="2"/>
      <c r="H297" s="2"/>
      <c r="I297" s="2"/>
      <c r="J297" s="2"/>
      <c r="K297" s="2"/>
      <c r="L297" s="3"/>
      <c r="M297" s="4"/>
      <c r="N297" s="4"/>
      <c r="O297" s="5"/>
      <c r="P297" s="6"/>
      <c r="Q297" s="3"/>
      <c r="R297" s="2"/>
      <c r="S297" s="2"/>
      <c r="T297" s="2"/>
      <c r="U297" s="2"/>
      <c r="V297" s="3"/>
      <c r="W297" s="2"/>
      <c r="X297" s="2"/>
      <c r="Y297" s="2"/>
      <c r="Z297" s="2"/>
      <c r="AA297" s="3"/>
      <c r="AB297" s="2"/>
      <c r="AC297" s="2"/>
      <c r="AD297" s="2"/>
      <c r="AE297" s="2"/>
      <c r="AF297" s="3"/>
      <c r="AG297" s="2"/>
      <c r="AH297" s="2"/>
      <c r="AI297" s="2"/>
      <c r="AJ297" s="2"/>
      <c r="AK297" s="3"/>
      <c r="AL297" s="2"/>
      <c r="AM297" s="2"/>
      <c r="AN297" s="2"/>
      <c r="AO297" s="2"/>
      <c r="AP297" s="3"/>
      <c r="AQ297" s="2"/>
      <c r="AR297" s="2"/>
      <c r="AS297" s="2"/>
      <c r="AT297" s="7"/>
      <c r="AU297" s="2"/>
      <c r="AV297" s="2"/>
      <c r="AW297" s="2"/>
      <c r="AX297" s="2"/>
    </row>
    <row r="298">
      <c r="A298" s="2"/>
      <c r="B298" s="2"/>
      <c r="C298" s="2"/>
      <c r="D298" s="2"/>
      <c r="E298" s="2"/>
      <c r="F298" s="2"/>
      <c r="G298" s="2"/>
      <c r="H298" s="2"/>
      <c r="I298" s="2"/>
      <c r="J298" s="2"/>
      <c r="K298" s="2"/>
      <c r="L298" s="3"/>
      <c r="M298" s="4"/>
      <c r="N298" s="4"/>
      <c r="O298" s="5"/>
      <c r="P298" s="6"/>
      <c r="Q298" s="3"/>
      <c r="R298" s="2"/>
      <c r="S298" s="2"/>
      <c r="T298" s="2"/>
      <c r="U298" s="2"/>
      <c r="V298" s="3"/>
      <c r="W298" s="2"/>
      <c r="X298" s="2"/>
      <c r="Y298" s="2"/>
      <c r="Z298" s="2"/>
      <c r="AA298" s="3"/>
      <c r="AB298" s="2"/>
      <c r="AC298" s="2"/>
      <c r="AD298" s="2"/>
      <c r="AE298" s="2"/>
      <c r="AF298" s="3"/>
      <c r="AG298" s="2"/>
      <c r="AH298" s="2"/>
      <c r="AI298" s="2"/>
      <c r="AJ298" s="2"/>
      <c r="AK298" s="3"/>
      <c r="AL298" s="2"/>
      <c r="AM298" s="2"/>
      <c r="AN298" s="2"/>
      <c r="AO298" s="2"/>
      <c r="AP298" s="3"/>
      <c r="AQ298" s="2"/>
      <c r="AR298" s="2"/>
      <c r="AS298" s="2"/>
      <c r="AT298" s="7"/>
      <c r="AU298" s="2"/>
      <c r="AV298" s="2"/>
      <c r="AW298" s="2"/>
      <c r="AX298" s="2"/>
    </row>
    <row r="299">
      <c r="A299" s="2"/>
      <c r="B299" s="2"/>
      <c r="C299" s="2"/>
      <c r="D299" s="2"/>
      <c r="E299" s="2"/>
      <c r="F299" s="2"/>
      <c r="G299" s="2"/>
      <c r="H299" s="2"/>
      <c r="I299" s="2"/>
      <c r="J299" s="2"/>
      <c r="K299" s="2"/>
      <c r="L299" s="3"/>
      <c r="M299" s="4"/>
      <c r="N299" s="4"/>
      <c r="O299" s="5"/>
      <c r="P299" s="6"/>
      <c r="Q299" s="3"/>
      <c r="R299" s="2"/>
      <c r="S299" s="2"/>
      <c r="T299" s="2"/>
      <c r="U299" s="2"/>
      <c r="V299" s="3"/>
      <c r="W299" s="2"/>
      <c r="X299" s="2"/>
      <c r="Y299" s="2"/>
      <c r="Z299" s="2"/>
      <c r="AA299" s="3"/>
      <c r="AB299" s="2"/>
      <c r="AC299" s="2"/>
      <c r="AD299" s="2"/>
      <c r="AE299" s="2"/>
      <c r="AF299" s="3"/>
      <c r="AG299" s="2"/>
      <c r="AH299" s="2"/>
      <c r="AI299" s="2"/>
      <c r="AJ299" s="2"/>
      <c r="AK299" s="3"/>
      <c r="AL299" s="2"/>
      <c r="AM299" s="2"/>
      <c r="AN299" s="2"/>
      <c r="AO299" s="2"/>
      <c r="AP299" s="3"/>
      <c r="AQ299" s="2"/>
      <c r="AR299" s="2"/>
      <c r="AS299" s="2"/>
      <c r="AT299" s="7"/>
      <c r="AU299" s="2"/>
      <c r="AV299" s="2"/>
      <c r="AW299" s="2"/>
      <c r="AX299" s="2"/>
    </row>
    <row r="300">
      <c r="A300" s="2"/>
      <c r="B300" s="2"/>
      <c r="C300" s="2"/>
      <c r="D300" s="2"/>
      <c r="E300" s="2"/>
      <c r="F300" s="2"/>
      <c r="G300" s="2"/>
      <c r="H300" s="2"/>
      <c r="I300" s="2"/>
      <c r="J300" s="2"/>
      <c r="K300" s="2"/>
      <c r="L300" s="3"/>
      <c r="M300" s="4"/>
      <c r="N300" s="4"/>
      <c r="O300" s="5"/>
      <c r="P300" s="6"/>
      <c r="Q300" s="3"/>
      <c r="R300" s="2"/>
      <c r="S300" s="2"/>
      <c r="T300" s="2"/>
      <c r="U300" s="2"/>
      <c r="V300" s="3"/>
      <c r="W300" s="2"/>
      <c r="X300" s="2"/>
      <c r="Y300" s="2"/>
      <c r="Z300" s="2"/>
      <c r="AA300" s="3"/>
      <c r="AB300" s="2"/>
      <c r="AC300" s="2"/>
      <c r="AD300" s="2"/>
      <c r="AE300" s="2"/>
      <c r="AF300" s="3"/>
      <c r="AG300" s="2"/>
      <c r="AH300" s="2"/>
      <c r="AI300" s="2"/>
      <c r="AJ300" s="2"/>
      <c r="AK300" s="3"/>
      <c r="AL300" s="2"/>
      <c r="AM300" s="2"/>
      <c r="AN300" s="2"/>
      <c r="AO300" s="2"/>
      <c r="AP300" s="3"/>
      <c r="AQ300" s="2"/>
      <c r="AR300" s="2"/>
      <c r="AS300" s="2"/>
      <c r="AT300" s="7"/>
      <c r="AU300" s="2"/>
      <c r="AV300" s="2"/>
      <c r="AW300" s="2"/>
      <c r="AX300" s="2"/>
    </row>
    <row r="301">
      <c r="A301" s="2"/>
      <c r="B301" s="2"/>
      <c r="C301" s="2"/>
      <c r="D301" s="2"/>
      <c r="E301" s="2"/>
      <c r="F301" s="2"/>
      <c r="G301" s="2"/>
      <c r="H301" s="2"/>
      <c r="I301" s="2"/>
      <c r="J301" s="2"/>
      <c r="K301" s="2"/>
      <c r="L301" s="3"/>
      <c r="M301" s="4"/>
      <c r="N301" s="4"/>
      <c r="O301" s="5"/>
      <c r="P301" s="6"/>
      <c r="Q301" s="3"/>
      <c r="R301" s="2"/>
      <c r="S301" s="2"/>
      <c r="T301" s="2"/>
      <c r="U301" s="2"/>
      <c r="V301" s="3"/>
      <c r="W301" s="2"/>
      <c r="X301" s="2"/>
      <c r="Y301" s="2"/>
      <c r="Z301" s="2"/>
      <c r="AA301" s="3"/>
      <c r="AB301" s="2"/>
      <c r="AC301" s="2"/>
      <c r="AD301" s="2"/>
      <c r="AE301" s="2"/>
      <c r="AF301" s="3"/>
      <c r="AG301" s="2"/>
      <c r="AH301" s="2"/>
      <c r="AI301" s="2"/>
      <c r="AJ301" s="2"/>
      <c r="AK301" s="3"/>
      <c r="AL301" s="2"/>
      <c r="AM301" s="2"/>
      <c r="AN301" s="2"/>
      <c r="AO301" s="2"/>
      <c r="AP301" s="3"/>
      <c r="AQ301" s="2"/>
      <c r="AR301" s="2"/>
      <c r="AS301" s="2"/>
      <c r="AT301" s="7"/>
      <c r="AU301" s="2"/>
      <c r="AV301" s="2"/>
      <c r="AW301" s="2"/>
      <c r="AX301" s="2"/>
    </row>
    <row r="302">
      <c r="A302" s="2"/>
      <c r="B302" s="2"/>
      <c r="C302" s="2"/>
      <c r="D302" s="2"/>
      <c r="E302" s="2"/>
      <c r="F302" s="2"/>
      <c r="G302" s="2"/>
      <c r="H302" s="2"/>
      <c r="I302" s="2"/>
      <c r="J302" s="2"/>
      <c r="K302" s="2"/>
      <c r="L302" s="3"/>
      <c r="M302" s="4"/>
      <c r="N302" s="4"/>
      <c r="O302" s="5"/>
      <c r="P302" s="6"/>
      <c r="Q302" s="3"/>
      <c r="R302" s="2"/>
      <c r="S302" s="2"/>
      <c r="T302" s="2"/>
      <c r="U302" s="2"/>
      <c r="V302" s="3"/>
      <c r="W302" s="2"/>
      <c r="X302" s="2"/>
      <c r="Y302" s="2"/>
      <c r="Z302" s="2"/>
      <c r="AA302" s="3"/>
      <c r="AB302" s="2"/>
      <c r="AC302" s="2"/>
      <c r="AD302" s="2"/>
      <c r="AE302" s="2"/>
      <c r="AF302" s="3"/>
      <c r="AG302" s="2"/>
      <c r="AH302" s="2"/>
      <c r="AI302" s="2"/>
      <c r="AJ302" s="2"/>
      <c r="AK302" s="3"/>
      <c r="AL302" s="2"/>
      <c r="AM302" s="2"/>
      <c r="AN302" s="2"/>
      <c r="AO302" s="2"/>
      <c r="AP302" s="3"/>
      <c r="AQ302" s="2"/>
      <c r="AR302" s="2"/>
      <c r="AS302" s="2"/>
      <c r="AT302" s="7"/>
      <c r="AU302" s="2"/>
      <c r="AV302" s="2"/>
      <c r="AW302" s="2"/>
      <c r="AX302" s="2"/>
    </row>
    <row r="303">
      <c r="A303" s="2"/>
      <c r="B303" s="2"/>
      <c r="C303" s="2"/>
      <c r="D303" s="2"/>
      <c r="E303" s="2"/>
      <c r="F303" s="2"/>
      <c r="G303" s="2"/>
      <c r="H303" s="2"/>
      <c r="I303" s="2"/>
      <c r="J303" s="2"/>
      <c r="K303" s="2"/>
      <c r="L303" s="3"/>
      <c r="M303" s="4"/>
      <c r="N303" s="4"/>
      <c r="O303" s="5"/>
      <c r="P303" s="6"/>
      <c r="Q303" s="3"/>
      <c r="R303" s="2"/>
      <c r="S303" s="2"/>
      <c r="T303" s="2"/>
      <c r="U303" s="2"/>
      <c r="V303" s="3"/>
      <c r="W303" s="2"/>
      <c r="X303" s="2"/>
      <c r="Y303" s="2"/>
      <c r="Z303" s="2"/>
      <c r="AA303" s="3"/>
      <c r="AB303" s="2"/>
      <c r="AC303" s="2"/>
      <c r="AD303" s="2"/>
      <c r="AE303" s="2"/>
      <c r="AF303" s="3"/>
      <c r="AG303" s="2"/>
      <c r="AH303" s="2"/>
      <c r="AI303" s="2"/>
      <c r="AJ303" s="2"/>
      <c r="AK303" s="3"/>
      <c r="AL303" s="2"/>
      <c r="AM303" s="2"/>
      <c r="AN303" s="2"/>
      <c r="AO303" s="2"/>
      <c r="AP303" s="3"/>
      <c r="AQ303" s="2"/>
      <c r="AR303" s="2"/>
      <c r="AS303" s="2"/>
      <c r="AT303" s="7"/>
      <c r="AU303" s="2"/>
      <c r="AV303" s="2"/>
      <c r="AW303" s="2"/>
      <c r="AX303" s="2"/>
    </row>
    <row r="304">
      <c r="A304" s="2"/>
      <c r="B304" s="2"/>
      <c r="C304" s="2"/>
      <c r="D304" s="2"/>
      <c r="E304" s="2"/>
      <c r="F304" s="2"/>
      <c r="G304" s="2"/>
      <c r="H304" s="2"/>
      <c r="I304" s="2"/>
      <c r="J304" s="2"/>
      <c r="K304" s="2"/>
      <c r="L304" s="3"/>
      <c r="M304" s="4"/>
      <c r="N304" s="4"/>
      <c r="O304" s="5"/>
      <c r="P304" s="6"/>
      <c r="Q304" s="3"/>
      <c r="R304" s="2"/>
      <c r="S304" s="2"/>
      <c r="T304" s="2"/>
      <c r="U304" s="2"/>
      <c r="V304" s="3"/>
      <c r="W304" s="2"/>
      <c r="X304" s="2"/>
      <c r="Y304" s="2"/>
      <c r="Z304" s="2"/>
      <c r="AA304" s="3"/>
      <c r="AB304" s="2"/>
      <c r="AC304" s="2"/>
      <c r="AD304" s="2"/>
      <c r="AE304" s="2"/>
      <c r="AF304" s="3"/>
      <c r="AG304" s="2"/>
      <c r="AH304" s="2"/>
      <c r="AI304" s="2"/>
      <c r="AJ304" s="2"/>
      <c r="AK304" s="3"/>
      <c r="AL304" s="2"/>
      <c r="AM304" s="2"/>
      <c r="AN304" s="2"/>
      <c r="AO304" s="2"/>
      <c r="AP304" s="3"/>
      <c r="AQ304" s="2"/>
      <c r="AR304" s="2"/>
      <c r="AS304" s="2"/>
      <c r="AT304" s="7"/>
      <c r="AU304" s="2"/>
      <c r="AV304" s="2"/>
      <c r="AW304" s="2"/>
      <c r="AX304" s="2"/>
    </row>
    <row r="305">
      <c r="A305" s="2"/>
      <c r="B305" s="2"/>
      <c r="C305" s="2"/>
      <c r="D305" s="2"/>
      <c r="E305" s="2"/>
      <c r="F305" s="2"/>
      <c r="G305" s="2"/>
      <c r="H305" s="2"/>
      <c r="I305" s="2"/>
      <c r="J305" s="2"/>
      <c r="K305" s="2"/>
      <c r="L305" s="3"/>
      <c r="M305" s="4"/>
      <c r="N305" s="4"/>
      <c r="O305" s="5"/>
      <c r="P305" s="6"/>
      <c r="Q305" s="3"/>
      <c r="R305" s="2"/>
      <c r="S305" s="2"/>
      <c r="T305" s="2"/>
      <c r="U305" s="2"/>
      <c r="V305" s="3"/>
      <c r="W305" s="2"/>
      <c r="X305" s="2"/>
      <c r="Y305" s="2"/>
      <c r="Z305" s="2"/>
      <c r="AA305" s="3"/>
      <c r="AB305" s="2"/>
      <c r="AC305" s="2"/>
      <c r="AD305" s="2"/>
      <c r="AE305" s="2"/>
      <c r="AF305" s="3"/>
      <c r="AG305" s="2"/>
      <c r="AH305" s="2"/>
      <c r="AI305" s="2"/>
      <c r="AJ305" s="2"/>
      <c r="AK305" s="3"/>
      <c r="AL305" s="2"/>
      <c r="AM305" s="2"/>
      <c r="AN305" s="2"/>
      <c r="AO305" s="2"/>
      <c r="AP305" s="3"/>
      <c r="AQ305" s="2"/>
      <c r="AR305" s="2"/>
      <c r="AS305" s="2"/>
      <c r="AT305" s="7"/>
      <c r="AU305" s="2"/>
      <c r="AV305" s="2"/>
      <c r="AW305" s="2"/>
      <c r="AX305" s="2"/>
    </row>
    <row r="306">
      <c r="A306" s="2"/>
      <c r="B306" s="2"/>
      <c r="C306" s="2"/>
      <c r="D306" s="2"/>
      <c r="E306" s="2"/>
      <c r="F306" s="2"/>
      <c r="G306" s="2"/>
      <c r="H306" s="2"/>
      <c r="I306" s="2"/>
      <c r="J306" s="2"/>
      <c r="K306" s="2"/>
      <c r="L306" s="3"/>
      <c r="M306" s="4"/>
      <c r="N306" s="4"/>
      <c r="O306" s="5"/>
      <c r="P306" s="6"/>
      <c r="Q306" s="3"/>
      <c r="R306" s="2"/>
      <c r="S306" s="2"/>
      <c r="T306" s="2"/>
      <c r="U306" s="2"/>
      <c r="V306" s="3"/>
      <c r="W306" s="2"/>
      <c r="X306" s="2"/>
      <c r="Y306" s="2"/>
      <c r="Z306" s="2"/>
      <c r="AA306" s="3"/>
      <c r="AB306" s="2"/>
      <c r="AC306" s="2"/>
      <c r="AD306" s="2"/>
      <c r="AE306" s="2"/>
      <c r="AF306" s="3"/>
      <c r="AG306" s="2"/>
      <c r="AH306" s="2"/>
      <c r="AI306" s="2"/>
      <c r="AJ306" s="2"/>
      <c r="AK306" s="3"/>
      <c r="AL306" s="2"/>
      <c r="AM306" s="2"/>
      <c r="AN306" s="2"/>
      <c r="AO306" s="2"/>
      <c r="AP306" s="3"/>
      <c r="AQ306" s="2"/>
      <c r="AR306" s="2"/>
      <c r="AS306" s="2"/>
      <c r="AT306" s="7"/>
      <c r="AU306" s="2"/>
      <c r="AV306" s="2"/>
      <c r="AW306" s="2"/>
      <c r="AX306" s="2"/>
    </row>
    <row r="307">
      <c r="A307" s="2"/>
      <c r="B307" s="2"/>
      <c r="C307" s="2"/>
      <c r="D307" s="2"/>
      <c r="E307" s="2"/>
      <c r="F307" s="2"/>
      <c r="G307" s="2"/>
      <c r="H307" s="2"/>
      <c r="I307" s="2"/>
      <c r="J307" s="2"/>
      <c r="K307" s="2"/>
      <c r="L307" s="3"/>
      <c r="M307" s="4"/>
      <c r="N307" s="4"/>
      <c r="O307" s="5"/>
      <c r="P307" s="6"/>
      <c r="Q307" s="3"/>
      <c r="R307" s="2"/>
      <c r="S307" s="2"/>
      <c r="T307" s="2"/>
      <c r="U307" s="2"/>
      <c r="V307" s="3"/>
      <c r="W307" s="2"/>
      <c r="X307" s="2"/>
      <c r="Y307" s="2"/>
      <c r="Z307" s="2"/>
      <c r="AA307" s="3"/>
      <c r="AB307" s="2"/>
      <c r="AC307" s="2"/>
      <c r="AD307" s="2"/>
      <c r="AE307" s="2"/>
      <c r="AF307" s="3"/>
      <c r="AG307" s="2"/>
      <c r="AH307" s="2"/>
      <c r="AI307" s="2"/>
      <c r="AJ307" s="2"/>
      <c r="AK307" s="3"/>
      <c r="AL307" s="2"/>
      <c r="AM307" s="2"/>
      <c r="AN307" s="2"/>
      <c r="AO307" s="2"/>
      <c r="AP307" s="3"/>
      <c r="AQ307" s="2"/>
      <c r="AR307" s="2"/>
      <c r="AS307" s="2"/>
      <c r="AT307" s="7"/>
      <c r="AU307" s="2"/>
      <c r="AV307" s="2"/>
      <c r="AW307" s="2"/>
      <c r="AX307" s="2"/>
    </row>
    <row r="308">
      <c r="A308" s="2"/>
      <c r="B308" s="2"/>
      <c r="C308" s="2"/>
      <c r="D308" s="2"/>
      <c r="E308" s="2"/>
      <c r="F308" s="2"/>
      <c r="G308" s="2"/>
      <c r="H308" s="2"/>
      <c r="I308" s="2"/>
      <c r="J308" s="2"/>
      <c r="K308" s="2"/>
      <c r="L308" s="3"/>
      <c r="M308" s="4"/>
      <c r="N308" s="4"/>
      <c r="O308" s="5"/>
      <c r="P308" s="6"/>
      <c r="Q308" s="3"/>
      <c r="R308" s="2"/>
      <c r="S308" s="2"/>
      <c r="T308" s="2"/>
      <c r="U308" s="2"/>
      <c r="V308" s="3"/>
      <c r="W308" s="2"/>
      <c r="X308" s="2"/>
      <c r="Y308" s="2"/>
      <c r="Z308" s="2"/>
      <c r="AA308" s="3"/>
      <c r="AB308" s="2"/>
      <c r="AC308" s="2"/>
      <c r="AD308" s="2"/>
      <c r="AE308" s="2"/>
      <c r="AF308" s="3"/>
      <c r="AG308" s="2"/>
      <c r="AH308" s="2"/>
      <c r="AI308" s="2"/>
      <c r="AJ308" s="2"/>
      <c r="AK308" s="3"/>
      <c r="AL308" s="2"/>
      <c r="AM308" s="2"/>
      <c r="AN308" s="2"/>
      <c r="AO308" s="2"/>
      <c r="AP308" s="3"/>
      <c r="AQ308" s="2"/>
      <c r="AR308" s="2"/>
      <c r="AS308" s="2"/>
      <c r="AT308" s="7"/>
      <c r="AU308" s="2"/>
      <c r="AV308" s="2"/>
      <c r="AW308" s="2"/>
      <c r="AX308" s="2"/>
    </row>
    <row r="309">
      <c r="A309" s="2"/>
      <c r="B309" s="2"/>
      <c r="C309" s="2"/>
      <c r="D309" s="2"/>
      <c r="E309" s="2"/>
      <c r="F309" s="2"/>
      <c r="G309" s="2"/>
      <c r="H309" s="2"/>
      <c r="I309" s="2"/>
      <c r="J309" s="2"/>
      <c r="K309" s="2"/>
      <c r="L309" s="3"/>
      <c r="M309" s="4"/>
      <c r="N309" s="4"/>
      <c r="O309" s="5"/>
      <c r="P309" s="6"/>
      <c r="Q309" s="3"/>
      <c r="R309" s="2"/>
      <c r="S309" s="2"/>
      <c r="T309" s="2"/>
      <c r="U309" s="2"/>
      <c r="V309" s="3"/>
      <c r="W309" s="2"/>
      <c r="X309" s="2"/>
      <c r="Y309" s="2"/>
      <c r="Z309" s="2"/>
      <c r="AA309" s="3"/>
      <c r="AB309" s="2"/>
      <c r="AC309" s="2"/>
      <c r="AD309" s="2"/>
      <c r="AE309" s="2"/>
      <c r="AF309" s="3"/>
      <c r="AG309" s="2"/>
      <c r="AH309" s="2"/>
      <c r="AI309" s="2"/>
      <c r="AJ309" s="2"/>
      <c r="AK309" s="3"/>
      <c r="AL309" s="2"/>
      <c r="AM309" s="2"/>
      <c r="AN309" s="2"/>
      <c r="AO309" s="2"/>
      <c r="AP309" s="3"/>
      <c r="AQ309" s="2"/>
      <c r="AR309" s="2"/>
      <c r="AS309" s="2"/>
      <c r="AT309" s="7"/>
      <c r="AU309" s="2"/>
      <c r="AV309" s="2"/>
      <c r="AW309" s="2"/>
      <c r="AX309" s="2"/>
    </row>
    <row r="310">
      <c r="A310" s="2"/>
      <c r="B310" s="2"/>
      <c r="C310" s="2"/>
      <c r="D310" s="2"/>
      <c r="E310" s="2"/>
      <c r="F310" s="2"/>
      <c r="G310" s="2"/>
      <c r="H310" s="2"/>
      <c r="I310" s="2"/>
      <c r="J310" s="2"/>
      <c r="K310" s="2"/>
      <c r="L310" s="3"/>
      <c r="M310" s="4"/>
      <c r="N310" s="4"/>
      <c r="O310" s="5"/>
      <c r="P310" s="6"/>
      <c r="Q310" s="3"/>
      <c r="R310" s="2"/>
      <c r="S310" s="2"/>
      <c r="T310" s="2"/>
      <c r="U310" s="2"/>
      <c r="V310" s="3"/>
      <c r="W310" s="2"/>
      <c r="X310" s="2"/>
      <c r="Y310" s="2"/>
      <c r="Z310" s="2"/>
      <c r="AA310" s="3"/>
      <c r="AB310" s="2"/>
      <c r="AC310" s="2"/>
      <c r="AD310" s="2"/>
      <c r="AE310" s="2"/>
      <c r="AF310" s="3"/>
      <c r="AG310" s="2"/>
      <c r="AH310" s="2"/>
      <c r="AI310" s="2"/>
      <c r="AJ310" s="2"/>
      <c r="AK310" s="3"/>
      <c r="AL310" s="2"/>
      <c r="AM310" s="2"/>
      <c r="AN310" s="2"/>
      <c r="AO310" s="2"/>
      <c r="AP310" s="3"/>
      <c r="AQ310" s="2"/>
      <c r="AR310" s="2"/>
      <c r="AS310" s="2"/>
      <c r="AT310" s="7"/>
      <c r="AU310" s="2"/>
      <c r="AV310" s="2"/>
      <c r="AW310" s="2"/>
      <c r="AX310" s="2"/>
    </row>
    <row r="311">
      <c r="A311" s="2"/>
      <c r="B311" s="2"/>
      <c r="C311" s="2"/>
      <c r="D311" s="2"/>
      <c r="E311" s="2"/>
      <c r="F311" s="2"/>
      <c r="G311" s="2"/>
      <c r="H311" s="2"/>
      <c r="I311" s="2"/>
      <c r="J311" s="2"/>
      <c r="K311" s="2"/>
      <c r="L311" s="3"/>
      <c r="M311" s="4"/>
      <c r="N311" s="4"/>
      <c r="O311" s="5"/>
      <c r="P311" s="6"/>
      <c r="Q311" s="3"/>
      <c r="R311" s="2"/>
      <c r="S311" s="2"/>
      <c r="T311" s="2"/>
      <c r="U311" s="2"/>
      <c r="V311" s="3"/>
      <c r="W311" s="2"/>
      <c r="X311" s="2"/>
      <c r="Y311" s="2"/>
      <c r="Z311" s="2"/>
      <c r="AA311" s="3"/>
      <c r="AB311" s="2"/>
      <c r="AC311" s="2"/>
      <c r="AD311" s="2"/>
      <c r="AE311" s="2"/>
      <c r="AF311" s="3"/>
      <c r="AG311" s="2"/>
      <c r="AH311" s="2"/>
      <c r="AI311" s="2"/>
      <c r="AJ311" s="2"/>
      <c r="AK311" s="3"/>
      <c r="AL311" s="2"/>
      <c r="AM311" s="2"/>
      <c r="AN311" s="2"/>
      <c r="AO311" s="2"/>
      <c r="AP311" s="3"/>
      <c r="AQ311" s="2"/>
      <c r="AR311" s="2"/>
      <c r="AS311" s="2"/>
      <c r="AT311" s="7"/>
      <c r="AU311" s="2"/>
      <c r="AV311" s="2"/>
      <c r="AW311" s="2"/>
      <c r="AX311" s="2"/>
    </row>
    <row r="312">
      <c r="A312" s="2"/>
      <c r="B312" s="2"/>
      <c r="C312" s="2"/>
      <c r="D312" s="2"/>
      <c r="E312" s="2"/>
      <c r="F312" s="2"/>
      <c r="G312" s="2"/>
      <c r="H312" s="2"/>
      <c r="I312" s="2"/>
      <c r="J312" s="2"/>
      <c r="K312" s="2"/>
      <c r="L312" s="3"/>
      <c r="M312" s="4"/>
      <c r="N312" s="4"/>
      <c r="O312" s="5"/>
      <c r="P312" s="6"/>
      <c r="Q312" s="3"/>
      <c r="R312" s="2"/>
      <c r="S312" s="2"/>
      <c r="T312" s="2"/>
      <c r="U312" s="2"/>
      <c r="V312" s="3"/>
      <c r="W312" s="2"/>
      <c r="X312" s="2"/>
      <c r="Y312" s="2"/>
      <c r="Z312" s="2"/>
      <c r="AA312" s="3"/>
      <c r="AB312" s="2"/>
      <c r="AC312" s="2"/>
      <c r="AD312" s="2"/>
      <c r="AE312" s="2"/>
      <c r="AF312" s="3"/>
      <c r="AG312" s="2"/>
      <c r="AH312" s="2"/>
      <c r="AI312" s="2"/>
      <c r="AJ312" s="2"/>
      <c r="AK312" s="3"/>
      <c r="AL312" s="2"/>
      <c r="AM312" s="2"/>
      <c r="AN312" s="2"/>
      <c r="AO312" s="2"/>
      <c r="AP312" s="3"/>
      <c r="AQ312" s="2"/>
      <c r="AR312" s="2"/>
      <c r="AS312" s="2"/>
      <c r="AT312" s="7"/>
      <c r="AU312" s="2"/>
      <c r="AV312" s="2"/>
      <c r="AW312" s="2"/>
      <c r="AX312" s="2"/>
    </row>
    <row r="313">
      <c r="A313" s="2"/>
      <c r="B313" s="2"/>
      <c r="C313" s="2"/>
      <c r="D313" s="2"/>
      <c r="E313" s="2"/>
      <c r="F313" s="2"/>
      <c r="G313" s="2"/>
      <c r="H313" s="2"/>
      <c r="I313" s="2"/>
      <c r="J313" s="2"/>
      <c r="K313" s="2"/>
      <c r="L313" s="3"/>
      <c r="M313" s="4"/>
      <c r="N313" s="4"/>
      <c r="O313" s="5"/>
      <c r="P313" s="6"/>
      <c r="Q313" s="3"/>
      <c r="R313" s="2"/>
      <c r="S313" s="2"/>
      <c r="T313" s="2"/>
      <c r="U313" s="2"/>
      <c r="V313" s="3"/>
      <c r="W313" s="2"/>
      <c r="X313" s="2"/>
      <c r="Y313" s="2"/>
      <c r="Z313" s="2"/>
      <c r="AA313" s="3"/>
      <c r="AB313" s="2"/>
      <c r="AC313" s="2"/>
      <c r="AD313" s="2"/>
      <c r="AE313" s="2"/>
      <c r="AF313" s="3"/>
      <c r="AG313" s="2"/>
      <c r="AH313" s="2"/>
      <c r="AI313" s="2"/>
      <c r="AJ313" s="2"/>
      <c r="AK313" s="3"/>
      <c r="AL313" s="2"/>
      <c r="AM313" s="2"/>
      <c r="AN313" s="2"/>
      <c r="AO313" s="2"/>
      <c r="AP313" s="3"/>
      <c r="AQ313" s="2"/>
      <c r="AR313" s="2"/>
      <c r="AS313" s="2"/>
      <c r="AT313" s="7"/>
      <c r="AU313" s="2"/>
      <c r="AV313" s="2"/>
      <c r="AW313" s="2"/>
      <c r="AX313" s="2"/>
    </row>
    <row r="314">
      <c r="A314" s="2"/>
      <c r="B314" s="2"/>
      <c r="C314" s="2"/>
      <c r="D314" s="2"/>
      <c r="E314" s="2"/>
      <c r="F314" s="2"/>
      <c r="G314" s="2"/>
      <c r="H314" s="2"/>
      <c r="I314" s="2"/>
      <c r="J314" s="2"/>
      <c r="K314" s="2"/>
      <c r="L314" s="3"/>
      <c r="M314" s="4"/>
      <c r="N314" s="4"/>
      <c r="O314" s="5"/>
      <c r="P314" s="6"/>
      <c r="Q314" s="3"/>
      <c r="R314" s="2"/>
      <c r="S314" s="2"/>
      <c r="T314" s="2"/>
      <c r="U314" s="2"/>
      <c r="V314" s="3"/>
      <c r="W314" s="2"/>
      <c r="X314" s="2"/>
      <c r="Y314" s="2"/>
      <c r="Z314" s="2"/>
      <c r="AA314" s="3"/>
      <c r="AB314" s="2"/>
      <c r="AC314" s="2"/>
      <c r="AD314" s="2"/>
      <c r="AE314" s="2"/>
      <c r="AF314" s="3"/>
      <c r="AG314" s="2"/>
      <c r="AH314" s="2"/>
      <c r="AI314" s="2"/>
      <c r="AJ314" s="2"/>
      <c r="AK314" s="3"/>
      <c r="AL314" s="2"/>
      <c r="AM314" s="2"/>
      <c r="AN314" s="2"/>
      <c r="AO314" s="2"/>
      <c r="AP314" s="3"/>
      <c r="AQ314" s="2"/>
      <c r="AR314" s="2"/>
      <c r="AS314" s="2"/>
      <c r="AT314" s="7"/>
      <c r="AU314" s="2"/>
      <c r="AV314" s="2"/>
      <c r="AW314" s="2"/>
      <c r="AX314" s="2"/>
    </row>
    <row r="315">
      <c r="A315" s="2"/>
      <c r="B315" s="2"/>
      <c r="C315" s="2"/>
      <c r="D315" s="2"/>
      <c r="E315" s="2"/>
      <c r="F315" s="2"/>
      <c r="G315" s="2"/>
      <c r="H315" s="2"/>
      <c r="I315" s="2"/>
      <c r="J315" s="2"/>
      <c r="K315" s="2"/>
      <c r="L315" s="3"/>
      <c r="M315" s="4"/>
      <c r="N315" s="4"/>
      <c r="O315" s="5"/>
      <c r="P315" s="6"/>
      <c r="Q315" s="3"/>
      <c r="R315" s="2"/>
      <c r="S315" s="2"/>
      <c r="T315" s="2"/>
      <c r="U315" s="2"/>
      <c r="V315" s="3"/>
      <c r="W315" s="2"/>
      <c r="X315" s="2"/>
      <c r="Y315" s="2"/>
      <c r="Z315" s="2"/>
      <c r="AA315" s="3"/>
      <c r="AB315" s="2"/>
      <c r="AC315" s="2"/>
      <c r="AD315" s="2"/>
      <c r="AE315" s="2"/>
      <c r="AF315" s="3"/>
      <c r="AG315" s="2"/>
      <c r="AH315" s="2"/>
      <c r="AI315" s="2"/>
      <c r="AJ315" s="2"/>
      <c r="AK315" s="3"/>
      <c r="AL315" s="2"/>
      <c r="AM315" s="2"/>
      <c r="AN315" s="2"/>
      <c r="AO315" s="2"/>
      <c r="AP315" s="3"/>
      <c r="AQ315" s="2"/>
      <c r="AR315" s="2"/>
      <c r="AS315" s="2"/>
      <c r="AT315" s="7"/>
      <c r="AU315" s="2"/>
      <c r="AV315" s="2"/>
      <c r="AW315" s="2"/>
      <c r="AX315" s="2"/>
    </row>
    <row r="316">
      <c r="A316" s="2"/>
      <c r="B316" s="2"/>
      <c r="C316" s="2"/>
      <c r="D316" s="2"/>
      <c r="E316" s="2"/>
      <c r="F316" s="2"/>
      <c r="G316" s="2"/>
      <c r="H316" s="2"/>
      <c r="I316" s="2"/>
      <c r="J316" s="2"/>
      <c r="K316" s="2"/>
      <c r="L316" s="3"/>
      <c r="M316" s="4"/>
      <c r="N316" s="4"/>
      <c r="O316" s="5"/>
      <c r="P316" s="6"/>
      <c r="Q316" s="3"/>
      <c r="R316" s="2"/>
      <c r="S316" s="2"/>
      <c r="T316" s="2"/>
      <c r="U316" s="2"/>
      <c r="V316" s="3"/>
      <c r="W316" s="2"/>
      <c r="X316" s="2"/>
      <c r="Y316" s="2"/>
      <c r="Z316" s="2"/>
      <c r="AA316" s="3"/>
      <c r="AB316" s="2"/>
      <c r="AC316" s="2"/>
      <c r="AD316" s="2"/>
      <c r="AE316" s="2"/>
      <c r="AF316" s="3"/>
      <c r="AG316" s="2"/>
      <c r="AH316" s="2"/>
      <c r="AI316" s="2"/>
      <c r="AJ316" s="2"/>
      <c r="AK316" s="3"/>
      <c r="AL316" s="2"/>
      <c r="AM316" s="2"/>
      <c r="AN316" s="2"/>
      <c r="AO316" s="2"/>
      <c r="AP316" s="3"/>
      <c r="AQ316" s="2"/>
      <c r="AR316" s="2"/>
      <c r="AS316" s="2"/>
      <c r="AT316" s="7"/>
      <c r="AU316" s="2"/>
      <c r="AV316" s="2"/>
      <c r="AW316" s="2"/>
      <c r="AX316" s="2"/>
    </row>
    <row r="317">
      <c r="A317" s="2"/>
      <c r="B317" s="2"/>
      <c r="C317" s="2"/>
      <c r="D317" s="2"/>
      <c r="E317" s="2"/>
      <c r="F317" s="2"/>
      <c r="G317" s="2"/>
      <c r="H317" s="2"/>
      <c r="I317" s="2"/>
      <c r="J317" s="2"/>
      <c r="K317" s="2"/>
      <c r="L317" s="3"/>
      <c r="M317" s="4"/>
      <c r="N317" s="4"/>
      <c r="O317" s="5"/>
      <c r="P317" s="6"/>
      <c r="Q317" s="3"/>
      <c r="R317" s="2"/>
      <c r="S317" s="2"/>
      <c r="T317" s="2"/>
      <c r="U317" s="2"/>
      <c r="V317" s="3"/>
      <c r="W317" s="2"/>
      <c r="X317" s="2"/>
      <c r="Y317" s="2"/>
      <c r="Z317" s="2"/>
      <c r="AA317" s="3"/>
      <c r="AB317" s="2"/>
      <c r="AC317" s="2"/>
      <c r="AD317" s="2"/>
      <c r="AE317" s="2"/>
      <c r="AF317" s="3"/>
      <c r="AG317" s="2"/>
      <c r="AH317" s="2"/>
      <c r="AI317" s="2"/>
      <c r="AJ317" s="2"/>
      <c r="AK317" s="3"/>
      <c r="AL317" s="2"/>
      <c r="AM317" s="2"/>
      <c r="AN317" s="2"/>
      <c r="AO317" s="2"/>
      <c r="AP317" s="3"/>
      <c r="AQ317" s="2"/>
      <c r="AR317" s="2"/>
      <c r="AS317" s="2"/>
      <c r="AT317" s="7"/>
      <c r="AU317" s="2"/>
      <c r="AV317" s="2"/>
      <c r="AW317" s="2"/>
      <c r="AX317" s="2"/>
    </row>
    <row r="318">
      <c r="A318" s="2"/>
      <c r="B318" s="2"/>
      <c r="C318" s="2"/>
      <c r="D318" s="2"/>
      <c r="E318" s="2"/>
      <c r="F318" s="2"/>
      <c r="G318" s="2"/>
      <c r="H318" s="2"/>
      <c r="I318" s="2"/>
      <c r="J318" s="2"/>
      <c r="K318" s="2"/>
      <c r="L318" s="3"/>
      <c r="M318" s="4"/>
      <c r="N318" s="4"/>
      <c r="O318" s="5"/>
      <c r="P318" s="6"/>
      <c r="Q318" s="3"/>
      <c r="R318" s="2"/>
      <c r="S318" s="2"/>
      <c r="T318" s="2"/>
      <c r="U318" s="2"/>
      <c r="V318" s="3"/>
      <c r="W318" s="2"/>
      <c r="X318" s="2"/>
      <c r="Y318" s="2"/>
      <c r="Z318" s="2"/>
      <c r="AA318" s="3"/>
      <c r="AB318" s="2"/>
      <c r="AC318" s="2"/>
      <c r="AD318" s="2"/>
      <c r="AE318" s="2"/>
      <c r="AF318" s="3"/>
      <c r="AG318" s="2"/>
      <c r="AH318" s="2"/>
      <c r="AI318" s="2"/>
      <c r="AJ318" s="2"/>
      <c r="AK318" s="3"/>
      <c r="AL318" s="2"/>
      <c r="AM318" s="2"/>
      <c r="AN318" s="2"/>
      <c r="AO318" s="2"/>
      <c r="AP318" s="3"/>
      <c r="AQ318" s="2"/>
      <c r="AR318" s="2"/>
      <c r="AS318" s="2"/>
      <c r="AT318" s="7"/>
      <c r="AU318" s="2"/>
      <c r="AV318" s="2"/>
      <c r="AW318" s="2"/>
      <c r="AX318" s="2"/>
    </row>
    <row r="319">
      <c r="A319" s="2"/>
      <c r="B319" s="2"/>
      <c r="C319" s="2"/>
      <c r="D319" s="2"/>
      <c r="E319" s="2"/>
      <c r="F319" s="2"/>
      <c r="G319" s="2"/>
      <c r="H319" s="2"/>
      <c r="I319" s="2"/>
      <c r="J319" s="2"/>
      <c r="K319" s="2"/>
      <c r="L319" s="3"/>
      <c r="M319" s="4"/>
      <c r="N319" s="4"/>
      <c r="O319" s="5"/>
      <c r="P319" s="6"/>
      <c r="Q319" s="3"/>
      <c r="R319" s="2"/>
      <c r="S319" s="2"/>
      <c r="T319" s="2"/>
      <c r="U319" s="2"/>
      <c r="V319" s="3"/>
      <c r="W319" s="2"/>
      <c r="X319" s="2"/>
      <c r="Y319" s="2"/>
      <c r="Z319" s="2"/>
      <c r="AA319" s="3"/>
      <c r="AB319" s="2"/>
      <c r="AC319" s="2"/>
      <c r="AD319" s="2"/>
      <c r="AE319" s="2"/>
      <c r="AF319" s="3"/>
      <c r="AG319" s="2"/>
      <c r="AH319" s="2"/>
      <c r="AI319" s="2"/>
      <c r="AJ319" s="2"/>
      <c r="AK319" s="3"/>
      <c r="AL319" s="2"/>
      <c r="AM319" s="2"/>
      <c r="AN319" s="2"/>
      <c r="AO319" s="2"/>
      <c r="AP319" s="3"/>
      <c r="AQ319" s="2"/>
      <c r="AR319" s="2"/>
      <c r="AS319" s="2"/>
      <c r="AT319" s="7"/>
      <c r="AU319" s="2"/>
      <c r="AV319" s="2"/>
      <c r="AW319" s="2"/>
      <c r="AX319" s="2"/>
    </row>
    <row r="320">
      <c r="A320" s="2"/>
      <c r="B320" s="2"/>
      <c r="C320" s="2"/>
      <c r="D320" s="2"/>
      <c r="E320" s="2"/>
      <c r="F320" s="2"/>
      <c r="G320" s="2"/>
      <c r="H320" s="2"/>
      <c r="I320" s="2"/>
      <c r="J320" s="2"/>
      <c r="K320" s="2"/>
      <c r="L320" s="3"/>
      <c r="M320" s="4"/>
      <c r="N320" s="4"/>
      <c r="O320" s="5"/>
      <c r="P320" s="6"/>
      <c r="Q320" s="3"/>
      <c r="R320" s="2"/>
      <c r="S320" s="2"/>
      <c r="T320" s="2"/>
      <c r="U320" s="2"/>
      <c r="V320" s="3"/>
      <c r="W320" s="2"/>
      <c r="X320" s="2"/>
      <c r="Y320" s="2"/>
      <c r="Z320" s="2"/>
      <c r="AA320" s="3"/>
      <c r="AB320" s="2"/>
      <c r="AC320" s="2"/>
      <c r="AD320" s="2"/>
      <c r="AE320" s="2"/>
      <c r="AF320" s="3"/>
      <c r="AG320" s="2"/>
      <c r="AH320" s="2"/>
      <c r="AI320" s="2"/>
      <c r="AJ320" s="2"/>
      <c r="AK320" s="3"/>
      <c r="AL320" s="2"/>
      <c r="AM320" s="2"/>
      <c r="AN320" s="2"/>
      <c r="AO320" s="2"/>
      <c r="AP320" s="3"/>
      <c r="AQ320" s="2"/>
      <c r="AR320" s="2"/>
      <c r="AS320" s="2"/>
      <c r="AT320" s="7"/>
      <c r="AU320" s="2"/>
      <c r="AV320" s="2"/>
      <c r="AW320" s="2"/>
      <c r="AX320" s="2"/>
    </row>
    <row r="321">
      <c r="A321" s="2"/>
      <c r="B321" s="2"/>
      <c r="C321" s="2"/>
      <c r="D321" s="2"/>
      <c r="E321" s="2"/>
      <c r="F321" s="2"/>
      <c r="G321" s="2"/>
      <c r="H321" s="2"/>
      <c r="I321" s="2"/>
      <c r="J321" s="2"/>
      <c r="K321" s="2"/>
      <c r="L321" s="3"/>
      <c r="M321" s="4"/>
      <c r="N321" s="4"/>
      <c r="O321" s="5"/>
      <c r="P321" s="6"/>
      <c r="Q321" s="3"/>
      <c r="R321" s="2"/>
      <c r="S321" s="2"/>
      <c r="T321" s="2"/>
      <c r="U321" s="2"/>
      <c r="V321" s="3"/>
      <c r="W321" s="2"/>
      <c r="X321" s="2"/>
      <c r="Y321" s="2"/>
      <c r="Z321" s="2"/>
      <c r="AA321" s="3"/>
      <c r="AB321" s="2"/>
      <c r="AC321" s="2"/>
      <c r="AD321" s="2"/>
      <c r="AE321" s="2"/>
      <c r="AF321" s="3"/>
      <c r="AG321" s="2"/>
      <c r="AH321" s="2"/>
      <c r="AI321" s="2"/>
      <c r="AJ321" s="2"/>
      <c r="AK321" s="3"/>
      <c r="AL321" s="2"/>
      <c r="AM321" s="2"/>
      <c r="AN321" s="2"/>
      <c r="AO321" s="2"/>
      <c r="AP321" s="3"/>
      <c r="AQ321" s="2"/>
      <c r="AR321" s="2"/>
      <c r="AS321" s="2"/>
      <c r="AT321" s="7"/>
      <c r="AU321" s="2"/>
      <c r="AV321" s="2"/>
      <c r="AW321" s="2"/>
      <c r="AX321" s="2"/>
    </row>
    <row r="322">
      <c r="A322" s="2"/>
      <c r="B322" s="2"/>
      <c r="C322" s="2"/>
      <c r="D322" s="2"/>
      <c r="E322" s="2"/>
      <c r="F322" s="2"/>
      <c r="G322" s="2"/>
      <c r="H322" s="2"/>
      <c r="I322" s="2"/>
      <c r="J322" s="2"/>
      <c r="K322" s="2"/>
      <c r="L322" s="3"/>
      <c r="M322" s="4"/>
      <c r="N322" s="4"/>
      <c r="O322" s="5"/>
      <c r="P322" s="6"/>
      <c r="Q322" s="3"/>
      <c r="R322" s="2"/>
      <c r="S322" s="2"/>
      <c r="T322" s="2"/>
      <c r="U322" s="2"/>
      <c r="V322" s="3"/>
      <c r="W322" s="2"/>
      <c r="X322" s="2"/>
      <c r="Y322" s="2"/>
      <c r="Z322" s="2"/>
      <c r="AA322" s="3"/>
      <c r="AB322" s="2"/>
      <c r="AC322" s="2"/>
      <c r="AD322" s="2"/>
      <c r="AE322" s="2"/>
      <c r="AF322" s="3"/>
      <c r="AG322" s="2"/>
      <c r="AH322" s="2"/>
      <c r="AI322" s="2"/>
      <c r="AJ322" s="2"/>
      <c r="AK322" s="3"/>
      <c r="AL322" s="2"/>
      <c r="AM322" s="2"/>
      <c r="AN322" s="2"/>
      <c r="AO322" s="2"/>
      <c r="AP322" s="3"/>
      <c r="AQ322" s="2"/>
      <c r="AR322" s="2"/>
      <c r="AS322" s="2"/>
      <c r="AT322" s="7"/>
      <c r="AU322" s="2"/>
      <c r="AV322" s="2"/>
      <c r="AW322" s="2"/>
      <c r="AX322" s="2"/>
    </row>
    <row r="323">
      <c r="A323" s="2"/>
      <c r="B323" s="2"/>
      <c r="C323" s="2"/>
      <c r="D323" s="2"/>
      <c r="E323" s="2"/>
      <c r="F323" s="2"/>
      <c r="G323" s="2"/>
      <c r="H323" s="2"/>
      <c r="I323" s="2"/>
      <c r="J323" s="2"/>
      <c r="K323" s="2"/>
      <c r="L323" s="3"/>
      <c r="M323" s="4"/>
      <c r="N323" s="4"/>
      <c r="O323" s="5"/>
      <c r="P323" s="6"/>
      <c r="Q323" s="3"/>
      <c r="R323" s="2"/>
      <c r="S323" s="2"/>
      <c r="T323" s="2"/>
      <c r="U323" s="2"/>
      <c r="V323" s="3"/>
      <c r="W323" s="2"/>
      <c r="X323" s="2"/>
      <c r="Y323" s="2"/>
      <c r="Z323" s="2"/>
      <c r="AA323" s="3"/>
      <c r="AB323" s="2"/>
      <c r="AC323" s="2"/>
      <c r="AD323" s="2"/>
      <c r="AE323" s="2"/>
      <c r="AF323" s="3"/>
      <c r="AG323" s="2"/>
      <c r="AH323" s="2"/>
      <c r="AI323" s="2"/>
      <c r="AJ323" s="2"/>
      <c r="AK323" s="3"/>
      <c r="AL323" s="2"/>
      <c r="AM323" s="2"/>
      <c r="AN323" s="2"/>
      <c r="AO323" s="2"/>
      <c r="AP323" s="3"/>
      <c r="AQ323" s="2"/>
      <c r="AR323" s="2"/>
      <c r="AS323" s="2"/>
      <c r="AT323" s="7"/>
      <c r="AU323" s="2"/>
      <c r="AV323" s="2"/>
      <c r="AW323" s="2"/>
      <c r="AX323" s="2"/>
    </row>
    <row r="324">
      <c r="A324" s="2"/>
      <c r="B324" s="2"/>
      <c r="C324" s="2"/>
      <c r="D324" s="2"/>
      <c r="E324" s="2"/>
      <c r="F324" s="2"/>
      <c r="G324" s="2"/>
      <c r="H324" s="2"/>
      <c r="I324" s="2"/>
      <c r="J324" s="2"/>
      <c r="K324" s="2"/>
      <c r="L324" s="3"/>
      <c r="M324" s="4"/>
      <c r="N324" s="4"/>
      <c r="O324" s="5"/>
      <c r="P324" s="6"/>
      <c r="Q324" s="3"/>
      <c r="R324" s="2"/>
      <c r="S324" s="2"/>
      <c r="T324" s="2"/>
      <c r="U324" s="2"/>
      <c r="V324" s="3"/>
      <c r="W324" s="2"/>
      <c r="X324" s="2"/>
      <c r="Y324" s="2"/>
      <c r="Z324" s="2"/>
      <c r="AA324" s="3"/>
      <c r="AB324" s="2"/>
      <c r="AC324" s="2"/>
      <c r="AD324" s="2"/>
      <c r="AE324" s="2"/>
      <c r="AF324" s="3"/>
      <c r="AG324" s="2"/>
      <c r="AH324" s="2"/>
      <c r="AI324" s="2"/>
      <c r="AJ324" s="2"/>
      <c r="AK324" s="3"/>
      <c r="AL324" s="2"/>
      <c r="AM324" s="2"/>
      <c r="AN324" s="2"/>
      <c r="AO324" s="2"/>
      <c r="AP324" s="3"/>
      <c r="AQ324" s="2"/>
      <c r="AR324" s="2"/>
      <c r="AS324" s="2"/>
      <c r="AT324" s="7"/>
      <c r="AU324" s="2"/>
      <c r="AV324" s="2"/>
      <c r="AW324" s="2"/>
      <c r="AX324" s="2"/>
    </row>
    <row r="325">
      <c r="A325" s="2"/>
      <c r="B325" s="2"/>
      <c r="C325" s="2"/>
      <c r="D325" s="2"/>
      <c r="E325" s="2"/>
      <c r="F325" s="2"/>
      <c r="G325" s="2"/>
      <c r="H325" s="2"/>
      <c r="I325" s="2"/>
      <c r="J325" s="2"/>
      <c r="K325" s="2"/>
      <c r="L325" s="3"/>
      <c r="M325" s="4"/>
      <c r="N325" s="4"/>
      <c r="O325" s="5"/>
      <c r="P325" s="6"/>
      <c r="Q325" s="3"/>
      <c r="R325" s="2"/>
      <c r="S325" s="2"/>
      <c r="T325" s="2"/>
      <c r="U325" s="2"/>
      <c r="V325" s="3"/>
      <c r="W325" s="2"/>
      <c r="X325" s="2"/>
      <c r="Y325" s="2"/>
      <c r="Z325" s="2"/>
      <c r="AA325" s="3"/>
      <c r="AB325" s="2"/>
      <c r="AC325" s="2"/>
      <c r="AD325" s="2"/>
      <c r="AE325" s="2"/>
      <c r="AF325" s="3"/>
      <c r="AG325" s="2"/>
      <c r="AH325" s="2"/>
      <c r="AI325" s="2"/>
      <c r="AJ325" s="2"/>
      <c r="AK325" s="3"/>
      <c r="AL325" s="2"/>
      <c r="AM325" s="2"/>
      <c r="AN325" s="2"/>
      <c r="AO325" s="2"/>
      <c r="AP325" s="3"/>
      <c r="AQ325" s="2"/>
      <c r="AR325" s="2"/>
      <c r="AS325" s="2"/>
      <c r="AT325" s="7"/>
      <c r="AU325" s="2"/>
      <c r="AV325" s="2"/>
      <c r="AW325" s="2"/>
      <c r="AX325" s="2"/>
    </row>
    <row r="326">
      <c r="A326" s="2"/>
      <c r="B326" s="2"/>
      <c r="C326" s="2"/>
      <c r="D326" s="2"/>
      <c r="E326" s="2"/>
      <c r="F326" s="2"/>
      <c r="G326" s="2"/>
      <c r="H326" s="2"/>
      <c r="I326" s="2"/>
      <c r="J326" s="2"/>
      <c r="K326" s="2"/>
      <c r="L326" s="3"/>
      <c r="M326" s="4"/>
      <c r="N326" s="4"/>
      <c r="O326" s="5"/>
      <c r="P326" s="6"/>
      <c r="Q326" s="3"/>
      <c r="R326" s="2"/>
      <c r="S326" s="2"/>
      <c r="T326" s="2"/>
      <c r="U326" s="2"/>
      <c r="V326" s="3"/>
      <c r="W326" s="2"/>
      <c r="X326" s="2"/>
      <c r="Y326" s="2"/>
      <c r="Z326" s="2"/>
      <c r="AA326" s="3"/>
      <c r="AB326" s="2"/>
      <c r="AC326" s="2"/>
      <c r="AD326" s="2"/>
      <c r="AE326" s="2"/>
      <c r="AF326" s="3"/>
      <c r="AG326" s="2"/>
      <c r="AH326" s="2"/>
      <c r="AI326" s="2"/>
      <c r="AJ326" s="2"/>
      <c r="AK326" s="3"/>
      <c r="AL326" s="2"/>
      <c r="AM326" s="2"/>
      <c r="AN326" s="2"/>
      <c r="AO326" s="2"/>
      <c r="AP326" s="3"/>
      <c r="AQ326" s="2"/>
      <c r="AR326" s="2"/>
      <c r="AS326" s="2"/>
      <c r="AT326" s="7"/>
      <c r="AU326" s="2"/>
      <c r="AV326" s="2"/>
      <c r="AW326" s="2"/>
      <c r="AX326" s="2"/>
    </row>
    <row r="327">
      <c r="A327" s="2"/>
      <c r="B327" s="2"/>
      <c r="C327" s="2"/>
      <c r="D327" s="2"/>
      <c r="E327" s="2"/>
      <c r="F327" s="2"/>
      <c r="G327" s="2"/>
      <c r="H327" s="2"/>
      <c r="I327" s="2"/>
      <c r="J327" s="2"/>
      <c r="K327" s="2"/>
      <c r="L327" s="3"/>
      <c r="M327" s="4"/>
      <c r="N327" s="4"/>
      <c r="O327" s="5"/>
      <c r="P327" s="6"/>
      <c r="Q327" s="3"/>
      <c r="R327" s="2"/>
      <c r="S327" s="2"/>
      <c r="T327" s="2"/>
      <c r="U327" s="2"/>
      <c r="V327" s="3"/>
      <c r="W327" s="2"/>
      <c r="X327" s="2"/>
      <c r="Y327" s="2"/>
      <c r="Z327" s="2"/>
      <c r="AA327" s="3"/>
      <c r="AB327" s="2"/>
      <c r="AC327" s="2"/>
      <c r="AD327" s="2"/>
      <c r="AE327" s="2"/>
      <c r="AF327" s="3"/>
      <c r="AG327" s="2"/>
      <c r="AH327" s="2"/>
      <c r="AI327" s="2"/>
      <c r="AJ327" s="2"/>
      <c r="AK327" s="3"/>
      <c r="AL327" s="2"/>
      <c r="AM327" s="2"/>
      <c r="AN327" s="2"/>
      <c r="AO327" s="2"/>
      <c r="AP327" s="3"/>
      <c r="AQ327" s="2"/>
      <c r="AR327" s="2"/>
      <c r="AS327" s="2"/>
      <c r="AT327" s="7"/>
      <c r="AU327" s="2"/>
      <c r="AV327" s="2"/>
      <c r="AW327" s="2"/>
      <c r="AX327" s="2"/>
    </row>
    <row r="328">
      <c r="A328" s="2"/>
      <c r="B328" s="2"/>
      <c r="C328" s="2"/>
      <c r="D328" s="2"/>
      <c r="E328" s="2"/>
      <c r="F328" s="2"/>
      <c r="G328" s="2"/>
      <c r="H328" s="2"/>
      <c r="I328" s="2"/>
      <c r="J328" s="2"/>
      <c r="K328" s="2"/>
      <c r="L328" s="3"/>
      <c r="M328" s="4"/>
      <c r="N328" s="4"/>
      <c r="O328" s="5"/>
      <c r="P328" s="6"/>
      <c r="Q328" s="3"/>
      <c r="R328" s="2"/>
      <c r="S328" s="2"/>
      <c r="T328" s="2"/>
      <c r="U328" s="2"/>
      <c r="V328" s="3"/>
      <c r="W328" s="2"/>
      <c r="X328" s="2"/>
      <c r="Y328" s="2"/>
      <c r="Z328" s="2"/>
      <c r="AA328" s="3"/>
      <c r="AB328" s="2"/>
      <c r="AC328" s="2"/>
      <c r="AD328" s="2"/>
      <c r="AE328" s="2"/>
      <c r="AF328" s="3"/>
      <c r="AG328" s="2"/>
      <c r="AH328" s="2"/>
      <c r="AI328" s="2"/>
      <c r="AJ328" s="2"/>
      <c r="AK328" s="3"/>
      <c r="AL328" s="2"/>
      <c r="AM328" s="2"/>
      <c r="AN328" s="2"/>
      <c r="AO328" s="2"/>
      <c r="AP328" s="3"/>
      <c r="AQ328" s="2"/>
      <c r="AR328" s="2"/>
      <c r="AS328" s="2"/>
      <c r="AT328" s="7"/>
      <c r="AU328" s="2"/>
      <c r="AV328" s="2"/>
      <c r="AW328" s="2"/>
      <c r="AX328" s="2"/>
    </row>
    <row r="329">
      <c r="A329" s="2"/>
      <c r="B329" s="2"/>
      <c r="C329" s="2"/>
      <c r="D329" s="2"/>
      <c r="E329" s="2"/>
      <c r="F329" s="2"/>
      <c r="G329" s="2"/>
      <c r="H329" s="2"/>
      <c r="I329" s="2"/>
      <c r="J329" s="2"/>
      <c r="K329" s="2"/>
      <c r="L329" s="3"/>
      <c r="M329" s="4"/>
      <c r="N329" s="4"/>
      <c r="O329" s="5"/>
      <c r="P329" s="6"/>
      <c r="Q329" s="3"/>
      <c r="R329" s="2"/>
      <c r="S329" s="2"/>
      <c r="T329" s="2"/>
      <c r="U329" s="2"/>
      <c r="V329" s="3"/>
      <c r="W329" s="2"/>
      <c r="X329" s="2"/>
      <c r="Y329" s="2"/>
      <c r="Z329" s="2"/>
      <c r="AA329" s="3"/>
      <c r="AB329" s="2"/>
      <c r="AC329" s="2"/>
      <c r="AD329" s="2"/>
      <c r="AE329" s="2"/>
      <c r="AF329" s="3"/>
      <c r="AG329" s="2"/>
      <c r="AH329" s="2"/>
      <c r="AI329" s="2"/>
      <c r="AJ329" s="2"/>
      <c r="AK329" s="3"/>
      <c r="AL329" s="2"/>
      <c r="AM329" s="2"/>
      <c r="AN329" s="2"/>
      <c r="AO329" s="2"/>
      <c r="AP329" s="3"/>
      <c r="AQ329" s="2"/>
      <c r="AR329" s="2"/>
      <c r="AS329" s="2"/>
      <c r="AT329" s="7"/>
      <c r="AU329" s="2"/>
      <c r="AV329" s="2"/>
      <c r="AW329" s="2"/>
      <c r="AX329" s="2"/>
    </row>
    <row r="330">
      <c r="A330" s="2"/>
      <c r="B330" s="2"/>
      <c r="C330" s="2"/>
      <c r="D330" s="2"/>
      <c r="E330" s="2"/>
      <c r="F330" s="2"/>
      <c r="G330" s="2"/>
      <c r="H330" s="2"/>
      <c r="I330" s="2"/>
      <c r="J330" s="2"/>
      <c r="K330" s="2"/>
      <c r="L330" s="3"/>
      <c r="M330" s="4"/>
      <c r="N330" s="4"/>
      <c r="O330" s="5"/>
      <c r="P330" s="6"/>
      <c r="Q330" s="3"/>
      <c r="R330" s="2"/>
      <c r="S330" s="2"/>
      <c r="T330" s="2"/>
      <c r="U330" s="2"/>
      <c r="V330" s="3"/>
      <c r="W330" s="2"/>
      <c r="X330" s="2"/>
      <c r="Y330" s="2"/>
      <c r="Z330" s="2"/>
      <c r="AA330" s="3"/>
      <c r="AB330" s="2"/>
      <c r="AC330" s="2"/>
      <c r="AD330" s="2"/>
      <c r="AE330" s="2"/>
      <c r="AF330" s="3"/>
      <c r="AG330" s="2"/>
      <c r="AH330" s="2"/>
      <c r="AI330" s="2"/>
      <c r="AJ330" s="2"/>
      <c r="AK330" s="3"/>
      <c r="AL330" s="2"/>
      <c r="AM330" s="2"/>
      <c r="AN330" s="2"/>
      <c r="AO330" s="2"/>
      <c r="AP330" s="3"/>
      <c r="AQ330" s="2"/>
      <c r="AR330" s="2"/>
      <c r="AS330" s="2"/>
      <c r="AT330" s="7"/>
      <c r="AU330" s="2"/>
      <c r="AV330" s="2"/>
      <c r="AW330" s="2"/>
      <c r="AX330" s="2"/>
    </row>
    <row r="331">
      <c r="A331" s="2"/>
      <c r="B331" s="2"/>
      <c r="C331" s="2"/>
      <c r="D331" s="2"/>
      <c r="E331" s="2"/>
      <c r="F331" s="2"/>
      <c r="G331" s="2"/>
      <c r="H331" s="2"/>
      <c r="I331" s="2"/>
      <c r="J331" s="2"/>
      <c r="K331" s="2"/>
      <c r="L331" s="3"/>
      <c r="M331" s="4"/>
      <c r="N331" s="4"/>
      <c r="O331" s="5"/>
      <c r="P331" s="6"/>
      <c r="Q331" s="3"/>
      <c r="R331" s="2"/>
      <c r="S331" s="2"/>
      <c r="T331" s="2"/>
      <c r="U331" s="2"/>
      <c r="V331" s="3"/>
      <c r="W331" s="2"/>
      <c r="X331" s="2"/>
      <c r="Y331" s="2"/>
      <c r="Z331" s="2"/>
      <c r="AA331" s="3"/>
      <c r="AB331" s="2"/>
      <c r="AC331" s="2"/>
      <c r="AD331" s="2"/>
      <c r="AE331" s="2"/>
      <c r="AF331" s="3"/>
      <c r="AG331" s="2"/>
      <c r="AH331" s="2"/>
      <c r="AI331" s="2"/>
      <c r="AJ331" s="2"/>
      <c r="AK331" s="3"/>
      <c r="AL331" s="2"/>
      <c r="AM331" s="2"/>
      <c r="AN331" s="2"/>
      <c r="AO331" s="2"/>
      <c r="AP331" s="3"/>
      <c r="AQ331" s="2"/>
      <c r="AR331" s="2"/>
      <c r="AS331" s="2"/>
      <c r="AT331" s="7"/>
      <c r="AU331" s="2"/>
      <c r="AV331" s="2"/>
      <c r="AW331" s="2"/>
      <c r="AX331" s="2"/>
    </row>
    <row r="332">
      <c r="A332" s="2"/>
      <c r="B332" s="2"/>
      <c r="C332" s="2"/>
      <c r="D332" s="2"/>
      <c r="E332" s="2"/>
      <c r="F332" s="2"/>
      <c r="G332" s="2"/>
      <c r="H332" s="2"/>
      <c r="I332" s="2"/>
      <c r="J332" s="2"/>
      <c r="K332" s="2"/>
      <c r="L332" s="3"/>
      <c r="M332" s="4"/>
      <c r="N332" s="4"/>
      <c r="O332" s="5"/>
      <c r="P332" s="6"/>
      <c r="Q332" s="3"/>
      <c r="R332" s="2"/>
      <c r="S332" s="2"/>
      <c r="T332" s="2"/>
      <c r="U332" s="2"/>
      <c r="V332" s="3"/>
      <c r="W332" s="2"/>
      <c r="X332" s="2"/>
      <c r="Y332" s="2"/>
      <c r="Z332" s="2"/>
      <c r="AA332" s="3"/>
      <c r="AB332" s="2"/>
      <c r="AC332" s="2"/>
      <c r="AD332" s="2"/>
      <c r="AE332" s="2"/>
      <c r="AF332" s="3"/>
      <c r="AG332" s="2"/>
      <c r="AH332" s="2"/>
      <c r="AI332" s="2"/>
      <c r="AJ332" s="2"/>
      <c r="AK332" s="3"/>
      <c r="AL332" s="2"/>
      <c r="AM332" s="2"/>
      <c r="AN332" s="2"/>
      <c r="AO332" s="2"/>
      <c r="AP332" s="3"/>
      <c r="AQ332" s="2"/>
      <c r="AR332" s="2"/>
      <c r="AS332" s="2"/>
      <c r="AT332" s="7"/>
      <c r="AU332" s="2"/>
      <c r="AV332" s="2"/>
      <c r="AW332" s="2"/>
      <c r="AX332" s="2"/>
    </row>
    <row r="333">
      <c r="A333" s="2"/>
      <c r="B333" s="2"/>
      <c r="C333" s="2"/>
      <c r="D333" s="2"/>
      <c r="E333" s="2"/>
      <c r="F333" s="2"/>
      <c r="G333" s="2"/>
      <c r="H333" s="2"/>
      <c r="I333" s="2"/>
      <c r="J333" s="2"/>
      <c r="K333" s="2"/>
      <c r="L333" s="3"/>
      <c r="M333" s="4"/>
      <c r="N333" s="4"/>
      <c r="O333" s="5"/>
      <c r="P333" s="6"/>
      <c r="Q333" s="3"/>
      <c r="R333" s="2"/>
      <c r="S333" s="2"/>
      <c r="T333" s="2"/>
      <c r="U333" s="2"/>
      <c r="V333" s="3"/>
      <c r="W333" s="2"/>
      <c r="X333" s="2"/>
      <c r="Y333" s="2"/>
      <c r="Z333" s="2"/>
      <c r="AA333" s="3"/>
      <c r="AB333" s="2"/>
      <c r="AC333" s="2"/>
      <c r="AD333" s="2"/>
      <c r="AE333" s="2"/>
      <c r="AF333" s="3"/>
      <c r="AG333" s="2"/>
      <c r="AH333" s="2"/>
      <c r="AI333" s="2"/>
      <c r="AJ333" s="2"/>
      <c r="AK333" s="3"/>
      <c r="AL333" s="2"/>
      <c r="AM333" s="2"/>
      <c r="AN333" s="2"/>
      <c r="AO333" s="2"/>
      <c r="AP333" s="3"/>
      <c r="AQ333" s="2"/>
      <c r="AR333" s="2"/>
      <c r="AS333" s="2"/>
      <c r="AT333" s="7"/>
      <c r="AU333" s="2"/>
      <c r="AV333" s="2"/>
      <c r="AW333" s="2"/>
      <c r="AX333" s="2"/>
    </row>
    <row r="334">
      <c r="A334" s="2"/>
      <c r="B334" s="2"/>
      <c r="C334" s="2"/>
      <c r="D334" s="2"/>
      <c r="E334" s="2"/>
      <c r="F334" s="2"/>
      <c r="G334" s="2"/>
      <c r="H334" s="2"/>
      <c r="I334" s="2"/>
      <c r="J334" s="2"/>
      <c r="K334" s="2"/>
      <c r="L334" s="3"/>
      <c r="M334" s="4"/>
      <c r="N334" s="4"/>
      <c r="O334" s="5"/>
      <c r="P334" s="6"/>
      <c r="Q334" s="3"/>
      <c r="R334" s="2"/>
      <c r="S334" s="2"/>
      <c r="T334" s="2"/>
      <c r="U334" s="2"/>
      <c r="V334" s="3"/>
      <c r="W334" s="2"/>
      <c r="X334" s="2"/>
      <c r="Y334" s="2"/>
      <c r="Z334" s="2"/>
      <c r="AA334" s="3"/>
      <c r="AB334" s="2"/>
      <c r="AC334" s="2"/>
      <c r="AD334" s="2"/>
      <c r="AE334" s="2"/>
      <c r="AF334" s="3"/>
      <c r="AG334" s="2"/>
      <c r="AH334" s="2"/>
      <c r="AI334" s="2"/>
      <c r="AJ334" s="2"/>
      <c r="AK334" s="3"/>
      <c r="AL334" s="2"/>
      <c r="AM334" s="2"/>
      <c r="AN334" s="2"/>
      <c r="AO334" s="2"/>
      <c r="AP334" s="3"/>
      <c r="AQ334" s="2"/>
      <c r="AR334" s="2"/>
      <c r="AS334" s="2"/>
      <c r="AT334" s="7"/>
      <c r="AU334" s="2"/>
      <c r="AV334" s="2"/>
      <c r="AW334" s="2"/>
      <c r="AX334" s="2"/>
    </row>
    <row r="335">
      <c r="A335" s="2"/>
      <c r="B335" s="2"/>
      <c r="C335" s="2"/>
      <c r="D335" s="2"/>
      <c r="E335" s="2"/>
      <c r="F335" s="2"/>
      <c r="G335" s="2"/>
      <c r="H335" s="2"/>
      <c r="I335" s="2"/>
      <c r="J335" s="2"/>
      <c r="K335" s="2"/>
      <c r="L335" s="3"/>
      <c r="M335" s="4"/>
      <c r="N335" s="4"/>
      <c r="O335" s="5"/>
      <c r="P335" s="6"/>
      <c r="Q335" s="3"/>
      <c r="R335" s="2"/>
      <c r="S335" s="2"/>
      <c r="T335" s="2"/>
      <c r="U335" s="2"/>
      <c r="V335" s="3"/>
      <c r="W335" s="2"/>
      <c r="X335" s="2"/>
      <c r="Y335" s="2"/>
      <c r="Z335" s="2"/>
      <c r="AA335" s="3"/>
      <c r="AB335" s="2"/>
      <c r="AC335" s="2"/>
      <c r="AD335" s="2"/>
      <c r="AE335" s="2"/>
      <c r="AF335" s="3"/>
      <c r="AG335" s="2"/>
      <c r="AH335" s="2"/>
      <c r="AI335" s="2"/>
      <c r="AJ335" s="2"/>
      <c r="AK335" s="3"/>
      <c r="AL335" s="2"/>
      <c r="AM335" s="2"/>
      <c r="AN335" s="2"/>
      <c r="AO335" s="2"/>
      <c r="AP335" s="3"/>
      <c r="AQ335" s="2"/>
      <c r="AR335" s="2"/>
      <c r="AS335" s="2"/>
      <c r="AT335" s="7"/>
      <c r="AU335" s="2"/>
      <c r="AV335" s="2"/>
      <c r="AW335" s="2"/>
      <c r="AX335" s="2"/>
    </row>
    <row r="336">
      <c r="A336" s="2"/>
      <c r="B336" s="2"/>
      <c r="C336" s="2"/>
      <c r="D336" s="2"/>
      <c r="E336" s="2"/>
      <c r="F336" s="2"/>
      <c r="G336" s="2"/>
      <c r="H336" s="2"/>
      <c r="I336" s="2"/>
      <c r="J336" s="2"/>
      <c r="K336" s="2"/>
      <c r="L336" s="3"/>
      <c r="M336" s="4"/>
      <c r="N336" s="4"/>
      <c r="O336" s="5"/>
      <c r="P336" s="6"/>
      <c r="Q336" s="3"/>
      <c r="R336" s="2"/>
      <c r="S336" s="2"/>
      <c r="T336" s="2"/>
      <c r="U336" s="2"/>
      <c r="V336" s="3"/>
      <c r="W336" s="2"/>
      <c r="X336" s="2"/>
      <c r="Y336" s="2"/>
      <c r="Z336" s="2"/>
      <c r="AA336" s="3"/>
      <c r="AB336" s="2"/>
      <c r="AC336" s="2"/>
      <c r="AD336" s="2"/>
      <c r="AE336" s="2"/>
      <c r="AF336" s="3"/>
      <c r="AG336" s="2"/>
      <c r="AH336" s="2"/>
      <c r="AI336" s="2"/>
      <c r="AJ336" s="2"/>
      <c r="AK336" s="3"/>
      <c r="AL336" s="2"/>
      <c r="AM336" s="2"/>
      <c r="AN336" s="2"/>
      <c r="AO336" s="2"/>
      <c r="AP336" s="3"/>
      <c r="AQ336" s="2"/>
      <c r="AR336" s="2"/>
      <c r="AS336" s="2"/>
      <c r="AT336" s="7"/>
      <c r="AU336" s="2"/>
      <c r="AV336" s="2"/>
      <c r="AW336" s="2"/>
      <c r="AX336" s="2"/>
    </row>
    <row r="337">
      <c r="A337" s="2"/>
      <c r="B337" s="2"/>
      <c r="C337" s="2"/>
      <c r="D337" s="2"/>
      <c r="E337" s="2"/>
      <c r="F337" s="2"/>
      <c r="G337" s="2"/>
      <c r="H337" s="2"/>
      <c r="I337" s="2"/>
      <c r="J337" s="2"/>
      <c r="K337" s="2"/>
      <c r="L337" s="3"/>
      <c r="M337" s="4"/>
      <c r="N337" s="4"/>
      <c r="O337" s="5"/>
      <c r="P337" s="6"/>
      <c r="Q337" s="3"/>
      <c r="R337" s="2"/>
      <c r="S337" s="2"/>
      <c r="T337" s="2"/>
      <c r="U337" s="2"/>
      <c r="V337" s="3"/>
      <c r="W337" s="2"/>
      <c r="X337" s="2"/>
      <c r="Y337" s="2"/>
      <c r="Z337" s="2"/>
      <c r="AA337" s="3"/>
      <c r="AB337" s="2"/>
      <c r="AC337" s="2"/>
      <c r="AD337" s="2"/>
      <c r="AE337" s="2"/>
      <c r="AF337" s="3"/>
      <c r="AG337" s="2"/>
      <c r="AH337" s="2"/>
      <c r="AI337" s="2"/>
      <c r="AJ337" s="2"/>
      <c r="AK337" s="3"/>
      <c r="AL337" s="2"/>
      <c r="AM337" s="2"/>
      <c r="AN337" s="2"/>
      <c r="AO337" s="2"/>
      <c r="AP337" s="3"/>
      <c r="AQ337" s="2"/>
      <c r="AR337" s="2"/>
      <c r="AS337" s="2"/>
      <c r="AT337" s="7"/>
      <c r="AU337" s="2"/>
      <c r="AV337" s="2"/>
      <c r="AW337" s="2"/>
      <c r="AX337" s="2"/>
    </row>
    <row r="338">
      <c r="A338" s="2"/>
      <c r="B338" s="2"/>
      <c r="C338" s="2"/>
      <c r="D338" s="2"/>
      <c r="E338" s="2"/>
      <c r="F338" s="2"/>
      <c r="G338" s="2"/>
      <c r="H338" s="2"/>
      <c r="I338" s="2"/>
      <c r="J338" s="2"/>
      <c r="K338" s="2"/>
      <c r="L338" s="3"/>
      <c r="M338" s="4"/>
      <c r="N338" s="4"/>
      <c r="O338" s="5"/>
      <c r="P338" s="6"/>
      <c r="Q338" s="3"/>
      <c r="R338" s="2"/>
      <c r="S338" s="2"/>
      <c r="T338" s="2"/>
      <c r="U338" s="2"/>
      <c r="V338" s="3"/>
      <c r="W338" s="2"/>
      <c r="X338" s="2"/>
      <c r="Y338" s="2"/>
      <c r="Z338" s="2"/>
      <c r="AA338" s="3"/>
      <c r="AB338" s="2"/>
      <c r="AC338" s="2"/>
      <c r="AD338" s="2"/>
      <c r="AE338" s="2"/>
      <c r="AF338" s="3"/>
      <c r="AG338" s="2"/>
      <c r="AH338" s="2"/>
      <c r="AI338" s="2"/>
      <c r="AJ338" s="2"/>
      <c r="AK338" s="3"/>
      <c r="AL338" s="2"/>
      <c r="AM338" s="2"/>
      <c r="AN338" s="2"/>
      <c r="AO338" s="2"/>
      <c r="AP338" s="3"/>
      <c r="AQ338" s="2"/>
      <c r="AR338" s="2"/>
      <c r="AS338" s="2"/>
      <c r="AT338" s="7"/>
      <c r="AU338" s="2"/>
      <c r="AV338" s="2"/>
      <c r="AW338" s="2"/>
      <c r="AX338" s="2"/>
    </row>
    <row r="339">
      <c r="A339" s="2"/>
      <c r="B339" s="2"/>
      <c r="C339" s="2"/>
      <c r="D339" s="2"/>
      <c r="E339" s="2"/>
      <c r="F339" s="2"/>
      <c r="G339" s="2"/>
      <c r="H339" s="2"/>
      <c r="I339" s="2"/>
      <c r="J339" s="2"/>
      <c r="K339" s="2"/>
      <c r="L339" s="3"/>
      <c r="M339" s="4"/>
      <c r="N339" s="4"/>
      <c r="O339" s="5"/>
      <c r="P339" s="6"/>
      <c r="Q339" s="3"/>
      <c r="R339" s="2"/>
      <c r="S339" s="2"/>
      <c r="T339" s="2"/>
      <c r="U339" s="2"/>
      <c r="V339" s="3"/>
      <c r="W339" s="2"/>
      <c r="X339" s="2"/>
      <c r="Y339" s="2"/>
      <c r="Z339" s="2"/>
      <c r="AA339" s="3"/>
      <c r="AB339" s="2"/>
      <c r="AC339" s="2"/>
      <c r="AD339" s="2"/>
      <c r="AE339" s="2"/>
      <c r="AF339" s="3"/>
      <c r="AG339" s="2"/>
      <c r="AH339" s="2"/>
      <c r="AI339" s="2"/>
      <c r="AJ339" s="2"/>
      <c r="AK339" s="3"/>
      <c r="AL339" s="2"/>
      <c r="AM339" s="2"/>
      <c r="AN339" s="2"/>
      <c r="AO339" s="2"/>
      <c r="AP339" s="3"/>
      <c r="AQ339" s="2"/>
      <c r="AR339" s="2"/>
      <c r="AS339" s="2"/>
      <c r="AT339" s="7"/>
      <c r="AU339" s="2"/>
      <c r="AV339" s="2"/>
      <c r="AW339" s="2"/>
      <c r="AX339" s="2"/>
    </row>
    <row r="340">
      <c r="A340" s="2"/>
      <c r="B340" s="2"/>
      <c r="C340" s="2"/>
      <c r="D340" s="2"/>
      <c r="E340" s="2"/>
      <c r="F340" s="2"/>
      <c r="G340" s="2"/>
      <c r="H340" s="2"/>
      <c r="I340" s="2"/>
      <c r="J340" s="2"/>
      <c r="K340" s="2"/>
      <c r="L340" s="3"/>
      <c r="M340" s="4"/>
      <c r="N340" s="4"/>
      <c r="O340" s="5"/>
      <c r="P340" s="6"/>
      <c r="Q340" s="3"/>
      <c r="R340" s="2"/>
      <c r="S340" s="2"/>
      <c r="T340" s="2"/>
      <c r="U340" s="2"/>
      <c r="V340" s="3"/>
      <c r="W340" s="2"/>
      <c r="X340" s="2"/>
      <c r="Y340" s="2"/>
      <c r="Z340" s="2"/>
      <c r="AA340" s="3"/>
      <c r="AB340" s="2"/>
      <c r="AC340" s="2"/>
      <c r="AD340" s="2"/>
      <c r="AE340" s="2"/>
      <c r="AF340" s="3"/>
      <c r="AG340" s="2"/>
      <c r="AH340" s="2"/>
      <c r="AI340" s="2"/>
      <c r="AJ340" s="2"/>
      <c r="AK340" s="3"/>
      <c r="AL340" s="2"/>
      <c r="AM340" s="2"/>
      <c r="AN340" s="2"/>
      <c r="AO340" s="2"/>
      <c r="AP340" s="3"/>
      <c r="AQ340" s="2"/>
      <c r="AR340" s="2"/>
      <c r="AS340" s="2"/>
      <c r="AT340" s="7"/>
      <c r="AU340" s="2"/>
      <c r="AV340" s="2"/>
      <c r="AW340" s="2"/>
      <c r="AX340" s="2"/>
    </row>
    <row r="341">
      <c r="A341" s="2"/>
      <c r="B341" s="2"/>
      <c r="C341" s="2"/>
      <c r="D341" s="2"/>
      <c r="E341" s="2"/>
      <c r="F341" s="2"/>
      <c r="G341" s="2"/>
      <c r="H341" s="2"/>
      <c r="I341" s="2"/>
      <c r="J341" s="2"/>
      <c r="K341" s="2"/>
      <c r="L341" s="3"/>
      <c r="M341" s="4"/>
      <c r="N341" s="4"/>
      <c r="O341" s="5"/>
      <c r="P341" s="6"/>
      <c r="Q341" s="3"/>
      <c r="R341" s="2"/>
      <c r="S341" s="2"/>
      <c r="T341" s="2"/>
      <c r="U341" s="2"/>
      <c r="V341" s="3"/>
      <c r="W341" s="2"/>
      <c r="X341" s="2"/>
      <c r="Y341" s="2"/>
      <c r="Z341" s="2"/>
      <c r="AA341" s="3"/>
      <c r="AB341" s="2"/>
      <c r="AC341" s="2"/>
      <c r="AD341" s="2"/>
      <c r="AE341" s="2"/>
      <c r="AF341" s="3"/>
      <c r="AG341" s="2"/>
      <c r="AH341" s="2"/>
      <c r="AI341" s="2"/>
      <c r="AJ341" s="2"/>
      <c r="AK341" s="3"/>
      <c r="AL341" s="2"/>
      <c r="AM341" s="2"/>
      <c r="AN341" s="2"/>
      <c r="AO341" s="2"/>
      <c r="AP341" s="3"/>
      <c r="AQ341" s="2"/>
      <c r="AR341" s="2"/>
      <c r="AS341" s="2"/>
      <c r="AT341" s="7"/>
      <c r="AU341" s="2"/>
      <c r="AV341" s="2"/>
      <c r="AW341" s="2"/>
      <c r="AX341" s="2"/>
    </row>
    <row r="342">
      <c r="A342" s="2"/>
      <c r="B342" s="2"/>
      <c r="C342" s="2"/>
      <c r="D342" s="2"/>
      <c r="E342" s="2"/>
      <c r="F342" s="2"/>
      <c r="G342" s="2"/>
      <c r="H342" s="2"/>
      <c r="I342" s="2"/>
      <c r="J342" s="2"/>
      <c r="K342" s="2"/>
      <c r="L342" s="3"/>
      <c r="M342" s="4"/>
      <c r="N342" s="4"/>
      <c r="O342" s="5"/>
      <c r="P342" s="6"/>
      <c r="Q342" s="3"/>
      <c r="R342" s="2"/>
      <c r="S342" s="2"/>
      <c r="T342" s="2"/>
      <c r="U342" s="2"/>
      <c r="V342" s="3"/>
      <c r="W342" s="2"/>
      <c r="X342" s="2"/>
      <c r="Y342" s="2"/>
      <c r="Z342" s="2"/>
      <c r="AA342" s="3"/>
      <c r="AB342" s="2"/>
      <c r="AC342" s="2"/>
      <c r="AD342" s="2"/>
      <c r="AE342" s="2"/>
      <c r="AF342" s="3"/>
      <c r="AG342" s="2"/>
      <c r="AH342" s="2"/>
      <c r="AI342" s="2"/>
      <c r="AJ342" s="2"/>
      <c r="AK342" s="3"/>
      <c r="AL342" s="2"/>
      <c r="AM342" s="2"/>
      <c r="AN342" s="2"/>
      <c r="AO342" s="2"/>
      <c r="AP342" s="3"/>
      <c r="AQ342" s="2"/>
      <c r="AR342" s="2"/>
      <c r="AS342" s="2"/>
      <c r="AT342" s="7"/>
      <c r="AU342" s="2"/>
      <c r="AV342" s="2"/>
      <c r="AW342" s="2"/>
      <c r="AX342" s="2"/>
    </row>
    <row r="343">
      <c r="A343" s="2"/>
      <c r="B343" s="2"/>
      <c r="C343" s="2"/>
      <c r="D343" s="2"/>
      <c r="E343" s="2"/>
      <c r="F343" s="2"/>
      <c r="G343" s="2"/>
      <c r="H343" s="2"/>
      <c r="I343" s="2"/>
      <c r="J343" s="2"/>
      <c r="K343" s="2"/>
      <c r="L343" s="3"/>
      <c r="M343" s="4"/>
      <c r="N343" s="4"/>
      <c r="O343" s="5"/>
      <c r="P343" s="6"/>
      <c r="Q343" s="3"/>
      <c r="R343" s="2"/>
      <c r="S343" s="2"/>
      <c r="T343" s="2"/>
      <c r="U343" s="2"/>
      <c r="V343" s="3"/>
      <c r="W343" s="2"/>
      <c r="X343" s="2"/>
      <c r="Y343" s="2"/>
      <c r="Z343" s="2"/>
      <c r="AA343" s="3"/>
      <c r="AB343" s="2"/>
      <c r="AC343" s="2"/>
      <c r="AD343" s="2"/>
      <c r="AE343" s="2"/>
      <c r="AF343" s="3"/>
      <c r="AG343" s="2"/>
      <c r="AH343" s="2"/>
      <c r="AI343" s="2"/>
      <c r="AJ343" s="2"/>
      <c r="AK343" s="3"/>
      <c r="AL343" s="2"/>
      <c r="AM343" s="2"/>
      <c r="AN343" s="2"/>
      <c r="AO343" s="2"/>
      <c r="AP343" s="3"/>
      <c r="AQ343" s="2"/>
      <c r="AR343" s="2"/>
      <c r="AS343" s="2"/>
      <c r="AT343" s="7"/>
      <c r="AU343" s="2"/>
      <c r="AV343" s="2"/>
      <c r="AW343" s="2"/>
      <c r="AX343" s="2"/>
    </row>
    <row r="344">
      <c r="A344" s="2"/>
      <c r="B344" s="2"/>
      <c r="C344" s="2"/>
      <c r="D344" s="2"/>
      <c r="E344" s="2"/>
      <c r="F344" s="2"/>
      <c r="G344" s="2"/>
      <c r="H344" s="2"/>
      <c r="I344" s="2"/>
      <c r="J344" s="2"/>
      <c r="K344" s="2"/>
      <c r="L344" s="3"/>
      <c r="M344" s="4"/>
      <c r="N344" s="4"/>
      <c r="O344" s="5"/>
      <c r="P344" s="6"/>
      <c r="Q344" s="3"/>
      <c r="R344" s="2"/>
      <c r="S344" s="2"/>
      <c r="T344" s="2"/>
      <c r="U344" s="2"/>
      <c r="V344" s="3"/>
      <c r="W344" s="2"/>
      <c r="X344" s="2"/>
      <c r="Y344" s="2"/>
      <c r="Z344" s="2"/>
      <c r="AA344" s="3"/>
      <c r="AB344" s="2"/>
      <c r="AC344" s="2"/>
      <c r="AD344" s="2"/>
      <c r="AE344" s="2"/>
      <c r="AF344" s="3"/>
      <c r="AG344" s="2"/>
      <c r="AH344" s="2"/>
      <c r="AI344" s="2"/>
      <c r="AJ344" s="2"/>
      <c r="AK344" s="3"/>
      <c r="AL344" s="2"/>
      <c r="AM344" s="2"/>
      <c r="AN344" s="2"/>
      <c r="AO344" s="2"/>
      <c r="AP344" s="3"/>
      <c r="AQ344" s="2"/>
      <c r="AR344" s="2"/>
      <c r="AS344" s="2"/>
      <c r="AT344" s="7"/>
      <c r="AU344" s="2"/>
      <c r="AV344" s="2"/>
      <c r="AW344" s="2"/>
      <c r="AX344" s="2"/>
    </row>
    <row r="345">
      <c r="A345" s="2"/>
      <c r="B345" s="2"/>
      <c r="C345" s="2"/>
      <c r="D345" s="2"/>
      <c r="E345" s="2"/>
      <c r="F345" s="2"/>
      <c r="G345" s="2"/>
      <c r="H345" s="2"/>
      <c r="I345" s="2"/>
      <c r="J345" s="2"/>
      <c r="K345" s="2"/>
      <c r="L345" s="3"/>
      <c r="M345" s="4"/>
      <c r="N345" s="4"/>
      <c r="O345" s="5"/>
      <c r="P345" s="6"/>
      <c r="Q345" s="3"/>
      <c r="R345" s="2"/>
      <c r="S345" s="2"/>
      <c r="T345" s="2"/>
      <c r="U345" s="2"/>
      <c r="V345" s="3"/>
      <c r="W345" s="2"/>
      <c r="X345" s="2"/>
      <c r="Y345" s="2"/>
      <c r="Z345" s="2"/>
      <c r="AA345" s="3"/>
      <c r="AB345" s="2"/>
      <c r="AC345" s="2"/>
      <c r="AD345" s="2"/>
      <c r="AE345" s="2"/>
      <c r="AF345" s="3"/>
      <c r="AG345" s="2"/>
      <c r="AH345" s="2"/>
      <c r="AI345" s="2"/>
      <c r="AJ345" s="2"/>
      <c r="AK345" s="3"/>
      <c r="AL345" s="2"/>
      <c r="AM345" s="2"/>
      <c r="AN345" s="2"/>
      <c r="AO345" s="2"/>
      <c r="AP345" s="3"/>
      <c r="AQ345" s="2"/>
      <c r="AR345" s="2"/>
      <c r="AS345" s="2"/>
      <c r="AT345" s="7"/>
      <c r="AU345" s="2"/>
      <c r="AV345" s="2"/>
      <c r="AW345" s="2"/>
      <c r="AX345" s="2"/>
    </row>
    <row r="346">
      <c r="A346" s="2"/>
      <c r="B346" s="2"/>
      <c r="C346" s="2"/>
      <c r="D346" s="2"/>
      <c r="E346" s="2"/>
      <c r="F346" s="2"/>
      <c r="G346" s="2"/>
      <c r="H346" s="2"/>
      <c r="I346" s="2"/>
      <c r="J346" s="2"/>
      <c r="K346" s="2"/>
      <c r="L346" s="3"/>
      <c r="M346" s="4"/>
      <c r="N346" s="4"/>
      <c r="O346" s="5"/>
      <c r="P346" s="6"/>
      <c r="Q346" s="3"/>
      <c r="R346" s="2"/>
      <c r="S346" s="2"/>
      <c r="T346" s="2"/>
      <c r="U346" s="2"/>
      <c r="V346" s="3"/>
      <c r="W346" s="2"/>
      <c r="X346" s="2"/>
      <c r="Y346" s="2"/>
      <c r="Z346" s="2"/>
      <c r="AA346" s="3"/>
      <c r="AB346" s="2"/>
      <c r="AC346" s="2"/>
      <c r="AD346" s="2"/>
      <c r="AE346" s="2"/>
      <c r="AF346" s="3"/>
      <c r="AG346" s="2"/>
      <c r="AH346" s="2"/>
      <c r="AI346" s="2"/>
      <c r="AJ346" s="2"/>
      <c r="AK346" s="3"/>
      <c r="AL346" s="2"/>
      <c r="AM346" s="2"/>
      <c r="AN346" s="2"/>
      <c r="AO346" s="2"/>
      <c r="AP346" s="3"/>
      <c r="AQ346" s="2"/>
      <c r="AR346" s="2"/>
      <c r="AS346" s="2"/>
      <c r="AT346" s="7"/>
      <c r="AU346" s="2"/>
      <c r="AV346" s="2"/>
      <c r="AW346" s="2"/>
      <c r="AX346" s="2"/>
    </row>
    <row r="347">
      <c r="A347" s="2"/>
      <c r="B347" s="2"/>
      <c r="C347" s="2"/>
      <c r="D347" s="2"/>
      <c r="E347" s="2"/>
      <c r="F347" s="2"/>
      <c r="G347" s="2"/>
      <c r="H347" s="2"/>
      <c r="I347" s="2"/>
      <c r="J347" s="2"/>
      <c r="K347" s="2"/>
      <c r="L347" s="3"/>
      <c r="M347" s="4"/>
      <c r="N347" s="4"/>
      <c r="O347" s="5"/>
      <c r="P347" s="6"/>
      <c r="Q347" s="3"/>
      <c r="R347" s="2"/>
      <c r="S347" s="2"/>
      <c r="T347" s="2"/>
      <c r="U347" s="2"/>
      <c r="V347" s="3"/>
      <c r="W347" s="2"/>
      <c r="X347" s="2"/>
      <c r="Y347" s="2"/>
      <c r="Z347" s="2"/>
      <c r="AA347" s="3"/>
      <c r="AB347" s="2"/>
      <c r="AC347" s="2"/>
      <c r="AD347" s="2"/>
      <c r="AE347" s="2"/>
      <c r="AF347" s="3"/>
      <c r="AG347" s="2"/>
      <c r="AH347" s="2"/>
      <c r="AI347" s="2"/>
      <c r="AJ347" s="2"/>
      <c r="AK347" s="3"/>
      <c r="AL347" s="2"/>
      <c r="AM347" s="2"/>
      <c r="AN347" s="2"/>
      <c r="AO347" s="2"/>
      <c r="AP347" s="3"/>
      <c r="AQ347" s="2"/>
      <c r="AR347" s="2"/>
      <c r="AS347" s="2"/>
      <c r="AT347" s="7"/>
      <c r="AU347" s="2"/>
      <c r="AV347" s="2"/>
      <c r="AW347" s="2"/>
      <c r="AX347" s="2"/>
    </row>
    <row r="348">
      <c r="A348" s="2"/>
      <c r="B348" s="2"/>
      <c r="C348" s="2"/>
      <c r="D348" s="2"/>
      <c r="E348" s="2"/>
      <c r="F348" s="2"/>
      <c r="G348" s="2"/>
      <c r="H348" s="2"/>
      <c r="I348" s="2"/>
      <c r="J348" s="2"/>
      <c r="K348" s="2"/>
      <c r="L348" s="3"/>
      <c r="M348" s="4"/>
      <c r="N348" s="4"/>
      <c r="O348" s="5"/>
      <c r="P348" s="6"/>
      <c r="Q348" s="3"/>
      <c r="R348" s="2"/>
      <c r="S348" s="2"/>
      <c r="T348" s="2"/>
      <c r="U348" s="2"/>
      <c r="V348" s="3"/>
      <c r="W348" s="2"/>
      <c r="X348" s="2"/>
      <c r="Y348" s="2"/>
      <c r="Z348" s="2"/>
      <c r="AA348" s="3"/>
      <c r="AB348" s="2"/>
      <c r="AC348" s="2"/>
      <c r="AD348" s="2"/>
      <c r="AE348" s="2"/>
      <c r="AF348" s="3"/>
      <c r="AG348" s="2"/>
      <c r="AH348" s="2"/>
      <c r="AI348" s="2"/>
      <c r="AJ348" s="2"/>
      <c r="AK348" s="3"/>
      <c r="AL348" s="2"/>
      <c r="AM348" s="2"/>
      <c r="AN348" s="2"/>
      <c r="AO348" s="2"/>
      <c r="AP348" s="3"/>
      <c r="AQ348" s="2"/>
      <c r="AR348" s="2"/>
      <c r="AS348" s="2"/>
      <c r="AT348" s="7"/>
      <c r="AU348" s="2"/>
      <c r="AV348" s="2"/>
      <c r="AW348" s="2"/>
      <c r="AX348" s="2"/>
    </row>
    <row r="349">
      <c r="A349" s="2"/>
      <c r="B349" s="2"/>
      <c r="C349" s="2"/>
      <c r="D349" s="2"/>
      <c r="E349" s="2"/>
      <c r="F349" s="2"/>
      <c r="G349" s="2"/>
      <c r="H349" s="2"/>
      <c r="I349" s="2"/>
      <c r="J349" s="2"/>
      <c r="K349" s="2"/>
      <c r="L349" s="3"/>
      <c r="M349" s="4"/>
      <c r="N349" s="4"/>
      <c r="O349" s="5"/>
      <c r="P349" s="6"/>
      <c r="Q349" s="3"/>
      <c r="R349" s="2"/>
      <c r="S349" s="2"/>
      <c r="T349" s="2"/>
      <c r="U349" s="2"/>
      <c r="V349" s="3"/>
      <c r="W349" s="2"/>
      <c r="X349" s="2"/>
      <c r="Y349" s="2"/>
      <c r="Z349" s="2"/>
      <c r="AA349" s="3"/>
      <c r="AB349" s="2"/>
      <c r="AC349" s="2"/>
      <c r="AD349" s="2"/>
      <c r="AE349" s="2"/>
      <c r="AF349" s="3"/>
      <c r="AG349" s="2"/>
      <c r="AH349" s="2"/>
      <c r="AI349" s="2"/>
      <c r="AJ349" s="2"/>
      <c r="AK349" s="3"/>
      <c r="AL349" s="2"/>
      <c r="AM349" s="2"/>
      <c r="AN349" s="2"/>
      <c r="AO349" s="2"/>
      <c r="AP349" s="3"/>
      <c r="AQ349" s="2"/>
      <c r="AR349" s="2"/>
      <c r="AS349" s="2"/>
      <c r="AT349" s="7"/>
      <c r="AU349" s="2"/>
      <c r="AV349" s="2"/>
      <c r="AW349" s="2"/>
      <c r="AX349" s="2"/>
    </row>
    <row r="350">
      <c r="A350" s="2"/>
      <c r="B350" s="2"/>
      <c r="C350" s="2"/>
      <c r="D350" s="2"/>
      <c r="E350" s="2"/>
      <c r="F350" s="2"/>
      <c r="G350" s="2"/>
      <c r="H350" s="2"/>
      <c r="I350" s="2"/>
      <c r="J350" s="2"/>
      <c r="K350" s="2"/>
      <c r="L350" s="3"/>
      <c r="M350" s="4"/>
      <c r="N350" s="4"/>
      <c r="O350" s="5"/>
      <c r="P350" s="6"/>
      <c r="Q350" s="3"/>
      <c r="R350" s="2"/>
      <c r="S350" s="2"/>
      <c r="T350" s="2"/>
      <c r="U350" s="2"/>
      <c r="V350" s="3"/>
      <c r="W350" s="2"/>
      <c r="X350" s="2"/>
      <c r="Y350" s="2"/>
      <c r="Z350" s="2"/>
      <c r="AA350" s="3"/>
      <c r="AB350" s="2"/>
      <c r="AC350" s="2"/>
      <c r="AD350" s="2"/>
      <c r="AE350" s="2"/>
      <c r="AF350" s="3"/>
      <c r="AG350" s="2"/>
      <c r="AH350" s="2"/>
      <c r="AI350" s="2"/>
      <c r="AJ350" s="2"/>
      <c r="AK350" s="3"/>
      <c r="AL350" s="2"/>
      <c r="AM350" s="2"/>
      <c r="AN350" s="2"/>
      <c r="AO350" s="2"/>
      <c r="AP350" s="3"/>
      <c r="AQ350" s="2"/>
      <c r="AR350" s="2"/>
      <c r="AS350" s="2"/>
      <c r="AT350" s="7"/>
      <c r="AU350" s="2"/>
      <c r="AV350" s="2"/>
      <c r="AW350" s="2"/>
      <c r="AX350" s="2"/>
    </row>
    <row r="351">
      <c r="A351" s="2"/>
      <c r="B351" s="2"/>
      <c r="C351" s="2"/>
      <c r="D351" s="2"/>
      <c r="E351" s="2"/>
      <c r="F351" s="2"/>
      <c r="G351" s="2"/>
      <c r="H351" s="2"/>
      <c r="I351" s="2"/>
      <c r="J351" s="2"/>
      <c r="K351" s="2"/>
      <c r="L351" s="3"/>
      <c r="M351" s="4"/>
      <c r="N351" s="4"/>
      <c r="O351" s="5"/>
      <c r="P351" s="6"/>
      <c r="Q351" s="3"/>
      <c r="R351" s="2"/>
      <c r="S351" s="2"/>
      <c r="T351" s="2"/>
      <c r="U351" s="2"/>
      <c r="V351" s="3"/>
      <c r="W351" s="2"/>
      <c r="X351" s="2"/>
      <c r="Y351" s="2"/>
      <c r="Z351" s="2"/>
      <c r="AA351" s="3"/>
      <c r="AB351" s="2"/>
      <c r="AC351" s="2"/>
      <c r="AD351" s="2"/>
      <c r="AE351" s="2"/>
      <c r="AF351" s="3"/>
      <c r="AG351" s="2"/>
      <c r="AH351" s="2"/>
      <c r="AI351" s="2"/>
      <c r="AJ351" s="2"/>
      <c r="AK351" s="3"/>
      <c r="AL351" s="2"/>
      <c r="AM351" s="2"/>
      <c r="AN351" s="2"/>
      <c r="AO351" s="2"/>
      <c r="AP351" s="3"/>
      <c r="AQ351" s="2"/>
      <c r="AR351" s="2"/>
      <c r="AS351" s="2"/>
      <c r="AT351" s="7"/>
      <c r="AU351" s="2"/>
      <c r="AV351" s="2"/>
      <c r="AW351" s="2"/>
      <c r="AX351" s="2"/>
    </row>
    <row r="352">
      <c r="A352" s="2"/>
      <c r="B352" s="2"/>
      <c r="C352" s="2"/>
      <c r="D352" s="2"/>
      <c r="E352" s="2"/>
      <c r="F352" s="2"/>
      <c r="G352" s="2"/>
      <c r="H352" s="2"/>
      <c r="I352" s="2"/>
      <c r="J352" s="2"/>
      <c r="K352" s="2"/>
      <c r="L352" s="3"/>
      <c r="M352" s="4"/>
      <c r="N352" s="4"/>
      <c r="O352" s="5"/>
      <c r="P352" s="6"/>
      <c r="Q352" s="3"/>
      <c r="R352" s="2"/>
      <c r="S352" s="2"/>
      <c r="T352" s="2"/>
      <c r="U352" s="2"/>
      <c r="V352" s="3"/>
      <c r="W352" s="2"/>
      <c r="X352" s="2"/>
      <c r="Y352" s="2"/>
      <c r="Z352" s="2"/>
      <c r="AA352" s="3"/>
      <c r="AB352" s="2"/>
      <c r="AC352" s="2"/>
      <c r="AD352" s="2"/>
      <c r="AE352" s="2"/>
      <c r="AF352" s="3"/>
      <c r="AG352" s="2"/>
      <c r="AH352" s="2"/>
      <c r="AI352" s="2"/>
      <c r="AJ352" s="2"/>
      <c r="AK352" s="3"/>
      <c r="AL352" s="2"/>
      <c r="AM352" s="2"/>
      <c r="AN352" s="2"/>
      <c r="AO352" s="2"/>
      <c r="AP352" s="3"/>
      <c r="AQ352" s="2"/>
      <c r="AR352" s="2"/>
      <c r="AS352" s="2"/>
      <c r="AT352" s="7"/>
      <c r="AU352" s="2"/>
      <c r="AV352" s="2"/>
      <c r="AW352" s="2"/>
      <c r="AX352" s="2"/>
    </row>
    <row r="353">
      <c r="A353" s="2"/>
      <c r="B353" s="2"/>
      <c r="C353" s="2"/>
      <c r="D353" s="2"/>
      <c r="E353" s="2"/>
      <c r="F353" s="2"/>
      <c r="G353" s="2"/>
      <c r="H353" s="2"/>
      <c r="I353" s="2"/>
      <c r="J353" s="2"/>
      <c r="K353" s="2"/>
      <c r="L353" s="3"/>
      <c r="M353" s="4"/>
      <c r="N353" s="4"/>
      <c r="O353" s="5"/>
      <c r="P353" s="6"/>
      <c r="Q353" s="3"/>
      <c r="R353" s="2"/>
      <c r="S353" s="2"/>
      <c r="T353" s="2"/>
      <c r="U353" s="2"/>
      <c r="V353" s="3"/>
      <c r="W353" s="2"/>
      <c r="X353" s="2"/>
      <c r="Y353" s="2"/>
      <c r="Z353" s="2"/>
      <c r="AA353" s="3"/>
      <c r="AB353" s="2"/>
      <c r="AC353" s="2"/>
      <c r="AD353" s="2"/>
      <c r="AE353" s="2"/>
      <c r="AF353" s="3"/>
      <c r="AG353" s="2"/>
      <c r="AH353" s="2"/>
      <c r="AI353" s="2"/>
      <c r="AJ353" s="2"/>
      <c r="AK353" s="3"/>
      <c r="AL353" s="2"/>
      <c r="AM353" s="2"/>
      <c r="AN353" s="2"/>
      <c r="AO353" s="2"/>
      <c r="AP353" s="3"/>
      <c r="AQ353" s="2"/>
      <c r="AR353" s="2"/>
      <c r="AS353" s="2"/>
      <c r="AT353" s="7"/>
      <c r="AU353" s="2"/>
      <c r="AV353" s="2"/>
      <c r="AW353" s="2"/>
      <c r="AX353" s="2"/>
    </row>
    <row r="354">
      <c r="A354" s="2"/>
      <c r="B354" s="2"/>
      <c r="C354" s="2"/>
      <c r="D354" s="2"/>
      <c r="E354" s="2"/>
      <c r="F354" s="2"/>
      <c r="G354" s="2"/>
      <c r="H354" s="2"/>
      <c r="I354" s="2"/>
      <c r="J354" s="2"/>
      <c r="K354" s="2"/>
      <c r="L354" s="3"/>
      <c r="M354" s="4"/>
      <c r="N354" s="4"/>
      <c r="O354" s="5"/>
      <c r="P354" s="6"/>
      <c r="Q354" s="3"/>
      <c r="R354" s="2"/>
      <c r="S354" s="2"/>
      <c r="T354" s="2"/>
      <c r="U354" s="2"/>
      <c r="V354" s="3"/>
      <c r="W354" s="2"/>
      <c r="X354" s="2"/>
      <c r="Y354" s="2"/>
      <c r="Z354" s="2"/>
      <c r="AA354" s="3"/>
      <c r="AB354" s="2"/>
      <c r="AC354" s="2"/>
      <c r="AD354" s="2"/>
      <c r="AE354" s="2"/>
      <c r="AF354" s="3"/>
      <c r="AG354" s="2"/>
      <c r="AH354" s="2"/>
      <c r="AI354" s="2"/>
      <c r="AJ354" s="2"/>
      <c r="AK354" s="3"/>
      <c r="AL354" s="2"/>
      <c r="AM354" s="2"/>
      <c r="AN354" s="2"/>
      <c r="AO354" s="2"/>
      <c r="AP354" s="3"/>
      <c r="AQ354" s="2"/>
      <c r="AR354" s="2"/>
      <c r="AS354" s="2"/>
      <c r="AT354" s="7"/>
      <c r="AU354" s="2"/>
      <c r="AV354" s="2"/>
      <c r="AW354" s="2"/>
      <c r="AX354" s="2"/>
    </row>
    <row r="355">
      <c r="A355" s="2"/>
      <c r="B355" s="2"/>
      <c r="C355" s="2"/>
      <c r="D355" s="2"/>
      <c r="E355" s="2"/>
      <c r="F355" s="2"/>
      <c r="G355" s="2"/>
      <c r="H355" s="2"/>
      <c r="I355" s="2"/>
      <c r="J355" s="2"/>
      <c r="K355" s="2"/>
      <c r="L355" s="3"/>
      <c r="M355" s="4"/>
      <c r="N355" s="4"/>
      <c r="O355" s="5"/>
      <c r="P355" s="6"/>
      <c r="Q355" s="3"/>
      <c r="R355" s="2"/>
      <c r="S355" s="2"/>
      <c r="T355" s="2"/>
      <c r="U355" s="2"/>
      <c r="V355" s="3"/>
      <c r="W355" s="2"/>
      <c r="X355" s="2"/>
      <c r="Y355" s="2"/>
      <c r="Z355" s="2"/>
      <c r="AA355" s="3"/>
      <c r="AB355" s="2"/>
      <c r="AC355" s="2"/>
      <c r="AD355" s="2"/>
      <c r="AE355" s="2"/>
      <c r="AF355" s="3"/>
      <c r="AG355" s="2"/>
      <c r="AH355" s="2"/>
      <c r="AI355" s="2"/>
      <c r="AJ355" s="2"/>
      <c r="AK355" s="3"/>
      <c r="AL355" s="2"/>
      <c r="AM355" s="2"/>
      <c r="AN355" s="2"/>
      <c r="AO355" s="2"/>
      <c r="AP355" s="3"/>
      <c r="AQ355" s="2"/>
      <c r="AR355" s="2"/>
      <c r="AS355" s="2"/>
      <c r="AT355" s="7"/>
      <c r="AU355" s="2"/>
      <c r="AV355" s="2"/>
      <c r="AW355" s="2"/>
      <c r="AX355" s="2"/>
    </row>
    <row r="356">
      <c r="A356" s="2"/>
      <c r="B356" s="2"/>
      <c r="C356" s="2"/>
      <c r="D356" s="2"/>
      <c r="E356" s="2"/>
      <c r="F356" s="2"/>
      <c r="G356" s="2"/>
      <c r="H356" s="2"/>
      <c r="I356" s="2"/>
      <c r="J356" s="2"/>
      <c r="K356" s="2"/>
      <c r="L356" s="3"/>
      <c r="M356" s="4"/>
      <c r="N356" s="4"/>
      <c r="O356" s="5"/>
      <c r="P356" s="6"/>
      <c r="Q356" s="3"/>
      <c r="R356" s="2"/>
      <c r="S356" s="2"/>
      <c r="T356" s="2"/>
      <c r="U356" s="2"/>
      <c r="V356" s="3"/>
      <c r="W356" s="2"/>
      <c r="X356" s="2"/>
      <c r="Y356" s="2"/>
      <c r="Z356" s="2"/>
      <c r="AA356" s="3"/>
      <c r="AB356" s="2"/>
      <c r="AC356" s="2"/>
      <c r="AD356" s="2"/>
      <c r="AE356" s="2"/>
      <c r="AF356" s="3"/>
      <c r="AG356" s="2"/>
      <c r="AH356" s="2"/>
      <c r="AI356" s="2"/>
      <c r="AJ356" s="2"/>
      <c r="AK356" s="3"/>
      <c r="AL356" s="2"/>
      <c r="AM356" s="2"/>
      <c r="AN356" s="2"/>
      <c r="AO356" s="2"/>
      <c r="AP356" s="3"/>
      <c r="AQ356" s="2"/>
      <c r="AR356" s="2"/>
      <c r="AS356" s="2"/>
      <c r="AT356" s="7"/>
      <c r="AU356" s="2"/>
      <c r="AV356" s="2"/>
      <c r="AW356" s="2"/>
      <c r="AX356" s="2"/>
    </row>
    <row r="357">
      <c r="A357" s="2"/>
      <c r="B357" s="2"/>
      <c r="C357" s="2"/>
      <c r="D357" s="2"/>
      <c r="E357" s="2"/>
      <c r="F357" s="2"/>
      <c r="G357" s="2"/>
      <c r="H357" s="2"/>
      <c r="I357" s="2"/>
      <c r="J357" s="2"/>
      <c r="K357" s="2"/>
      <c r="L357" s="3"/>
      <c r="M357" s="4"/>
      <c r="N357" s="4"/>
      <c r="O357" s="5"/>
      <c r="P357" s="6"/>
      <c r="Q357" s="3"/>
      <c r="R357" s="2"/>
      <c r="S357" s="2"/>
      <c r="T357" s="2"/>
      <c r="U357" s="2"/>
      <c r="V357" s="3"/>
      <c r="W357" s="2"/>
      <c r="X357" s="2"/>
      <c r="Y357" s="2"/>
      <c r="Z357" s="2"/>
      <c r="AA357" s="3"/>
      <c r="AB357" s="2"/>
      <c r="AC357" s="2"/>
      <c r="AD357" s="2"/>
      <c r="AE357" s="2"/>
      <c r="AF357" s="3"/>
      <c r="AG357" s="2"/>
      <c r="AH357" s="2"/>
      <c r="AI357" s="2"/>
      <c r="AJ357" s="2"/>
      <c r="AK357" s="3"/>
      <c r="AL357" s="2"/>
      <c r="AM357" s="2"/>
      <c r="AN357" s="2"/>
      <c r="AO357" s="2"/>
      <c r="AP357" s="3"/>
      <c r="AQ357" s="2"/>
      <c r="AR357" s="2"/>
      <c r="AS357" s="2"/>
      <c r="AT357" s="7"/>
      <c r="AU357" s="2"/>
      <c r="AV357" s="2"/>
      <c r="AW357" s="2"/>
      <c r="AX357" s="2"/>
    </row>
    <row r="358">
      <c r="A358" s="2"/>
      <c r="B358" s="2"/>
      <c r="C358" s="2"/>
      <c r="D358" s="2"/>
      <c r="E358" s="2"/>
      <c r="F358" s="2"/>
      <c r="G358" s="2"/>
      <c r="H358" s="2"/>
      <c r="I358" s="2"/>
      <c r="J358" s="2"/>
      <c r="K358" s="2"/>
      <c r="L358" s="3"/>
      <c r="M358" s="4"/>
      <c r="N358" s="4"/>
      <c r="O358" s="5"/>
      <c r="P358" s="6"/>
      <c r="Q358" s="3"/>
      <c r="R358" s="2"/>
      <c r="S358" s="2"/>
      <c r="T358" s="2"/>
      <c r="U358" s="2"/>
      <c r="V358" s="3"/>
      <c r="W358" s="2"/>
      <c r="X358" s="2"/>
      <c r="Y358" s="2"/>
      <c r="Z358" s="2"/>
      <c r="AA358" s="3"/>
      <c r="AB358" s="2"/>
      <c r="AC358" s="2"/>
      <c r="AD358" s="2"/>
      <c r="AE358" s="2"/>
      <c r="AF358" s="3"/>
      <c r="AG358" s="2"/>
      <c r="AH358" s="2"/>
      <c r="AI358" s="2"/>
      <c r="AJ358" s="2"/>
      <c r="AK358" s="3"/>
      <c r="AL358" s="2"/>
      <c r="AM358" s="2"/>
      <c r="AN358" s="2"/>
      <c r="AO358" s="2"/>
      <c r="AP358" s="3"/>
      <c r="AQ358" s="2"/>
      <c r="AR358" s="2"/>
      <c r="AS358" s="2"/>
      <c r="AT358" s="7"/>
      <c r="AU358" s="2"/>
      <c r="AV358" s="2"/>
      <c r="AW358" s="2"/>
      <c r="AX358" s="2"/>
    </row>
    <row r="359">
      <c r="A359" s="2"/>
      <c r="B359" s="2"/>
      <c r="C359" s="2"/>
      <c r="D359" s="2"/>
      <c r="E359" s="2"/>
      <c r="F359" s="2"/>
      <c r="G359" s="2"/>
      <c r="H359" s="2"/>
      <c r="I359" s="2"/>
      <c r="J359" s="2"/>
      <c r="K359" s="2"/>
      <c r="L359" s="3"/>
      <c r="M359" s="4"/>
      <c r="N359" s="4"/>
      <c r="O359" s="5"/>
      <c r="P359" s="6"/>
      <c r="Q359" s="3"/>
      <c r="R359" s="2"/>
      <c r="S359" s="2"/>
      <c r="T359" s="2"/>
      <c r="U359" s="2"/>
      <c r="V359" s="3"/>
      <c r="W359" s="2"/>
      <c r="X359" s="2"/>
      <c r="Y359" s="2"/>
      <c r="Z359" s="2"/>
      <c r="AA359" s="3"/>
      <c r="AB359" s="2"/>
      <c r="AC359" s="2"/>
      <c r="AD359" s="2"/>
      <c r="AE359" s="2"/>
      <c r="AF359" s="3"/>
      <c r="AG359" s="2"/>
      <c r="AH359" s="2"/>
      <c r="AI359" s="2"/>
      <c r="AJ359" s="2"/>
      <c r="AK359" s="3"/>
      <c r="AL359" s="2"/>
      <c r="AM359" s="2"/>
      <c r="AN359" s="2"/>
      <c r="AO359" s="2"/>
      <c r="AP359" s="3"/>
      <c r="AQ359" s="2"/>
      <c r="AR359" s="2"/>
      <c r="AS359" s="2"/>
      <c r="AT359" s="7"/>
      <c r="AU359" s="2"/>
      <c r="AV359" s="2"/>
      <c r="AW359" s="2"/>
      <c r="AX359" s="2"/>
    </row>
    <row r="360">
      <c r="A360" s="2"/>
      <c r="B360" s="2"/>
      <c r="C360" s="2"/>
      <c r="D360" s="2"/>
      <c r="E360" s="2"/>
      <c r="F360" s="2"/>
      <c r="G360" s="2"/>
      <c r="H360" s="2"/>
      <c r="I360" s="2"/>
      <c r="J360" s="2"/>
      <c r="K360" s="2"/>
      <c r="L360" s="3"/>
      <c r="M360" s="4"/>
      <c r="N360" s="4"/>
      <c r="O360" s="5"/>
      <c r="P360" s="6"/>
      <c r="Q360" s="3"/>
      <c r="R360" s="2"/>
      <c r="S360" s="2"/>
      <c r="T360" s="2"/>
      <c r="U360" s="2"/>
      <c r="V360" s="3"/>
      <c r="W360" s="2"/>
      <c r="X360" s="2"/>
      <c r="Y360" s="2"/>
      <c r="Z360" s="2"/>
      <c r="AA360" s="3"/>
      <c r="AB360" s="2"/>
      <c r="AC360" s="2"/>
      <c r="AD360" s="2"/>
      <c r="AE360" s="2"/>
      <c r="AF360" s="3"/>
      <c r="AG360" s="2"/>
      <c r="AH360" s="2"/>
      <c r="AI360" s="2"/>
      <c r="AJ360" s="2"/>
      <c r="AK360" s="3"/>
      <c r="AL360" s="2"/>
      <c r="AM360" s="2"/>
      <c r="AN360" s="2"/>
      <c r="AO360" s="2"/>
      <c r="AP360" s="3"/>
      <c r="AQ360" s="2"/>
      <c r="AR360" s="2"/>
      <c r="AS360" s="2"/>
      <c r="AT360" s="7"/>
      <c r="AU360" s="2"/>
      <c r="AV360" s="2"/>
      <c r="AW360" s="2"/>
      <c r="AX360" s="2"/>
    </row>
    <row r="361">
      <c r="A361" s="2"/>
      <c r="B361" s="2"/>
      <c r="C361" s="2"/>
      <c r="D361" s="2"/>
      <c r="E361" s="2"/>
      <c r="F361" s="2"/>
      <c r="G361" s="2"/>
      <c r="H361" s="2"/>
      <c r="I361" s="2"/>
      <c r="J361" s="2"/>
      <c r="K361" s="2"/>
      <c r="L361" s="3"/>
      <c r="M361" s="4"/>
      <c r="N361" s="4"/>
      <c r="O361" s="5"/>
      <c r="P361" s="6"/>
      <c r="Q361" s="3"/>
      <c r="R361" s="2"/>
      <c r="S361" s="2"/>
      <c r="T361" s="2"/>
      <c r="U361" s="2"/>
      <c r="V361" s="3"/>
      <c r="W361" s="2"/>
      <c r="X361" s="2"/>
      <c r="Y361" s="2"/>
      <c r="Z361" s="2"/>
      <c r="AA361" s="3"/>
      <c r="AB361" s="2"/>
      <c r="AC361" s="2"/>
      <c r="AD361" s="2"/>
      <c r="AE361" s="2"/>
      <c r="AF361" s="3"/>
      <c r="AG361" s="2"/>
      <c r="AH361" s="2"/>
      <c r="AI361" s="2"/>
      <c r="AJ361" s="2"/>
      <c r="AK361" s="3"/>
      <c r="AL361" s="2"/>
      <c r="AM361" s="2"/>
      <c r="AN361" s="2"/>
      <c r="AO361" s="2"/>
      <c r="AP361" s="3"/>
      <c r="AQ361" s="2"/>
      <c r="AR361" s="2"/>
      <c r="AS361" s="2"/>
      <c r="AT361" s="7"/>
      <c r="AU361" s="2"/>
      <c r="AV361" s="2"/>
      <c r="AW361" s="2"/>
      <c r="AX361" s="2"/>
    </row>
    <row r="362">
      <c r="A362" s="2"/>
      <c r="B362" s="2"/>
      <c r="C362" s="2"/>
      <c r="D362" s="2"/>
      <c r="E362" s="2"/>
      <c r="F362" s="2"/>
      <c r="G362" s="2"/>
      <c r="H362" s="2"/>
      <c r="I362" s="2"/>
      <c r="J362" s="2"/>
      <c r="K362" s="2"/>
      <c r="L362" s="3"/>
      <c r="M362" s="4"/>
      <c r="N362" s="4"/>
      <c r="O362" s="5"/>
      <c r="P362" s="6"/>
      <c r="Q362" s="3"/>
      <c r="R362" s="2"/>
      <c r="S362" s="2"/>
      <c r="T362" s="2"/>
      <c r="U362" s="2"/>
      <c r="V362" s="3"/>
      <c r="W362" s="2"/>
      <c r="X362" s="2"/>
      <c r="Y362" s="2"/>
      <c r="Z362" s="2"/>
      <c r="AA362" s="3"/>
      <c r="AB362" s="2"/>
      <c r="AC362" s="2"/>
      <c r="AD362" s="2"/>
      <c r="AE362" s="2"/>
      <c r="AF362" s="3"/>
      <c r="AG362" s="2"/>
      <c r="AH362" s="2"/>
      <c r="AI362" s="2"/>
      <c r="AJ362" s="2"/>
      <c r="AK362" s="3"/>
      <c r="AL362" s="2"/>
      <c r="AM362" s="2"/>
      <c r="AN362" s="2"/>
      <c r="AO362" s="2"/>
      <c r="AP362" s="3"/>
      <c r="AQ362" s="2"/>
      <c r="AR362" s="2"/>
      <c r="AS362" s="2"/>
      <c r="AT362" s="7"/>
      <c r="AU362" s="2"/>
      <c r="AV362" s="2"/>
      <c r="AW362" s="2"/>
      <c r="AX362" s="2"/>
    </row>
    <row r="363">
      <c r="A363" s="2"/>
      <c r="B363" s="2"/>
      <c r="C363" s="2"/>
      <c r="D363" s="2"/>
      <c r="E363" s="2"/>
      <c r="F363" s="2"/>
      <c r="G363" s="2"/>
      <c r="H363" s="2"/>
      <c r="I363" s="2"/>
      <c r="J363" s="2"/>
      <c r="K363" s="2"/>
      <c r="L363" s="3"/>
      <c r="M363" s="4"/>
      <c r="N363" s="4"/>
      <c r="O363" s="5"/>
      <c r="P363" s="6"/>
      <c r="Q363" s="3"/>
      <c r="R363" s="2"/>
      <c r="S363" s="2"/>
      <c r="T363" s="2"/>
      <c r="U363" s="2"/>
      <c r="V363" s="3"/>
      <c r="W363" s="2"/>
      <c r="X363" s="2"/>
      <c r="Y363" s="2"/>
      <c r="Z363" s="2"/>
      <c r="AA363" s="3"/>
      <c r="AB363" s="2"/>
      <c r="AC363" s="2"/>
      <c r="AD363" s="2"/>
      <c r="AE363" s="2"/>
      <c r="AF363" s="3"/>
      <c r="AG363" s="2"/>
      <c r="AH363" s="2"/>
      <c r="AI363" s="2"/>
      <c r="AJ363" s="2"/>
      <c r="AK363" s="3"/>
      <c r="AL363" s="2"/>
      <c r="AM363" s="2"/>
      <c r="AN363" s="2"/>
      <c r="AO363" s="2"/>
      <c r="AP363" s="3"/>
      <c r="AQ363" s="2"/>
      <c r="AR363" s="2"/>
      <c r="AS363" s="2"/>
      <c r="AT363" s="7"/>
      <c r="AU363" s="2"/>
      <c r="AV363" s="2"/>
      <c r="AW363" s="2"/>
      <c r="AX363" s="2"/>
    </row>
    <row r="364">
      <c r="A364" s="2"/>
      <c r="B364" s="2"/>
      <c r="C364" s="2"/>
      <c r="D364" s="2"/>
      <c r="E364" s="2"/>
      <c r="F364" s="2"/>
      <c r="G364" s="2"/>
      <c r="H364" s="2"/>
      <c r="I364" s="2"/>
      <c r="J364" s="2"/>
      <c r="K364" s="2"/>
      <c r="L364" s="3"/>
      <c r="M364" s="4"/>
      <c r="N364" s="4"/>
      <c r="O364" s="5"/>
      <c r="P364" s="6"/>
      <c r="Q364" s="3"/>
      <c r="R364" s="2"/>
      <c r="S364" s="2"/>
      <c r="T364" s="2"/>
      <c r="U364" s="2"/>
      <c r="V364" s="3"/>
      <c r="W364" s="2"/>
      <c r="X364" s="2"/>
      <c r="Y364" s="2"/>
      <c r="Z364" s="2"/>
      <c r="AA364" s="3"/>
      <c r="AB364" s="2"/>
      <c r="AC364" s="2"/>
      <c r="AD364" s="2"/>
      <c r="AE364" s="2"/>
      <c r="AF364" s="3"/>
      <c r="AG364" s="2"/>
      <c r="AH364" s="2"/>
      <c r="AI364" s="2"/>
      <c r="AJ364" s="2"/>
      <c r="AK364" s="3"/>
      <c r="AL364" s="2"/>
      <c r="AM364" s="2"/>
      <c r="AN364" s="2"/>
      <c r="AO364" s="2"/>
      <c r="AP364" s="3"/>
      <c r="AQ364" s="2"/>
      <c r="AR364" s="2"/>
      <c r="AS364" s="2"/>
      <c r="AT364" s="7"/>
      <c r="AU364" s="2"/>
      <c r="AV364" s="2"/>
      <c r="AW364" s="2"/>
      <c r="AX364" s="2"/>
    </row>
    <row r="365">
      <c r="A365" s="2"/>
      <c r="B365" s="2"/>
      <c r="C365" s="2"/>
      <c r="D365" s="2"/>
      <c r="E365" s="2"/>
      <c r="F365" s="2"/>
      <c r="G365" s="2"/>
      <c r="H365" s="2"/>
      <c r="I365" s="2"/>
      <c r="J365" s="2"/>
      <c r="K365" s="2"/>
      <c r="L365" s="3"/>
      <c r="M365" s="4"/>
      <c r="N365" s="4"/>
      <c r="O365" s="5"/>
      <c r="P365" s="6"/>
      <c r="Q365" s="3"/>
      <c r="R365" s="2"/>
      <c r="S365" s="2"/>
      <c r="T365" s="2"/>
      <c r="U365" s="2"/>
      <c r="V365" s="3"/>
      <c r="W365" s="2"/>
      <c r="X365" s="2"/>
      <c r="Y365" s="2"/>
      <c r="Z365" s="2"/>
      <c r="AA365" s="3"/>
      <c r="AB365" s="2"/>
      <c r="AC365" s="2"/>
      <c r="AD365" s="2"/>
      <c r="AE365" s="2"/>
      <c r="AF365" s="3"/>
      <c r="AG365" s="2"/>
      <c r="AH365" s="2"/>
      <c r="AI365" s="2"/>
      <c r="AJ365" s="2"/>
      <c r="AK365" s="3"/>
      <c r="AL365" s="2"/>
      <c r="AM365" s="2"/>
      <c r="AN365" s="2"/>
      <c r="AO365" s="2"/>
      <c r="AP365" s="3"/>
      <c r="AQ365" s="2"/>
      <c r="AR365" s="2"/>
      <c r="AS365" s="2"/>
      <c r="AT365" s="7"/>
      <c r="AU365" s="2"/>
      <c r="AV365" s="2"/>
      <c r="AW365" s="2"/>
      <c r="AX365" s="2"/>
    </row>
    <row r="366">
      <c r="A366" s="2"/>
      <c r="B366" s="2"/>
      <c r="C366" s="2"/>
      <c r="D366" s="2"/>
      <c r="E366" s="2"/>
      <c r="F366" s="2"/>
      <c r="G366" s="2"/>
      <c r="H366" s="2"/>
      <c r="I366" s="2"/>
      <c r="J366" s="2"/>
      <c r="K366" s="2"/>
      <c r="L366" s="3"/>
      <c r="M366" s="4"/>
      <c r="N366" s="4"/>
      <c r="O366" s="5"/>
      <c r="P366" s="6"/>
      <c r="Q366" s="3"/>
      <c r="R366" s="2"/>
      <c r="S366" s="2"/>
      <c r="T366" s="2"/>
      <c r="U366" s="2"/>
      <c r="V366" s="3"/>
      <c r="W366" s="2"/>
      <c r="X366" s="2"/>
      <c r="Y366" s="2"/>
      <c r="Z366" s="2"/>
      <c r="AA366" s="3"/>
      <c r="AB366" s="2"/>
      <c r="AC366" s="2"/>
      <c r="AD366" s="2"/>
      <c r="AE366" s="2"/>
      <c r="AF366" s="3"/>
      <c r="AG366" s="2"/>
      <c r="AH366" s="2"/>
      <c r="AI366" s="2"/>
      <c r="AJ366" s="2"/>
      <c r="AK366" s="3"/>
      <c r="AL366" s="2"/>
      <c r="AM366" s="2"/>
      <c r="AN366" s="2"/>
      <c r="AO366" s="2"/>
      <c r="AP366" s="3"/>
      <c r="AQ366" s="2"/>
      <c r="AR366" s="2"/>
      <c r="AS366" s="2"/>
      <c r="AT366" s="7"/>
      <c r="AU366" s="2"/>
      <c r="AV366" s="2"/>
      <c r="AW366" s="2"/>
      <c r="AX366" s="2"/>
    </row>
    <row r="367">
      <c r="A367" s="2"/>
      <c r="B367" s="2"/>
      <c r="C367" s="2"/>
      <c r="D367" s="2"/>
      <c r="E367" s="2"/>
      <c r="F367" s="2"/>
      <c r="G367" s="2"/>
      <c r="H367" s="2"/>
      <c r="I367" s="2"/>
      <c r="J367" s="2"/>
      <c r="K367" s="2"/>
      <c r="L367" s="3"/>
      <c r="M367" s="4"/>
      <c r="N367" s="4"/>
      <c r="O367" s="5"/>
      <c r="P367" s="6"/>
      <c r="Q367" s="3"/>
      <c r="R367" s="2"/>
      <c r="S367" s="2"/>
      <c r="T367" s="2"/>
      <c r="U367" s="2"/>
      <c r="V367" s="3"/>
      <c r="W367" s="2"/>
      <c r="X367" s="2"/>
      <c r="Y367" s="2"/>
      <c r="Z367" s="2"/>
      <c r="AA367" s="3"/>
      <c r="AB367" s="2"/>
      <c r="AC367" s="2"/>
      <c r="AD367" s="2"/>
      <c r="AE367" s="2"/>
      <c r="AF367" s="3"/>
      <c r="AG367" s="2"/>
      <c r="AH367" s="2"/>
      <c r="AI367" s="2"/>
      <c r="AJ367" s="2"/>
      <c r="AK367" s="3"/>
      <c r="AL367" s="2"/>
      <c r="AM367" s="2"/>
      <c r="AN367" s="2"/>
      <c r="AO367" s="2"/>
      <c r="AP367" s="3"/>
      <c r="AQ367" s="2"/>
      <c r="AR367" s="2"/>
      <c r="AS367" s="2"/>
      <c r="AT367" s="7"/>
      <c r="AU367" s="2"/>
      <c r="AV367" s="2"/>
      <c r="AW367" s="2"/>
      <c r="AX367" s="2"/>
    </row>
    <row r="368">
      <c r="A368" s="2"/>
      <c r="B368" s="2"/>
      <c r="C368" s="2"/>
      <c r="D368" s="2"/>
      <c r="E368" s="2"/>
      <c r="F368" s="2"/>
      <c r="G368" s="2"/>
      <c r="H368" s="2"/>
      <c r="I368" s="2"/>
      <c r="J368" s="2"/>
      <c r="K368" s="2"/>
      <c r="L368" s="3"/>
      <c r="M368" s="4"/>
      <c r="N368" s="4"/>
      <c r="O368" s="5"/>
      <c r="P368" s="6"/>
      <c r="Q368" s="3"/>
      <c r="R368" s="2"/>
      <c r="S368" s="2"/>
      <c r="T368" s="2"/>
      <c r="U368" s="2"/>
      <c r="V368" s="3"/>
      <c r="W368" s="2"/>
      <c r="X368" s="2"/>
      <c r="Y368" s="2"/>
      <c r="Z368" s="2"/>
      <c r="AA368" s="3"/>
      <c r="AB368" s="2"/>
      <c r="AC368" s="2"/>
      <c r="AD368" s="2"/>
      <c r="AE368" s="2"/>
      <c r="AF368" s="3"/>
      <c r="AG368" s="2"/>
      <c r="AH368" s="2"/>
      <c r="AI368" s="2"/>
      <c r="AJ368" s="2"/>
      <c r="AK368" s="3"/>
      <c r="AL368" s="2"/>
      <c r="AM368" s="2"/>
      <c r="AN368" s="2"/>
      <c r="AO368" s="2"/>
      <c r="AP368" s="3"/>
      <c r="AQ368" s="2"/>
      <c r="AR368" s="2"/>
      <c r="AS368" s="2"/>
      <c r="AT368" s="7"/>
      <c r="AU368" s="2"/>
      <c r="AV368" s="2"/>
      <c r="AW368" s="2"/>
      <c r="AX368" s="2"/>
    </row>
    <row r="369">
      <c r="A369" s="2"/>
      <c r="B369" s="2"/>
      <c r="C369" s="2"/>
      <c r="D369" s="2"/>
      <c r="E369" s="2"/>
      <c r="F369" s="2"/>
      <c r="G369" s="2"/>
      <c r="H369" s="2"/>
      <c r="I369" s="2"/>
      <c r="J369" s="2"/>
      <c r="K369" s="2"/>
      <c r="L369" s="3"/>
      <c r="M369" s="4"/>
      <c r="N369" s="4"/>
      <c r="O369" s="5"/>
      <c r="P369" s="6"/>
      <c r="Q369" s="3"/>
      <c r="R369" s="2"/>
      <c r="S369" s="2"/>
      <c r="T369" s="2"/>
      <c r="U369" s="2"/>
      <c r="V369" s="3"/>
      <c r="W369" s="2"/>
      <c r="X369" s="2"/>
      <c r="Y369" s="2"/>
      <c r="Z369" s="2"/>
      <c r="AA369" s="3"/>
      <c r="AB369" s="2"/>
      <c r="AC369" s="2"/>
      <c r="AD369" s="2"/>
      <c r="AE369" s="2"/>
      <c r="AF369" s="3"/>
      <c r="AG369" s="2"/>
      <c r="AH369" s="2"/>
      <c r="AI369" s="2"/>
      <c r="AJ369" s="2"/>
      <c r="AK369" s="3"/>
      <c r="AL369" s="2"/>
      <c r="AM369" s="2"/>
      <c r="AN369" s="2"/>
      <c r="AO369" s="2"/>
      <c r="AP369" s="3"/>
      <c r="AQ369" s="2"/>
      <c r="AR369" s="2"/>
      <c r="AS369" s="2"/>
      <c r="AT369" s="7"/>
      <c r="AU369" s="2"/>
      <c r="AV369" s="2"/>
      <c r="AW369" s="2"/>
      <c r="AX369" s="2"/>
    </row>
    <row r="370">
      <c r="A370" s="2"/>
      <c r="B370" s="2"/>
      <c r="C370" s="2"/>
      <c r="D370" s="2"/>
      <c r="E370" s="2"/>
      <c r="F370" s="2"/>
      <c r="G370" s="2"/>
      <c r="H370" s="2"/>
      <c r="I370" s="2"/>
      <c r="J370" s="2"/>
      <c r="K370" s="2"/>
      <c r="L370" s="3"/>
      <c r="M370" s="4"/>
      <c r="N370" s="4"/>
      <c r="O370" s="5"/>
      <c r="P370" s="6"/>
      <c r="Q370" s="3"/>
      <c r="R370" s="2"/>
      <c r="S370" s="2"/>
      <c r="T370" s="2"/>
      <c r="U370" s="2"/>
      <c r="V370" s="3"/>
      <c r="W370" s="2"/>
      <c r="X370" s="2"/>
      <c r="Y370" s="2"/>
      <c r="Z370" s="2"/>
      <c r="AA370" s="3"/>
      <c r="AB370" s="2"/>
      <c r="AC370" s="2"/>
      <c r="AD370" s="2"/>
      <c r="AE370" s="2"/>
      <c r="AF370" s="3"/>
      <c r="AG370" s="2"/>
      <c r="AH370" s="2"/>
      <c r="AI370" s="2"/>
      <c r="AJ370" s="2"/>
      <c r="AK370" s="3"/>
      <c r="AL370" s="2"/>
      <c r="AM370" s="2"/>
      <c r="AN370" s="2"/>
      <c r="AO370" s="2"/>
      <c r="AP370" s="3"/>
      <c r="AQ370" s="2"/>
      <c r="AR370" s="2"/>
      <c r="AS370" s="2"/>
      <c r="AT370" s="7"/>
      <c r="AU370" s="2"/>
      <c r="AV370" s="2"/>
      <c r="AW370" s="2"/>
      <c r="AX370" s="2"/>
    </row>
    <row r="371">
      <c r="A371" s="2"/>
      <c r="B371" s="2"/>
      <c r="C371" s="2"/>
      <c r="D371" s="2"/>
      <c r="E371" s="2"/>
      <c r="F371" s="2"/>
      <c r="G371" s="2"/>
      <c r="H371" s="2"/>
      <c r="I371" s="2"/>
      <c r="J371" s="2"/>
      <c r="K371" s="2"/>
      <c r="L371" s="3"/>
      <c r="M371" s="4"/>
      <c r="N371" s="4"/>
      <c r="O371" s="5"/>
      <c r="P371" s="6"/>
      <c r="Q371" s="3"/>
      <c r="R371" s="2"/>
      <c r="S371" s="2"/>
      <c r="T371" s="2"/>
      <c r="U371" s="2"/>
      <c r="V371" s="3"/>
      <c r="W371" s="2"/>
      <c r="X371" s="2"/>
      <c r="Y371" s="2"/>
      <c r="Z371" s="2"/>
      <c r="AA371" s="3"/>
      <c r="AB371" s="2"/>
      <c r="AC371" s="2"/>
      <c r="AD371" s="2"/>
      <c r="AE371" s="2"/>
      <c r="AF371" s="3"/>
      <c r="AG371" s="2"/>
      <c r="AH371" s="2"/>
      <c r="AI371" s="2"/>
      <c r="AJ371" s="2"/>
      <c r="AK371" s="3"/>
      <c r="AL371" s="2"/>
      <c r="AM371" s="2"/>
      <c r="AN371" s="2"/>
      <c r="AO371" s="2"/>
      <c r="AP371" s="3"/>
      <c r="AQ371" s="2"/>
      <c r="AR371" s="2"/>
      <c r="AS371" s="2"/>
      <c r="AT371" s="7"/>
      <c r="AU371" s="2"/>
      <c r="AV371" s="2"/>
      <c r="AW371" s="2"/>
      <c r="AX371" s="2"/>
    </row>
    <row r="372">
      <c r="A372" s="2"/>
      <c r="B372" s="2"/>
      <c r="C372" s="2"/>
      <c r="D372" s="2"/>
      <c r="E372" s="2"/>
      <c r="F372" s="2"/>
      <c r="G372" s="2"/>
      <c r="H372" s="2"/>
      <c r="I372" s="2"/>
      <c r="J372" s="2"/>
      <c r="K372" s="2"/>
      <c r="L372" s="3"/>
      <c r="M372" s="4"/>
      <c r="N372" s="4"/>
      <c r="O372" s="5"/>
      <c r="P372" s="6"/>
      <c r="Q372" s="3"/>
      <c r="R372" s="2"/>
      <c r="S372" s="2"/>
      <c r="T372" s="2"/>
      <c r="U372" s="2"/>
      <c r="V372" s="3"/>
      <c r="W372" s="2"/>
      <c r="X372" s="2"/>
      <c r="Y372" s="2"/>
      <c r="Z372" s="2"/>
      <c r="AA372" s="3"/>
      <c r="AB372" s="2"/>
      <c r="AC372" s="2"/>
      <c r="AD372" s="2"/>
      <c r="AE372" s="2"/>
      <c r="AF372" s="3"/>
      <c r="AG372" s="2"/>
      <c r="AH372" s="2"/>
      <c r="AI372" s="2"/>
      <c r="AJ372" s="2"/>
      <c r="AK372" s="3"/>
      <c r="AL372" s="2"/>
      <c r="AM372" s="2"/>
      <c r="AN372" s="2"/>
      <c r="AO372" s="2"/>
      <c r="AP372" s="3"/>
      <c r="AQ372" s="2"/>
      <c r="AR372" s="2"/>
      <c r="AS372" s="2"/>
      <c r="AT372" s="7"/>
      <c r="AU372" s="2"/>
      <c r="AV372" s="2"/>
      <c r="AW372" s="2"/>
      <c r="AX372" s="2"/>
    </row>
    <row r="373">
      <c r="A373" s="2"/>
      <c r="B373" s="2"/>
      <c r="C373" s="2"/>
      <c r="D373" s="2"/>
      <c r="E373" s="2"/>
      <c r="F373" s="2"/>
      <c r="G373" s="2"/>
      <c r="H373" s="2"/>
      <c r="I373" s="2"/>
      <c r="J373" s="2"/>
      <c r="K373" s="2"/>
      <c r="L373" s="3"/>
      <c r="M373" s="4"/>
      <c r="N373" s="4"/>
      <c r="O373" s="5"/>
      <c r="P373" s="6"/>
      <c r="Q373" s="3"/>
      <c r="R373" s="2"/>
      <c r="S373" s="2"/>
      <c r="T373" s="2"/>
      <c r="U373" s="2"/>
      <c r="V373" s="3"/>
      <c r="W373" s="2"/>
      <c r="X373" s="2"/>
      <c r="Y373" s="2"/>
      <c r="Z373" s="2"/>
      <c r="AA373" s="3"/>
      <c r="AB373" s="2"/>
      <c r="AC373" s="2"/>
      <c r="AD373" s="2"/>
      <c r="AE373" s="2"/>
      <c r="AF373" s="3"/>
      <c r="AG373" s="2"/>
      <c r="AH373" s="2"/>
      <c r="AI373" s="2"/>
      <c r="AJ373" s="2"/>
      <c r="AK373" s="3"/>
      <c r="AL373" s="2"/>
      <c r="AM373" s="2"/>
      <c r="AN373" s="2"/>
      <c r="AO373" s="2"/>
      <c r="AP373" s="3"/>
      <c r="AQ373" s="2"/>
      <c r="AR373" s="2"/>
      <c r="AS373" s="2"/>
      <c r="AT373" s="7"/>
      <c r="AU373" s="2"/>
      <c r="AV373" s="2"/>
      <c r="AW373" s="2"/>
      <c r="AX373" s="2"/>
    </row>
    <row r="374">
      <c r="A374" s="2"/>
      <c r="B374" s="2"/>
      <c r="C374" s="2"/>
      <c r="D374" s="2"/>
      <c r="E374" s="2"/>
      <c r="F374" s="2"/>
      <c r="G374" s="2"/>
      <c r="H374" s="2"/>
      <c r="I374" s="2"/>
      <c r="J374" s="2"/>
      <c r="K374" s="2"/>
      <c r="L374" s="3"/>
      <c r="M374" s="4"/>
      <c r="N374" s="4"/>
      <c r="O374" s="5"/>
      <c r="P374" s="6"/>
      <c r="Q374" s="3"/>
      <c r="R374" s="2"/>
      <c r="S374" s="2"/>
      <c r="T374" s="2"/>
      <c r="U374" s="2"/>
      <c r="V374" s="3"/>
      <c r="W374" s="2"/>
      <c r="X374" s="2"/>
      <c r="Y374" s="2"/>
      <c r="Z374" s="2"/>
      <c r="AA374" s="3"/>
      <c r="AB374" s="2"/>
      <c r="AC374" s="2"/>
      <c r="AD374" s="2"/>
      <c r="AE374" s="2"/>
      <c r="AF374" s="3"/>
      <c r="AG374" s="2"/>
      <c r="AH374" s="2"/>
      <c r="AI374" s="2"/>
      <c r="AJ374" s="2"/>
      <c r="AK374" s="3"/>
      <c r="AL374" s="2"/>
      <c r="AM374" s="2"/>
      <c r="AN374" s="2"/>
      <c r="AO374" s="2"/>
      <c r="AP374" s="3"/>
      <c r="AQ374" s="2"/>
      <c r="AR374" s="2"/>
      <c r="AS374" s="2"/>
      <c r="AT374" s="7"/>
      <c r="AU374" s="2"/>
      <c r="AV374" s="2"/>
      <c r="AW374" s="2"/>
      <c r="AX374" s="2"/>
    </row>
    <row r="375">
      <c r="A375" s="2"/>
      <c r="B375" s="2"/>
      <c r="C375" s="2"/>
      <c r="D375" s="2"/>
      <c r="E375" s="2"/>
      <c r="F375" s="2"/>
      <c r="G375" s="2"/>
      <c r="H375" s="2"/>
      <c r="I375" s="2"/>
      <c r="J375" s="2"/>
      <c r="K375" s="2"/>
      <c r="L375" s="3"/>
      <c r="M375" s="4"/>
      <c r="N375" s="4"/>
      <c r="O375" s="5"/>
      <c r="P375" s="6"/>
      <c r="Q375" s="3"/>
      <c r="R375" s="2"/>
      <c r="S375" s="2"/>
      <c r="T375" s="2"/>
      <c r="U375" s="2"/>
      <c r="V375" s="3"/>
      <c r="W375" s="2"/>
      <c r="X375" s="2"/>
      <c r="Y375" s="2"/>
      <c r="Z375" s="2"/>
      <c r="AA375" s="3"/>
      <c r="AB375" s="2"/>
      <c r="AC375" s="2"/>
      <c r="AD375" s="2"/>
      <c r="AE375" s="2"/>
      <c r="AF375" s="3"/>
      <c r="AG375" s="2"/>
      <c r="AH375" s="2"/>
      <c r="AI375" s="2"/>
      <c r="AJ375" s="2"/>
      <c r="AK375" s="3"/>
      <c r="AL375" s="2"/>
      <c r="AM375" s="2"/>
      <c r="AN375" s="2"/>
      <c r="AO375" s="2"/>
      <c r="AP375" s="3"/>
      <c r="AQ375" s="2"/>
      <c r="AR375" s="2"/>
      <c r="AS375" s="2"/>
      <c r="AT375" s="7"/>
      <c r="AU375" s="2"/>
      <c r="AV375" s="2"/>
      <c r="AW375" s="2"/>
      <c r="AX375" s="2"/>
    </row>
    <row r="376">
      <c r="A376" s="2"/>
      <c r="B376" s="2"/>
      <c r="C376" s="2"/>
      <c r="D376" s="2"/>
      <c r="E376" s="2"/>
      <c r="F376" s="2"/>
      <c r="G376" s="2"/>
      <c r="H376" s="2"/>
      <c r="I376" s="2"/>
      <c r="J376" s="2"/>
      <c r="K376" s="2"/>
      <c r="L376" s="3"/>
      <c r="M376" s="4"/>
      <c r="N376" s="4"/>
      <c r="O376" s="5"/>
      <c r="P376" s="6"/>
      <c r="Q376" s="3"/>
      <c r="R376" s="2"/>
      <c r="S376" s="2"/>
      <c r="T376" s="2"/>
      <c r="U376" s="2"/>
      <c r="V376" s="3"/>
      <c r="W376" s="2"/>
      <c r="X376" s="2"/>
      <c r="Y376" s="2"/>
      <c r="Z376" s="2"/>
      <c r="AA376" s="3"/>
      <c r="AB376" s="2"/>
      <c r="AC376" s="2"/>
      <c r="AD376" s="2"/>
      <c r="AE376" s="2"/>
      <c r="AF376" s="3"/>
      <c r="AG376" s="2"/>
      <c r="AH376" s="2"/>
      <c r="AI376" s="2"/>
      <c r="AJ376" s="2"/>
      <c r="AK376" s="3"/>
      <c r="AL376" s="2"/>
      <c r="AM376" s="2"/>
      <c r="AN376" s="2"/>
      <c r="AO376" s="2"/>
      <c r="AP376" s="3"/>
      <c r="AQ376" s="2"/>
      <c r="AR376" s="2"/>
      <c r="AS376" s="2"/>
      <c r="AT376" s="7"/>
      <c r="AU376" s="2"/>
      <c r="AV376" s="2"/>
      <c r="AW376" s="2"/>
      <c r="AX376" s="2"/>
    </row>
    <row r="377">
      <c r="A377" s="2"/>
      <c r="B377" s="2"/>
      <c r="C377" s="2"/>
      <c r="D377" s="2"/>
      <c r="E377" s="2"/>
      <c r="F377" s="2"/>
      <c r="G377" s="2"/>
      <c r="H377" s="2"/>
      <c r="I377" s="2"/>
      <c r="J377" s="2"/>
      <c r="K377" s="2"/>
      <c r="L377" s="3"/>
      <c r="M377" s="4"/>
      <c r="N377" s="4"/>
      <c r="O377" s="5"/>
      <c r="P377" s="6"/>
      <c r="Q377" s="3"/>
      <c r="R377" s="2"/>
      <c r="S377" s="2"/>
      <c r="T377" s="2"/>
      <c r="U377" s="2"/>
      <c r="V377" s="3"/>
      <c r="W377" s="2"/>
      <c r="X377" s="2"/>
      <c r="Y377" s="2"/>
      <c r="Z377" s="2"/>
      <c r="AA377" s="3"/>
      <c r="AB377" s="2"/>
      <c r="AC377" s="2"/>
      <c r="AD377" s="2"/>
      <c r="AE377" s="2"/>
      <c r="AF377" s="3"/>
      <c r="AG377" s="2"/>
      <c r="AH377" s="2"/>
      <c r="AI377" s="2"/>
      <c r="AJ377" s="2"/>
      <c r="AK377" s="3"/>
      <c r="AL377" s="2"/>
      <c r="AM377" s="2"/>
      <c r="AN377" s="2"/>
      <c r="AO377" s="2"/>
      <c r="AP377" s="3"/>
      <c r="AQ377" s="2"/>
      <c r="AR377" s="2"/>
      <c r="AS377" s="2"/>
      <c r="AT377" s="7"/>
      <c r="AU377" s="2"/>
      <c r="AV377" s="2"/>
      <c r="AW377" s="2"/>
      <c r="AX377" s="2"/>
    </row>
    <row r="378">
      <c r="A378" s="2"/>
      <c r="B378" s="2"/>
      <c r="C378" s="2"/>
      <c r="D378" s="2"/>
      <c r="E378" s="2"/>
      <c r="F378" s="2"/>
      <c r="G378" s="2"/>
      <c r="H378" s="2"/>
      <c r="I378" s="2"/>
      <c r="J378" s="2"/>
      <c r="K378" s="2"/>
      <c r="L378" s="3"/>
      <c r="M378" s="4"/>
      <c r="N378" s="4"/>
      <c r="O378" s="5"/>
      <c r="P378" s="6"/>
      <c r="Q378" s="3"/>
      <c r="R378" s="2"/>
      <c r="S378" s="2"/>
      <c r="T378" s="2"/>
      <c r="U378" s="2"/>
      <c r="V378" s="3"/>
      <c r="W378" s="2"/>
      <c r="X378" s="2"/>
      <c r="Y378" s="2"/>
      <c r="Z378" s="2"/>
      <c r="AA378" s="3"/>
      <c r="AB378" s="2"/>
      <c r="AC378" s="2"/>
      <c r="AD378" s="2"/>
      <c r="AE378" s="2"/>
      <c r="AF378" s="3"/>
      <c r="AG378" s="2"/>
      <c r="AH378" s="2"/>
      <c r="AI378" s="2"/>
      <c r="AJ378" s="2"/>
      <c r="AK378" s="3"/>
      <c r="AL378" s="2"/>
      <c r="AM378" s="2"/>
      <c r="AN378" s="2"/>
      <c r="AO378" s="2"/>
      <c r="AP378" s="3"/>
      <c r="AQ378" s="2"/>
      <c r="AR378" s="2"/>
      <c r="AS378" s="2"/>
      <c r="AT378" s="7"/>
      <c r="AU378" s="2"/>
      <c r="AV378" s="2"/>
      <c r="AW378" s="2"/>
      <c r="AX378" s="2"/>
    </row>
    <row r="379">
      <c r="A379" s="2"/>
      <c r="B379" s="2"/>
      <c r="C379" s="2"/>
      <c r="D379" s="2"/>
      <c r="E379" s="2"/>
      <c r="F379" s="2"/>
      <c r="G379" s="2"/>
      <c r="H379" s="2"/>
      <c r="I379" s="2"/>
      <c r="J379" s="2"/>
      <c r="K379" s="2"/>
      <c r="L379" s="3"/>
      <c r="M379" s="4"/>
      <c r="N379" s="4"/>
      <c r="O379" s="5"/>
      <c r="P379" s="6"/>
      <c r="Q379" s="3"/>
      <c r="R379" s="2"/>
      <c r="S379" s="2"/>
      <c r="T379" s="2"/>
      <c r="U379" s="2"/>
      <c r="V379" s="3"/>
      <c r="W379" s="2"/>
      <c r="X379" s="2"/>
      <c r="Y379" s="2"/>
      <c r="Z379" s="2"/>
      <c r="AA379" s="3"/>
      <c r="AB379" s="2"/>
      <c r="AC379" s="2"/>
      <c r="AD379" s="2"/>
      <c r="AE379" s="2"/>
      <c r="AF379" s="3"/>
      <c r="AG379" s="2"/>
      <c r="AH379" s="2"/>
      <c r="AI379" s="2"/>
      <c r="AJ379" s="2"/>
      <c r="AK379" s="3"/>
      <c r="AL379" s="2"/>
      <c r="AM379" s="2"/>
      <c r="AN379" s="2"/>
      <c r="AO379" s="2"/>
      <c r="AP379" s="3"/>
      <c r="AQ379" s="2"/>
      <c r="AR379" s="2"/>
      <c r="AS379" s="2"/>
      <c r="AT379" s="7"/>
      <c r="AU379" s="2"/>
      <c r="AV379" s="2"/>
      <c r="AW379" s="2"/>
      <c r="AX379" s="2"/>
    </row>
    <row r="380">
      <c r="A380" s="2"/>
      <c r="B380" s="2"/>
      <c r="C380" s="2"/>
      <c r="D380" s="2"/>
      <c r="E380" s="2"/>
      <c r="F380" s="2"/>
      <c r="G380" s="2"/>
      <c r="H380" s="2"/>
      <c r="I380" s="2"/>
      <c r="J380" s="2"/>
      <c r="K380" s="2"/>
      <c r="L380" s="3"/>
      <c r="M380" s="4"/>
      <c r="N380" s="4"/>
      <c r="O380" s="5"/>
      <c r="P380" s="6"/>
      <c r="Q380" s="3"/>
      <c r="R380" s="2"/>
      <c r="S380" s="2"/>
      <c r="T380" s="2"/>
      <c r="U380" s="2"/>
      <c r="V380" s="3"/>
      <c r="W380" s="2"/>
      <c r="X380" s="2"/>
      <c r="Y380" s="2"/>
      <c r="Z380" s="2"/>
      <c r="AA380" s="3"/>
      <c r="AB380" s="2"/>
      <c r="AC380" s="2"/>
      <c r="AD380" s="2"/>
      <c r="AE380" s="2"/>
      <c r="AF380" s="3"/>
      <c r="AG380" s="2"/>
      <c r="AH380" s="2"/>
      <c r="AI380" s="2"/>
      <c r="AJ380" s="2"/>
      <c r="AK380" s="3"/>
      <c r="AL380" s="2"/>
      <c r="AM380" s="2"/>
      <c r="AN380" s="2"/>
      <c r="AO380" s="2"/>
      <c r="AP380" s="3"/>
      <c r="AQ380" s="2"/>
      <c r="AR380" s="2"/>
      <c r="AS380" s="2"/>
      <c r="AT380" s="7"/>
      <c r="AU380" s="2"/>
      <c r="AV380" s="2"/>
      <c r="AW380" s="2"/>
      <c r="AX380" s="2"/>
    </row>
    <row r="381">
      <c r="A381" s="2"/>
      <c r="B381" s="2"/>
      <c r="C381" s="2"/>
      <c r="D381" s="2"/>
      <c r="E381" s="2"/>
      <c r="F381" s="2"/>
      <c r="G381" s="2"/>
      <c r="H381" s="2"/>
      <c r="I381" s="2"/>
      <c r="J381" s="2"/>
      <c r="K381" s="2"/>
      <c r="L381" s="3"/>
      <c r="M381" s="4"/>
      <c r="N381" s="4"/>
      <c r="O381" s="5"/>
      <c r="P381" s="6"/>
      <c r="Q381" s="3"/>
      <c r="R381" s="2"/>
      <c r="S381" s="2"/>
      <c r="T381" s="2"/>
      <c r="U381" s="2"/>
      <c r="V381" s="3"/>
      <c r="W381" s="2"/>
      <c r="X381" s="2"/>
      <c r="Y381" s="2"/>
      <c r="Z381" s="2"/>
      <c r="AA381" s="3"/>
      <c r="AB381" s="2"/>
      <c r="AC381" s="2"/>
      <c r="AD381" s="2"/>
      <c r="AE381" s="2"/>
      <c r="AF381" s="3"/>
      <c r="AG381" s="2"/>
      <c r="AH381" s="2"/>
      <c r="AI381" s="2"/>
      <c r="AJ381" s="2"/>
      <c r="AK381" s="3"/>
      <c r="AL381" s="2"/>
      <c r="AM381" s="2"/>
      <c r="AN381" s="2"/>
      <c r="AO381" s="2"/>
      <c r="AP381" s="3"/>
      <c r="AQ381" s="2"/>
      <c r="AR381" s="2"/>
      <c r="AS381" s="2"/>
      <c r="AT381" s="7"/>
      <c r="AU381" s="2"/>
      <c r="AV381" s="2"/>
      <c r="AW381" s="2"/>
      <c r="AX381" s="2"/>
    </row>
    <row r="382">
      <c r="A382" s="2"/>
      <c r="B382" s="2"/>
      <c r="C382" s="2"/>
      <c r="D382" s="2"/>
      <c r="E382" s="2"/>
      <c r="F382" s="2"/>
      <c r="G382" s="2"/>
      <c r="H382" s="2"/>
      <c r="I382" s="2"/>
      <c r="J382" s="2"/>
      <c r="K382" s="2"/>
      <c r="L382" s="3"/>
      <c r="M382" s="4"/>
      <c r="N382" s="4"/>
      <c r="O382" s="5"/>
      <c r="P382" s="6"/>
      <c r="Q382" s="3"/>
      <c r="R382" s="2"/>
      <c r="S382" s="2"/>
      <c r="T382" s="2"/>
      <c r="U382" s="2"/>
      <c r="V382" s="3"/>
      <c r="W382" s="2"/>
      <c r="X382" s="2"/>
      <c r="Y382" s="2"/>
      <c r="Z382" s="2"/>
      <c r="AA382" s="3"/>
      <c r="AB382" s="2"/>
      <c r="AC382" s="2"/>
      <c r="AD382" s="2"/>
      <c r="AE382" s="2"/>
      <c r="AF382" s="3"/>
      <c r="AG382" s="2"/>
      <c r="AH382" s="2"/>
      <c r="AI382" s="2"/>
      <c r="AJ382" s="2"/>
      <c r="AK382" s="3"/>
      <c r="AL382" s="2"/>
      <c r="AM382" s="2"/>
      <c r="AN382" s="2"/>
      <c r="AO382" s="2"/>
      <c r="AP382" s="3"/>
      <c r="AQ382" s="2"/>
      <c r="AR382" s="2"/>
      <c r="AS382" s="2"/>
      <c r="AT382" s="7"/>
      <c r="AU382" s="2"/>
      <c r="AV382" s="2"/>
      <c r="AW382" s="2"/>
      <c r="AX382" s="2"/>
    </row>
    <row r="383">
      <c r="A383" s="2"/>
      <c r="B383" s="2"/>
      <c r="C383" s="2"/>
      <c r="D383" s="2"/>
      <c r="E383" s="2"/>
      <c r="F383" s="2"/>
      <c r="G383" s="2"/>
      <c r="H383" s="2"/>
      <c r="I383" s="2"/>
      <c r="J383" s="2"/>
      <c r="K383" s="2"/>
      <c r="L383" s="3"/>
      <c r="M383" s="4"/>
      <c r="N383" s="4"/>
      <c r="O383" s="5"/>
      <c r="P383" s="6"/>
      <c r="Q383" s="3"/>
      <c r="R383" s="2"/>
      <c r="S383" s="2"/>
      <c r="T383" s="2"/>
      <c r="U383" s="2"/>
      <c r="V383" s="3"/>
      <c r="W383" s="2"/>
      <c r="X383" s="2"/>
      <c r="Y383" s="2"/>
      <c r="Z383" s="2"/>
      <c r="AA383" s="3"/>
      <c r="AB383" s="2"/>
      <c r="AC383" s="2"/>
      <c r="AD383" s="2"/>
      <c r="AE383" s="2"/>
      <c r="AF383" s="3"/>
      <c r="AG383" s="2"/>
      <c r="AH383" s="2"/>
      <c r="AI383" s="2"/>
      <c r="AJ383" s="2"/>
      <c r="AK383" s="3"/>
      <c r="AL383" s="2"/>
      <c r="AM383" s="2"/>
      <c r="AN383" s="2"/>
      <c r="AO383" s="2"/>
      <c r="AP383" s="3"/>
      <c r="AQ383" s="2"/>
      <c r="AR383" s="2"/>
      <c r="AS383" s="2"/>
      <c r="AT383" s="7"/>
      <c r="AU383" s="2"/>
      <c r="AV383" s="2"/>
      <c r="AW383" s="2"/>
      <c r="AX383" s="2"/>
    </row>
    <row r="384">
      <c r="A384" s="2"/>
      <c r="B384" s="2"/>
      <c r="C384" s="2"/>
      <c r="D384" s="2"/>
      <c r="E384" s="2"/>
      <c r="F384" s="2"/>
      <c r="G384" s="2"/>
      <c r="H384" s="2"/>
      <c r="I384" s="2"/>
      <c r="J384" s="2"/>
      <c r="K384" s="2"/>
      <c r="L384" s="3"/>
      <c r="M384" s="4"/>
      <c r="N384" s="4"/>
      <c r="O384" s="5"/>
      <c r="P384" s="6"/>
      <c r="Q384" s="3"/>
      <c r="R384" s="2"/>
      <c r="S384" s="2"/>
      <c r="T384" s="2"/>
      <c r="U384" s="2"/>
      <c r="V384" s="3"/>
      <c r="W384" s="2"/>
      <c r="X384" s="2"/>
      <c r="Y384" s="2"/>
      <c r="Z384" s="2"/>
      <c r="AA384" s="3"/>
      <c r="AB384" s="2"/>
      <c r="AC384" s="2"/>
      <c r="AD384" s="2"/>
      <c r="AE384" s="2"/>
      <c r="AF384" s="3"/>
      <c r="AG384" s="2"/>
      <c r="AH384" s="2"/>
      <c r="AI384" s="2"/>
      <c r="AJ384" s="2"/>
      <c r="AK384" s="3"/>
      <c r="AL384" s="2"/>
      <c r="AM384" s="2"/>
      <c r="AN384" s="2"/>
      <c r="AO384" s="2"/>
      <c r="AP384" s="3"/>
      <c r="AQ384" s="2"/>
      <c r="AR384" s="2"/>
      <c r="AS384" s="2"/>
      <c r="AT384" s="7"/>
      <c r="AU384" s="2"/>
      <c r="AV384" s="2"/>
      <c r="AW384" s="2"/>
      <c r="AX384" s="2"/>
    </row>
    <row r="385">
      <c r="A385" s="2"/>
      <c r="B385" s="2"/>
      <c r="C385" s="2"/>
      <c r="D385" s="2"/>
      <c r="E385" s="2"/>
      <c r="F385" s="2"/>
      <c r="G385" s="2"/>
      <c r="H385" s="2"/>
      <c r="I385" s="2"/>
      <c r="J385" s="2"/>
      <c r="K385" s="2"/>
      <c r="L385" s="3"/>
      <c r="M385" s="4"/>
      <c r="N385" s="4"/>
      <c r="O385" s="5"/>
      <c r="P385" s="6"/>
      <c r="Q385" s="3"/>
      <c r="R385" s="2"/>
      <c r="S385" s="2"/>
      <c r="T385" s="2"/>
      <c r="U385" s="2"/>
      <c r="V385" s="3"/>
      <c r="W385" s="2"/>
      <c r="X385" s="2"/>
      <c r="Y385" s="2"/>
      <c r="Z385" s="2"/>
      <c r="AA385" s="3"/>
      <c r="AB385" s="2"/>
      <c r="AC385" s="2"/>
      <c r="AD385" s="2"/>
      <c r="AE385" s="2"/>
      <c r="AF385" s="3"/>
      <c r="AG385" s="2"/>
      <c r="AH385" s="2"/>
      <c r="AI385" s="2"/>
      <c r="AJ385" s="2"/>
      <c r="AK385" s="3"/>
      <c r="AL385" s="2"/>
      <c r="AM385" s="2"/>
      <c r="AN385" s="2"/>
      <c r="AO385" s="2"/>
      <c r="AP385" s="3"/>
      <c r="AQ385" s="2"/>
      <c r="AR385" s="2"/>
      <c r="AS385" s="2"/>
      <c r="AT385" s="7"/>
      <c r="AU385" s="2"/>
      <c r="AV385" s="2"/>
      <c r="AW385" s="2"/>
      <c r="AX385" s="2"/>
    </row>
    <row r="386">
      <c r="A386" s="2"/>
      <c r="B386" s="2"/>
      <c r="C386" s="2"/>
      <c r="D386" s="2"/>
      <c r="E386" s="2"/>
      <c r="F386" s="2"/>
      <c r="G386" s="2"/>
      <c r="H386" s="2"/>
      <c r="I386" s="2"/>
      <c r="J386" s="2"/>
      <c r="K386" s="2"/>
      <c r="L386" s="3"/>
      <c r="M386" s="4"/>
      <c r="N386" s="4"/>
      <c r="O386" s="5"/>
      <c r="P386" s="6"/>
      <c r="Q386" s="3"/>
      <c r="R386" s="2"/>
      <c r="S386" s="2"/>
      <c r="T386" s="2"/>
      <c r="U386" s="2"/>
      <c r="V386" s="3"/>
      <c r="W386" s="2"/>
      <c r="X386" s="2"/>
      <c r="Y386" s="2"/>
      <c r="Z386" s="2"/>
      <c r="AA386" s="3"/>
      <c r="AB386" s="2"/>
      <c r="AC386" s="2"/>
      <c r="AD386" s="2"/>
      <c r="AE386" s="2"/>
      <c r="AF386" s="3"/>
      <c r="AG386" s="2"/>
      <c r="AH386" s="2"/>
      <c r="AI386" s="2"/>
      <c r="AJ386" s="2"/>
      <c r="AK386" s="3"/>
      <c r="AL386" s="2"/>
      <c r="AM386" s="2"/>
      <c r="AN386" s="2"/>
      <c r="AO386" s="2"/>
      <c r="AP386" s="3"/>
      <c r="AQ386" s="2"/>
      <c r="AR386" s="2"/>
      <c r="AS386" s="2"/>
      <c r="AT386" s="7"/>
      <c r="AU386" s="2"/>
      <c r="AV386" s="2"/>
      <c r="AW386" s="2"/>
      <c r="AX386" s="2"/>
    </row>
    <row r="387">
      <c r="A387" s="2"/>
      <c r="B387" s="2"/>
      <c r="C387" s="2"/>
      <c r="D387" s="2"/>
      <c r="E387" s="2"/>
      <c r="F387" s="2"/>
      <c r="G387" s="2"/>
      <c r="H387" s="2"/>
      <c r="I387" s="2"/>
      <c r="J387" s="2"/>
      <c r="K387" s="2"/>
      <c r="L387" s="3"/>
      <c r="M387" s="4"/>
      <c r="N387" s="4"/>
      <c r="O387" s="5"/>
      <c r="P387" s="6"/>
      <c r="Q387" s="3"/>
      <c r="R387" s="2"/>
      <c r="S387" s="2"/>
      <c r="T387" s="2"/>
      <c r="U387" s="2"/>
      <c r="V387" s="3"/>
      <c r="W387" s="2"/>
      <c r="X387" s="2"/>
      <c r="Y387" s="2"/>
      <c r="Z387" s="2"/>
      <c r="AA387" s="3"/>
      <c r="AB387" s="2"/>
      <c r="AC387" s="2"/>
      <c r="AD387" s="2"/>
      <c r="AE387" s="2"/>
      <c r="AF387" s="3"/>
      <c r="AG387" s="2"/>
      <c r="AH387" s="2"/>
      <c r="AI387" s="2"/>
      <c r="AJ387" s="2"/>
      <c r="AK387" s="3"/>
      <c r="AL387" s="2"/>
      <c r="AM387" s="2"/>
      <c r="AN387" s="2"/>
      <c r="AO387" s="2"/>
      <c r="AP387" s="3"/>
      <c r="AQ387" s="2"/>
      <c r="AR387" s="2"/>
      <c r="AS387" s="2"/>
      <c r="AT387" s="7"/>
      <c r="AU387" s="2"/>
      <c r="AV387" s="2"/>
      <c r="AW387" s="2"/>
      <c r="AX387" s="2"/>
    </row>
    <row r="388">
      <c r="A388" s="2"/>
      <c r="B388" s="2"/>
      <c r="C388" s="2"/>
      <c r="D388" s="2"/>
      <c r="E388" s="2"/>
      <c r="F388" s="2"/>
      <c r="G388" s="2"/>
      <c r="H388" s="2"/>
      <c r="I388" s="2"/>
      <c r="J388" s="2"/>
      <c r="K388" s="2"/>
      <c r="L388" s="3"/>
      <c r="M388" s="4"/>
      <c r="N388" s="4"/>
      <c r="O388" s="5"/>
      <c r="P388" s="6"/>
      <c r="Q388" s="3"/>
      <c r="R388" s="2"/>
      <c r="S388" s="2"/>
      <c r="T388" s="2"/>
      <c r="U388" s="2"/>
      <c r="V388" s="3"/>
      <c r="W388" s="2"/>
      <c r="X388" s="2"/>
      <c r="Y388" s="2"/>
      <c r="Z388" s="2"/>
      <c r="AA388" s="3"/>
      <c r="AB388" s="2"/>
      <c r="AC388" s="2"/>
      <c r="AD388" s="2"/>
      <c r="AE388" s="2"/>
      <c r="AF388" s="3"/>
      <c r="AG388" s="2"/>
      <c r="AH388" s="2"/>
      <c r="AI388" s="2"/>
      <c r="AJ388" s="2"/>
      <c r="AK388" s="3"/>
      <c r="AL388" s="2"/>
      <c r="AM388" s="2"/>
      <c r="AN388" s="2"/>
      <c r="AO388" s="2"/>
      <c r="AP388" s="3"/>
      <c r="AQ388" s="2"/>
      <c r="AR388" s="2"/>
      <c r="AS388" s="2"/>
      <c r="AT388" s="7"/>
      <c r="AU388" s="2"/>
      <c r="AV388" s="2"/>
      <c r="AW388" s="2"/>
      <c r="AX388" s="2"/>
    </row>
    <row r="389">
      <c r="A389" s="2"/>
      <c r="B389" s="2"/>
      <c r="C389" s="2"/>
      <c r="D389" s="2"/>
      <c r="E389" s="2"/>
      <c r="F389" s="2"/>
      <c r="G389" s="2"/>
      <c r="H389" s="2"/>
      <c r="I389" s="2"/>
      <c r="J389" s="2"/>
      <c r="K389" s="2"/>
      <c r="L389" s="3"/>
      <c r="M389" s="4"/>
      <c r="N389" s="4"/>
      <c r="O389" s="5"/>
      <c r="P389" s="6"/>
      <c r="Q389" s="3"/>
      <c r="R389" s="2"/>
      <c r="S389" s="2"/>
      <c r="T389" s="2"/>
      <c r="U389" s="2"/>
      <c r="V389" s="3"/>
      <c r="W389" s="2"/>
      <c r="X389" s="2"/>
      <c r="Y389" s="2"/>
      <c r="Z389" s="2"/>
      <c r="AA389" s="3"/>
      <c r="AB389" s="2"/>
      <c r="AC389" s="2"/>
      <c r="AD389" s="2"/>
      <c r="AE389" s="2"/>
      <c r="AF389" s="3"/>
      <c r="AG389" s="2"/>
      <c r="AH389" s="2"/>
      <c r="AI389" s="2"/>
      <c r="AJ389" s="2"/>
      <c r="AK389" s="3"/>
      <c r="AL389" s="2"/>
      <c r="AM389" s="2"/>
      <c r="AN389" s="2"/>
      <c r="AO389" s="2"/>
      <c r="AP389" s="3"/>
      <c r="AQ389" s="2"/>
      <c r="AR389" s="2"/>
      <c r="AS389" s="2"/>
      <c r="AT389" s="7"/>
      <c r="AU389" s="2"/>
      <c r="AV389" s="2"/>
      <c r="AW389" s="2"/>
      <c r="AX389" s="2"/>
    </row>
    <row r="390">
      <c r="A390" s="2"/>
      <c r="B390" s="2"/>
      <c r="C390" s="2"/>
      <c r="D390" s="2"/>
      <c r="E390" s="2"/>
      <c r="F390" s="2"/>
      <c r="G390" s="2"/>
      <c r="H390" s="2"/>
      <c r="I390" s="2"/>
      <c r="J390" s="2"/>
      <c r="K390" s="2"/>
      <c r="L390" s="3"/>
      <c r="M390" s="4"/>
      <c r="N390" s="4"/>
      <c r="O390" s="5"/>
      <c r="P390" s="6"/>
      <c r="Q390" s="3"/>
      <c r="R390" s="2"/>
      <c r="S390" s="2"/>
      <c r="T390" s="2"/>
      <c r="U390" s="2"/>
      <c r="V390" s="3"/>
      <c r="W390" s="2"/>
      <c r="X390" s="2"/>
      <c r="Y390" s="2"/>
      <c r="Z390" s="2"/>
      <c r="AA390" s="3"/>
      <c r="AB390" s="2"/>
      <c r="AC390" s="2"/>
      <c r="AD390" s="2"/>
      <c r="AE390" s="2"/>
      <c r="AF390" s="3"/>
      <c r="AG390" s="2"/>
      <c r="AH390" s="2"/>
      <c r="AI390" s="2"/>
      <c r="AJ390" s="2"/>
      <c r="AK390" s="3"/>
      <c r="AL390" s="2"/>
      <c r="AM390" s="2"/>
      <c r="AN390" s="2"/>
      <c r="AO390" s="2"/>
      <c r="AP390" s="3"/>
      <c r="AQ390" s="2"/>
      <c r="AR390" s="2"/>
      <c r="AS390" s="2"/>
      <c r="AT390" s="7"/>
      <c r="AU390" s="2"/>
      <c r="AV390" s="2"/>
      <c r="AW390" s="2"/>
      <c r="AX390" s="2"/>
    </row>
    <row r="391">
      <c r="A391" s="2"/>
      <c r="B391" s="2"/>
      <c r="C391" s="2"/>
      <c r="D391" s="2"/>
      <c r="E391" s="2"/>
      <c r="F391" s="2"/>
      <c r="G391" s="2"/>
      <c r="H391" s="2"/>
      <c r="I391" s="2"/>
      <c r="J391" s="2"/>
      <c r="K391" s="2"/>
      <c r="L391" s="3"/>
      <c r="M391" s="4"/>
      <c r="N391" s="4"/>
      <c r="O391" s="5"/>
      <c r="P391" s="6"/>
      <c r="Q391" s="3"/>
      <c r="R391" s="2"/>
      <c r="S391" s="2"/>
      <c r="T391" s="2"/>
      <c r="U391" s="2"/>
      <c r="V391" s="3"/>
      <c r="W391" s="2"/>
      <c r="X391" s="2"/>
      <c r="Y391" s="2"/>
      <c r="Z391" s="2"/>
      <c r="AA391" s="3"/>
      <c r="AB391" s="2"/>
      <c r="AC391" s="2"/>
      <c r="AD391" s="2"/>
      <c r="AE391" s="2"/>
      <c r="AF391" s="3"/>
      <c r="AG391" s="2"/>
      <c r="AH391" s="2"/>
      <c r="AI391" s="2"/>
      <c r="AJ391" s="2"/>
      <c r="AK391" s="3"/>
      <c r="AL391" s="2"/>
      <c r="AM391" s="2"/>
      <c r="AN391" s="2"/>
      <c r="AO391" s="2"/>
      <c r="AP391" s="3"/>
      <c r="AQ391" s="2"/>
      <c r="AR391" s="2"/>
      <c r="AS391" s="2"/>
      <c r="AT391" s="7"/>
      <c r="AU391" s="2"/>
      <c r="AV391" s="2"/>
      <c r="AW391" s="2"/>
      <c r="AX391" s="2"/>
    </row>
    <row r="392">
      <c r="A392" s="2"/>
      <c r="B392" s="2"/>
      <c r="C392" s="2"/>
      <c r="D392" s="2"/>
      <c r="E392" s="2"/>
      <c r="F392" s="2"/>
      <c r="G392" s="2"/>
      <c r="H392" s="2"/>
      <c r="I392" s="2"/>
      <c r="J392" s="2"/>
      <c r="K392" s="2"/>
      <c r="L392" s="3"/>
      <c r="M392" s="4"/>
      <c r="N392" s="4"/>
      <c r="O392" s="5"/>
      <c r="P392" s="6"/>
      <c r="Q392" s="3"/>
      <c r="R392" s="2"/>
      <c r="S392" s="2"/>
      <c r="T392" s="2"/>
      <c r="U392" s="2"/>
      <c r="V392" s="3"/>
      <c r="W392" s="2"/>
      <c r="X392" s="2"/>
      <c r="Y392" s="2"/>
      <c r="Z392" s="2"/>
      <c r="AA392" s="3"/>
      <c r="AB392" s="2"/>
      <c r="AC392" s="2"/>
      <c r="AD392" s="2"/>
      <c r="AE392" s="2"/>
      <c r="AF392" s="3"/>
      <c r="AG392" s="2"/>
      <c r="AH392" s="2"/>
      <c r="AI392" s="2"/>
      <c r="AJ392" s="2"/>
      <c r="AK392" s="3"/>
      <c r="AL392" s="2"/>
      <c r="AM392" s="2"/>
      <c r="AN392" s="2"/>
      <c r="AO392" s="2"/>
      <c r="AP392" s="3"/>
      <c r="AQ392" s="2"/>
      <c r="AR392" s="2"/>
      <c r="AS392" s="2"/>
      <c r="AT392" s="7"/>
      <c r="AU392" s="2"/>
      <c r="AV392" s="2"/>
      <c r="AW392" s="2"/>
      <c r="AX392" s="2"/>
    </row>
    <row r="393">
      <c r="A393" s="2"/>
      <c r="B393" s="2"/>
      <c r="C393" s="2"/>
      <c r="D393" s="2"/>
      <c r="E393" s="2"/>
      <c r="F393" s="2"/>
      <c r="G393" s="2"/>
      <c r="H393" s="2"/>
      <c r="I393" s="2"/>
      <c r="J393" s="2"/>
      <c r="K393" s="2"/>
      <c r="L393" s="3"/>
      <c r="M393" s="4"/>
      <c r="N393" s="4"/>
      <c r="O393" s="5"/>
      <c r="P393" s="6"/>
      <c r="Q393" s="3"/>
      <c r="R393" s="2"/>
      <c r="S393" s="2"/>
      <c r="T393" s="2"/>
      <c r="U393" s="2"/>
      <c r="V393" s="3"/>
      <c r="W393" s="2"/>
      <c r="X393" s="2"/>
      <c r="Y393" s="2"/>
      <c r="Z393" s="2"/>
      <c r="AA393" s="3"/>
      <c r="AB393" s="2"/>
      <c r="AC393" s="2"/>
      <c r="AD393" s="2"/>
      <c r="AE393" s="2"/>
      <c r="AF393" s="3"/>
      <c r="AG393" s="2"/>
      <c r="AH393" s="2"/>
      <c r="AI393" s="2"/>
      <c r="AJ393" s="2"/>
      <c r="AK393" s="3"/>
      <c r="AL393" s="2"/>
      <c r="AM393" s="2"/>
      <c r="AN393" s="2"/>
      <c r="AO393" s="2"/>
      <c r="AP393" s="3"/>
      <c r="AQ393" s="2"/>
      <c r="AR393" s="2"/>
      <c r="AS393" s="2"/>
      <c r="AT393" s="7"/>
      <c r="AU393" s="2"/>
      <c r="AV393" s="2"/>
      <c r="AW393" s="2"/>
      <c r="AX393" s="2"/>
    </row>
    <row r="394">
      <c r="A394" s="2"/>
      <c r="B394" s="2"/>
      <c r="C394" s="2"/>
      <c r="D394" s="2"/>
      <c r="E394" s="2"/>
      <c r="F394" s="2"/>
      <c r="G394" s="2"/>
      <c r="H394" s="2"/>
      <c r="I394" s="2"/>
      <c r="J394" s="2"/>
      <c r="K394" s="2"/>
      <c r="L394" s="3"/>
      <c r="M394" s="4"/>
      <c r="N394" s="4"/>
      <c r="O394" s="5"/>
      <c r="P394" s="6"/>
      <c r="Q394" s="3"/>
      <c r="R394" s="2"/>
      <c r="S394" s="2"/>
      <c r="T394" s="2"/>
      <c r="U394" s="2"/>
      <c r="V394" s="3"/>
      <c r="W394" s="2"/>
      <c r="X394" s="2"/>
      <c r="Y394" s="2"/>
      <c r="Z394" s="2"/>
      <c r="AA394" s="3"/>
      <c r="AB394" s="2"/>
      <c r="AC394" s="2"/>
      <c r="AD394" s="2"/>
      <c r="AE394" s="2"/>
      <c r="AF394" s="3"/>
      <c r="AG394" s="2"/>
      <c r="AH394" s="2"/>
      <c r="AI394" s="2"/>
      <c r="AJ394" s="2"/>
      <c r="AK394" s="3"/>
      <c r="AL394" s="2"/>
      <c r="AM394" s="2"/>
      <c r="AN394" s="2"/>
      <c r="AO394" s="2"/>
      <c r="AP394" s="3"/>
      <c r="AQ394" s="2"/>
      <c r="AR394" s="2"/>
      <c r="AS394" s="2"/>
      <c r="AT394" s="7"/>
      <c r="AU394" s="2"/>
      <c r="AV394" s="2"/>
      <c r="AW394" s="2"/>
      <c r="AX394" s="2"/>
    </row>
    <row r="395">
      <c r="A395" s="2"/>
      <c r="B395" s="2"/>
      <c r="C395" s="2"/>
      <c r="D395" s="2"/>
      <c r="E395" s="2"/>
      <c r="F395" s="2"/>
      <c r="G395" s="2"/>
      <c r="H395" s="2"/>
      <c r="I395" s="2"/>
      <c r="J395" s="2"/>
      <c r="K395" s="2"/>
      <c r="L395" s="3"/>
      <c r="M395" s="4"/>
      <c r="N395" s="4"/>
      <c r="O395" s="5"/>
      <c r="P395" s="6"/>
      <c r="Q395" s="3"/>
      <c r="R395" s="2"/>
      <c r="S395" s="2"/>
      <c r="T395" s="2"/>
      <c r="U395" s="2"/>
      <c r="V395" s="3"/>
      <c r="W395" s="2"/>
      <c r="X395" s="2"/>
      <c r="Y395" s="2"/>
      <c r="Z395" s="2"/>
      <c r="AA395" s="3"/>
      <c r="AB395" s="2"/>
      <c r="AC395" s="2"/>
      <c r="AD395" s="2"/>
      <c r="AE395" s="2"/>
      <c r="AF395" s="3"/>
      <c r="AG395" s="2"/>
      <c r="AH395" s="2"/>
      <c r="AI395" s="2"/>
      <c r="AJ395" s="2"/>
      <c r="AK395" s="3"/>
      <c r="AL395" s="2"/>
      <c r="AM395" s="2"/>
      <c r="AN395" s="2"/>
      <c r="AO395" s="2"/>
      <c r="AP395" s="3"/>
      <c r="AQ395" s="2"/>
      <c r="AR395" s="2"/>
      <c r="AS395" s="2"/>
      <c r="AT395" s="7"/>
      <c r="AU395" s="2"/>
      <c r="AV395" s="2"/>
      <c r="AW395" s="2"/>
      <c r="AX395" s="2"/>
    </row>
    <row r="396">
      <c r="A396" s="2"/>
      <c r="B396" s="2"/>
      <c r="C396" s="2"/>
      <c r="D396" s="2"/>
      <c r="E396" s="2"/>
      <c r="F396" s="2"/>
      <c r="G396" s="2"/>
      <c r="H396" s="2"/>
      <c r="I396" s="2"/>
      <c r="J396" s="2"/>
      <c r="K396" s="2"/>
      <c r="L396" s="3"/>
      <c r="M396" s="4"/>
      <c r="N396" s="4"/>
      <c r="O396" s="5"/>
      <c r="P396" s="6"/>
      <c r="Q396" s="3"/>
      <c r="R396" s="2"/>
      <c r="S396" s="2"/>
      <c r="T396" s="2"/>
      <c r="U396" s="2"/>
      <c r="V396" s="3"/>
      <c r="W396" s="2"/>
      <c r="X396" s="2"/>
      <c r="Y396" s="2"/>
      <c r="Z396" s="2"/>
      <c r="AA396" s="3"/>
      <c r="AB396" s="2"/>
      <c r="AC396" s="2"/>
      <c r="AD396" s="2"/>
      <c r="AE396" s="2"/>
      <c r="AF396" s="3"/>
      <c r="AG396" s="2"/>
      <c r="AH396" s="2"/>
      <c r="AI396" s="2"/>
      <c r="AJ396" s="2"/>
      <c r="AK396" s="3"/>
      <c r="AL396" s="2"/>
      <c r="AM396" s="2"/>
      <c r="AN396" s="2"/>
      <c r="AO396" s="2"/>
      <c r="AP396" s="3"/>
      <c r="AQ396" s="2"/>
      <c r="AR396" s="2"/>
      <c r="AS396" s="2"/>
      <c r="AT396" s="7"/>
      <c r="AU396" s="2"/>
      <c r="AV396" s="2"/>
      <c r="AW396" s="2"/>
      <c r="AX396" s="2"/>
    </row>
    <row r="397">
      <c r="A397" s="2"/>
      <c r="B397" s="2"/>
      <c r="C397" s="2"/>
      <c r="D397" s="2"/>
      <c r="E397" s="2"/>
      <c r="F397" s="2"/>
      <c r="G397" s="2"/>
      <c r="H397" s="2"/>
      <c r="I397" s="2"/>
      <c r="J397" s="2"/>
      <c r="K397" s="2"/>
      <c r="L397" s="3"/>
      <c r="M397" s="4"/>
      <c r="N397" s="4"/>
      <c r="O397" s="5"/>
      <c r="P397" s="6"/>
      <c r="Q397" s="3"/>
      <c r="R397" s="2"/>
      <c r="S397" s="2"/>
      <c r="T397" s="2"/>
      <c r="U397" s="2"/>
      <c r="V397" s="3"/>
      <c r="W397" s="2"/>
      <c r="X397" s="2"/>
      <c r="Y397" s="2"/>
      <c r="Z397" s="2"/>
      <c r="AA397" s="3"/>
      <c r="AB397" s="2"/>
      <c r="AC397" s="2"/>
      <c r="AD397" s="2"/>
      <c r="AE397" s="2"/>
      <c r="AF397" s="3"/>
      <c r="AG397" s="2"/>
      <c r="AH397" s="2"/>
      <c r="AI397" s="2"/>
      <c r="AJ397" s="2"/>
      <c r="AK397" s="3"/>
      <c r="AL397" s="2"/>
      <c r="AM397" s="2"/>
      <c r="AN397" s="2"/>
      <c r="AO397" s="2"/>
      <c r="AP397" s="3"/>
      <c r="AQ397" s="2"/>
      <c r="AR397" s="2"/>
      <c r="AS397" s="2"/>
      <c r="AT397" s="7"/>
      <c r="AU397" s="2"/>
      <c r="AV397" s="2"/>
      <c r="AW397" s="2"/>
      <c r="AX397" s="2"/>
    </row>
    <row r="398">
      <c r="A398" s="2"/>
      <c r="B398" s="2"/>
      <c r="C398" s="2"/>
      <c r="D398" s="2"/>
      <c r="E398" s="2"/>
      <c r="F398" s="2"/>
      <c r="G398" s="2"/>
      <c r="H398" s="2"/>
      <c r="I398" s="2"/>
      <c r="J398" s="2"/>
      <c r="K398" s="2"/>
      <c r="L398" s="3"/>
      <c r="M398" s="4"/>
      <c r="N398" s="4"/>
      <c r="O398" s="5"/>
      <c r="P398" s="6"/>
      <c r="Q398" s="3"/>
      <c r="R398" s="2"/>
      <c r="S398" s="2"/>
      <c r="T398" s="2"/>
      <c r="U398" s="2"/>
      <c r="V398" s="3"/>
      <c r="W398" s="2"/>
      <c r="X398" s="2"/>
      <c r="Y398" s="2"/>
      <c r="Z398" s="2"/>
      <c r="AA398" s="3"/>
      <c r="AB398" s="2"/>
      <c r="AC398" s="2"/>
      <c r="AD398" s="2"/>
      <c r="AE398" s="2"/>
      <c r="AF398" s="3"/>
      <c r="AG398" s="2"/>
      <c r="AH398" s="2"/>
      <c r="AI398" s="2"/>
      <c r="AJ398" s="2"/>
      <c r="AK398" s="3"/>
      <c r="AL398" s="2"/>
      <c r="AM398" s="2"/>
      <c r="AN398" s="2"/>
      <c r="AO398" s="2"/>
      <c r="AP398" s="3"/>
      <c r="AQ398" s="2"/>
      <c r="AR398" s="2"/>
      <c r="AS398" s="2"/>
      <c r="AT398" s="7"/>
      <c r="AU398" s="2"/>
      <c r="AV398" s="2"/>
      <c r="AW398" s="2"/>
      <c r="AX398" s="2"/>
    </row>
    <row r="399">
      <c r="A399" s="2"/>
      <c r="B399" s="2"/>
      <c r="C399" s="2"/>
      <c r="D399" s="2"/>
      <c r="E399" s="2"/>
      <c r="F399" s="2"/>
      <c r="G399" s="2"/>
      <c r="H399" s="2"/>
      <c r="I399" s="2"/>
      <c r="J399" s="2"/>
      <c r="K399" s="2"/>
      <c r="L399" s="3"/>
      <c r="M399" s="4"/>
      <c r="N399" s="4"/>
      <c r="O399" s="5"/>
      <c r="P399" s="6"/>
      <c r="Q399" s="3"/>
      <c r="R399" s="2"/>
      <c r="S399" s="2"/>
      <c r="T399" s="2"/>
      <c r="U399" s="2"/>
      <c r="V399" s="3"/>
      <c r="W399" s="2"/>
      <c r="X399" s="2"/>
      <c r="Y399" s="2"/>
      <c r="Z399" s="2"/>
      <c r="AA399" s="3"/>
      <c r="AB399" s="2"/>
      <c r="AC399" s="2"/>
      <c r="AD399" s="2"/>
      <c r="AE399" s="2"/>
      <c r="AF399" s="3"/>
      <c r="AG399" s="2"/>
      <c r="AH399" s="2"/>
      <c r="AI399" s="2"/>
      <c r="AJ399" s="2"/>
      <c r="AK399" s="3"/>
      <c r="AL399" s="2"/>
      <c r="AM399" s="2"/>
      <c r="AN399" s="2"/>
      <c r="AO399" s="2"/>
      <c r="AP399" s="3"/>
      <c r="AQ399" s="2"/>
      <c r="AR399" s="2"/>
      <c r="AS399" s="2"/>
      <c r="AT399" s="7"/>
      <c r="AU399" s="2"/>
      <c r="AV399" s="2"/>
      <c r="AW399" s="2"/>
      <c r="AX399" s="2"/>
    </row>
    <row r="400">
      <c r="A400" s="2"/>
      <c r="B400" s="2"/>
      <c r="C400" s="2"/>
      <c r="D400" s="2"/>
      <c r="E400" s="2"/>
      <c r="F400" s="2"/>
      <c r="G400" s="2"/>
      <c r="H400" s="2"/>
      <c r="I400" s="2"/>
      <c r="J400" s="2"/>
      <c r="K400" s="2"/>
      <c r="L400" s="3"/>
      <c r="M400" s="4"/>
      <c r="N400" s="4"/>
      <c r="O400" s="5"/>
      <c r="P400" s="6"/>
      <c r="Q400" s="3"/>
      <c r="R400" s="2"/>
      <c r="S400" s="2"/>
      <c r="T400" s="2"/>
      <c r="U400" s="2"/>
      <c r="V400" s="3"/>
      <c r="W400" s="2"/>
      <c r="X400" s="2"/>
      <c r="Y400" s="2"/>
      <c r="Z400" s="2"/>
      <c r="AA400" s="3"/>
      <c r="AB400" s="2"/>
      <c r="AC400" s="2"/>
      <c r="AD400" s="2"/>
      <c r="AE400" s="2"/>
      <c r="AF400" s="3"/>
      <c r="AG400" s="2"/>
      <c r="AH400" s="2"/>
      <c r="AI400" s="2"/>
      <c r="AJ400" s="2"/>
      <c r="AK400" s="3"/>
      <c r="AL400" s="2"/>
      <c r="AM400" s="2"/>
      <c r="AN400" s="2"/>
      <c r="AO400" s="2"/>
      <c r="AP400" s="3"/>
      <c r="AQ400" s="2"/>
      <c r="AR400" s="2"/>
      <c r="AS400" s="2"/>
      <c r="AT400" s="7"/>
      <c r="AU400" s="2"/>
      <c r="AV400" s="2"/>
      <c r="AW400" s="2"/>
      <c r="AX400" s="2"/>
    </row>
    <row r="401">
      <c r="A401" s="2"/>
      <c r="B401" s="2"/>
      <c r="C401" s="2"/>
      <c r="D401" s="2"/>
      <c r="E401" s="2"/>
      <c r="F401" s="2"/>
      <c r="G401" s="2"/>
      <c r="H401" s="2"/>
      <c r="I401" s="2"/>
      <c r="J401" s="2"/>
      <c r="K401" s="2"/>
      <c r="L401" s="3"/>
      <c r="M401" s="4"/>
      <c r="N401" s="4"/>
      <c r="O401" s="5"/>
      <c r="P401" s="6"/>
      <c r="Q401" s="3"/>
      <c r="R401" s="2"/>
      <c r="S401" s="2"/>
      <c r="T401" s="2"/>
      <c r="U401" s="2"/>
      <c r="V401" s="3"/>
      <c r="W401" s="2"/>
      <c r="X401" s="2"/>
      <c r="Y401" s="2"/>
      <c r="Z401" s="2"/>
      <c r="AA401" s="3"/>
      <c r="AB401" s="2"/>
      <c r="AC401" s="2"/>
      <c r="AD401" s="2"/>
      <c r="AE401" s="2"/>
      <c r="AF401" s="3"/>
      <c r="AG401" s="2"/>
      <c r="AH401" s="2"/>
      <c r="AI401" s="2"/>
      <c r="AJ401" s="2"/>
      <c r="AK401" s="3"/>
      <c r="AL401" s="2"/>
      <c r="AM401" s="2"/>
      <c r="AN401" s="2"/>
      <c r="AO401" s="2"/>
      <c r="AP401" s="3"/>
      <c r="AQ401" s="2"/>
      <c r="AR401" s="2"/>
      <c r="AS401" s="2"/>
      <c r="AT401" s="7"/>
      <c r="AU401" s="2"/>
      <c r="AV401" s="2"/>
      <c r="AW401" s="2"/>
      <c r="AX401" s="2"/>
    </row>
    <row r="402">
      <c r="A402" s="2"/>
      <c r="B402" s="2"/>
      <c r="C402" s="2"/>
      <c r="D402" s="2"/>
      <c r="E402" s="2"/>
      <c r="F402" s="2"/>
      <c r="G402" s="2"/>
      <c r="H402" s="2"/>
      <c r="I402" s="2"/>
      <c r="J402" s="2"/>
      <c r="K402" s="2"/>
      <c r="L402" s="3"/>
      <c r="M402" s="4"/>
      <c r="N402" s="4"/>
      <c r="O402" s="5"/>
      <c r="P402" s="6"/>
      <c r="Q402" s="3"/>
      <c r="R402" s="2"/>
      <c r="S402" s="2"/>
      <c r="T402" s="2"/>
      <c r="U402" s="2"/>
      <c r="V402" s="3"/>
      <c r="W402" s="2"/>
      <c r="X402" s="2"/>
      <c r="Y402" s="2"/>
      <c r="Z402" s="2"/>
      <c r="AA402" s="3"/>
      <c r="AB402" s="2"/>
      <c r="AC402" s="2"/>
      <c r="AD402" s="2"/>
      <c r="AE402" s="2"/>
      <c r="AF402" s="3"/>
      <c r="AG402" s="2"/>
      <c r="AH402" s="2"/>
      <c r="AI402" s="2"/>
      <c r="AJ402" s="2"/>
      <c r="AK402" s="3"/>
      <c r="AL402" s="2"/>
      <c r="AM402" s="2"/>
      <c r="AN402" s="2"/>
      <c r="AO402" s="2"/>
      <c r="AP402" s="3"/>
      <c r="AQ402" s="2"/>
      <c r="AR402" s="2"/>
      <c r="AS402" s="2"/>
      <c r="AT402" s="7"/>
      <c r="AU402" s="2"/>
      <c r="AV402" s="2"/>
      <c r="AW402" s="2"/>
      <c r="AX402" s="2"/>
    </row>
    <row r="403">
      <c r="A403" s="2"/>
      <c r="B403" s="2"/>
      <c r="C403" s="2"/>
      <c r="D403" s="2"/>
      <c r="E403" s="2"/>
      <c r="F403" s="2"/>
      <c r="G403" s="2"/>
      <c r="H403" s="2"/>
      <c r="I403" s="2"/>
      <c r="J403" s="2"/>
      <c r="K403" s="2"/>
      <c r="L403" s="3"/>
      <c r="M403" s="4"/>
      <c r="N403" s="4"/>
      <c r="O403" s="5"/>
      <c r="P403" s="6"/>
      <c r="Q403" s="3"/>
      <c r="R403" s="2"/>
      <c r="S403" s="2"/>
      <c r="T403" s="2"/>
      <c r="U403" s="2"/>
      <c r="V403" s="3"/>
      <c r="W403" s="2"/>
      <c r="X403" s="2"/>
      <c r="Y403" s="2"/>
      <c r="Z403" s="2"/>
      <c r="AA403" s="3"/>
      <c r="AB403" s="2"/>
      <c r="AC403" s="2"/>
      <c r="AD403" s="2"/>
      <c r="AE403" s="2"/>
      <c r="AF403" s="3"/>
      <c r="AG403" s="2"/>
      <c r="AH403" s="2"/>
      <c r="AI403" s="2"/>
      <c r="AJ403" s="2"/>
      <c r="AK403" s="3"/>
      <c r="AL403" s="2"/>
      <c r="AM403" s="2"/>
      <c r="AN403" s="2"/>
      <c r="AO403" s="2"/>
      <c r="AP403" s="3"/>
      <c r="AQ403" s="2"/>
      <c r="AR403" s="2"/>
      <c r="AS403" s="2"/>
      <c r="AT403" s="7"/>
      <c r="AU403" s="2"/>
      <c r="AV403" s="2"/>
      <c r="AW403" s="2"/>
      <c r="AX403" s="2"/>
    </row>
    <row r="404">
      <c r="A404" s="2"/>
      <c r="B404" s="2"/>
      <c r="C404" s="2"/>
      <c r="D404" s="2"/>
      <c r="E404" s="2"/>
      <c r="F404" s="2"/>
      <c r="G404" s="2"/>
      <c r="H404" s="2"/>
      <c r="I404" s="2"/>
      <c r="J404" s="2"/>
      <c r="K404" s="2"/>
      <c r="L404" s="3"/>
      <c r="M404" s="4"/>
      <c r="N404" s="4"/>
      <c r="O404" s="5"/>
      <c r="P404" s="6"/>
      <c r="Q404" s="3"/>
      <c r="R404" s="2"/>
      <c r="S404" s="2"/>
      <c r="T404" s="2"/>
      <c r="U404" s="2"/>
      <c r="V404" s="3"/>
      <c r="W404" s="2"/>
      <c r="X404" s="2"/>
      <c r="Y404" s="2"/>
      <c r="Z404" s="2"/>
      <c r="AA404" s="3"/>
      <c r="AB404" s="2"/>
      <c r="AC404" s="2"/>
      <c r="AD404" s="2"/>
      <c r="AE404" s="2"/>
      <c r="AF404" s="3"/>
      <c r="AG404" s="2"/>
      <c r="AH404" s="2"/>
      <c r="AI404" s="2"/>
      <c r="AJ404" s="2"/>
      <c r="AK404" s="3"/>
      <c r="AL404" s="2"/>
      <c r="AM404" s="2"/>
      <c r="AN404" s="2"/>
      <c r="AO404" s="2"/>
      <c r="AP404" s="3"/>
      <c r="AQ404" s="2"/>
      <c r="AR404" s="2"/>
      <c r="AS404" s="2"/>
      <c r="AT404" s="7"/>
      <c r="AU404" s="2"/>
      <c r="AV404" s="2"/>
      <c r="AW404" s="2"/>
      <c r="AX404" s="2"/>
    </row>
    <row r="405">
      <c r="A405" s="2"/>
      <c r="B405" s="2"/>
      <c r="C405" s="2"/>
      <c r="D405" s="2"/>
      <c r="E405" s="2"/>
      <c r="F405" s="2"/>
      <c r="G405" s="2"/>
      <c r="H405" s="2"/>
      <c r="I405" s="2"/>
      <c r="J405" s="2"/>
      <c r="K405" s="2"/>
      <c r="L405" s="3"/>
      <c r="M405" s="4"/>
      <c r="N405" s="4"/>
      <c r="O405" s="5"/>
      <c r="P405" s="6"/>
      <c r="Q405" s="3"/>
      <c r="R405" s="2"/>
      <c r="S405" s="2"/>
      <c r="T405" s="2"/>
      <c r="U405" s="2"/>
      <c r="V405" s="3"/>
      <c r="W405" s="2"/>
      <c r="X405" s="2"/>
      <c r="Y405" s="2"/>
      <c r="Z405" s="2"/>
      <c r="AA405" s="3"/>
      <c r="AB405" s="2"/>
      <c r="AC405" s="2"/>
      <c r="AD405" s="2"/>
      <c r="AE405" s="2"/>
      <c r="AF405" s="3"/>
      <c r="AG405" s="2"/>
      <c r="AH405" s="2"/>
      <c r="AI405" s="2"/>
      <c r="AJ405" s="2"/>
      <c r="AK405" s="3"/>
      <c r="AL405" s="2"/>
      <c r="AM405" s="2"/>
      <c r="AN405" s="2"/>
      <c r="AO405" s="2"/>
      <c r="AP405" s="3"/>
      <c r="AQ405" s="2"/>
      <c r="AR405" s="2"/>
      <c r="AS405" s="2"/>
      <c r="AT405" s="7"/>
      <c r="AU405" s="2"/>
      <c r="AV405" s="2"/>
      <c r="AW405" s="2"/>
      <c r="AX405" s="2"/>
    </row>
    <row r="406">
      <c r="A406" s="2"/>
      <c r="B406" s="2"/>
      <c r="C406" s="2"/>
      <c r="D406" s="2"/>
      <c r="E406" s="2"/>
      <c r="F406" s="2"/>
      <c r="G406" s="2"/>
      <c r="H406" s="2"/>
      <c r="I406" s="2"/>
      <c r="J406" s="2"/>
      <c r="K406" s="2"/>
      <c r="L406" s="3"/>
      <c r="M406" s="4"/>
      <c r="N406" s="4"/>
      <c r="O406" s="5"/>
      <c r="P406" s="6"/>
      <c r="Q406" s="3"/>
      <c r="R406" s="2"/>
      <c r="S406" s="2"/>
      <c r="T406" s="2"/>
      <c r="U406" s="2"/>
      <c r="V406" s="3"/>
      <c r="W406" s="2"/>
      <c r="X406" s="2"/>
      <c r="Y406" s="2"/>
      <c r="Z406" s="2"/>
      <c r="AA406" s="3"/>
      <c r="AB406" s="2"/>
      <c r="AC406" s="2"/>
      <c r="AD406" s="2"/>
      <c r="AE406" s="2"/>
      <c r="AF406" s="3"/>
      <c r="AG406" s="2"/>
      <c r="AH406" s="2"/>
      <c r="AI406" s="2"/>
      <c r="AJ406" s="2"/>
      <c r="AK406" s="3"/>
      <c r="AL406" s="2"/>
      <c r="AM406" s="2"/>
      <c r="AN406" s="2"/>
      <c r="AO406" s="2"/>
      <c r="AP406" s="3"/>
      <c r="AQ406" s="2"/>
      <c r="AR406" s="2"/>
      <c r="AS406" s="2"/>
      <c r="AT406" s="7"/>
      <c r="AU406" s="2"/>
      <c r="AV406" s="2"/>
      <c r="AW406" s="2"/>
      <c r="AX406" s="2"/>
    </row>
    <row r="407">
      <c r="A407" s="2"/>
      <c r="B407" s="2"/>
      <c r="C407" s="2"/>
      <c r="D407" s="2"/>
      <c r="E407" s="2"/>
      <c r="F407" s="2"/>
      <c r="G407" s="2"/>
      <c r="H407" s="2"/>
      <c r="I407" s="2"/>
      <c r="J407" s="2"/>
      <c r="K407" s="2"/>
      <c r="L407" s="3"/>
      <c r="M407" s="4"/>
      <c r="N407" s="4"/>
      <c r="O407" s="5"/>
      <c r="P407" s="6"/>
      <c r="Q407" s="3"/>
      <c r="R407" s="2"/>
      <c r="S407" s="2"/>
      <c r="T407" s="2"/>
      <c r="U407" s="2"/>
      <c r="V407" s="3"/>
      <c r="W407" s="2"/>
      <c r="X407" s="2"/>
      <c r="Y407" s="2"/>
      <c r="Z407" s="2"/>
      <c r="AA407" s="3"/>
      <c r="AB407" s="2"/>
      <c r="AC407" s="2"/>
      <c r="AD407" s="2"/>
      <c r="AE407" s="2"/>
      <c r="AF407" s="3"/>
      <c r="AG407" s="2"/>
      <c r="AH407" s="2"/>
      <c r="AI407" s="2"/>
      <c r="AJ407" s="2"/>
      <c r="AK407" s="3"/>
      <c r="AL407" s="2"/>
      <c r="AM407" s="2"/>
      <c r="AN407" s="2"/>
      <c r="AO407" s="2"/>
      <c r="AP407" s="3"/>
      <c r="AQ407" s="2"/>
      <c r="AR407" s="2"/>
      <c r="AS407" s="2"/>
      <c r="AT407" s="7"/>
      <c r="AU407" s="2"/>
      <c r="AV407" s="2"/>
      <c r="AW407" s="2"/>
      <c r="AX407" s="2"/>
    </row>
    <row r="408">
      <c r="A408" s="2"/>
      <c r="B408" s="2"/>
      <c r="C408" s="2"/>
      <c r="D408" s="2"/>
      <c r="E408" s="2"/>
      <c r="F408" s="2"/>
      <c r="G408" s="2"/>
      <c r="H408" s="2"/>
      <c r="I408" s="2"/>
      <c r="J408" s="2"/>
      <c r="K408" s="2"/>
      <c r="L408" s="3"/>
      <c r="M408" s="4"/>
      <c r="N408" s="4"/>
      <c r="O408" s="5"/>
      <c r="P408" s="6"/>
      <c r="Q408" s="3"/>
      <c r="R408" s="2"/>
      <c r="S408" s="2"/>
      <c r="T408" s="2"/>
      <c r="U408" s="2"/>
      <c r="V408" s="3"/>
      <c r="W408" s="2"/>
      <c r="X408" s="2"/>
      <c r="Y408" s="2"/>
      <c r="Z408" s="2"/>
      <c r="AA408" s="3"/>
      <c r="AB408" s="2"/>
      <c r="AC408" s="2"/>
      <c r="AD408" s="2"/>
      <c r="AE408" s="2"/>
      <c r="AF408" s="3"/>
      <c r="AG408" s="2"/>
      <c r="AH408" s="2"/>
      <c r="AI408" s="2"/>
      <c r="AJ408" s="2"/>
      <c r="AK408" s="3"/>
      <c r="AL408" s="2"/>
      <c r="AM408" s="2"/>
      <c r="AN408" s="2"/>
      <c r="AO408" s="2"/>
      <c r="AP408" s="3"/>
      <c r="AQ408" s="2"/>
      <c r="AR408" s="2"/>
      <c r="AS408" s="2"/>
      <c r="AT408" s="7"/>
      <c r="AU408" s="2"/>
      <c r="AV408" s="2"/>
      <c r="AW408" s="2"/>
      <c r="AX408" s="2"/>
    </row>
    <row r="409">
      <c r="A409" s="2"/>
      <c r="B409" s="2"/>
      <c r="C409" s="2"/>
      <c r="D409" s="2"/>
      <c r="E409" s="2"/>
      <c r="F409" s="2"/>
      <c r="G409" s="2"/>
      <c r="H409" s="2"/>
      <c r="I409" s="2"/>
      <c r="J409" s="2"/>
      <c r="K409" s="2"/>
      <c r="L409" s="3"/>
      <c r="M409" s="4"/>
      <c r="N409" s="4"/>
      <c r="O409" s="5"/>
      <c r="P409" s="6"/>
      <c r="Q409" s="3"/>
      <c r="R409" s="2"/>
      <c r="S409" s="2"/>
      <c r="T409" s="2"/>
      <c r="U409" s="2"/>
      <c r="V409" s="3"/>
      <c r="W409" s="2"/>
      <c r="X409" s="2"/>
      <c r="Y409" s="2"/>
      <c r="Z409" s="2"/>
      <c r="AA409" s="3"/>
      <c r="AB409" s="2"/>
      <c r="AC409" s="2"/>
      <c r="AD409" s="2"/>
      <c r="AE409" s="2"/>
      <c r="AF409" s="3"/>
      <c r="AG409" s="2"/>
      <c r="AH409" s="2"/>
      <c r="AI409" s="2"/>
      <c r="AJ409" s="2"/>
      <c r="AK409" s="3"/>
      <c r="AL409" s="2"/>
      <c r="AM409" s="2"/>
      <c r="AN409" s="2"/>
      <c r="AO409" s="2"/>
      <c r="AP409" s="3"/>
      <c r="AQ409" s="2"/>
      <c r="AR409" s="2"/>
      <c r="AS409" s="2"/>
      <c r="AT409" s="7"/>
      <c r="AU409" s="2"/>
      <c r="AV409" s="2"/>
      <c r="AW409" s="2"/>
      <c r="AX409" s="2"/>
    </row>
    <row r="410">
      <c r="A410" s="2"/>
      <c r="B410" s="2"/>
      <c r="C410" s="2"/>
      <c r="D410" s="2"/>
      <c r="E410" s="2"/>
      <c r="F410" s="2"/>
      <c r="G410" s="2"/>
      <c r="H410" s="2"/>
      <c r="I410" s="2"/>
      <c r="J410" s="2"/>
      <c r="K410" s="2"/>
      <c r="L410" s="3"/>
      <c r="M410" s="4"/>
      <c r="N410" s="4"/>
      <c r="O410" s="5"/>
      <c r="P410" s="6"/>
      <c r="Q410" s="3"/>
      <c r="R410" s="2"/>
      <c r="S410" s="2"/>
      <c r="T410" s="2"/>
      <c r="U410" s="2"/>
      <c r="V410" s="3"/>
      <c r="W410" s="2"/>
      <c r="X410" s="2"/>
      <c r="Y410" s="2"/>
      <c r="Z410" s="2"/>
      <c r="AA410" s="3"/>
      <c r="AB410" s="2"/>
      <c r="AC410" s="2"/>
      <c r="AD410" s="2"/>
      <c r="AE410" s="2"/>
      <c r="AF410" s="3"/>
      <c r="AG410" s="2"/>
      <c r="AH410" s="2"/>
      <c r="AI410" s="2"/>
      <c r="AJ410" s="2"/>
      <c r="AK410" s="3"/>
      <c r="AL410" s="2"/>
      <c r="AM410" s="2"/>
      <c r="AN410" s="2"/>
      <c r="AO410" s="2"/>
      <c r="AP410" s="3"/>
      <c r="AQ410" s="2"/>
      <c r="AR410" s="2"/>
      <c r="AS410" s="2"/>
      <c r="AT410" s="7"/>
      <c r="AU410" s="2"/>
      <c r="AV410" s="2"/>
      <c r="AW410" s="2"/>
      <c r="AX410" s="2"/>
    </row>
    <row r="411">
      <c r="A411" s="2"/>
      <c r="B411" s="2"/>
      <c r="C411" s="2"/>
      <c r="D411" s="2"/>
      <c r="E411" s="2"/>
      <c r="F411" s="2"/>
      <c r="G411" s="2"/>
      <c r="H411" s="2"/>
      <c r="I411" s="2"/>
      <c r="J411" s="2"/>
      <c r="K411" s="2"/>
      <c r="L411" s="3"/>
      <c r="M411" s="4"/>
      <c r="N411" s="4"/>
      <c r="O411" s="5"/>
      <c r="P411" s="6"/>
      <c r="Q411" s="3"/>
      <c r="R411" s="2"/>
      <c r="S411" s="2"/>
      <c r="T411" s="2"/>
      <c r="U411" s="2"/>
      <c r="V411" s="3"/>
      <c r="W411" s="2"/>
      <c r="X411" s="2"/>
      <c r="Y411" s="2"/>
      <c r="Z411" s="2"/>
      <c r="AA411" s="3"/>
      <c r="AB411" s="2"/>
      <c r="AC411" s="2"/>
      <c r="AD411" s="2"/>
      <c r="AE411" s="2"/>
      <c r="AF411" s="3"/>
      <c r="AG411" s="2"/>
      <c r="AH411" s="2"/>
      <c r="AI411" s="2"/>
      <c r="AJ411" s="2"/>
      <c r="AK411" s="3"/>
      <c r="AL411" s="2"/>
      <c r="AM411" s="2"/>
      <c r="AN411" s="2"/>
      <c r="AO411" s="2"/>
      <c r="AP411" s="3"/>
      <c r="AQ411" s="2"/>
      <c r="AR411" s="2"/>
      <c r="AS411" s="2"/>
      <c r="AT411" s="7"/>
      <c r="AU411" s="2"/>
      <c r="AV411" s="2"/>
      <c r="AW411" s="2"/>
      <c r="AX411" s="2"/>
    </row>
    <row r="412">
      <c r="A412" s="2"/>
      <c r="B412" s="2"/>
      <c r="C412" s="2"/>
      <c r="D412" s="2"/>
      <c r="E412" s="2"/>
      <c r="F412" s="2"/>
      <c r="G412" s="2"/>
      <c r="H412" s="2"/>
      <c r="I412" s="2"/>
      <c r="J412" s="2"/>
      <c r="K412" s="2"/>
      <c r="L412" s="3"/>
      <c r="M412" s="4"/>
      <c r="N412" s="4"/>
      <c r="O412" s="5"/>
      <c r="P412" s="6"/>
      <c r="Q412" s="3"/>
      <c r="R412" s="2"/>
      <c r="S412" s="2"/>
      <c r="T412" s="2"/>
      <c r="U412" s="2"/>
      <c r="V412" s="3"/>
      <c r="W412" s="2"/>
      <c r="X412" s="2"/>
      <c r="Y412" s="2"/>
      <c r="Z412" s="2"/>
      <c r="AA412" s="3"/>
      <c r="AB412" s="2"/>
      <c r="AC412" s="2"/>
      <c r="AD412" s="2"/>
      <c r="AE412" s="2"/>
      <c r="AF412" s="3"/>
      <c r="AG412" s="2"/>
      <c r="AH412" s="2"/>
      <c r="AI412" s="2"/>
      <c r="AJ412" s="2"/>
      <c r="AK412" s="3"/>
      <c r="AL412" s="2"/>
      <c r="AM412" s="2"/>
      <c r="AN412" s="2"/>
      <c r="AO412" s="2"/>
      <c r="AP412" s="3"/>
      <c r="AQ412" s="2"/>
      <c r="AR412" s="2"/>
      <c r="AS412" s="2"/>
      <c r="AT412" s="7"/>
      <c r="AU412" s="2"/>
      <c r="AV412" s="2"/>
      <c r="AW412" s="2"/>
      <c r="AX412" s="2"/>
    </row>
    <row r="413">
      <c r="A413" s="2"/>
      <c r="B413" s="2"/>
      <c r="C413" s="2"/>
      <c r="D413" s="2"/>
      <c r="E413" s="2"/>
      <c r="F413" s="2"/>
      <c r="G413" s="2"/>
      <c r="H413" s="2"/>
      <c r="I413" s="2"/>
      <c r="J413" s="2"/>
      <c r="K413" s="2"/>
      <c r="L413" s="3"/>
      <c r="M413" s="4"/>
      <c r="N413" s="4"/>
      <c r="O413" s="5"/>
      <c r="P413" s="6"/>
      <c r="Q413" s="3"/>
      <c r="R413" s="2"/>
      <c r="S413" s="2"/>
      <c r="T413" s="2"/>
      <c r="U413" s="2"/>
      <c r="V413" s="3"/>
      <c r="W413" s="2"/>
      <c r="X413" s="2"/>
      <c r="Y413" s="2"/>
      <c r="Z413" s="2"/>
      <c r="AA413" s="3"/>
      <c r="AB413" s="2"/>
      <c r="AC413" s="2"/>
      <c r="AD413" s="2"/>
      <c r="AE413" s="2"/>
      <c r="AF413" s="3"/>
      <c r="AG413" s="2"/>
      <c r="AH413" s="2"/>
      <c r="AI413" s="2"/>
      <c r="AJ413" s="2"/>
      <c r="AK413" s="3"/>
      <c r="AL413" s="2"/>
      <c r="AM413" s="2"/>
      <c r="AN413" s="2"/>
      <c r="AO413" s="2"/>
      <c r="AP413" s="3"/>
      <c r="AQ413" s="2"/>
      <c r="AR413" s="2"/>
      <c r="AS413" s="2"/>
      <c r="AT413" s="7"/>
      <c r="AU413" s="2"/>
      <c r="AV413" s="2"/>
      <c r="AW413" s="2"/>
      <c r="AX413" s="2"/>
    </row>
    <row r="414">
      <c r="A414" s="2"/>
      <c r="B414" s="2"/>
      <c r="C414" s="2"/>
      <c r="D414" s="2"/>
      <c r="E414" s="2"/>
      <c r="F414" s="2"/>
      <c r="G414" s="2"/>
      <c r="H414" s="2"/>
      <c r="I414" s="2"/>
      <c r="J414" s="2"/>
      <c r="K414" s="2"/>
      <c r="L414" s="3"/>
      <c r="M414" s="4"/>
      <c r="N414" s="4"/>
      <c r="O414" s="5"/>
      <c r="P414" s="6"/>
      <c r="Q414" s="3"/>
      <c r="R414" s="2"/>
      <c r="S414" s="2"/>
      <c r="T414" s="2"/>
      <c r="U414" s="2"/>
      <c r="V414" s="3"/>
      <c r="W414" s="2"/>
      <c r="X414" s="2"/>
      <c r="Y414" s="2"/>
      <c r="Z414" s="2"/>
      <c r="AA414" s="3"/>
      <c r="AB414" s="2"/>
      <c r="AC414" s="2"/>
      <c r="AD414" s="2"/>
      <c r="AE414" s="2"/>
      <c r="AF414" s="3"/>
      <c r="AG414" s="2"/>
      <c r="AH414" s="2"/>
      <c r="AI414" s="2"/>
      <c r="AJ414" s="2"/>
      <c r="AK414" s="3"/>
      <c r="AL414" s="2"/>
      <c r="AM414" s="2"/>
      <c r="AN414" s="2"/>
      <c r="AO414" s="2"/>
      <c r="AP414" s="3"/>
      <c r="AQ414" s="2"/>
      <c r="AR414" s="2"/>
      <c r="AS414" s="2"/>
      <c r="AT414" s="7"/>
      <c r="AU414" s="2"/>
      <c r="AV414" s="2"/>
      <c r="AW414" s="2"/>
      <c r="AX414" s="2"/>
    </row>
    <row r="415">
      <c r="A415" s="2"/>
      <c r="B415" s="2"/>
      <c r="C415" s="2"/>
      <c r="D415" s="2"/>
      <c r="E415" s="2"/>
      <c r="F415" s="2"/>
      <c r="G415" s="2"/>
      <c r="H415" s="2"/>
      <c r="I415" s="2"/>
      <c r="J415" s="2"/>
      <c r="K415" s="2"/>
      <c r="L415" s="3"/>
      <c r="M415" s="4"/>
      <c r="N415" s="4"/>
      <c r="O415" s="5"/>
      <c r="P415" s="6"/>
      <c r="Q415" s="3"/>
      <c r="R415" s="2"/>
      <c r="S415" s="2"/>
      <c r="T415" s="2"/>
      <c r="U415" s="2"/>
      <c r="V415" s="3"/>
      <c r="W415" s="2"/>
      <c r="X415" s="2"/>
      <c r="Y415" s="2"/>
      <c r="Z415" s="2"/>
      <c r="AA415" s="3"/>
      <c r="AB415" s="2"/>
      <c r="AC415" s="2"/>
      <c r="AD415" s="2"/>
      <c r="AE415" s="2"/>
      <c r="AF415" s="3"/>
      <c r="AG415" s="2"/>
      <c r="AH415" s="2"/>
      <c r="AI415" s="2"/>
      <c r="AJ415" s="2"/>
      <c r="AK415" s="3"/>
      <c r="AL415" s="2"/>
      <c r="AM415" s="2"/>
      <c r="AN415" s="2"/>
      <c r="AO415" s="2"/>
      <c r="AP415" s="3"/>
      <c r="AQ415" s="2"/>
      <c r="AR415" s="2"/>
      <c r="AS415" s="2"/>
      <c r="AT415" s="7"/>
      <c r="AU415" s="2"/>
      <c r="AV415" s="2"/>
      <c r="AW415" s="2"/>
      <c r="AX415" s="2"/>
    </row>
    <row r="416">
      <c r="A416" s="2"/>
      <c r="B416" s="2"/>
      <c r="C416" s="2"/>
      <c r="D416" s="2"/>
      <c r="E416" s="2"/>
      <c r="F416" s="2"/>
      <c r="G416" s="2"/>
      <c r="H416" s="2"/>
      <c r="I416" s="2"/>
      <c r="J416" s="2"/>
      <c r="K416" s="2"/>
      <c r="L416" s="3"/>
      <c r="M416" s="4"/>
      <c r="N416" s="4"/>
      <c r="O416" s="5"/>
      <c r="P416" s="6"/>
      <c r="Q416" s="3"/>
      <c r="R416" s="2"/>
      <c r="S416" s="2"/>
      <c r="T416" s="2"/>
      <c r="U416" s="2"/>
      <c r="V416" s="3"/>
      <c r="W416" s="2"/>
      <c r="X416" s="2"/>
      <c r="Y416" s="2"/>
      <c r="Z416" s="2"/>
      <c r="AA416" s="3"/>
      <c r="AB416" s="2"/>
      <c r="AC416" s="2"/>
      <c r="AD416" s="2"/>
      <c r="AE416" s="2"/>
      <c r="AF416" s="3"/>
      <c r="AG416" s="2"/>
      <c r="AH416" s="2"/>
      <c r="AI416" s="2"/>
      <c r="AJ416" s="2"/>
      <c r="AK416" s="3"/>
      <c r="AL416" s="2"/>
      <c r="AM416" s="2"/>
      <c r="AN416" s="2"/>
      <c r="AO416" s="2"/>
      <c r="AP416" s="3"/>
      <c r="AQ416" s="2"/>
      <c r="AR416" s="2"/>
      <c r="AS416" s="2"/>
      <c r="AT416" s="7"/>
      <c r="AU416" s="2"/>
      <c r="AV416" s="2"/>
      <c r="AW416" s="2"/>
      <c r="AX416" s="2"/>
    </row>
    <row r="417">
      <c r="A417" s="2"/>
      <c r="B417" s="2"/>
      <c r="C417" s="2"/>
      <c r="D417" s="2"/>
      <c r="E417" s="2"/>
      <c r="F417" s="2"/>
      <c r="G417" s="2"/>
      <c r="H417" s="2"/>
      <c r="I417" s="2"/>
      <c r="J417" s="2"/>
      <c r="K417" s="2"/>
      <c r="L417" s="3"/>
      <c r="M417" s="4"/>
      <c r="N417" s="4"/>
      <c r="O417" s="5"/>
      <c r="P417" s="6"/>
      <c r="Q417" s="3"/>
      <c r="R417" s="2"/>
      <c r="S417" s="2"/>
      <c r="T417" s="2"/>
      <c r="U417" s="2"/>
      <c r="V417" s="3"/>
      <c r="W417" s="2"/>
      <c r="X417" s="2"/>
      <c r="Y417" s="2"/>
      <c r="Z417" s="2"/>
      <c r="AA417" s="3"/>
      <c r="AB417" s="2"/>
      <c r="AC417" s="2"/>
      <c r="AD417" s="2"/>
      <c r="AE417" s="2"/>
      <c r="AF417" s="3"/>
      <c r="AG417" s="2"/>
      <c r="AH417" s="2"/>
      <c r="AI417" s="2"/>
      <c r="AJ417" s="2"/>
      <c r="AK417" s="3"/>
      <c r="AL417" s="2"/>
      <c r="AM417" s="2"/>
      <c r="AN417" s="2"/>
      <c r="AO417" s="2"/>
      <c r="AP417" s="3"/>
      <c r="AQ417" s="2"/>
      <c r="AR417" s="2"/>
      <c r="AS417" s="2"/>
      <c r="AT417" s="7"/>
      <c r="AU417" s="2"/>
      <c r="AV417" s="2"/>
      <c r="AW417" s="2"/>
      <c r="AX417" s="2"/>
    </row>
    <row r="418">
      <c r="A418" s="2"/>
      <c r="B418" s="2"/>
      <c r="C418" s="2"/>
      <c r="D418" s="2"/>
      <c r="E418" s="2"/>
      <c r="F418" s="2"/>
      <c r="G418" s="2"/>
      <c r="H418" s="2"/>
      <c r="I418" s="2"/>
      <c r="J418" s="2"/>
      <c r="K418" s="2"/>
      <c r="L418" s="3"/>
      <c r="M418" s="4"/>
      <c r="N418" s="4"/>
      <c r="O418" s="5"/>
      <c r="P418" s="6"/>
      <c r="Q418" s="3"/>
      <c r="R418" s="2"/>
      <c r="S418" s="2"/>
      <c r="T418" s="2"/>
      <c r="U418" s="2"/>
      <c r="V418" s="3"/>
      <c r="W418" s="2"/>
      <c r="X418" s="2"/>
      <c r="Y418" s="2"/>
      <c r="Z418" s="2"/>
      <c r="AA418" s="3"/>
      <c r="AB418" s="2"/>
      <c r="AC418" s="2"/>
      <c r="AD418" s="2"/>
      <c r="AE418" s="2"/>
      <c r="AF418" s="3"/>
      <c r="AG418" s="2"/>
      <c r="AH418" s="2"/>
      <c r="AI418" s="2"/>
      <c r="AJ418" s="2"/>
      <c r="AK418" s="3"/>
      <c r="AL418" s="2"/>
      <c r="AM418" s="2"/>
      <c r="AN418" s="2"/>
      <c r="AO418" s="2"/>
      <c r="AP418" s="3"/>
      <c r="AQ418" s="2"/>
      <c r="AR418" s="2"/>
      <c r="AS418" s="2"/>
      <c r="AT418" s="7"/>
      <c r="AU418" s="2"/>
      <c r="AV418" s="2"/>
      <c r="AW418" s="2"/>
      <c r="AX418" s="2"/>
    </row>
    <row r="419">
      <c r="A419" s="2"/>
      <c r="B419" s="2"/>
      <c r="C419" s="2"/>
      <c r="D419" s="2"/>
      <c r="E419" s="2"/>
      <c r="F419" s="2"/>
      <c r="G419" s="2"/>
      <c r="H419" s="2"/>
      <c r="I419" s="2"/>
      <c r="J419" s="2"/>
      <c r="K419" s="2"/>
      <c r="L419" s="3"/>
      <c r="M419" s="4"/>
      <c r="N419" s="4"/>
      <c r="O419" s="5"/>
      <c r="P419" s="6"/>
      <c r="Q419" s="3"/>
      <c r="R419" s="2"/>
      <c r="S419" s="2"/>
      <c r="T419" s="2"/>
      <c r="U419" s="2"/>
      <c r="V419" s="3"/>
      <c r="W419" s="2"/>
      <c r="X419" s="2"/>
      <c r="Y419" s="2"/>
      <c r="Z419" s="2"/>
      <c r="AA419" s="3"/>
      <c r="AB419" s="2"/>
      <c r="AC419" s="2"/>
      <c r="AD419" s="2"/>
      <c r="AE419" s="2"/>
      <c r="AF419" s="3"/>
      <c r="AG419" s="2"/>
      <c r="AH419" s="2"/>
      <c r="AI419" s="2"/>
      <c r="AJ419" s="2"/>
      <c r="AK419" s="3"/>
      <c r="AL419" s="2"/>
      <c r="AM419" s="2"/>
      <c r="AN419" s="2"/>
      <c r="AO419" s="2"/>
      <c r="AP419" s="3"/>
      <c r="AQ419" s="2"/>
      <c r="AR419" s="2"/>
      <c r="AS419" s="2"/>
      <c r="AT419" s="7"/>
      <c r="AU419" s="2"/>
      <c r="AV419" s="2"/>
      <c r="AW419" s="2"/>
      <c r="AX419" s="2"/>
    </row>
    <row r="420">
      <c r="A420" s="2"/>
      <c r="B420" s="2"/>
      <c r="C420" s="2"/>
      <c r="D420" s="2"/>
      <c r="E420" s="2"/>
      <c r="F420" s="2"/>
      <c r="G420" s="2"/>
      <c r="H420" s="2"/>
      <c r="I420" s="2"/>
      <c r="J420" s="2"/>
      <c r="K420" s="2"/>
      <c r="L420" s="3"/>
      <c r="M420" s="4"/>
      <c r="N420" s="4"/>
      <c r="O420" s="5"/>
      <c r="P420" s="6"/>
      <c r="Q420" s="3"/>
      <c r="R420" s="2"/>
      <c r="S420" s="2"/>
      <c r="T420" s="2"/>
      <c r="U420" s="2"/>
      <c r="V420" s="3"/>
      <c r="W420" s="2"/>
      <c r="X420" s="2"/>
      <c r="Y420" s="2"/>
      <c r="Z420" s="2"/>
      <c r="AA420" s="3"/>
      <c r="AB420" s="2"/>
      <c r="AC420" s="2"/>
      <c r="AD420" s="2"/>
      <c r="AE420" s="2"/>
      <c r="AF420" s="3"/>
      <c r="AG420" s="2"/>
      <c r="AH420" s="2"/>
      <c r="AI420" s="2"/>
      <c r="AJ420" s="2"/>
      <c r="AK420" s="3"/>
      <c r="AL420" s="2"/>
      <c r="AM420" s="2"/>
      <c r="AN420" s="2"/>
      <c r="AO420" s="2"/>
      <c r="AP420" s="3"/>
      <c r="AQ420" s="2"/>
      <c r="AR420" s="2"/>
      <c r="AS420" s="2"/>
      <c r="AT420" s="7"/>
      <c r="AU420" s="2"/>
      <c r="AV420" s="2"/>
      <c r="AW420" s="2"/>
      <c r="AX420" s="2"/>
    </row>
    <row r="421">
      <c r="A421" s="2"/>
      <c r="B421" s="2"/>
      <c r="C421" s="2"/>
      <c r="D421" s="2"/>
      <c r="E421" s="2"/>
      <c r="F421" s="2"/>
      <c r="G421" s="2"/>
      <c r="H421" s="2"/>
      <c r="I421" s="2"/>
      <c r="J421" s="2"/>
      <c r="K421" s="2"/>
      <c r="L421" s="3"/>
      <c r="M421" s="4"/>
      <c r="N421" s="4"/>
      <c r="O421" s="5"/>
      <c r="P421" s="6"/>
      <c r="Q421" s="3"/>
      <c r="R421" s="2"/>
      <c r="S421" s="2"/>
      <c r="T421" s="2"/>
      <c r="U421" s="2"/>
      <c r="V421" s="3"/>
      <c r="W421" s="2"/>
      <c r="X421" s="2"/>
      <c r="Y421" s="2"/>
      <c r="Z421" s="2"/>
      <c r="AA421" s="3"/>
      <c r="AB421" s="2"/>
      <c r="AC421" s="2"/>
      <c r="AD421" s="2"/>
      <c r="AE421" s="2"/>
      <c r="AF421" s="3"/>
      <c r="AG421" s="2"/>
      <c r="AH421" s="2"/>
      <c r="AI421" s="2"/>
      <c r="AJ421" s="2"/>
      <c r="AK421" s="3"/>
      <c r="AL421" s="2"/>
      <c r="AM421" s="2"/>
      <c r="AN421" s="2"/>
      <c r="AO421" s="2"/>
      <c r="AP421" s="3"/>
      <c r="AQ421" s="2"/>
      <c r="AR421" s="2"/>
      <c r="AS421" s="2"/>
      <c r="AT421" s="7"/>
      <c r="AU421" s="2"/>
      <c r="AV421" s="2"/>
      <c r="AW421" s="2"/>
      <c r="AX421" s="2"/>
    </row>
    <row r="422">
      <c r="A422" s="2"/>
      <c r="B422" s="2"/>
      <c r="C422" s="2"/>
      <c r="D422" s="2"/>
      <c r="E422" s="2"/>
      <c r="F422" s="2"/>
      <c r="G422" s="2"/>
      <c r="H422" s="2"/>
      <c r="I422" s="2"/>
      <c r="J422" s="2"/>
      <c r="K422" s="2"/>
      <c r="L422" s="3"/>
      <c r="M422" s="4"/>
      <c r="N422" s="4"/>
      <c r="O422" s="5"/>
      <c r="P422" s="6"/>
      <c r="Q422" s="3"/>
      <c r="R422" s="2"/>
      <c r="S422" s="2"/>
      <c r="T422" s="2"/>
      <c r="U422" s="2"/>
      <c r="V422" s="3"/>
      <c r="W422" s="2"/>
      <c r="X422" s="2"/>
      <c r="Y422" s="2"/>
      <c r="Z422" s="2"/>
      <c r="AA422" s="3"/>
      <c r="AB422" s="2"/>
      <c r="AC422" s="2"/>
      <c r="AD422" s="2"/>
      <c r="AE422" s="2"/>
      <c r="AF422" s="3"/>
      <c r="AG422" s="2"/>
      <c r="AH422" s="2"/>
      <c r="AI422" s="2"/>
      <c r="AJ422" s="2"/>
      <c r="AK422" s="3"/>
      <c r="AL422" s="2"/>
      <c r="AM422" s="2"/>
      <c r="AN422" s="2"/>
      <c r="AO422" s="2"/>
      <c r="AP422" s="3"/>
      <c r="AQ422" s="2"/>
      <c r="AR422" s="2"/>
      <c r="AS422" s="2"/>
      <c r="AT422" s="7"/>
      <c r="AU422" s="2"/>
      <c r="AV422" s="2"/>
      <c r="AW422" s="2"/>
      <c r="AX422" s="2"/>
    </row>
    <row r="423">
      <c r="A423" s="2"/>
      <c r="B423" s="2"/>
      <c r="C423" s="2"/>
      <c r="D423" s="2"/>
      <c r="E423" s="2"/>
      <c r="F423" s="2"/>
      <c r="G423" s="2"/>
      <c r="H423" s="2"/>
      <c r="I423" s="2"/>
      <c r="J423" s="2"/>
      <c r="K423" s="2"/>
      <c r="L423" s="3"/>
      <c r="M423" s="4"/>
      <c r="N423" s="4"/>
      <c r="O423" s="5"/>
      <c r="P423" s="6"/>
      <c r="Q423" s="3"/>
      <c r="R423" s="2"/>
      <c r="S423" s="2"/>
      <c r="T423" s="2"/>
      <c r="U423" s="2"/>
      <c r="V423" s="3"/>
      <c r="W423" s="2"/>
      <c r="X423" s="2"/>
      <c r="Y423" s="2"/>
      <c r="Z423" s="2"/>
      <c r="AA423" s="3"/>
      <c r="AB423" s="2"/>
      <c r="AC423" s="2"/>
      <c r="AD423" s="2"/>
      <c r="AE423" s="2"/>
      <c r="AF423" s="3"/>
      <c r="AG423" s="2"/>
      <c r="AH423" s="2"/>
      <c r="AI423" s="2"/>
      <c r="AJ423" s="2"/>
      <c r="AK423" s="3"/>
      <c r="AL423" s="2"/>
      <c r="AM423" s="2"/>
      <c r="AN423" s="2"/>
      <c r="AO423" s="2"/>
      <c r="AP423" s="3"/>
      <c r="AQ423" s="2"/>
      <c r="AR423" s="2"/>
      <c r="AS423" s="2"/>
      <c r="AT423" s="7"/>
      <c r="AU423" s="2"/>
      <c r="AV423" s="2"/>
      <c r="AW423" s="2"/>
      <c r="AX423" s="2"/>
    </row>
    <row r="424">
      <c r="A424" s="2"/>
      <c r="B424" s="2"/>
      <c r="C424" s="2"/>
      <c r="D424" s="2"/>
      <c r="E424" s="2"/>
      <c r="F424" s="2"/>
      <c r="G424" s="2"/>
      <c r="H424" s="2"/>
      <c r="I424" s="2"/>
      <c r="J424" s="2"/>
      <c r="K424" s="2"/>
      <c r="L424" s="3"/>
      <c r="M424" s="4"/>
      <c r="N424" s="4"/>
      <c r="O424" s="5"/>
      <c r="P424" s="6"/>
      <c r="Q424" s="3"/>
      <c r="R424" s="2"/>
      <c r="S424" s="2"/>
      <c r="T424" s="2"/>
      <c r="U424" s="2"/>
      <c r="V424" s="3"/>
      <c r="W424" s="2"/>
      <c r="X424" s="2"/>
      <c r="Y424" s="2"/>
      <c r="Z424" s="2"/>
      <c r="AA424" s="3"/>
      <c r="AB424" s="2"/>
      <c r="AC424" s="2"/>
      <c r="AD424" s="2"/>
      <c r="AE424" s="2"/>
      <c r="AF424" s="3"/>
      <c r="AG424" s="2"/>
      <c r="AH424" s="2"/>
      <c r="AI424" s="2"/>
      <c r="AJ424" s="2"/>
      <c r="AK424" s="3"/>
      <c r="AL424" s="2"/>
      <c r="AM424" s="2"/>
      <c r="AN424" s="2"/>
      <c r="AO424" s="2"/>
      <c r="AP424" s="3"/>
      <c r="AQ424" s="2"/>
      <c r="AR424" s="2"/>
      <c r="AS424" s="2"/>
      <c r="AT424" s="7"/>
      <c r="AU424" s="2"/>
      <c r="AV424" s="2"/>
      <c r="AW424" s="2"/>
      <c r="AX424" s="2"/>
    </row>
    <row r="425">
      <c r="A425" s="2"/>
      <c r="B425" s="2"/>
      <c r="C425" s="2"/>
      <c r="D425" s="2"/>
      <c r="E425" s="2"/>
      <c r="F425" s="2"/>
      <c r="G425" s="2"/>
      <c r="H425" s="2"/>
      <c r="I425" s="2"/>
      <c r="J425" s="2"/>
      <c r="K425" s="2"/>
      <c r="L425" s="3"/>
      <c r="M425" s="4"/>
      <c r="N425" s="4"/>
      <c r="O425" s="5"/>
      <c r="P425" s="6"/>
      <c r="Q425" s="3"/>
      <c r="R425" s="2"/>
      <c r="S425" s="2"/>
      <c r="T425" s="2"/>
      <c r="U425" s="2"/>
      <c r="V425" s="3"/>
      <c r="W425" s="2"/>
      <c r="X425" s="2"/>
      <c r="Y425" s="2"/>
      <c r="Z425" s="2"/>
      <c r="AA425" s="3"/>
      <c r="AB425" s="2"/>
      <c r="AC425" s="2"/>
      <c r="AD425" s="2"/>
      <c r="AE425" s="2"/>
      <c r="AF425" s="3"/>
      <c r="AG425" s="2"/>
      <c r="AH425" s="2"/>
      <c r="AI425" s="2"/>
      <c r="AJ425" s="2"/>
      <c r="AK425" s="3"/>
      <c r="AL425" s="2"/>
      <c r="AM425" s="2"/>
      <c r="AN425" s="2"/>
      <c r="AO425" s="2"/>
      <c r="AP425" s="3"/>
      <c r="AQ425" s="2"/>
      <c r="AR425" s="2"/>
      <c r="AS425" s="2"/>
      <c r="AT425" s="7"/>
      <c r="AU425" s="2"/>
      <c r="AV425" s="2"/>
      <c r="AW425" s="2"/>
      <c r="AX425" s="2"/>
    </row>
    <row r="426">
      <c r="A426" s="2"/>
      <c r="B426" s="2"/>
      <c r="C426" s="2"/>
      <c r="D426" s="2"/>
      <c r="E426" s="2"/>
      <c r="F426" s="2"/>
      <c r="G426" s="2"/>
      <c r="H426" s="2"/>
      <c r="I426" s="2"/>
      <c r="J426" s="2"/>
      <c r="K426" s="2"/>
      <c r="L426" s="3"/>
      <c r="M426" s="4"/>
      <c r="N426" s="4"/>
      <c r="O426" s="5"/>
      <c r="P426" s="6"/>
      <c r="Q426" s="3"/>
      <c r="R426" s="2"/>
      <c r="S426" s="2"/>
      <c r="T426" s="2"/>
      <c r="U426" s="2"/>
      <c r="V426" s="3"/>
      <c r="W426" s="2"/>
      <c r="X426" s="2"/>
      <c r="Y426" s="2"/>
      <c r="Z426" s="2"/>
      <c r="AA426" s="3"/>
      <c r="AB426" s="2"/>
      <c r="AC426" s="2"/>
      <c r="AD426" s="2"/>
      <c r="AE426" s="2"/>
      <c r="AF426" s="3"/>
      <c r="AG426" s="2"/>
      <c r="AH426" s="2"/>
      <c r="AI426" s="2"/>
      <c r="AJ426" s="2"/>
      <c r="AK426" s="3"/>
      <c r="AL426" s="2"/>
      <c r="AM426" s="2"/>
      <c r="AN426" s="2"/>
      <c r="AO426" s="2"/>
      <c r="AP426" s="3"/>
      <c r="AQ426" s="2"/>
      <c r="AR426" s="2"/>
      <c r="AS426" s="2"/>
      <c r="AT426" s="7"/>
      <c r="AU426" s="2"/>
      <c r="AV426" s="2"/>
      <c r="AW426" s="2"/>
      <c r="AX426" s="2"/>
    </row>
    <row r="427">
      <c r="A427" s="2"/>
      <c r="B427" s="2"/>
      <c r="C427" s="2"/>
      <c r="D427" s="2"/>
      <c r="E427" s="2"/>
      <c r="F427" s="2"/>
      <c r="G427" s="2"/>
      <c r="H427" s="2"/>
      <c r="I427" s="2"/>
      <c r="J427" s="2"/>
      <c r="K427" s="2"/>
      <c r="L427" s="3"/>
      <c r="M427" s="4"/>
      <c r="N427" s="4"/>
      <c r="O427" s="5"/>
      <c r="P427" s="6"/>
      <c r="Q427" s="3"/>
      <c r="R427" s="2"/>
      <c r="S427" s="2"/>
      <c r="T427" s="2"/>
      <c r="U427" s="2"/>
      <c r="V427" s="3"/>
      <c r="W427" s="2"/>
      <c r="X427" s="2"/>
      <c r="Y427" s="2"/>
      <c r="Z427" s="2"/>
      <c r="AA427" s="3"/>
      <c r="AB427" s="2"/>
      <c r="AC427" s="2"/>
      <c r="AD427" s="2"/>
      <c r="AE427" s="2"/>
      <c r="AF427" s="3"/>
      <c r="AG427" s="2"/>
      <c r="AH427" s="2"/>
      <c r="AI427" s="2"/>
      <c r="AJ427" s="2"/>
      <c r="AK427" s="3"/>
      <c r="AL427" s="2"/>
      <c r="AM427" s="2"/>
      <c r="AN427" s="2"/>
      <c r="AO427" s="2"/>
      <c r="AP427" s="3"/>
      <c r="AQ427" s="2"/>
      <c r="AR427" s="2"/>
      <c r="AS427" s="2"/>
      <c r="AT427" s="7"/>
      <c r="AU427" s="2"/>
      <c r="AV427" s="2"/>
      <c r="AW427" s="2"/>
      <c r="AX427" s="2"/>
    </row>
    <row r="428">
      <c r="A428" s="2"/>
      <c r="B428" s="2"/>
      <c r="C428" s="2"/>
      <c r="D428" s="2"/>
      <c r="E428" s="2"/>
      <c r="F428" s="2"/>
      <c r="G428" s="2"/>
      <c r="H428" s="2"/>
      <c r="I428" s="2"/>
      <c r="J428" s="2"/>
      <c r="K428" s="2"/>
      <c r="L428" s="3"/>
      <c r="M428" s="4"/>
      <c r="N428" s="4"/>
      <c r="O428" s="5"/>
      <c r="P428" s="6"/>
      <c r="Q428" s="3"/>
      <c r="R428" s="2"/>
      <c r="S428" s="2"/>
      <c r="T428" s="2"/>
      <c r="U428" s="2"/>
      <c r="V428" s="3"/>
      <c r="W428" s="2"/>
      <c r="X428" s="2"/>
      <c r="Y428" s="2"/>
      <c r="Z428" s="2"/>
      <c r="AA428" s="3"/>
      <c r="AB428" s="2"/>
      <c r="AC428" s="2"/>
      <c r="AD428" s="2"/>
      <c r="AE428" s="2"/>
      <c r="AF428" s="3"/>
      <c r="AG428" s="2"/>
      <c r="AH428" s="2"/>
      <c r="AI428" s="2"/>
      <c r="AJ428" s="2"/>
      <c r="AK428" s="3"/>
      <c r="AL428" s="2"/>
      <c r="AM428" s="2"/>
      <c r="AN428" s="2"/>
      <c r="AO428" s="2"/>
      <c r="AP428" s="3"/>
      <c r="AQ428" s="2"/>
      <c r="AR428" s="2"/>
      <c r="AS428" s="2"/>
      <c r="AT428" s="7"/>
      <c r="AU428" s="2"/>
      <c r="AV428" s="2"/>
      <c r="AW428" s="2"/>
      <c r="AX428" s="2"/>
    </row>
    <row r="429">
      <c r="A429" s="2"/>
      <c r="B429" s="2"/>
      <c r="C429" s="2"/>
      <c r="D429" s="2"/>
      <c r="E429" s="2"/>
      <c r="F429" s="2"/>
      <c r="G429" s="2"/>
      <c r="H429" s="2"/>
      <c r="I429" s="2"/>
      <c r="J429" s="2"/>
      <c r="K429" s="2"/>
      <c r="L429" s="3"/>
      <c r="M429" s="4"/>
      <c r="N429" s="4"/>
      <c r="O429" s="5"/>
      <c r="P429" s="6"/>
      <c r="Q429" s="3"/>
      <c r="R429" s="2"/>
      <c r="S429" s="2"/>
      <c r="T429" s="2"/>
      <c r="U429" s="2"/>
      <c r="V429" s="3"/>
      <c r="W429" s="2"/>
      <c r="X429" s="2"/>
      <c r="Y429" s="2"/>
      <c r="Z429" s="2"/>
      <c r="AA429" s="3"/>
      <c r="AB429" s="2"/>
      <c r="AC429" s="2"/>
      <c r="AD429" s="2"/>
      <c r="AE429" s="2"/>
      <c r="AF429" s="3"/>
      <c r="AG429" s="2"/>
      <c r="AH429" s="2"/>
      <c r="AI429" s="2"/>
      <c r="AJ429" s="2"/>
      <c r="AK429" s="3"/>
      <c r="AL429" s="2"/>
      <c r="AM429" s="2"/>
      <c r="AN429" s="2"/>
      <c r="AO429" s="2"/>
      <c r="AP429" s="3"/>
      <c r="AQ429" s="2"/>
      <c r="AR429" s="2"/>
      <c r="AS429" s="2"/>
      <c r="AT429" s="7"/>
      <c r="AU429" s="2"/>
      <c r="AV429" s="2"/>
      <c r="AW429" s="2"/>
      <c r="AX429" s="2"/>
    </row>
    <row r="430">
      <c r="A430" s="2"/>
      <c r="B430" s="2"/>
      <c r="C430" s="2"/>
      <c r="D430" s="2"/>
      <c r="E430" s="2"/>
      <c r="F430" s="2"/>
      <c r="G430" s="2"/>
      <c r="H430" s="2"/>
      <c r="I430" s="2"/>
      <c r="J430" s="2"/>
      <c r="K430" s="2"/>
      <c r="L430" s="3"/>
      <c r="M430" s="4"/>
      <c r="N430" s="4"/>
      <c r="O430" s="5"/>
      <c r="P430" s="6"/>
      <c r="Q430" s="3"/>
      <c r="R430" s="2"/>
      <c r="S430" s="2"/>
      <c r="T430" s="2"/>
      <c r="U430" s="2"/>
      <c r="V430" s="3"/>
      <c r="W430" s="2"/>
      <c r="X430" s="2"/>
      <c r="Y430" s="2"/>
      <c r="Z430" s="2"/>
      <c r="AA430" s="3"/>
      <c r="AB430" s="2"/>
      <c r="AC430" s="2"/>
      <c r="AD430" s="2"/>
      <c r="AE430" s="2"/>
      <c r="AF430" s="3"/>
      <c r="AG430" s="2"/>
      <c r="AH430" s="2"/>
      <c r="AI430" s="2"/>
      <c r="AJ430" s="2"/>
      <c r="AK430" s="3"/>
      <c r="AL430" s="2"/>
      <c r="AM430" s="2"/>
      <c r="AN430" s="2"/>
      <c r="AO430" s="2"/>
      <c r="AP430" s="3"/>
      <c r="AQ430" s="2"/>
      <c r="AR430" s="2"/>
      <c r="AS430" s="2"/>
      <c r="AT430" s="7"/>
      <c r="AU430" s="2"/>
      <c r="AV430" s="2"/>
      <c r="AW430" s="2"/>
      <c r="AX430" s="2"/>
    </row>
    <row r="431">
      <c r="A431" s="2"/>
      <c r="B431" s="2"/>
      <c r="C431" s="2"/>
      <c r="D431" s="2"/>
      <c r="E431" s="2"/>
      <c r="F431" s="2"/>
      <c r="G431" s="2"/>
      <c r="H431" s="2"/>
      <c r="I431" s="2"/>
      <c r="J431" s="2"/>
      <c r="K431" s="2"/>
      <c r="L431" s="3"/>
      <c r="M431" s="4"/>
      <c r="N431" s="4"/>
      <c r="O431" s="5"/>
      <c r="P431" s="6"/>
      <c r="Q431" s="3"/>
      <c r="R431" s="2"/>
      <c r="S431" s="2"/>
      <c r="T431" s="2"/>
      <c r="U431" s="2"/>
      <c r="V431" s="3"/>
      <c r="W431" s="2"/>
      <c r="X431" s="2"/>
      <c r="Y431" s="2"/>
      <c r="Z431" s="2"/>
      <c r="AA431" s="3"/>
      <c r="AB431" s="2"/>
      <c r="AC431" s="2"/>
      <c r="AD431" s="2"/>
      <c r="AE431" s="2"/>
      <c r="AF431" s="3"/>
      <c r="AG431" s="2"/>
      <c r="AH431" s="2"/>
      <c r="AI431" s="2"/>
      <c r="AJ431" s="2"/>
      <c r="AK431" s="3"/>
      <c r="AL431" s="2"/>
      <c r="AM431" s="2"/>
      <c r="AN431" s="2"/>
      <c r="AO431" s="2"/>
      <c r="AP431" s="3"/>
      <c r="AQ431" s="2"/>
      <c r="AR431" s="2"/>
      <c r="AS431" s="2"/>
      <c r="AT431" s="7"/>
      <c r="AU431" s="2"/>
      <c r="AV431" s="2"/>
      <c r="AW431" s="2"/>
      <c r="AX431" s="2"/>
    </row>
    <row r="432">
      <c r="A432" s="2"/>
      <c r="B432" s="2"/>
      <c r="C432" s="2"/>
      <c r="D432" s="2"/>
      <c r="E432" s="2"/>
      <c r="F432" s="2"/>
      <c r="G432" s="2"/>
      <c r="H432" s="2"/>
      <c r="I432" s="2"/>
      <c r="J432" s="2"/>
      <c r="K432" s="2"/>
      <c r="L432" s="3"/>
      <c r="M432" s="4"/>
      <c r="N432" s="4"/>
      <c r="O432" s="5"/>
      <c r="P432" s="6"/>
      <c r="Q432" s="3"/>
      <c r="R432" s="2"/>
      <c r="S432" s="2"/>
      <c r="T432" s="2"/>
      <c r="U432" s="2"/>
      <c r="V432" s="3"/>
      <c r="W432" s="2"/>
      <c r="X432" s="2"/>
      <c r="Y432" s="2"/>
      <c r="Z432" s="2"/>
      <c r="AA432" s="3"/>
      <c r="AB432" s="2"/>
      <c r="AC432" s="2"/>
      <c r="AD432" s="2"/>
      <c r="AE432" s="2"/>
      <c r="AF432" s="3"/>
      <c r="AG432" s="2"/>
      <c r="AH432" s="2"/>
      <c r="AI432" s="2"/>
      <c r="AJ432" s="2"/>
      <c r="AK432" s="3"/>
      <c r="AL432" s="2"/>
      <c r="AM432" s="2"/>
      <c r="AN432" s="2"/>
      <c r="AO432" s="2"/>
      <c r="AP432" s="3"/>
      <c r="AQ432" s="2"/>
      <c r="AR432" s="2"/>
      <c r="AS432" s="2"/>
      <c r="AT432" s="7"/>
      <c r="AU432" s="2"/>
      <c r="AV432" s="2"/>
      <c r="AW432" s="2"/>
      <c r="AX432" s="2"/>
    </row>
    <row r="433">
      <c r="A433" s="2"/>
      <c r="B433" s="2"/>
      <c r="C433" s="2"/>
      <c r="D433" s="2"/>
      <c r="E433" s="2"/>
      <c r="F433" s="2"/>
      <c r="G433" s="2"/>
      <c r="H433" s="2"/>
      <c r="I433" s="2"/>
      <c r="J433" s="2"/>
      <c r="K433" s="2"/>
      <c r="L433" s="3"/>
      <c r="M433" s="4"/>
      <c r="N433" s="4"/>
      <c r="O433" s="5"/>
      <c r="P433" s="6"/>
      <c r="Q433" s="3"/>
      <c r="R433" s="2"/>
      <c r="S433" s="2"/>
      <c r="T433" s="2"/>
      <c r="U433" s="2"/>
      <c r="V433" s="3"/>
      <c r="W433" s="2"/>
      <c r="X433" s="2"/>
      <c r="Y433" s="2"/>
      <c r="Z433" s="2"/>
      <c r="AA433" s="3"/>
      <c r="AB433" s="2"/>
      <c r="AC433" s="2"/>
      <c r="AD433" s="2"/>
      <c r="AE433" s="2"/>
      <c r="AF433" s="3"/>
      <c r="AG433" s="2"/>
      <c r="AH433" s="2"/>
      <c r="AI433" s="2"/>
      <c r="AJ433" s="2"/>
      <c r="AK433" s="3"/>
      <c r="AL433" s="2"/>
      <c r="AM433" s="2"/>
      <c r="AN433" s="2"/>
      <c r="AO433" s="2"/>
      <c r="AP433" s="3"/>
      <c r="AQ433" s="2"/>
      <c r="AR433" s="2"/>
      <c r="AS433" s="2"/>
      <c r="AT433" s="7"/>
      <c r="AU433" s="2"/>
      <c r="AV433" s="2"/>
      <c r="AW433" s="2"/>
      <c r="AX433" s="2"/>
    </row>
    <row r="434">
      <c r="A434" s="2"/>
      <c r="B434" s="2"/>
      <c r="C434" s="2"/>
      <c r="D434" s="2"/>
      <c r="E434" s="2"/>
      <c r="F434" s="2"/>
      <c r="G434" s="2"/>
      <c r="H434" s="2"/>
      <c r="I434" s="2"/>
      <c r="J434" s="2"/>
      <c r="K434" s="2"/>
      <c r="L434" s="3"/>
      <c r="M434" s="4"/>
      <c r="N434" s="4"/>
      <c r="O434" s="5"/>
      <c r="P434" s="6"/>
      <c r="Q434" s="3"/>
      <c r="R434" s="2"/>
      <c r="S434" s="2"/>
      <c r="T434" s="2"/>
      <c r="U434" s="2"/>
      <c r="V434" s="3"/>
      <c r="W434" s="2"/>
      <c r="X434" s="2"/>
      <c r="Y434" s="2"/>
      <c r="Z434" s="2"/>
      <c r="AA434" s="3"/>
      <c r="AB434" s="2"/>
      <c r="AC434" s="2"/>
      <c r="AD434" s="2"/>
      <c r="AE434" s="2"/>
      <c r="AF434" s="3"/>
      <c r="AG434" s="2"/>
      <c r="AH434" s="2"/>
      <c r="AI434" s="2"/>
      <c r="AJ434" s="2"/>
      <c r="AK434" s="3"/>
      <c r="AL434" s="2"/>
      <c r="AM434" s="2"/>
      <c r="AN434" s="2"/>
      <c r="AO434" s="2"/>
      <c r="AP434" s="3"/>
      <c r="AQ434" s="2"/>
      <c r="AR434" s="2"/>
      <c r="AS434" s="2"/>
      <c r="AT434" s="7"/>
      <c r="AU434" s="2"/>
      <c r="AV434" s="2"/>
      <c r="AW434" s="2"/>
      <c r="AX434" s="2"/>
    </row>
    <row r="435">
      <c r="A435" s="2"/>
      <c r="B435" s="2"/>
      <c r="C435" s="2"/>
      <c r="D435" s="2"/>
      <c r="E435" s="2"/>
      <c r="F435" s="2"/>
      <c r="G435" s="2"/>
      <c r="H435" s="2"/>
      <c r="I435" s="2"/>
      <c r="J435" s="2"/>
      <c r="K435" s="2"/>
      <c r="L435" s="3"/>
      <c r="M435" s="4"/>
      <c r="N435" s="4"/>
      <c r="O435" s="5"/>
      <c r="P435" s="6"/>
      <c r="Q435" s="3"/>
      <c r="R435" s="2"/>
      <c r="S435" s="2"/>
      <c r="T435" s="2"/>
      <c r="U435" s="2"/>
      <c r="V435" s="3"/>
      <c r="W435" s="2"/>
      <c r="X435" s="2"/>
      <c r="Y435" s="2"/>
      <c r="Z435" s="2"/>
      <c r="AA435" s="3"/>
      <c r="AB435" s="2"/>
      <c r="AC435" s="2"/>
      <c r="AD435" s="2"/>
      <c r="AE435" s="2"/>
      <c r="AF435" s="3"/>
      <c r="AG435" s="2"/>
      <c r="AH435" s="2"/>
      <c r="AI435" s="2"/>
      <c r="AJ435" s="2"/>
      <c r="AK435" s="3"/>
      <c r="AL435" s="2"/>
      <c r="AM435" s="2"/>
      <c r="AN435" s="2"/>
      <c r="AO435" s="2"/>
      <c r="AP435" s="3"/>
      <c r="AQ435" s="2"/>
      <c r="AR435" s="2"/>
      <c r="AS435" s="2"/>
      <c r="AT435" s="7"/>
      <c r="AU435" s="2"/>
      <c r="AV435" s="2"/>
      <c r="AW435" s="2"/>
      <c r="AX435" s="2"/>
    </row>
    <row r="436">
      <c r="A436" s="2"/>
      <c r="B436" s="2"/>
      <c r="C436" s="2"/>
      <c r="D436" s="2"/>
      <c r="E436" s="2"/>
      <c r="F436" s="2"/>
      <c r="G436" s="2"/>
      <c r="H436" s="2"/>
      <c r="I436" s="2"/>
      <c r="J436" s="2"/>
      <c r="K436" s="2"/>
      <c r="L436" s="3"/>
      <c r="M436" s="4"/>
      <c r="N436" s="4"/>
      <c r="O436" s="5"/>
      <c r="P436" s="6"/>
      <c r="Q436" s="3"/>
      <c r="R436" s="2"/>
      <c r="S436" s="2"/>
      <c r="T436" s="2"/>
      <c r="U436" s="2"/>
      <c r="V436" s="3"/>
      <c r="W436" s="2"/>
      <c r="X436" s="2"/>
      <c r="Y436" s="2"/>
      <c r="Z436" s="2"/>
      <c r="AA436" s="3"/>
      <c r="AB436" s="2"/>
      <c r="AC436" s="2"/>
      <c r="AD436" s="2"/>
      <c r="AE436" s="2"/>
      <c r="AF436" s="3"/>
      <c r="AG436" s="2"/>
      <c r="AH436" s="2"/>
      <c r="AI436" s="2"/>
      <c r="AJ436" s="2"/>
      <c r="AK436" s="3"/>
      <c r="AL436" s="2"/>
      <c r="AM436" s="2"/>
      <c r="AN436" s="2"/>
      <c r="AO436" s="2"/>
      <c r="AP436" s="3"/>
      <c r="AQ436" s="2"/>
      <c r="AR436" s="2"/>
      <c r="AS436" s="2"/>
      <c r="AT436" s="7"/>
      <c r="AU436" s="2"/>
      <c r="AV436" s="2"/>
      <c r="AW436" s="2"/>
      <c r="AX436" s="2"/>
    </row>
    <row r="437">
      <c r="A437" s="2"/>
      <c r="B437" s="2"/>
      <c r="C437" s="2"/>
      <c r="D437" s="2"/>
      <c r="E437" s="2"/>
      <c r="F437" s="2"/>
      <c r="G437" s="2"/>
      <c r="H437" s="2"/>
      <c r="I437" s="2"/>
      <c r="J437" s="2"/>
      <c r="K437" s="2"/>
      <c r="L437" s="3"/>
      <c r="M437" s="4"/>
      <c r="N437" s="4"/>
      <c r="O437" s="5"/>
      <c r="P437" s="6"/>
      <c r="Q437" s="3"/>
      <c r="R437" s="2"/>
      <c r="S437" s="2"/>
      <c r="T437" s="2"/>
      <c r="U437" s="2"/>
      <c r="V437" s="3"/>
      <c r="W437" s="2"/>
      <c r="X437" s="2"/>
      <c r="Y437" s="2"/>
      <c r="Z437" s="2"/>
      <c r="AA437" s="3"/>
      <c r="AB437" s="2"/>
      <c r="AC437" s="2"/>
      <c r="AD437" s="2"/>
      <c r="AE437" s="2"/>
      <c r="AF437" s="3"/>
      <c r="AG437" s="2"/>
      <c r="AH437" s="2"/>
      <c r="AI437" s="2"/>
      <c r="AJ437" s="2"/>
      <c r="AK437" s="3"/>
      <c r="AL437" s="2"/>
      <c r="AM437" s="2"/>
      <c r="AN437" s="2"/>
      <c r="AO437" s="2"/>
      <c r="AP437" s="3"/>
      <c r="AQ437" s="2"/>
      <c r="AR437" s="2"/>
      <c r="AS437" s="2"/>
      <c r="AT437" s="7"/>
      <c r="AU437" s="2"/>
      <c r="AV437" s="2"/>
      <c r="AW437" s="2"/>
      <c r="AX437" s="2"/>
    </row>
    <row r="438">
      <c r="A438" s="2"/>
      <c r="B438" s="2"/>
      <c r="C438" s="2"/>
      <c r="D438" s="2"/>
      <c r="E438" s="2"/>
      <c r="F438" s="2"/>
      <c r="G438" s="2"/>
      <c r="H438" s="2"/>
      <c r="I438" s="2"/>
      <c r="J438" s="2"/>
      <c r="K438" s="2"/>
      <c r="L438" s="3"/>
      <c r="M438" s="4"/>
      <c r="N438" s="4"/>
      <c r="O438" s="5"/>
      <c r="P438" s="6"/>
      <c r="Q438" s="3"/>
      <c r="R438" s="2"/>
      <c r="S438" s="2"/>
      <c r="T438" s="2"/>
      <c r="U438" s="2"/>
      <c r="V438" s="3"/>
      <c r="W438" s="2"/>
      <c r="X438" s="2"/>
      <c r="Y438" s="2"/>
      <c r="Z438" s="2"/>
      <c r="AA438" s="3"/>
      <c r="AB438" s="2"/>
      <c r="AC438" s="2"/>
      <c r="AD438" s="2"/>
      <c r="AE438" s="2"/>
      <c r="AF438" s="3"/>
      <c r="AG438" s="2"/>
      <c r="AH438" s="2"/>
      <c r="AI438" s="2"/>
      <c r="AJ438" s="2"/>
      <c r="AK438" s="3"/>
      <c r="AL438" s="2"/>
      <c r="AM438" s="2"/>
      <c r="AN438" s="2"/>
      <c r="AO438" s="2"/>
      <c r="AP438" s="3"/>
      <c r="AQ438" s="2"/>
      <c r="AR438" s="2"/>
      <c r="AS438" s="2"/>
      <c r="AT438" s="7"/>
      <c r="AU438" s="2"/>
      <c r="AV438" s="2"/>
      <c r="AW438" s="2"/>
      <c r="AX438" s="2"/>
    </row>
    <row r="439">
      <c r="A439" s="2"/>
      <c r="B439" s="2"/>
      <c r="C439" s="2"/>
      <c r="D439" s="2"/>
      <c r="E439" s="2"/>
      <c r="F439" s="2"/>
      <c r="G439" s="2"/>
      <c r="H439" s="2"/>
      <c r="I439" s="2"/>
      <c r="J439" s="2"/>
      <c r="K439" s="2"/>
      <c r="L439" s="3"/>
      <c r="M439" s="4"/>
      <c r="N439" s="4"/>
      <c r="O439" s="5"/>
      <c r="P439" s="6"/>
      <c r="Q439" s="3"/>
      <c r="R439" s="2"/>
      <c r="S439" s="2"/>
      <c r="T439" s="2"/>
      <c r="U439" s="2"/>
      <c r="V439" s="3"/>
      <c r="W439" s="2"/>
      <c r="X439" s="2"/>
      <c r="Y439" s="2"/>
      <c r="Z439" s="2"/>
      <c r="AA439" s="3"/>
      <c r="AB439" s="2"/>
      <c r="AC439" s="2"/>
      <c r="AD439" s="2"/>
      <c r="AE439" s="2"/>
      <c r="AF439" s="3"/>
      <c r="AG439" s="2"/>
      <c r="AH439" s="2"/>
      <c r="AI439" s="2"/>
      <c r="AJ439" s="2"/>
      <c r="AK439" s="3"/>
      <c r="AL439" s="2"/>
      <c r="AM439" s="2"/>
      <c r="AN439" s="2"/>
      <c r="AO439" s="2"/>
      <c r="AP439" s="3"/>
      <c r="AQ439" s="2"/>
      <c r="AR439" s="2"/>
      <c r="AS439" s="2"/>
      <c r="AT439" s="7"/>
      <c r="AU439" s="2"/>
      <c r="AV439" s="2"/>
      <c r="AW439" s="2"/>
      <c r="AX439" s="2"/>
    </row>
    <row r="440">
      <c r="A440" s="2"/>
      <c r="B440" s="2"/>
      <c r="C440" s="2"/>
      <c r="D440" s="2"/>
      <c r="E440" s="2"/>
      <c r="F440" s="2"/>
      <c r="G440" s="2"/>
      <c r="H440" s="2"/>
      <c r="I440" s="2"/>
      <c r="J440" s="2"/>
      <c r="K440" s="2"/>
      <c r="L440" s="3"/>
      <c r="M440" s="4"/>
      <c r="N440" s="4"/>
      <c r="O440" s="5"/>
      <c r="P440" s="6"/>
      <c r="Q440" s="3"/>
      <c r="R440" s="2"/>
      <c r="S440" s="2"/>
      <c r="T440" s="2"/>
      <c r="U440" s="2"/>
      <c r="V440" s="3"/>
      <c r="W440" s="2"/>
      <c r="X440" s="2"/>
      <c r="Y440" s="2"/>
      <c r="Z440" s="2"/>
      <c r="AA440" s="3"/>
      <c r="AB440" s="2"/>
      <c r="AC440" s="2"/>
      <c r="AD440" s="2"/>
      <c r="AE440" s="2"/>
      <c r="AF440" s="3"/>
      <c r="AG440" s="2"/>
      <c r="AH440" s="2"/>
      <c r="AI440" s="2"/>
      <c r="AJ440" s="2"/>
      <c r="AK440" s="3"/>
      <c r="AL440" s="2"/>
      <c r="AM440" s="2"/>
      <c r="AN440" s="2"/>
      <c r="AO440" s="2"/>
      <c r="AP440" s="3"/>
      <c r="AQ440" s="2"/>
      <c r="AR440" s="2"/>
      <c r="AS440" s="2"/>
      <c r="AT440" s="7"/>
      <c r="AU440" s="2"/>
      <c r="AV440" s="2"/>
      <c r="AW440" s="2"/>
      <c r="AX440" s="2"/>
    </row>
    <row r="441">
      <c r="A441" s="2"/>
      <c r="B441" s="2"/>
      <c r="C441" s="2"/>
      <c r="D441" s="2"/>
      <c r="E441" s="2"/>
      <c r="F441" s="2"/>
      <c r="G441" s="2"/>
      <c r="H441" s="2"/>
      <c r="I441" s="2"/>
      <c r="J441" s="2"/>
      <c r="K441" s="2"/>
      <c r="L441" s="3"/>
      <c r="M441" s="4"/>
      <c r="N441" s="4"/>
      <c r="O441" s="5"/>
      <c r="P441" s="6"/>
      <c r="Q441" s="3"/>
      <c r="R441" s="2"/>
      <c r="S441" s="2"/>
      <c r="T441" s="2"/>
      <c r="U441" s="2"/>
      <c r="V441" s="3"/>
      <c r="W441" s="2"/>
      <c r="X441" s="2"/>
      <c r="Y441" s="2"/>
      <c r="Z441" s="2"/>
      <c r="AA441" s="3"/>
      <c r="AB441" s="2"/>
      <c r="AC441" s="2"/>
      <c r="AD441" s="2"/>
      <c r="AE441" s="2"/>
      <c r="AF441" s="3"/>
      <c r="AG441" s="2"/>
      <c r="AH441" s="2"/>
      <c r="AI441" s="2"/>
      <c r="AJ441" s="2"/>
      <c r="AK441" s="3"/>
      <c r="AL441" s="2"/>
      <c r="AM441" s="2"/>
      <c r="AN441" s="2"/>
      <c r="AO441" s="2"/>
      <c r="AP441" s="3"/>
      <c r="AQ441" s="2"/>
      <c r="AR441" s="2"/>
      <c r="AS441" s="2"/>
      <c r="AT441" s="7"/>
      <c r="AU441" s="2"/>
      <c r="AV441" s="2"/>
      <c r="AW441" s="2"/>
      <c r="AX441" s="2"/>
    </row>
    <row r="442">
      <c r="A442" s="2"/>
      <c r="B442" s="2"/>
      <c r="C442" s="2"/>
      <c r="D442" s="2"/>
      <c r="E442" s="2"/>
      <c r="F442" s="2"/>
      <c r="G442" s="2"/>
      <c r="H442" s="2"/>
      <c r="I442" s="2"/>
      <c r="J442" s="2"/>
      <c r="K442" s="2"/>
      <c r="L442" s="3"/>
      <c r="M442" s="4"/>
      <c r="N442" s="4"/>
      <c r="O442" s="5"/>
      <c r="P442" s="6"/>
      <c r="Q442" s="3"/>
      <c r="R442" s="2"/>
      <c r="S442" s="2"/>
      <c r="T442" s="2"/>
      <c r="U442" s="2"/>
      <c r="V442" s="3"/>
      <c r="W442" s="2"/>
      <c r="X442" s="2"/>
      <c r="Y442" s="2"/>
      <c r="Z442" s="2"/>
      <c r="AA442" s="3"/>
      <c r="AB442" s="2"/>
      <c r="AC442" s="2"/>
      <c r="AD442" s="2"/>
      <c r="AE442" s="2"/>
      <c r="AF442" s="3"/>
      <c r="AG442" s="2"/>
      <c r="AH442" s="2"/>
      <c r="AI442" s="2"/>
      <c r="AJ442" s="2"/>
      <c r="AK442" s="3"/>
      <c r="AL442" s="2"/>
      <c r="AM442" s="2"/>
      <c r="AN442" s="2"/>
      <c r="AO442" s="2"/>
      <c r="AP442" s="3"/>
      <c r="AQ442" s="2"/>
      <c r="AR442" s="2"/>
      <c r="AS442" s="2"/>
      <c r="AT442" s="7"/>
      <c r="AU442" s="2"/>
      <c r="AV442" s="2"/>
      <c r="AW442" s="2"/>
      <c r="AX442" s="2"/>
    </row>
    <row r="443">
      <c r="A443" s="2"/>
      <c r="B443" s="2"/>
      <c r="C443" s="2"/>
      <c r="D443" s="2"/>
      <c r="E443" s="2"/>
      <c r="F443" s="2"/>
      <c r="G443" s="2"/>
      <c r="H443" s="2"/>
      <c r="I443" s="2"/>
      <c r="J443" s="2"/>
      <c r="K443" s="2"/>
      <c r="L443" s="3"/>
      <c r="M443" s="4"/>
      <c r="N443" s="4"/>
      <c r="O443" s="5"/>
      <c r="P443" s="6"/>
      <c r="Q443" s="3"/>
      <c r="R443" s="2"/>
      <c r="S443" s="2"/>
      <c r="T443" s="2"/>
      <c r="U443" s="2"/>
      <c r="V443" s="3"/>
      <c r="W443" s="2"/>
      <c r="X443" s="2"/>
      <c r="Y443" s="2"/>
      <c r="Z443" s="2"/>
      <c r="AA443" s="3"/>
      <c r="AB443" s="2"/>
      <c r="AC443" s="2"/>
      <c r="AD443" s="2"/>
      <c r="AE443" s="2"/>
      <c r="AF443" s="3"/>
      <c r="AG443" s="2"/>
      <c r="AH443" s="2"/>
      <c r="AI443" s="2"/>
      <c r="AJ443" s="2"/>
      <c r="AK443" s="3"/>
      <c r="AL443" s="2"/>
      <c r="AM443" s="2"/>
      <c r="AN443" s="2"/>
      <c r="AO443" s="2"/>
      <c r="AP443" s="3"/>
      <c r="AQ443" s="2"/>
      <c r="AR443" s="2"/>
      <c r="AS443" s="2"/>
      <c r="AT443" s="7"/>
      <c r="AU443" s="2"/>
      <c r="AV443" s="2"/>
      <c r="AW443" s="2"/>
      <c r="AX443" s="2"/>
    </row>
    <row r="444">
      <c r="A444" s="2"/>
      <c r="B444" s="2"/>
      <c r="C444" s="2"/>
      <c r="D444" s="2"/>
      <c r="E444" s="2"/>
      <c r="F444" s="2"/>
      <c r="G444" s="2"/>
      <c r="H444" s="2"/>
      <c r="I444" s="2"/>
      <c r="J444" s="2"/>
      <c r="K444" s="2"/>
      <c r="L444" s="3"/>
      <c r="M444" s="4"/>
      <c r="N444" s="4"/>
      <c r="O444" s="5"/>
      <c r="P444" s="6"/>
      <c r="Q444" s="3"/>
      <c r="R444" s="2"/>
      <c r="S444" s="2"/>
      <c r="T444" s="2"/>
      <c r="U444" s="2"/>
      <c r="V444" s="3"/>
      <c r="W444" s="2"/>
      <c r="X444" s="2"/>
      <c r="Y444" s="2"/>
      <c r="Z444" s="2"/>
      <c r="AA444" s="3"/>
      <c r="AB444" s="2"/>
      <c r="AC444" s="2"/>
      <c r="AD444" s="2"/>
      <c r="AE444" s="2"/>
      <c r="AF444" s="3"/>
      <c r="AG444" s="2"/>
      <c r="AH444" s="2"/>
      <c r="AI444" s="2"/>
      <c r="AJ444" s="2"/>
      <c r="AK444" s="3"/>
      <c r="AL444" s="2"/>
      <c r="AM444" s="2"/>
      <c r="AN444" s="2"/>
      <c r="AO444" s="2"/>
      <c r="AP444" s="3"/>
      <c r="AQ444" s="2"/>
      <c r="AR444" s="2"/>
      <c r="AS444" s="2"/>
      <c r="AT444" s="7"/>
      <c r="AU444" s="2"/>
      <c r="AV444" s="2"/>
      <c r="AW444" s="2"/>
      <c r="AX444" s="2"/>
    </row>
    <row r="445">
      <c r="A445" s="2"/>
      <c r="B445" s="2"/>
      <c r="C445" s="2"/>
      <c r="D445" s="2"/>
      <c r="E445" s="2"/>
      <c r="F445" s="2"/>
      <c r="G445" s="2"/>
      <c r="H445" s="2"/>
      <c r="I445" s="2"/>
      <c r="J445" s="2"/>
      <c r="K445" s="2"/>
      <c r="L445" s="3"/>
      <c r="M445" s="4"/>
      <c r="N445" s="4"/>
      <c r="O445" s="5"/>
      <c r="P445" s="6"/>
      <c r="Q445" s="3"/>
      <c r="R445" s="2"/>
      <c r="S445" s="2"/>
      <c r="T445" s="2"/>
      <c r="U445" s="2"/>
      <c r="V445" s="3"/>
      <c r="W445" s="2"/>
      <c r="X445" s="2"/>
      <c r="Y445" s="2"/>
      <c r="Z445" s="2"/>
      <c r="AA445" s="3"/>
      <c r="AB445" s="2"/>
      <c r="AC445" s="2"/>
      <c r="AD445" s="2"/>
      <c r="AE445" s="2"/>
      <c r="AF445" s="3"/>
      <c r="AG445" s="2"/>
      <c r="AH445" s="2"/>
      <c r="AI445" s="2"/>
      <c r="AJ445" s="2"/>
      <c r="AK445" s="3"/>
      <c r="AL445" s="2"/>
      <c r="AM445" s="2"/>
      <c r="AN445" s="2"/>
      <c r="AO445" s="2"/>
      <c r="AP445" s="3"/>
      <c r="AQ445" s="2"/>
      <c r="AR445" s="2"/>
      <c r="AS445" s="2"/>
      <c r="AT445" s="7"/>
      <c r="AU445" s="2"/>
      <c r="AV445" s="2"/>
      <c r="AW445" s="2"/>
      <c r="AX445" s="2"/>
    </row>
    <row r="446">
      <c r="A446" s="2"/>
      <c r="B446" s="2"/>
      <c r="C446" s="2"/>
      <c r="D446" s="2"/>
      <c r="E446" s="2"/>
      <c r="F446" s="2"/>
      <c r="G446" s="2"/>
      <c r="H446" s="2"/>
      <c r="I446" s="2"/>
      <c r="J446" s="2"/>
      <c r="K446" s="2"/>
      <c r="L446" s="3"/>
      <c r="M446" s="4"/>
      <c r="N446" s="4"/>
      <c r="O446" s="5"/>
      <c r="P446" s="6"/>
      <c r="Q446" s="3"/>
      <c r="R446" s="2"/>
      <c r="S446" s="2"/>
      <c r="T446" s="2"/>
      <c r="U446" s="2"/>
      <c r="V446" s="3"/>
      <c r="W446" s="2"/>
      <c r="X446" s="2"/>
      <c r="Y446" s="2"/>
      <c r="Z446" s="2"/>
      <c r="AA446" s="3"/>
      <c r="AB446" s="2"/>
      <c r="AC446" s="2"/>
      <c r="AD446" s="2"/>
      <c r="AE446" s="2"/>
      <c r="AF446" s="3"/>
      <c r="AG446" s="2"/>
      <c r="AH446" s="2"/>
      <c r="AI446" s="2"/>
      <c r="AJ446" s="2"/>
      <c r="AK446" s="3"/>
      <c r="AL446" s="2"/>
      <c r="AM446" s="2"/>
      <c r="AN446" s="2"/>
      <c r="AO446" s="2"/>
      <c r="AP446" s="3"/>
      <c r="AQ446" s="2"/>
      <c r="AR446" s="2"/>
      <c r="AS446" s="2"/>
      <c r="AT446" s="7"/>
      <c r="AU446" s="2"/>
      <c r="AV446" s="2"/>
      <c r="AW446" s="2"/>
      <c r="AX446" s="2"/>
    </row>
    <row r="447">
      <c r="A447" s="2"/>
      <c r="B447" s="2"/>
      <c r="C447" s="2"/>
      <c r="D447" s="2"/>
      <c r="E447" s="2"/>
      <c r="F447" s="2"/>
      <c r="G447" s="2"/>
      <c r="H447" s="2"/>
      <c r="I447" s="2"/>
      <c r="J447" s="2"/>
      <c r="K447" s="2"/>
      <c r="L447" s="3"/>
      <c r="M447" s="4"/>
      <c r="N447" s="4"/>
      <c r="O447" s="5"/>
      <c r="P447" s="6"/>
      <c r="Q447" s="3"/>
      <c r="R447" s="2"/>
      <c r="S447" s="2"/>
      <c r="T447" s="2"/>
      <c r="U447" s="2"/>
      <c r="V447" s="3"/>
      <c r="W447" s="2"/>
      <c r="X447" s="2"/>
      <c r="Y447" s="2"/>
      <c r="Z447" s="2"/>
      <c r="AA447" s="3"/>
      <c r="AB447" s="2"/>
      <c r="AC447" s="2"/>
      <c r="AD447" s="2"/>
      <c r="AE447" s="2"/>
      <c r="AF447" s="3"/>
      <c r="AG447" s="2"/>
      <c r="AH447" s="2"/>
      <c r="AI447" s="2"/>
      <c r="AJ447" s="2"/>
      <c r="AK447" s="3"/>
      <c r="AL447" s="2"/>
      <c r="AM447" s="2"/>
      <c r="AN447" s="2"/>
      <c r="AO447" s="2"/>
      <c r="AP447" s="3"/>
      <c r="AQ447" s="2"/>
      <c r="AR447" s="2"/>
      <c r="AS447" s="2"/>
      <c r="AT447" s="7"/>
      <c r="AU447" s="2"/>
      <c r="AV447" s="2"/>
      <c r="AW447" s="2"/>
      <c r="AX447" s="2"/>
    </row>
    <row r="448">
      <c r="A448" s="2"/>
      <c r="B448" s="2"/>
      <c r="C448" s="2"/>
      <c r="D448" s="2"/>
      <c r="E448" s="2"/>
      <c r="F448" s="2"/>
      <c r="G448" s="2"/>
      <c r="H448" s="2"/>
      <c r="I448" s="2"/>
      <c r="J448" s="2"/>
      <c r="K448" s="2"/>
      <c r="L448" s="3"/>
      <c r="M448" s="4"/>
      <c r="N448" s="4"/>
      <c r="O448" s="5"/>
      <c r="P448" s="6"/>
      <c r="Q448" s="3"/>
      <c r="R448" s="2"/>
      <c r="S448" s="2"/>
      <c r="T448" s="2"/>
      <c r="U448" s="2"/>
      <c r="V448" s="3"/>
      <c r="W448" s="2"/>
      <c r="X448" s="2"/>
      <c r="Y448" s="2"/>
      <c r="Z448" s="2"/>
      <c r="AA448" s="3"/>
      <c r="AB448" s="2"/>
      <c r="AC448" s="2"/>
      <c r="AD448" s="2"/>
      <c r="AE448" s="2"/>
      <c r="AF448" s="3"/>
      <c r="AG448" s="2"/>
      <c r="AH448" s="2"/>
      <c r="AI448" s="2"/>
      <c r="AJ448" s="2"/>
      <c r="AK448" s="3"/>
      <c r="AL448" s="2"/>
      <c r="AM448" s="2"/>
      <c r="AN448" s="2"/>
      <c r="AO448" s="2"/>
      <c r="AP448" s="3"/>
      <c r="AQ448" s="2"/>
      <c r="AR448" s="2"/>
      <c r="AS448" s="2"/>
      <c r="AT448" s="7"/>
      <c r="AU448" s="2"/>
      <c r="AV448" s="2"/>
      <c r="AW448" s="2"/>
      <c r="AX448" s="2"/>
    </row>
    <row r="449">
      <c r="A449" s="2"/>
      <c r="B449" s="2"/>
      <c r="C449" s="2"/>
      <c r="D449" s="2"/>
      <c r="E449" s="2"/>
      <c r="F449" s="2"/>
      <c r="G449" s="2"/>
      <c r="H449" s="2"/>
      <c r="I449" s="2"/>
      <c r="J449" s="2"/>
      <c r="K449" s="2"/>
      <c r="L449" s="3"/>
      <c r="M449" s="4"/>
      <c r="N449" s="4"/>
      <c r="O449" s="5"/>
      <c r="P449" s="6"/>
      <c r="Q449" s="3"/>
      <c r="R449" s="2"/>
      <c r="S449" s="2"/>
      <c r="T449" s="2"/>
      <c r="U449" s="2"/>
      <c r="V449" s="3"/>
      <c r="W449" s="2"/>
      <c r="X449" s="2"/>
      <c r="Y449" s="2"/>
      <c r="Z449" s="2"/>
      <c r="AA449" s="3"/>
      <c r="AB449" s="2"/>
      <c r="AC449" s="2"/>
      <c r="AD449" s="2"/>
      <c r="AE449" s="2"/>
      <c r="AF449" s="3"/>
      <c r="AG449" s="2"/>
      <c r="AH449" s="2"/>
      <c r="AI449" s="2"/>
      <c r="AJ449" s="2"/>
      <c r="AK449" s="3"/>
      <c r="AL449" s="2"/>
      <c r="AM449" s="2"/>
      <c r="AN449" s="2"/>
      <c r="AO449" s="2"/>
      <c r="AP449" s="3"/>
      <c r="AQ449" s="2"/>
      <c r="AR449" s="2"/>
      <c r="AS449" s="2"/>
      <c r="AT449" s="7"/>
      <c r="AU449" s="2"/>
      <c r="AV449" s="2"/>
      <c r="AW449" s="2"/>
      <c r="AX449" s="2"/>
    </row>
    <row r="450">
      <c r="A450" s="2"/>
      <c r="B450" s="2"/>
      <c r="C450" s="2"/>
      <c r="D450" s="2"/>
      <c r="E450" s="2"/>
      <c r="F450" s="2"/>
      <c r="G450" s="2"/>
      <c r="H450" s="2"/>
      <c r="I450" s="2"/>
      <c r="J450" s="2"/>
      <c r="K450" s="2"/>
      <c r="L450" s="3"/>
      <c r="M450" s="4"/>
      <c r="N450" s="4"/>
      <c r="O450" s="5"/>
      <c r="P450" s="6"/>
      <c r="Q450" s="3"/>
      <c r="R450" s="2"/>
      <c r="S450" s="2"/>
      <c r="T450" s="2"/>
      <c r="U450" s="2"/>
      <c r="V450" s="3"/>
      <c r="W450" s="2"/>
      <c r="X450" s="2"/>
      <c r="Y450" s="2"/>
      <c r="Z450" s="2"/>
      <c r="AA450" s="3"/>
      <c r="AB450" s="2"/>
      <c r="AC450" s="2"/>
      <c r="AD450" s="2"/>
      <c r="AE450" s="2"/>
      <c r="AF450" s="3"/>
      <c r="AG450" s="2"/>
      <c r="AH450" s="2"/>
      <c r="AI450" s="2"/>
      <c r="AJ450" s="2"/>
      <c r="AK450" s="3"/>
      <c r="AL450" s="2"/>
      <c r="AM450" s="2"/>
      <c r="AN450" s="2"/>
      <c r="AO450" s="2"/>
      <c r="AP450" s="3"/>
      <c r="AQ450" s="2"/>
      <c r="AR450" s="2"/>
      <c r="AS450" s="2"/>
      <c r="AT450" s="7"/>
      <c r="AU450" s="2"/>
      <c r="AV450" s="2"/>
      <c r="AW450" s="2"/>
      <c r="AX450" s="2"/>
    </row>
    <row r="451">
      <c r="A451" s="2"/>
      <c r="B451" s="2"/>
      <c r="C451" s="2"/>
      <c r="D451" s="2"/>
      <c r="E451" s="2"/>
      <c r="F451" s="2"/>
      <c r="G451" s="2"/>
      <c r="H451" s="2"/>
      <c r="I451" s="2"/>
      <c r="J451" s="2"/>
      <c r="K451" s="2"/>
      <c r="L451" s="3"/>
      <c r="M451" s="4"/>
      <c r="N451" s="4"/>
      <c r="O451" s="5"/>
      <c r="P451" s="6"/>
      <c r="Q451" s="3"/>
      <c r="R451" s="2"/>
      <c r="S451" s="2"/>
      <c r="T451" s="2"/>
      <c r="U451" s="2"/>
      <c r="V451" s="3"/>
      <c r="W451" s="2"/>
      <c r="X451" s="2"/>
      <c r="Y451" s="2"/>
      <c r="Z451" s="2"/>
      <c r="AA451" s="3"/>
      <c r="AB451" s="2"/>
      <c r="AC451" s="2"/>
      <c r="AD451" s="2"/>
      <c r="AE451" s="2"/>
      <c r="AF451" s="3"/>
      <c r="AG451" s="2"/>
      <c r="AH451" s="2"/>
      <c r="AI451" s="2"/>
      <c r="AJ451" s="2"/>
      <c r="AK451" s="3"/>
      <c r="AL451" s="2"/>
      <c r="AM451" s="2"/>
      <c r="AN451" s="2"/>
      <c r="AO451" s="2"/>
      <c r="AP451" s="3"/>
      <c r="AQ451" s="2"/>
      <c r="AR451" s="2"/>
      <c r="AS451" s="2"/>
      <c r="AT451" s="7"/>
      <c r="AU451" s="2"/>
      <c r="AV451" s="2"/>
      <c r="AW451" s="2"/>
      <c r="AX451" s="2"/>
    </row>
    <row r="452">
      <c r="A452" s="2"/>
      <c r="B452" s="2"/>
      <c r="C452" s="2"/>
      <c r="D452" s="2"/>
      <c r="E452" s="2"/>
      <c r="F452" s="2"/>
      <c r="G452" s="2"/>
      <c r="H452" s="2"/>
      <c r="I452" s="2"/>
      <c r="J452" s="2"/>
      <c r="K452" s="2"/>
      <c r="L452" s="3"/>
      <c r="M452" s="4"/>
      <c r="N452" s="4"/>
      <c r="O452" s="5"/>
      <c r="P452" s="6"/>
      <c r="Q452" s="3"/>
      <c r="R452" s="2"/>
      <c r="S452" s="2"/>
      <c r="T452" s="2"/>
      <c r="U452" s="2"/>
      <c r="V452" s="3"/>
      <c r="W452" s="2"/>
      <c r="X452" s="2"/>
      <c r="Y452" s="2"/>
      <c r="Z452" s="2"/>
      <c r="AA452" s="3"/>
      <c r="AB452" s="2"/>
      <c r="AC452" s="2"/>
      <c r="AD452" s="2"/>
      <c r="AE452" s="2"/>
      <c r="AF452" s="3"/>
      <c r="AG452" s="2"/>
      <c r="AH452" s="2"/>
      <c r="AI452" s="2"/>
      <c r="AJ452" s="2"/>
      <c r="AK452" s="3"/>
      <c r="AL452" s="2"/>
      <c r="AM452" s="2"/>
      <c r="AN452" s="2"/>
      <c r="AO452" s="2"/>
      <c r="AP452" s="3"/>
      <c r="AQ452" s="2"/>
      <c r="AR452" s="2"/>
      <c r="AS452" s="2"/>
      <c r="AT452" s="7"/>
      <c r="AU452" s="2"/>
      <c r="AV452" s="2"/>
      <c r="AW452" s="2"/>
      <c r="AX452" s="2"/>
    </row>
    <row r="453">
      <c r="A453" s="2"/>
      <c r="B453" s="2"/>
      <c r="C453" s="2"/>
      <c r="D453" s="2"/>
      <c r="E453" s="2"/>
      <c r="F453" s="2"/>
      <c r="G453" s="2"/>
      <c r="H453" s="2"/>
      <c r="I453" s="2"/>
      <c r="J453" s="2"/>
      <c r="K453" s="2"/>
      <c r="L453" s="3"/>
      <c r="M453" s="4"/>
      <c r="N453" s="4"/>
      <c r="O453" s="5"/>
      <c r="P453" s="6"/>
      <c r="Q453" s="3"/>
      <c r="R453" s="2"/>
      <c r="S453" s="2"/>
      <c r="T453" s="2"/>
      <c r="U453" s="2"/>
      <c r="V453" s="3"/>
      <c r="W453" s="2"/>
      <c r="X453" s="2"/>
      <c r="Y453" s="2"/>
      <c r="Z453" s="2"/>
      <c r="AA453" s="3"/>
      <c r="AB453" s="2"/>
      <c r="AC453" s="2"/>
      <c r="AD453" s="2"/>
      <c r="AE453" s="2"/>
      <c r="AF453" s="3"/>
      <c r="AG453" s="2"/>
      <c r="AH453" s="2"/>
      <c r="AI453" s="2"/>
      <c r="AJ453" s="2"/>
      <c r="AK453" s="3"/>
      <c r="AL453" s="2"/>
      <c r="AM453" s="2"/>
      <c r="AN453" s="2"/>
      <c r="AO453" s="2"/>
      <c r="AP453" s="3"/>
      <c r="AQ453" s="2"/>
      <c r="AR453" s="2"/>
      <c r="AS453" s="2"/>
      <c r="AT453" s="7"/>
      <c r="AU453" s="2"/>
      <c r="AV453" s="2"/>
      <c r="AW453" s="2"/>
      <c r="AX453" s="2"/>
    </row>
    <row r="454">
      <c r="A454" s="2"/>
      <c r="B454" s="2"/>
      <c r="C454" s="2"/>
      <c r="D454" s="2"/>
      <c r="E454" s="2"/>
      <c r="F454" s="2"/>
      <c r="G454" s="2"/>
      <c r="H454" s="2"/>
      <c r="I454" s="2"/>
      <c r="J454" s="2"/>
      <c r="K454" s="2"/>
      <c r="L454" s="3"/>
      <c r="M454" s="4"/>
      <c r="N454" s="4"/>
      <c r="O454" s="5"/>
      <c r="P454" s="6"/>
      <c r="Q454" s="3"/>
      <c r="R454" s="2"/>
      <c r="S454" s="2"/>
      <c r="T454" s="2"/>
      <c r="U454" s="2"/>
      <c r="V454" s="3"/>
      <c r="W454" s="2"/>
      <c r="X454" s="2"/>
      <c r="Y454" s="2"/>
      <c r="Z454" s="2"/>
      <c r="AA454" s="3"/>
      <c r="AB454" s="2"/>
      <c r="AC454" s="2"/>
      <c r="AD454" s="2"/>
      <c r="AE454" s="2"/>
      <c r="AF454" s="3"/>
      <c r="AG454" s="2"/>
      <c r="AH454" s="2"/>
      <c r="AI454" s="2"/>
      <c r="AJ454" s="2"/>
      <c r="AK454" s="3"/>
      <c r="AL454" s="2"/>
      <c r="AM454" s="2"/>
      <c r="AN454" s="2"/>
      <c r="AO454" s="2"/>
      <c r="AP454" s="3"/>
      <c r="AQ454" s="2"/>
      <c r="AR454" s="2"/>
      <c r="AS454" s="2"/>
      <c r="AT454" s="7"/>
      <c r="AU454" s="2"/>
      <c r="AV454" s="2"/>
      <c r="AW454" s="2"/>
      <c r="AX454" s="2"/>
    </row>
    <row r="455">
      <c r="A455" s="2"/>
      <c r="B455" s="2"/>
      <c r="C455" s="2"/>
      <c r="D455" s="2"/>
      <c r="E455" s="2"/>
      <c r="F455" s="2"/>
      <c r="G455" s="2"/>
      <c r="H455" s="2"/>
      <c r="I455" s="2"/>
      <c r="J455" s="2"/>
      <c r="K455" s="2"/>
      <c r="L455" s="3"/>
      <c r="M455" s="4"/>
      <c r="N455" s="4"/>
      <c r="O455" s="5"/>
      <c r="P455" s="6"/>
      <c r="Q455" s="3"/>
      <c r="R455" s="2"/>
      <c r="S455" s="2"/>
      <c r="T455" s="2"/>
      <c r="U455" s="2"/>
      <c r="V455" s="3"/>
      <c r="W455" s="2"/>
      <c r="X455" s="2"/>
      <c r="Y455" s="2"/>
      <c r="Z455" s="2"/>
      <c r="AA455" s="3"/>
      <c r="AB455" s="2"/>
      <c r="AC455" s="2"/>
      <c r="AD455" s="2"/>
      <c r="AE455" s="2"/>
      <c r="AF455" s="3"/>
      <c r="AG455" s="2"/>
      <c r="AH455" s="2"/>
      <c r="AI455" s="2"/>
      <c r="AJ455" s="2"/>
      <c r="AK455" s="3"/>
      <c r="AL455" s="2"/>
      <c r="AM455" s="2"/>
      <c r="AN455" s="2"/>
      <c r="AO455" s="2"/>
      <c r="AP455" s="3"/>
      <c r="AQ455" s="2"/>
      <c r="AR455" s="2"/>
      <c r="AS455" s="2"/>
      <c r="AT455" s="7"/>
      <c r="AU455" s="2"/>
      <c r="AV455" s="2"/>
      <c r="AW455" s="2"/>
      <c r="AX455" s="2"/>
    </row>
    <row r="456">
      <c r="A456" s="2"/>
      <c r="B456" s="2"/>
      <c r="C456" s="2"/>
      <c r="D456" s="2"/>
      <c r="E456" s="2"/>
      <c r="F456" s="2"/>
      <c r="G456" s="2"/>
      <c r="H456" s="2"/>
      <c r="I456" s="2"/>
      <c r="J456" s="2"/>
      <c r="K456" s="2"/>
      <c r="L456" s="3"/>
      <c r="M456" s="4"/>
      <c r="N456" s="4"/>
      <c r="O456" s="5"/>
      <c r="P456" s="6"/>
      <c r="Q456" s="3"/>
      <c r="R456" s="2"/>
      <c r="S456" s="2"/>
      <c r="T456" s="2"/>
      <c r="U456" s="2"/>
      <c r="V456" s="3"/>
      <c r="W456" s="2"/>
      <c r="X456" s="2"/>
      <c r="Y456" s="2"/>
      <c r="Z456" s="2"/>
      <c r="AA456" s="3"/>
      <c r="AB456" s="2"/>
      <c r="AC456" s="2"/>
      <c r="AD456" s="2"/>
      <c r="AE456" s="2"/>
      <c r="AF456" s="3"/>
      <c r="AG456" s="2"/>
      <c r="AH456" s="2"/>
      <c r="AI456" s="2"/>
      <c r="AJ456" s="2"/>
      <c r="AK456" s="3"/>
      <c r="AL456" s="2"/>
      <c r="AM456" s="2"/>
      <c r="AN456" s="2"/>
      <c r="AO456" s="2"/>
      <c r="AP456" s="3"/>
      <c r="AQ456" s="2"/>
      <c r="AR456" s="2"/>
      <c r="AS456" s="2"/>
      <c r="AT456" s="7"/>
      <c r="AU456" s="2"/>
      <c r="AV456" s="2"/>
      <c r="AW456" s="2"/>
      <c r="AX456" s="2"/>
    </row>
    <row r="457">
      <c r="A457" s="2"/>
      <c r="B457" s="2"/>
      <c r="C457" s="2"/>
      <c r="D457" s="2"/>
      <c r="E457" s="2"/>
      <c r="F457" s="2"/>
      <c r="G457" s="2"/>
      <c r="H457" s="2"/>
      <c r="I457" s="2"/>
      <c r="J457" s="2"/>
      <c r="K457" s="2"/>
      <c r="L457" s="3"/>
      <c r="M457" s="4"/>
      <c r="N457" s="4"/>
      <c r="O457" s="5"/>
      <c r="P457" s="6"/>
      <c r="Q457" s="3"/>
      <c r="R457" s="2"/>
      <c r="S457" s="2"/>
      <c r="T457" s="2"/>
      <c r="U457" s="2"/>
      <c r="V457" s="3"/>
      <c r="W457" s="2"/>
      <c r="X457" s="2"/>
      <c r="Y457" s="2"/>
      <c r="Z457" s="2"/>
      <c r="AA457" s="3"/>
      <c r="AB457" s="2"/>
      <c r="AC457" s="2"/>
      <c r="AD457" s="2"/>
      <c r="AE457" s="2"/>
      <c r="AF457" s="3"/>
      <c r="AG457" s="2"/>
      <c r="AH457" s="2"/>
      <c r="AI457" s="2"/>
      <c r="AJ457" s="2"/>
      <c r="AK457" s="3"/>
      <c r="AL457" s="2"/>
      <c r="AM457" s="2"/>
      <c r="AN457" s="2"/>
      <c r="AO457" s="2"/>
      <c r="AP457" s="3"/>
      <c r="AQ457" s="2"/>
      <c r="AR457" s="2"/>
      <c r="AS457" s="2"/>
      <c r="AT457" s="7"/>
      <c r="AU457" s="2"/>
      <c r="AV457" s="2"/>
      <c r="AW457" s="2"/>
      <c r="AX457" s="2"/>
    </row>
    <row r="458">
      <c r="A458" s="2"/>
      <c r="B458" s="2"/>
      <c r="C458" s="2"/>
      <c r="D458" s="2"/>
      <c r="E458" s="2"/>
      <c r="F458" s="2"/>
      <c r="G458" s="2"/>
      <c r="H458" s="2"/>
      <c r="I458" s="2"/>
      <c r="J458" s="2"/>
      <c r="K458" s="2"/>
      <c r="L458" s="3"/>
      <c r="M458" s="4"/>
      <c r="N458" s="4"/>
      <c r="O458" s="5"/>
      <c r="P458" s="6"/>
      <c r="Q458" s="3"/>
      <c r="R458" s="2"/>
      <c r="S458" s="2"/>
      <c r="T458" s="2"/>
      <c r="U458" s="2"/>
      <c r="V458" s="3"/>
      <c r="W458" s="2"/>
      <c r="X458" s="2"/>
      <c r="Y458" s="2"/>
      <c r="Z458" s="2"/>
      <c r="AA458" s="3"/>
      <c r="AB458" s="2"/>
      <c r="AC458" s="2"/>
      <c r="AD458" s="2"/>
      <c r="AE458" s="2"/>
      <c r="AF458" s="3"/>
      <c r="AG458" s="2"/>
      <c r="AH458" s="2"/>
      <c r="AI458" s="2"/>
      <c r="AJ458" s="2"/>
      <c r="AK458" s="3"/>
      <c r="AL458" s="2"/>
      <c r="AM458" s="2"/>
      <c r="AN458" s="2"/>
      <c r="AO458" s="2"/>
      <c r="AP458" s="3"/>
      <c r="AQ458" s="2"/>
      <c r="AR458" s="2"/>
      <c r="AS458" s="2"/>
      <c r="AT458" s="7"/>
      <c r="AU458" s="2"/>
      <c r="AV458" s="2"/>
      <c r="AW458" s="2"/>
      <c r="AX458" s="2"/>
    </row>
    <row r="459">
      <c r="A459" s="2"/>
      <c r="B459" s="2"/>
      <c r="C459" s="2"/>
      <c r="D459" s="2"/>
      <c r="E459" s="2"/>
      <c r="F459" s="2"/>
      <c r="G459" s="2"/>
      <c r="H459" s="2"/>
      <c r="I459" s="2"/>
      <c r="J459" s="2"/>
      <c r="K459" s="2"/>
      <c r="L459" s="3"/>
      <c r="M459" s="4"/>
      <c r="N459" s="4"/>
      <c r="O459" s="5"/>
      <c r="P459" s="6"/>
      <c r="Q459" s="3"/>
      <c r="R459" s="2"/>
      <c r="S459" s="2"/>
      <c r="T459" s="2"/>
      <c r="U459" s="2"/>
      <c r="V459" s="3"/>
      <c r="W459" s="2"/>
      <c r="X459" s="2"/>
      <c r="Y459" s="2"/>
      <c r="Z459" s="2"/>
      <c r="AA459" s="3"/>
      <c r="AB459" s="2"/>
      <c r="AC459" s="2"/>
      <c r="AD459" s="2"/>
      <c r="AE459" s="2"/>
      <c r="AF459" s="3"/>
      <c r="AG459" s="2"/>
      <c r="AH459" s="2"/>
      <c r="AI459" s="2"/>
      <c r="AJ459" s="2"/>
      <c r="AK459" s="3"/>
      <c r="AL459" s="2"/>
      <c r="AM459" s="2"/>
      <c r="AN459" s="2"/>
      <c r="AO459" s="2"/>
      <c r="AP459" s="3"/>
      <c r="AQ459" s="2"/>
      <c r="AR459" s="2"/>
      <c r="AS459" s="2"/>
      <c r="AT459" s="7"/>
      <c r="AU459" s="2"/>
      <c r="AV459" s="2"/>
      <c r="AW459" s="2"/>
      <c r="AX459" s="2"/>
    </row>
    <row r="460">
      <c r="A460" s="2"/>
      <c r="B460" s="2"/>
      <c r="C460" s="2"/>
      <c r="D460" s="2"/>
      <c r="E460" s="2"/>
      <c r="F460" s="2"/>
      <c r="G460" s="2"/>
      <c r="H460" s="2"/>
      <c r="I460" s="2"/>
      <c r="J460" s="2"/>
      <c r="K460" s="2"/>
      <c r="L460" s="3"/>
      <c r="M460" s="4"/>
      <c r="N460" s="4"/>
      <c r="O460" s="5"/>
      <c r="P460" s="6"/>
      <c r="Q460" s="3"/>
      <c r="R460" s="2"/>
      <c r="S460" s="2"/>
      <c r="T460" s="2"/>
      <c r="U460" s="2"/>
      <c r="V460" s="3"/>
      <c r="W460" s="2"/>
      <c r="X460" s="2"/>
      <c r="Y460" s="2"/>
      <c r="Z460" s="2"/>
      <c r="AA460" s="3"/>
      <c r="AB460" s="2"/>
      <c r="AC460" s="2"/>
      <c r="AD460" s="2"/>
      <c r="AE460" s="2"/>
      <c r="AF460" s="3"/>
      <c r="AG460" s="2"/>
      <c r="AH460" s="2"/>
      <c r="AI460" s="2"/>
      <c r="AJ460" s="2"/>
      <c r="AK460" s="3"/>
      <c r="AL460" s="2"/>
      <c r="AM460" s="2"/>
      <c r="AN460" s="2"/>
      <c r="AO460" s="2"/>
      <c r="AP460" s="3"/>
      <c r="AQ460" s="2"/>
      <c r="AR460" s="2"/>
      <c r="AS460" s="2"/>
      <c r="AT460" s="7"/>
      <c r="AU460" s="2"/>
      <c r="AV460" s="2"/>
      <c r="AW460" s="2"/>
      <c r="AX460" s="2"/>
    </row>
    <row r="461">
      <c r="A461" s="2"/>
      <c r="B461" s="2"/>
      <c r="C461" s="2"/>
      <c r="D461" s="2"/>
      <c r="E461" s="2"/>
      <c r="F461" s="2"/>
      <c r="G461" s="2"/>
      <c r="H461" s="2"/>
      <c r="I461" s="2"/>
      <c r="J461" s="2"/>
      <c r="K461" s="2"/>
      <c r="L461" s="3"/>
      <c r="M461" s="4"/>
      <c r="N461" s="4"/>
      <c r="O461" s="5"/>
      <c r="P461" s="6"/>
      <c r="Q461" s="3"/>
      <c r="R461" s="2"/>
      <c r="S461" s="2"/>
      <c r="T461" s="2"/>
      <c r="U461" s="2"/>
      <c r="V461" s="3"/>
      <c r="W461" s="2"/>
      <c r="X461" s="2"/>
      <c r="Y461" s="2"/>
      <c r="Z461" s="2"/>
      <c r="AA461" s="3"/>
      <c r="AB461" s="2"/>
      <c r="AC461" s="2"/>
      <c r="AD461" s="2"/>
      <c r="AE461" s="2"/>
      <c r="AF461" s="3"/>
      <c r="AG461" s="2"/>
      <c r="AH461" s="2"/>
      <c r="AI461" s="2"/>
      <c r="AJ461" s="2"/>
      <c r="AK461" s="3"/>
      <c r="AL461" s="2"/>
      <c r="AM461" s="2"/>
      <c r="AN461" s="2"/>
      <c r="AO461" s="2"/>
      <c r="AP461" s="3"/>
      <c r="AQ461" s="2"/>
      <c r="AR461" s="2"/>
      <c r="AS461" s="2"/>
      <c r="AT461" s="7"/>
      <c r="AU461" s="2"/>
      <c r="AV461" s="2"/>
      <c r="AW461" s="2"/>
      <c r="AX461" s="2"/>
    </row>
    <row r="462">
      <c r="A462" s="2"/>
      <c r="B462" s="2"/>
      <c r="C462" s="2"/>
      <c r="D462" s="2"/>
      <c r="E462" s="2"/>
      <c r="F462" s="2"/>
      <c r="G462" s="2"/>
      <c r="H462" s="2"/>
      <c r="I462" s="2"/>
      <c r="J462" s="2"/>
      <c r="K462" s="2"/>
      <c r="L462" s="3"/>
      <c r="M462" s="4"/>
      <c r="N462" s="4"/>
      <c r="O462" s="5"/>
      <c r="P462" s="6"/>
      <c r="Q462" s="3"/>
      <c r="R462" s="2"/>
      <c r="S462" s="2"/>
      <c r="T462" s="2"/>
      <c r="U462" s="2"/>
      <c r="V462" s="3"/>
      <c r="W462" s="2"/>
      <c r="X462" s="2"/>
      <c r="Y462" s="2"/>
      <c r="Z462" s="2"/>
      <c r="AA462" s="3"/>
      <c r="AB462" s="2"/>
      <c r="AC462" s="2"/>
      <c r="AD462" s="2"/>
      <c r="AE462" s="2"/>
      <c r="AF462" s="3"/>
      <c r="AG462" s="2"/>
      <c r="AH462" s="2"/>
      <c r="AI462" s="2"/>
      <c r="AJ462" s="2"/>
      <c r="AK462" s="3"/>
      <c r="AL462" s="2"/>
      <c r="AM462" s="2"/>
      <c r="AN462" s="2"/>
      <c r="AO462" s="2"/>
      <c r="AP462" s="3"/>
      <c r="AQ462" s="2"/>
      <c r="AR462" s="2"/>
      <c r="AS462" s="2"/>
      <c r="AT462" s="7"/>
      <c r="AU462" s="2"/>
      <c r="AV462" s="2"/>
      <c r="AW462" s="2"/>
      <c r="AX462" s="2"/>
    </row>
    <row r="463">
      <c r="A463" s="2"/>
      <c r="B463" s="2"/>
      <c r="C463" s="2"/>
      <c r="D463" s="2"/>
      <c r="E463" s="2"/>
      <c r="F463" s="2"/>
      <c r="G463" s="2"/>
      <c r="H463" s="2"/>
      <c r="I463" s="2"/>
      <c r="J463" s="2"/>
      <c r="K463" s="2"/>
      <c r="L463" s="3"/>
      <c r="M463" s="4"/>
      <c r="N463" s="4"/>
      <c r="O463" s="5"/>
      <c r="P463" s="6"/>
      <c r="Q463" s="3"/>
      <c r="R463" s="2"/>
      <c r="S463" s="2"/>
      <c r="T463" s="2"/>
      <c r="U463" s="2"/>
      <c r="V463" s="3"/>
      <c r="W463" s="2"/>
      <c r="X463" s="2"/>
      <c r="Y463" s="2"/>
      <c r="Z463" s="2"/>
      <c r="AA463" s="3"/>
      <c r="AB463" s="2"/>
      <c r="AC463" s="2"/>
      <c r="AD463" s="2"/>
      <c r="AE463" s="2"/>
      <c r="AF463" s="3"/>
      <c r="AG463" s="2"/>
      <c r="AH463" s="2"/>
      <c r="AI463" s="2"/>
      <c r="AJ463" s="2"/>
      <c r="AK463" s="3"/>
      <c r="AL463" s="2"/>
      <c r="AM463" s="2"/>
      <c r="AN463" s="2"/>
      <c r="AO463" s="2"/>
      <c r="AP463" s="3"/>
      <c r="AQ463" s="2"/>
      <c r="AR463" s="2"/>
      <c r="AS463" s="2"/>
      <c r="AT463" s="7"/>
      <c r="AU463" s="2"/>
      <c r="AV463" s="2"/>
      <c r="AW463" s="2"/>
      <c r="AX463" s="2"/>
    </row>
    <row r="464">
      <c r="A464" s="2"/>
      <c r="B464" s="2"/>
      <c r="C464" s="2"/>
      <c r="D464" s="2"/>
      <c r="E464" s="2"/>
      <c r="F464" s="2"/>
      <c r="G464" s="2"/>
      <c r="H464" s="2"/>
      <c r="I464" s="2"/>
      <c r="J464" s="2"/>
      <c r="K464" s="2"/>
      <c r="L464" s="3"/>
      <c r="M464" s="4"/>
      <c r="N464" s="4"/>
      <c r="O464" s="5"/>
      <c r="P464" s="6"/>
      <c r="Q464" s="3"/>
      <c r="R464" s="2"/>
      <c r="S464" s="2"/>
      <c r="T464" s="2"/>
      <c r="U464" s="2"/>
      <c r="V464" s="3"/>
      <c r="W464" s="2"/>
      <c r="X464" s="2"/>
      <c r="Y464" s="2"/>
      <c r="Z464" s="2"/>
      <c r="AA464" s="3"/>
      <c r="AB464" s="2"/>
      <c r="AC464" s="2"/>
      <c r="AD464" s="2"/>
      <c r="AE464" s="2"/>
      <c r="AF464" s="3"/>
      <c r="AG464" s="2"/>
      <c r="AH464" s="2"/>
      <c r="AI464" s="2"/>
      <c r="AJ464" s="2"/>
      <c r="AK464" s="3"/>
      <c r="AL464" s="2"/>
      <c r="AM464" s="2"/>
      <c r="AN464" s="2"/>
      <c r="AO464" s="2"/>
      <c r="AP464" s="3"/>
      <c r="AQ464" s="2"/>
      <c r="AR464" s="2"/>
      <c r="AS464" s="2"/>
      <c r="AT464" s="7"/>
      <c r="AU464" s="2"/>
      <c r="AV464" s="2"/>
      <c r="AW464" s="2"/>
      <c r="AX464" s="2"/>
    </row>
    <row r="465">
      <c r="A465" s="2"/>
      <c r="B465" s="2"/>
      <c r="C465" s="2"/>
      <c r="D465" s="2"/>
      <c r="E465" s="2"/>
      <c r="F465" s="2"/>
      <c r="G465" s="2"/>
      <c r="H465" s="2"/>
      <c r="I465" s="2"/>
      <c r="J465" s="2"/>
      <c r="K465" s="2"/>
      <c r="L465" s="3"/>
      <c r="M465" s="4"/>
      <c r="N465" s="4"/>
      <c r="O465" s="5"/>
      <c r="P465" s="6"/>
      <c r="Q465" s="3"/>
      <c r="R465" s="2"/>
      <c r="S465" s="2"/>
      <c r="T465" s="2"/>
      <c r="U465" s="2"/>
      <c r="V465" s="3"/>
      <c r="W465" s="2"/>
      <c r="X465" s="2"/>
      <c r="Y465" s="2"/>
      <c r="Z465" s="2"/>
      <c r="AA465" s="3"/>
      <c r="AB465" s="2"/>
      <c r="AC465" s="2"/>
      <c r="AD465" s="2"/>
      <c r="AE465" s="2"/>
      <c r="AF465" s="3"/>
      <c r="AG465" s="2"/>
      <c r="AH465" s="2"/>
      <c r="AI465" s="2"/>
      <c r="AJ465" s="2"/>
      <c r="AK465" s="3"/>
      <c r="AL465" s="2"/>
      <c r="AM465" s="2"/>
      <c r="AN465" s="2"/>
      <c r="AO465" s="2"/>
      <c r="AP465" s="3"/>
      <c r="AQ465" s="2"/>
      <c r="AR465" s="2"/>
      <c r="AS465" s="2"/>
      <c r="AT465" s="7"/>
      <c r="AU465" s="2"/>
      <c r="AV465" s="2"/>
      <c r="AW465" s="2"/>
      <c r="AX465" s="2"/>
    </row>
    <row r="466">
      <c r="A466" s="2"/>
      <c r="B466" s="2"/>
      <c r="C466" s="2"/>
      <c r="D466" s="2"/>
      <c r="E466" s="2"/>
      <c r="F466" s="2"/>
      <c r="G466" s="2"/>
      <c r="H466" s="2"/>
      <c r="I466" s="2"/>
      <c r="J466" s="2"/>
      <c r="K466" s="2"/>
      <c r="L466" s="3"/>
      <c r="M466" s="4"/>
      <c r="N466" s="4"/>
      <c r="O466" s="5"/>
      <c r="P466" s="6"/>
      <c r="Q466" s="3"/>
      <c r="R466" s="2"/>
      <c r="S466" s="2"/>
      <c r="T466" s="2"/>
      <c r="U466" s="2"/>
      <c r="V466" s="3"/>
      <c r="W466" s="2"/>
      <c r="X466" s="2"/>
      <c r="Y466" s="2"/>
      <c r="Z466" s="2"/>
      <c r="AA466" s="3"/>
      <c r="AB466" s="2"/>
      <c r="AC466" s="2"/>
      <c r="AD466" s="2"/>
      <c r="AE466" s="2"/>
      <c r="AF466" s="3"/>
      <c r="AG466" s="2"/>
      <c r="AH466" s="2"/>
      <c r="AI466" s="2"/>
      <c r="AJ466" s="2"/>
      <c r="AK466" s="3"/>
      <c r="AL466" s="2"/>
      <c r="AM466" s="2"/>
      <c r="AN466" s="2"/>
      <c r="AO466" s="2"/>
      <c r="AP466" s="3"/>
      <c r="AQ466" s="2"/>
      <c r="AR466" s="2"/>
      <c r="AS466" s="2"/>
      <c r="AT466" s="7"/>
      <c r="AU466" s="2"/>
      <c r="AV466" s="2"/>
      <c r="AW466" s="2"/>
      <c r="AX466" s="2"/>
    </row>
    <row r="467">
      <c r="A467" s="2"/>
      <c r="B467" s="2"/>
      <c r="C467" s="2"/>
      <c r="D467" s="2"/>
      <c r="E467" s="2"/>
      <c r="F467" s="2"/>
      <c r="G467" s="2"/>
      <c r="H467" s="2"/>
      <c r="I467" s="2"/>
      <c r="J467" s="2"/>
      <c r="K467" s="2"/>
      <c r="L467" s="3"/>
      <c r="M467" s="4"/>
      <c r="N467" s="4"/>
      <c r="O467" s="5"/>
      <c r="P467" s="6"/>
      <c r="Q467" s="3"/>
      <c r="R467" s="2"/>
      <c r="S467" s="2"/>
      <c r="T467" s="2"/>
      <c r="U467" s="2"/>
      <c r="V467" s="3"/>
      <c r="W467" s="2"/>
      <c r="X467" s="2"/>
      <c r="Y467" s="2"/>
      <c r="Z467" s="2"/>
      <c r="AA467" s="3"/>
      <c r="AB467" s="2"/>
      <c r="AC467" s="2"/>
      <c r="AD467" s="2"/>
      <c r="AE467" s="2"/>
      <c r="AF467" s="3"/>
      <c r="AG467" s="2"/>
      <c r="AH467" s="2"/>
      <c r="AI467" s="2"/>
      <c r="AJ467" s="2"/>
      <c r="AK467" s="3"/>
      <c r="AL467" s="2"/>
      <c r="AM467" s="2"/>
      <c r="AN467" s="2"/>
      <c r="AO467" s="2"/>
      <c r="AP467" s="3"/>
      <c r="AQ467" s="2"/>
      <c r="AR467" s="2"/>
      <c r="AS467" s="2"/>
      <c r="AT467" s="7"/>
      <c r="AU467" s="2"/>
      <c r="AV467" s="2"/>
      <c r="AW467" s="2"/>
      <c r="AX467" s="2"/>
    </row>
    <row r="468">
      <c r="A468" s="2"/>
      <c r="B468" s="2"/>
      <c r="C468" s="2"/>
      <c r="D468" s="2"/>
      <c r="E468" s="2"/>
      <c r="F468" s="2"/>
      <c r="G468" s="2"/>
      <c r="H468" s="2"/>
      <c r="I468" s="2"/>
      <c r="J468" s="2"/>
      <c r="K468" s="2"/>
      <c r="L468" s="3"/>
      <c r="M468" s="4"/>
      <c r="N468" s="4"/>
      <c r="O468" s="5"/>
      <c r="P468" s="6"/>
      <c r="Q468" s="3"/>
      <c r="R468" s="2"/>
      <c r="S468" s="2"/>
      <c r="T468" s="2"/>
      <c r="U468" s="2"/>
      <c r="V468" s="3"/>
      <c r="W468" s="2"/>
      <c r="X468" s="2"/>
      <c r="Y468" s="2"/>
      <c r="Z468" s="2"/>
      <c r="AA468" s="3"/>
      <c r="AB468" s="2"/>
      <c r="AC468" s="2"/>
      <c r="AD468" s="2"/>
      <c r="AE468" s="2"/>
      <c r="AF468" s="3"/>
      <c r="AG468" s="2"/>
      <c r="AH468" s="2"/>
      <c r="AI468" s="2"/>
      <c r="AJ468" s="2"/>
      <c r="AK468" s="3"/>
      <c r="AL468" s="2"/>
      <c r="AM468" s="2"/>
      <c r="AN468" s="2"/>
      <c r="AO468" s="2"/>
      <c r="AP468" s="3"/>
      <c r="AQ468" s="2"/>
      <c r="AR468" s="2"/>
      <c r="AS468" s="2"/>
      <c r="AT468" s="7"/>
      <c r="AU468" s="2"/>
      <c r="AV468" s="2"/>
      <c r="AW468" s="2"/>
      <c r="AX468" s="2"/>
    </row>
    <row r="469">
      <c r="A469" s="2"/>
      <c r="B469" s="2"/>
      <c r="C469" s="2"/>
      <c r="D469" s="2"/>
      <c r="E469" s="2"/>
      <c r="F469" s="2"/>
      <c r="G469" s="2"/>
      <c r="H469" s="2"/>
      <c r="I469" s="2"/>
      <c r="J469" s="2"/>
      <c r="K469" s="2"/>
      <c r="L469" s="3"/>
      <c r="M469" s="4"/>
      <c r="N469" s="4"/>
      <c r="O469" s="5"/>
      <c r="P469" s="6"/>
      <c r="Q469" s="3"/>
      <c r="R469" s="2"/>
      <c r="S469" s="2"/>
      <c r="T469" s="2"/>
      <c r="U469" s="2"/>
      <c r="V469" s="3"/>
      <c r="W469" s="2"/>
      <c r="X469" s="2"/>
      <c r="Y469" s="2"/>
      <c r="Z469" s="2"/>
      <c r="AA469" s="3"/>
      <c r="AB469" s="2"/>
      <c r="AC469" s="2"/>
      <c r="AD469" s="2"/>
      <c r="AE469" s="2"/>
      <c r="AF469" s="3"/>
      <c r="AG469" s="2"/>
      <c r="AH469" s="2"/>
      <c r="AI469" s="2"/>
      <c r="AJ469" s="2"/>
      <c r="AK469" s="3"/>
      <c r="AL469" s="2"/>
      <c r="AM469" s="2"/>
      <c r="AN469" s="2"/>
      <c r="AO469" s="2"/>
      <c r="AP469" s="3"/>
      <c r="AQ469" s="2"/>
      <c r="AR469" s="2"/>
      <c r="AS469" s="2"/>
      <c r="AT469" s="7"/>
      <c r="AU469" s="2"/>
      <c r="AV469" s="2"/>
      <c r="AW469" s="2"/>
      <c r="AX469" s="2"/>
    </row>
    <row r="470">
      <c r="A470" s="2"/>
      <c r="B470" s="2"/>
      <c r="C470" s="2"/>
      <c r="D470" s="2"/>
      <c r="E470" s="2"/>
      <c r="F470" s="2"/>
      <c r="G470" s="2"/>
      <c r="H470" s="2"/>
      <c r="I470" s="2"/>
      <c r="J470" s="2"/>
      <c r="K470" s="2"/>
      <c r="L470" s="3"/>
      <c r="M470" s="4"/>
      <c r="N470" s="4"/>
      <c r="O470" s="5"/>
      <c r="P470" s="6"/>
      <c r="Q470" s="3"/>
      <c r="R470" s="2"/>
      <c r="S470" s="2"/>
      <c r="T470" s="2"/>
      <c r="U470" s="2"/>
      <c r="V470" s="3"/>
      <c r="W470" s="2"/>
      <c r="X470" s="2"/>
      <c r="Y470" s="2"/>
      <c r="Z470" s="2"/>
      <c r="AA470" s="3"/>
      <c r="AB470" s="2"/>
      <c r="AC470" s="2"/>
      <c r="AD470" s="2"/>
      <c r="AE470" s="2"/>
      <c r="AF470" s="3"/>
      <c r="AG470" s="2"/>
      <c r="AH470" s="2"/>
      <c r="AI470" s="2"/>
      <c r="AJ470" s="2"/>
      <c r="AK470" s="3"/>
      <c r="AL470" s="2"/>
      <c r="AM470" s="2"/>
      <c r="AN470" s="2"/>
      <c r="AO470" s="2"/>
      <c r="AP470" s="3"/>
      <c r="AQ470" s="2"/>
      <c r="AR470" s="2"/>
      <c r="AS470" s="2"/>
      <c r="AT470" s="7"/>
      <c r="AU470" s="2"/>
      <c r="AV470" s="2"/>
      <c r="AW470" s="2"/>
      <c r="AX470" s="2"/>
    </row>
    <row r="471">
      <c r="A471" s="2"/>
      <c r="B471" s="2"/>
      <c r="C471" s="2"/>
      <c r="D471" s="2"/>
      <c r="E471" s="2"/>
      <c r="F471" s="2"/>
      <c r="G471" s="2"/>
      <c r="H471" s="2"/>
      <c r="I471" s="2"/>
      <c r="J471" s="2"/>
      <c r="K471" s="2"/>
      <c r="L471" s="3"/>
      <c r="M471" s="4"/>
      <c r="N471" s="4"/>
      <c r="O471" s="5"/>
      <c r="P471" s="6"/>
      <c r="Q471" s="3"/>
      <c r="R471" s="2"/>
      <c r="S471" s="2"/>
      <c r="T471" s="2"/>
      <c r="U471" s="2"/>
      <c r="V471" s="3"/>
      <c r="W471" s="2"/>
      <c r="X471" s="2"/>
      <c r="Y471" s="2"/>
      <c r="Z471" s="2"/>
      <c r="AA471" s="3"/>
      <c r="AB471" s="2"/>
      <c r="AC471" s="2"/>
      <c r="AD471" s="2"/>
      <c r="AE471" s="2"/>
      <c r="AF471" s="3"/>
      <c r="AG471" s="2"/>
      <c r="AH471" s="2"/>
      <c r="AI471" s="2"/>
      <c r="AJ471" s="2"/>
      <c r="AK471" s="3"/>
      <c r="AL471" s="2"/>
      <c r="AM471" s="2"/>
      <c r="AN471" s="2"/>
      <c r="AO471" s="2"/>
      <c r="AP471" s="3"/>
      <c r="AQ471" s="2"/>
      <c r="AR471" s="2"/>
      <c r="AS471" s="2"/>
      <c r="AT471" s="7"/>
      <c r="AU471" s="2"/>
      <c r="AV471" s="2"/>
      <c r="AW471" s="2"/>
      <c r="AX471" s="2"/>
    </row>
    <row r="472">
      <c r="A472" s="2"/>
      <c r="B472" s="2"/>
      <c r="C472" s="2"/>
      <c r="D472" s="2"/>
      <c r="E472" s="2"/>
      <c r="F472" s="2"/>
      <c r="G472" s="2"/>
      <c r="H472" s="2"/>
      <c r="I472" s="2"/>
      <c r="J472" s="2"/>
      <c r="K472" s="2"/>
      <c r="L472" s="3"/>
      <c r="M472" s="4"/>
      <c r="N472" s="4"/>
      <c r="O472" s="5"/>
      <c r="P472" s="6"/>
      <c r="Q472" s="3"/>
      <c r="R472" s="2"/>
      <c r="S472" s="2"/>
      <c r="T472" s="2"/>
      <c r="U472" s="2"/>
      <c r="V472" s="3"/>
      <c r="W472" s="2"/>
      <c r="X472" s="2"/>
      <c r="Y472" s="2"/>
      <c r="Z472" s="2"/>
      <c r="AA472" s="3"/>
      <c r="AB472" s="2"/>
      <c r="AC472" s="2"/>
      <c r="AD472" s="2"/>
      <c r="AE472" s="2"/>
      <c r="AF472" s="3"/>
      <c r="AG472" s="2"/>
      <c r="AH472" s="2"/>
      <c r="AI472" s="2"/>
      <c r="AJ472" s="2"/>
      <c r="AK472" s="3"/>
      <c r="AL472" s="2"/>
      <c r="AM472" s="2"/>
      <c r="AN472" s="2"/>
      <c r="AO472" s="2"/>
      <c r="AP472" s="3"/>
      <c r="AQ472" s="2"/>
      <c r="AR472" s="2"/>
      <c r="AS472" s="2"/>
      <c r="AT472" s="7"/>
      <c r="AU472" s="2"/>
      <c r="AV472" s="2"/>
      <c r="AW472" s="2"/>
      <c r="AX472" s="2"/>
    </row>
    <row r="473">
      <c r="A473" s="2"/>
      <c r="B473" s="2"/>
      <c r="C473" s="2"/>
      <c r="D473" s="2"/>
      <c r="E473" s="2"/>
      <c r="F473" s="2"/>
      <c r="G473" s="2"/>
      <c r="H473" s="2"/>
      <c r="I473" s="2"/>
      <c r="J473" s="2"/>
      <c r="K473" s="2"/>
      <c r="L473" s="3"/>
      <c r="M473" s="4"/>
      <c r="N473" s="4"/>
      <c r="O473" s="5"/>
      <c r="P473" s="6"/>
      <c r="Q473" s="3"/>
      <c r="R473" s="2"/>
      <c r="S473" s="2"/>
      <c r="T473" s="2"/>
      <c r="U473" s="2"/>
      <c r="V473" s="3"/>
      <c r="W473" s="2"/>
      <c r="X473" s="2"/>
      <c r="Y473" s="2"/>
      <c r="Z473" s="2"/>
      <c r="AA473" s="3"/>
      <c r="AB473" s="2"/>
      <c r="AC473" s="2"/>
      <c r="AD473" s="2"/>
      <c r="AE473" s="2"/>
      <c r="AF473" s="3"/>
      <c r="AG473" s="2"/>
      <c r="AH473" s="2"/>
      <c r="AI473" s="2"/>
      <c r="AJ473" s="2"/>
      <c r="AK473" s="3"/>
      <c r="AL473" s="2"/>
      <c r="AM473" s="2"/>
      <c r="AN473" s="2"/>
      <c r="AO473" s="2"/>
      <c r="AP473" s="3"/>
      <c r="AQ473" s="2"/>
      <c r="AR473" s="2"/>
      <c r="AS473" s="2"/>
      <c r="AT473" s="7"/>
      <c r="AU473" s="2"/>
      <c r="AV473" s="2"/>
      <c r="AW473" s="2"/>
      <c r="AX473" s="2"/>
    </row>
    <row r="474">
      <c r="A474" s="2"/>
      <c r="B474" s="2"/>
      <c r="C474" s="2"/>
      <c r="D474" s="2"/>
      <c r="E474" s="2"/>
      <c r="F474" s="2"/>
      <c r="G474" s="2"/>
      <c r="H474" s="2"/>
      <c r="I474" s="2"/>
      <c r="J474" s="2"/>
      <c r="K474" s="2"/>
      <c r="L474" s="3"/>
      <c r="M474" s="4"/>
      <c r="N474" s="4"/>
      <c r="O474" s="5"/>
      <c r="P474" s="6"/>
      <c r="Q474" s="3"/>
      <c r="R474" s="2"/>
      <c r="S474" s="2"/>
      <c r="T474" s="2"/>
      <c r="U474" s="2"/>
      <c r="V474" s="3"/>
      <c r="W474" s="2"/>
      <c r="X474" s="2"/>
      <c r="Y474" s="2"/>
      <c r="Z474" s="2"/>
      <c r="AA474" s="3"/>
      <c r="AB474" s="2"/>
      <c r="AC474" s="2"/>
      <c r="AD474" s="2"/>
      <c r="AE474" s="2"/>
      <c r="AF474" s="3"/>
      <c r="AG474" s="2"/>
      <c r="AH474" s="2"/>
      <c r="AI474" s="2"/>
      <c r="AJ474" s="2"/>
      <c r="AK474" s="3"/>
      <c r="AL474" s="2"/>
      <c r="AM474" s="2"/>
      <c r="AN474" s="2"/>
      <c r="AO474" s="2"/>
      <c r="AP474" s="3"/>
      <c r="AQ474" s="2"/>
      <c r="AR474" s="2"/>
      <c r="AS474" s="2"/>
      <c r="AT474" s="7"/>
      <c r="AU474" s="2"/>
      <c r="AV474" s="2"/>
      <c r="AW474" s="2"/>
      <c r="AX474" s="2"/>
    </row>
    <row r="475">
      <c r="A475" s="2"/>
      <c r="B475" s="2"/>
      <c r="C475" s="2"/>
      <c r="D475" s="2"/>
      <c r="E475" s="2"/>
      <c r="F475" s="2"/>
      <c r="G475" s="2"/>
      <c r="H475" s="2"/>
      <c r="I475" s="2"/>
      <c r="J475" s="2"/>
      <c r="K475" s="2"/>
      <c r="L475" s="3"/>
      <c r="M475" s="4"/>
      <c r="N475" s="4"/>
      <c r="O475" s="5"/>
      <c r="P475" s="6"/>
      <c r="Q475" s="3"/>
      <c r="R475" s="2"/>
      <c r="S475" s="2"/>
      <c r="T475" s="2"/>
      <c r="U475" s="2"/>
      <c r="V475" s="3"/>
      <c r="W475" s="2"/>
      <c r="X475" s="2"/>
      <c r="Y475" s="2"/>
      <c r="Z475" s="2"/>
      <c r="AA475" s="3"/>
      <c r="AB475" s="2"/>
      <c r="AC475" s="2"/>
      <c r="AD475" s="2"/>
      <c r="AE475" s="2"/>
      <c r="AF475" s="3"/>
      <c r="AG475" s="2"/>
      <c r="AH475" s="2"/>
      <c r="AI475" s="2"/>
      <c r="AJ475" s="2"/>
      <c r="AK475" s="3"/>
      <c r="AL475" s="2"/>
      <c r="AM475" s="2"/>
      <c r="AN475" s="2"/>
      <c r="AO475" s="2"/>
      <c r="AP475" s="3"/>
      <c r="AQ475" s="2"/>
      <c r="AR475" s="2"/>
      <c r="AS475" s="2"/>
      <c r="AT475" s="7"/>
      <c r="AU475" s="2"/>
      <c r="AV475" s="2"/>
      <c r="AW475" s="2"/>
      <c r="AX475" s="2"/>
    </row>
    <row r="476">
      <c r="A476" s="2"/>
      <c r="B476" s="2"/>
      <c r="C476" s="2"/>
      <c r="D476" s="2"/>
      <c r="E476" s="2"/>
      <c r="F476" s="2"/>
      <c r="G476" s="2"/>
      <c r="H476" s="2"/>
      <c r="I476" s="2"/>
      <c r="J476" s="2"/>
      <c r="K476" s="2"/>
      <c r="L476" s="3"/>
      <c r="M476" s="4"/>
      <c r="N476" s="4"/>
      <c r="O476" s="5"/>
      <c r="P476" s="6"/>
      <c r="Q476" s="3"/>
      <c r="R476" s="2"/>
      <c r="S476" s="2"/>
      <c r="T476" s="2"/>
      <c r="U476" s="2"/>
      <c r="V476" s="3"/>
      <c r="W476" s="2"/>
      <c r="X476" s="2"/>
      <c r="Y476" s="2"/>
      <c r="Z476" s="2"/>
      <c r="AA476" s="3"/>
      <c r="AB476" s="2"/>
      <c r="AC476" s="2"/>
      <c r="AD476" s="2"/>
      <c r="AE476" s="2"/>
      <c r="AF476" s="3"/>
      <c r="AG476" s="2"/>
      <c r="AH476" s="2"/>
      <c r="AI476" s="2"/>
      <c r="AJ476" s="2"/>
      <c r="AK476" s="3"/>
      <c r="AL476" s="2"/>
      <c r="AM476" s="2"/>
      <c r="AN476" s="2"/>
      <c r="AO476" s="2"/>
      <c r="AP476" s="3"/>
      <c r="AQ476" s="2"/>
      <c r="AR476" s="2"/>
      <c r="AS476" s="2"/>
      <c r="AT476" s="7"/>
      <c r="AU476" s="2"/>
      <c r="AV476" s="2"/>
      <c r="AW476" s="2"/>
      <c r="AX476" s="2"/>
    </row>
    <row r="477">
      <c r="A477" s="2"/>
      <c r="B477" s="2"/>
      <c r="C477" s="2"/>
      <c r="D477" s="2"/>
      <c r="E477" s="2"/>
      <c r="F477" s="2"/>
      <c r="G477" s="2"/>
      <c r="H477" s="2"/>
      <c r="I477" s="2"/>
      <c r="J477" s="2"/>
      <c r="K477" s="2"/>
      <c r="L477" s="3"/>
      <c r="M477" s="4"/>
      <c r="N477" s="4"/>
      <c r="O477" s="5"/>
      <c r="P477" s="6"/>
      <c r="Q477" s="3"/>
      <c r="R477" s="2"/>
      <c r="S477" s="2"/>
      <c r="T477" s="2"/>
      <c r="U477" s="2"/>
      <c r="V477" s="3"/>
      <c r="W477" s="2"/>
      <c r="X477" s="2"/>
      <c r="Y477" s="2"/>
      <c r="Z477" s="2"/>
      <c r="AA477" s="3"/>
      <c r="AB477" s="2"/>
      <c r="AC477" s="2"/>
      <c r="AD477" s="2"/>
      <c r="AE477" s="2"/>
      <c r="AF477" s="3"/>
      <c r="AG477" s="2"/>
      <c r="AH477" s="2"/>
      <c r="AI477" s="2"/>
      <c r="AJ477" s="2"/>
      <c r="AK477" s="3"/>
      <c r="AL477" s="2"/>
      <c r="AM477" s="2"/>
      <c r="AN477" s="2"/>
      <c r="AO477" s="2"/>
      <c r="AP477" s="3"/>
      <c r="AQ477" s="2"/>
      <c r="AR477" s="2"/>
      <c r="AS477" s="2"/>
      <c r="AT477" s="7"/>
      <c r="AU477" s="2"/>
      <c r="AV477" s="2"/>
      <c r="AW477" s="2"/>
      <c r="AX477" s="2"/>
    </row>
    <row r="478">
      <c r="A478" s="2"/>
      <c r="B478" s="2"/>
      <c r="C478" s="2"/>
      <c r="D478" s="2"/>
      <c r="E478" s="2"/>
      <c r="F478" s="2"/>
      <c r="G478" s="2"/>
      <c r="H478" s="2"/>
      <c r="I478" s="2"/>
      <c r="J478" s="2"/>
      <c r="K478" s="2"/>
      <c r="L478" s="3"/>
      <c r="M478" s="4"/>
      <c r="N478" s="4"/>
      <c r="O478" s="5"/>
      <c r="P478" s="6"/>
      <c r="Q478" s="3"/>
      <c r="R478" s="2"/>
      <c r="S478" s="2"/>
      <c r="T478" s="2"/>
      <c r="U478" s="2"/>
      <c r="V478" s="3"/>
      <c r="W478" s="2"/>
      <c r="X478" s="2"/>
      <c r="Y478" s="2"/>
      <c r="Z478" s="2"/>
      <c r="AA478" s="3"/>
      <c r="AB478" s="2"/>
      <c r="AC478" s="2"/>
      <c r="AD478" s="2"/>
      <c r="AE478" s="2"/>
      <c r="AF478" s="3"/>
      <c r="AG478" s="2"/>
      <c r="AH478" s="2"/>
      <c r="AI478" s="2"/>
      <c r="AJ478" s="2"/>
      <c r="AK478" s="3"/>
      <c r="AL478" s="2"/>
      <c r="AM478" s="2"/>
      <c r="AN478" s="2"/>
      <c r="AO478" s="2"/>
      <c r="AP478" s="3"/>
      <c r="AQ478" s="2"/>
      <c r="AR478" s="2"/>
      <c r="AS478" s="2"/>
      <c r="AT478" s="7"/>
      <c r="AU478" s="2"/>
      <c r="AV478" s="2"/>
      <c r="AW478" s="2"/>
      <c r="AX478" s="2"/>
    </row>
    <row r="479">
      <c r="A479" s="2"/>
      <c r="B479" s="2"/>
      <c r="C479" s="2"/>
      <c r="D479" s="2"/>
      <c r="E479" s="2"/>
      <c r="F479" s="2"/>
      <c r="G479" s="2"/>
      <c r="H479" s="2"/>
      <c r="I479" s="2"/>
      <c r="J479" s="2"/>
      <c r="K479" s="2"/>
      <c r="L479" s="3"/>
      <c r="M479" s="4"/>
      <c r="N479" s="4"/>
      <c r="O479" s="5"/>
      <c r="P479" s="6"/>
      <c r="Q479" s="3"/>
      <c r="R479" s="2"/>
      <c r="S479" s="2"/>
      <c r="T479" s="2"/>
      <c r="U479" s="2"/>
      <c r="V479" s="3"/>
      <c r="W479" s="2"/>
      <c r="X479" s="2"/>
      <c r="Y479" s="2"/>
      <c r="Z479" s="2"/>
      <c r="AA479" s="3"/>
      <c r="AB479" s="2"/>
      <c r="AC479" s="2"/>
      <c r="AD479" s="2"/>
      <c r="AE479" s="2"/>
      <c r="AF479" s="3"/>
      <c r="AG479" s="2"/>
      <c r="AH479" s="2"/>
      <c r="AI479" s="2"/>
      <c r="AJ479" s="2"/>
      <c r="AK479" s="3"/>
      <c r="AL479" s="2"/>
      <c r="AM479" s="2"/>
      <c r="AN479" s="2"/>
      <c r="AO479" s="2"/>
      <c r="AP479" s="3"/>
      <c r="AQ479" s="2"/>
      <c r="AR479" s="2"/>
      <c r="AS479" s="2"/>
      <c r="AT479" s="7"/>
      <c r="AU479" s="2"/>
      <c r="AV479" s="2"/>
      <c r="AW479" s="2"/>
      <c r="AX479" s="2"/>
    </row>
    <row r="480">
      <c r="A480" s="2"/>
      <c r="B480" s="2"/>
      <c r="C480" s="2"/>
      <c r="D480" s="2"/>
      <c r="E480" s="2"/>
      <c r="F480" s="2"/>
      <c r="G480" s="2"/>
      <c r="H480" s="2"/>
      <c r="I480" s="2"/>
      <c r="J480" s="2"/>
      <c r="K480" s="2"/>
      <c r="L480" s="3"/>
      <c r="M480" s="4"/>
      <c r="N480" s="4"/>
      <c r="O480" s="5"/>
      <c r="P480" s="6"/>
      <c r="Q480" s="3"/>
      <c r="R480" s="2"/>
      <c r="S480" s="2"/>
      <c r="T480" s="2"/>
      <c r="U480" s="2"/>
      <c r="V480" s="3"/>
      <c r="W480" s="2"/>
      <c r="X480" s="2"/>
      <c r="Y480" s="2"/>
      <c r="Z480" s="2"/>
      <c r="AA480" s="3"/>
      <c r="AB480" s="2"/>
      <c r="AC480" s="2"/>
      <c r="AD480" s="2"/>
      <c r="AE480" s="2"/>
      <c r="AF480" s="3"/>
      <c r="AG480" s="2"/>
      <c r="AH480" s="2"/>
      <c r="AI480" s="2"/>
      <c r="AJ480" s="2"/>
      <c r="AK480" s="3"/>
      <c r="AL480" s="2"/>
      <c r="AM480" s="2"/>
      <c r="AN480" s="2"/>
      <c r="AO480" s="2"/>
      <c r="AP480" s="3"/>
      <c r="AQ480" s="2"/>
      <c r="AR480" s="2"/>
      <c r="AS480" s="2"/>
      <c r="AT480" s="7"/>
      <c r="AU480" s="2"/>
      <c r="AV480" s="2"/>
      <c r="AW480" s="2"/>
      <c r="AX480" s="2"/>
    </row>
    <row r="481">
      <c r="A481" s="2"/>
      <c r="B481" s="2"/>
      <c r="C481" s="2"/>
      <c r="D481" s="2"/>
      <c r="E481" s="2"/>
      <c r="F481" s="2"/>
      <c r="G481" s="2"/>
      <c r="H481" s="2"/>
      <c r="I481" s="2"/>
      <c r="J481" s="2"/>
      <c r="K481" s="2"/>
      <c r="L481" s="3"/>
      <c r="M481" s="4"/>
      <c r="N481" s="4"/>
      <c r="O481" s="5"/>
      <c r="P481" s="6"/>
      <c r="Q481" s="3"/>
      <c r="R481" s="2"/>
      <c r="S481" s="2"/>
      <c r="T481" s="2"/>
      <c r="U481" s="2"/>
      <c r="V481" s="3"/>
      <c r="W481" s="2"/>
      <c r="X481" s="2"/>
      <c r="Y481" s="2"/>
      <c r="Z481" s="2"/>
      <c r="AA481" s="3"/>
      <c r="AB481" s="2"/>
      <c r="AC481" s="2"/>
      <c r="AD481" s="2"/>
      <c r="AE481" s="2"/>
      <c r="AF481" s="3"/>
      <c r="AG481" s="2"/>
      <c r="AH481" s="2"/>
      <c r="AI481" s="2"/>
      <c r="AJ481" s="2"/>
      <c r="AK481" s="3"/>
      <c r="AL481" s="2"/>
      <c r="AM481" s="2"/>
      <c r="AN481" s="2"/>
      <c r="AO481" s="2"/>
      <c r="AP481" s="3"/>
      <c r="AQ481" s="2"/>
      <c r="AR481" s="2"/>
      <c r="AS481" s="2"/>
      <c r="AT481" s="7"/>
      <c r="AU481" s="2"/>
      <c r="AV481" s="2"/>
      <c r="AW481" s="2"/>
      <c r="AX481" s="2"/>
    </row>
    <row r="482">
      <c r="A482" s="2"/>
      <c r="B482" s="2"/>
      <c r="C482" s="2"/>
      <c r="D482" s="2"/>
      <c r="E482" s="2"/>
      <c r="F482" s="2"/>
      <c r="G482" s="2"/>
      <c r="H482" s="2"/>
      <c r="I482" s="2"/>
      <c r="J482" s="2"/>
      <c r="K482" s="2"/>
      <c r="L482" s="3"/>
      <c r="M482" s="4"/>
      <c r="N482" s="4"/>
      <c r="O482" s="5"/>
      <c r="P482" s="6"/>
      <c r="Q482" s="3"/>
      <c r="R482" s="2"/>
      <c r="S482" s="2"/>
      <c r="T482" s="2"/>
      <c r="U482" s="2"/>
      <c r="V482" s="3"/>
      <c r="W482" s="2"/>
      <c r="X482" s="2"/>
      <c r="Y482" s="2"/>
      <c r="Z482" s="2"/>
      <c r="AA482" s="3"/>
      <c r="AB482" s="2"/>
      <c r="AC482" s="2"/>
      <c r="AD482" s="2"/>
      <c r="AE482" s="2"/>
      <c r="AF482" s="3"/>
      <c r="AG482" s="2"/>
      <c r="AH482" s="2"/>
      <c r="AI482" s="2"/>
      <c r="AJ482" s="2"/>
      <c r="AK482" s="3"/>
      <c r="AL482" s="2"/>
      <c r="AM482" s="2"/>
      <c r="AN482" s="2"/>
      <c r="AO482" s="2"/>
      <c r="AP482" s="3"/>
      <c r="AQ482" s="2"/>
      <c r="AR482" s="2"/>
      <c r="AS482" s="2"/>
      <c r="AT482" s="7"/>
      <c r="AU482" s="2"/>
      <c r="AV482" s="2"/>
      <c r="AW482" s="2"/>
      <c r="AX482" s="2"/>
    </row>
    <row r="483">
      <c r="A483" s="2"/>
      <c r="B483" s="2"/>
      <c r="C483" s="2"/>
      <c r="D483" s="2"/>
      <c r="E483" s="2"/>
      <c r="F483" s="2"/>
      <c r="G483" s="2"/>
      <c r="H483" s="2"/>
      <c r="I483" s="2"/>
      <c r="J483" s="2"/>
      <c r="K483" s="2"/>
      <c r="L483" s="3"/>
      <c r="M483" s="4"/>
      <c r="N483" s="4"/>
      <c r="O483" s="5"/>
      <c r="P483" s="6"/>
      <c r="Q483" s="3"/>
      <c r="R483" s="2"/>
      <c r="S483" s="2"/>
      <c r="T483" s="2"/>
      <c r="U483" s="2"/>
      <c r="V483" s="3"/>
      <c r="W483" s="2"/>
      <c r="X483" s="2"/>
      <c r="Y483" s="2"/>
      <c r="Z483" s="2"/>
      <c r="AA483" s="3"/>
      <c r="AB483" s="2"/>
      <c r="AC483" s="2"/>
      <c r="AD483" s="2"/>
      <c r="AE483" s="2"/>
      <c r="AF483" s="3"/>
      <c r="AG483" s="2"/>
      <c r="AH483" s="2"/>
      <c r="AI483" s="2"/>
      <c r="AJ483" s="2"/>
      <c r="AK483" s="3"/>
      <c r="AL483" s="2"/>
      <c r="AM483" s="2"/>
      <c r="AN483" s="2"/>
      <c r="AO483" s="2"/>
      <c r="AP483" s="3"/>
      <c r="AQ483" s="2"/>
      <c r="AR483" s="2"/>
      <c r="AS483" s="2"/>
      <c r="AT483" s="7"/>
      <c r="AU483" s="2"/>
      <c r="AV483" s="2"/>
      <c r="AW483" s="2"/>
      <c r="AX483" s="2"/>
    </row>
    <row r="484">
      <c r="A484" s="2"/>
      <c r="B484" s="2"/>
      <c r="C484" s="2"/>
      <c r="D484" s="2"/>
      <c r="E484" s="2"/>
      <c r="F484" s="2"/>
      <c r="G484" s="2"/>
      <c r="H484" s="2"/>
      <c r="I484" s="2"/>
      <c r="J484" s="2"/>
      <c r="K484" s="2"/>
      <c r="L484" s="3"/>
      <c r="M484" s="4"/>
      <c r="N484" s="4"/>
      <c r="O484" s="5"/>
      <c r="P484" s="6"/>
      <c r="Q484" s="3"/>
      <c r="R484" s="2"/>
      <c r="S484" s="2"/>
      <c r="T484" s="2"/>
      <c r="U484" s="2"/>
      <c r="V484" s="3"/>
      <c r="W484" s="2"/>
      <c r="X484" s="2"/>
      <c r="Y484" s="2"/>
      <c r="Z484" s="2"/>
      <c r="AA484" s="3"/>
      <c r="AB484" s="2"/>
      <c r="AC484" s="2"/>
      <c r="AD484" s="2"/>
      <c r="AE484" s="2"/>
      <c r="AF484" s="3"/>
      <c r="AG484" s="2"/>
      <c r="AH484" s="2"/>
      <c r="AI484" s="2"/>
      <c r="AJ484" s="2"/>
      <c r="AK484" s="3"/>
      <c r="AL484" s="2"/>
      <c r="AM484" s="2"/>
      <c r="AN484" s="2"/>
      <c r="AO484" s="2"/>
      <c r="AP484" s="3"/>
      <c r="AQ484" s="2"/>
      <c r="AR484" s="2"/>
      <c r="AS484" s="2"/>
      <c r="AT484" s="7"/>
      <c r="AU484" s="2"/>
      <c r="AV484" s="2"/>
      <c r="AW484" s="2"/>
      <c r="AX484" s="2"/>
    </row>
    <row r="485">
      <c r="A485" s="2"/>
      <c r="B485" s="2"/>
      <c r="C485" s="2"/>
      <c r="D485" s="2"/>
      <c r="E485" s="2"/>
      <c r="F485" s="2"/>
      <c r="G485" s="2"/>
      <c r="H485" s="2"/>
      <c r="I485" s="2"/>
      <c r="J485" s="2"/>
      <c r="K485" s="2"/>
      <c r="L485" s="3"/>
      <c r="M485" s="4"/>
      <c r="N485" s="4"/>
      <c r="O485" s="5"/>
      <c r="P485" s="6"/>
      <c r="Q485" s="3"/>
      <c r="R485" s="2"/>
      <c r="S485" s="2"/>
      <c r="T485" s="2"/>
      <c r="U485" s="2"/>
      <c r="V485" s="3"/>
      <c r="W485" s="2"/>
      <c r="X485" s="2"/>
      <c r="Y485" s="2"/>
      <c r="Z485" s="2"/>
      <c r="AA485" s="3"/>
      <c r="AB485" s="2"/>
      <c r="AC485" s="2"/>
      <c r="AD485" s="2"/>
      <c r="AE485" s="2"/>
      <c r="AF485" s="3"/>
      <c r="AG485" s="2"/>
      <c r="AH485" s="2"/>
      <c r="AI485" s="2"/>
      <c r="AJ485" s="2"/>
      <c r="AK485" s="3"/>
      <c r="AL485" s="2"/>
      <c r="AM485" s="2"/>
      <c r="AN485" s="2"/>
      <c r="AO485" s="2"/>
      <c r="AP485" s="3"/>
      <c r="AQ485" s="2"/>
      <c r="AR485" s="2"/>
      <c r="AS485" s="2"/>
      <c r="AT485" s="7"/>
      <c r="AU485" s="2"/>
      <c r="AV485" s="2"/>
      <c r="AW485" s="2"/>
      <c r="AX485" s="2"/>
    </row>
    <row r="486">
      <c r="A486" s="2"/>
      <c r="B486" s="2"/>
      <c r="C486" s="2"/>
      <c r="D486" s="2"/>
      <c r="E486" s="2"/>
      <c r="F486" s="2"/>
      <c r="G486" s="2"/>
      <c r="H486" s="2"/>
      <c r="I486" s="2"/>
      <c r="J486" s="2"/>
      <c r="K486" s="2"/>
      <c r="L486" s="3"/>
      <c r="M486" s="4"/>
      <c r="N486" s="4"/>
      <c r="O486" s="5"/>
      <c r="P486" s="6"/>
      <c r="Q486" s="3"/>
      <c r="R486" s="2"/>
      <c r="S486" s="2"/>
      <c r="T486" s="2"/>
      <c r="U486" s="2"/>
      <c r="V486" s="3"/>
      <c r="W486" s="2"/>
      <c r="X486" s="2"/>
      <c r="Y486" s="2"/>
      <c r="Z486" s="2"/>
      <c r="AA486" s="3"/>
      <c r="AB486" s="2"/>
      <c r="AC486" s="2"/>
      <c r="AD486" s="2"/>
      <c r="AE486" s="2"/>
      <c r="AF486" s="3"/>
      <c r="AG486" s="2"/>
      <c r="AH486" s="2"/>
      <c r="AI486" s="2"/>
      <c r="AJ486" s="2"/>
      <c r="AK486" s="3"/>
      <c r="AL486" s="2"/>
      <c r="AM486" s="2"/>
      <c r="AN486" s="2"/>
      <c r="AO486" s="2"/>
      <c r="AP486" s="3"/>
      <c r="AQ486" s="2"/>
      <c r="AR486" s="2"/>
      <c r="AS486" s="2"/>
      <c r="AT486" s="7"/>
      <c r="AU486" s="2"/>
      <c r="AV486" s="2"/>
      <c r="AW486" s="2"/>
      <c r="AX486" s="2"/>
    </row>
    <row r="487">
      <c r="A487" s="2"/>
      <c r="B487" s="2"/>
      <c r="C487" s="2"/>
      <c r="D487" s="2"/>
      <c r="E487" s="2"/>
      <c r="F487" s="2"/>
      <c r="G487" s="2"/>
      <c r="H487" s="2"/>
      <c r="I487" s="2"/>
      <c r="J487" s="2"/>
      <c r="K487" s="2"/>
      <c r="L487" s="3"/>
      <c r="M487" s="4"/>
      <c r="N487" s="4"/>
      <c r="O487" s="5"/>
      <c r="P487" s="6"/>
      <c r="Q487" s="3"/>
      <c r="R487" s="2"/>
      <c r="S487" s="2"/>
      <c r="T487" s="2"/>
      <c r="U487" s="2"/>
      <c r="V487" s="3"/>
      <c r="W487" s="2"/>
      <c r="X487" s="2"/>
      <c r="Y487" s="2"/>
      <c r="Z487" s="2"/>
      <c r="AA487" s="3"/>
      <c r="AB487" s="2"/>
      <c r="AC487" s="2"/>
      <c r="AD487" s="2"/>
      <c r="AE487" s="2"/>
      <c r="AF487" s="3"/>
      <c r="AG487" s="2"/>
      <c r="AH487" s="2"/>
      <c r="AI487" s="2"/>
      <c r="AJ487" s="2"/>
      <c r="AK487" s="3"/>
      <c r="AL487" s="2"/>
      <c r="AM487" s="2"/>
      <c r="AN487" s="2"/>
      <c r="AO487" s="2"/>
      <c r="AP487" s="3"/>
      <c r="AQ487" s="2"/>
      <c r="AR487" s="2"/>
      <c r="AS487" s="2"/>
      <c r="AT487" s="7"/>
      <c r="AU487" s="2"/>
      <c r="AV487" s="2"/>
      <c r="AW487" s="2"/>
      <c r="AX487" s="2"/>
    </row>
    <row r="488">
      <c r="A488" s="2"/>
      <c r="B488" s="2"/>
      <c r="C488" s="2"/>
      <c r="D488" s="2"/>
      <c r="E488" s="2"/>
      <c r="F488" s="2"/>
      <c r="G488" s="2"/>
      <c r="H488" s="2"/>
      <c r="I488" s="2"/>
      <c r="J488" s="2"/>
      <c r="K488" s="2"/>
      <c r="L488" s="3"/>
      <c r="M488" s="4"/>
      <c r="N488" s="4"/>
      <c r="O488" s="5"/>
      <c r="P488" s="6"/>
      <c r="Q488" s="3"/>
      <c r="R488" s="2"/>
      <c r="S488" s="2"/>
      <c r="T488" s="2"/>
      <c r="U488" s="2"/>
      <c r="V488" s="3"/>
      <c r="W488" s="2"/>
      <c r="X488" s="2"/>
      <c r="Y488" s="2"/>
      <c r="Z488" s="2"/>
      <c r="AA488" s="3"/>
      <c r="AB488" s="2"/>
      <c r="AC488" s="2"/>
      <c r="AD488" s="2"/>
      <c r="AE488" s="2"/>
      <c r="AF488" s="3"/>
      <c r="AG488" s="2"/>
      <c r="AH488" s="2"/>
      <c r="AI488" s="2"/>
      <c r="AJ488" s="2"/>
      <c r="AK488" s="3"/>
      <c r="AL488" s="2"/>
      <c r="AM488" s="2"/>
      <c r="AN488" s="2"/>
      <c r="AO488" s="2"/>
      <c r="AP488" s="3"/>
      <c r="AQ488" s="2"/>
      <c r="AR488" s="2"/>
      <c r="AS488" s="2"/>
      <c r="AT488" s="7"/>
      <c r="AU488" s="2"/>
      <c r="AV488" s="2"/>
      <c r="AW488" s="2"/>
      <c r="AX488" s="2"/>
    </row>
    <row r="489">
      <c r="A489" s="2"/>
      <c r="B489" s="2"/>
      <c r="C489" s="2"/>
      <c r="D489" s="2"/>
      <c r="E489" s="2"/>
      <c r="F489" s="2"/>
      <c r="G489" s="2"/>
      <c r="H489" s="2"/>
      <c r="I489" s="2"/>
      <c r="J489" s="2"/>
      <c r="K489" s="2"/>
      <c r="L489" s="3"/>
      <c r="M489" s="4"/>
      <c r="N489" s="4"/>
      <c r="O489" s="5"/>
      <c r="P489" s="6"/>
      <c r="Q489" s="3"/>
      <c r="R489" s="2"/>
      <c r="S489" s="2"/>
      <c r="T489" s="2"/>
      <c r="U489" s="2"/>
      <c r="V489" s="3"/>
      <c r="W489" s="2"/>
      <c r="X489" s="2"/>
      <c r="Y489" s="2"/>
      <c r="Z489" s="2"/>
      <c r="AA489" s="3"/>
      <c r="AB489" s="2"/>
      <c r="AC489" s="2"/>
      <c r="AD489" s="2"/>
      <c r="AE489" s="2"/>
      <c r="AF489" s="3"/>
      <c r="AG489" s="2"/>
      <c r="AH489" s="2"/>
      <c r="AI489" s="2"/>
      <c r="AJ489" s="2"/>
      <c r="AK489" s="3"/>
      <c r="AL489" s="2"/>
      <c r="AM489" s="2"/>
      <c r="AN489" s="2"/>
      <c r="AO489" s="2"/>
      <c r="AP489" s="3"/>
      <c r="AQ489" s="2"/>
      <c r="AR489" s="2"/>
      <c r="AS489" s="2"/>
      <c r="AT489" s="7"/>
      <c r="AU489" s="2"/>
      <c r="AV489" s="2"/>
      <c r="AW489" s="2"/>
      <c r="AX489" s="2"/>
    </row>
    <row r="490">
      <c r="A490" s="2"/>
      <c r="B490" s="2"/>
      <c r="C490" s="2"/>
      <c r="D490" s="2"/>
      <c r="E490" s="2"/>
      <c r="F490" s="2"/>
      <c r="G490" s="2"/>
      <c r="H490" s="2"/>
      <c r="I490" s="2"/>
      <c r="J490" s="2"/>
      <c r="K490" s="2"/>
      <c r="L490" s="3"/>
      <c r="M490" s="4"/>
      <c r="N490" s="4"/>
      <c r="O490" s="5"/>
      <c r="P490" s="6"/>
      <c r="Q490" s="3"/>
      <c r="R490" s="2"/>
      <c r="S490" s="2"/>
      <c r="T490" s="2"/>
      <c r="U490" s="2"/>
      <c r="V490" s="3"/>
      <c r="W490" s="2"/>
      <c r="X490" s="2"/>
      <c r="Y490" s="2"/>
      <c r="Z490" s="2"/>
      <c r="AA490" s="3"/>
      <c r="AB490" s="2"/>
      <c r="AC490" s="2"/>
      <c r="AD490" s="2"/>
      <c r="AE490" s="2"/>
      <c r="AF490" s="3"/>
      <c r="AG490" s="2"/>
      <c r="AH490" s="2"/>
      <c r="AI490" s="2"/>
      <c r="AJ490" s="2"/>
      <c r="AK490" s="3"/>
      <c r="AL490" s="2"/>
      <c r="AM490" s="2"/>
      <c r="AN490" s="2"/>
      <c r="AO490" s="2"/>
      <c r="AP490" s="3"/>
      <c r="AQ490" s="2"/>
      <c r="AR490" s="2"/>
      <c r="AS490" s="2"/>
      <c r="AT490" s="7"/>
      <c r="AU490" s="2"/>
      <c r="AV490" s="2"/>
      <c r="AW490" s="2"/>
      <c r="AX490" s="2"/>
    </row>
    <row r="491">
      <c r="A491" s="2"/>
      <c r="B491" s="2"/>
      <c r="C491" s="2"/>
      <c r="D491" s="2"/>
      <c r="E491" s="2"/>
      <c r="F491" s="2"/>
      <c r="G491" s="2"/>
      <c r="H491" s="2"/>
      <c r="I491" s="2"/>
      <c r="J491" s="2"/>
      <c r="K491" s="2"/>
      <c r="L491" s="3"/>
      <c r="M491" s="4"/>
      <c r="N491" s="4"/>
      <c r="O491" s="5"/>
      <c r="P491" s="6"/>
      <c r="Q491" s="3"/>
      <c r="R491" s="2"/>
      <c r="S491" s="2"/>
      <c r="T491" s="2"/>
      <c r="U491" s="2"/>
      <c r="V491" s="3"/>
      <c r="W491" s="2"/>
      <c r="X491" s="2"/>
      <c r="Y491" s="2"/>
      <c r="Z491" s="2"/>
      <c r="AA491" s="3"/>
      <c r="AB491" s="2"/>
      <c r="AC491" s="2"/>
      <c r="AD491" s="2"/>
      <c r="AE491" s="2"/>
      <c r="AF491" s="3"/>
      <c r="AG491" s="2"/>
      <c r="AH491" s="2"/>
      <c r="AI491" s="2"/>
      <c r="AJ491" s="2"/>
      <c r="AK491" s="3"/>
      <c r="AL491" s="2"/>
      <c r="AM491" s="2"/>
      <c r="AN491" s="2"/>
      <c r="AO491" s="2"/>
      <c r="AP491" s="3"/>
      <c r="AQ491" s="2"/>
      <c r="AR491" s="2"/>
      <c r="AS491" s="2"/>
      <c r="AT491" s="7"/>
      <c r="AU491" s="2"/>
      <c r="AV491" s="2"/>
      <c r="AW491" s="2"/>
      <c r="AX491" s="2"/>
    </row>
    <row r="492">
      <c r="A492" s="2"/>
      <c r="B492" s="2"/>
      <c r="C492" s="2"/>
      <c r="D492" s="2"/>
      <c r="E492" s="2"/>
      <c r="F492" s="2"/>
      <c r="G492" s="2"/>
      <c r="H492" s="2"/>
      <c r="I492" s="2"/>
      <c r="J492" s="2"/>
      <c r="K492" s="2"/>
      <c r="L492" s="3"/>
      <c r="M492" s="4"/>
      <c r="N492" s="4"/>
      <c r="O492" s="5"/>
      <c r="P492" s="6"/>
      <c r="Q492" s="3"/>
      <c r="R492" s="2"/>
      <c r="S492" s="2"/>
      <c r="T492" s="2"/>
      <c r="U492" s="2"/>
      <c r="V492" s="3"/>
      <c r="W492" s="2"/>
      <c r="X492" s="2"/>
      <c r="Y492" s="2"/>
      <c r="Z492" s="2"/>
      <c r="AA492" s="3"/>
      <c r="AB492" s="2"/>
      <c r="AC492" s="2"/>
      <c r="AD492" s="2"/>
      <c r="AE492" s="2"/>
      <c r="AF492" s="3"/>
      <c r="AG492" s="2"/>
      <c r="AH492" s="2"/>
      <c r="AI492" s="2"/>
      <c r="AJ492" s="2"/>
      <c r="AK492" s="3"/>
      <c r="AL492" s="2"/>
      <c r="AM492" s="2"/>
      <c r="AN492" s="2"/>
      <c r="AO492" s="2"/>
      <c r="AP492" s="3"/>
      <c r="AQ492" s="2"/>
      <c r="AR492" s="2"/>
      <c r="AS492" s="2"/>
      <c r="AT492" s="7"/>
      <c r="AU492" s="2"/>
      <c r="AV492" s="2"/>
      <c r="AW492" s="2"/>
      <c r="AX492" s="2"/>
    </row>
    <row r="493">
      <c r="A493" s="2"/>
      <c r="B493" s="2"/>
      <c r="C493" s="2"/>
      <c r="D493" s="2"/>
      <c r="E493" s="2"/>
      <c r="F493" s="2"/>
      <c r="G493" s="2"/>
      <c r="H493" s="2"/>
      <c r="I493" s="2"/>
      <c r="J493" s="2"/>
      <c r="K493" s="2"/>
      <c r="L493" s="3"/>
      <c r="M493" s="4"/>
      <c r="N493" s="4"/>
      <c r="O493" s="5"/>
      <c r="P493" s="6"/>
      <c r="Q493" s="3"/>
      <c r="R493" s="2"/>
      <c r="S493" s="2"/>
      <c r="T493" s="2"/>
      <c r="U493" s="2"/>
      <c r="V493" s="3"/>
      <c r="W493" s="2"/>
      <c r="X493" s="2"/>
      <c r="Y493" s="2"/>
      <c r="Z493" s="2"/>
      <c r="AA493" s="3"/>
      <c r="AB493" s="2"/>
      <c r="AC493" s="2"/>
      <c r="AD493" s="2"/>
      <c r="AE493" s="2"/>
      <c r="AF493" s="3"/>
      <c r="AG493" s="2"/>
      <c r="AH493" s="2"/>
      <c r="AI493" s="2"/>
      <c r="AJ493" s="2"/>
      <c r="AK493" s="3"/>
      <c r="AL493" s="2"/>
      <c r="AM493" s="2"/>
      <c r="AN493" s="2"/>
      <c r="AO493" s="2"/>
      <c r="AP493" s="3"/>
      <c r="AQ493" s="2"/>
      <c r="AR493" s="2"/>
      <c r="AS493" s="2"/>
      <c r="AT493" s="7"/>
      <c r="AU493" s="2"/>
      <c r="AV493" s="2"/>
      <c r="AW493" s="2"/>
      <c r="AX493" s="2"/>
    </row>
    <row r="494">
      <c r="A494" s="2"/>
      <c r="B494" s="2"/>
      <c r="C494" s="2"/>
      <c r="D494" s="2"/>
      <c r="E494" s="2"/>
      <c r="F494" s="2"/>
      <c r="G494" s="2"/>
      <c r="H494" s="2"/>
      <c r="I494" s="2"/>
      <c r="J494" s="2"/>
      <c r="K494" s="2"/>
      <c r="L494" s="3"/>
      <c r="M494" s="4"/>
      <c r="N494" s="4"/>
      <c r="O494" s="5"/>
      <c r="P494" s="6"/>
      <c r="Q494" s="3"/>
      <c r="R494" s="2"/>
      <c r="S494" s="2"/>
      <c r="T494" s="2"/>
      <c r="U494" s="2"/>
      <c r="V494" s="3"/>
      <c r="W494" s="2"/>
      <c r="X494" s="2"/>
      <c r="Y494" s="2"/>
      <c r="Z494" s="2"/>
      <c r="AA494" s="3"/>
      <c r="AB494" s="2"/>
      <c r="AC494" s="2"/>
      <c r="AD494" s="2"/>
      <c r="AE494" s="2"/>
      <c r="AF494" s="3"/>
      <c r="AG494" s="2"/>
      <c r="AH494" s="2"/>
      <c r="AI494" s="2"/>
      <c r="AJ494" s="2"/>
      <c r="AK494" s="3"/>
      <c r="AL494" s="2"/>
      <c r="AM494" s="2"/>
      <c r="AN494" s="2"/>
      <c r="AO494" s="2"/>
      <c r="AP494" s="3"/>
      <c r="AQ494" s="2"/>
      <c r="AR494" s="2"/>
      <c r="AS494" s="2"/>
      <c r="AT494" s="7"/>
      <c r="AU494" s="2"/>
      <c r="AV494" s="2"/>
      <c r="AW494" s="2"/>
      <c r="AX494" s="2"/>
    </row>
    <row r="495">
      <c r="A495" s="2"/>
      <c r="B495" s="2"/>
      <c r="C495" s="2"/>
      <c r="D495" s="2"/>
      <c r="E495" s="2"/>
      <c r="F495" s="2"/>
      <c r="G495" s="2"/>
      <c r="H495" s="2"/>
      <c r="I495" s="2"/>
      <c r="J495" s="2"/>
      <c r="K495" s="2"/>
      <c r="L495" s="3"/>
      <c r="M495" s="4"/>
      <c r="N495" s="4"/>
      <c r="O495" s="5"/>
      <c r="P495" s="6"/>
      <c r="Q495" s="3"/>
      <c r="R495" s="2"/>
      <c r="S495" s="2"/>
      <c r="T495" s="2"/>
      <c r="U495" s="2"/>
      <c r="V495" s="3"/>
      <c r="W495" s="2"/>
      <c r="X495" s="2"/>
      <c r="Y495" s="2"/>
      <c r="Z495" s="2"/>
      <c r="AA495" s="3"/>
      <c r="AB495" s="2"/>
      <c r="AC495" s="2"/>
      <c r="AD495" s="2"/>
      <c r="AE495" s="2"/>
      <c r="AF495" s="3"/>
      <c r="AG495" s="2"/>
      <c r="AH495" s="2"/>
      <c r="AI495" s="2"/>
      <c r="AJ495" s="2"/>
      <c r="AK495" s="3"/>
      <c r="AL495" s="2"/>
      <c r="AM495" s="2"/>
      <c r="AN495" s="2"/>
      <c r="AO495" s="2"/>
      <c r="AP495" s="3"/>
      <c r="AQ495" s="2"/>
      <c r="AR495" s="2"/>
      <c r="AS495" s="2"/>
      <c r="AT495" s="7"/>
      <c r="AU495" s="2"/>
      <c r="AV495" s="2"/>
      <c r="AW495" s="2"/>
      <c r="AX495" s="2"/>
    </row>
    <row r="496">
      <c r="A496" s="2"/>
      <c r="B496" s="2"/>
      <c r="C496" s="2"/>
      <c r="D496" s="2"/>
      <c r="E496" s="2"/>
      <c r="F496" s="2"/>
      <c r="G496" s="2"/>
      <c r="H496" s="2"/>
      <c r="I496" s="2"/>
      <c r="J496" s="2"/>
      <c r="K496" s="2"/>
      <c r="L496" s="3"/>
      <c r="M496" s="4"/>
      <c r="N496" s="4"/>
      <c r="O496" s="5"/>
      <c r="P496" s="6"/>
      <c r="Q496" s="3"/>
      <c r="R496" s="2"/>
      <c r="S496" s="2"/>
      <c r="T496" s="2"/>
      <c r="U496" s="2"/>
      <c r="V496" s="3"/>
      <c r="W496" s="2"/>
      <c r="X496" s="2"/>
      <c r="Y496" s="2"/>
      <c r="Z496" s="2"/>
      <c r="AA496" s="3"/>
      <c r="AB496" s="2"/>
      <c r="AC496" s="2"/>
      <c r="AD496" s="2"/>
      <c r="AE496" s="2"/>
      <c r="AF496" s="3"/>
      <c r="AG496" s="2"/>
      <c r="AH496" s="2"/>
      <c r="AI496" s="2"/>
      <c r="AJ496" s="2"/>
      <c r="AK496" s="3"/>
      <c r="AL496" s="2"/>
      <c r="AM496" s="2"/>
      <c r="AN496" s="2"/>
      <c r="AO496" s="2"/>
      <c r="AP496" s="3"/>
      <c r="AQ496" s="2"/>
      <c r="AR496" s="2"/>
      <c r="AS496" s="2"/>
      <c r="AT496" s="7"/>
      <c r="AU496" s="2"/>
      <c r="AV496" s="2"/>
      <c r="AW496" s="2"/>
      <c r="AX496" s="2"/>
    </row>
    <row r="497">
      <c r="A497" s="2"/>
      <c r="B497" s="2"/>
      <c r="C497" s="2"/>
      <c r="D497" s="2"/>
      <c r="E497" s="2"/>
      <c r="F497" s="2"/>
      <c r="G497" s="2"/>
      <c r="H497" s="2"/>
      <c r="I497" s="2"/>
      <c r="J497" s="2"/>
      <c r="K497" s="2"/>
      <c r="L497" s="3"/>
      <c r="M497" s="4"/>
      <c r="N497" s="4"/>
      <c r="O497" s="5"/>
      <c r="P497" s="6"/>
      <c r="Q497" s="3"/>
      <c r="R497" s="2"/>
      <c r="S497" s="2"/>
      <c r="T497" s="2"/>
      <c r="U497" s="2"/>
      <c r="V497" s="3"/>
      <c r="W497" s="2"/>
      <c r="X497" s="2"/>
      <c r="Y497" s="2"/>
      <c r="Z497" s="2"/>
      <c r="AA497" s="3"/>
      <c r="AB497" s="2"/>
      <c r="AC497" s="2"/>
      <c r="AD497" s="2"/>
      <c r="AE497" s="2"/>
      <c r="AF497" s="3"/>
      <c r="AG497" s="2"/>
      <c r="AH497" s="2"/>
      <c r="AI497" s="2"/>
      <c r="AJ497" s="2"/>
      <c r="AK497" s="3"/>
      <c r="AL497" s="2"/>
      <c r="AM497" s="2"/>
      <c r="AN497" s="2"/>
      <c r="AO497" s="2"/>
      <c r="AP497" s="3"/>
      <c r="AQ497" s="2"/>
      <c r="AR497" s="2"/>
      <c r="AS497" s="2"/>
      <c r="AT497" s="7"/>
      <c r="AU497" s="2"/>
      <c r="AV497" s="2"/>
      <c r="AW497" s="2"/>
      <c r="AX497" s="2"/>
    </row>
    <row r="498">
      <c r="A498" s="2"/>
      <c r="B498" s="2"/>
      <c r="C498" s="2"/>
      <c r="D498" s="2"/>
      <c r="E498" s="2"/>
      <c r="F498" s="2"/>
      <c r="G498" s="2"/>
      <c r="H498" s="2"/>
      <c r="I498" s="2"/>
      <c r="J498" s="2"/>
      <c r="K498" s="2"/>
      <c r="L498" s="3"/>
      <c r="M498" s="4"/>
      <c r="N498" s="4"/>
      <c r="O498" s="5"/>
      <c r="P498" s="6"/>
      <c r="Q498" s="3"/>
      <c r="R498" s="2"/>
      <c r="S498" s="2"/>
      <c r="T498" s="2"/>
      <c r="U498" s="2"/>
      <c r="V498" s="3"/>
      <c r="W498" s="2"/>
      <c r="X498" s="2"/>
      <c r="Y498" s="2"/>
      <c r="Z498" s="2"/>
      <c r="AA498" s="3"/>
      <c r="AB498" s="2"/>
      <c r="AC498" s="2"/>
      <c r="AD498" s="2"/>
      <c r="AE498" s="2"/>
      <c r="AF498" s="3"/>
      <c r="AG498" s="2"/>
      <c r="AH498" s="2"/>
      <c r="AI498" s="2"/>
      <c r="AJ498" s="2"/>
      <c r="AK498" s="3"/>
      <c r="AL498" s="2"/>
      <c r="AM498" s="2"/>
      <c r="AN498" s="2"/>
      <c r="AO498" s="2"/>
      <c r="AP498" s="3"/>
      <c r="AQ498" s="2"/>
      <c r="AR498" s="2"/>
      <c r="AS498" s="2"/>
      <c r="AT498" s="7"/>
      <c r="AU498" s="2"/>
      <c r="AV498" s="2"/>
      <c r="AW498" s="2"/>
      <c r="AX498" s="2"/>
    </row>
    <row r="499">
      <c r="A499" s="2"/>
      <c r="B499" s="2"/>
      <c r="C499" s="2"/>
      <c r="D499" s="2"/>
      <c r="E499" s="2"/>
      <c r="F499" s="2"/>
      <c r="G499" s="2"/>
      <c r="H499" s="2"/>
      <c r="I499" s="2"/>
      <c r="J499" s="2"/>
      <c r="K499" s="2"/>
      <c r="L499" s="3"/>
      <c r="M499" s="4"/>
      <c r="N499" s="4"/>
      <c r="O499" s="5"/>
      <c r="P499" s="6"/>
      <c r="Q499" s="3"/>
      <c r="R499" s="2"/>
      <c r="S499" s="2"/>
      <c r="T499" s="2"/>
      <c r="U499" s="2"/>
      <c r="V499" s="3"/>
      <c r="W499" s="2"/>
      <c r="X499" s="2"/>
      <c r="Y499" s="2"/>
      <c r="Z499" s="2"/>
      <c r="AA499" s="3"/>
      <c r="AB499" s="2"/>
      <c r="AC499" s="2"/>
      <c r="AD499" s="2"/>
      <c r="AE499" s="2"/>
      <c r="AF499" s="3"/>
      <c r="AG499" s="2"/>
      <c r="AH499" s="2"/>
      <c r="AI499" s="2"/>
      <c r="AJ499" s="2"/>
      <c r="AK499" s="3"/>
      <c r="AL499" s="2"/>
      <c r="AM499" s="2"/>
      <c r="AN499" s="2"/>
      <c r="AO499" s="2"/>
      <c r="AP499" s="3"/>
      <c r="AQ499" s="2"/>
      <c r="AR499" s="2"/>
      <c r="AS499" s="2"/>
      <c r="AT499" s="7"/>
      <c r="AU499" s="2"/>
      <c r="AV499" s="2"/>
      <c r="AW499" s="2"/>
      <c r="AX499" s="2"/>
    </row>
    <row r="500">
      <c r="A500" s="2"/>
      <c r="B500" s="2"/>
      <c r="C500" s="2"/>
      <c r="D500" s="2"/>
      <c r="E500" s="2"/>
      <c r="F500" s="2"/>
      <c r="G500" s="2"/>
      <c r="H500" s="2"/>
      <c r="I500" s="2"/>
      <c r="J500" s="2"/>
      <c r="K500" s="2"/>
      <c r="L500" s="3"/>
      <c r="M500" s="4"/>
      <c r="N500" s="4"/>
      <c r="O500" s="5"/>
      <c r="P500" s="6"/>
      <c r="Q500" s="3"/>
      <c r="R500" s="2"/>
      <c r="S500" s="2"/>
      <c r="T500" s="2"/>
      <c r="U500" s="2"/>
      <c r="V500" s="3"/>
      <c r="W500" s="2"/>
      <c r="X500" s="2"/>
      <c r="Y500" s="2"/>
      <c r="Z500" s="2"/>
      <c r="AA500" s="3"/>
      <c r="AB500" s="2"/>
      <c r="AC500" s="2"/>
      <c r="AD500" s="2"/>
      <c r="AE500" s="2"/>
      <c r="AF500" s="3"/>
      <c r="AG500" s="2"/>
      <c r="AH500" s="2"/>
      <c r="AI500" s="2"/>
      <c r="AJ500" s="2"/>
      <c r="AK500" s="3"/>
      <c r="AL500" s="2"/>
      <c r="AM500" s="2"/>
      <c r="AN500" s="2"/>
      <c r="AO500" s="2"/>
      <c r="AP500" s="3"/>
      <c r="AQ500" s="2"/>
      <c r="AR500" s="2"/>
      <c r="AS500" s="2"/>
      <c r="AT500" s="7"/>
      <c r="AU500" s="2"/>
      <c r="AV500" s="2"/>
      <c r="AW500" s="2"/>
      <c r="AX500" s="2"/>
    </row>
    <row r="501">
      <c r="A501" s="2"/>
      <c r="B501" s="2"/>
      <c r="C501" s="2"/>
      <c r="D501" s="2"/>
      <c r="E501" s="2"/>
      <c r="F501" s="2"/>
      <c r="G501" s="2"/>
      <c r="H501" s="2"/>
      <c r="I501" s="2"/>
      <c r="J501" s="2"/>
      <c r="K501" s="2"/>
      <c r="L501" s="3"/>
      <c r="M501" s="4"/>
      <c r="N501" s="4"/>
      <c r="O501" s="5"/>
      <c r="P501" s="6"/>
      <c r="Q501" s="3"/>
      <c r="R501" s="2"/>
      <c r="S501" s="2"/>
      <c r="T501" s="2"/>
      <c r="U501" s="2"/>
      <c r="V501" s="3"/>
      <c r="W501" s="2"/>
      <c r="X501" s="2"/>
      <c r="Y501" s="2"/>
      <c r="Z501" s="2"/>
      <c r="AA501" s="3"/>
      <c r="AB501" s="2"/>
      <c r="AC501" s="2"/>
      <c r="AD501" s="2"/>
      <c r="AE501" s="2"/>
      <c r="AF501" s="3"/>
      <c r="AG501" s="2"/>
      <c r="AH501" s="2"/>
      <c r="AI501" s="2"/>
      <c r="AJ501" s="2"/>
      <c r="AK501" s="3"/>
      <c r="AL501" s="2"/>
      <c r="AM501" s="2"/>
      <c r="AN501" s="2"/>
      <c r="AO501" s="2"/>
      <c r="AP501" s="3"/>
      <c r="AQ501" s="2"/>
      <c r="AR501" s="2"/>
      <c r="AS501" s="2"/>
      <c r="AT501" s="7"/>
      <c r="AU501" s="2"/>
      <c r="AV501" s="2"/>
      <c r="AW501" s="2"/>
      <c r="AX501" s="2"/>
    </row>
    <row r="502">
      <c r="A502" s="2"/>
      <c r="B502" s="2"/>
      <c r="C502" s="2"/>
      <c r="D502" s="2"/>
      <c r="E502" s="2"/>
      <c r="F502" s="2"/>
      <c r="G502" s="2"/>
      <c r="H502" s="2"/>
      <c r="I502" s="2"/>
      <c r="J502" s="2"/>
      <c r="K502" s="2"/>
      <c r="L502" s="3"/>
      <c r="M502" s="4"/>
      <c r="N502" s="4"/>
      <c r="O502" s="5"/>
      <c r="P502" s="6"/>
      <c r="Q502" s="3"/>
      <c r="R502" s="2"/>
      <c r="S502" s="2"/>
      <c r="T502" s="2"/>
      <c r="U502" s="2"/>
      <c r="V502" s="3"/>
      <c r="W502" s="2"/>
      <c r="X502" s="2"/>
      <c r="Y502" s="2"/>
      <c r="Z502" s="2"/>
      <c r="AA502" s="3"/>
      <c r="AB502" s="2"/>
      <c r="AC502" s="2"/>
      <c r="AD502" s="2"/>
      <c r="AE502" s="2"/>
      <c r="AF502" s="3"/>
      <c r="AG502" s="2"/>
      <c r="AH502" s="2"/>
      <c r="AI502" s="2"/>
      <c r="AJ502" s="2"/>
      <c r="AK502" s="3"/>
      <c r="AL502" s="2"/>
      <c r="AM502" s="2"/>
      <c r="AN502" s="2"/>
      <c r="AO502" s="2"/>
      <c r="AP502" s="3"/>
      <c r="AQ502" s="2"/>
      <c r="AR502" s="2"/>
      <c r="AS502" s="2"/>
      <c r="AT502" s="7"/>
      <c r="AU502" s="2"/>
      <c r="AV502" s="2"/>
      <c r="AW502" s="2"/>
      <c r="AX502" s="2"/>
    </row>
    <row r="503">
      <c r="A503" s="2"/>
      <c r="B503" s="2"/>
      <c r="C503" s="2"/>
      <c r="D503" s="2"/>
      <c r="E503" s="2"/>
      <c r="F503" s="2"/>
      <c r="G503" s="2"/>
      <c r="H503" s="2"/>
      <c r="I503" s="2"/>
      <c r="J503" s="2"/>
      <c r="K503" s="2"/>
      <c r="L503" s="3"/>
      <c r="M503" s="4"/>
      <c r="N503" s="4"/>
      <c r="O503" s="5"/>
      <c r="P503" s="6"/>
      <c r="Q503" s="3"/>
      <c r="R503" s="2"/>
      <c r="S503" s="2"/>
      <c r="T503" s="2"/>
      <c r="U503" s="2"/>
      <c r="V503" s="3"/>
      <c r="W503" s="2"/>
      <c r="X503" s="2"/>
      <c r="Y503" s="2"/>
      <c r="Z503" s="2"/>
      <c r="AA503" s="3"/>
      <c r="AB503" s="2"/>
      <c r="AC503" s="2"/>
      <c r="AD503" s="2"/>
      <c r="AE503" s="2"/>
      <c r="AF503" s="3"/>
      <c r="AG503" s="2"/>
      <c r="AH503" s="2"/>
      <c r="AI503" s="2"/>
      <c r="AJ503" s="2"/>
      <c r="AK503" s="3"/>
      <c r="AL503" s="2"/>
      <c r="AM503" s="2"/>
      <c r="AN503" s="2"/>
      <c r="AO503" s="2"/>
      <c r="AP503" s="3"/>
      <c r="AQ503" s="2"/>
      <c r="AR503" s="2"/>
      <c r="AS503" s="2"/>
      <c r="AT503" s="7"/>
      <c r="AU503" s="2"/>
      <c r="AV503" s="2"/>
      <c r="AW503" s="2"/>
      <c r="AX503" s="2"/>
    </row>
    <row r="504">
      <c r="A504" s="2"/>
      <c r="B504" s="2"/>
      <c r="C504" s="2"/>
      <c r="D504" s="2"/>
      <c r="E504" s="2"/>
      <c r="F504" s="2"/>
      <c r="G504" s="2"/>
      <c r="H504" s="2"/>
      <c r="I504" s="2"/>
      <c r="J504" s="2"/>
      <c r="K504" s="2"/>
      <c r="L504" s="3"/>
      <c r="M504" s="4"/>
      <c r="N504" s="4"/>
      <c r="O504" s="5"/>
      <c r="P504" s="6"/>
      <c r="Q504" s="3"/>
      <c r="R504" s="2"/>
      <c r="S504" s="2"/>
      <c r="T504" s="2"/>
      <c r="U504" s="2"/>
      <c r="V504" s="3"/>
      <c r="W504" s="2"/>
      <c r="X504" s="2"/>
      <c r="Y504" s="2"/>
      <c r="Z504" s="2"/>
      <c r="AA504" s="3"/>
      <c r="AB504" s="2"/>
      <c r="AC504" s="2"/>
      <c r="AD504" s="2"/>
      <c r="AE504" s="2"/>
      <c r="AF504" s="3"/>
      <c r="AG504" s="2"/>
      <c r="AH504" s="2"/>
      <c r="AI504" s="2"/>
      <c r="AJ504" s="2"/>
      <c r="AK504" s="3"/>
      <c r="AL504" s="2"/>
      <c r="AM504" s="2"/>
      <c r="AN504" s="2"/>
      <c r="AO504" s="2"/>
      <c r="AP504" s="3"/>
      <c r="AQ504" s="2"/>
      <c r="AR504" s="2"/>
      <c r="AS504" s="2"/>
      <c r="AT504" s="7"/>
      <c r="AU504" s="2"/>
      <c r="AV504" s="2"/>
      <c r="AW504" s="2"/>
      <c r="AX504" s="2"/>
    </row>
    <row r="505">
      <c r="A505" s="2"/>
      <c r="B505" s="2"/>
      <c r="C505" s="2"/>
      <c r="D505" s="2"/>
      <c r="E505" s="2"/>
      <c r="F505" s="2"/>
      <c r="G505" s="2"/>
      <c r="H505" s="2"/>
      <c r="I505" s="2"/>
      <c r="J505" s="2"/>
      <c r="K505" s="2"/>
      <c r="L505" s="3"/>
      <c r="M505" s="4"/>
      <c r="N505" s="4"/>
      <c r="O505" s="5"/>
      <c r="P505" s="6"/>
      <c r="Q505" s="3"/>
      <c r="R505" s="2"/>
      <c r="S505" s="2"/>
      <c r="T505" s="2"/>
      <c r="U505" s="2"/>
      <c r="V505" s="3"/>
      <c r="W505" s="2"/>
      <c r="X505" s="2"/>
      <c r="Y505" s="2"/>
      <c r="Z505" s="2"/>
      <c r="AA505" s="3"/>
      <c r="AB505" s="2"/>
      <c r="AC505" s="2"/>
      <c r="AD505" s="2"/>
      <c r="AE505" s="2"/>
      <c r="AF505" s="3"/>
      <c r="AG505" s="2"/>
      <c r="AH505" s="2"/>
      <c r="AI505" s="2"/>
      <c r="AJ505" s="2"/>
      <c r="AK505" s="3"/>
      <c r="AL505" s="2"/>
      <c r="AM505" s="2"/>
      <c r="AN505" s="2"/>
      <c r="AO505" s="2"/>
      <c r="AP505" s="3"/>
      <c r="AQ505" s="2"/>
      <c r="AR505" s="2"/>
      <c r="AS505" s="2"/>
      <c r="AT505" s="7"/>
      <c r="AU505" s="2"/>
      <c r="AV505" s="2"/>
      <c r="AW505" s="2"/>
      <c r="AX505" s="2"/>
    </row>
    <row r="506">
      <c r="A506" s="2"/>
      <c r="B506" s="2"/>
      <c r="C506" s="2"/>
      <c r="D506" s="2"/>
      <c r="E506" s="2"/>
      <c r="F506" s="2"/>
      <c r="G506" s="2"/>
      <c r="H506" s="2"/>
      <c r="I506" s="2"/>
      <c r="J506" s="2"/>
      <c r="K506" s="2"/>
      <c r="L506" s="3"/>
      <c r="M506" s="4"/>
      <c r="N506" s="4"/>
      <c r="O506" s="5"/>
      <c r="P506" s="6"/>
      <c r="Q506" s="3"/>
      <c r="R506" s="2"/>
      <c r="S506" s="2"/>
      <c r="T506" s="2"/>
      <c r="U506" s="2"/>
      <c r="V506" s="3"/>
      <c r="W506" s="2"/>
      <c r="X506" s="2"/>
      <c r="Y506" s="2"/>
      <c r="Z506" s="2"/>
      <c r="AA506" s="3"/>
      <c r="AB506" s="2"/>
      <c r="AC506" s="2"/>
      <c r="AD506" s="2"/>
      <c r="AE506" s="2"/>
      <c r="AF506" s="3"/>
      <c r="AG506" s="2"/>
      <c r="AH506" s="2"/>
      <c r="AI506" s="2"/>
      <c r="AJ506" s="2"/>
      <c r="AK506" s="3"/>
      <c r="AL506" s="2"/>
      <c r="AM506" s="2"/>
      <c r="AN506" s="2"/>
      <c r="AO506" s="2"/>
      <c r="AP506" s="3"/>
      <c r="AQ506" s="2"/>
      <c r="AR506" s="2"/>
      <c r="AS506" s="2"/>
      <c r="AT506" s="7"/>
      <c r="AU506" s="2"/>
      <c r="AV506" s="2"/>
      <c r="AW506" s="2"/>
      <c r="AX506" s="2"/>
    </row>
    <row r="507">
      <c r="A507" s="2"/>
      <c r="B507" s="2"/>
      <c r="C507" s="2"/>
      <c r="D507" s="2"/>
      <c r="E507" s="2"/>
      <c r="F507" s="2"/>
      <c r="G507" s="2"/>
      <c r="H507" s="2"/>
      <c r="I507" s="2"/>
      <c r="J507" s="2"/>
      <c r="K507" s="2"/>
      <c r="L507" s="3"/>
      <c r="M507" s="4"/>
      <c r="N507" s="4"/>
      <c r="O507" s="5"/>
      <c r="P507" s="6"/>
      <c r="Q507" s="3"/>
      <c r="R507" s="2"/>
      <c r="S507" s="2"/>
      <c r="T507" s="2"/>
      <c r="U507" s="2"/>
      <c r="V507" s="3"/>
      <c r="W507" s="2"/>
      <c r="X507" s="2"/>
      <c r="Y507" s="2"/>
      <c r="Z507" s="2"/>
      <c r="AA507" s="3"/>
      <c r="AB507" s="2"/>
      <c r="AC507" s="2"/>
      <c r="AD507" s="2"/>
      <c r="AE507" s="2"/>
      <c r="AF507" s="3"/>
      <c r="AG507" s="2"/>
      <c r="AH507" s="2"/>
      <c r="AI507" s="2"/>
      <c r="AJ507" s="2"/>
      <c r="AK507" s="3"/>
      <c r="AL507" s="2"/>
      <c r="AM507" s="2"/>
      <c r="AN507" s="2"/>
      <c r="AO507" s="2"/>
      <c r="AP507" s="3"/>
      <c r="AQ507" s="2"/>
      <c r="AR507" s="2"/>
      <c r="AS507" s="2"/>
      <c r="AT507" s="7"/>
      <c r="AU507" s="2"/>
      <c r="AV507" s="2"/>
      <c r="AW507" s="2"/>
      <c r="AX507" s="2"/>
    </row>
    <row r="508">
      <c r="A508" s="2"/>
      <c r="B508" s="2"/>
      <c r="C508" s="2"/>
      <c r="D508" s="2"/>
      <c r="E508" s="2"/>
      <c r="F508" s="2"/>
      <c r="G508" s="2"/>
      <c r="H508" s="2"/>
      <c r="I508" s="2"/>
      <c r="J508" s="2"/>
      <c r="K508" s="2"/>
      <c r="L508" s="3"/>
      <c r="M508" s="4"/>
      <c r="N508" s="4"/>
      <c r="O508" s="5"/>
      <c r="P508" s="6"/>
      <c r="Q508" s="3"/>
      <c r="R508" s="2"/>
      <c r="S508" s="2"/>
      <c r="T508" s="2"/>
      <c r="U508" s="2"/>
      <c r="V508" s="3"/>
      <c r="W508" s="2"/>
      <c r="X508" s="2"/>
      <c r="Y508" s="2"/>
      <c r="Z508" s="2"/>
      <c r="AA508" s="3"/>
      <c r="AB508" s="2"/>
      <c r="AC508" s="2"/>
      <c r="AD508" s="2"/>
      <c r="AE508" s="2"/>
      <c r="AF508" s="3"/>
      <c r="AG508" s="2"/>
      <c r="AH508" s="2"/>
      <c r="AI508" s="2"/>
      <c r="AJ508" s="2"/>
      <c r="AK508" s="3"/>
      <c r="AL508" s="2"/>
      <c r="AM508" s="2"/>
      <c r="AN508" s="2"/>
      <c r="AO508" s="2"/>
      <c r="AP508" s="3"/>
      <c r="AQ508" s="2"/>
      <c r="AR508" s="2"/>
      <c r="AS508" s="2"/>
      <c r="AT508" s="7"/>
      <c r="AU508" s="2"/>
      <c r="AV508" s="2"/>
      <c r="AW508" s="2"/>
      <c r="AX508" s="2"/>
    </row>
    <row r="509">
      <c r="A509" s="2"/>
      <c r="B509" s="2"/>
      <c r="C509" s="2"/>
      <c r="D509" s="2"/>
      <c r="E509" s="2"/>
      <c r="F509" s="2"/>
      <c r="G509" s="2"/>
      <c r="H509" s="2"/>
      <c r="I509" s="2"/>
      <c r="J509" s="2"/>
      <c r="K509" s="2"/>
      <c r="L509" s="3"/>
      <c r="M509" s="4"/>
      <c r="N509" s="4"/>
      <c r="O509" s="5"/>
      <c r="P509" s="6"/>
      <c r="Q509" s="3"/>
      <c r="R509" s="2"/>
      <c r="S509" s="2"/>
      <c r="T509" s="2"/>
      <c r="U509" s="2"/>
      <c r="V509" s="3"/>
      <c r="W509" s="2"/>
      <c r="X509" s="2"/>
      <c r="Y509" s="2"/>
      <c r="Z509" s="2"/>
      <c r="AA509" s="3"/>
      <c r="AB509" s="2"/>
      <c r="AC509" s="2"/>
      <c r="AD509" s="2"/>
      <c r="AE509" s="2"/>
      <c r="AF509" s="3"/>
      <c r="AG509" s="2"/>
      <c r="AH509" s="2"/>
      <c r="AI509" s="2"/>
      <c r="AJ509" s="2"/>
      <c r="AK509" s="3"/>
      <c r="AL509" s="2"/>
      <c r="AM509" s="2"/>
      <c r="AN509" s="2"/>
      <c r="AO509" s="2"/>
      <c r="AP509" s="3"/>
      <c r="AQ509" s="2"/>
      <c r="AR509" s="2"/>
      <c r="AS509" s="2"/>
      <c r="AT509" s="7"/>
      <c r="AU509" s="2"/>
      <c r="AV509" s="2"/>
      <c r="AW509" s="2"/>
      <c r="AX509" s="2"/>
    </row>
    <row r="510">
      <c r="A510" s="2"/>
      <c r="B510" s="2"/>
      <c r="C510" s="2"/>
      <c r="D510" s="2"/>
      <c r="E510" s="2"/>
      <c r="F510" s="2"/>
      <c r="G510" s="2"/>
      <c r="H510" s="2"/>
      <c r="I510" s="2"/>
      <c r="J510" s="2"/>
      <c r="K510" s="2"/>
      <c r="L510" s="3"/>
      <c r="M510" s="4"/>
      <c r="N510" s="4"/>
      <c r="O510" s="5"/>
      <c r="P510" s="6"/>
      <c r="Q510" s="3"/>
      <c r="R510" s="2"/>
      <c r="S510" s="2"/>
      <c r="T510" s="2"/>
      <c r="U510" s="2"/>
      <c r="V510" s="3"/>
      <c r="W510" s="2"/>
      <c r="X510" s="2"/>
      <c r="Y510" s="2"/>
      <c r="Z510" s="2"/>
      <c r="AA510" s="3"/>
      <c r="AB510" s="2"/>
      <c r="AC510" s="2"/>
      <c r="AD510" s="2"/>
      <c r="AE510" s="2"/>
      <c r="AF510" s="3"/>
      <c r="AG510" s="2"/>
      <c r="AH510" s="2"/>
      <c r="AI510" s="2"/>
      <c r="AJ510" s="2"/>
      <c r="AK510" s="3"/>
      <c r="AL510" s="2"/>
      <c r="AM510" s="2"/>
      <c r="AN510" s="2"/>
      <c r="AO510" s="2"/>
      <c r="AP510" s="3"/>
      <c r="AQ510" s="2"/>
      <c r="AR510" s="2"/>
      <c r="AS510" s="2"/>
      <c r="AT510" s="7"/>
      <c r="AU510" s="2"/>
      <c r="AV510" s="2"/>
      <c r="AW510" s="2"/>
      <c r="AX510" s="2"/>
    </row>
    <row r="511">
      <c r="A511" s="2"/>
      <c r="B511" s="2"/>
      <c r="C511" s="2"/>
      <c r="D511" s="2"/>
      <c r="E511" s="2"/>
      <c r="F511" s="2"/>
      <c r="G511" s="2"/>
      <c r="H511" s="2"/>
      <c r="I511" s="2"/>
      <c r="J511" s="2"/>
      <c r="K511" s="2"/>
      <c r="L511" s="3"/>
      <c r="M511" s="4"/>
      <c r="N511" s="4"/>
      <c r="O511" s="5"/>
      <c r="P511" s="6"/>
      <c r="Q511" s="3"/>
      <c r="R511" s="2"/>
      <c r="S511" s="2"/>
      <c r="T511" s="2"/>
      <c r="U511" s="2"/>
      <c r="V511" s="3"/>
      <c r="W511" s="2"/>
      <c r="X511" s="2"/>
      <c r="Y511" s="2"/>
      <c r="Z511" s="2"/>
      <c r="AA511" s="3"/>
      <c r="AB511" s="2"/>
      <c r="AC511" s="2"/>
      <c r="AD511" s="2"/>
      <c r="AE511" s="2"/>
      <c r="AF511" s="3"/>
      <c r="AG511" s="2"/>
      <c r="AH511" s="2"/>
      <c r="AI511" s="2"/>
      <c r="AJ511" s="2"/>
      <c r="AK511" s="3"/>
      <c r="AL511" s="2"/>
      <c r="AM511" s="2"/>
      <c r="AN511" s="2"/>
      <c r="AO511" s="2"/>
      <c r="AP511" s="3"/>
      <c r="AQ511" s="2"/>
      <c r="AR511" s="2"/>
      <c r="AS511" s="2"/>
      <c r="AT511" s="7"/>
      <c r="AU511" s="2"/>
      <c r="AV511" s="2"/>
      <c r="AW511" s="2"/>
      <c r="AX511" s="2"/>
    </row>
    <row r="512">
      <c r="A512" s="2"/>
      <c r="B512" s="2"/>
      <c r="C512" s="2"/>
      <c r="D512" s="2"/>
      <c r="E512" s="2"/>
      <c r="F512" s="2"/>
      <c r="G512" s="2"/>
      <c r="H512" s="2"/>
      <c r="I512" s="2"/>
      <c r="J512" s="2"/>
      <c r="K512" s="2"/>
      <c r="L512" s="3"/>
      <c r="M512" s="4"/>
      <c r="N512" s="4"/>
      <c r="O512" s="5"/>
      <c r="P512" s="6"/>
      <c r="Q512" s="3"/>
      <c r="R512" s="2"/>
      <c r="S512" s="2"/>
      <c r="T512" s="2"/>
      <c r="U512" s="2"/>
      <c r="V512" s="3"/>
      <c r="W512" s="2"/>
      <c r="X512" s="2"/>
      <c r="Y512" s="2"/>
      <c r="Z512" s="2"/>
      <c r="AA512" s="3"/>
      <c r="AB512" s="2"/>
      <c r="AC512" s="2"/>
      <c r="AD512" s="2"/>
      <c r="AE512" s="2"/>
      <c r="AF512" s="3"/>
      <c r="AG512" s="2"/>
      <c r="AH512" s="2"/>
      <c r="AI512" s="2"/>
      <c r="AJ512" s="2"/>
      <c r="AK512" s="3"/>
      <c r="AL512" s="2"/>
      <c r="AM512" s="2"/>
      <c r="AN512" s="2"/>
      <c r="AO512" s="2"/>
      <c r="AP512" s="3"/>
      <c r="AQ512" s="2"/>
      <c r="AR512" s="2"/>
      <c r="AS512" s="2"/>
      <c r="AT512" s="7"/>
      <c r="AU512" s="2"/>
      <c r="AV512" s="2"/>
      <c r="AW512" s="2"/>
      <c r="AX512" s="2"/>
    </row>
    <row r="513">
      <c r="A513" s="2"/>
      <c r="B513" s="2"/>
      <c r="C513" s="2"/>
      <c r="D513" s="2"/>
      <c r="E513" s="2"/>
      <c r="F513" s="2"/>
      <c r="G513" s="2"/>
      <c r="H513" s="2"/>
      <c r="I513" s="2"/>
      <c r="J513" s="2"/>
      <c r="K513" s="2"/>
      <c r="L513" s="3"/>
      <c r="M513" s="4"/>
      <c r="N513" s="4"/>
      <c r="O513" s="5"/>
      <c r="P513" s="6"/>
      <c r="Q513" s="3"/>
      <c r="R513" s="2"/>
      <c r="S513" s="2"/>
      <c r="T513" s="2"/>
      <c r="U513" s="2"/>
      <c r="V513" s="3"/>
      <c r="W513" s="2"/>
      <c r="X513" s="2"/>
      <c r="Y513" s="2"/>
      <c r="Z513" s="2"/>
      <c r="AA513" s="3"/>
      <c r="AB513" s="2"/>
      <c r="AC513" s="2"/>
      <c r="AD513" s="2"/>
      <c r="AE513" s="2"/>
      <c r="AF513" s="3"/>
      <c r="AG513" s="2"/>
      <c r="AH513" s="2"/>
      <c r="AI513" s="2"/>
      <c r="AJ513" s="2"/>
      <c r="AK513" s="3"/>
      <c r="AL513" s="2"/>
      <c r="AM513" s="2"/>
      <c r="AN513" s="2"/>
      <c r="AO513" s="2"/>
      <c r="AP513" s="3"/>
      <c r="AQ513" s="2"/>
      <c r="AR513" s="2"/>
      <c r="AS513" s="2"/>
      <c r="AT513" s="7"/>
      <c r="AU513" s="2"/>
      <c r="AV513" s="2"/>
      <c r="AW513" s="2"/>
      <c r="AX513" s="2"/>
    </row>
    <row r="514">
      <c r="A514" s="2"/>
      <c r="B514" s="2"/>
      <c r="C514" s="2"/>
      <c r="D514" s="2"/>
      <c r="E514" s="2"/>
      <c r="F514" s="2"/>
      <c r="G514" s="2"/>
      <c r="H514" s="2"/>
      <c r="I514" s="2"/>
      <c r="J514" s="2"/>
      <c r="K514" s="2"/>
      <c r="L514" s="3"/>
      <c r="M514" s="4"/>
      <c r="N514" s="4"/>
      <c r="O514" s="5"/>
      <c r="P514" s="6"/>
      <c r="Q514" s="3"/>
      <c r="R514" s="2"/>
      <c r="S514" s="2"/>
      <c r="T514" s="2"/>
      <c r="U514" s="2"/>
      <c r="V514" s="3"/>
      <c r="W514" s="2"/>
      <c r="X514" s="2"/>
      <c r="Y514" s="2"/>
      <c r="Z514" s="2"/>
      <c r="AA514" s="3"/>
      <c r="AB514" s="2"/>
      <c r="AC514" s="2"/>
      <c r="AD514" s="2"/>
      <c r="AE514" s="2"/>
      <c r="AF514" s="3"/>
      <c r="AG514" s="2"/>
      <c r="AH514" s="2"/>
      <c r="AI514" s="2"/>
      <c r="AJ514" s="2"/>
      <c r="AK514" s="3"/>
      <c r="AL514" s="2"/>
      <c r="AM514" s="2"/>
      <c r="AN514" s="2"/>
      <c r="AO514" s="2"/>
      <c r="AP514" s="3"/>
      <c r="AQ514" s="2"/>
      <c r="AR514" s="2"/>
      <c r="AS514" s="2"/>
      <c r="AT514" s="7"/>
      <c r="AU514" s="2"/>
      <c r="AV514" s="2"/>
      <c r="AW514" s="2"/>
      <c r="AX514" s="2"/>
    </row>
    <row r="515">
      <c r="A515" s="2"/>
      <c r="B515" s="2"/>
      <c r="C515" s="2"/>
      <c r="D515" s="2"/>
      <c r="E515" s="2"/>
      <c r="F515" s="2"/>
      <c r="G515" s="2"/>
      <c r="H515" s="2"/>
      <c r="I515" s="2"/>
      <c r="J515" s="2"/>
      <c r="K515" s="2"/>
      <c r="L515" s="3"/>
      <c r="M515" s="4"/>
      <c r="N515" s="4"/>
      <c r="O515" s="5"/>
      <c r="P515" s="6"/>
      <c r="Q515" s="3"/>
      <c r="R515" s="2"/>
      <c r="S515" s="2"/>
      <c r="T515" s="2"/>
      <c r="U515" s="2"/>
      <c r="V515" s="3"/>
      <c r="W515" s="2"/>
      <c r="X515" s="2"/>
      <c r="Y515" s="2"/>
      <c r="Z515" s="2"/>
      <c r="AA515" s="3"/>
      <c r="AB515" s="2"/>
      <c r="AC515" s="2"/>
      <c r="AD515" s="2"/>
      <c r="AE515" s="2"/>
      <c r="AF515" s="3"/>
      <c r="AG515" s="2"/>
      <c r="AH515" s="2"/>
      <c r="AI515" s="2"/>
      <c r="AJ515" s="2"/>
      <c r="AK515" s="3"/>
      <c r="AL515" s="2"/>
      <c r="AM515" s="2"/>
      <c r="AN515" s="2"/>
      <c r="AO515" s="2"/>
      <c r="AP515" s="3"/>
      <c r="AQ515" s="2"/>
      <c r="AR515" s="2"/>
      <c r="AS515" s="2"/>
      <c r="AT515" s="7"/>
      <c r="AU515" s="2"/>
      <c r="AV515" s="2"/>
      <c r="AW515" s="2"/>
      <c r="AX515" s="2"/>
    </row>
    <row r="516">
      <c r="A516" s="2"/>
      <c r="B516" s="2"/>
      <c r="C516" s="2"/>
      <c r="D516" s="2"/>
      <c r="E516" s="2"/>
      <c r="F516" s="2"/>
      <c r="G516" s="2"/>
      <c r="H516" s="2"/>
      <c r="I516" s="2"/>
      <c r="J516" s="2"/>
      <c r="K516" s="2"/>
      <c r="L516" s="3"/>
      <c r="M516" s="4"/>
      <c r="N516" s="4"/>
      <c r="O516" s="5"/>
      <c r="P516" s="6"/>
      <c r="Q516" s="3"/>
      <c r="R516" s="2"/>
      <c r="S516" s="2"/>
      <c r="T516" s="2"/>
      <c r="U516" s="2"/>
      <c r="V516" s="3"/>
      <c r="W516" s="2"/>
      <c r="X516" s="2"/>
      <c r="Y516" s="2"/>
      <c r="Z516" s="2"/>
      <c r="AA516" s="3"/>
      <c r="AB516" s="2"/>
      <c r="AC516" s="2"/>
      <c r="AD516" s="2"/>
      <c r="AE516" s="2"/>
      <c r="AF516" s="3"/>
      <c r="AG516" s="2"/>
      <c r="AH516" s="2"/>
      <c r="AI516" s="2"/>
      <c r="AJ516" s="2"/>
      <c r="AK516" s="3"/>
      <c r="AL516" s="2"/>
      <c r="AM516" s="2"/>
      <c r="AN516" s="2"/>
      <c r="AO516" s="2"/>
      <c r="AP516" s="3"/>
      <c r="AQ516" s="2"/>
      <c r="AR516" s="2"/>
      <c r="AS516" s="2"/>
      <c r="AT516" s="7"/>
      <c r="AU516" s="2"/>
      <c r="AV516" s="2"/>
      <c r="AW516" s="2"/>
      <c r="AX516" s="2"/>
    </row>
    <row r="517">
      <c r="A517" s="2"/>
      <c r="B517" s="2"/>
      <c r="C517" s="2"/>
      <c r="D517" s="2"/>
      <c r="E517" s="2"/>
      <c r="F517" s="2"/>
      <c r="G517" s="2"/>
      <c r="H517" s="2"/>
      <c r="I517" s="2"/>
      <c r="J517" s="2"/>
      <c r="K517" s="2"/>
      <c r="L517" s="3"/>
      <c r="M517" s="4"/>
      <c r="N517" s="4"/>
      <c r="O517" s="5"/>
      <c r="P517" s="6"/>
      <c r="Q517" s="3"/>
      <c r="R517" s="2"/>
      <c r="S517" s="2"/>
      <c r="T517" s="2"/>
      <c r="U517" s="2"/>
      <c r="V517" s="3"/>
      <c r="W517" s="2"/>
      <c r="X517" s="2"/>
      <c r="Y517" s="2"/>
      <c r="Z517" s="2"/>
      <c r="AA517" s="3"/>
      <c r="AB517" s="2"/>
      <c r="AC517" s="2"/>
      <c r="AD517" s="2"/>
      <c r="AE517" s="2"/>
      <c r="AF517" s="3"/>
      <c r="AG517" s="2"/>
      <c r="AH517" s="2"/>
      <c r="AI517" s="2"/>
      <c r="AJ517" s="2"/>
      <c r="AK517" s="3"/>
      <c r="AL517" s="2"/>
      <c r="AM517" s="2"/>
      <c r="AN517" s="2"/>
      <c r="AO517" s="2"/>
      <c r="AP517" s="3"/>
      <c r="AQ517" s="2"/>
      <c r="AR517" s="2"/>
      <c r="AS517" s="2"/>
      <c r="AT517" s="7"/>
      <c r="AU517" s="2"/>
      <c r="AV517" s="2"/>
      <c r="AW517" s="2"/>
      <c r="AX517" s="2"/>
    </row>
    <row r="518">
      <c r="A518" s="2"/>
      <c r="B518" s="2"/>
      <c r="C518" s="2"/>
      <c r="D518" s="2"/>
      <c r="E518" s="2"/>
      <c r="F518" s="2"/>
      <c r="G518" s="2"/>
      <c r="H518" s="2"/>
      <c r="I518" s="2"/>
      <c r="J518" s="2"/>
      <c r="K518" s="2"/>
      <c r="L518" s="3"/>
      <c r="M518" s="4"/>
      <c r="N518" s="4"/>
      <c r="O518" s="5"/>
      <c r="P518" s="6"/>
      <c r="Q518" s="3"/>
      <c r="R518" s="2"/>
      <c r="S518" s="2"/>
      <c r="T518" s="2"/>
      <c r="U518" s="2"/>
      <c r="V518" s="3"/>
      <c r="W518" s="2"/>
      <c r="X518" s="2"/>
      <c r="Y518" s="2"/>
      <c r="Z518" s="2"/>
      <c r="AA518" s="3"/>
      <c r="AB518" s="2"/>
      <c r="AC518" s="2"/>
      <c r="AD518" s="2"/>
      <c r="AE518" s="2"/>
      <c r="AF518" s="3"/>
      <c r="AG518" s="2"/>
      <c r="AH518" s="2"/>
      <c r="AI518" s="2"/>
      <c r="AJ518" s="2"/>
      <c r="AK518" s="3"/>
      <c r="AL518" s="2"/>
      <c r="AM518" s="2"/>
      <c r="AN518" s="2"/>
      <c r="AO518" s="2"/>
      <c r="AP518" s="3"/>
      <c r="AQ518" s="2"/>
      <c r="AR518" s="2"/>
      <c r="AS518" s="2"/>
      <c r="AT518" s="7"/>
      <c r="AU518" s="2"/>
      <c r="AV518" s="2"/>
      <c r="AW518" s="2"/>
      <c r="AX518" s="2"/>
    </row>
    <row r="519">
      <c r="A519" s="2"/>
      <c r="B519" s="2"/>
      <c r="C519" s="2"/>
      <c r="D519" s="2"/>
      <c r="E519" s="2"/>
      <c r="F519" s="2"/>
      <c r="G519" s="2"/>
      <c r="H519" s="2"/>
      <c r="I519" s="2"/>
      <c r="J519" s="2"/>
      <c r="K519" s="2"/>
      <c r="L519" s="3"/>
      <c r="M519" s="4"/>
      <c r="N519" s="4"/>
      <c r="O519" s="5"/>
      <c r="P519" s="6"/>
      <c r="Q519" s="3"/>
      <c r="R519" s="2"/>
      <c r="S519" s="2"/>
      <c r="T519" s="2"/>
      <c r="U519" s="2"/>
      <c r="V519" s="3"/>
      <c r="W519" s="2"/>
      <c r="X519" s="2"/>
      <c r="Y519" s="2"/>
      <c r="Z519" s="2"/>
      <c r="AA519" s="3"/>
      <c r="AB519" s="2"/>
      <c r="AC519" s="2"/>
      <c r="AD519" s="2"/>
      <c r="AE519" s="2"/>
      <c r="AF519" s="3"/>
      <c r="AG519" s="2"/>
      <c r="AH519" s="2"/>
      <c r="AI519" s="2"/>
      <c r="AJ519" s="2"/>
      <c r="AK519" s="3"/>
      <c r="AL519" s="2"/>
      <c r="AM519" s="2"/>
      <c r="AN519" s="2"/>
      <c r="AO519" s="2"/>
      <c r="AP519" s="3"/>
      <c r="AQ519" s="2"/>
      <c r="AR519" s="2"/>
      <c r="AS519" s="2"/>
      <c r="AT519" s="7"/>
      <c r="AU519" s="2"/>
      <c r="AV519" s="2"/>
      <c r="AW519" s="2"/>
      <c r="AX519" s="2"/>
    </row>
    <row r="520">
      <c r="A520" s="2"/>
      <c r="B520" s="2"/>
      <c r="C520" s="2"/>
      <c r="D520" s="2"/>
      <c r="E520" s="2"/>
      <c r="F520" s="2"/>
      <c r="G520" s="2"/>
      <c r="H520" s="2"/>
      <c r="I520" s="2"/>
      <c r="J520" s="2"/>
      <c r="K520" s="2"/>
      <c r="L520" s="3"/>
      <c r="M520" s="4"/>
      <c r="N520" s="4"/>
      <c r="O520" s="5"/>
      <c r="P520" s="6"/>
      <c r="Q520" s="3"/>
      <c r="R520" s="2"/>
      <c r="S520" s="2"/>
      <c r="T520" s="2"/>
      <c r="U520" s="2"/>
      <c r="V520" s="3"/>
      <c r="W520" s="2"/>
      <c r="X520" s="2"/>
      <c r="Y520" s="2"/>
      <c r="Z520" s="2"/>
      <c r="AA520" s="3"/>
      <c r="AB520" s="2"/>
      <c r="AC520" s="2"/>
      <c r="AD520" s="2"/>
      <c r="AE520" s="2"/>
      <c r="AF520" s="3"/>
      <c r="AG520" s="2"/>
      <c r="AH520" s="2"/>
      <c r="AI520" s="2"/>
      <c r="AJ520" s="2"/>
      <c r="AK520" s="3"/>
      <c r="AL520" s="2"/>
      <c r="AM520" s="2"/>
      <c r="AN520" s="2"/>
      <c r="AO520" s="2"/>
      <c r="AP520" s="3"/>
      <c r="AQ520" s="2"/>
      <c r="AR520" s="2"/>
      <c r="AS520" s="2"/>
      <c r="AT520" s="7"/>
      <c r="AU520" s="2"/>
      <c r="AV520" s="2"/>
      <c r="AW520" s="2"/>
      <c r="AX520" s="2"/>
    </row>
    <row r="521">
      <c r="A521" s="2"/>
      <c r="B521" s="2"/>
      <c r="C521" s="2"/>
      <c r="D521" s="2"/>
      <c r="E521" s="2"/>
      <c r="F521" s="2"/>
      <c r="G521" s="2"/>
      <c r="H521" s="2"/>
      <c r="I521" s="2"/>
      <c r="J521" s="2"/>
      <c r="K521" s="2"/>
      <c r="L521" s="3"/>
      <c r="M521" s="4"/>
      <c r="N521" s="4"/>
      <c r="O521" s="5"/>
      <c r="P521" s="6"/>
      <c r="Q521" s="3"/>
      <c r="R521" s="2"/>
      <c r="S521" s="2"/>
      <c r="T521" s="2"/>
      <c r="U521" s="2"/>
      <c r="V521" s="3"/>
      <c r="W521" s="2"/>
      <c r="X521" s="2"/>
      <c r="Y521" s="2"/>
      <c r="Z521" s="2"/>
      <c r="AA521" s="3"/>
      <c r="AB521" s="2"/>
      <c r="AC521" s="2"/>
      <c r="AD521" s="2"/>
      <c r="AE521" s="2"/>
      <c r="AF521" s="3"/>
      <c r="AG521" s="2"/>
      <c r="AH521" s="2"/>
      <c r="AI521" s="2"/>
      <c r="AJ521" s="2"/>
      <c r="AK521" s="3"/>
      <c r="AL521" s="2"/>
      <c r="AM521" s="2"/>
      <c r="AN521" s="2"/>
      <c r="AO521" s="2"/>
      <c r="AP521" s="3"/>
      <c r="AQ521" s="2"/>
      <c r="AR521" s="2"/>
      <c r="AS521" s="2"/>
      <c r="AT521" s="7"/>
      <c r="AU521" s="2"/>
      <c r="AV521" s="2"/>
      <c r="AW521" s="2"/>
      <c r="AX521" s="2"/>
    </row>
    <row r="522">
      <c r="A522" s="2"/>
      <c r="B522" s="2"/>
      <c r="C522" s="2"/>
      <c r="D522" s="2"/>
      <c r="E522" s="2"/>
      <c r="F522" s="2"/>
      <c r="G522" s="2"/>
      <c r="H522" s="2"/>
      <c r="I522" s="2"/>
      <c r="J522" s="2"/>
      <c r="K522" s="2"/>
      <c r="L522" s="3"/>
      <c r="M522" s="4"/>
      <c r="N522" s="4"/>
      <c r="O522" s="5"/>
      <c r="P522" s="6"/>
      <c r="Q522" s="3"/>
      <c r="R522" s="2"/>
      <c r="S522" s="2"/>
      <c r="T522" s="2"/>
      <c r="U522" s="2"/>
      <c r="V522" s="3"/>
      <c r="W522" s="2"/>
      <c r="X522" s="2"/>
      <c r="Y522" s="2"/>
      <c r="Z522" s="2"/>
      <c r="AA522" s="3"/>
      <c r="AB522" s="2"/>
      <c r="AC522" s="2"/>
      <c r="AD522" s="2"/>
      <c r="AE522" s="2"/>
      <c r="AF522" s="3"/>
      <c r="AG522" s="2"/>
      <c r="AH522" s="2"/>
      <c r="AI522" s="2"/>
      <c r="AJ522" s="2"/>
      <c r="AK522" s="3"/>
      <c r="AL522" s="2"/>
      <c r="AM522" s="2"/>
      <c r="AN522" s="2"/>
      <c r="AO522" s="2"/>
      <c r="AP522" s="3"/>
      <c r="AQ522" s="2"/>
      <c r="AR522" s="2"/>
      <c r="AS522" s="2"/>
      <c r="AT522" s="7"/>
      <c r="AU522" s="2"/>
      <c r="AV522" s="2"/>
      <c r="AW522" s="2"/>
      <c r="AX522" s="2"/>
    </row>
    <row r="523">
      <c r="A523" s="2"/>
      <c r="B523" s="2"/>
      <c r="C523" s="2"/>
      <c r="D523" s="2"/>
      <c r="E523" s="2"/>
      <c r="F523" s="2"/>
      <c r="G523" s="2"/>
      <c r="H523" s="2"/>
      <c r="I523" s="2"/>
      <c r="J523" s="2"/>
      <c r="K523" s="2"/>
      <c r="L523" s="3"/>
      <c r="M523" s="4"/>
      <c r="N523" s="4"/>
      <c r="O523" s="5"/>
      <c r="P523" s="6"/>
      <c r="Q523" s="3"/>
      <c r="R523" s="2"/>
      <c r="S523" s="2"/>
      <c r="T523" s="2"/>
      <c r="U523" s="2"/>
      <c r="V523" s="3"/>
      <c r="W523" s="2"/>
      <c r="X523" s="2"/>
      <c r="Y523" s="2"/>
      <c r="Z523" s="2"/>
      <c r="AA523" s="3"/>
      <c r="AB523" s="2"/>
      <c r="AC523" s="2"/>
      <c r="AD523" s="2"/>
      <c r="AE523" s="2"/>
      <c r="AF523" s="3"/>
      <c r="AG523" s="2"/>
      <c r="AH523" s="2"/>
      <c r="AI523" s="2"/>
      <c r="AJ523" s="2"/>
      <c r="AK523" s="3"/>
      <c r="AL523" s="2"/>
      <c r="AM523" s="2"/>
      <c r="AN523" s="2"/>
      <c r="AO523" s="2"/>
      <c r="AP523" s="3"/>
      <c r="AQ523" s="2"/>
      <c r="AR523" s="2"/>
      <c r="AS523" s="2"/>
      <c r="AT523" s="7"/>
      <c r="AU523" s="2"/>
      <c r="AV523" s="2"/>
      <c r="AW523" s="2"/>
      <c r="AX523" s="2"/>
    </row>
    <row r="524">
      <c r="A524" s="2"/>
      <c r="B524" s="2"/>
      <c r="C524" s="2"/>
      <c r="D524" s="2"/>
      <c r="E524" s="2"/>
      <c r="F524" s="2"/>
      <c r="G524" s="2"/>
      <c r="H524" s="2"/>
      <c r="I524" s="2"/>
      <c r="J524" s="2"/>
      <c r="K524" s="2"/>
      <c r="L524" s="3"/>
      <c r="M524" s="4"/>
      <c r="N524" s="4"/>
      <c r="O524" s="5"/>
      <c r="P524" s="6"/>
      <c r="Q524" s="3"/>
      <c r="R524" s="2"/>
      <c r="S524" s="2"/>
      <c r="T524" s="2"/>
      <c r="U524" s="2"/>
      <c r="V524" s="3"/>
      <c r="W524" s="2"/>
      <c r="X524" s="2"/>
      <c r="Y524" s="2"/>
      <c r="Z524" s="2"/>
      <c r="AA524" s="3"/>
      <c r="AB524" s="2"/>
      <c r="AC524" s="2"/>
      <c r="AD524" s="2"/>
      <c r="AE524" s="2"/>
      <c r="AF524" s="3"/>
      <c r="AG524" s="2"/>
      <c r="AH524" s="2"/>
      <c r="AI524" s="2"/>
      <c r="AJ524" s="2"/>
      <c r="AK524" s="3"/>
      <c r="AL524" s="2"/>
      <c r="AM524" s="2"/>
      <c r="AN524" s="2"/>
      <c r="AO524" s="2"/>
      <c r="AP524" s="3"/>
      <c r="AQ524" s="2"/>
      <c r="AR524" s="2"/>
      <c r="AS524" s="2"/>
      <c r="AT524" s="7"/>
      <c r="AU524" s="2"/>
      <c r="AV524" s="2"/>
      <c r="AW524" s="2"/>
      <c r="AX524" s="2"/>
    </row>
    <row r="525">
      <c r="A525" s="2"/>
      <c r="B525" s="2"/>
      <c r="C525" s="2"/>
      <c r="D525" s="2"/>
      <c r="E525" s="2"/>
      <c r="F525" s="2"/>
      <c r="G525" s="2"/>
      <c r="H525" s="2"/>
      <c r="I525" s="2"/>
      <c r="J525" s="2"/>
      <c r="K525" s="2"/>
      <c r="L525" s="3"/>
      <c r="M525" s="4"/>
      <c r="N525" s="4"/>
      <c r="O525" s="5"/>
      <c r="P525" s="6"/>
      <c r="Q525" s="3"/>
      <c r="R525" s="2"/>
      <c r="S525" s="2"/>
      <c r="T525" s="2"/>
      <c r="U525" s="2"/>
      <c r="V525" s="3"/>
      <c r="W525" s="2"/>
      <c r="X525" s="2"/>
      <c r="Y525" s="2"/>
      <c r="Z525" s="2"/>
      <c r="AA525" s="3"/>
      <c r="AB525" s="2"/>
      <c r="AC525" s="2"/>
      <c r="AD525" s="2"/>
      <c r="AE525" s="2"/>
      <c r="AF525" s="3"/>
      <c r="AG525" s="2"/>
      <c r="AH525" s="2"/>
      <c r="AI525" s="2"/>
      <c r="AJ525" s="2"/>
      <c r="AK525" s="3"/>
      <c r="AL525" s="2"/>
      <c r="AM525" s="2"/>
      <c r="AN525" s="2"/>
      <c r="AO525" s="2"/>
      <c r="AP525" s="3"/>
      <c r="AQ525" s="2"/>
      <c r="AR525" s="2"/>
      <c r="AS525" s="2"/>
      <c r="AT525" s="7"/>
      <c r="AU525" s="2"/>
      <c r="AV525" s="2"/>
      <c r="AW525" s="2"/>
      <c r="AX525" s="2"/>
    </row>
    <row r="526">
      <c r="A526" s="2"/>
      <c r="B526" s="2"/>
      <c r="C526" s="2"/>
      <c r="D526" s="2"/>
      <c r="E526" s="2"/>
      <c r="F526" s="2"/>
      <c r="G526" s="2"/>
      <c r="H526" s="2"/>
      <c r="I526" s="2"/>
      <c r="J526" s="2"/>
      <c r="K526" s="2"/>
      <c r="L526" s="3"/>
      <c r="M526" s="4"/>
      <c r="N526" s="4"/>
      <c r="O526" s="5"/>
      <c r="P526" s="6"/>
      <c r="Q526" s="3"/>
      <c r="R526" s="2"/>
      <c r="S526" s="2"/>
      <c r="T526" s="2"/>
      <c r="U526" s="2"/>
      <c r="V526" s="3"/>
      <c r="W526" s="2"/>
      <c r="X526" s="2"/>
      <c r="Y526" s="2"/>
      <c r="Z526" s="2"/>
      <c r="AA526" s="3"/>
      <c r="AB526" s="2"/>
      <c r="AC526" s="2"/>
      <c r="AD526" s="2"/>
      <c r="AE526" s="2"/>
      <c r="AF526" s="3"/>
      <c r="AG526" s="2"/>
      <c r="AH526" s="2"/>
      <c r="AI526" s="2"/>
      <c r="AJ526" s="2"/>
      <c r="AK526" s="3"/>
      <c r="AL526" s="2"/>
      <c r="AM526" s="2"/>
      <c r="AN526" s="2"/>
      <c r="AO526" s="2"/>
      <c r="AP526" s="3"/>
      <c r="AQ526" s="2"/>
      <c r="AR526" s="2"/>
      <c r="AS526" s="2"/>
      <c r="AT526" s="7"/>
      <c r="AU526" s="2"/>
      <c r="AV526" s="2"/>
      <c r="AW526" s="2"/>
      <c r="AX526" s="2"/>
    </row>
    <row r="527">
      <c r="A527" s="2"/>
      <c r="B527" s="2"/>
      <c r="C527" s="2"/>
      <c r="D527" s="2"/>
      <c r="E527" s="2"/>
      <c r="F527" s="2"/>
      <c r="G527" s="2"/>
      <c r="H527" s="2"/>
      <c r="I527" s="2"/>
      <c r="J527" s="2"/>
      <c r="K527" s="2"/>
      <c r="L527" s="3"/>
      <c r="M527" s="4"/>
      <c r="N527" s="4"/>
      <c r="O527" s="5"/>
      <c r="P527" s="6"/>
      <c r="Q527" s="3"/>
      <c r="R527" s="2"/>
      <c r="S527" s="2"/>
      <c r="T527" s="2"/>
      <c r="U527" s="2"/>
      <c r="V527" s="3"/>
      <c r="W527" s="2"/>
      <c r="X527" s="2"/>
      <c r="Y527" s="2"/>
      <c r="Z527" s="2"/>
      <c r="AA527" s="3"/>
      <c r="AB527" s="2"/>
      <c r="AC527" s="2"/>
      <c r="AD527" s="2"/>
      <c r="AE527" s="2"/>
      <c r="AF527" s="3"/>
      <c r="AG527" s="2"/>
      <c r="AH527" s="2"/>
      <c r="AI527" s="2"/>
      <c r="AJ527" s="2"/>
      <c r="AK527" s="3"/>
      <c r="AL527" s="2"/>
      <c r="AM527" s="2"/>
      <c r="AN527" s="2"/>
      <c r="AO527" s="2"/>
      <c r="AP527" s="3"/>
      <c r="AQ527" s="2"/>
      <c r="AR527" s="2"/>
      <c r="AS527" s="2"/>
      <c r="AT527" s="7"/>
      <c r="AU527" s="2"/>
      <c r="AV527" s="2"/>
      <c r="AW527" s="2"/>
      <c r="AX527" s="2"/>
    </row>
    <row r="528">
      <c r="A528" s="2"/>
      <c r="B528" s="2"/>
      <c r="C528" s="2"/>
      <c r="D528" s="2"/>
      <c r="E528" s="2"/>
      <c r="F528" s="2"/>
      <c r="G528" s="2"/>
      <c r="H528" s="2"/>
      <c r="I528" s="2"/>
      <c r="J528" s="2"/>
      <c r="K528" s="2"/>
      <c r="L528" s="3"/>
      <c r="M528" s="4"/>
      <c r="N528" s="4"/>
      <c r="O528" s="5"/>
      <c r="P528" s="6"/>
      <c r="Q528" s="3"/>
      <c r="R528" s="2"/>
      <c r="S528" s="2"/>
      <c r="T528" s="2"/>
      <c r="U528" s="2"/>
      <c r="V528" s="3"/>
      <c r="W528" s="2"/>
      <c r="X528" s="2"/>
      <c r="Y528" s="2"/>
      <c r="Z528" s="2"/>
      <c r="AA528" s="3"/>
      <c r="AB528" s="2"/>
      <c r="AC528" s="2"/>
      <c r="AD528" s="2"/>
      <c r="AE528" s="2"/>
      <c r="AF528" s="3"/>
      <c r="AG528" s="2"/>
      <c r="AH528" s="2"/>
      <c r="AI528" s="2"/>
      <c r="AJ528" s="2"/>
      <c r="AK528" s="3"/>
      <c r="AL528" s="2"/>
      <c r="AM528" s="2"/>
      <c r="AN528" s="2"/>
      <c r="AO528" s="2"/>
      <c r="AP528" s="3"/>
      <c r="AQ528" s="2"/>
      <c r="AR528" s="2"/>
      <c r="AS528" s="2"/>
      <c r="AT528" s="7"/>
      <c r="AU528" s="2"/>
      <c r="AV528" s="2"/>
      <c r="AW528" s="2"/>
      <c r="AX528" s="2"/>
    </row>
    <row r="529">
      <c r="A529" s="2"/>
      <c r="B529" s="2"/>
      <c r="C529" s="2"/>
      <c r="D529" s="2"/>
      <c r="E529" s="2"/>
      <c r="F529" s="2"/>
      <c r="G529" s="2"/>
      <c r="H529" s="2"/>
      <c r="I529" s="2"/>
      <c r="J529" s="2"/>
      <c r="K529" s="2"/>
      <c r="L529" s="3"/>
      <c r="M529" s="4"/>
      <c r="N529" s="4"/>
      <c r="O529" s="5"/>
      <c r="P529" s="6"/>
      <c r="Q529" s="3"/>
      <c r="R529" s="2"/>
      <c r="S529" s="2"/>
      <c r="T529" s="2"/>
      <c r="U529" s="2"/>
      <c r="V529" s="3"/>
      <c r="W529" s="2"/>
      <c r="X529" s="2"/>
      <c r="Y529" s="2"/>
      <c r="Z529" s="2"/>
      <c r="AA529" s="3"/>
      <c r="AB529" s="2"/>
      <c r="AC529" s="2"/>
      <c r="AD529" s="2"/>
      <c r="AE529" s="2"/>
      <c r="AF529" s="3"/>
      <c r="AG529" s="2"/>
      <c r="AH529" s="2"/>
      <c r="AI529" s="2"/>
      <c r="AJ529" s="2"/>
      <c r="AK529" s="3"/>
      <c r="AL529" s="2"/>
      <c r="AM529" s="2"/>
      <c r="AN529" s="2"/>
      <c r="AO529" s="2"/>
      <c r="AP529" s="3"/>
      <c r="AQ529" s="2"/>
      <c r="AR529" s="2"/>
      <c r="AS529" s="2"/>
      <c r="AT529" s="7"/>
      <c r="AU529" s="2"/>
      <c r="AV529" s="2"/>
      <c r="AW529" s="2"/>
      <c r="AX529" s="2"/>
    </row>
    <row r="530">
      <c r="A530" s="2"/>
      <c r="B530" s="2"/>
      <c r="C530" s="2"/>
      <c r="D530" s="2"/>
      <c r="E530" s="2"/>
      <c r="F530" s="2"/>
      <c r="G530" s="2"/>
      <c r="H530" s="2"/>
      <c r="I530" s="2"/>
      <c r="J530" s="2"/>
      <c r="K530" s="2"/>
      <c r="L530" s="3"/>
      <c r="M530" s="4"/>
      <c r="N530" s="4"/>
      <c r="O530" s="5"/>
      <c r="P530" s="6"/>
      <c r="Q530" s="3"/>
      <c r="R530" s="2"/>
      <c r="S530" s="2"/>
      <c r="T530" s="2"/>
      <c r="U530" s="2"/>
      <c r="V530" s="3"/>
      <c r="W530" s="2"/>
      <c r="X530" s="2"/>
      <c r="Y530" s="2"/>
      <c r="Z530" s="2"/>
      <c r="AA530" s="3"/>
      <c r="AB530" s="2"/>
      <c r="AC530" s="2"/>
      <c r="AD530" s="2"/>
      <c r="AE530" s="2"/>
      <c r="AF530" s="3"/>
      <c r="AG530" s="2"/>
      <c r="AH530" s="2"/>
      <c r="AI530" s="2"/>
      <c r="AJ530" s="2"/>
      <c r="AK530" s="3"/>
      <c r="AL530" s="2"/>
      <c r="AM530" s="2"/>
      <c r="AN530" s="2"/>
      <c r="AO530" s="2"/>
      <c r="AP530" s="3"/>
      <c r="AQ530" s="2"/>
      <c r="AR530" s="2"/>
      <c r="AS530" s="2"/>
      <c r="AT530" s="7"/>
      <c r="AU530" s="2"/>
      <c r="AV530" s="2"/>
      <c r="AW530" s="2"/>
      <c r="AX530" s="2"/>
    </row>
    <row r="531">
      <c r="A531" s="2"/>
      <c r="B531" s="2"/>
      <c r="C531" s="2"/>
      <c r="D531" s="2"/>
      <c r="E531" s="2"/>
      <c r="F531" s="2"/>
      <c r="G531" s="2"/>
      <c r="H531" s="2"/>
      <c r="I531" s="2"/>
      <c r="J531" s="2"/>
      <c r="K531" s="2"/>
      <c r="L531" s="3"/>
      <c r="M531" s="4"/>
      <c r="N531" s="4"/>
      <c r="O531" s="5"/>
      <c r="P531" s="6"/>
      <c r="Q531" s="3"/>
      <c r="R531" s="2"/>
      <c r="S531" s="2"/>
      <c r="T531" s="2"/>
      <c r="U531" s="2"/>
      <c r="V531" s="3"/>
      <c r="W531" s="2"/>
      <c r="X531" s="2"/>
      <c r="Y531" s="2"/>
      <c r="Z531" s="2"/>
      <c r="AA531" s="3"/>
      <c r="AB531" s="2"/>
      <c r="AC531" s="2"/>
      <c r="AD531" s="2"/>
      <c r="AE531" s="2"/>
      <c r="AF531" s="3"/>
      <c r="AG531" s="2"/>
      <c r="AH531" s="2"/>
      <c r="AI531" s="2"/>
      <c r="AJ531" s="2"/>
      <c r="AK531" s="3"/>
      <c r="AL531" s="2"/>
      <c r="AM531" s="2"/>
      <c r="AN531" s="2"/>
      <c r="AO531" s="2"/>
      <c r="AP531" s="3"/>
      <c r="AQ531" s="2"/>
      <c r="AR531" s="2"/>
      <c r="AS531" s="2"/>
      <c r="AT531" s="7"/>
      <c r="AU531" s="2"/>
      <c r="AV531" s="2"/>
      <c r="AW531" s="2"/>
      <c r="AX531" s="2"/>
    </row>
    <row r="532">
      <c r="A532" s="2"/>
      <c r="B532" s="2"/>
      <c r="C532" s="2"/>
      <c r="D532" s="2"/>
      <c r="E532" s="2"/>
      <c r="F532" s="2"/>
      <c r="G532" s="2"/>
      <c r="H532" s="2"/>
      <c r="I532" s="2"/>
      <c r="J532" s="2"/>
      <c r="K532" s="2"/>
      <c r="L532" s="3"/>
      <c r="M532" s="4"/>
      <c r="N532" s="4"/>
      <c r="O532" s="5"/>
      <c r="P532" s="6"/>
      <c r="Q532" s="3"/>
      <c r="R532" s="2"/>
      <c r="S532" s="2"/>
      <c r="T532" s="2"/>
      <c r="U532" s="2"/>
      <c r="V532" s="3"/>
      <c r="W532" s="2"/>
      <c r="X532" s="2"/>
      <c r="Y532" s="2"/>
      <c r="Z532" s="2"/>
      <c r="AA532" s="3"/>
      <c r="AB532" s="2"/>
      <c r="AC532" s="2"/>
      <c r="AD532" s="2"/>
      <c r="AE532" s="2"/>
      <c r="AF532" s="3"/>
      <c r="AG532" s="2"/>
      <c r="AH532" s="2"/>
      <c r="AI532" s="2"/>
      <c r="AJ532" s="2"/>
      <c r="AK532" s="3"/>
      <c r="AL532" s="2"/>
      <c r="AM532" s="2"/>
      <c r="AN532" s="2"/>
      <c r="AO532" s="2"/>
      <c r="AP532" s="3"/>
      <c r="AQ532" s="2"/>
      <c r="AR532" s="2"/>
      <c r="AS532" s="2"/>
      <c r="AT532" s="7"/>
      <c r="AU532" s="2"/>
      <c r="AV532" s="2"/>
      <c r="AW532" s="2"/>
      <c r="AX532" s="2"/>
    </row>
    <row r="533">
      <c r="A533" s="2"/>
      <c r="B533" s="2"/>
      <c r="C533" s="2"/>
      <c r="D533" s="2"/>
      <c r="E533" s="2"/>
      <c r="F533" s="2"/>
      <c r="G533" s="2"/>
      <c r="H533" s="2"/>
      <c r="I533" s="2"/>
      <c r="J533" s="2"/>
      <c r="K533" s="2"/>
      <c r="L533" s="3"/>
      <c r="M533" s="4"/>
      <c r="N533" s="4"/>
      <c r="O533" s="5"/>
      <c r="P533" s="6"/>
      <c r="Q533" s="3"/>
      <c r="R533" s="2"/>
      <c r="S533" s="2"/>
      <c r="T533" s="2"/>
      <c r="U533" s="2"/>
      <c r="V533" s="3"/>
      <c r="W533" s="2"/>
      <c r="X533" s="2"/>
      <c r="Y533" s="2"/>
      <c r="Z533" s="2"/>
      <c r="AA533" s="3"/>
      <c r="AB533" s="2"/>
      <c r="AC533" s="2"/>
      <c r="AD533" s="2"/>
      <c r="AE533" s="2"/>
      <c r="AF533" s="3"/>
      <c r="AG533" s="2"/>
      <c r="AH533" s="2"/>
      <c r="AI533" s="2"/>
      <c r="AJ533" s="2"/>
      <c r="AK533" s="3"/>
      <c r="AL533" s="2"/>
      <c r="AM533" s="2"/>
      <c r="AN533" s="2"/>
      <c r="AO533" s="2"/>
      <c r="AP533" s="3"/>
      <c r="AQ533" s="2"/>
      <c r="AR533" s="2"/>
      <c r="AS533" s="2"/>
      <c r="AT533" s="7"/>
      <c r="AU533" s="2"/>
      <c r="AV533" s="2"/>
      <c r="AW533" s="2"/>
      <c r="AX533" s="2"/>
    </row>
    <row r="534">
      <c r="A534" s="2"/>
      <c r="B534" s="2"/>
      <c r="C534" s="2"/>
      <c r="D534" s="2"/>
      <c r="E534" s="2"/>
      <c r="F534" s="2"/>
      <c r="G534" s="2"/>
      <c r="H534" s="2"/>
      <c r="I534" s="2"/>
      <c r="J534" s="2"/>
      <c r="K534" s="2"/>
      <c r="L534" s="3"/>
      <c r="M534" s="4"/>
      <c r="N534" s="4"/>
      <c r="O534" s="5"/>
      <c r="P534" s="6"/>
      <c r="Q534" s="3"/>
      <c r="R534" s="2"/>
      <c r="S534" s="2"/>
      <c r="T534" s="2"/>
      <c r="U534" s="2"/>
      <c r="V534" s="3"/>
      <c r="W534" s="2"/>
      <c r="X534" s="2"/>
      <c r="Y534" s="2"/>
      <c r="Z534" s="2"/>
      <c r="AA534" s="3"/>
      <c r="AB534" s="2"/>
      <c r="AC534" s="2"/>
      <c r="AD534" s="2"/>
      <c r="AE534" s="2"/>
      <c r="AF534" s="3"/>
      <c r="AG534" s="2"/>
      <c r="AH534" s="2"/>
      <c r="AI534" s="2"/>
      <c r="AJ534" s="2"/>
      <c r="AK534" s="3"/>
      <c r="AL534" s="2"/>
      <c r="AM534" s="2"/>
      <c r="AN534" s="2"/>
      <c r="AO534" s="2"/>
      <c r="AP534" s="3"/>
      <c r="AQ534" s="2"/>
      <c r="AR534" s="2"/>
      <c r="AS534" s="2"/>
      <c r="AT534" s="7"/>
      <c r="AU534" s="2"/>
      <c r="AV534" s="2"/>
      <c r="AW534" s="2"/>
      <c r="AX534" s="2"/>
    </row>
    <row r="535">
      <c r="A535" s="2"/>
      <c r="B535" s="2"/>
      <c r="C535" s="2"/>
      <c r="D535" s="2"/>
      <c r="E535" s="2"/>
      <c r="F535" s="2"/>
      <c r="G535" s="2"/>
      <c r="H535" s="2"/>
      <c r="I535" s="2"/>
      <c r="J535" s="2"/>
      <c r="K535" s="2"/>
      <c r="L535" s="3"/>
      <c r="M535" s="4"/>
      <c r="N535" s="4"/>
      <c r="O535" s="5"/>
      <c r="P535" s="6"/>
      <c r="Q535" s="3"/>
      <c r="R535" s="2"/>
      <c r="S535" s="2"/>
      <c r="T535" s="2"/>
      <c r="U535" s="2"/>
      <c r="V535" s="3"/>
      <c r="W535" s="2"/>
      <c r="X535" s="2"/>
      <c r="Y535" s="2"/>
      <c r="Z535" s="2"/>
      <c r="AA535" s="3"/>
      <c r="AB535" s="2"/>
      <c r="AC535" s="2"/>
      <c r="AD535" s="2"/>
      <c r="AE535" s="2"/>
      <c r="AF535" s="3"/>
      <c r="AG535" s="2"/>
      <c r="AH535" s="2"/>
      <c r="AI535" s="2"/>
      <c r="AJ535" s="2"/>
      <c r="AK535" s="3"/>
      <c r="AL535" s="2"/>
      <c r="AM535" s="2"/>
      <c r="AN535" s="2"/>
      <c r="AO535" s="2"/>
      <c r="AP535" s="3"/>
      <c r="AQ535" s="2"/>
      <c r="AR535" s="2"/>
      <c r="AS535" s="2"/>
      <c r="AT535" s="7"/>
      <c r="AU535" s="2"/>
      <c r="AV535" s="2"/>
      <c r="AW535" s="2"/>
      <c r="AX535" s="2"/>
    </row>
    <row r="536">
      <c r="A536" s="2"/>
      <c r="B536" s="2"/>
      <c r="C536" s="2"/>
      <c r="D536" s="2"/>
      <c r="E536" s="2"/>
      <c r="F536" s="2"/>
      <c r="G536" s="2"/>
      <c r="H536" s="2"/>
      <c r="I536" s="2"/>
      <c r="J536" s="2"/>
      <c r="K536" s="2"/>
      <c r="L536" s="3"/>
      <c r="M536" s="4"/>
      <c r="N536" s="4"/>
      <c r="O536" s="5"/>
      <c r="P536" s="6"/>
      <c r="Q536" s="3"/>
      <c r="R536" s="2"/>
      <c r="S536" s="2"/>
      <c r="T536" s="2"/>
      <c r="U536" s="2"/>
      <c r="V536" s="3"/>
      <c r="W536" s="2"/>
      <c r="X536" s="2"/>
      <c r="Y536" s="2"/>
      <c r="Z536" s="2"/>
      <c r="AA536" s="3"/>
      <c r="AB536" s="2"/>
      <c r="AC536" s="2"/>
      <c r="AD536" s="2"/>
      <c r="AE536" s="2"/>
      <c r="AF536" s="3"/>
      <c r="AG536" s="2"/>
      <c r="AH536" s="2"/>
      <c r="AI536" s="2"/>
      <c r="AJ536" s="2"/>
      <c r="AK536" s="3"/>
      <c r="AL536" s="2"/>
      <c r="AM536" s="2"/>
      <c r="AN536" s="2"/>
      <c r="AO536" s="2"/>
      <c r="AP536" s="3"/>
      <c r="AQ536" s="2"/>
      <c r="AR536" s="2"/>
      <c r="AS536" s="2"/>
      <c r="AT536" s="7"/>
      <c r="AU536" s="2"/>
      <c r="AV536" s="2"/>
      <c r="AW536" s="2"/>
      <c r="AX536" s="2"/>
    </row>
    <row r="537">
      <c r="A537" s="2"/>
      <c r="B537" s="2"/>
      <c r="C537" s="2"/>
      <c r="D537" s="2"/>
      <c r="E537" s="2"/>
      <c r="F537" s="2"/>
      <c r="G537" s="2"/>
      <c r="H537" s="2"/>
      <c r="I537" s="2"/>
      <c r="J537" s="2"/>
      <c r="K537" s="2"/>
      <c r="L537" s="3"/>
      <c r="M537" s="4"/>
      <c r="N537" s="4"/>
      <c r="O537" s="5"/>
      <c r="P537" s="6"/>
      <c r="Q537" s="3"/>
      <c r="R537" s="2"/>
      <c r="S537" s="2"/>
      <c r="T537" s="2"/>
      <c r="U537" s="2"/>
      <c r="V537" s="3"/>
      <c r="W537" s="2"/>
      <c r="X537" s="2"/>
      <c r="Y537" s="2"/>
      <c r="Z537" s="2"/>
      <c r="AA537" s="3"/>
      <c r="AB537" s="2"/>
      <c r="AC537" s="2"/>
      <c r="AD537" s="2"/>
      <c r="AE537" s="2"/>
      <c r="AF537" s="3"/>
      <c r="AG537" s="2"/>
      <c r="AH537" s="2"/>
      <c r="AI537" s="2"/>
      <c r="AJ537" s="2"/>
      <c r="AK537" s="3"/>
      <c r="AL537" s="2"/>
      <c r="AM537" s="2"/>
      <c r="AN537" s="2"/>
      <c r="AO537" s="2"/>
      <c r="AP537" s="3"/>
      <c r="AQ537" s="2"/>
      <c r="AR537" s="2"/>
      <c r="AS537" s="2"/>
      <c r="AT537" s="7"/>
      <c r="AU537" s="2"/>
      <c r="AV537" s="2"/>
      <c r="AW537" s="2"/>
      <c r="AX537" s="2"/>
    </row>
    <row r="538">
      <c r="A538" s="2"/>
      <c r="B538" s="2"/>
      <c r="C538" s="2"/>
      <c r="D538" s="2"/>
      <c r="E538" s="2"/>
      <c r="F538" s="2"/>
      <c r="G538" s="2"/>
      <c r="H538" s="2"/>
      <c r="I538" s="2"/>
      <c r="J538" s="2"/>
      <c r="K538" s="2"/>
      <c r="L538" s="3"/>
      <c r="M538" s="4"/>
      <c r="N538" s="4"/>
      <c r="O538" s="5"/>
      <c r="P538" s="6"/>
      <c r="Q538" s="3"/>
      <c r="R538" s="2"/>
      <c r="S538" s="2"/>
      <c r="T538" s="2"/>
      <c r="U538" s="2"/>
      <c r="V538" s="3"/>
      <c r="W538" s="2"/>
      <c r="X538" s="2"/>
      <c r="Y538" s="2"/>
      <c r="Z538" s="2"/>
      <c r="AA538" s="3"/>
      <c r="AB538" s="2"/>
      <c r="AC538" s="2"/>
      <c r="AD538" s="2"/>
      <c r="AE538" s="2"/>
      <c r="AF538" s="3"/>
      <c r="AG538" s="2"/>
      <c r="AH538" s="2"/>
      <c r="AI538" s="2"/>
      <c r="AJ538" s="2"/>
      <c r="AK538" s="3"/>
      <c r="AL538" s="2"/>
      <c r="AM538" s="2"/>
      <c r="AN538" s="2"/>
      <c r="AO538" s="2"/>
      <c r="AP538" s="3"/>
      <c r="AQ538" s="2"/>
      <c r="AR538" s="2"/>
      <c r="AS538" s="2"/>
      <c r="AT538" s="7"/>
      <c r="AU538" s="2"/>
      <c r="AV538" s="2"/>
      <c r="AW538" s="2"/>
      <c r="AX538" s="2"/>
    </row>
    <row r="539">
      <c r="A539" s="2"/>
      <c r="B539" s="2"/>
      <c r="C539" s="2"/>
      <c r="D539" s="2"/>
      <c r="E539" s="2"/>
      <c r="F539" s="2"/>
      <c r="G539" s="2"/>
      <c r="H539" s="2"/>
      <c r="I539" s="2"/>
      <c r="J539" s="2"/>
      <c r="K539" s="2"/>
      <c r="L539" s="3"/>
      <c r="M539" s="4"/>
      <c r="N539" s="4"/>
      <c r="O539" s="5"/>
      <c r="P539" s="6"/>
      <c r="Q539" s="3"/>
      <c r="R539" s="2"/>
      <c r="S539" s="2"/>
      <c r="T539" s="2"/>
      <c r="U539" s="2"/>
      <c r="V539" s="3"/>
      <c r="W539" s="2"/>
      <c r="X539" s="2"/>
      <c r="Y539" s="2"/>
      <c r="Z539" s="2"/>
      <c r="AA539" s="3"/>
      <c r="AB539" s="2"/>
      <c r="AC539" s="2"/>
      <c r="AD539" s="2"/>
      <c r="AE539" s="2"/>
      <c r="AF539" s="3"/>
      <c r="AG539" s="2"/>
      <c r="AH539" s="2"/>
      <c r="AI539" s="2"/>
      <c r="AJ539" s="2"/>
      <c r="AK539" s="3"/>
      <c r="AL539" s="2"/>
      <c r="AM539" s="2"/>
      <c r="AN539" s="2"/>
      <c r="AO539" s="2"/>
      <c r="AP539" s="3"/>
      <c r="AQ539" s="2"/>
      <c r="AR539" s="2"/>
      <c r="AS539" s="2"/>
      <c r="AT539" s="7"/>
      <c r="AU539" s="2"/>
      <c r="AV539" s="2"/>
      <c r="AW539" s="2"/>
      <c r="AX539" s="2"/>
    </row>
    <row r="540">
      <c r="A540" s="2"/>
      <c r="B540" s="2"/>
      <c r="C540" s="2"/>
      <c r="D540" s="2"/>
      <c r="E540" s="2"/>
      <c r="F540" s="2"/>
      <c r="G540" s="2"/>
      <c r="H540" s="2"/>
      <c r="I540" s="2"/>
      <c r="J540" s="2"/>
      <c r="K540" s="2"/>
      <c r="L540" s="3"/>
      <c r="M540" s="4"/>
      <c r="N540" s="4"/>
      <c r="O540" s="5"/>
      <c r="P540" s="6"/>
      <c r="Q540" s="3"/>
      <c r="R540" s="2"/>
      <c r="S540" s="2"/>
      <c r="T540" s="2"/>
      <c r="U540" s="2"/>
      <c r="V540" s="3"/>
      <c r="W540" s="2"/>
      <c r="X540" s="2"/>
      <c r="Y540" s="2"/>
      <c r="Z540" s="2"/>
      <c r="AA540" s="3"/>
      <c r="AB540" s="2"/>
      <c r="AC540" s="2"/>
      <c r="AD540" s="2"/>
      <c r="AE540" s="2"/>
      <c r="AF540" s="3"/>
      <c r="AG540" s="2"/>
      <c r="AH540" s="2"/>
      <c r="AI540" s="2"/>
      <c r="AJ540" s="2"/>
      <c r="AK540" s="3"/>
      <c r="AL540" s="2"/>
      <c r="AM540" s="2"/>
      <c r="AN540" s="2"/>
      <c r="AO540" s="2"/>
      <c r="AP540" s="3"/>
      <c r="AQ540" s="2"/>
      <c r="AR540" s="2"/>
      <c r="AS540" s="2"/>
      <c r="AT540" s="7"/>
      <c r="AU540" s="2"/>
      <c r="AV540" s="2"/>
      <c r="AW540" s="2"/>
      <c r="AX540" s="2"/>
    </row>
    <row r="541">
      <c r="A541" s="2"/>
      <c r="B541" s="2"/>
      <c r="C541" s="2"/>
      <c r="D541" s="2"/>
      <c r="E541" s="2"/>
      <c r="F541" s="2"/>
      <c r="G541" s="2"/>
      <c r="H541" s="2"/>
      <c r="I541" s="2"/>
      <c r="J541" s="2"/>
      <c r="K541" s="2"/>
      <c r="L541" s="3"/>
      <c r="M541" s="4"/>
      <c r="N541" s="4"/>
      <c r="O541" s="5"/>
      <c r="P541" s="6"/>
      <c r="Q541" s="3"/>
      <c r="R541" s="2"/>
      <c r="S541" s="2"/>
      <c r="T541" s="2"/>
      <c r="U541" s="2"/>
      <c r="V541" s="3"/>
      <c r="W541" s="2"/>
      <c r="X541" s="2"/>
      <c r="Y541" s="2"/>
      <c r="Z541" s="2"/>
      <c r="AA541" s="3"/>
      <c r="AB541" s="2"/>
      <c r="AC541" s="2"/>
      <c r="AD541" s="2"/>
      <c r="AE541" s="2"/>
      <c r="AF541" s="3"/>
      <c r="AG541" s="2"/>
      <c r="AH541" s="2"/>
      <c r="AI541" s="2"/>
      <c r="AJ541" s="2"/>
      <c r="AK541" s="3"/>
      <c r="AL541" s="2"/>
      <c r="AM541" s="2"/>
      <c r="AN541" s="2"/>
      <c r="AO541" s="2"/>
      <c r="AP541" s="3"/>
      <c r="AQ541" s="2"/>
      <c r="AR541" s="2"/>
      <c r="AS541" s="2"/>
      <c r="AT541" s="7"/>
      <c r="AU541" s="2"/>
      <c r="AV541" s="2"/>
      <c r="AW541" s="2"/>
      <c r="AX541" s="2"/>
    </row>
    <row r="542">
      <c r="A542" s="2"/>
      <c r="B542" s="2"/>
      <c r="C542" s="2"/>
      <c r="D542" s="2"/>
      <c r="E542" s="2"/>
      <c r="F542" s="2"/>
      <c r="G542" s="2"/>
      <c r="H542" s="2"/>
      <c r="I542" s="2"/>
      <c r="J542" s="2"/>
      <c r="K542" s="2"/>
      <c r="L542" s="3"/>
      <c r="M542" s="4"/>
      <c r="N542" s="4"/>
      <c r="O542" s="5"/>
      <c r="P542" s="6"/>
      <c r="Q542" s="3"/>
      <c r="R542" s="2"/>
      <c r="S542" s="2"/>
      <c r="T542" s="2"/>
      <c r="U542" s="2"/>
      <c r="V542" s="3"/>
      <c r="W542" s="2"/>
      <c r="X542" s="2"/>
      <c r="Y542" s="2"/>
      <c r="Z542" s="2"/>
      <c r="AA542" s="3"/>
      <c r="AB542" s="2"/>
      <c r="AC542" s="2"/>
      <c r="AD542" s="2"/>
      <c r="AE542" s="2"/>
      <c r="AF542" s="3"/>
      <c r="AG542" s="2"/>
      <c r="AH542" s="2"/>
      <c r="AI542" s="2"/>
      <c r="AJ542" s="2"/>
      <c r="AK542" s="3"/>
      <c r="AL542" s="2"/>
      <c r="AM542" s="2"/>
      <c r="AN542" s="2"/>
      <c r="AO542" s="2"/>
      <c r="AP542" s="3"/>
      <c r="AQ542" s="2"/>
      <c r="AR542" s="2"/>
      <c r="AS542" s="2"/>
      <c r="AT542" s="7"/>
      <c r="AU542" s="2"/>
      <c r="AV542" s="2"/>
      <c r="AW542" s="2"/>
      <c r="AX542" s="2"/>
    </row>
    <row r="543">
      <c r="A543" s="2"/>
      <c r="B543" s="2"/>
      <c r="C543" s="2"/>
      <c r="D543" s="2"/>
      <c r="E543" s="2"/>
      <c r="F543" s="2"/>
      <c r="G543" s="2"/>
      <c r="H543" s="2"/>
      <c r="I543" s="2"/>
      <c r="J543" s="2"/>
      <c r="K543" s="2"/>
      <c r="L543" s="3"/>
      <c r="M543" s="4"/>
      <c r="N543" s="4"/>
      <c r="O543" s="5"/>
      <c r="P543" s="6"/>
      <c r="Q543" s="3"/>
      <c r="R543" s="2"/>
      <c r="S543" s="2"/>
      <c r="T543" s="2"/>
      <c r="U543" s="2"/>
      <c r="V543" s="3"/>
      <c r="W543" s="2"/>
      <c r="X543" s="2"/>
      <c r="Y543" s="2"/>
      <c r="Z543" s="2"/>
      <c r="AA543" s="3"/>
      <c r="AB543" s="2"/>
      <c r="AC543" s="2"/>
      <c r="AD543" s="2"/>
      <c r="AE543" s="2"/>
      <c r="AF543" s="3"/>
      <c r="AG543" s="2"/>
      <c r="AH543" s="2"/>
      <c r="AI543" s="2"/>
      <c r="AJ543" s="2"/>
      <c r="AK543" s="3"/>
      <c r="AL543" s="2"/>
      <c r="AM543" s="2"/>
      <c r="AN543" s="2"/>
      <c r="AO543" s="2"/>
      <c r="AP543" s="3"/>
      <c r="AQ543" s="2"/>
      <c r="AR543" s="2"/>
      <c r="AS543" s="2"/>
      <c r="AT543" s="7"/>
      <c r="AU543" s="2"/>
      <c r="AV543" s="2"/>
      <c r="AW543" s="2"/>
      <c r="AX543" s="2"/>
    </row>
    <row r="544">
      <c r="A544" s="2"/>
      <c r="B544" s="2"/>
      <c r="C544" s="2"/>
      <c r="D544" s="2"/>
      <c r="E544" s="2"/>
      <c r="F544" s="2"/>
      <c r="G544" s="2"/>
      <c r="H544" s="2"/>
      <c r="I544" s="2"/>
      <c r="J544" s="2"/>
      <c r="K544" s="2"/>
      <c r="L544" s="3"/>
      <c r="M544" s="4"/>
      <c r="N544" s="4"/>
      <c r="O544" s="5"/>
      <c r="P544" s="6"/>
      <c r="Q544" s="3"/>
      <c r="R544" s="2"/>
      <c r="S544" s="2"/>
      <c r="T544" s="2"/>
      <c r="U544" s="2"/>
      <c r="V544" s="3"/>
      <c r="W544" s="2"/>
      <c r="X544" s="2"/>
      <c r="Y544" s="2"/>
      <c r="Z544" s="2"/>
      <c r="AA544" s="3"/>
      <c r="AB544" s="2"/>
      <c r="AC544" s="2"/>
      <c r="AD544" s="2"/>
      <c r="AE544" s="2"/>
      <c r="AF544" s="3"/>
      <c r="AG544" s="2"/>
      <c r="AH544" s="2"/>
      <c r="AI544" s="2"/>
      <c r="AJ544" s="2"/>
      <c r="AK544" s="3"/>
      <c r="AL544" s="2"/>
      <c r="AM544" s="2"/>
      <c r="AN544" s="2"/>
      <c r="AO544" s="2"/>
      <c r="AP544" s="3"/>
      <c r="AQ544" s="2"/>
      <c r="AR544" s="2"/>
      <c r="AS544" s="2"/>
      <c r="AT544" s="7"/>
      <c r="AU544" s="2"/>
      <c r="AV544" s="2"/>
      <c r="AW544" s="2"/>
      <c r="AX544" s="2"/>
    </row>
    <row r="545">
      <c r="A545" s="2"/>
      <c r="B545" s="2"/>
      <c r="C545" s="2"/>
      <c r="D545" s="2"/>
      <c r="E545" s="2"/>
      <c r="F545" s="2"/>
      <c r="G545" s="2"/>
      <c r="H545" s="2"/>
      <c r="I545" s="2"/>
      <c r="J545" s="2"/>
      <c r="K545" s="2"/>
      <c r="L545" s="3"/>
      <c r="M545" s="4"/>
      <c r="N545" s="4"/>
      <c r="O545" s="5"/>
      <c r="P545" s="6"/>
      <c r="Q545" s="3"/>
      <c r="R545" s="2"/>
      <c r="S545" s="2"/>
      <c r="T545" s="2"/>
      <c r="U545" s="2"/>
      <c r="V545" s="3"/>
      <c r="W545" s="2"/>
      <c r="X545" s="2"/>
      <c r="Y545" s="2"/>
      <c r="Z545" s="2"/>
      <c r="AA545" s="3"/>
      <c r="AB545" s="2"/>
      <c r="AC545" s="2"/>
      <c r="AD545" s="2"/>
      <c r="AE545" s="2"/>
      <c r="AF545" s="3"/>
      <c r="AG545" s="2"/>
      <c r="AH545" s="2"/>
      <c r="AI545" s="2"/>
      <c r="AJ545" s="2"/>
      <c r="AK545" s="3"/>
      <c r="AL545" s="2"/>
      <c r="AM545" s="2"/>
      <c r="AN545" s="2"/>
      <c r="AO545" s="2"/>
      <c r="AP545" s="3"/>
      <c r="AQ545" s="2"/>
      <c r="AR545" s="2"/>
      <c r="AS545" s="2"/>
      <c r="AT545" s="7"/>
      <c r="AU545" s="2"/>
      <c r="AV545" s="2"/>
      <c r="AW545" s="2"/>
      <c r="AX545" s="2"/>
    </row>
    <row r="546">
      <c r="A546" s="2"/>
      <c r="B546" s="2"/>
      <c r="C546" s="2"/>
      <c r="D546" s="2"/>
      <c r="E546" s="2"/>
      <c r="F546" s="2"/>
      <c r="G546" s="2"/>
      <c r="H546" s="2"/>
      <c r="I546" s="2"/>
      <c r="J546" s="2"/>
      <c r="K546" s="2"/>
      <c r="L546" s="3"/>
      <c r="M546" s="4"/>
      <c r="N546" s="4"/>
      <c r="O546" s="5"/>
      <c r="P546" s="6"/>
      <c r="Q546" s="3"/>
      <c r="R546" s="2"/>
      <c r="S546" s="2"/>
      <c r="T546" s="2"/>
      <c r="U546" s="2"/>
      <c r="V546" s="3"/>
      <c r="W546" s="2"/>
      <c r="X546" s="2"/>
      <c r="Y546" s="2"/>
      <c r="Z546" s="2"/>
      <c r="AA546" s="3"/>
      <c r="AB546" s="2"/>
      <c r="AC546" s="2"/>
      <c r="AD546" s="2"/>
      <c r="AE546" s="2"/>
      <c r="AF546" s="3"/>
      <c r="AG546" s="2"/>
      <c r="AH546" s="2"/>
      <c r="AI546" s="2"/>
      <c r="AJ546" s="2"/>
      <c r="AK546" s="3"/>
      <c r="AL546" s="2"/>
      <c r="AM546" s="2"/>
      <c r="AN546" s="2"/>
      <c r="AO546" s="2"/>
      <c r="AP546" s="3"/>
      <c r="AQ546" s="2"/>
      <c r="AR546" s="2"/>
      <c r="AS546" s="2"/>
      <c r="AT546" s="7"/>
      <c r="AU546" s="2"/>
      <c r="AV546" s="2"/>
      <c r="AW546" s="2"/>
      <c r="AX546" s="2"/>
    </row>
    <row r="547">
      <c r="A547" s="2"/>
      <c r="B547" s="2"/>
      <c r="C547" s="2"/>
      <c r="D547" s="2"/>
      <c r="E547" s="2"/>
      <c r="F547" s="2"/>
      <c r="G547" s="2"/>
      <c r="H547" s="2"/>
      <c r="I547" s="2"/>
      <c r="J547" s="2"/>
      <c r="K547" s="2"/>
      <c r="L547" s="3"/>
      <c r="M547" s="4"/>
      <c r="N547" s="4"/>
      <c r="O547" s="5"/>
      <c r="P547" s="6"/>
      <c r="Q547" s="3"/>
      <c r="R547" s="2"/>
      <c r="S547" s="2"/>
      <c r="T547" s="2"/>
      <c r="U547" s="2"/>
      <c r="V547" s="3"/>
      <c r="W547" s="2"/>
      <c r="X547" s="2"/>
      <c r="Y547" s="2"/>
      <c r="Z547" s="2"/>
      <c r="AA547" s="3"/>
      <c r="AB547" s="2"/>
      <c r="AC547" s="2"/>
      <c r="AD547" s="2"/>
      <c r="AE547" s="2"/>
      <c r="AF547" s="3"/>
      <c r="AG547" s="2"/>
      <c r="AH547" s="2"/>
      <c r="AI547" s="2"/>
      <c r="AJ547" s="2"/>
      <c r="AK547" s="3"/>
      <c r="AL547" s="2"/>
      <c r="AM547" s="2"/>
      <c r="AN547" s="2"/>
      <c r="AO547" s="2"/>
      <c r="AP547" s="3"/>
      <c r="AQ547" s="2"/>
      <c r="AR547" s="2"/>
      <c r="AS547" s="2"/>
      <c r="AT547" s="7"/>
      <c r="AU547" s="2"/>
      <c r="AV547" s="2"/>
      <c r="AW547" s="2"/>
      <c r="AX547" s="2"/>
    </row>
    <row r="548">
      <c r="A548" s="2"/>
      <c r="B548" s="2"/>
      <c r="C548" s="2"/>
      <c r="D548" s="2"/>
      <c r="E548" s="2"/>
      <c r="F548" s="2"/>
      <c r="G548" s="2"/>
      <c r="H548" s="2"/>
      <c r="I548" s="2"/>
      <c r="J548" s="2"/>
      <c r="K548" s="2"/>
      <c r="L548" s="3"/>
      <c r="M548" s="4"/>
      <c r="N548" s="4"/>
      <c r="O548" s="5"/>
      <c r="P548" s="6"/>
      <c r="Q548" s="3"/>
      <c r="R548" s="2"/>
      <c r="S548" s="2"/>
      <c r="T548" s="2"/>
      <c r="U548" s="2"/>
      <c r="V548" s="3"/>
      <c r="W548" s="2"/>
      <c r="X548" s="2"/>
      <c r="Y548" s="2"/>
      <c r="Z548" s="2"/>
      <c r="AA548" s="3"/>
      <c r="AB548" s="2"/>
      <c r="AC548" s="2"/>
      <c r="AD548" s="2"/>
      <c r="AE548" s="2"/>
      <c r="AF548" s="3"/>
      <c r="AG548" s="2"/>
      <c r="AH548" s="2"/>
      <c r="AI548" s="2"/>
      <c r="AJ548" s="2"/>
      <c r="AK548" s="3"/>
      <c r="AL548" s="2"/>
      <c r="AM548" s="2"/>
      <c r="AN548" s="2"/>
      <c r="AO548" s="2"/>
      <c r="AP548" s="3"/>
      <c r="AQ548" s="2"/>
      <c r="AR548" s="2"/>
      <c r="AS548" s="2"/>
      <c r="AT548" s="7"/>
      <c r="AU548" s="2"/>
      <c r="AV548" s="2"/>
      <c r="AW548" s="2"/>
      <c r="AX548" s="2"/>
    </row>
    <row r="549">
      <c r="A549" s="2"/>
      <c r="B549" s="2"/>
      <c r="C549" s="2"/>
      <c r="D549" s="2"/>
      <c r="E549" s="2"/>
      <c r="F549" s="2"/>
      <c r="G549" s="2"/>
      <c r="H549" s="2"/>
      <c r="I549" s="2"/>
      <c r="J549" s="2"/>
      <c r="K549" s="2"/>
      <c r="L549" s="3"/>
      <c r="M549" s="4"/>
      <c r="N549" s="4"/>
      <c r="O549" s="5"/>
      <c r="P549" s="6"/>
      <c r="Q549" s="3"/>
      <c r="R549" s="2"/>
      <c r="S549" s="2"/>
      <c r="T549" s="2"/>
      <c r="U549" s="2"/>
      <c r="V549" s="3"/>
      <c r="W549" s="2"/>
      <c r="X549" s="2"/>
      <c r="Y549" s="2"/>
      <c r="Z549" s="2"/>
      <c r="AA549" s="3"/>
      <c r="AB549" s="2"/>
      <c r="AC549" s="2"/>
      <c r="AD549" s="2"/>
      <c r="AE549" s="2"/>
      <c r="AF549" s="3"/>
      <c r="AG549" s="2"/>
      <c r="AH549" s="2"/>
      <c r="AI549" s="2"/>
      <c r="AJ549" s="2"/>
      <c r="AK549" s="3"/>
      <c r="AL549" s="2"/>
      <c r="AM549" s="2"/>
      <c r="AN549" s="2"/>
      <c r="AO549" s="2"/>
      <c r="AP549" s="3"/>
      <c r="AQ549" s="2"/>
      <c r="AR549" s="2"/>
      <c r="AS549" s="2"/>
      <c r="AT549" s="7"/>
      <c r="AU549" s="2"/>
      <c r="AV549" s="2"/>
      <c r="AW549" s="2"/>
      <c r="AX549" s="2"/>
    </row>
    <row r="550">
      <c r="A550" s="2"/>
      <c r="B550" s="2"/>
      <c r="C550" s="2"/>
      <c r="D550" s="2"/>
      <c r="E550" s="2"/>
      <c r="F550" s="2"/>
      <c r="G550" s="2"/>
      <c r="H550" s="2"/>
      <c r="I550" s="2"/>
      <c r="J550" s="2"/>
      <c r="K550" s="2"/>
      <c r="L550" s="3"/>
      <c r="M550" s="4"/>
      <c r="N550" s="4"/>
      <c r="O550" s="5"/>
      <c r="P550" s="6"/>
      <c r="Q550" s="3"/>
      <c r="R550" s="2"/>
      <c r="S550" s="2"/>
      <c r="T550" s="2"/>
      <c r="U550" s="2"/>
      <c r="V550" s="3"/>
      <c r="W550" s="2"/>
      <c r="X550" s="2"/>
      <c r="Y550" s="2"/>
      <c r="Z550" s="2"/>
      <c r="AA550" s="3"/>
      <c r="AB550" s="2"/>
      <c r="AC550" s="2"/>
      <c r="AD550" s="2"/>
      <c r="AE550" s="2"/>
      <c r="AF550" s="3"/>
      <c r="AG550" s="2"/>
      <c r="AH550" s="2"/>
      <c r="AI550" s="2"/>
      <c r="AJ550" s="2"/>
      <c r="AK550" s="3"/>
      <c r="AL550" s="2"/>
      <c r="AM550" s="2"/>
      <c r="AN550" s="2"/>
      <c r="AO550" s="2"/>
      <c r="AP550" s="3"/>
      <c r="AQ550" s="2"/>
      <c r="AR550" s="2"/>
      <c r="AS550" s="2"/>
      <c r="AT550" s="7"/>
      <c r="AU550" s="2"/>
      <c r="AV550" s="2"/>
      <c r="AW550" s="2"/>
      <c r="AX550" s="2"/>
    </row>
    <row r="551">
      <c r="A551" s="2"/>
      <c r="B551" s="2"/>
      <c r="C551" s="2"/>
      <c r="D551" s="2"/>
      <c r="E551" s="2"/>
      <c r="F551" s="2"/>
      <c r="G551" s="2"/>
      <c r="H551" s="2"/>
      <c r="I551" s="2"/>
      <c r="J551" s="2"/>
      <c r="K551" s="2"/>
      <c r="L551" s="3"/>
      <c r="M551" s="4"/>
      <c r="N551" s="4"/>
      <c r="O551" s="5"/>
      <c r="P551" s="6"/>
      <c r="Q551" s="3"/>
      <c r="R551" s="2"/>
      <c r="S551" s="2"/>
      <c r="T551" s="2"/>
      <c r="U551" s="2"/>
      <c r="V551" s="3"/>
      <c r="W551" s="2"/>
      <c r="X551" s="2"/>
      <c r="Y551" s="2"/>
      <c r="Z551" s="2"/>
      <c r="AA551" s="3"/>
      <c r="AB551" s="2"/>
      <c r="AC551" s="2"/>
      <c r="AD551" s="2"/>
      <c r="AE551" s="2"/>
      <c r="AF551" s="3"/>
      <c r="AG551" s="2"/>
      <c r="AH551" s="2"/>
      <c r="AI551" s="2"/>
      <c r="AJ551" s="2"/>
      <c r="AK551" s="3"/>
      <c r="AL551" s="2"/>
      <c r="AM551" s="2"/>
      <c r="AN551" s="2"/>
      <c r="AO551" s="2"/>
      <c r="AP551" s="3"/>
      <c r="AQ551" s="2"/>
      <c r="AR551" s="2"/>
      <c r="AS551" s="2"/>
      <c r="AT551" s="7"/>
      <c r="AU551" s="2"/>
      <c r="AV551" s="2"/>
      <c r="AW551" s="2"/>
      <c r="AX551" s="2"/>
    </row>
    <row r="552">
      <c r="A552" s="2"/>
      <c r="B552" s="2"/>
      <c r="C552" s="2"/>
      <c r="D552" s="2"/>
      <c r="E552" s="2"/>
      <c r="F552" s="2"/>
      <c r="G552" s="2"/>
      <c r="H552" s="2"/>
      <c r="I552" s="2"/>
      <c r="J552" s="2"/>
      <c r="K552" s="2"/>
      <c r="L552" s="3"/>
      <c r="M552" s="4"/>
      <c r="N552" s="4"/>
      <c r="O552" s="5"/>
      <c r="P552" s="6"/>
      <c r="Q552" s="3"/>
      <c r="R552" s="2"/>
      <c r="S552" s="2"/>
      <c r="T552" s="2"/>
      <c r="U552" s="2"/>
      <c r="V552" s="3"/>
      <c r="W552" s="2"/>
      <c r="X552" s="2"/>
      <c r="Y552" s="2"/>
      <c r="Z552" s="2"/>
      <c r="AA552" s="3"/>
      <c r="AB552" s="2"/>
      <c r="AC552" s="2"/>
      <c r="AD552" s="2"/>
      <c r="AE552" s="2"/>
      <c r="AF552" s="3"/>
      <c r="AG552" s="2"/>
      <c r="AH552" s="2"/>
      <c r="AI552" s="2"/>
      <c r="AJ552" s="2"/>
      <c r="AK552" s="3"/>
      <c r="AL552" s="2"/>
      <c r="AM552" s="2"/>
      <c r="AN552" s="2"/>
      <c r="AO552" s="2"/>
      <c r="AP552" s="3"/>
      <c r="AQ552" s="2"/>
      <c r="AR552" s="2"/>
      <c r="AS552" s="2"/>
      <c r="AT552" s="7"/>
      <c r="AU552" s="2"/>
      <c r="AV552" s="2"/>
      <c r="AW552" s="2"/>
      <c r="AX552" s="2"/>
    </row>
    <row r="553">
      <c r="A553" s="2"/>
      <c r="B553" s="2"/>
      <c r="C553" s="2"/>
      <c r="D553" s="2"/>
      <c r="E553" s="2"/>
      <c r="F553" s="2"/>
      <c r="G553" s="2"/>
      <c r="H553" s="2"/>
      <c r="I553" s="2"/>
      <c r="J553" s="2"/>
      <c r="K553" s="2"/>
      <c r="L553" s="3"/>
      <c r="M553" s="4"/>
      <c r="N553" s="4"/>
      <c r="O553" s="5"/>
      <c r="P553" s="6"/>
      <c r="Q553" s="3"/>
      <c r="R553" s="2"/>
      <c r="S553" s="2"/>
      <c r="T553" s="2"/>
      <c r="U553" s="2"/>
      <c r="V553" s="3"/>
      <c r="W553" s="2"/>
      <c r="X553" s="2"/>
      <c r="Y553" s="2"/>
      <c r="Z553" s="2"/>
      <c r="AA553" s="3"/>
      <c r="AB553" s="2"/>
      <c r="AC553" s="2"/>
      <c r="AD553" s="2"/>
      <c r="AE553" s="2"/>
      <c r="AF553" s="3"/>
      <c r="AG553" s="2"/>
      <c r="AH553" s="2"/>
      <c r="AI553" s="2"/>
      <c r="AJ553" s="2"/>
      <c r="AK553" s="3"/>
      <c r="AL553" s="2"/>
      <c r="AM553" s="2"/>
      <c r="AN553" s="2"/>
      <c r="AO553" s="2"/>
      <c r="AP553" s="3"/>
      <c r="AQ553" s="2"/>
      <c r="AR553" s="2"/>
      <c r="AS553" s="2"/>
      <c r="AT553" s="7"/>
      <c r="AU553" s="2"/>
      <c r="AV553" s="2"/>
      <c r="AW553" s="2"/>
      <c r="AX553" s="2"/>
    </row>
    <row r="554">
      <c r="A554" s="2"/>
      <c r="B554" s="2"/>
      <c r="C554" s="2"/>
      <c r="D554" s="2"/>
      <c r="E554" s="2"/>
      <c r="F554" s="2"/>
      <c r="G554" s="2"/>
      <c r="H554" s="2"/>
      <c r="I554" s="2"/>
      <c r="J554" s="2"/>
      <c r="K554" s="2"/>
      <c r="L554" s="3"/>
      <c r="M554" s="4"/>
      <c r="N554" s="4"/>
      <c r="O554" s="5"/>
      <c r="P554" s="6"/>
      <c r="Q554" s="3"/>
      <c r="R554" s="2"/>
      <c r="S554" s="2"/>
      <c r="T554" s="2"/>
      <c r="U554" s="2"/>
      <c r="V554" s="3"/>
      <c r="W554" s="2"/>
      <c r="X554" s="2"/>
      <c r="Y554" s="2"/>
      <c r="Z554" s="2"/>
      <c r="AA554" s="3"/>
      <c r="AB554" s="2"/>
      <c r="AC554" s="2"/>
      <c r="AD554" s="2"/>
      <c r="AE554" s="2"/>
      <c r="AF554" s="3"/>
      <c r="AG554" s="2"/>
      <c r="AH554" s="2"/>
      <c r="AI554" s="2"/>
      <c r="AJ554" s="2"/>
      <c r="AK554" s="3"/>
      <c r="AL554" s="2"/>
      <c r="AM554" s="2"/>
      <c r="AN554" s="2"/>
      <c r="AO554" s="2"/>
      <c r="AP554" s="3"/>
      <c r="AQ554" s="2"/>
      <c r="AR554" s="2"/>
      <c r="AS554" s="2"/>
      <c r="AT554" s="7"/>
      <c r="AU554" s="2"/>
      <c r="AV554" s="2"/>
      <c r="AW554" s="2"/>
      <c r="AX554" s="2"/>
    </row>
    <row r="555">
      <c r="A555" s="2"/>
      <c r="B555" s="2"/>
      <c r="C555" s="2"/>
      <c r="D555" s="2"/>
      <c r="E555" s="2"/>
      <c r="F555" s="2"/>
      <c r="G555" s="2"/>
      <c r="H555" s="2"/>
      <c r="I555" s="2"/>
      <c r="J555" s="2"/>
      <c r="K555" s="2"/>
      <c r="L555" s="3"/>
      <c r="M555" s="4"/>
      <c r="N555" s="4"/>
      <c r="O555" s="5"/>
      <c r="P555" s="6"/>
      <c r="Q555" s="3"/>
      <c r="R555" s="2"/>
      <c r="S555" s="2"/>
      <c r="T555" s="2"/>
      <c r="U555" s="2"/>
      <c r="V555" s="3"/>
      <c r="W555" s="2"/>
      <c r="X555" s="2"/>
      <c r="Y555" s="2"/>
      <c r="Z555" s="2"/>
      <c r="AA555" s="3"/>
      <c r="AB555" s="2"/>
      <c r="AC555" s="2"/>
      <c r="AD555" s="2"/>
      <c r="AE555" s="2"/>
      <c r="AF555" s="3"/>
      <c r="AG555" s="2"/>
      <c r="AH555" s="2"/>
      <c r="AI555" s="2"/>
      <c r="AJ555" s="2"/>
      <c r="AK555" s="3"/>
      <c r="AL555" s="2"/>
      <c r="AM555" s="2"/>
      <c r="AN555" s="2"/>
      <c r="AO555" s="2"/>
      <c r="AP555" s="3"/>
      <c r="AQ555" s="2"/>
      <c r="AR555" s="2"/>
      <c r="AS555" s="2"/>
      <c r="AT555" s="7"/>
      <c r="AU555" s="2"/>
      <c r="AV555" s="2"/>
      <c r="AW555" s="2"/>
      <c r="AX555" s="2"/>
    </row>
    <row r="556">
      <c r="A556" s="2"/>
      <c r="B556" s="2"/>
      <c r="C556" s="2"/>
      <c r="D556" s="2"/>
      <c r="E556" s="2"/>
      <c r="F556" s="2"/>
      <c r="G556" s="2"/>
      <c r="H556" s="2"/>
      <c r="I556" s="2"/>
      <c r="J556" s="2"/>
      <c r="K556" s="2"/>
      <c r="L556" s="3"/>
      <c r="M556" s="4"/>
      <c r="N556" s="4"/>
      <c r="O556" s="5"/>
      <c r="P556" s="6"/>
      <c r="Q556" s="3"/>
      <c r="R556" s="2"/>
      <c r="S556" s="2"/>
      <c r="T556" s="2"/>
      <c r="U556" s="2"/>
      <c r="V556" s="3"/>
      <c r="W556" s="2"/>
      <c r="X556" s="2"/>
      <c r="Y556" s="2"/>
      <c r="Z556" s="2"/>
      <c r="AA556" s="3"/>
      <c r="AB556" s="2"/>
      <c r="AC556" s="2"/>
      <c r="AD556" s="2"/>
      <c r="AE556" s="2"/>
      <c r="AF556" s="3"/>
      <c r="AG556" s="2"/>
      <c r="AH556" s="2"/>
      <c r="AI556" s="2"/>
      <c r="AJ556" s="2"/>
      <c r="AK556" s="3"/>
      <c r="AL556" s="2"/>
      <c r="AM556" s="2"/>
      <c r="AN556" s="2"/>
      <c r="AO556" s="2"/>
      <c r="AP556" s="3"/>
      <c r="AQ556" s="2"/>
      <c r="AR556" s="2"/>
      <c r="AS556" s="2"/>
      <c r="AT556" s="7"/>
      <c r="AU556" s="2"/>
      <c r="AV556" s="2"/>
      <c r="AW556" s="2"/>
      <c r="AX556" s="2"/>
    </row>
    <row r="557">
      <c r="A557" s="2"/>
      <c r="B557" s="2"/>
      <c r="C557" s="2"/>
      <c r="D557" s="2"/>
      <c r="E557" s="2"/>
      <c r="F557" s="2"/>
      <c r="G557" s="2"/>
      <c r="H557" s="2"/>
      <c r="I557" s="2"/>
      <c r="J557" s="2"/>
      <c r="K557" s="2"/>
      <c r="L557" s="3"/>
      <c r="M557" s="4"/>
      <c r="N557" s="4"/>
      <c r="O557" s="5"/>
      <c r="P557" s="6"/>
      <c r="Q557" s="3"/>
      <c r="R557" s="2"/>
      <c r="S557" s="2"/>
      <c r="T557" s="2"/>
      <c r="U557" s="2"/>
      <c r="V557" s="3"/>
      <c r="W557" s="2"/>
      <c r="X557" s="2"/>
      <c r="Y557" s="2"/>
      <c r="Z557" s="2"/>
      <c r="AA557" s="3"/>
      <c r="AB557" s="2"/>
      <c r="AC557" s="2"/>
      <c r="AD557" s="2"/>
      <c r="AE557" s="2"/>
      <c r="AF557" s="3"/>
      <c r="AG557" s="2"/>
      <c r="AH557" s="2"/>
      <c r="AI557" s="2"/>
      <c r="AJ557" s="2"/>
      <c r="AK557" s="3"/>
      <c r="AL557" s="2"/>
      <c r="AM557" s="2"/>
      <c r="AN557" s="2"/>
      <c r="AO557" s="2"/>
      <c r="AP557" s="3"/>
      <c r="AQ557" s="2"/>
      <c r="AR557" s="2"/>
      <c r="AS557" s="2"/>
      <c r="AT557" s="7"/>
      <c r="AU557" s="2"/>
      <c r="AV557" s="2"/>
      <c r="AW557" s="2"/>
      <c r="AX557" s="2"/>
    </row>
    <row r="558">
      <c r="A558" s="2"/>
      <c r="B558" s="2"/>
      <c r="C558" s="2"/>
      <c r="D558" s="2"/>
      <c r="E558" s="2"/>
      <c r="F558" s="2"/>
      <c r="G558" s="2"/>
      <c r="H558" s="2"/>
      <c r="I558" s="2"/>
      <c r="J558" s="2"/>
      <c r="K558" s="2"/>
      <c r="L558" s="3"/>
      <c r="M558" s="4"/>
      <c r="N558" s="4"/>
      <c r="O558" s="5"/>
      <c r="P558" s="6"/>
      <c r="Q558" s="3"/>
      <c r="R558" s="2"/>
      <c r="S558" s="2"/>
      <c r="T558" s="2"/>
      <c r="U558" s="2"/>
      <c r="V558" s="3"/>
      <c r="W558" s="2"/>
      <c r="X558" s="2"/>
      <c r="Y558" s="2"/>
      <c r="Z558" s="2"/>
      <c r="AA558" s="3"/>
      <c r="AB558" s="2"/>
      <c r="AC558" s="2"/>
      <c r="AD558" s="2"/>
      <c r="AE558" s="2"/>
      <c r="AF558" s="3"/>
      <c r="AG558" s="2"/>
      <c r="AH558" s="2"/>
      <c r="AI558" s="2"/>
      <c r="AJ558" s="2"/>
      <c r="AK558" s="3"/>
      <c r="AL558" s="2"/>
      <c r="AM558" s="2"/>
      <c r="AN558" s="2"/>
      <c r="AO558" s="2"/>
      <c r="AP558" s="3"/>
      <c r="AQ558" s="2"/>
      <c r="AR558" s="2"/>
      <c r="AS558" s="2"/>
      <c r="AT558" s="7"/>
      <c r="AU558" s="2"/>
      <c r="AV558" s="2"/>
      <c r="AW558" s="2"/>
      <c r="AX558" s="2"/>
    </row>
    <row r="559">
      <c r="A559" s="2"/>
      <c r="B559" s="2"/>
      <c r="C559" s="2"/>
      <c r="D559" s="2"/>
      <c r="E559" s="2"/>
      <c r="F559" s="2"/>
      <c r="G559" s="2"/>
      <c r="H559" s="2"/>
      <c r="I559" s="2"/>
      <c r="J559" s="2"/>
      <c r="K559" s="2"/>
      <c r="L559" s="3"/>
      <c r="M559" s="4"/>
      <c r="N559" s="4"/>
      <c r="O559" s="5"/>
      <c r="P559" s="6"/>
      <c r="Q559" s="3"/>
      <c r="R559" s="2"/>
      <c r="S559" s="2"/>
      <c r="T559" s="2"/>
      <c r="U559" s="2"/>
      <c r="V559" s="3"/>
      <c r="W559" s="2"/>
      <c r="X559" s="2"/>
      <c r="Y559" s="2"/>
      <c r="Z559" s="2"/>
      <c r="AA559" s="3"/>
      <c r="AB559" s="2"/>
      <c r="AC559" s="2"/>
      <c r="AD559" s="2"/>
      <c r="AE559" s="2"/>
      <c r="AF559" s="3"/>
      <c r="AG559" s="2"/>
      <c r="AH559" s="2"/>
      <c r="AI559" s="2"/>
      <c r="AJ559" s="2"/>
      <c r="AK559" s="3"/>
      <c r="AL559" s="2"/>
      <c r="AM559" s="2"/>
      <c r="AN559" s="2"/>
      <c r="AO559" s="2"/>
      <c r="AP559" s="3"/>
      <c r="AQ559" s="2"/>
      <c r="AR559" s="2"/>
      <c r="AS559" s="2"/>
      <c r="AT559" s="7"/>
      <c r="AU559" s="2"/>
      <c r="AV559" s="2"/>
      <c r="AW559" s="2"/>
      <c r="AX559" s="2"/>
    </row>
    <row r="560">
      <c r="A560" s="2"/>
      <c r="B560" s="2"/>
      <c r="C560" s="2"/>
      <c r="D560" s="2"/>
      <c r="E560" s="2"/>
      <c r="F560" s="2"/>
      <c r="G560" s="2"/>
      <c r="H560" s="2"/>
      <c r="I560" s="2"/>
      <c r="J560" s="2"/>
      <c r="K560" s="2"/>
      <c r="L560" s="3"/>
      <c r="M560" s="4"/>
      <c r="N560" s="4"/>
      <c r="O560" s="5"/>
      <c r="P560" s="6"/>
      <c r="Q560" s="3"/>
      <c r="R560" s="2"/>
      <c r="S560" s="2"/>
      <c r="T560" s="2"/>
      <c r="U560" s="2"/>
      <c r="V560" s="3"/>
      <c r="W560" s="2"/>
      <c r="X560" s="2"/>
      <c r="Y560" s="2"/>
      <c r="Z560" s="2"/>
      <c r="AA560" s="3"/>
      <c r="AB560" s="2"/>
      <c r="AC560" s="2"/>
      <c r="AD560" s="2"/>
      <c r="AE560" s="2"/>
      <c r="AF560" s="3"/>
      <c r="AG560" s="2"/>
      <c r="AH560" s="2"/>
      <c r="AI560" s="2"/>
      <c r="AJ560" s="2"/>
      <c r="AK560" s="3"/>
      <c r="AL560" s="2"/>
      <c r="AM560" s="2"/>
      <c r="AN560" s="2"/>
      <c r="AO560" s="2"/>
      <c r="AP560" s="3"/>
      <c r="AQ560" s="2"/>
      <c r="AR560" s="2"/>
      <c r="AS560" s="2"/>
      <c r="AT560" s="7"/>
      <c r="AU560" s="2"/>
      <c r="AV560" s="2"/>
      <c r="AW560" s="2"/>
      <c r="AX560" s="2"/>
    </row>
    <row r="561">
      <c r="A561" s="2"/>
      <c r="B561" s="2"/>
      <c r="C561" s="2"/>
      <c r="D561" s="2"/>
      <c r="E561" s="2"/>
      <c r="F561" s="2"/>
      <c r="G561" s="2"/>
      <c r="H561" s="2"/>
      <c r="I561" s="2"/>
      <c r="J561" s="2"/>
      <c r="K561" s="2"/>
      <c r="L561" s="3"/>
      <c r="M561" s="4"/>
      <c r="N561" s="4"/>
      <c r="O561" s="5"/>
      <c r="P561" s="6"/>
      <c r="Q561" s="3"/>
      <c r="R561" s="2"/>
      <c r="S561" s="2"/>
      <c r="T561" s="2"/>
      <c r="U561" s="2"/>
      <c r="V561" s="3"/>
      <c r="W561" s="2"/>
      <c r="X561" s="2"/>
      <c r="Y561" s="2"/>
      <c r="Z561" s="2"/>
      <c r="AA561" s="3"/>
      <c r="AB561" s="2"/>
      <c r="AC561" s="2"/>
      <c r="AD561" s="2"/>
      <c r="AE561" s="2"/>
      <c r="AF561" s="3"/>
      <c r="AG561" s="2"/>
      <c r="AH561" s="2"/>
      <c r="AI561" s="2"/>
      <c r="AJ561" s="2"/>
      <c r="AK561" s="3"/>
      <c r="AL561" s="2"/>
      <c r="AM561" s="2"/>
      <c r="AN561" s="2"/>
      <c r="AO561" s="2"/>
      <c r="AP561" s="3"/>
      <c r="AQ561" s="2"/>
      <c r="AR561" s="2"/>
      <c r="AS561" s="2"/>
      <c r="AT561" s="7"/>
      <c r="AU561" s="2"/>
      <c r="AV561" s="2"/>
      <c r="AW561" s="2"/>
      <c r="AX561" s="2"/>
    </row>
    <row r="562">
      <c r="A562" s="2"/>
      <c r="B562" s="2"/>
      <c r="C562" s="2"/>
      <c r="D562" s="2"/>
      <c r="E562" s="2"/>
      <c r="F562" s="2"/>
      <c r="G562" s="2"/>
      <c r="H562" s="2"/>
      <c r="I562" s="2"/>
      <c r="J562" s="2"/>
      <c r="K562" s="2"/>
      <c r="L562" s="3"/>
      <c r="M562" s="4"/>
      <c r="N562" s="4"/>
      <c r="O562" s="5"/>
      <c r="P562" s="6"/>
      <c r="Q562" s="3"/>
      <c r="R562" s="2"/>
      <c r="S562" s="2"/>
      <c r="T562" s="2"/>
      <c r="U562" s="2"/>
      <c r="V562" s="3"/>
      <c r="W562" s="2"/>
      <c r="X562" s="2"/>
      <c r="Y562" s="2"/>
      <c r="Z562" s="2"/>
      <c r="AA562" s="3"/>
      <c r="AB562" s="2"/>
      <c r="AC562" s="2"/>
      <c r="AD562" s="2"/>
      <c r="AE562" s="2"/>
      <c r="AF562" s="3"/>
      <c r="AG562" s="2"/>
      <c r="AH562" s="2"/>
      <c r="AI562" s="2"/>
      <c r="AJ562" s="2"/>
      <c r="AK562" s="3"/>
      <c r="AL562" s="2"/>
      <c r="AM562" s="2"/>
      <c r="AN562" s="2"/>
      <c r="AO562" s="2"/>
      <c r="AP562" s="3"/>
      <c r="AQ562" s="2"/>
      <c r="AR562" s="2"/>
      <c r="AS562" s="2"/>
      <c r="AT562" s="7"/>
      <c r="AU562" s="2"/>
      <c r="AV562" s="2"/>
      <c r="AW562" s="2"/>
      <c r="AX562" s="2"/>
    </row>
    <row r="563">
      <c r="A563" s="2"/>
      <c r="B563" s="2"/>
      <c r="C563" s="2"/>
      <c r="D563" s="2"/>
      <c r="E563" s="2"/>
      <c r="F563" s="2"/>
      <c r="G563" s="2"/>
      <c r="H563" s="2"/>
      <c r="I563" s="2"/>
      <c r="J563" s="2"/>
      <c r="K563" s="2"/>
      <c r="L563" s="3"/>
      <c r="M563" s="4"/>
      <c r="N563" s="4"/>
      <c r="O563" s="5"/>
      <c r="P563" s="6"/>
      <c r="Q563" s="3"/>
      <c r="R563" s="2"/>
      <c r="S563" s="2"/>
      <c r="T563" s="2"/>
      <c r="U563" s="2"/>
      <c r="V563" s="3"/>
      <c r="W563" s="2"/>
      <c r="X563" s="2"/>
      <c r="Y563" s="2"/>
      <c r="Z563" s="2"/>
      <c r="AA563" s="3"/>
      <c r="AB563" s="2"/>
      <c r="AC563" s="2"/>
      <c r="AD563" s="2"/>
      <c r="AE563" s="2"/>
      <c r="AF563" s="3"/>
      <c r="AG563" s="2"/>
      <c r="AH563" s="2"/>
      <c r="AI563" s="2"/>
      <c r="AJ563" s="2"/>
      <c r="AK563" s="3"/>
      <c r="AL563" s="2"/>
      <c r="AM563" s="2"/>
      <c r="AN563" s="2"/>
      <c r="AO563" s="2"/>
      <c r="AP563" s="3"/>
      <c r="AQ563" s="2"/>
      <c r="AR563" s="2"/>
      <c r="AS563" s="2"/>
      <c r="AT563" s="7"/>
      <c r="AU563" s="2"/>
      <c r="AV563" s="2"/>
      <c r="AW563" s="2"/>
      <c r="AX563" s="2"/>
    </row>
    <row r="564">
      <c r="A564" s="2"/>
      <c r="B564" s="2"/>
      <c r="C564" s="2"/>
      <c r="D564" s="2"/>
      <c r="E564" s="2"/>
      <c r="F564" s="2"/>
      <c r="G564" s="2"/>
      <c r="H564" s="2"/>
      <c r="I564" s="2"/>
      <c r="J564" s="2"/>
      <c r="K564" s="2"/>
      <c r="L564" s="3"/>
      <c r="M564" s="4"/>
      <c r="N564" s="4"/>
      <c r="O564" s="5"/>
      <c r="P564" s="6"/>
      <c r="Q564" s="3"/>
      <c r="R564" s="2"/>
      <c r="S564" s="2"/>
      <c r="T564" s="2"/>
      <c r="U564" s="2"/>
      <c r="V564" s="3"/>
      <c r="W564" s="2"/>
      <c r="X564" s="2"/>
      <c r="Y564" s="2"/>
      <c r="Z564" s="2"/>
      <c r="AA564" s="3"/>
      <c r="AB564" s="2"/>
      <c r="AC564" s="2"/>
      <c r="AD564" s="2"/>
      <c r="AE564" s="2"/>
      <c r="AF564" s="3"/>
      <c r="AG564" s="2"/>
      <c r="AH564" s="2"/>
      <c r="AI564" s="2"/>
      <c r="AJ564" s="2"/>
      <c r="AK564" s="3"/>
      <c r="AL564" s="2"/>
      <c r="AM564" s="2"/>
      <c r="AN564" s="2"/>
      <c r="AO564" s="2"/>
      <c r="AP564" s="3"/>
      <c r="AQ564" s="2"/>
      <c r="AR564" s="2"/>
      <c r="AS564" s="2"/>
      <c r="AT564" s="7"/>
      <c r="AU564" s="2"/>
      <c r="AV564" s="2"/>
      <c r="AW564" s="2"/>
      <c r="AX564" s="2"/>
    </row>
    <row r="565">
      <c r="A565" s="2"/>
      <c r="B565" s="2"/>
      <c r="C565" s="2"/>
      <c r="D565" s="2"/>
      <c r="E565" s="2"/>
      <c r="F565" s="2"/>
      <c r="G565" s="2"/>
      <c r="H565" s="2"/>
      <c r="I565" s="2"/>
      <c r="J565" s="2"/>
      <c r="K565" s="2"/>
      <c r="L565" s="3"/>
      <c r="M565" s="4"/>
      <c r="N565" s="4"/>
      <c r="O565" s="5"/>
      <c r="P565" s="6"/>
      <c r="Q565" s="3"/>
      <c r="R565" s="2"/>
      <c r="S565" s="2"/>
      <c r="T565" s="2"/>
      <c r="U565" s="2"/>
      <c r="V565" s="3"/>
      <c r="W565" s="2"/>
      <c r="X565" s="2"/>
      <c r="Y565" s="2"/>
      <c r="Z565" s="2"/>
      <c r="AA565" s="3"/>
      <c r="AB565" s="2"/>
      <c r="AC565" s="2"/>
      <c r="AD565" s="2"/>
      <c r="AE565" s="2"/>
      <c r="AF565" s="3"/>
      <c r="AG565" s="2"/>
      <c r="AH565" s="2"/>
      <c r="AI565" s="2"/>
      <c r="AJ565" s="2"/>
      <c r="AK565" s="3"/>
      <c r="AL565" s="2"/>
      <c r="AM565" s="2"/>
      <c r="AN565" s="2"/>
      <c r="AO565" s="2"/>
      <c r="AP565" s="3"/>
      <c r="AQ565" s="2"/>
      <c r="AR565" s="2"/>
      <c r="AS565" s="2"/>
      <c r="AT565" s="7"/>
      <c r="AU565" s="2"/>
      <c r="AV565" s="2"/>
      <c r="AW565" s="2"/>
      <c r="AX565" s="2"/>
    </row>
    <row r="566">
      <c r="A566" s="2"/>
      <c r="B566" s="2"/>
      <c r="C566" s="2"/>
      <c r="D566" s="2"/>
      <c r="E566" s="2"/>
      <c r="F566" s="2"/>
      <c r="G566" s="2"/>
      <c r="H566" s="2"/>
      <c r="I566" s="2"/>
      <c r="J566" s="2"/>
      <c r="K566" s="2"/>
      <c r="L566" s="3"/>
      <c r="M566" s="4"/>
      <c r="N566" s="4"/>
      <c r="O566" s="5"/>
      <c r="P566" s="6"/>
      <c r="Q566" s="3"/>
      <c r="R566" s="2"/>
      <c r="S566" s="2"/>
      <c r="T566" s="2"/>
      <c r="U566" s="2"/>
      <c r="V566" s="3"/>
      <c r="W566" s="2"/>
      <c r="X566" s="2"/>
      <c r="Y566" s="2"/>
      <c r="Z566" s="2"/>
      <c r="AA566" s="3"/>
      <c r="AB566" s="2"/>
      <c r="AC566" s="2"/>
      <c r="AD566" s="2"/>
      <c r="AE566" s="2"/>
      <c r="AF566" s="3"/>
      <c r="AG566" s="2"/>
      <c r="AH566" s="2"/>
      <c r="AI566" s="2"/>
      <c r="AJ566" s="2"/>
      <c r="AK566" s="3"/>
      <c r="AL566" s="2"/>
      <c r="AM566" s="2"/>
      <c r="AN566" s="2"/>
      <c r="AO566" s="2"/>
      <c r="AP566" s="3"/>
      <c r="AQ566" s="2"/>
      <c r="AR566" s="2"/>
      <c r="AS566" s="2"/>
      <c r="AT566" s="7"/>
      <c r="AU566" s="2"/>
      <c r="AV566" s="2"/>
      <c r="AW566" s="2"/>
      <c r="AX566" s="2"/>
    </row>
    <row r="567">
      <c r="A567" s="2"/>
      <c r="B567" s="2"/>
      <c r="C567" s="2"/>
      <c r="D567" s="2"/>
      <c r="E567" s="2"/>
      <c r="F567" s="2"/>
      <c r="G567" s="2"/>
      <c r="H567" s="2"/>
      <c r="I567" s="2"/>
      <c r="J567" s="2"/>
      <c r="K567" s="2"/>
      <c r="L567" s="3"/>
      <c r="M567" s="4"/>
      <c r="N567" s="4"/>
      <c r="O567" s="5"/>
      <c r="P567" s="6"/>
      <c r="Q567" s="3"/>
      <c r="R567" s="2"/>
      <c r="S567" s="2"/>
      <c r="T567" s="2"/>
      <c r="U567" s="2"/>
      <c r="V567" s="3"/>
      <c r="W567" s="2"/>
      <c r="X567" s="2"/>
      <c r="Y567" s="2"/>
      <c r="Z567" s="2"/>
      <c r="AA567" s="3"/>
      <c r="AB567" s="2"/>
      <c r="AC567" s="2"/>
      <c r="AD567" s="2"/>
      <c r="AE567" s="2"/>
      <c r="AF567" s="3"/>
      <c r="AG567" s="2"/>
      <c r="AH567" s="2"/>
      <c r="AI567" s="2"/>
      <c r="AJ567" s="2"/>
      <c r="AK567" s="3"/>
      <c r="AL567" s="2"/>
      <c r="AM567" s="2"/>
      <c r="AN567" s="2"/>
      <c r="AO567" s="2"/>
      <c r="AP567" s="3"/>
      <c r="AQ567" s="2"/>
      <c r="AR567" s="2"/>
      <c r="AS567" s="2"/>
      <c r="AT567" s="7"/>
      <c r="AU567" s="2"/>
      <c r="AV567" s="2"/>
      <c r="AW567" s="2"/>
      <c r="AX567" s="2"/>
    </row>
    <row r="568">
      <c r="A568" s="2"/>
      <c r="B568" s="2"/>
      <c r="C568" s="2"/>
      <c r="D568" s="2"/>
      <c r="E568" s="2"/>
      <c r="F568" s="2"/>
      <c r="G568" s="2"/>
      <c r="H568" s="2"/>
      <c r="I568" s="2"/>
      <c r="J568" s="2"/>
      <c r="K568" s="2"/>
      <c r="L568" s="3"/>
      <c r="M568" s="4"/>
      <c r="N568" s="4"/>
      <c r="O568" s="5"/>
      <c r="P568" s="6"/>
      <c r="Q568" s="3"/>
      <c r="R568" s="2"/>
      <c r="S568" s="2"/>
      <c r="T568" s="2"/>
      <c r="U568" s="2"/>
      <c r="V568" s="3"/>
      <c r="W568" s="2"/>
      <c r="X568" s="2"/>
      <c r="Y568" s="2"/>
      <c r="Z568" s="2"/>
      <c r="AA568" s="3"/>
      <c r="AB568" s="2"/>
      <c r="AC568" s="2"/>
      <c r="AD568" s="2"/>
      <c r="AE568" s="2"/>
      <c r="AF568" s="3"/>
      <c r="AG568" s="2"/>
      <c r="AH568" s="2"/>
      <c r="AI568" s="2"/>
      <c r="AJ568" s="2"/>
      <c r="AK568" s="3"/>
      <c r="AL568" s="2"/>
      <c r="AM568" s="2"/>
      <c r="AN568" s="2"/>
      <c r="AO568" s="2"/>
      <c r="AP568" s="3"/>
      <c r="AQ568" s="2"/>
      <c r="AR568" s="2"/>
      <c r="AS568" s="2"/>
      <c r="AT568" s="7"/>
      <c r="AU568" s="2"/>
      <c r="AV568" s="2"/>
      <c r="AW568" s="2"/>
      <c r="AX568" s="2"/>
    </row>
    <row r="569">
      <c r="A569" s="2"/>
      <c r="B569" s="2"/>
      <c r="C569" s="2"/>
      <c r="D569" s="2"/>
      <c r="E569" s="2"/>
      <c r="F569" s="2"/>
      <c r="G569" s="2"/>
      <c r="H569" s="2"/>
      <c r="I569" s="2"/>
      <c r="J569" s="2"/>
      <c r="K569" s="2"/>
      <c r="L569" s="3"/>
      <c r="M569" s="4"/>
      <c r="N569" s="4"/>
      <c r="O569" s="5"/>
      <c r="P569" s="6"/>
      <c r="Q569" s="3"/>
      <c r="R569" s="2"/>
      <c r="S569" s="2"/>
      <c r="T569" s="2"/>
      <c r="U569" s="2"/>
      <c r="V569" s="3"/>
      <c r="W569" s="2"/>
      <c r="X569" s="2"/>
      <c r="Y569" s="2"/>
      <c r="Z569" s="2"/>
      <c r="AA569" s="3"/>
      <c r="AB569" s="2"/>
      <c r="AC569" s="2"/>
      <c r="AD569" s="2"/>
      <c r="AE569" s="2"/>
      <c r="AF569" s="3"/>
      <c r="AG569" s="2"/>
      <c r="AH569" s="2"/>
      <c r="AI569" s="2"/>
      <c r="AJ569" s="2"/>
      <c r="AK569" s="3"/>
      <c r="AL569" s="2"/>
      <c r="AM569" s="2"/>
      <c r="AN569" s="2"/>
      <c r="AO569" s="2"/>
      <c r="AP569" s="3"/>
      <c r="AQ569" s="2"/>
      <c r="AR569" s="2"/>
      <c r="AS569" s="2"/>
      <c r="AT569" s="7"/>
      <c r="AU569" s="2"/>
      <c r="AV569" s="2"/>
      <c r="AW569" s="2"/>
      <c r="AX569" s="2"/>
    </row>
    <row r="570">
      <c r="A570" s="2"/>
      <c r="B570" s="2"/>
      <c r="C570" s="2"/>
      <c r="D570" s="2"/>
      <c r="E570" s="2"/>
      <c r="F570" s="2"/>
      <c r="G570" s="2"/>
      <c r="H570" s="2"/>
      <c r="I570" s="2"/>
      <c r="J570" s="2"/>
      <c r="K570" s="2"/>
      <c r="L570" s="3"/>
      <c r="M570" s="4"/>
      <c r="N570" s="4"/>
      <c r="O570" s="5"/>
      <c r="P570" s="6"/>
      <c r="Q570" s="3"/>
      <c r="R570" s="2"/>
      <c r="S570" s="2"/>
      <c r="T570" s="2"/>
      <c r="U570" s="2"/>
      <c r="V570" s="3"/>
      <c r="W570" s="2"/>
      <c r="X570" s="2"/>
      <c r="Y570" s="2"/>
      <c r="Z570" s="2"/>
      <c r="AA570" s="3"/>
      <c r="AB570" s="2"/>
      <c r="AC570" s="2"/>
      <c r="AD570" s="2"/>
      <c r="AE570" s="2"/>
      <c r="AF570" s="3"/>
      <c r="AG570" s="2"/>
      <c r="AH570" s="2"/>
      <c r="AI570" s="2"/>
      <c r="AJ570" s="2"/>
      <c r="AK570" s="3"/>
      <c r="AL570" s="2"/>
      <c r="AM570" s="2"/>
      <c r="AN570" s="2"/>
      <c r="AO570" s="2"/>
      <c r="AP570" s="3"/>
      <c r="AQ570" s="2"/>
      <c r="AR570" s="2"/>
      <c r="AS570" s="2"/>
      <c r="AT570" s="7"/>
      <c r="AU570" s="2"/>
      <c r="AV570" s="2"/>
      <c r="AW570" s="2"/>
      <c r="AX570" s="2"/>
    </row>
    <row r="571">
      <c r="A571" s="2"/>
      <c r="B571" s="2"/>
      <c r="C571" s="2"/>
      <c r="D571" s="2"/>
      <c r="E571" s="2"/>
      <c r="F571" s="2"/>
      <c r="G571" s="2"/>
      <c r="H571" s="2"/>
      <c r="I571" s="2"/>
      <c r="J571" s="2"/>
      <c r="K571" s="2"/>
      <c r="L571" s="3"/>
      <c r="M571" s="4"/>
      <c r="N571" s="4"/>
      <c r="O571" s="5"/>
      <c r="P571" s="6"/>
      <c r="Q571" s="3"/>
      <c r="R571" s="2"/>
      <c r="S571" s="2"/>
      <c r="T571" s="2"/>
      <c r="U571" s="2"/>
      <c r="V571" s="3"/>
      <c r="W571" s="2"/>
      <c r="X571" s="2"/>
      <c r="Y571" s="2"/>
      <c r="Z571" s="2"/>
      <c r="AA571" s="3"/>
      <c r="AB571" s="2"/>
      <c r="AC571" s="2"/>
      <c r="AD571" s="2"/>
      <c r="AE571" s="2"/>
      <c r="AF571" s="3"/>
      <c r="AG571" s="2"/>
      <c r="AH571" s="2"/>
      <c r="AI571" s="2"/>
      <c r="AJ571" s="2"/>
      <c r="AK571" s="3"/>
      <c r="AL571" s="2"/>
      <c r="AM571" s="2"/>
      <c r="AN571" s="2"/>
      <c r="AO571" s="2"/>
      <c r="AP571" s="3"/>
      <c r="AQ571" s="2"/>
      <c r="AR571" s="2"/>
      <c r="AS571" s="2"/>
      <c r="AT571" s="7"/>
      <c r="AU571" s="2"/>
      <c r="AV571" s="2"/>
      <c r="AW571" s="2"/>
      <c r="AX571" s="2"/>
    </row>
    <row r="572">
      <c r="A572" s="2"/>
      <c r="B572" s="2"/>
      <c r="C572" s="2"/>
      <c r="D572" s="2"/>
      <c r="E572" s="2"/>
      <c r="F572" s="2"/>
      <c r="G572" s="2"/>
      <c r="H572" s="2"/>
      <c r="I572" s="2"/>
      <c r="J572" s="2"/>
      <c r="K572" s="2"/>
      <c r="L572" s="3"/>
      <c r="M572" s="4"/>
      <c r="N572" s="4"/>
      <c r="O572" s="5"/>
      <c r="P572" s="6"/>
      <c r="Q572" s="3"/>
      <c r="R572" s="2"/>
      <c r="S572" s="2"/>
      <c r="T572" s="2"/>
      <c r="U572" s="2"/>
      <c r="V572" s="3"/>
      <c r="W572" s="2"/>
      <c r="X572" s="2"/>
      <c r="Y572" s="2"/>
      <c r="Z572" s="2"/>
      <c r="AA572" s="3"/>
      <c r="AB572" s="2"/>
      <c r="AC572" s="2"/>
      <c r="AD572" s="2"/>
      <c r="AE572" s="2"/>
      <c r="AF572" s="3"/>
      <c r="AG572" s="2"/>
      <c r="AH572" s="2"/>
      <c r="AI572" s="2"/>
      <c r="AJ572" s="2"/>
      <c r="AK572" s="3"/>
      <c r="AL572" s="2"/>
      <c r="AM572" s="2"/>
      <c r="AN572" s="2"/>
      <c r="AO572" s="2"/>
      <c r="AP572" s="3"/>
      <c r="AQ572" s="2"/>
      <c r="AR572" s="2"/>
      <c r="AS572" s="2"/>
      <c r="AT572" s="7"/>
      <c r="AU572" s="2"/>
      <c r="AV572" s="2"/>
      <c r="AW572" s="2"/>
      <c r="AX572" s="2"/>
    </row>
    <row r="573">
      <c r="A573" s="2"/>
      <c r="B573" s="2"/>
      <c r="C573" s="2"/>
      <c r="D573" s="2"/>
      <c r="E573" s="2"/>
      <c r="F573" s="2"/>
      <c r="G573" s="2"/>
      <c r="H573" s="2"/>
      <c r="I573" s="2"/>
      <c r="J573" s="2"/>
      <c r="K573" s="2"/>
      <c r="L573" s="3"/>
      <c r="M573" s="4"/>
      <c r="N573" s="4"/>
      <c r="O573" s="5"/>
      <c r="P573" s="6"/>
      <c r="Q573" s="3"/>
      <c r="R573" s="2"/>
      <c r="S573" s="2"/>
      <c r="T573" s="2"/>
      <c r="U573" s="2"/>
      <c r="V573" s="3"/>
      <c r="W573" s="2"/>
      <c r="X573" s="2"/>
      <c r="Y573" s="2"/>
      <c r="Z573" s="2"/>
      <c r="AA573" s="3"/>
      <c r="AB573" s="2"/>
      <c r="AC573" s="2"/>
      <c r="AD573" s="2"/>
      <c r="AE573" s="2"/>
      <c r="AF573" s="3"/>
      <c r="AG573" s="2"/>
      <c r="AH573" s="2"/>
      <c r="AI573" s="2"/>
      <c r="AJ573" s="2"/>
      <c r="AK573" s="3"/>
      <c r="AL573" s="2"/>
      <c r="AM573" s="2"/>
      <c r="AN573" s="2"/>
      <c r="AO573" s="2"/>
      <c r="AP573" s="3"/>
      <c r="AQ573" s="2"/>
      <c r="AR573" s="2"/>
      <c r="AS573" s="2"/>
      <c r="AT573" s="7"/>
      <c r="AU573" s="2"/>
      <c r="AV573" s="2"/>
      <c r="AW573" s="2"/>
      <c r="AX573" s="2"/>
    </row>
    <row r="574">
      <c r="A574" s="2"/>
      <c r="B574" s="2"/>
      <c r="C574" s="2"/>
      <c r="D574" s="2"/>
      <c r="E574" s="2"/>
      <c r="F574" s="2"/>
      <c r="G574" s="2"/>
      <c r="H574" s="2"/>
      <c r="I574" s="2"/>
      <c r="J574" s="2"/>
      <c r="K574" s="2"/>
      <c r="L574" s="3"/>
      <c r="M574" s="4"/>
      <c r="N574" s="4"/>
      <c r="O574" s="5"/>
      <c r="P574" s="6"/>
      <c r="Q574" s="3"/>
      <c r="R574" s="2"/>
      <c r="S574" s="2"/>
      <c r="T574" s="2"/>
      <c r="U574" s="2"/>
      <c r="V574" s="3"/>
      <c r="W574" s="2"/>
      <c r="X574" s="2"/>
      <c r="Y574" s="2"/>
      <c r="Z574" s="2"/>
      <c r="AA574" s="3"/>
      <c r="AB574" s="2"/>
      <c r="AC574" s="2"/>
      <c r="AD574" s="2"/>
      <c r="AE574" s="2"/>
      <c r="AF574" s="3"/>
      <c r="AG574" s="2"/>
      <c r="AH574" s="2"/>
      <c r="AI574" s="2"/>
      <c r="AJ574" s="2"/>
      <c r="AK574" s="3"/>
      <c r="AL574" s="2"/>
      <c r="AM574" s="2"/>
      <c r="AN574" s="2"/>
      <c r="AO574" s="2"/>
      <c r="AP574" s="3"/>
      <c r="AQ574" s="2"/>
      <c r="AR574" s="2"/>
      <c r="AS574" s="2"/>
      <c r="AT574" s="7"/>
      <c r="AU574" s="2"/>
      <c r="AV574" s="2"/>
      <c r="AW574" s="2"/>
      <c r="AX574" s="2"/>
    </row>
    <row r="575">
      <c r="A575" s="2"/>
      <c r="B575" s="2"/>
      <c r="C575" s="2"/>
      <c r="D575" s="2"/>
      <c r="E575" s="2"/>
      <c r="F575" s="2"/>
      <c r="G575" s="2"/>
      <c r="H575" s="2"/>
      <c r="I575" s="2"/>
      <c r="J575" s="2"/>
      <c r="K575" s="2"/>
      <c r="L575" s="3"/>
      <c r="M575" s="4"/>
      <c r="N575" s="4"/>
      <c r="O575" s="5"/>
      <c r="P575" s="6"/>
      <c r="Q575" s="3"/>
      <c r="R575" s="2"/>
      <c r="S575" s="2"/>
      <c r="T575" s="2"/>
      <c r="U575" s="2"/>
      <c r="V575" s="3"/>
      <c r="W575" s="2"/>
      <c r="X575" s="2"/>
      <c r="Y575" s="2"/>
      <c r="Z575" s="2"/>
      <c r="AA575" s="3"/>
      <c r="AB575" s="2"/>
      <c r="AC575" s="2"/>
      <c r="AD575" s="2"/>
      <c r="AE575" s="2"/>
      <c r="AF575" s="3"/>
      <c r="AG575" s="2"/>
      <c r="AH575" s="2"/>
      <c r="AI575" s="2"/>
      <c r="AJ575" s="2"/>
      <c r="AK575" s="3"/>
      <c r="AL575" s="2"/>
      <c r="AM575" s="2"/>
      <c r="AN575" s="2"/>
      <c r="AO575" s="2"/>
      <c r="AP575" s="3"/>
      <c r="AQ575" s="2"/>
      <c r="AR575" s="2"/>
      <c r="AS575" s="2"/>
      <c r="AT575" s="7"/>
      <c r="AU575" s="2"/>
      <c r="AV575" s="2"/>
      <c r="AW575" s="2"/>
      <c r="AX575" s="2"/>
    </row>
    <row r="576">
      <c r="A576" s="2"/>
      <c r="B576" s="2"/>
      <c r="C576" s="2"/>
      <c r="D576" s="2"/>
      <c r="E576" s="2"/>
      <c r="F576" s="2"/>
      <c r="G576" s="2"/>
      <c r="H576" s="2"/>
      <c r="I576" s="2"/>
      <c r="J576" s="2"/>
      <c r="K576" s="2"/>
      <c r="L576" s="3"/>
      <c r="M576" s="4"/>
      <c r="N576" s="4"/>
      <c r="O576" s="5"/>
      <c r="P576" s="6"/>
      <c r="Q576" s="3"/>
      <c r="R576" s="2"/>
      <c r="S576" s="2"/>
      <c r="T576" s="2"/>
      <c r="U576" s="2"/>
      <c r="V576" s="3"/>
      <c r="W576" s="2"/>
      <c r="X576" s="2"/>
      <c r="Y576" s="2"/>
      <c r="Z576" s="2"/>
      <c r="AA576" s="3"/>
      <c r="AB576" s="2"/>
      <c r="AC576" s="2"/>
      <c r="AD576" s="2"/>
      <c r="AE576" s="2"/>
      <c r="AF576" s="3"/>
      <c r="AG576" s="2"/>
      <c r="AH576" s="2"/>
      <c r="AI576" s="2"/>
      <c r="AJ576" s="2"/>
      <c r="AK576" s="3"/>
      <c r="AL576" s="2"/>
      <c r="AM576" s="2"/>
      <c r="AN576" s="2"/>
      <c r="AO576" s="2"/>
      <c r="AP576" s="3"/>
      <c r="AQ576" s="2"/>
      <c r="AR576" s="2"/>
      <c r="AS576" s="2"/>
      <c r="AT576" s="7"/>
      <c r="AU576" s="2"/>
      <c r="AV576" s="2"/>
      <c r="AW576" s="2"/>
      <c r="AX576" s="2"/>
    </row>
    <row r="577">
      <c r="A577" s="2"/>
      <c r="B577" s="2"/>
      <c r="C577" s="2"/>
      <c r="D577" s="2"/>
      <c r="E577" s="2"/>
      <c r="F577" s="2"/>
      <c r="G577" s="2"/>
      <c r="H577" s="2"/>
      <c r="I577" s="2"/>
      <c r="J577" s="2"/>
      <c r="K577" s="2"/>
      <c r="L577" s="3"/>
      <c r="M577" s="4"/>
      <c r="N577" s="4"/>
      <c r="O577" s="5"/>
      <c r="P577" s="6"/>
      <c r="Q577" s="3"/>
      <c r="R577" s="2"/>
      <c r="S577" s="2"/>
      <c r="T577" s="2"/>
      <c r="U577" s="2"/>
      <c r="V577" s="3"/>
      <c r="W577" s="2"/>
      <c r="X577" s="2"/>
      <c r="Y577" s="2"/>
      <c r="Z577" s="2"/>
      <c r="AA577" s="3"/>
      <c r="AB577" s="2"/>
      <c r="AC577" s="2"/>
      <c r="AD577" s="2"/>
      <c r="AE577" s="2"/>
      <c r="AF577" s="3"/>
      <c r="AG577" s="2"/>
      <c r="AH577" s="2"/>
      <c r="AI577" s="2"/>
      <c r="AJ577" s="2"/>
      <c r="AK577" s="3"/>
      <c r="AL577" s="2"/>
      <c r="AM577" s="2"/>
      <c r="AN577" s="2"/>
      <c r="AO577" s="2"/>
      <c r="AP577" s="3"/>
      <c r="AQ577" s="2"/>
      <c r="AR577" s="2"/>
      <c r="AS577" s="2"/>
      <c r="AT577" s="7"/>
      <c r="AU577" s="2"/>
      <c r="AV577" s="2"/>
      <c r="AW577" s="2"/>
      <c r="AX577" s="2"/>
    </row>
    <row r="578">
      <c r="A578" s="2"/>
      <c r="B578" s="2"/>
      <c r="C578" s="2"/>
      <c r="D578" s="2"/>
      <c r="E578" s="2"/>
      <c r="F578" s="2"/>
      <c r="G578" s="2"/>
      <c r="H578" s="2"/>
      <c r="I578" s="2"/>
      <c r="J578" s="2"/>
      <c r="K578" s="2"/>
      <c r="L578" s="3"/>
      <c r="M578" s="4"/>
      <c r="N578" s="4"/>
      <c r="O578" s="5"/>
      <c r="P578" s="6"/>
      <c r="Q578" s="3"/>
      <c r="R578" s="2"/>
      <c r="S578" s="2"/>
      <c r="T578" s="2"/>
      <c r="U578" s="2"/>
      <c r="V578" s="3"/>
      <c r="W578" s="2"/>
      <c r="X578" s="2"/>
      <c r="Y578" s="2"/>
      <c r="Z578" s="2"/>
      <c r="AA578" s="3"/>
      <c r="AB578" s="2"/>
      <c r="AC578" s="2"/>
      <c r="AD578" s="2"/>
      <c r="AE578" s="2"/>
      <c r="AF578" s="3"/>
      <c r="AG578" s="2"/>
      <c r="AH578" s="2"/>
      <c r="AI578" s="2"/>
      <c r="AJ578" s="2"/>
      <c r="AK578" s="3"/>
      <c r="AL578" s="2"/>
      <c r="AM578" s="2"/>
      <c r="AN578" s="2"/>
      <c r="AO578" s="2"/>
      <c r="AP578" s="3"/>
      <c r="AQ578" s="2"/>
      <c r="AR578" s="2"/>
      <c r="AS578" s="2"/>
      <c r="AT578" s="7"/>
      <c r="AU578" s="2"/>
      <c r="AV578" s="2"/>
      <c r="AW578" s="2"/>
      <c r="AX578" s="2"/>
    </row>
    <row r="579">
      <c r="A579" s="2"/>
      <c r="B579" s="2"/>
      <c r="C579" s="2"/>
      <c r="D579" s="2"/>
      <c r="E579" s="2"/>
      <c r="F579" s="2"/>
      <c r="G579" s="2"/>
      <c r="H579" s="2"/>
      <c r="I579" s="2"/>
      <c r="J579" s="2"/>
      <c r="K579" s="2"/>
      <c r="L579" s="3"/>
      <c r="M579" s="4"/>
      <c r="N579" s="4"/>
      <c r="O579" s="5"/>
      <c r="P579" s="6"/>
      <c r="Q579" s="3"/>
      <c r="R579" s="2"/>
      <c r="S579" s="2"/>
      <c r="T579" s="2"/>
      <c r="U579" s="2"/>
      <c r="V579" s="3"/>
      <c r="W579" s="2"/>
      <c r="X579" s="2"/>
      <c r="Y579" s="2"/>
      <c r="Z579" s="2"/>
      <c r="AA579" s="3"/>
      <c r="AB579" s="2"/>
      <c r="AC579" s="2"/>
      <c r="AD579" s="2"/>
      <c r="AE579" s="2"/>
      <c r="AF579" s="3"/>
      <c r="AG579" s="2"/>
      <c r="AH579" s="2"/>
      <c r="AI579" s="2"/>
      <c r="AJ579" s="2"/>
      <c r="AK579" s="3"/>
      <c r="AL579" s="2"/>
      <c r="AM579" s="2"/>
      <c r="AN579" s="2"/>
      <c r="AO579" s="2"/>
      <c r="AP579" s="3"/>
      <c r="AQ579" s="2"/>
      <c r="AR579" s="2"/>
      <c r="AS579" s="2"/>
      <c r="AT579" s="7"/>
      <c r="AU579" s="2"/>
      <c r="AV579" s="2"/>
      <c r="AW579" s="2"/>
      <c r="AX579" s="2"/>
    </row>
    <row r="580">
      <c r="A580" s="2"/>
      <c r="B580" s="2"/>
      <c r="C580" s="2"/>
      <c r="D580" s="2"/>
      <c r="E580" s="2"/>
      <c r="F580" s="2"/>
      <c r="G580" s="2"/>
      <c r="H580" s="2"/>
      <c r="I580" s="2"/>
      <c r="J580" s="2"/>
      <c r="K580" s="2"/>
      <c r="L580" s="3"/>
      <c r="M580" s="4"/>
      <c r="N580" s="4"/>
      <c r="O580" s="5"/>
      <c r="P580" s="6"/>
      <c r="Q580" s="3"/>
      <c r="R580" s="2"/>
      <c r="S580" s="2"/>
      <c r="T580" s="2"/>
      <c r="U580" s="2"/>
      <c r="V580" s="3"/>
      <c r="W580" s="2"/>
      <c r="X580" s="2"/>
      <c r="Y580" s="2"/>
      <c r="Z580" s="2"/>
      <c r="AA580" s="3"/>
      <c r="AB580" s="2"/>
      <c r="AC580" s="2"/>
      <c r="AD580" s="2"/>
      <c r="AE580" s="2"/>
      <c r="AF580" s="3"/>
      <c r="AG580" s="2"/>
      <c r="AH580" s="2"/>
      <c r="AI580" s="2"/>
      <c r="AJ580" s="2"/>
      <c r="AK580" s="3"/>
      <c r="AL580" s="2"/>
      <c r="AM580" s="2"/>
      <c r="AN580" s="2"/>
      <c r="AO580" s="2"/>
      <c r="AP580" s="3"/>
      <c r="AQ580" s="2"/>
      <c r="AR580" s="2"/>
      <c r="AS580" s="2"/>
      <c r="AT580" s="7"/>
      <c r="AU580" s="2"/>
      <c r="AV580" s="2"/>
      <c r="AW580" s="2"/>
      <c r="AX580" s="2"/>
    </row>
    <row r="581">
      <c r="A581" s="2"/>
      <c r="B581" s="2"/>
      <c r="C581" s="2"/>
      <c r="D581" s="2"/>
      <c r="E581" s="2"/>
      <c r="F581" s="2"/>
      <c r="G581" s="2"/>
      <c r="H581" s="2"/>
      <c r="I581" s="2"/>
      <c r="J581" s="2"/>
      <c r="K581" s="2"/>
      <c r="L581" s="3"/>
      <c r="M581" s="4"/>
      <c r="N581" s="4"/>
      <c r="O581" s="5"/>
      <c r="P581" s="6"/>
      <c r="Q581" s="3"/>
      <c r="R581" s="2"/>
      <c r="S581" s="2"/>
      <c r="T581" s="2"/>
      <c r="U581" s="2"/>
      <c r="V581" s="3"/>
      <c r="W581" s="2"/>
      <c r="X581" s="2"/>
      <c r="Y581" s="2"/>
      <c r="Z581" s="2"/>
      <c r="AA581" s="3"/>
      <c r="AB581" s="2"/>
      <c r="AC581" s="2"/>
      <c r="AD581" s="2"/>
      <c r="AE581" s="2"/>
      <c r="AF581" s="3"/>
      <c r="AG581" s="2"/>
      <c r="AH581" s="2"/>
      <c r="AI581" s="2"/>
      <c r="AJ581" s="2"/>
      <c r="AK581" s="3"/>
      <c r="AL581" s="2"/>
      <c r="AM581" s="2"/>
      <c r="AN581" s="2"/>
      <c r="AO581" s="2"/>
      <c r="AP581" s="3"/>
      <c r="AQ581" s="2"/>
      <c r="AR581" s="2"/>
      <c r="AS581" s="2"/>
      <c r="AT581" s="7"/>
      <c r="AU581" s="2"/>
      <c r="AV581" s="2"/>
      <c r="AW581" s="2"/>
      <c r="AX581" s="2"/>
    </row>
    <row r="582">
      <c r="A582" s="2"/>
      <c r="B582" s="2"/>
      <c r="C582" s="2"/>
      <c r="D582" s="2"/>
      <c r="E582" s="2"/>
      <c r="F582" s="2"/>
      <c r="G582" s="2"/>
      <c r="H582" s="2"/>
      <c r="I582" s="2"/>
      <c r="J582" s="2"/>
      <c r="K582" s="2"/>
      <c r="L582" s="3"/>
      <c r="M582" s="4"/>
      <c r="N582" s="4"/>
      <c r="O582" s="5"/>
      <c r="P582" s="6"/>
      <c r="Q582" s="3"/>
      <c r="R582" s="2"/>
      <c r="S582" s="2"/>
      <c r="T582" s="2"/>
      <c r="U582" s="2"/>
      <c r="V582" s="3"/>
      <c r="W582" s="2"/>
      <c r="X582" s="2"/>
      <c r="Y582" s="2"/>
      <c r="Z582" s="2"/>
      <c r="AA582" s="3"/>
      <c r="AB582" s="2"/>
      <c r="AC582" s="2"/>
      <c r="AD582" s="2"/>
      <c r="AE582" s="2"/>
      <c r="AF582" s="3"/>
      <c r="AG582" s="2"/>
      <c r="AH582" s="2"/>
      <c r="AI582" s="2"/>
      <c r="AJ582" s="2"/>
      <c r="AK582" s="3"/>
      <c r="AL582" s="2"/>
      <c r="AM582" s="2"/>
      <c r="AN582" s="2"/>
      <c r="AO582" s="2"/>
      <c r="AP582" s="3"/>
      <c r="AQ582" s="2"/>
      <c r="AR582" s="2"/>
      <c r="AS582" s="2"/>
      <c r="AT582" s="7"/>
      <c r="AU582" s="2"/>
      <c r="AV582" s="2"/>
      <c r="AW582" s="2"/>
      <c r="AX582" s="2"/>
    </row>
    <row r="583">
      <c r="A583" s="2"/>
      <c r="B583" s="2"/>
      <c r="C583" s="2"/>
      <c r="D583" s="2"/>
      <c r="E583" s="2"/>
      <c r="F583" s="2"/>
      <c r="G583" s="2"/>
      <c r="H583" s="2"/>
      <c r="I583" s="2"/>
      <c r="J583" s="2"/>
      <c r="K583" s="2"/>
      <c r="L583" s="3"/>
      <c r="M583" s="4"/>
      <c r="N583" s="4"/>
      <c r="O583" s="5"/>
      <c r="P583" s="6"/>
      <c r="Q583" s="3"/>
      <c r="R583" s="2"/>
      <c r="S583" s="2"/>
      <c r="T583" s="2"/>
      <c r="U583" s="2"/>
      <c r="V583" s="3"/>
      <c r="W583" s="2"/>
      <c r="X583" s="2"/>
      <c r="Y583" s="2"/>
      <c r="Z583" s="2"/>
      <c r="AA583" s="3"/>
      <c r="AB583" s="2"/>
      <c r="AC583" s="2"/>
      <c r="AD583" s="2"/>
      <c r="AE583" s="2"/>
      <c r="AF583" s="3"/>
      <c r="AG583" s="2"/>
      <c r="AH583" s="2"/>
      <c r="AI583" s="2"/>
      <c r="AJ583" s="2"/>
      <c r="AK583" s="3"/>
      <c r="AL583" s="2"/>
      <c r="AM583" s="2"/>
      <c r="AN583" s="2"/>
      <c r="AO583" s="2"/>
      <c r="AP583" s="3"/>
      <c r="AQ583" s="2"/>
      <c r="AR583" s="2"/>
      <c r="AS583" s="2"/>
      <c r="AT583" s="7"/>
      <c r="AU583" s="2"/>
      <c r="AV583" s="2"/>
      <c r="AW583" s="2"/>
      <c r="AX583" s="2"/>
    </row>
    <row r="584">
      <c r="A584" s="2"/>
      <c r="B584" s="2"/>
      <c r="C584" s="2"/>
      <c r="D584" s="2"/>
      <c r="E584" s="2"/>
      <c r="F584" s="2"/>
      <c r="G584" s="2"/>
      <c r="H584" s="2"/>
      <c r="I584" s="2"/>
      <c r="J584" s="2"/>
      <c r="K584" s="2"/>
      <c r="L584" s="3"/>
      <c r="M584" s="4"/>
      <c r="N584" s="4"/>
      <c r="O584" s="5"/>
      <c r="P584" s="6"/>
      <c r="Q584" s="3"/>
      <c r="R584" s="2"/>
      <c r="S584" s="2"/>
      <c r="T584" s="2"/>
      <c r="U584" s="2"/>
      <c r="V584" s="3"/>
      <c r="W584" s="2"/>
      <c r="X584" s="2"/>
      <c r="Y584" s="2"/>
      <c r="Z584" s="2"/>
      <c r="AA584" s="3"/>
      <c r="AB584" s="2"/>
      <c r="AC584" s="2"/>
      <c r="AD584" s="2"/>
      <c r="AE584" s="2"/>
      <c r="AF584" s="3"/>
      <c r="AG584" s="2"/>
      <c r="AH584" s="2"/>
      <c r="AI584" s="2"/>
      <c r="AJ584" s="2"/>
      <c r="AK584" s="3"/>
      <c r="AL584" s="2"/>
      <c r="AM584" s="2"/>
      <c r="AN584" s="2"/>
      <c r="AO584" s="2"/>
      <c r="AP584" s="3"/>
      <c r="AQ584" s="2"/>
      <c r="AR584" s="2"/>
      <c r="AS584" s="2"/>
      <c r="AT584" s="7"/>
      <c r="AU584" s="2"/>
      <c r="AV584" s="2"/>
      <c r="AW584" s="2"/>
      <c r="AX584" s="2"/>
    </row>
    <row r="585">
      <c r="A585" s="2"/>
      <c r="B585" s="2"/>
      <c r="C585" s="2"/>
      <c r="D585" s="2"/>
      <c r="E585" s="2"/>
      <c r="F585" s="2"/>
      <c r="G585" s="2"/>
      <c r="H585" s="2"/>
      <c r="I585" s="2"/>
      <c r="J585" s="2"/>
      <c r="K585" s="2"/>
      <c r="L585" s="3"/>
      <c r="M585" s="4"/>
      <c r="N585" s="4"/>
      <c r="O585" s="5"/>
      <c r="P585" s="6"/>
      <c r="Q585" s="3"/>
      <c r="R585" s="2"/>
      <c r="S585" s="2"/>
      <c r="T585" s="2"/>
      <c r="U585" s="2"/>
      <c r="V585" s="3"/>
      <c r="W585" s="2"/>
      <c r="X585" s="2"/>
      <c r="Y585" s="2"/>
      <c r="Z585" s="2"/>
      <c r="AA585" s="3"/>
      <c r="AB585" s="2"/>
      <c r="AC585" s="2"/>
      <c r="AD585" s="2"/>
      <c r="AE585" s="2"/>
      <c r="AF585" s="3"/>
      <c r="AG585" s="2"/>
      <c r="AH585" s="2"/>
      <c r="AI585" s="2"/>
      <c r="AJ585" s="2"/>
      <c r="AK585" s="3"/>
      <c r="AL585" s="2"/>
      <c r="AM585" s="2"/>
      <c r="AN585" s="2"/>
      <c r="AO585" s="2"/>
      <c r="AP585" s="3"/>
      <c r="AQ585" s="2"/>
      <c r="AR585" s="2"/>
      <c r="AS585" s="2"/>
      <c r="AT585" s="7"/>
      <c r="AU585" s="2"/>
      <c r="AV585" s="2"/>
      <c r="AW585" s="2"/>
      <c r="AX585" s="2"/>
    </row>
    <row r="586">
      <c r="A586" s="2"/>
      <c r="B586" s="2"/>
      <c r="C586" s="2"/>
      <c r="D586" s="2"/>
      <c r="E586" s="2"/>
      <c r="F586" s="2"/>
      <c r="G586" s="2"/>
      <c r="H586" s="2"/>
      <c r="I586" s="2"/>
      <c r="J586" s="2"/>
      <c r="K586" s="2"/>
      <c r="L586" s="3"/>
      <c r="M586" s="4"/>
      <c r="N586" s="4"/>
      <c r="O586" s="5"/>
      <c r="P586" s="6"/>
      <c r="Q586" s="3"/>
      <c r="R586" s="2"/>
      <c r="S586" s="2"/>
      <c r="T586" s="2"/>
      <c r="U586" s="2"/>
      <c r="V586" s="3"/>
      <c r="W586" s="2"/>
      <c r="X586" s="2"/>
      <c r="Y586" s="2"/>
      <c r="Z586" s="2"/>
      <c r="AA586" s="3"/>
      <c r="AB586" s="2"/>
      <c r="AC586" s="2"/>
      <c r="AD586" s="2"/>
      <c r="AE586" s="2"/>
      <c r="AF586" s="3"/>
      <c r="AG586" s="2"/>
      <c r="AH586" s="2"/>
      <c r="AI586" s="2"/>
      <c r="AJ586" s="2"/>
      <c r="AK586" s="3"/>
      <c r="AL586" s="2"/>
      <c r="AM586" s="2"/>
      <c r="AN586" s="2"/>
      <c r="AO586" s="2"/>
      <c r="AP586" s="3"/>
      <c r="AQ586" s="2"/>
      <c r="AR586" s="2"/>
      <c r="AS586" s="2"/>
      <c r="AT586" s="7"/>
      <c r="AU586" s="2"/>
      <c r="AV586" s="2"/>
      <c r="AW586" s="2"/>
      <c r="AX586" s="2"/>
    </row>
    <row r="587">
      <c r="A587" s="2"/>
      <c r="B587" s="2"/>
      <c r="C587" s="2"/>
      <c r="D587" s="2"/>
      <c r="E587" s="2"/>
      <c r="F587" s="2"/>
      <c r="G587" s="2"/>
      <c r="H587" s="2"/>
      <c r="I587" s="2"/>
      <c r="J587" s="2"/>
      <c r="K587" s="2"/>
      <c r="L587" s="3"/>
      <c r="M587" s="4"/>
      <c r="N587" s="4"/>
      <c r="O587" s="5"/>
      <c r="P587" s="6"/>
      <c r="Q587" s="3"/>
      <c r="R587" s="2"/>
      <c r="S587" s="2"/>
      <c r="T587" s="2"/>
      <c r="U587" s="2"/>
      <c r="V587" s="3"/>
      <c r="W587" s="2"/>
      <c r="X587" s="2"/>
      <c r="Y587" s="2"/>
      <c r="Z587" s="2"/>
      <c r="AA587" s="3"/>
      <c r="AB587" s="2"/>
      <c r="AC587" s="2"/>
      <c r="AD587" s="2"/>
      <c r="AE587" s="2"/>
      <c r="AF587" s="3"/>
      <c r="AG587" s="2"/>
      <c r="AH587" s="2"/>
      <c r="AI587" s="2"/>
      <c r="AJ587" s="2"/>
      <c r="AK587" s="3"/>
      <c r="AL587" s="2"/>
      <c r="AM587" s="2"/>
      <c r="AN587" s="2"/>
      <c r="AO587" s="2"/>
      <c r="AP587" s="3"/>
      <c r="AQ587" s="2"/>
      <c r="AR587" s="2"/>
      <c r="AS587" s="2"/>
      <c r="AT587" s="7"/>
      <c r="AU587" s="2"/>
      <c r="AV587" s="2"/>
      <c r="AW587" s="2"/>
      <c r="AX587" s="2"/>
    </row>
    <row r="588">
      <c r="A588" s="2"/>
      <c r="B588" s="2"/>
      <c r="C588" s="2"/>
      <c r="D588" s="2"/>
      <c r="E588" s="2"/>
      <c r="F588" s="2"/>
      <c r="G588" s="2"/>
      <c r="H588" s="2"/>
      <c r="I588" s="2"/>
      <c r="J588" s="2"/>
      <c r="K588" s="2"/>
      <c r="L588" s="3"/>
      <c r="M588" s="4"/>
      <c r="N588" s="4"/>
      <c r="O588" s="5"/>
      <c r="P588" s="6"/>
      <c r="Q588" s="3"/>
      <c r="R588" s="2"/>
      <c r="S588" s="2"/>
      <c r="T588" s="2"/>
      <c r="U588" s="2"/>
      <c r="V588" s="3"/>
      <c r="W588" s="2"/>
      <c r="X588" s="2"/>
      <c r="Y588" s="2"/>
      <c r="Z588" s="2"/>
      <c r="AA588" s="3"/>
      <c r="AB588" s="2"/>
      <c r="AC588" s="2"/>
      <c r="AD588" s="2"/>
      <c r="AE588" s="2"/>
      <c r="AF588" s="3"/>
      <c r="AG588" s="2"/>
      <c r="AH588" s="2"/>
      <c r="AI588" s="2"/>
      <c r="AJ588" s="2"/>
      <c r="AK588" s="3"/>
      <c r="AL588" s="2"/>
      <c r="AM588" s="2"/>
      <c r="AN588" s="2"/>
      <c r="AO588" s="2"/>
      <c r="AP588" s="3"/>
      <c r="AQ588" s="2"/>
      <c r="AR588" s="2"/>
      <c r="AS588" s="2"/>
      <c r="AT588" s="7"/>
      <c r="AU588" s="2"/>
      <c r="AV588" s="2"/>
      <c r="AW588" s="2"/>
      <c r="AX588" s="2"/>
    </row>
    <row r="589">
      <c r="A589" s="2"/>
      <c r="B589" s="2"/>
      <c r="C589" s="2"/>
      <c r="D589" s="2"/>
      <c r="E589" s="2"/>
      <c r="F589" s="2"/>
      <c r="G589" s="2"/>
      <c r="H589" s="2"/>
      <c r="I589" s="2"/>
      <c r="J589" s="2"/>
      <c r="K589" s="2"/>
      <c r="L589" s="3"/>
      <c r="M589" s="4"/>
      <c r="N589" s="4"/>
      <c r="O589" s="5"/>
      <c r="P589" s="6"/>
      <c r="Q589" s="3"/>
      <c r="R589" s="2"/>
      <c r="S589" s="2"/>
      <c r="T589" s="2"/>
      <c r="U589" s="2"/>
      <c r="V589" s="3"/>
      <c r="W589" s="2"/>
      <c r="X589" s="2"/>
      <c r="Y589" s="2"/>
      <c r="Z589" s="2"/>
      <c r="AA589" s="3"/>
      <c r="AB589" s="2"/>
      <c r="AC589" s="2"/>
      <c r="AD589" s="2"/>
      <c r="AE589" s="2"/>
      <c r="AF589" s="3"/>
      <c r="AG589" s="2"/>
      <c r="AH589" s="2"/>
      <c r="AI589" s="2"/>
      <c r="AJ589" s="2"/>
      <c r="AK589" s="3"/>
      <c r="AL589" s="2"/>
      <c r="AM589" s="2"/>
      <c r="AN589" s="2"/>
      <c r="AO589" s="2"/>
      <c r="AP589" s="3"/>
      <c r="AQ589" s="2"/>
      <c r="AR589" s="2"/>
      <c r="AS589" s="2"/>
      <c r="AT589" s="7"/>
      <c r="AU589" s="2"/>
      <c r="AV589" s="2"/>
      <c r="AW589" s="2"/>
      <c r="AX589" s="2"/>
    </row>
    <row r="590">
      <c r="A590" s="2"/>
      <c r="B590" s="2"/>
      <c r="C590" s="2"/>
      <c r="D590" s="2"/>
      <c r="E590" s="2"/>
      <c r="F590" s="2"/>
      <c r="G590" s="2"/>
      <c r="H590" s="2"/>
      <c r="I590" s="2"/>
      <c r="J590" s="2"/>
      <c r="K590" s="2"/>
      <c r="L590" s="3"/>
      <c r="M590" s="4"/>
      <c r="N590" s="4"/>
      <c r="O590" s="5"/>
      <c r="P590" s="6"/>
      <c r="Q590" s="3"/>
      <c r="R590" s="2"/>
      <c r="S590" s="2"/>
      <c r="T590" s="2"/>
      <c r="U590" s="2"/>
      <c r="V590" s="3"/>
      <c r="W590" s="2"/>
      <c r="X590" s="2"/>
      <c r="Y590" s="2"/>
      <c r="Z590" s="2"/>
      <c r="AA590" s="3"/>
      <c r="AB590" s="2"/>
      <c r="AC590" s="2"/>
      <c r="AD590" s="2"/>
      <c r="AE590" s="2"/>
      <c r="AF590" s="3"/>
      <c r="AG590" s="2"/>
      <c r="AH590" s="2"/>
      <c r="AI590" s="2"/>
      <c r="AJ590" s="2"/>
      <c r="AK590" s="3"/>
      <c r="AL590" s="2"/>
      <c r="AM590" s="2"/>
      <c r="AN590" s="2"/>
      <c r="AO590" s="2"/>
      <c r="AP590" s="3"/>
      <c r="AQ590" s="2"/>
      <c r="AR590" s="2"/>
      <c r="AS590" s="2"/>
      <c r="AT590" s="7"/>
      <c r="AU590" s="2"/>
      <c r="AV590" s="2"/>
      <c r="AW590" s="2"/>
      <c r="AX590" s="2"/>
    </row>
    <row r="591">
      <c r="A591" s="2"/>
      <c r="B591" s="2"/>
      <c r="C591" s="2"/>
      <c r="D591" s="2"/>
      <c r="E591" s="2"/>
      <c r="F591" s="2"/>
      <c r="G591" s="2"/>
      <c r="H591" s="2"/>
      <c r="I591" s="2"/>
      <c r="J591" s="2"/>
      <c r="K591" s="2"/>
      <c r="L591" s="3"/>
      <c r="M591" s="4"/>
      <c r="N591" s="4"/>
      <c r="O591" s="5"/>
      <c r="P591" s="6"/>
      <c r="Q591" s="3"/>
      <c r="R591" s="2"/>
      <c r="S591" s="2"/>
      <c r="T591" s="2"/>
      <c r="U591" s="2"/>
      <c r="V591" s="3"/>
      <c r="W591" s="2"/>
      <c r="X591" s="2"/>
      <c r="Y591" s="2"/>
      <c r="Z591" s="2"/>
      <c r="AA591" s="3"/>
      <c r="AB591" s="2"/>
      <c r="AC591" s="2"/>
      <c r="AD591" s="2"/>
      <c r="AE591" s="2"/>
      <c r="AF591" s="3"/>
      <c r="AG591" s="2"/>
      <c r="AH591" s="2"/>
      <c r="AI591" s="2"/>
      <c r="AJ591" s="2"/>
      <c r="AK591" s="3"/>
      <c r="AL591" s="2"/>
      <c r="AM591" s="2"/>
      <c r="AN591" s="2"/>
      <c r="AO591" s="2"/>
      <c r="AP591" s="3"/>
      <c r="AQ591" s="2"/>
      <c r="AR591" s="2"/>
      <c r="AS591" s="2"/>
      <c r="AT591" s="7"/>
      <c r="AU591" s="2"/>
      <c r="AV591" s="2"/>
      <c r="AW591" s="2"/>
      <c r="AX591" s="2"/>
    </row>
    <row r="592">
      <c r="A592" s="2"/>
      <c r="B592" s="2"/>
      <c r="C592" s="2"/>
      <c r="D592" s="2"/>
      <c r="E592" s="2"/>
      <c r="F592" s="2"/>
      <c r="G592" s="2"/>
      <c r="H592" s="2"/>
      <c r="I592" s="2"/>
      <c r="J592" s="2"/>
      <c r="K592" s="2"/>
      <c r="L592" s="3"/>
      <c r="M592" s="4"/>
      <c r="N592" s="4"/>
      <c r="O592" s="5"/>
      <c r="P592" s="6"/>
      <c r="Q592" s="3"/>
      <c r="R592" s="2"/>
      <c r="S592" s="2"/>
      <c r="T592" s="2"/>
      <c r="U592" s="2"/>
      <c r="V592" s="3"/>
      <c r="W592" s="2"/>
      <c r="X592" s="2"/>
      <c r="Y592" s="2"/>
      <c r="Z592" s="2"/>
      <c r="AA592" s="3"/>
      <c r="AB592" s="2"/>
      <c r="AC592" s="2"/>
      <c r="AD592" s="2"/>
      <c r="AE592" s="2"/>
      <c r="AF592" s="3"/>
      <c r="AG592" s="2"/>
      <c r="AH592" s="2"/>
      <c r="AI592" s="2"/>
      <c r="AJ592" s="2"/>
      <c r="AK592" s="3"/>
      <c r="AL592" s="2"/>
      <c r="AM592" s="2"/>
      <c r="AN592" s="2"/>
      <c r="AO592" s="2"/>
      <c r="AP592" s="3"/>
      <c r="AQ592" s="2"/>
      <c r="AR592" s="2"/>
      <c r="AS592" s="2"/>
      <c r="AT592" s="7"/>
      <c r="AU592" s="2"/>
      <c r="AV592" s="2"/>
      <c r="AW592" s="2"/>
      <c r="AX592" s="2"/>
    </row>
    <row r="593">
      <c r="A593" s="2"/>
      <c r="B593" s="2"/>
      <c r="C593" s="2"/>
      <c r="D593" s="2"/>
      <c r="E593" s="2"/>
      <c r="F593" s="2"/>
      <c r="G593" s="2"/>
      <c r="H593" s="2"/>
      <c r="I593" s="2"/>
      <c r="J593" s="2"/>
      <c r="K593" s="2"/>
      <c r="L593" s="3"/>
      <c r="M593" s="4"/>
      <c r="N593" s="4"/>
      <c r="O593" s="5"/>
      <c r="P593" s="6"/>
      <c r="Q593" s="3"/>
      <c r="R593" s="2"/>
      <c r="S593" s="2"/>
      <c r="T593" s="2"/>
      <c r="U593" s="2"/>
      <c r="V593" s="3"/>
      <c r="W593" s="2"/>
      <c r="X593" s="2"/>
      <c r="Y593" s="2"/>
      <c r="Z593" s="2"/>
      <c r="AA593" s="3"/>
      <c r="AB593" s="2"/>
      <c r="AC593" s="2"/>
      <c r="AD593" s="2"/>
      <c r="AE593" s="2"/>
      <c r="AF593" s="3"/>
      <c r="AG593" s="2"/>
      <c r="AH593" s="2"/>
      <c r="AI593" s="2"/>
      <c r="AJ593" s="2"/>
      <c r="AK593" s="3"/>
      <c r="AL593" s="2"/>
      <c r="AM593" s="2"/>
      <c r="AN593" s="2"/>
      <c r="AO593" s="2"/>
      <c r="AP593" s="3"/>
      <c r="AQ593" s="2"/>
      <c r="AR593" s="2"/>
      <c r="AS593" s="2"/>
      <c r="AT593" s="7"/>
      <c r="AU593" s="2"/>
      <c r="AV593" s="2"/>
      <c r="AW593" s="2"/>
      <c r="AX593" s="2"/>
    </row>
    <row r="594">
      <c r="A594" s="2"/>
      <c r="B594" s="2"/>
      <c r="C594" s="2"/>
      <c r="D594" s="2"/>
      <c r="E594" s="2"/>
      <c r="F594" s="2"/>
      <c r="G594" s="2"/>
      <c r="H594" s="2"/>
      <c r="I594" s="2"/>
      <c r="J594" s="2"/>
      <c r="K594" s="2"/>
      <c r="L594" s="3"/>
      <c r="M594" s="4"/>
      <c r="N594" s="4"/>
      <c r="O594" s="5"/>
      <c r="P594" s="6"/>
      <c r="Q594" s="3"/>
      <c r="R594" s="2"/>
      <c r="S594" s="2"/>
      <c r="T594" s="2"/>
      <c r="U594" s="2"/>
      <c r="V594" s="3"/>
      <c r="W594" s="2"/>
      <c r="X594" s="2"/>
      <c r="Y594" s="2"/>
      <c r="Z594" s="2"/>
      <c r="AA594" s="3"/>
      <c r="AB594" s="2"/>
      <c r="AC594" s="2"/>
      <c r="AD594" s="2"/>
      <c r="AE594" s="2"/>
      <c r="AF594" s="3"/>
      <c r="AG594" s="2"/>
      <c r="AH594" s="2"/>
      <c r="AI594" s="2"/>
      <c r="AJ594" s="2"/>
      <c r="AK594" s="3"/>
      <c r="AL594" s="2"/>
      <c r="AM594" s="2"/>
      <c r="AN594" s="2"/>
      <c r="AO594" s="2"/>
      <c r="AP594" s="3"/>
      <c r="AQ594" s="2"/>
      <c r="AR594" s="2"/>
      <c r="AS594" s="2"/>
      <c r="AT594" s="7"/>
      <c r="AU594" s="2"/>
      <c r="AV594" s="2"/>
      <c r="AW594" s="2"/>
      <c r="AX594" s="2"/>
    </row>
    <row r="595">
      <c r="A595" s="2"/>
      <c r="B595" s="2"/>
      <c r="C595" s="2"/>
      <c r="D595" s="2"/>
      <c r="E595" s="2"/>
      <c r="F595" s="2"/>
      <c r="G595" s="2"/>
      <c r="H595" s="2"/>
      <c r="I595" s="2"/>
      <c r="J595" s="2"/>
      <c r="K595" s="2"/>
      <c r="L595" s="3"/>
      <c r="M595" s="4"/>
      <c r="N595" s="4"/>
      <c r="O595" s="5"/>
      <c r="P595" s="6"/>
      <c r="Q595" s="3"/>
      <c r="R595" s="2"/>
      <c r="S595" s="2"/>
      <c r="T595" s="2"/>
      <c r="U595" s="2"/>
      <c r="V595" s="3"/>
      <c r="W595" s="2"/>
      <c r="X595" s="2"/>
      <c r="Y595" s="2"/>
      <c r="Z595" s="2"/>
      <c r="AA595" s="3"/>
      <c r="AB595" s="2"/>
      <c r="AC595" s="2"/>
      <c r="AD595" s="2"/>
      <c r="AE595" s="2"/>
      <c r="AF595" s="3"/>
      <c r="AG595" s="2"/>
      <c r="AH595" s="2"/>
      <c r="AI595" s="2"/>
      <c r="AJ595" s="2"/>
      <c r="AK595" s="3"/>
      <c r="AL595" s="2"/>
      <c r="AM595" s="2"/>
      <c r="AN595" s="2"/>
      <c r="AO595" s="2"/>
      <c r="AP595" s="3"/>
      <c r="AQ595" s="2"/>
      <c r="AR595" s="2"/>
      <c r="AS595" s="2"/>
      <c r="AT595" s="7"/>
      <c r="AU595" s="2"/>
      <c r="AV595" s="2"/>
      <c r="AW595" s="2"/>
      <c r="AX595" s="2"/>
    </row>
    <row r="596">
      <c r="A596" s="2"/>
      <c r="B596" s="2"/>
      <c r="C596" s="2"/>
      <c r="D596" s="2"/>
      <c r="E596" s="2"/>
      <c r="F596" s="2"/>
      <c r="G596" s="2"/>
      <c r="H596" s="2"/>
      <c r="I596" s="2"/>
      <c r="J596" s="2"/>
      <c r="K596" s="2"/>
      <c r="L596" s="3"/>
      <c r="M596" s="4"/>
      <c r="N596" s="4"/>
      <c r="O596" s="5"/>
      <c r="P596" s="6"/>
      <c r="Q596" s="3"/>
      <c r="R596" s="2"/>
      <c r="S596" s="2"/>
      <c r="T596" s="2"/>
      <c r="U596" s="2"/>
      <c r="V596" s="3"/>
      <c r="W596" s="2"/>
      <c r="X596" s="2"/>
      <c r="Y596" s="2"/>
      <c r="Z596" s="2"/>
      <c r="AA596" s="3"/>
      <c r="AB596" s="2"/>
      <c r="AC596" s="2"/>
      <c r="AD596" s="2"/>
      <c r="AE596" s="2"/>
      <c r="AF596" s="3"/>
      <c r="AG596" s="2"/>
      <c r="AH596" s="2"/>
      <c r="AI596" s="2"/>
      <c r="AJ596" s="2"/>
      <c r="AK596" s="3"/>
      <c r="AL596" s="2"/>
      <c r="AM596" s="2"/>
      <c r="AN596" s="2"/>
      <c r="AO596" s="2"/>
      <c r="AP596" s="3"/>
      <c r="AQ596" s="2"/>
      <c r="AR596" s="2"/>
      <c r="AS596" s="2"/>
      <c r="AT596" s="7"/>
      <c r="AU596" s="2"/>
      <c r="AV596" s="2"/>
      <c r="AW596" s="2"/>
      <c r="AX596" s="2"/>
    </row>
    <row r="597">
      <c r="A597" s="2"/>
      <c r="B597" s="2"/>
      <c r="C597" s="2"/>
      <c r="D597" s="2"/>
      <c r="E597" s="2"/>
      <c r="F597" s="2"/>
      <c r="G597" s="2"/>
      <c r="H597" s="2"/>
      <c r="I597" s="2"/>
      <c r="J597" s="2"/>
      <c r="K597" s="2"/>
      <c r="L597" s="3"/>
      <c r="M597" s="4"/>
      <c r="N597" s="4"/>
      <c r="O597" s="5"/>
      <c r="P597" s="6"/>
      <c r="Q597" s="3"/>
      <c r="R597" s="2"/>
      <c r="S597" s="2"/>
      <c r="T597" s="2"/>
      <c r="U597" s="2"/>
      <c r="V597" s="3"/>
      <c r="W597" s="2"/>
      <c r="X597" s="2"/>
      <c r="Y597" s="2"/>
      <c r="Z597" s="2"/>
      <c r="AA597" s="3"/>
      <c r="AB597" s="2"/>
      <c r="AC597" s="2"/>
      <c r="AD597" s="2"/>
      <c r="AE597" s="2"/>
      <c r="AF597" s="3"/>
      <c r="AG597" s="2"/>
      <c r="AH597" s="2"/>
      <c r="AI597" s="2"/>
      <c r="AJ597" s="2"/>
      <c r="AK597" s="3"/>
      <c r="AL597" s="2"/>
      <c r="AM597" s="2"/>
      <c r="AN597" s="2"/>
      <c r="AO597" s="2"/>
      <c r="AP597" s="3"/>
      <c r="AQ597" s="2"/>
      <c r="AR597" s="2"/>
      <c r="AS597" s="2"/>
      <c r="AT597" s="7"/>
      <c r="AU597" s="2"/>
      <c r="AV597" s="2"/>
      <c r="AW597" s="2"/>
      <c r="AX597" s="2"/>
    </row>
    <row r="598">
      <c r="A598" s="2"/>
      <c r="B598" s="2"/>
      <c r="C598" s="2"/>
      <c r="D598" s="2"/>
      <c r="E598" s="2"/>
      <c r="F598" s="2"/>
      <c r="G598" s="2"/>
      <c r="H598" s="2"/>
      <c r="I598" s="2"/>
      <c r="J598" s="2"/>
      <c r="K598" s="2"/>
      <c r="L598" s="3"/>
      <c r="M598" s="4"/>
      <c r="N598" s="4"/>
      <c r="O598" s="5"/>
      <c r="P598" s="6"/>
      <c r="Q598" s="3"/>
      <c r="R598" s="2"/>
      <c r="S598" s="2"/>
      <c r="T598" s="2"/>
      <c r="U598" s="2"/>
      <c r="V598" s="3"/>
      <c r="W598" s="2"/>
      <c r="X598" s="2"/>
      <c r="Y598" s="2"/>
      <c r="Z598" s="2"/>
      <c r="AA598" s="3"/>
      <c r="AB598" s="2"/>
      <c r="AC598" s="2"/>
      <c r="AD598" s="2"/>
      <c r="AE598" s="2"/>
      <c r="AF598" s="3"/>
      <c r="AG598" s="2"/>
      <c r="AH598" s="2"/>
      <c r="AI598" s="2"/>
      <c r="AJ598" s="2"/>
      <c r="AK598" s="3"/>
      <c r="AL598" s="2"/>
      <c r="AM598" s="2"/>
      <c r="AN598" s="2"/>
      <c r="AO598" s="2"/>
      <c r="AP598" s="3"/>
      <c r="AQ598" s="2"/>
      <c r="AR598" s="2"/>
      <c r="AS598" s="2"/>
      <c r="AT598" s="7"/>
      <c r="AU598" s="2"/>
      <c r="AV598" s="2"/>
      <c r="AW598" s="2"/>
      <c r="AX598" s="2"/>
    </row>
    <row r="599">
      <c r="A599" s="2"/>
      <c r="B599" s="2"/>
      <c r="C599" s="2"/>
      <c r="D599" s="2"/>
      <c r="E599" s="2"/>
      <c r="F599" s="2"/>
      <c r="G599" s="2"/>
      <c r="H599" s="2"/>
      <c r="I599" s="2"/>
      <c r="J599" s="2"/>
      <c r="K599" s="2"/>
      <c r="L599" s="3"/>
      <c r="M599" s="4"/>
      <c r="N599" s="4"/>
      <c r="O599" s="5"/>
      <c r="P599" s="6"/>
      <c r="Q599" s="3"/>
      <c r="R599" s="2"/>
      <c r="S599" s="2"/>
      <c r="T599" s="2"/>
      <c r="U599" s="2"/>
      <c r="V599" s="3"/>
      <c r="W599" s="2"/>
      <c r="X599" s="2"/>
      <c r="Y599" s="2"/>
      <c r="Z599" s="2"/>
      <c r="AA599" s="3"/>
      <c r="AB599" s="2"/>
      <c r="AC599" s="2"/>
      <c r="AD599" s="2"/>
      <c r="AE599" s="2"/>
      <c r="AF599" s="3"/>
      <c r="AG599" s="2"/>
      <c r="AH599" s="2"/>
      <c r="AI599" s="2"/>
      <c r="AJ599" s="2"/>
      <c r="AK599" s="3"/>
      <c r="AL599" s="2"/>
      <c r="AM599" s="2"/>
      <c r="AN599" s="2"/>
      <c r="AO599" s="2"/>
      <c r="AP599" s="3"/>
      <c r="AQ599" s="2"/>
      <c r="AR599" s="2"/>
      <c r="AS599" s="2"/>
      <c r="AT599" s="7"/>
      <c r="AU599" s="2"/>
      <c r="AV599" s="2"/>
      <c r="AW599" s="2"/>
      <c r="AX599" s="2"/>
    </row>
    <row r="600">
      <c r="A600" s="2"/>
      <c r="B600" s="2"/>
      <c r="C600" s="2"/>
      <c r="D600" s="2"/>
      <c r="E600" s="2"/>
      <c r="F600" s="2"/>
      <c r="G600" s="2"/>
      <c r="H600" s="2"/>
      <c r="I600" s="2"/>
      <c r="J600" s="2"/>
      <c r="K600" s="2"/>
      <c r="L600" s="3"/>
      <c r="M600" s="4"/>
      <c r="N600" s="4"/>
      <c r="O600" s="5"/>
      <c r="P600" s="6"/>
      <c r="Q600" s="3"/>
      <c r="R600" s="2"/>
      <c r="S600" s="2"/>
      <c r="T600" s="2"/>
      <c r="U600" s="2"/>
      <c r="V600" s="3"/>
      <c r="W600" s="2"/>
      <c r="X600" s="2"/>
      <c r="Y600" s="2"/>
      <c r="Z600" s="2"/>
      <c r="AA600" s="3"/>
      <c r="AB600" s="2"/>
      <c r="AC600" s="2"/>
      <c r="AD600" s="2"/>
      <c r="AE600" s="2"/>
      <c r="AF600" s="3"/>
      <c r="AG600" s="2"/>
      <c r="AH600" s="2"/>
      <c r="AI600" s="2"/>
      <c r="AJ600" s="2"/>
      <c r="AK600" s="3"/>
      <c r="AL600" s="2"/>
      <c r="AM600" s="2"/>
      <c r="AN600" s="2"/>
      <c r="AO600" s="2"/>
      <c r="AP600" s="3"/>
      <c r="AQ600" s="2"/>
      <c r="AR600" s="2"/>
      <c r="AS600" s="2"/>
      <c r="AT600" s="7"/>
      <c r="AU600" s="2"/>
      <c r="AV600" s="2"/>
      <c r="AW600" s="2"/>
      <c r="AX600" s="2"/>
    </row>
    <row r="601">
      <c r="A601" s="2"/>
      <c r="B601" s="2"/>
      <c r="C601" s="2"/>
      <c r="D601" s="2"/>
      <c r="E601" s="2"/>
      <c r="F601" s="2"/>
      <c r="G601" s="2"/>
      <c r="H601" s="2"/>
      <c r="I601" s="2"/>
      <c r="J601" s="2"/>
      <c r="K601" s="2"/>
      <c r="L601" s="3"/>
      <c r="M601" s="4"/>
      <c r="N601" s="4"/>
      <c r="O601" s="5"/>
      <c r="P601" s="6"/>
      <c r="Q601" s="3"/>
      <c r="R601" s="2"/>
      <c r="S601" s="2"/>
      <c r="T601" s="2"/>
      <c r="U601" s="2"/>
      <c r="V601" s="3"/>
      <c r="W601" s="2"/>
      <c r="X601" s="2"/>
      <c r="Y601" s="2"/>
      <c r="Z601" s="2"/>
      <c r="AA601" s="3"/>
      <c r="AB601" s="2"/>
      <c r="AC601" s="2"/>
      <c r="AD601" s="2"/>
      <c r="AE601" s="2"/>
      <c r="AF601" s="3"/>
      <c r="AG601" s="2"/>
      <c r="AH601" s="2"/>
      <c r="AI601" s="2"/>
      <c r="AJ601" s="2"/>
      <c r="AK601" s="3"/>
      <c r="AL601" s="2"/>
      <c r="AM601" s="2"/>
      <c r="AN601" s="2"/>
      <c r="AO601" s="2"/>
      <c r="AP601" s="3"/>
      <c r="AQ601" s="2"/>
      <c r="AR601" s="2"/>
      <c r="AS601" s="2"/>
      <c r="AT601" s="7"/>
      <c r="AU601" s="2"/>
      <c r="AV601" s="2"/>
      <c r="AW601" s="2"/>
      <c r="AX601" s="2"/>
    </row>
    <row r="602">
      <c r="A602" s="2"/>
      <c r="B602" s="2"/>
      <c r="C602" s="2"/>
      <c r="D602" s="2"/>
      <c r="E602" s="2"/>
      <c r="F602" s="2"/>
      <c r="G602" s="2"/>
      <c r="H602" s="2"/>
      <c r="I602" s="2"/>
      <c r="J602" s="2"/>
      <c r="K602" s="2"/>
      <c r="L602" s="3"/>
      <c r="M602" s="4"/>
      <c r="N602" s="4"/>
      <c r="O602" s="5"/>
      <c r="P602" s="6"/>
      <c r="Q602" s="3"/>
      <c r="R602" s="2"/>
      <c r="S602" s="2"/>
      <c r="T602" s="2"/>
      <c r="U602" s="2"/>
      <c r="V602" s="3"/>
      <c r="W602" s="2"/>
      <c r="X602" s="2"/>
      <c r="Y602" s="2"/>
      <c r="Z602" s="2"/>
      <c r="AA602" s="3"/>
      <c r="AB602" s="2"/>
      <c r="AC602" s="2"/>
      <c r="AD602" s="2"/>
      <c r="AE602" s="2"/>
      <c r="AF602" s="3"/>
      <c r="AG602" s="2"/>
      <c r="AH602" s="2"/>
      <c r="AI602" s="2"/>
      <c r="AJ602" s="2"/>
      <c r="AK602" s="3"/>
      <c r="AL602" s="2"/>
      <c r="AM602" s="2"/>
      <c r="AN602" s="2"/>
      <c r="AO602" s="2"/>
      <c r="AP602" s="3"/>
      <c r="AQ602" s="2"/>
      <c r="AR602" s="2"/>
      <c r="AS602" s="2"/>
      <c r="AT602" s="7"/>
      <c r="AU602" s="2"/>
      <c r="AV602" s="2"/>
      <c r="AW602" s="2"/>
      <c r="AX602" s="2"/>
    </row>
    <row r="603">
      <c r="A603" s="2"/>
      <c r="B603" s="2"/>
      <c r="C603" s="2"/>
      <c r="D603" s="2"/>
      <c r="E603" s="2"/>
      <c r="F603" s="2"/>
      <c r="G603" s="2"/>
      <c r="H603" s="2"/>
      <c r="I603" s="2"/>
      <c r="J603" s="2"/>
      <c r="K603" s="2"/>
      <c r="L603" s="3"/>
      <c r="M603" s="4"/>
      <c r="N603" s="4"/>
      <c r="O603" s="5"/>
      <c r="P603" s="6"/>
      <c r="Q603" s="3"/>
      <c r="R603" s="2"/>
      <c r="S603" s="2"/>
      <c r="T603" s="2"/>
      <c r="U603" s="2"/>
      <c r="V603" s="3"/>
      <c r="W603" s="2"/>
      <c r="X603" s="2"/>
      <c r="Y603" s="2"/>
      <c r="Z603" s="2"/>
      <c r="AA603" s="3"/>
      <c r="AB603" s="2"/>
      <c r="AC603" s="2"/>
      <c r="AD603" s="2"/>
      <c r="AE603" s="2"/>
      <c r="AF603" s="3"/>
      <c r="AG603" s="2"/>
      <c r="AH603" s="2"/>
      <c r="AI603" s="2"/>
      <c r="AJ603" s="2"/>
      <c r="AK603" s="3"/>
      <c r="AL603" s="2"/>
      <c r="AM603" s="2"/>
      <c r="AN603" s="2"/>
      <c r="AO603" s="2"/>
      <c r="AP603" s="3"/>
      <c r="AQ603" s="2"/>
      <c r="AR603" s="2"/>
      <c r="AS603" s="2"/>
      <c r="AT603" s="7"/>
      <c r="AU603" s="2"/>
      <c r="AV603" s="2"/>
      <c r="AW603" s="2"/>
      <c r="AX603" s="2"/>
    </row>
    <row r="604">
      <c r="A604" s="2"/>
      <c r="B604" s="2"/>
      <c r="C604" s="2"/>
      <c r="D604" s="2"/>
      <c r="E604" s="2"/>
      <c r="F604" s="2"/>
      <c r="G604" s="2"/>
      <c r="H604" s="2"/>
      <c r="I604" s="2"/>
      <c r="J604" s="2"/>
      <c r="K604" s="2"/>
      <c r="L604" s="3"/>
      <c r="M604" s="4"/>
      <c r="N604" s="4"/>
      <c r="O604" s="5"/>
      <c r="P604" s="6"/>
      <c r="Q604" s="3"/>
      <c r="R604" s="2"/>
      <c r="S604" s="2"/>
      <c r="T604" s="2"/>
      <c r="U604" s="2"/>
      <c r="V604" s="3"/>
      <c r="W604" s="2"/>
      <c r="X604" s="2"/>
      <c r="Y604" s="2"/>
      <c r="Z604" s="2"/>
      <c r="AA604" s="3"/>
      <c r="AB604" s="2"/>
      <c r="AC604" s="2"/>
      <c r="AD604" s="2"/>
      <c r="AE604" s="2"/>
      <c r="AF604" s="3"/>
      <c r="AG604" s="2"/>
      <c r="AH604" s="2"/>
      <c r="AI604" s="2"/>
      <c r="AJ604" s="2"/>
      <c r="AK604" s="3"/>
      <c r="AL604" s="2"/>
      <c r="AM604" s="2"/>
      <c r="AN604" s="2"/>
      <c r="AO604" s="2"/>
      <c r="AP604" s="3"/>
      <c r="AQ604" s="2"/>
      <c r="AR604" s="2"/>
      <c r="AS604" s="2"/>
      <c r="AT604" s="7"/>
      <c r="AU604" s="2"/>
      <c r="AV604" s="2"/>
      <c r="AW604" s="2"/>
      <c r="AX604" s="2"/>
    </row>
    <row r="605">
      <c r="A605" s="2"/>
      <c r="B605" s="2"/>
      <c r="C605" s="2"/>
      <c r="D605" s="2"/>
      <c r="E605" s="2"/>
      <c r="F605" s="2"/>
      <c r="G605" s="2"/>
      <c r="H605" s="2"/>
      <c r="I605" s="2"/>
      <c r="J605" s="2"/>
      <c r="K605" s="2"/>
      <c r="L605" s="3"/>
      <c r="M605" s="4"/>
      <c r="N605" s="4"/>
      <c r="O605" s="5"/>
      <c r="P605" s="6"/>
      <c r="Q605" s="3"/>
      <c r="R605" s="2"/>
      <c r="S605" s="2"/>
      <c r="T605" s="2"/>
      <c r="U605" s="2"/>
      <c r="V605" s="3"/>
      <c r="W605" s="2"/>
      <c r="X605" s="2"/>
      <c r="Y605" s="2"/>
      <c r="Z605" s="2"/>
      <c r="AA605" s="3"/>
      <c r="AB605" s="2"/>
      <c r="AC605" s="2"/>
      <c r="AD605" s="2"/>
      <c r="AE605" s="2"/>
      <c r="AF605" s="3"/>
      <c r="AG605" s="2"/>
      <c r="AH605" s="2"/>
      <c r="AI605" s="2"/>
      <c r="AJ605" s="2"/>
      <c r="AK605" s="3"/>
      <c r="AL605" s="2"/>
      <c r="AM605" s="2"/>
      <c r="AN605" s="2"/>
      <c r="AO605" s="2"/>
      <c r="AP605" s="3"/>
      <c r="AQ605" s="2"/>
      <c r="AR605" s="2"/>
      <c r="AS605" s="2"/>
      <c r="AT605" s="7"/>
      <c r="AU605" s="2"/>
      <c r="AV605" s="2"/>
      <c r="AW605" s="2"/>
      <c r="AX605" s="2"/>
    </row>
    <row r="606">
      <c r="A606" s="2"/>
      <c r="B606" s="2"/>
      <c r="C606" s="2"/>
      <c r="D606" s="2"/>
      <c r="E606" s="2"/>
      <c r="F606" s="2"/>
      <c r="G606" s="2"/>
      <c r="H606" s="2"/>
      <c r="I606" s="2"/>
      <c r="J606" s="2"/>
      <c r="K606" s="2"/>
      <c r="L606" s="3"/>
      <c r="M606" s="4"/>
      <c r="N606" s="4"/>
      <c r="O606" s="5"/>
      <c r="P606" s="6"/>
      <c r="Q606" s="3"/>
      <c r="R606" s="2"/>
      <c r="S606" s="2"/>
      <c r="T606" s="2"/>
      <c r="U606" s="2"/>
      <c r="V606" s="3"/>
      <c r="W606" s="2"/>
      <c r="X606" s="2"/>
      <c r="Y606" s="2"/>
      <c r="Z606" s="2"/>
      <c r="AA606" s="3"/>
      <c r="AB606" s="2"/>
      <c r="AC606" s="2"/>
      <c r="AD606" s="2"/>
      <c r="AE606" s="2"/>
      <c r="AF606" s="3"/>
      <c r="AG606" s="2"/>
      <c r="AH606" s="2"/>
      <c r="AI606" s="2"/>
      <c r="AJ606" s="2"/>
      <c r="AK606" s="3"/>
      <c r="AL606" s="2"/>
      <c r="AM606" s="2"/>
      <c r="AN606" s="2"/>
      <c r="AO606" s="2"/>
      <c r="AP606" s="3"/>
      <c r="AQ606" s="2"/>
      <c r="AR606" s="2"/>
      <c r="AS606" s="2"/>
      <c r="AT606" s="7"/>
      <c r="AU606" s="2"/>
      <c r="AV606" s="2"/>
      <c r="AW606" s="2"/>
      <c r="AX606" s="2"/>
    </row>
    <row r="607">
      <c r="A607" s="2"/>
      <c r="B607" s="2"/>
      <c r="C607" s="2"/>
      <c r="D607" s="2"/>
      <c r="E607" s="2"/>
      <c r="F607" s="2"/>
      <c r="G607" s="2"/>
      <c r="H607" s="2"/>
      <c r="I607" s="2"/>
      <c r="J607" s="2"/>
      <c r="K607" s="2"/>
      <c r="L607" s="3"/>
      <c r="M607" s="4"/>
      <c r="N607" s="4"/>
      <c r="O607" s="5"/>
      <c r="P607" s="6"/>
      <c r="Q607" s="3"/>
      <c r="R607" s="2"/>
      <c r="S607" s="2"/>
      <c r="T607" s="2"/>
      <c r="U607" s="2"/>
      <c r="V607" s="3"/>
      <c r="W607" s="2"/>
      <c r="X607" s="2"/>
      <c r="Y607" s="2"/>
      <c r="Z607" s="2"/>
      <c r="AA607" s="3"/>
      <c r="AB607" s="2"/>
      <c r="AC607" s="2"/>
      <c r="AD607" s="2"/>
      <c r="AE607" s="2"/>
      <c r="AF607" s="3"/>
      <c r="AG607" s="2"/>
      <c r="AH607" s="2"/>
      <c r="AI607" s="2"/>
      <c r="AJ607" s="2"/>
      <c r="AK607" s="3"/>
      <c r="AL607" s="2"/>
      <c r="AM607" s="2"/>
      <c r="AN607" s="2"/>
      <c r="AO607" s="2"/>
      <c r="AP607" s="3"/>
      <c r="AQ607" s="2"/>
      <c r="AR607" s="2"/>
      <c r="AS607" s="2"/>
      <c r="AT607" s="7"/>
      <c r="AU607" s="2"/>
      <c r="AV607" s="2"/>
      <c r="AW607" s="2"/>
      <c r="AX607" s="2"/>
    </row>
    <row r="608">
      <c r="A608" s="2"/>
      <c r="B608" s="2"/>
      <c r="C608" s="2"/>
      <c r="D608" s="2"/>
      <c r="E608" s="2"/>
      <c r="F608" s="2"/>
      <c r="G608" s="2"/>
      <c r="H608" s="2"/>
      <c r="I608" s="2"/>
      <c r="J608" s="2"/>
      <c r="K608" s="2"/>
      <c r="L608" s="3"/>
      <c r="M608" s="4"/>
      <c r="N608" s="4"/>
      <c r="O608" s="5"/>
      <c r="P608" s="6"/>
      <c r="Q608" s="3"/>
      <c r="R608" s="2"/>
      <c r="S608" s="2"/>
      <c r="T608" s="2"/>
      <c r="U608" s="2"/>
      <c r="V608" s="3"/>
      <c r="W608" s="2"/>
      <c r="X608" s="2"/>
      <c r="Y608" s="2"/>
      <c r="Z608" s="2"/>
      <c r="AA608" s="3"/>
      <c r="AB608" s="2"/>
      <c r="AC608" s="2"/>
      <c r="AD608" s="2"/>
      <c r="AE608" s="2"/>
      <c r="AF608" s="3"/>
      <c r="AG608" s="2"/>
      <c r="AH608" s="2"/>
      <c r="AI608" s="2"/>
      <c r="AJ608" s="2"/>
      <c r="AK608" s="3"/>
      <c r="AL608" s="2"/>
      <c r="AM608" s="2"/>
      <c r="AN608" s="2"/>
      <c r="AO608" s="2"/>
      <c r="AP608" s="3"/>
      <c r="AQ608" s="2"/>
      <c r="AR608" s="2"/>
      <c r="AS608" s="2"/>
      <c r="AT608" s="7"/>
      <c r="AU608" s="2"/>
      <c r="AV608" s="2"/>
      <c r="AW608" s="2"/>
      <c r="AX608" s="2"/>
    </row>
    <row r="609">
      <c r="A609" s="2"/>
      <c r="B609" s="2"/>
      <c r="C609" s="2"/>
      <c r="D609" s="2"/>
      <c r="E609" s="2"/>
      <c r="F609" s="2"/>
      <c r="G609" s="2"/>
      <c r="H609" s="2"/>
      <c r="I609" s="2"/>
      <c r="J609" s="2"/>
      <c r="K609" s="2"/>
      <c r="L609" s="3"/>
      <c r="M609" s="4"/>
      <c r="N609" s="4"/>
      <c r="O609" s="5"/>
      <c r="P609" s="6"/>
      <c r="Q609" s="3"/>
      <c r="R609" s="2"/>
      <c r="S609" s="2"/>
      <c r="T609" s="2"/>
      <c r="U609" s="2"/>
      <c r="V609" s="3"/>
      <c r="W609" s="2"/>
      <c r="X609" s="2"/>
      <c r="Y609" s="2"/>
      <c r="Z609" s="2"/>
      <c r="AA609" s="3"/>
      <c r="AB609" s="2"/>
      <c r="AC609" s="2"/>
      <c r="AD609" s="2"/>
      <c r="AE609" s="2"/>
      <c r="AF609" s="3"/>
      <c r="AG609" s="2"/>
      <c r="AH609" s="2"/>
      <c r="AI609" s="2"/>
      <c r="AJ609" s="2"/>
      <c r="AK609" s="3"/>
      <c r="AL609" s="2"/>
      <c r="AM609" s="2"/>
      <c r="AN609" s="2"/>
      <c r="AO609" s="2"/>
      <c r="AP609" s="3"/>
      <c r="AQ609" s="2"/>
      <c r="AR609" s="2"/>
      <c r="AS609" s="2"/>
      <c r="AT609" s="7"/>
      <c r="AU609" s="2"/>
      <c r="AV609" s="2"/>
      <c r="AW609" s="2"/>
      <c r="AX609" s="2"/>
    </row>
    <row r="610">
      <c r="A610" s="2"/>
      <c r="B610" s="2"/>
      <c r="C610" s="2"/>
      <c r="D610" s="2"/>
      <c r="E610" s="2"/>
      <c r="F610" s="2"/>
      <c r="G610" s="2"/>
      <c r="H610" s="2"/>
      <c r="I610" s="2"/>
      <c r="J610" s="2"/>
      <c r="K610" s="2"/>
      <c r="L610" s="3"/>
      <c r="M610" s="4"/>
      <c r="N610" s="4"/>
      <c r="O610" s="5"/>
      <c r="P610" s="6"/>
      <c r="Q610" s="3"/>
      <c r="R610" s="2"/>
      <c r="S610" s="2"/>
      <c r="T610" s="2"/>
      <c r="U610" s="2"/>
      <c r="V610" s="3"/>
      <c r="W610" s="2"/>
      <c r="X610" s="2"/>
      <c r="Y610" s="2"/>
      <c r="Z610" s="2"/>
      <c r="AA610" s="3"/>
      <c r="AB610" s="2"/>
      <c r="AC610" s="2"/>
      <c r="AD610" s="2"/>
      <c r="AE610" s="2"/>
      <c r="AF610" s="3"/>
      <c r="AG610" s="2"/>
      <c r="AH610" s="2"/>
      <c r="AI610" s="2"/>
      <c r="AJ610" s="2"/>
      <c r="AK610" s="3"/>
      <c r="AL610" s="2"/>
      <c r="AM610" s="2"/>
      <c r="AN610" s="2"/>
      <c r="AO610" s="2"/>
      <c r="AP610" s="3"/>
      <c r="AQ610" s="2"/>
      <c r="AR610" s="2"/>
      <c r="AS610" s="2"/>
      <c r="AT610" s="7"/>
      <c r="AU610" s="2"/>
      <c r="AV610" s="2"/>
      <c r="AW610" s="2"/>
      <c r="AX610" s="2"/>
    </row>
    <row r="611">
      <c r="A611" s="2"/>
      <c r="B611" s="2"/>
      <c r="C611" s="2"/>
      <c r="D611" s="2"/>
      <c r="E611" s="2"/>
      <c r="F611" s="2"/>
      <c r="G611" s="2"/>
      <c r="H611" s="2"/>
      <c r="I611" s="2"/>
      <c r="J611" s="2"/>
      <c r="K611" s="2"/>
      <c r="L611" s="3"/>
      <c r="M611" s="4"/>
      <c r="N611" s="4"/>
      <c r="O611" s="5"/>
      <c r="P611" s="6"/>
      <c r="Q611" s="3"/>
      <c r="R611" s="2"/>
      <c r="S611" s="2"/>
      <c r="T611" s="2"/>
      <c r="U611" s="2"/>
      <c r="V611" s="3"/>
      <c r="W611" s="2"/>
      <c r="X611" s="2"/>
      <c r="Y611" s="2"/>
      <c r="Z611" s="2"/>
      <c r="AA611" s="3"/>
      <c r="AB611" s="2"/>
      <c r="AC611" s="2"/>
      <c r="AD611" s="2"/>
      <c r="AE611" s="2"/>
      <c r="AF611" s="3"/>
      <c r="AG611" s="2"/>
      <c r="AH611" s="2"/>
      <c r="AI611" s="2"/>
      <c r="AJ611" s="2"/>
      <c r="AK611" s="3"/>
      <c r="AL611" s="2"/>
      <c r="AM611" s="2"/>
      <c r="AN611" s="2"/>
      <c r="AO611" s="2"/>
      <c r="AP611" s="3"/>
      <c r="AQ611" s="2"/>
      <c r="AR611" s="2"/>
      <c r="AS611" s="2"/>
      <c r="AT611" s="7"/>
      <c r="AU611" s="2"/>
      <c r="AV611" s="2"/>
      <c r="AW611" s="2"/>
      <c r="AX611" s="2"/>
    </row>
    <row r="612">
      <c r="A612" s="2"/>
      <c r="B612" s="2"/>
      <c r="C612" s="2"/>
      <c r="D612" s="2"/>
      <c r="E612" s="2"/>
      <c r="F612" s="2"/>
      <c r="G612" s="2"/>
      <c r="H612" s="2"/>
      <c r="I612" s="2"/>
      <c r="J612" s="2"/>
      <c r="K612" s="2"/>
      <c r="L612" s="3"/>
      <c r="M612" s="4"/>
      <c r="N612" s="4"/>
      <c r="O612" s="5"/>
      <c r="P612" s="6"/>
      <c r="Q612" s="3"/>
      <c r="R612" s="2"/>
      <c r="S612" s="2"/>
      <c r="T612" s="2"/>
      <c r="U612" s="2"/>
      <c r="V612" s="3"/>
      <c r="W612" s="2"/>
      <c r="X612" s="2"/>
      <c r="Y612" s="2"/>
      <c r="Z612" s="2"/>
      <c r="AA612" s="3"/>
      <c r="AB612" s="2"/>
      <c r="AC612" s="2"/>
      <c r="AD612" s="2"/>
      <c r="AE612" s="2"/>
      <c r="AF612" s="3"/>
      <c r="AG612" s="2"/>
      <c r="AH612" s="2"/>
      <c r="AI612" s="2"/>
      <c r="AJ612" s="2"/>
      <c r="AK612" s="3"/>
      <c r="AL612" s="2"/>
      <c r="AM612" s="2"/>
      <c r="AN612" s="2"/>
      <c r="AO612" s="2"/>
      <c r="AP612" s="3"/>
      <c r="AQ612" s="2"/>
      <c r="AR612" s="2"/>
      <c r="AS612" s="2"/>
      <c r="AT612" s="7"/>
      <c r="AU612" s="2"/>
      <c r="AV612" s="2"/>
      <c r="AW612" s="2"/>
      <c r="AX612" s="2"/>
    </row>
    <row r="613">
      <c r="A613" s="2"/>
      <c r="B613" s="2"/>
      <c r="C613" s="2"/>
      <c r="D613" s="2"/>
      <c r="E613" s="2"/>
      <c r="F613" s="2"/>
      <c r="G613" s="2"/>
      <c r="H613" s="2"/>
      <c r="I613" s="2"/>
      <c r="J613" s="2"/>
      <c r="K613" s="2"/>
      <c r="L613" s="3"/>
      <c r="M613" s="4"/>
      <c r="N613" s="4"/>
      <c r="O613" s="5"/>
      <c r="P613" s="6"/>
      <c r="Q613" s="3"/>
      <c r="R613" s="2"/>
      <c r="S613" s="2"/>
      <c r="T613" s="2"/>
      <c r="U613" s="2"/>
      <c r="V613" s="3"/>
      <c r="W613" s="2"/>
      <c r="X613" s="2"/>
      <c r="Y613" s="2"/>
      <c r="Z613" s="2"/>
      <c r="AA613" s="3"/>
      <c r="AB613" s="2"/>
      <c r="AC613" s="2"/>
      <c r="AD613" s="2"/>
      <c r="AE613" s="2"/>
      <c r="AF613" s="3"/>
      <c r="AG613" s="2"/>
      <c r="AH613" s="2"/>
      <c r="AI613" s="2"/>
      <c r="AJ613" s="2"/>
      <c r="AK613" s="3"/>
      <c r="AL613" s="2"/>
      <c r="AM613" s="2"/>
      <c r="AN613" s="2"/>
      <c r="AO613" s="2"/>
      <c r="AP613" s="3"/>
      <c r="AQ613" s="2"/>
      <c r="AR613" s="2"/>
      <c r="AS613" s="2"/>
      <c r="AT613" s="7"/>
      <c r="AU613" s="2"/>
      <c r="AV613" s="2"/>
      <c r="AW613" s="2"/>
      <c r="AX613" s="2"/>
    </row>
    <row r="614">
      <c r="A614" s="2"/>
      <c r="B614" s="2"/>
      <c r="C614" s="2"/>
      <c r="D614" s="2"/>
      <c r="E614" s="2"/>
      <c r="F614" s="2"/>
      <c r="G614" s="2"/>
      <c r="H614" s="2"/>
      <c r="I614" s="2"/>
      <c r="J614" s="2"/>
      <c r="K614" s="2"/>
      <c r="L614" s="3"/>
      <c r="M614" s="4"/>
      <c r="N614" s="4"/>
      <c r="O614" s="5"/>
      <c r="P614" s="6"/>
      <c r="Q614" s="3"/>
      <c r="R614" s="2"/>
      <c r="S614" s="2"/>
      <c r="T614" s="2"/>
      <c r="U614" s="2"/>
      <c r="V614" s="3"/>
      <c r="W614" s="2"/>
      <c r="X614" s="2"/>
      <c r="Y614" s="2"/>
      <c r="Z614" s="2"/>
      <c r="AA614" s="3"/>
      <c r="AB614" s="2"/>
      <c r="AC614" s="2"/>
      <c r="AD614" s="2"/>
      <c r="AE614" s="2"/>
      <c r="AF614" s="3"/>
      <c r="AG614" s="2"/>
      <c r="AH614" s="2"/>
      <c r="AI614" s="2"/>
      <c r="AJ614" s="2"/>
      <c r="AK614" s="3"/>
      <c r="AL614" s="2"/>
      <c r="AM614" s="2"/>
      <c r="AN614" s="2"/>
      <c r="AO614" s="2"/>
      <c r="AP614" s="3"/>
      <c r="AQ614" s="2"/>
      <c r="AR614" s="2"/>
      <c r="AS614" s="2"/>
      <c r="AT614" s="7"/>
      <c r="AU614" s="2"/>
      <c r="AV614" s="2"/>
      <c r="AW614" s="2"/>
      <c r="AX614" s="2"/>
    </row>
    <row r="615">
      <c r="A615" s="2"/>
      <c r="B615" s="2"/>
      <c r="C615" s="2"/>
      <c r="D615" s="2"/>
      <c r="E615" s="2"/>
      <c r="F615" s="2"/>
      <c r="G615" s="2"/>
      <c r="H615" s="2"/>
      <c r="I615" s="2"/>
      <c r="J615" s="2"/>
      <c r="K615" s="2"/>
      <c r="L615" s="3"/>
      <c r="M615" s="4"/>
      <c r="N615" s="4"/>
      <c r="O615" s="5"/>
      <c r="P615" s="6"/>
      <c r="Q615" s="3"/>
      <c r="R615" s="2"/>
      <c r="S615" s="2"/>
      <c r="T615" s="2"/>
      <c r="U615" s="2"/>
      <c r="V615" s="3"/>
      <c r="W615" s="2"/>
      <c r="X615" s="2"/>
      <c r="Y615" s="2"/>
      <c r="Z615" s="2"/>
      <c r="AA615" s="3"/>
      <c r="AB615" s="2"/>
      <c r="AC615" s="2"/>
      <c r="AD615" s="2"/>
      <c r="AE615" s="2"/>
      <c r="AF615" s="3"/>
      <c r="AG615" s="2"/>
      <c r="AH615" s="2"/>
      <c r="AI615" s="2"/>
      <c r="AJ615" s="2"/>
      <c r="AK615" s="3"/>
      <c r="AL615" s="2"/>
      <c r="AM615" s="2"/>
      <c r="AN615" s="2"/>
      <c r="AO615" s="2"/>
      <c r="AP615" s="3"/>
      <c r="AQ615" s="2"/>
      <c r="AR615" s="2"/>
      <c r="AS615" s="2"/>
      <c r="AT615" s="7"/>
      <c r="AU615" s="2"/>
      <c r="AV615" s="2"/>
      <c r="AW615" s="2"/>
      <c r="AX615" s="2"/>
    </row>
    <row r="616">
      <c r="A616" s="2"/>
      <c r="B616" s="2"/>
      <c r="C616" s="2"/>
      <c r="D616" s="2"/>
      <c r="E616" s="2"/>
      <c r="F616" s="2"/>
      <c r="G616" s="2"/>
      <c r="H616" s="2"/>
      <c r="I616" s="2"/>
      <c r="J616" s="2"/>
      <c r="K616" s="2"/>
      <c r="L616" s="3"/>
      <c r="M616" s="4"/>
      <c r="N616" s="4"/>
      <c r="O616" s="5"/>
      <c r="P616" s="6"/>
      <c r="Q616" s="3"/>
      <c r="R616" s="2"/>
      <c r="S616" s="2"/>
      <c r="T616" s="2"/>
      <c r="U616" s="2"/>
      <c r="V616" s="3"/>
      <c r="W616" s="2"/>
      <c r="X616" s="2"/>
      <c r="Y616" s="2"/>
      <c r="Z616" s="2"/>
      <c r="AA616" s="3"/>
      <c r="AB616" s="2"/>
      <c r="AC616" s="2"/>
      <c r="AD616" s="2"/>
      <c r="AE616" s="2"/>
      <c r="AF616" s="3"/>
      <c r="AG616" s="2"/>
      <c r="AH616" s="2"/>
      <c r="AI616" s="2"/>
      <c r="AJ616" s="2"/>
      <c r="AK616" s="3"/>
      <c r="AL616" s="2"/>
      <c r="AM616" s="2"/>
      <c r="AN616" s="2"/>
      <c r="AO616" s="2"/>
      <c r="AP616" s="3"/>
      <c r="AQ616" s="2"/>
      <c r="AR616" s="2"/>
      <c r="AS616" s="2"/>
      <c r="AT616" s="7"/>
      <c r="AU616" s="2"/>
      <c r="AV616" s="2"/>
      <c r="AW616" s="2"/>
      <c r="AX616" s="2"/>
    </row>
    <row r="617">
      <c r="A617" s="2"/>
      <c r="B617" s="2"/>
      <c r="C617" s="2"/>
      <c r="D617" s="2"/>
      <c r="E617" s="2"/>
      <c r="F617" s="2"/>
      <c r="G617" s="2"/>
      <c r="H617" s="2"/>
      <c r="I617" s="2"/>
      <c r="J617" s="2"/>
      <c r="K617" s="2"/>
      <c r="L617" s="3"/>
      <c r="M617" s="4"/>
      <c r="N617" s="4"/>
      <c r="O617" s="5"/>
      <c r="P617" s="6"/>
      <c r="Q617" s="3"/>
      <c r="R617" s="2"/>
      <c r="S617" s="2"/>
      <c r="T617" s="2"/>
      <c r="U617" s="2"/>
      <c r="V617" s="3"/>
      <c r="W617" s="2"/>
      <c r="X617" s="2"/>
      <c r="Y617" s="2"/>
      <c r="Z617" s="2"/>
      <c r="AA617" s="3"/>
      <c r="AB617" s="2"/>
      <c r="AC617" s="2"/>
      <c r="AD617" s="2"/>
      <c r="AE617" s="2"/>
      <c r="AF617" s="3"/>
      <c r="AG617" s="2"/>
      <c r="AH617" s="2"/>
      <c r="AI617" s="2"/>
      <c r="AJ617" s="2"/>
      <c r="AK617" s="3"/>
      <c r="AL617" s="2"/>
      <c r="AM617" s="2"/>
      <c r="AN617" s="2"/>
      <c r="AO617" s="2"/>
      <c r="AP617" s="3"/>
      <c r="AQ617" s="2"/>
      <c r="AR617" s="2"/>
      <c r="AS617" s="2"/>
      <c r="AT617" s="7"/>
      <c r="AU617" s="2"/>
      <c r="AV617" s="2"/>
      <c r="AW617" s="2"/>
      <c r="AX617" s="2"/>
    </row>
    <row r="618">
      <c r="A618" s="2"/>
      <c r="B618" s="2"/>
      <c r="C618" s="2"/>
      <c r="D618" s="2"/>
      <c r="E618" s="2"/>
      <c r="F618" s="2"/>
      <c r="G618" s="2"/>
      <c r="H618" s="2"/>
      <c r="I618" s="2"/>
      <c r="J618" s="2"/>
      <c r="K618" s="2"/>
      <c r="L618" s="3"/>
      <c r="M618" s="4"/>
      <c r="N618" s="4"/>
      <c r="O618" s="5"/>
      <c r="P618" s="6"/>
      <c r="Q618" s="3"/>
      <c r="R618" s="2"/>
      <c r="S618" s="2"/>
      <c r="T618" s="2"/>
      <c r="U618" s="2"/>
      <c r="V618" s="3"/>
      <c r="W618" s="2"/>
      <c r="X618" s="2"/>
      <c r="Y618" s="2"/>
      <c r="Z618" s="2"/>
      <c r="AA618" s="3"/>
      <c r="AB618" s="2"/>
      <c r="AC618" s="2"/>
      <c r="AD618" s="2"/>
      <c r="AE618" s="2"/>
      <c r="AF618" s="3"/>
      <c r="AG618" s="2"/>
      <c r="AH618" s="2"/>
      <c r="AI618" s="2"/>
      <c r="AJ618" s="2"/>
      <c r="AK618" s="3"/>
      <c r="AL618" s="2"/>
      <c r="AM618" s="2"/>
      <c r="AN618" s="2"/>
      <c r="AO618" s="2"/>
      <c r="AP618" s="3"/>
      <c r="AQ618" s="2"/>
      <c r="AR618" s="2"/>
      <c r="AS618" s="2"/>
      <c r="AT618" s="7"/>
      <c r="AU618" s="2"/>
      <c r="AV618" s="2"/>
      <c r="AW618" s="2"/>
      <c r="AX618" s="2"/>
    </row>
    <row r="619">
      <c r="A619" s="2"/>
      <c r="B619" s="2"/>
      <c r="C619" s="2"/>
      <c r="D619" s="2"/>
      <c r="E619" s="2"/>
      <c r="F619" s="2"/>
      <c r="G619" s="2"/>
      <c r="H619" s="2"/>
      <c r="I619" s="2"/>
      <c r="J619" s="2"/>
      <c r="K619" s="2"/>
      <c r="L619" s="3"/>
      <c r="M619" s="4"/>
      <c r="N619" s="4"/>
      <c r="O619" s="5"/>
      <c r="P619" s="6"/>
      <c r="Q619" s="3"/>
      <c r="R619" s="2"/>
      <c r="S619" s="2"/>
      <c r="T619" s="2"/>
      <c r="U619" s="2"/>
      <c r="V619" s="3"/>
      <c r="W619" s="2"/>
      <c r="X619" s="2"/>
      <c r="Y619" s="2"/>
      <c r="Z619" s="2"/>
      <c r="AA619" s="3"/>
      <c r="AB619" s="2"/>
      <c r="AC619" s="2"/>
      <c r="AD619" s="2"/>
      <c r="AE619" s="2"/>
      <c r="AF619" s="3"/>
      <c r="AG619" s="2"/>
      <c r="AH619" s="2"/>
      <c r="AI619" s="2"/>
      <c r="AJ619" s="2"/>
      <c r="AK619" s="3"/>
      <c r="AL619" s="2"/>
      <c r="AM619" s="2"/>
      <c r="AN619" s="2"/>
      <c r="AO619" s="2"/>
      <c r="AP619" s="3"/>
      <c r="AQ619" s="2"/>
      <c r="AR619" s="2"/>
      <c r="AS619" s="2"/>
      <c r="AT619" s="7"/>
      <c r="AU619" s="2"/>
      <c r="AV619" s="2"/>
      <c r="AW619" s="2"/>
      <c r="AX619" s="2"/>
    </row>
    <row r="620">
      <c r="A620" s="2"/>
      <c r="B620" s="2"/>
      <c r="C620" s="2"/>
      <c r="D620" s="2"/>
      <c r="E620" s="2"/>
      <c r="F620" s="2"/>
      <c r="G620" s="2"/>
      <c r="H620" s="2"/>
      <c r="I620" s="2"/>
      <c r="J620" s="2"/>
      <c r="K620" s="2"/>
      <c r="L620" s="3"/>
      <c r="M620" s="4"/>
      <c r="N620" s="4"/>
      <c r="O620" s="5"/>
      <c r="P620" s="6"/>
      <c r="Q620" s="3"/>
      <c r="R620" s="2"/>
      <c r="S620" s="2"/>
      <c r="T620" s="2"/>
      <c r="U620" s="2"/>
      <c r="V620" s="3"/>
      <c r="W620" s="2"/>
      <c r="X620" s="2"/>
      <c r="Y620" s="2"/>
      <c r="Z620" s="2"/>
      <c r="AA620" s="3"/>
      <c r="AB620" s="2"/>
      <c r="AC620" s="2"/>
      <c r="AD620" s="2"/>
      <c r="AE620" s="2"/>
      <c r="AF620" s="3"/>
      <c r="AG620" s="2"/>
      <c r="AH620" s="2"/>
      <c r="AI620" s="2"/>
      <c r="AJ620" s="2"/>
      <c r="AK620" s="3"/>
      <c r="AL620" s="2"/>
      <c r="AM620" s="2"/>
      <c r="AN620" s="2"/>
      <c r="AO620" s="2"/>
      <c r="AP620" s="3"/>
      <c r="AQ620" s="2"/>
      <c r="AR620" s="2"/>
      <c r="AS620" s="2"/>
      <c r="AT620" s="7"/>
      <c r="AU620" s="2"/>
      <c r="AV620" s="2"/>
      <c r="AW620" s="2"/>
      <c r="AX620" s="2"/>
    </row>
    <row r="621">
      <c r="A621" s="2"/>
      <c r="B621" s="2"/>
      <c r="C621" s="2"/>
      <c r="D621" s="2"/>
      <c r="E621" s="2"/>
      <c r="F621" s="2"/>
      <c r="G621" s="2"/>
      <c r="H621" s="2"/>
      <c r="I621" s="2"/>
      <c r="J621" s="2"/>
      <c r="K621" s="2"/>
      <c r="L621" s="3"/>
      <c r="M621" s="4"/>
      <c r="N621" s="4"/>
      <c r="O621" s="5"/>
      <c r="P621" s="6"/>
      <c r="Q621" s="3"/>
      <c r="R621" s="2"/>
      <c r="S621" s="2"/>
      <c r="T621" s="2"/>
      <c r="U621" s="2"/>
      <c r="V621" s="3"/>
      <c r="W621" s="2"/>
      <c r="X621" s="2"/>
      <c r="Y621" s="2"/>
      <c r="Z621" s="2"/>
      <c r="AA621" s="3"/>
      <c r="AB621" s="2"/>
      <c r="AC621" s="2"/>
      <c r="AD621" s="2"/>
      <c r="AE621" s="2"/>
      <c r="AF621" s="3"/>
      <c r="AG621" s="2"/>
      <c r="AH621" s="2"/>
      <c r="AI621" s="2"/>
      <c r="AJ621" s="2"/>
      <c r="AK621" s="3"/>
      <c r="AL621" s="2"/>
      <c r="AM621" s="2"/>
      <c r="AN621" s="2"/>
      <c r="AO621" s="2"/>
      <c r="AP621" s="3"/>
      <c r="AQ621" s="2"/>
      <c r="AR621" s="2"/>
      <c r="AS621" s="2"/>
      <c r="AT621" s="7"/>
      <c r="AU621" s="2"/>
      <c r="AV621" s="2"/>
      <c r="AW621" s="2"/>
      <c r="AX621" s="2"/>
    </row>
    <row r="622">
      <c r="A622" s="2"/>
      <c r="B622" s="2"/>
      <c r="C622" s="2"/>
      <c r="D622" s="2"/>
      <c r="E622" s="2"/>
      <c r="F622" s="2"/>
      <c r="G622" s="2"/>
      <c r="H622" s="2"/>
      <c r="I622" s="2"/>
      <c r="J622" s="2"/>
      <c r="K622" s="2"/>
      <c r="L622" s="3"/>
      <c r="M622" s="4"/>
      <c r="N622" s="4"/>
      <c r="O622" s="5"/>
      <c r="P622" s="6"/>
      <c r="Q622" s="3"/>
      <c r="R622" s="2"/>
      <c r="S622" s="2"/>
      <c r="T622" s="2"/>
      <c r="U622" s="2"/>
      <c r="V622" s="3"/>
      <c r="W622" s="2"/>
      <c r="X622" s="2"/>
      <c r="Y622" s="2"/>
      <c r="Z622" s="2"/>
      <c r="AA622" s="3"/>
      <c r="AB622" s="2"/>
      <c r="AC622" s="2"/>
      <c r="AD622" s="2"/>
      <c r="AE622" s="2"/>
      <c r="AF622" s="3"/>
      <c r="AG622" s="2"/>
      <c r="AH622" s="2"/>
      <c r="AI622" s="2"/>
      <c r="AJ622" s="2"/>
      <c r="AK622" s="3"/>
      <c r="AL622" s="2"/>
      <c r="AM622" s="2"/>
      <c r="AN622" s="2"/>
      <c r="AO622" s="2"/>
      <c r="AP622" s="3"/>
      <c r="AQ622" s="2"/>
      <c r="AR622" s="2"/>
      <c r="AS622" s="2"/>
      <c r="AT622" s="7"/>
      <c r="AU622" s="2"/>
      <c r="AV622" s="2"/>
      <c r="AW622" s="2"/>
      <c r="AX622" s="2"/>
    </row>
    <row r="623">
      <c r="A623" s="2"/>
      <c r="B623" s="2"/>
      <c r="C623" s="2"/>
      <c r="D623" s="2"/>
      <c r="E623" s="2"/>
      <c r="F623" s="2"/>
      <c r="G623" s="2"/>
      <c r="H623" s="2"/>
      <c r="I623" s="2"/>
      <c r="J623" s="2"/>
      <c r="K623" s="2"/>
      <c r="L623" s="3"/>
      <c r="M623" s="4"/>
      <c r="N623" s="4"/>
      <c r="O623" s="5"/>
      <c r="P623" s="6"/>
      <c r="Q623" s="3"/>
      <c r="R623" s="2"/>
      <c r="S623" s="2"/>
      <c r="T623" s="2"/>
      <c r="U623" s="2"/>
      <c r="V623" s="3"/>
      <c r="W623" s="2"/>
      <c r="X623" s="2"/>
      <c r="Y623" s="2"/>
      <c r="Z623" s="2"/>
      <c r="AA623" s="3"/>
      <c r="AB623" s="2"/>
      <c r="AC623" s="2"/>
      <c r="AD623" s="2"/>
      <c r="AE623" s="2"/>
      <c r="AF623" s="3"/>
      <c r="AG623" s="2"/>
      <c r="AH623" s="2"/>
      <c r="AI623" s="2"/>
      <c r="AJ623" s="2"/>
      <c r="AK623" s="3"/>
      <c r="AL623" s="2"/>
      <c r="AM623" s="2"/>
      <c r="AN623" s="2"/>
      <c r="AO623" s="2"/>
      <c r="AP623" s="3"/>
      <c r="AQ623" s="2"/>
      <c r="AR623" s="2"/>
      <c r="AS623" s="2"/>
      <c r="AT623" s="7"/>
      <c r="AU623" s="2"/>
      <c r="AV623" s="2"/>
      <c r="AW623" s="2"/>
      <c r="AX623" s="2"/>
    </row>
    <row r="624">
      <c r="A624" s="2"/>
      <c r="B624" s="2"/>
      <c r="C624" s="2"/>
      <c r="D624" s="2"/>
      <c r="E624" s="2"/>
      <c r="F624" s="2"/>
      <c r="G624" s="2"/>
      <c r="H624" s="2"/>
      <c r="I624" s="2"/>
      <c r="J624" s="2"/>
      <c r="K624" s="2"/>
      <c r="L624" s="3"/>
      <c r="M624" s="4"/>
      <c r="N624" s="4"/>
      <c r="O624" s="5"/>
      <c r="P624" s="6"/>
      <c r="Q624" s="3"/>
      <c r="R624" s="2"/>
      <c r="S624" s="2"/>
      <c r="T624" s="2"/>
      <c r="U624" s="2"/>
      <c r="V624" s="3"/>
      <c r="W624" s="2"/>
      <c r="X624" s="2"/>
      <c r="Y624" s="2"/>
      <c r="Z624" s="2"/>
      <c r="AA624" s="3"/>
      <c r="AB624" s="2"/>
      <c r="AC624" s="2"/>
      <c r="AD624" s="2"/>
      <c r="AE624" s="2"/>
      <c r="AF624" s="3"/>
      <c r="AG624" s="2"/>
      <c r="AH624" s="2"/>
      <c r="AI624" s="2"/>
      <c r="AJ624" s="2"/>
      <c r="AK624" s="3"/>
      <c r="AL624" s="2"/>
      <c r="AM624" s="2"/>
      <c r="AN624" s="2"/>
      <c r="AO624" s="2"/>
      <c r="AP624" s="3"/>
      <c r="AQ624" s="2"/>
      <c r="AR624" s="2"/>
      <c r="AS624" s="2"/>
      <c r="AT624" s="7"/>
      <c r="AU624" s="2"/>
      <c r="AV624" s="2"/>
      <c r="AW624" s="2"/>
      <c r="AX624" s="2"/>
    </row>
    <row r="625">
      <c r="A625" s="2"/>
      <c r="B625" s="2"/>
      <c r="C625" s="2"/>
      <c r="D625" s="2"/>
      <c r="E625" s="2"/>
      <c r="F625" s="2"/>
      <c r="G625" s="2"/>
      <c r="H625" s="2"/>
      <c r="I625" s="2"/>
      <c r="J625" s="2"/>
      <c r="K625" s="2"/>
      <c r="L625" s="3"/>
      <c r="M625" s="4"/>
      <c r="N625" s="4"/>
      <c r="O625" s="5"/>
      <c r="P625" s="6"/>
      <c r="Q625" s="3"/>
      <c r="R625" s="2"/>
      <c r="S625" s="2"/>
      <c r="T625" s="2"/>
      <c r="U625" s="2"/>
      <c r="V625" s="3"/>
      <c r="W625" s="2"/>
      <c r="X625" s="2"/>
      <c r="Y625" s="2"/>
      <c r="Z625" s="2"/>
      <c r="AA625" s="3"/>
      <c r="AB625" s="2"/>
      <c r="AC625" s="2"/>
      <c r="AD625" s="2"/>
      <c r="AE625" s="2"/>
      <c r="AF625" s="3"/>
      <c r="AG625" s="2"/>
      <c r="AH625" s="2"/>
      <c r="AI625" s="2"/>
      <c r="AJ625" s="2"/>
      <c r="AK625" s="3"/>
      <c r="AL625" s="2"/>
      <c r="AM625" s="2"/>
      <c r="AN625" s="2"/>
      <c r="AO625" s="2"/>
      <c r="AP625" s="3"/>
      <c r="AQ625" s="2"/>
      <c r="AR625" s="2"/>
      <c r="AS625" s="2"/>
      <c r="AT625" s="7"/>
      <c r="AU625" s="2"/>
      <c r="AV625" s="2"/>
      <c r="AW625" s="2"/>
      <c r="AX625" s="2"/>
    </row>
    <row r="626">
      <c r="A626" s="2"/>
      <c r="B626" s="2"/>
      <c r="C626" s="2"/>
      <c r="D626" s="2"/>
      <c r="E626" s="2"/>
      <c r="F626" s="2"/>
      <c r="G626" s="2"/>
      <c r="H626" s="2"/>
      <c r="I626" s="2"/>
      <c r="J626" s="2"/>
      <c r="K626" s="2"/>
      <c r="L626" s="3"/>
      <c r="M626" s="4"/>
      <c r="N626" s="4"/>
      <c r="O626" s="5"/>
      <c r="P626" s="6"/>
      <c r="Q626" s="3"/>
      <c r="R626" s="2"/>
      <c r="S626" s="2"/>
      <c r="T626" s="2"/>
      <c r="U626" s="2"/>
      <c r="V626" s="3"/>
      <c r="W626" s="2"/>
      <c r="X626" s="2"/>
      <c r="Y626" s="2"/>
      <c r="Z626" s="2"/>
      <c r="AA626" s="3"/>
      <c r="AB626" s="2"/>
      <c r="AC626" s="2"/>
      <c r="AD626" s="2"/>
      <c r="AE626" s="2"/>
      <c r="AF626" s="3"/>
      <c r="AG626" s="2"/>
      <c r="AH626" s="2"/>
      <c r="AI626" s="2"/>
      <c r="AJ626" s="2"/>
      <c r="AK626" s="3"/>
      <c r="AL626" s="2"/>
      <c r="AM626" s="2"/>
      <c r="AN626" s="2"/>
      <c r="AO626" s="2"/>
      <c r="AP626" s="3"/>
      <c r="AQ626" s="2"/>
      <c r="AR626" s="2"/>
      <c r="AS626" s="2"/>
      <c r="AT626" s="7"/>
      <c r="AU626" s="2"/>
      <c r="AV626" s="2"/>
      <c r="AW626" s="2"/>
      <c r="AX626" s="2"/>
    </row>
    <row r="627">
      <c r="A627" s="2"/>
      <c r="B627" s="2"/>
      <c r="C627" s="2"/>
      <c r="D627" s="2"/>
      <c r="E627" s="2"/>
      <c r="F627" s="2"/>
      <c r="G627" s="2"/>
      <c r="H627" s="2"/>
      <c r="I627" s="2"/>
      <c r="J627" s="2"/>
      <c r="K627" s="2"/>
      <c r="L627" s="3"/>
      <c r="M627" s="4"/>
      <c r="N627" s="4"/>
      <c r="O627" s="5"/>
      <c r="P627" s="6"/>
      <c r="Q627" s="3"/>
      <c r="R627" s="2"/>
      <c r="S627" s="2"/>
      <c r="T627" s="2"/>
      <c r="U627" s="2"/>
      <c r="V627" s="3"/>
      <c r="W627" s="2"/>
      <c r="X627" s="2"/>
      <c r="Y627" s="2"/>
      <c r="Z627" s="2"/>
      <c r="AA627" s="3"/>
      <c r="AB627" s="2"/>
      <c r="AC627" s="2"/>
      <c r="AD627" s="2"/>
      <c r="AE627" s="2"/>
      <c r="AF627" s="3"/>
      <c r="AG627" s="2"/>
      <c r="AH627" s="2"/>
      <c r="AI627" s="2"/>
      <c r="AJ627" s="2"/>
      <c r="AK627" s="3"/>
      <c r="AL627" s="2"/>
      <c r="AM627" s="2"/>
      <c r="AN627" s="2"/>
      <c r="AO627" s="2"/>
      <c r="AP627" s="3"/>
      <c r="AQ627" s="2"/>
      <c r="AR627" s="2"/>
      <c r="AS627" s="2"/>
      <c r="AT627" s="7"/>
      <c r="AU627" s="2"/>
      <c r="AV627" s="2"/>
      <c r="AW627" s="2"/>
      <c r="AX627" s="2"/>
    </row>
    <row r="628">
      <c r="A628" s="2"/>
      <c r="B628" s="2"/>
      <c r="C628" s="2"/>
      <c r="D628" s="2"/>
      <c r="E628" s="2"/>
      <c r="F628" s="2"/>
      <c r="G628" s="2"/>
      <c r="H628" s="2"/>
      <c r="I628" s="2"/>
      <c r="J628" s="2"/>
      <c r="K628" s="2"/>
      <c r="L628" s="3"/>
      <c r="M628" s="4"/>
      <c r="N628" s="4"/>
      <c r="O628" s="5"/>
      <c r="P628" s="6"/>
      <c r="Q628" s="3"/>
      <c r="R628" s="2"/>
      <c r="S628" s="2"/>
      <c r="T628" s="2"/>
      <c r="U628" s="2"/>
      <c r="V628" s="3"/>
      <c r="W628" s="2"/>
      <c r="X628" s="2"/>
      <c r="Y628" s="2"/>
      <c r="Z628" s="2"/>
      <c r="AA628" s="3"/>
      <c r="AB628" s="2"/>
      <c r="AC628" s="2"/>
      <c r="AD628" s="2"/>
      <c r="AE628" s="2"/>
      <c r="AF628" s="3"/>
      <c r="AG628" s="2"/>
      <c r="AH628" s="2"/>
      <c r="AI628" s="2"/>
      <c r="AJ628" s="2"/>
      <c r="AK628" s="3"/>
      <c r="AL628" s="2"/>
      <c r="AM628" s="2"/>
      <c r="AN628" s="2"/>
      <c r="AO628" s="2"/>
      <c r="AP628" s="3"/>
      <c r="AQ628" s="2"/>
      <c r="AR628" s="2"/>
      <c r="AS628" s="2"/>
      <c r="AT628" s="7"/>
      <c r="AU628" s="2"/>
      <c r="AV628" s="2"/>
      <c r="AW628" s="2"/>
      <c r="AX628" s="2"/>
    </row>
    <row r="629">
      <c r="A629" s="2"/>
      <c r="B629" s="2"/>
      <c r="C629" s="2"/>
      <c r="D629" s="2"/>
      <c r="E629" s="2"/>
      <c r="F629" s="2"/>
      <c r="G629" s="2"/>
      <c r="H629" s="2"/>
      <c r="I629" s="2"/>
      <c r="J629" s="2"/>
      <c r="K629" s="2"/>
      <c r="L629" s="3"/>
      <c r="M629" s="4"/>
      <c r="N629" s="4"/>
      <c r="O629" s="5"/>
      <c r="P629" s="6"/>
      <c r="Q629" s="3"/>
      <c r="R629" s="2"/>
      <c r="S629" s="2"/>
      <c r="T629" s="2"/>
      <c r="U629" s="2"/>
      <c r="V629" s="3"/>
      <c r="W629" s="2"/>
      <c r="X629" s="2"/>
      <c r="Y629" s="2"/>
      <c r="Z629" s="2"/>
      <c r="AA629" s="3"/>
      <c r="AB629" s="2"/>
      <c r="AC629" s="2"/>
      <c r="AD629" s="2"/>
      <c r="AE629" s="2"/>
      <c r="AF629" s="3"/>
      <c r="AG629" s="2"/>
      <c r="AH629" s="2"/>
      <c r="AI629" s="2"/>
      <c r="AJ629" s="2"/>
      <c r="AK629" s="3"/>
      <c r="AL629" s="2"/>
      <c r="AM629" s="2"/>
      <c r="AN629" s="2"/>
      <c r="AO629" s="2"/>
      <c r="AP629" s="3"/>
      <c r="AQ629" s="2"/>
      <c r="AR629" s="2"/>
      <c r="AS629" s="2"/>
      <c r="AT629" s="7"/>
      <c r="AU629" s="2"/>
      <c r="AV629" s="2"/>
      <c r="AW629" s="2"/>
      <c r="AX629" s="2"/>
    </row>
    <row r="630">
      <c r="A630" s="2"/>
      <c r="B630" s="2"/>
      <c r="C630" s="2"/>
      <c r="D630" s="2"/>
      <c r="E630" s="2"/>
      <c r="F630" s="2"/>
      <c r="G630" s="2"/>
      <c r="H630" s="2"/>
      <c r="I630" s="2"/>
      <c r="J630" s="2"/>
      <c r="K630" s="2"/>
      <c r="L630" s="3"/>
      <c r="M630" s="4"/>
      <c r="N630" s="4"/>
      <c r="O630" s="5"/>
      <c r="P630" s="6"/>
      <c r="Q630" s="3"/>
      <c r="R630" s="2"/>
      <c r="S630" s="2"/>
      <c r="T630" s="2"/>
      <c r="U630" s="2"/>
      <c r="V630" s="3"/>
      <c r="W630" s="2"/>
      <c r="X630" s="2"/>
      <c r="Y630" s="2"/>
      <c r="Z630" s="2"/>
      <c r="AA630" s="3"/>
      <c r="AB630" s="2"/>
      <c r="AC630" s="2"/>
      <c r="AD630" s="2"/>
      <c r="AE630" s="2"/>
      <c r="AF630" s="3"/>
      <c r="AG630" s="2"/>
      <c r="AH630" s="2"/>
      <c r="AI630" s="2"/>
      <c r="AJ630" s="2"/>
      <c r="AK630" s="3"/>
      <c r="AL630" s="2"/>
      <c r="AM630" s="2"/>
      <c r="AN630" s="2"/>
      <c r="AO630" s="2"/>
      <c r="AP630" s="3"/>
      <c r="AQ630" s="2"/>
      <c r="AR630" s="2"/>
      <c r="AS630" s="2"/>
      <c r="AT630" s="7"/>
      <c r="AU630" s="2"/>
      <c r="AV630" s="2"/>
      <c r="AW630" s="2"/>
      <c r="AX630" s="2"/>
    </row>
    <row r="631">
      <c r="A631" s="2"/>
      <c r="B631" s="2"/>
      <c r="C631" s="2"/>
      <c r="D631" s="2"/>
      <c r="E631" s="2"/>
      <c r="F631" s="2"/>
      <c r="G631" s="2"/>
      <c r="H631" s="2"/>
      <c r="I631" s="2"/>
      <c r="J631" s="2"/>
      <c r="K631" s="2"/>
      <c r="L631" s="3"/>
      <c r="M631" s="4"/>
      <c r="N631" s="4"/>
      <c r="O631" s="5"/>
      <c r="P631" s="6"/>
      <c r="Q631" s="3"/>
      <c r="R631" s="2"/>
      <c r="S631" s="2"/>
      <c r="T631" s="2"/>
      <c r="U631" s="2"/>
      <c r="V631" s="3"/>
      <c r="W631" s="2"/>
      <c r="X631" s="2"/>
      <c r="Y631" s="2"/>
      <c r="Z631" s="2"/>
      <c r="AA631" s="3"/>
      <c r="AB631" s="2"/>
      <c r="AC631" s="2"/>
      <c r="AD631" s="2"/>
      <c r="AE631" s="2"/>
      <c r="AF631" s="3"/>
      <c r="AG631" s="2"/>
      <c r="AH631" s="2"/>
      <c r="AI631" s="2"/>
      <c r="AJ631" s="2"/>
      <c r="AK631" s="3"/>
      <c r="AL631" s="2"/>
      <c r="AM631" s="2"/>
      <c r="AN631" s="2"/>
      <c r="AO631" s="2"/>
      <c r="AP631" s="3"/>
      <c r="AQ631" s="2"/>
      <c r="AR631" s="2"/>
      <c r="AS631" s="2"/>
      <c r="AT631" s="7"/>
      <c r="AU631" s="2"/>
      <c r="AV631" s="2"/>
      <c r="AW631" s="2"/>
      <c r="AX631" s="2"/>
    </row>
    <row r="632">
      <c r="A632" s="2"/>
      <c r="B632" s="2"/>
      <c r="C632" s="2"/>
      <c r="D632" s="2"/>
      <c r="E632" s="2"/>
      <c r="F632" s="2"/>
      <c r="G632" s="2"/>
      <c r="H632" s="2"/>
      <c r="I632" s="2"/>
      <c r="J632" s="2"/>
      <c r="K632" s="2"/>
      <c r="L632" s="3"/>
      <c r="M632" s="4"/>
      <c r="N632" s="4"/>
      <c r="O632" s="5"/>
      <c r="P632" s="6"/>
      <c r="Q632" s="3"/>
      <c r="R632" s="2"/>
      <c r="S632" s="2"/>
      <c r="T632" s="2"/>
      <c r="U632" s="2"/>
      <c r="V632" s="3"/>
      <c r="W632" s="2"/>
      <c r="X632" s="2"/>
      <c r="Y632" s="2"/>
      <c r="Z632" s="2"/>
      <c r="AA632" s="3"/>
      <c r="AB632" s="2"/>
      <c r="AC632" s="2"/>
      <c r="AD632" s="2"/>
      <c r="AE632" s="2"/>
      <c r="AF632" s="3"/>
      <c r="AG632" s="2"/>
      <c r="AH632" s="2"/>
      <c r="AI632" s="2"/>
      <c r="AJ632" s="2"/>
      <c r="AK632" s="3"/>
      <c r="AL632" s="2"/>
      <c r="AM632" s="2"/>
      <c r="AN632" s="2"/>
      <c r="AO632" s="2"/>
      <c r="AP632" s="3"/>
      <c r="AQ632" s="2"/>
      <c r="AR632" s="2"/>
      <c r="AS632" s="2"/>
      <c r="AT632" s="7"/>
      <c r="AU632" s="2"/>
      <c r="AV632" s="2"/>
      <c r="AW632" s="2"/>
      <c r="AX632" s="2"/>
    </row>
    <row r="633">
      <c r="A633" s="2"/>
      <c r="B633" s="2"/>
      <c r="C633" s="2"/>
      <c r="D633" s="2"/>
      <c r="E633" s="2"/>
      <c r="F633" s="2"/>
      <c r="G633" s="2"/>
      <c r="H633" s="2"/>
      <c r="I633" s="2"/>
      <c r="J633" s="2"/>
      <c r="K633" s="2"/>
      <c r="L633" s="3"/>
      <c r="M633" s="4"/>
      <c r="N633" s="4"/>
      <c r="O633" s="5"/>
      <c r="P633" s="6"/>
      <c r="Q633" s="3"/>
      <c r="R633" s="2"/>
      <c r="S633" s="2"/>
      <c r="T633" s="2"/>
      <c r="U633" s="2"/>
      <c r="V633" s="3"/>
      <c r="W633" s="2"/>
      <c r="X633" s="2"/>
      <c r="Y633" s="2"/>
      <c r="Z633" s="2"/>
      <c r="AA633" s="3"/>
      <c r="AB633" s="2"/>
      <c r="AC633" s="2"/>
      <c r="AD633" s="2"/>
      <c r="AE633" s="2"/>
      <c r="AF633" s="3"/>
      <c r="AG633" s="2"/>
      <c r="AH633" s="2"/>
      <c r="AI633" s="2"/>
      <c r="AJ633" s="2"/>
      <c r="AK633" s="3"/>
      <c r="AL633" s="2"/>
      <c r="AM633" s="2"/>
      <c r="AN633" s="2"/>
      <c r="AO633" s="2"/>
      <c r="AP633" s="3"/>
      <c r="AQ633" s="2"/>
      <c r="AR633" s="2"/>
      <c r="AS633" s="2"/>
      <c r="AT633" s="7"/>
      <c r="AU633" s="2"/>
      <c r="AV633" s="2"/>
      <c r="AW633" s="2"/>
      <c r="AX633" s="2"/>
    </row>
    <row r="634">
      <c r="A634" s="2"/>
      <c r="B634" s="2"/>
      <c r="C634" s="2"/>
      <c r="D634" s="2"/>
      <c r="E634" s="2"/>
      <c r="F634" s="2"/>
      <c r="G634" s="2"/>
      <c r="H634" s="2"/>
      <c r="I634" s="2"/>
      <c r="J634" s="2"/>
      <c r="K634" s="2"/>
      <c r="L634" s="3"/>
      <c r="M634" s="4"/>
      <c r="N634" s="4"/>
      <c r="O634" s="5"/>
      <c r="P634" s="6"/>
      <c r="Q634" s="3"/>
      <c r="R634" s="2"/>
      <c r="S634" s="2"/>
      <c r="T634" s="2"/>
      <c r="U634" s="2"/>
      <c r="V634" s="3"/>
      <c r="W634" s="2"/>
      <c r="X634" s="2"/>
      <c r="Y634" s="2"/>
      <c r="Z634" s="2"/>
      <c r="AA634" s="3"/>
      <c r="AB634" s="2"/>
      <c r="AC634" s="2"/>
      <c r="AD634" s="2"/>
      <c r="AE634" s="2"/>
      <c r="AF634" s="3"/>
      <c r="AG634" s="2"/>
      <c r="AH634" s="2"/>
      <c r="AI634" s="2"/>
      <c r="AJ634" s="2"/>
      <c r="AK634" s="3"/>
      <c r="AL634" s="2"/>
      <c r="AM634" s="2"/>
      <c r="AN634" s="2"/>
      <c r="AO634" s="2"/>
      <c r="AP634" s="3"/>
      <c r="AQ634" s="2"/>
      <c r="AR634" s="2"/>
      <c r="AS634" s="2"/>
      <c r="AT634" s="7"/>
      <c r="AU634" s="2"/>
      <c r="AV634" s="2"/>
      <c r="AW634" s="2"/>
      <c r="AX634" s="2"/>
    </row>
    <row r="635">
      <c r="A635" s="2"/>
      <c r="B635" s="2"/>
      <c r="C635" s="2"/>
      <c r="D635" s="2"/>
      <c r="E635" s="2"/>
      <c r="F635" s="2"/>
      <c r="G635" s="2"/>
      <c r="H635" s="2"/>
      <c r="I635" s="2"/>
      <c r="J635" s="2"/>
      <c r="K635" s="2"/>
      <c r="L635" s="3"/>
      <c r="M635" s="4"/>
      <c r="N635" s="4"/>
      <c r="O635" s="5"/>
      <c r="P635" s="6"/>
      <c r="Q635" s="3"/>
      <c r="R635" s="2"/>
      <c r="S635" s="2"/>
      <c r="T635" s="2"/>
      <c r="U635" s="2"/>
      <c r="V635" s="3"/>
      <c r="W635" s="2"/>
      <c r="X635" s="2"/>
      <c r="Y635" s="2"/>
      <c r="Z635" s="2"/>
      <c r="AA635" s="3"/>
      <c r="AB635" s="2"/>
      <c r="AC635" s="2"/>
      <c r="AD635" s="2"/>
      <c r="AE635" s="2"/>
      <c r="AF635" s="3"/>
      <c r="AG635" s="2"/>
      <c r="AH635" s="2"/>
      <c r="AI635" s="2"/>
      <c r="AJ635" s="2"/>
      <c r="AK635" s="3"/>
      <c r="AL635" s="2"/>
      <c r="AM635" s="2"/>
      <c r="AN635" s="2"/>
      <c r="AO635" s="2"/>
      <c r="AP635" s="3"/>
      <c r="AQ635" s="2"/>
      <c r="AR635" s="2"/>
      <c r="AS635" s="2"/>
      <c r="AT635" s="7"/>
      <c r="AU635" s="2"/>
      <c r="AV635" s="2"/>
      <c r="AW635" s="2"/>
      <c r="AX635" s="2"/>
    </row>
    <row r="636">
      <c r="A636" s="2"/>
      <c r="B636" s="2"/>
      <c r="C636" s="2"/>
      <c r="D636" s="2"/>
      <c r="E636" s="2"/>
      <c r="F636" s="2"/>
      <c r="G636" s="2"/>
      <c r="H636" s="2"/>
      <c r="I636" s="2"/>
      <c r="J636" s="2"/>
      <c r="K636" s="2"/>
      <c r="L636" s="3"/>
      <c r="M636" s="4"/>
      <c r="N636" s="4"/>
      <c r="O636" s="5"/>
      <c r="P636" s="6"/>
      <c r="Q636" s="3"/>
      <c r="R636" s="2"/>
      <c r="S636" s="2"/>
      <c r="T636" s="2"/>
      <c r="U636" s="2"/>
      <c r="V636" s="3"/>
      <c r="W636" s="2"/>
      <c r="X636" s="2"/>
      <c r="Y636" s="2"/>
      <c r="Z636" s="2"/>
      <c r="AA636" s="3"/>
      <c r="AB636" s="2"/>
      <c r="AC636" s="2"/>
      <c r="AD636" s="2"/>
      <c r="AE636" s="2"/>
      <c r="AF636" s="3"/>
      <c r="AG636" s="2"/>
      <c r="AH636" s="2"/>
      <c r="AI636" s="2"/>
      <c r="AJ636" s="2"/>
      <c r="AK636" s="3"/>
      <c r="AL636" s="2"/>
      <c r="AM636" s="2"/>
      <c r="AN636" s="2"/>
      <c r="AO636" s="2"/>
      <c r="AP636" s="3"/>
      <c r="AQ636" s="2"/>
      <c r="AR636" s="2"/>
      <c r="AS636" s="2"/>
      <c r="AT636" s="7"/>
      <c r="AU636" s="2"/>
      <c r="AV636" s="2"/>
      <c r="AW636" s="2"/>
      <c r="AX636" s="2"/>
    </row>
    <row r="637">
      <c r="A637" s="2"/>
      <c r="B637" s="2"/>
      <c r="C637" s="2"/>
      <c r="D637" s="2"/>
      <c r="E637" s="2"/>
      <c r="F637" s="2"/>
      <c r="G637" s="2"/>
      <c r="H637" s="2"/>
      <c r="I637" s="2"/>
      <c r="J637" s="2"/>
      <c r="K637" s="2"/>
      <c r="L637" s="3"/>
      <c r="M637" s="4"/>
      <c r="N637" s="4"/>
      <c r="O637" s="5"/>
      <c r="P637" s="6"/>
      <c r="Q637" s="3"/>
      <c r="R637" s="2"/>
      <c r="S637" s="2"/>
      <c r="T637" s="2"/>
      <c r="U637" s="2"/>
      <c r="V637" s="3"/>
      <c r="W637" s="2"/>
      <c r="X637" s="2"/>
      <c r="Y637" s="2"/>
      <c r="Z637" s="2"/>
      <c r="AA637" s="3"/>
      <c r="AB637" s="2"/>
      <c r="AC637" s="2"/>
      <c r="AD637" s="2"/>
      <c r="AE637" s="2"/>
      <c r="AF637" s="3"/>
      <c r="AG637" s="2"/>
      <c r="AH637" s="2"/>
      <c r="AI637" s="2"/>
      <c r="AJ637" s="2"/>
      <c r="AK637" s="3"/>
      <c r="AL637" s="2"/>
      <c r="AM637" s="2"/>
      <c r="AN637" s="2"/>
      <c r="AO637" s="2"/>
      <c r="AP637" s="3"/>
      <c r="AQ637" s="2"/>
      <c r="AR637" s="2"/>
      <c r="AS637" s="2"/>
      <c r="AT637" s="7"/>
      <c r="AU637" s="2"/>
      <c r="AV637" s="2"/>
      <c r="AW637" s="2"/>
      <c r="AX637" s="2"/>
    </row>
    <row r="638">
      <c r="A638" s="2"/>
      <c r="B638" s="2"/>
      <c r="C638" s="2"/>
      <c r="D638" s="2"/>
      <c r="E638" s="2"/>
      <c r="F638" s="2"/>
      <c r="G638" s="2"/>
      <c r="H638" s="2"/>
      <c r="I638" s="2"/>
      <c r="J638" s="2"/>
      <c r="K638" s="2"/>
      <c r="L638" s="3"/>
      <c r="M638" s="4"/>
      <c r="N638" s="4"/>
      <c r="O638" s="5"/>
      <c r="P638" s="6"/>
      <c r="Q638" s="3"/>
      <c r="R638" s="2"/>
      <c r="S638" s="2"/>
      <c r="T638" s="2"/>
      <c r="U638" s="2"/>
      <c r="V638" s="3"/>
      <c r="W638" s="2"/>
      <c r="X638" s="2"/>
      <c r="Y638" s="2"/>
      <c r="Z638" s="2"/>
      <c r="AA638" s="3"/>
      <c r="AB638" s="2"/>
      <c r="AC638" s="2"/>
      <c r="AD638" s="2"/>
      <c r="AE638" s="2"/>
      <c r="AF638" s="3"/>
      <c r="AG638" s="2"/>
      <c r="AH638" s="2"/>
      <c r="AI638" s="2"/>
      <c r="AJ638" s="2"/>
      <c r="AK638" s="3"/>
      <c r="AL638" s="2"/>
      <c r="AM638" s="2"/>
      <c r="AN638" s="2"/>
      <c r="AO638" s="2"/>
      <c r="AP638" s="3"/>
      <c r="AQ638" s="2"/>
      <c r="AR638" s="2"/>
      <c r="AS638" s="2"/>
      <c r="AT638" s="7"/>
      <c r="AU638" s="2"/>
      <c r="AV638" s="2"/>
      <c r="AW638" s="2"/>
      <c r="AX638" s="2"/>
    </row>
    <row r="639">
      <c r="A639" s="2"/>
      <c r="B639" s="2"/>
      <c r="C639" s="2"/>
      <c r="D639" s="2"/>
      <c r="E639" s="2"/>
      <c r="F639" s="2"/>
      <c r="G639" s="2"/>
      <c r="H639" s="2"/>
      <c r="I639" s="2"/>
      <c r="J639" s="2"/>
      <c r="K639" s="2"/>
      <c r="L639" s="3"/>
      <c r="M639" s="4"/>
      <c r="N639" s="4"/>
      <c r="O639" s="5"/>
      <c r="P639" s="6"/>
      <c r="Q639" s="3"/>
      <c r="R639" s="2"/>
      <c r="S639" s="2"/>
      <c r="T639" s="2"/>
      <c r="U639" s="2"/>
      <c r="V639" s="3"/>
      <c r="W639" s="2"/>
      <c r="X639" s="2"/>
      <c r="Y639" s="2"/>
      <c r="Z639" s="2"/>
      <c r="AA639" s="3"/>
      <c r="AB639" s="2"/>
      <c r="AC639" s="2"/>
      <c r="AD639" s="2"/>
      <c r="AE639" s="2"/>
      <c r="AF639" s="3"/>
      <c r="AG639" s="2"/>
      <c r="AH639" s="2"/>
      <c r="AI639" s="2"/>
      <c r="AJ639" s="2"/>
      <c r="AK639" s="3"/>
      <c r="AL639" s="2"/>
      <c r="AM639" s="2"/>
      <c r="AN639" s="2"/>
      <c r="AO639" s="2"/>
      <c r="AP639" s="3"/>
      <c r="AQ639" s="2"/>
      <c r="AR639" s="2"/>
      <c r="AS639" s="2"/>
      <c r="AT639" s="7"/>
      <c r="AU639" s="2"/>
      <c r="AV639" s="2"/>
      <c r="AW639" s="2"/>
      <c r="AX639" s="2"/>
    </row>
    <row r="640">
      <c r="A640" s="2"/>
      <c r="B640" s="2"/>
      <c r="C640" s="2"/>
      <c r="D640" s="2"/>
      <c r="E640" s="2"/>
      <c r="F640" s="2"/>
      <c r="G640" s="2"/>
      <c r="H640" s="2"/>
      <c r="I640" s="2"/>
      <c r="J640" s="2"/>
      <c r="K640" s="2"/>
      <c r="L640" s="3"/>
      <c r="M640" s="4"/>
      <c r="N640" s="4"/>
      <c r="O640" s="5"/>
      <c r="P640" s="6"/>
      <c r="Q640" s="3"/>
      <c r="R640" s="2"/>
      <c r="S640" s="2"/>
      <c r="T640" s="2"/>
      <c r="U640" s="2"/>
      <c r="V640" s="3"/>
      <c r="W640" s="2"/>
      <c r="X640" s="2"/>
      <c r="Y640" s="2"/>
      <c r="Z640" s="2"/>
      <c r="AA640" s="3"/>
      <c r="AB640" s="2"/>
      <c r="AC640" s="2"/>
      <c r="AD640" s="2"/>
      <c r="AE640" s="2"/>
      <c r="AF640" s="3"/>
      <c r="AG640" s="2"/>
      <c r="AH640" s="2"/>
      <c r="AI640" s="2"/>
      <c r="AJ640" s="2"/>
      <c r="AK640" s="3"/>
      <c r="AL640" s="2"/>
      <c r="AM640" s="2"/>
      <c r="AN640" s="2"/>
      <c r="AO640" s="2"/>
      <c r="AP640" s="3"/>
      <c r="AQ640" s="2"/>
      <c r="AR640" s="2"/>
      <c r="AS640" s="2"/>
      <c r="AT640" s="7"/>
      <c r="AU640" s="2"/>
      <c r="AV640" s="2"/>
      <c r="AW640" s="2"/>
      <c r="AX640" s="2"/>
    </row>
    <row r="641">
      <c r="A641" s="2"/>
      <c r="B641" s="2"/>
      <c r="C641" s="2"/>
      <c r="D641" s="2"/>
      <c r="E641" s="2"/>
      <c r="F641" s="2"/>
      <c r="G641" s="2"/>
      <c r="H641" s="2"/>
      <c r="I641" s="2"/>
      <c r="J641" s="2"/>
      <c r="K641" s="2"/>
      <c r="L641" s="3"/>
      <c r="M641" s="4"/>
      <c r="N641" s="4"/>
      <c r="O641" s="5"/>
      <c r="P641" s="6"/>
      <c r="Q641" s="3"/>
      <c r="R641" s="2"/>
      <c r="S641" s="2"/>
      <c r="T641" s="2"/>
      <c r="U641" s="2"/>
      <c r="V641" s="3"/>
      <c r="W641" s="2"/>
      <c r="X641" s="2"/>
      <c r="Y641" s="2"/>
      <c r="Z641" s="2"/>
      <c r="AA641" s="3"/>
      <c r="AB641" s="2"/>
      <c r="AC641" s="2"/>
      <c r="AD641" s="2"/>
      <c r="AE641" s="2"/>
      <c r="AF641" s="3"/>
      <c r="AG641" s="2"/>
      <c r="AH641" s="2"/>
      <c r="AI641" s="2"/>
      <c r="AJ641" s="2"/>
      <c r="AK641" s="3"/>
      <c r="AL641" s="2"/>
      <c r="AM641" s="2"/>
      <c r="AN641" s="2"/>
      <c r="AO641" s="2"/>
      <c r="AP641" s="3"/>
      <c r="AQ641" s="2"/>
      <c r="AR641" s="2"/>
      <c r="AS641" s="2"/>
      <c r="AT641" s="7"/>
      <c r="AU641" s="2"/>
      <c r="AV641" s="2"/>
      <c r="AW641" s="2"/>
      <c r="AX641" s="2"/>
    </row>
    <row r="642">
      <c r="A642" s="2"/>
      <c r="B642" s="2"/>
      <c r="C642" s="2"/>
      <c r="D642" s="2"/>
      <c r="E642" s="2"/>
      <c r="F642" s="2"/>
      <c r="G642" s="2"/>
      <c r="H642" s="2"/>
      <c r="I642" s="2"/>
      <c r="J642" s="2"/>
      <c r="K642" s="2"/>
      <c r="L642" s="3"/>
      <c r="M642" s="4"/>
      <c r="N642" s="4"/>
      <c r="O642" s="5"/>
      <c r="P642" s="6"/>
      <c r="Q642" s="3"/>
      <c r="R642" s="2"/>
      <c r="S642" s="2"/>
      <c r="T642" s="2"/>
      <c r="U642" s="2"/>
      <c r="V642" s="3"/>
      <c r="W642" s="2"/>
      <c r="X642" s="2"/>
      <c r="Y642" s="2"/>
      <c r="Z642" s="2"/>
      <c r="AA642" s="3"/>
      <c r="AB642" s="2"/>
      <c r="AC642" s="2"/>
      <c r="AD642" s="2"/>
      <c r="AE642" s="2"/>
      <c r="AF642" s="3"/>
      <c r="AG642" s="2"/>
      <c r="AH642" s="2"/>
      <c r="AI642" s="2"/>
      <c r="AJ642" s="2"/>
      <c r="AK642" s="3"/>
      <c r="AL642" s="2"/>
      <c r="AM642" s="2"/>
      <c r="AN642" s="2"/>
      <c r="AO642" s="2"/>
      <c r="AP642" s="3"/>
      <c r="AQ642" s="2"/>
      <c r="AR642" s="2"/>
      <c r="AS642" s="2"/>
      <c r="AT642" s="7"/>
      <c r="AU642" s="2"/>
      <c r="AV642" s="2"/>
      <c r="AW642" s="2"/>
      <c r="AX642" s="2"/>
    </row>
    <row r="643">
      <c r="A643" s="2"/>
      <c r="B643" s="2"/>
      <c r="C643" s="2"/>
      <c r="D643" s="2"/>
      <c r="E643" s="2"/>
      <c r="F643" s="2"/>
      <c r="G643" s="2"/>
      <c r="H643" s="2"/>
      <c r="I643" s="2"/>
      <c r="J643" s="2"/>
      <c r="K643" s="2"/>
      <c r="L643" s="3"/>
      <c r="M643" s="4"/>
      <c r="N643" s="4"/>
      <c r="O643" s="5"/>
      <c r="P643" s="6"/>
      <c r="Q643" s="3"/>
      <c r="R643" s="2"/>
      <c r="S643" s="2"/>
      <c r="T643" s="2"/>
      <c r="U643" s="2"/>
      <c r="V643" s="3"/>
      <c r="W643" s="2"/>
      <c r="X643" s="2"/>
      <c r="Y643" s="2"/>
      <c r="Z643" s="2"/>
      <c r="AA643" s="3"/>
      <c r="AB643" s="2"/>
      <c r="AC643" s="2"/>
      <c r="AD643" s="2"/>
      <c r="AE643" s="2"/>
      <c r="AF643" s="3"/>
      <c r="AG643" s="2"/>
      <c r="AH643" s="2"/>
      <c r="AI643" s="2"/>
      <c r="AJ643" s="2"/>
      <c r="AK643" s="3"/>
      <c r="AL643" s="2"/>
      <c r="AM643" s="2"/>
      <c r="AN643" s="2"/>
      <c r="AO643" s="2"/>
      <c r="AP643" s="3"/>
      <c r="AQ643" s="2"/>
      <c r="AR643" s="2"/>
      <c r="AS643" s="2"/>
      <c r="AT643" s="7"/>
      <c r="AU643" s="2"/>
      <c r="AV643" s="2"/>
      <c r="AW643" s="2"/>
      <c r="AX643" s="2"/>
    </row>
    <row r="644">
      <c r="A644" s="2"/>
      <c r="B644" s="2"/>
      <c r="C644" s="2"/>
      <c r="D644" s="2"/>
      <c r="E644" s="2"/>
      <c r="F644" s="2"/>
      <c r="G644" s="2"/>
      <c r="H644" s="2"/>
      <c r="I644" s="2"/>
      <c r="J644" s="2"/>
      <c r="K644" s="2"/>
      <c r="L644" s="3"/>
      <c r="M644" s="4"/>
      <c r="N644" s="4"/>
      <c r="O644" s="5"/>
      <c r="P644" s="6"/>
      <c r="Q644" s="3"/>
      <c r="R644" s="2"/>
      <c r="S644" s="2"/>
      <c r="T644" s="2"/>
      <c r="U644" s="2"/>
      <c r="V644" s="3"/>
      <c r="W644" s="2"/>
      <c r="X644" s="2"/>
      <c r="Y644" s="2"/>
      <c r="Z644" s="2"/>
      <c r="AA644" s="3"/>
      <c r="AB644" s="2"/>
      <c r="AC644" s="2"/>
      <c r="AD644" s="2"/>
      <c r="AE644" s="2"/>
      <c r="AF644" s="3"/>
      <c r="AG644" s="2"/>
      <c r="AH644" s="2"/>
      <c r="AI644" s="2"/>
      <c r="AJ644" s="2"/>
      <c r="AK644" s="3"/>
      <c r="AL644" s="2"/>
      <c r="AM644" s="2"/>
      <c r="AN644" s="2"/>
      <c r="AO644" s="2"/>
      <c r="AP644" s="3"/>
      <c r="AQ644" s="2"/>
      <c r="AR644" s="2"/>
      <c r="AS644" s="2"/>
      <c r="AT644" s="7"/>
      <c r="AU644" s="2"/>
      <c r="AV644" s="2"/>
      <c r="AW644" s="2"/>
      <c r="AX644" s="2"/>
    </row>
    <row r="645">
      <c r="A645" s="2"/>
      <c r="B645" s="2"/>
      <c r="C645" s="2"/>
      <c r="D645" s="2"/>
      <c r="E645" s="2"/>
      <c r="F645" s="2"/>
      <c r="G645" s="2"/>
      <c r="H645" s="2"/>
      <c r="I645" s="2"/>
      <c r="J645" s="2"/>
      <c r="K645" s="2"/>
      <c r="L645" s="3"/>
      <c r="M645" s="4"/>
      <c r="N645" s="4"/>
      <c r="O645" s="5"/>
      <c r="P645" s="6"/>
      <c r="Q645" s="3"/>
      <c r="R645" s="2"/>
      <c r="S645" s="2"/>
      <c r="T645" s="2"/>
      <c r="U645" s="2"/>
      <c r="V645" s="3"/>
      <c r="W645" s="2"/>
      <c r="X645" s="2"/>
      <c r="Y645" s="2"/>
      <c r="Z645" s="2"/>
      <c r="AA645" s="3"/>
      <c r="AB645" s="2"/>
      <c r="AC645" s="2"/>
      <c r="AD645" s="2"/>
      <c r="AE645" s="2"/>
      <c r="AF645" s="3"/>
      <c r="AG645" s="2"/>
      <c r="AH645" s="2"/>
      <c r="AI645" s="2"/>
      <c r="AJ645" s="2"/>
      <c r="AK645" s="3"/>
      <c r="AL645" s="2"/>
      <c r="AM645" s="2"/>
      <c r="AN645" s="2"/>
      <c r="AO645" s="2"/>
      <c r="AP645" s="3"/>
      <c r="AQ645" s="2"/>
      <c r="AR645" s="2"/>
      <c r="AS645" s="2"/>
      <c r="AT645" s="7"/>
      <c r="AU645" s="2"/>
      <c r="AV645" s="2"/>
      <c r="AW645" s="2"/>
      <c r="AX645" s="2"/>
    </row>
    <row r="646">
      <c r="A646" s="2"/>
      <c r="B646" s="2"/>
      <c r="C646" s="2"/>
      <c r="D646" s="2"/>
      <c r="E646" s="2"/>
      <c r="F646" s="2"/>
      <c r="G646" s="2"/>
      <c r="H646" s="2"/>
      <c r="I646" s="2"/>
      <c r="J646" s="2"/>
      <c r="K646" s="2"/>
      <c r="L646" s="3"/>
      <c r="M646" s="4"/>
      <c r="N646" s="4"/>
      <c r="O646" s="5"/>
      <c r="P646" s="6"/>
      <c r="Q646" s="3"/>
      <c r="R646" s="2"/>
      <c r="S646" s="2"/>
      <c r="T646" s="2"/>
      <c r="U646" s="2"/>
      <c r="V646" s="3"/>
      <c r="W646" s="2"/>
      <c r="X646" s="2"/>
      <c r="Y646" s="2"/>
      <c r="Z646" s="2"/>
      <c r="AA646" s="3"/>
      <c r="AB646" s="2"/>
      <c r="AC646" s="2"/>
      <c r="AD646" s="2"/>
      <c r="AE646" s="2"/>
      <c r="AF646" s="3"/>
      <c r="AG646" s="2"/>
      <c r="AH646" s="2"/>
      <c r="AI646" s="2"/>
      <c r="AJ646" s="2"/>
      <c r="AK646" s="3"/>
      <c r="AL646" s="2"/>
      <c r="AM646" s="2"/>
      <c r="AN646" s="2"/>
      <c r="AO646" s="2"/>
      <c r="AP646" s="3"/>
      <c r="AQ646" s="2"/>
      <c r="AR646" s="2"/>
      <c r="AS646" s="2"/>
      <c r="AT646" s="7"/>
      <c r="AU646" s="2"/>
      <c r="AV646" s="2"/>
      <c r="AW646" s="2"/>
      <c r="AX646" s="2"/>
    </row>
    <row r="647">
      <c r="A647" s="2"/>
      <c r="B647" s="2"/>
      <c r="C647" s="2"/>
      <c r="D647" s="2"/>
      <c r="E647" s="2"/>
      <c r="F647" s="2"/>
      <c r="G647" s="2"/>
      <c r="H647" s="2"/>
      <c r="I647" s="2"/>
      <c r="J647" s="2"/>
      <c r="K647" s="2"/>
      <c r="L647" s="3"/>
      <c r="M647" s="4"/>
      <c r="N647" s="4"/>
      <c r="O647" s="5"/>
      <c r="P647" s="6"/>
      <c r="Q647" s="3"/>
      <c r="R647" s="2"/>
      <c r="S647" s="2"/>
      <c r="T647" s="2"/>
      <c r="U647" s="2"/>
      <c r="V647" s="3"/>
      <c r="W647" s="2"/>
      <c r="X647" s="2"/>
      <c r="Y647" s="2"/>
      <c r="Z647" s="2"/>
      <c r="AA647" s="3"/>
      <c r="AB647" s="2"/>
      <c r="AC647" s="2"/>
      <c r="AD647" s="2"/>
      <c r="AE647" s="2"/>
      <c r="AF647" s="3"/>
      <c r="AG647" s="2"/>
      <c r="AH647" s="2"/>
      <c r="AI647" s="2"/>
      <c r="AJ647" s="2"/>
      <c r="AK647" s="3"/>
      <c r="AL647" s="2"/>
      <c r="AM647" s="2"/>
      <c r="AN647" s="2"/>
      <c r="AO647" s="2"/>
      <c r="AP647" s="3"/>
      <c r="AQ647" s="2"/>
      <c r="AR647" s="2"/>
      <c r="AS647" s="2"/>
      <c r="AT647" s="7"/>
      <c r="AU647" s="2"/>
      <c r="AV647" s="2"/>
      <c r="AW647" s="2"/>
      <c r="AX647" s="2"/>
    </row>
    <row r="648">
      <c r="A648" s="2"/>
      <c r="B648" s="2"/>
      <c r="C648" s="2"/>
      <c r="D648" s="2"/>
      <c r="E648" s="2"/>
      <c r="F648" s="2"/>
      <c r="G648" s="2"/>
      <c r="H648" s="2"/>
      <c r="I648" s="2"/>
      <c r="J648" s="2"/>
      <c r="K648" s="2"/>
      <c r="L648" s="3"/>
      <c r="M648" s="4"/>
      <c r="N648" s="4"/>
      <c r="O648" s="5"/>
      <c r="P648" s="6"/>
      <c r="Q648" s="3"/>
      <c r="R648" s="2"/>
      <c r="S648" s="2"/>
      <c r="T648" s="2"/>
      <c r="U648" s="2"/>
      <c r="V648" s="3"/>
      <c r="W648" s="2"/>
      <c r="X648" s="2"/>
      <c r="Y648" s="2"/>
      <c r="Z648" s="2"/>
      <c r="AA648" s="3"/>
      <c r="AB648" s="2"/>
      <c r="AC648" s="2"/>
      <c r="AD648" s="2"/>
      <c r="AE648" s="2"/>
      <c r="AF648" s="3"/>
      <c r="AG648" s="2"/>
      <c r="AH648" s="2"/>
      <c r="AI648" s="2"/>
      <c r="AJ648" s="2"/>
      <c r="AK648" s="3"/>
      <c r="AL648" s="2"/>
      <c r="AM648" s="2"/>
      <c r="AN648" s="2"/>
      <c r="AO648" s="2"/>
      <c r="AP648" s="3"/>
      <c r="AQ648" s="2"/>
      <c r="AR648" s="2"/>
      <c r="AS648" s="2"/>
      <c r="AT648" s="7"/>
      <c r="AU648" s="2"/>
      <c r="AV648" s="2"/>
      <c r="AW648" s="2"/>
      <c r="AX648" s="2"/>
    </row>
    <row r="649">
      <c r="A649" s="2"/>
      <c r="B649" s="2"/>
      <c r="C649" s="2"/>
      <c r="D649" s="2"/>
      <c r="E649" s="2"/>
      <c r="F649" s="2"/>
      <c r="G649" s="2"/>
      <c r="H649" s="2"/>
      <c r="I649" s="2"/>
      <c r="J649" s="2"/>
      <c r="K649" s="2"/>
      <c r="L649" s="3"/>
      <c r="M649" s="4"/>
      <c r="N649" s="4"/>
      <c r="O649" s="5"/>
      <c r="P649" s="6"/>
      <c r="Q649" s="3"/>
      <c r="R649" s="2"/>
      <c r="S649" s="2"/>
      <c r="T649" s="2"/>
      <c r="U649" s="2"/>
      <c r="V649" s="3"/>
      <c r="W649" s="2"/>
      <c r="X649" s="2"/>
      <c r="Y649" s="2"/>
      <c r="Z649" s="2"/>
      <c r="AA649" s="3"/>
      <c r="AB649" s="2"/>
      <c r="AC649" s="2"/>
      <c r="AD649" s="2"/>
      <c r="AE649" s="2"/>
      <c r="AF649" s="3"/>
      <c r="AG649" s="2"/>
      <c r="AH649" s="2"/>
      <c r="AI649" s="2"/>
      <c r="AJ649" s="2"/>
      <c r="AK649" s="3"/>
      <c r="AL649" s="2"/>
      <c r="AM649" s="2"/>
      <c r="AN649" s="2"/>
      <c r="AO649" s="2"/>
      <c r="AP649" s="3"/>
      <c r="AQ649" s="2"/>
      <c r="AR649" s="2"/>
      <c r="AS649" s="2"/>
      <c r="AT649" s="7"/>
      <c r="AU649" s="2"/>
      <c r="AV649" s="2"/>
      <c r="AW649" s="2"/>
      <c r="AX649" s="2"/>
    </row>
    <row r="650">
      <c r="A650" s="2"/>
      <c r="B650" s="2"/>
      <c r="C650" s="2"/>
      <c r="D650" s="2"/>
      <c r="E650" s="2"/>
      <c r="F650" s="2"/>
      <c r="G650" s="2"/>
      <c r="H650" s="2"/>
      <c r="I650" s="2"/>
      <c r="J650" s="2"/>
      <c r="K650" s="2"/>
      <c r="L650" s="3"/>
      <c r="M650" s="4"/>
      <c r="N650" s="4"/>
      <c r="O650" s="5"/>
      <c r="P650" s="6"/>
      <c r="Q650" s="3"/>
      <c r="R650" s="2"/>
      <c r="S650" s="2"/>
      <c r="T650" s="2"/>
      <c r="U650" s="2"/>
      <c r="V650" s="3"/>
      <c r="W650" s="2"/>
      <c r="X650" s="2"/>
      <c r="Y650" s="2"/>
      <c r="Z650" s="2"/>
      <c r="AA650" s="3"/>
      <c r="AB650" s="2"/>
      <c r="AC650" s="2"/>
      <c r="AD650" s="2"/>
      <c r="AE650" s="2"/>
      <c r="AF650" s="3"/>
      <c r="AG650" s="2"/>
      <c r="AH650" s="2"/>
      <c r="AI650" s="2"/>
      <c r="AJ650" s="2"/>
      <c r="AK650" s="3"/>
      <c r="AL650" s="2"/>
      <c r="AM650" s="2"/>
      <c r="AN650" s="2"/>
      <c r="AO650" s="2"/>
      <c r="AP650" s="3"/>
      <c r="AQ650" s="2"/>
      <c r="AR650" s="2"/>
      <c r="AS650" s="2"/>
      <c r="AT650" s="7"/>
      <c r="AU650" s="2"/>
      <c r="AV650" s="2"/>
      <c r="AW650" s="2"/>
      <c r="AX650" s="2"/>
    </row>
    <row r="651">
      <c r="A651" s="2"/>
      <c r="B651" s="2"/>
      <c r="C651" s="2"/>
      <c r="D651" s="2"/>
      <c r="E651" s="2"/>
      <c r="F651" s="2"/>
      <c r="G651" s="2"/>
      <c r="H651" s="2"/>
      <c r="I651" s="2"/>
      <c r="J651" s="2"/>
      <c r="K651" s="2"/>
      <c r="L651" s="3"/>
      <c r="M651" s="4"/>
      <c r="N651" s="4"/>
      <c r="O651" s="5"/>
      <c r="P651" s="6"/>
      <c r="Q651" s="3"/>
      <c r="R651" s="2"/>
      <c r="S651" s="2"/>
      <c r="T651" s="2"/>
      <c r="U651" s="2"/>
      <c r="V651" s="3"/>
      <c r="W651" s="2"/>
      <c r="X651" s="2"/>
      <c r="Y651" s="2"/>
      <c r="Z651" s="2"/>
      <c r="AA651" s="3"/>
      <c r="AB651" s="2"/>
      <c r="AC651" s="2"/>
      <c r="AD651" s="2"/>
      <c r="AE651" s="2"/>
      <c r="AF651" s="3"/>
      <c r="AG651" s="2"/>
      <c r="AH651" s="2"/>
      <c r="AI651" s="2"/>
      <c r="AJ651" s="2"/>
      <c r="AK651" s="3"/>
      <c r="AL651" s="2"/>
      <c r="AM651" s="2"/>
      <c r="AN651" s="2"/>
      <c r="AO651" s="2"/>
      <c r="AP651" s="3"/>
      <c r="AQ651" s="2"/>
      <c r="AR651" s="2"/>
      <c r="AS651" s="2"/>
      <c r="AT651" s="7"/>
      <c r="AU651" s="2"/>
      <c r="AV651" s="2"/>
      <c r="AW651" s="2"/>
      <c r="AX651" s="2"/>
    </row>
    <row r="652">
      <c r="A652" s="2"/>
      <c r="B652" s="2"/>
      <c r="C652" s="2"/>
      <c r="D652" s="2"/>
      <c r="E652" s="2"/>
      <c r="F652" s="2"/>
      <c r="G652" s="2"/>
      <c r="H652" s="2"/>
      <c r="I652" s="2"/>
      <c r="J652" s="2"/>
      <c r="K652" s="2"/>
      <c r="L652" s="3"/>
      <c r="M652" s="4"/>
      <c r="N652" s="4"/>
      <c r="O652" s="5"/>
      <c r="P652" s="6"/>
      <c r="Q652" s="3"/>
      <c r="R652" s="2"/>
      <c r="S652" s="2"/>
      <c r="T652" s="2"/>
      <c r="U652" s="2"/>
      <c r="V652" s="3"/>
      <c r="W652" s="2"/>
      <c r="X652" s="2"/>
      <c r="Y652" s="2"/>
      <c r="Z652" s="2"/>
      <c r="AA652" s="3"/>
      <c r="AB652" s="2"/>
      <c r="AC652" s="2"/>
      <c r="AD652" s="2"/>
      <c r="AE652" s="2"/>
      <c r="AF652" s="3"/>
      <c r="AG652" s="2"/>
      <c r="AH652" s="2"/>
      <c r="AI652" s="2"/>
      <c r="AJ652" s="2"/>
      <c r="AK652" s="3"/>
      <c r="AL652" s="2"/>
      <c r="AM652" s="2"/>
      <c r="AN652" s="2"/>
      <c r="AO652" s="2"/>
      <c r="AP652" s="3"/>
      <c r="AQ652" s="2"/>
      <c r="AR652" s="2"/>
      <c r="AS652" s="2"/>
      <c r="AT652" s="7"/>
      <c r="AU652" s="2"/>
      <c r="AV652" s="2"/>
      <c r="AW652" s="2"/>
      <c r="AX652" s="2"/>
    </row>
    <row r="653">
      <c r="A653" s="2"/>
      <c r="B653" s="2"/>
      <c r="C653" s="2"/>
      <c r="D653" s="2"/>
      <c r="E653" s="2"/>
      <c r="F653" s="2"/>
      <c r="G653" s="2"/>
      <c r="H653" s="2"/>
      <c r="I653" s="2"/>
      <c r="J653" s="2"/>
      <c r="K653" s="2"/>
      <c r="L653" s="3"/>
      <c r="M653" s="4"/>
      <c r="N653" s="4"/>
      <c r="O653" s="5"/>
      <c r="P653" s="6"/>
      <c r="Q653" s="3"/>
      <c r="R653" s="2"/>
      <c r="S653" s="2"/>
      <c r="T653" s="2"/>
      <c r="U653" s="2"/>
      <c r="V653" s="3"/>
      <c r="W653" s="2"/>
      <c r="X653" s="2"/>
      <c r="Y653" s="2"/>
      <c r="Z653" s="2"/>
      <c r="AA653" s="3"/>
      <c r="AB653" s="2"/>
      <c r="AC653" s="2"/>
      <c r="AD653" s="2"/>
      <c r="AE653" s="2"/>
      <c r="AF653" s="3"/>
      <c r="AG653" s="2"/>
      <c r="AH653" s="2"/>
      <c r="AI653" s="2"/>
      <c r="AJ653" s="2"/>
      <c r="AK653" s="3"/>
      <c r="AL653" s="2"/>
      <c r="AM653" s="2"/>
      <c r="AN653" s="2"/>
      <c r="AO653" s="2"/>
      <c r="AP653" s="3"/>
      <c r="AQ653" s="2"/>
      <c r="AR653" s="2"/>
      <c r="AS653" s="2"/>
      <c r="AT653" s="7"/>
      <c r="AU653" s="2"/>
      <c r="AV653" s="2"/>
      <c r="AW653" s="2"/>
      <c r="AX653" s="2"/>
    </row>
    <row r="654">
      <c r="A654" s="2"/>
      <c r="B654" s="2"/>
      <c r="C654" s="2"/>
      <c r="D654" s="2"/>
      <c r="E654" s="2"/>
      <c r="F654" s="2"/>
      <c r="G654" s="2"/>
      <c r="H654" s="2"/>
      <c r="I654" s="2"/>
      <c r="J654" s="2"/>
      <c r="K654" s="2"/>
      <c r="L654" s="3"/>
      <c r="M654" s="4"/>
      <c r="N654" s="4"/>
      <c r="O654" s="5"/>
      <c r="P654" s="6"/>
      <c r="Q654" s="3"/>
      <c r="R654" s="2"/>
      <c r="S654" s="2"/>
      <c r="T654" s="2"/>
      <c r="U654" s="2"/>
      <c r="V654" s="3"/>
      <c r="W654" s="2"/>
      <c r="X654" s="2"/>
      <c r="Y654" s="2"/>
      <c r="Z654" s="2"/>
      <c r="AA654" s="3"/>
      <c r="AB654" s="2"/>
      <c r="AC654" s="2"/>
      <c r="AD654" s="2"/>
      <c r="AE654" s="2"/>
      <c r="AF654" s="3"/>
      <c r="AG654" s="2"/>
      <c r="AH654" s="2"/>
      <c r="AI654" s="2"/>
      <c r="AJ654" s="2"/>
      <c r="AK654" s="3"/>
      <c r="AL654" s="2"/>
      <c r="AM654" s="2"/>
      <c r="AN654" s="2"/>
      <c r="AO654" s="2"/>
      <c r="AP654" s="3"/>
      <c r="AQ654" s="2"/>
      <c r="AR654" s="2"/>
      <c r="AS654" s="2"/>
      <c r="AT654" s="7"/>
      <c r="AU654" s="2"/>
      <c r="AV654" s="2"/>
      <c r="AW654" s="2"/>
      <c r="AX654" s="2"/>
    </row>
    <row r="655">
      <c r="A655" s="2"/>
      <c r="B655" s="2"/>
      <c r="C655" s="2"/>
      <c r="D655" s="2"/>
      <c r="E655" s="2"/>
      <c r="F655" s="2"/>
      <c r="G655" s="2"/>
      <c r="H655" s="2"/>
      <c r="I655" s="2"/>
      <c r="J655" s="2"/>
      <c r="K655" s="2"/>
      <c r="L655" s="3"/>
      <c r="M655" s="4"/>
      <c r="N655" s="4"/>
      <c r="O655" s="5"/>
      <c r="P655" s="6"/>
      <c r="Q655" s="3"/>
      <c r="R655" s="2"/>
      <c r="S655" s="2"/>
      <c r="T655" s="2"/>
      <c r="U655" s="2"/>
      <c r="V655" s="3"/>
      <c r="W655" s="2"/>
      <c r="X655" s="2"/>
      <c r="Y655" s="2"/>
      <c r="Z655" s="2"/>
      <c r="AA655" s="3"/>
      <c r="AB655" s="2"/>
      <c r="AC655" s="2"/>
      <c r="AD655" s="2"/>
      <c r="AE655" s="2"/>
      <c r="AF655" s="3"/>
      <c r="AG655" s="2"/>
      <c r="AH655" s="2"/>
      <c r="AI655" s="2"/>
      <c r="AJ655" s="2"/>
      <c r="AK655" s="3"/>
      <c r="AL655" s="2"/>
      <c r="AM655" s="2"/>
      <c r="AN655" s="2"/>
      <c r="AO655" s="2"/>
      <c r="AP655" s="3"/>
      <c r="AQ655" s="2"/>
      <c r="AR655" s="2"/>
      <c r="AS655" s="2"/>
      <c r="AT655" s="7"/>
      <c r="AU655" s="2"/>
      <c r="AV655" s="2"/>
      <c r="AW655" s="2"/>
      <c r="AX655" s="2"/>
    </row>
    <row r="656">
      <c r="A656" s="2"/>
      <c r="B656" s="2"/>
      <c r="C656" s="2"/>
      <c r="D656" s="2"/>
      <c r="E656" s="2"/>
      <c r="F656" s="2"/>
      <c r="G656" s="2"/>
      <c r="H656" s="2"/>
      <c r="I656" s="2"/>
      <c r="J656" s="2"/>
      <c r="K656" s="2"/>
      <c r="L656" s="3"/>
      <c r="M656" s="4"/>
      <c r="N656" s="4"/>
      <c r="O656" s="5"/>
      <c r="P656" s="6"/>
      <c r="Q656" s="3"/>
      <c r="R656" s="2"/>
      <c r="S656" s="2"/>
      <c r="T656" s="2"/>
      <c r="U656" s="2"/>
      <c r="V656" s="3"/>
      <c r="W656" s="2"/>
      <c r="X656" s="2"/>
      <c r="Y656" s="2"/>
      <c r="Z656" s="2"/>
      <c r="AA656" s="3"/>
      <c r="AB656" s="2"/>
      <c r="AC656" s="2"/>
      <c r="AD656" s="2"/>
      <c r="AE656" s="2"/>
      <c r="AF656" s="3"/>
      <c r="AG656" s="2"/>
      <c r="AH656" s="2"/>
      <c r="AI656" s="2"/>
      <c r="AJ656" s="2"/>
      <c r="AK656" s="3"/>
      <c r="AL656" s="2"/>
      <c r="AM656" s="2"/>
      <c r="AN656" s="2"/>
      <c r="AO656" s="2"/>
      <c r="AP656" s="3"/>
      <c r="AQ656" s="2"/>
      <c r="AR656" s="2"/>
      <c r="AS656" s="2"/>
      <c r="AT656" s="7"/>
      <c r="AU656" s="2"/>
      <c r="AV656" s="2"/>
      <c r="AW656" s="2"/>
      <c r="AX656" s="2"/>
    </row>
    <row r="657">
      <c r="A657" s="2"/>
      <c r="B657" s="2"/>
      <c r="C657" s="2"/>
      <c r="D657" s="2"/>
      <c r="E657" s="2"/>
      <c r="F657" s="2"/>
      <c r="G657" s="2"/>
      <c r="H657" s="2"/>
      <c r="I657" s="2"/>
      <c r="J657" s="2"/>
      <c r="K657" s="2"/>
      <c r="L657" s="3"/>
      <c r="M657" s="4"/>
      <c r="N657" s="4"/>
      <c r="O657" s="5"/>
      <c r="P657" s="6"/>
      <c r="Q657" s="3"/>
      <c r="R657" s="2"/>
      <c r="S657" s="2"/>
      <c r="T657" s="2"/>
      <c r="U657" s="2"/>
      <c r="V657" s="3"/>
      <c r="W657" s="2"/>
      <c r="X657" s="2"/>
      <c r="Y657" s="2"/>
      <c r="Z657" s="2"/>
      <c r="AA657" s="3"/>
      <c r="AB657" s="2"/>
      <c r="AC657" s="2"/>
      <c r="AD657" s="2"/>
      <c r="AE657" s="2"/>
      <c r="AF657" s="3"/>
      <c r="AG657" s="2"/>
      <c r="AH657" s="2"/>
      <c r="AI657" s="2"/>
      <c r="AJ657" s="2"/>
      <c r="AK657" s="3"/>
      <c r="AL657" s="2"/>
      <c r="AM657" s="2"/>
      <c r="AN657" s="2"/>
      <c r="AO657" s="2"/>
      <c r="AP657" s="3"/>
      <c r="AQ657" s="2"/>
      <c r="AR657" s="2"/>
      <c r="AS657" s="2"/>
      <c r="AT657" s="7"/>
      <c r="AU657" s="2"/>
      <c r="AV657" s="2"/>
      <c r="AW657" s="2"/>
      <c r="AX657" s="2"/>
    </row>
    <row r="658">
      <c r="A658" s="2"/>
      <c r="B658" s="2"/>
      <c r="C658" s="2"/>
      <c r="D658" s="2"/>
      <c r="E658" s="2"/>
      <c r="F658" s="2"/>
      <c r="G658" s="2"/>
      <c r="H658" s="2"/>
      <c r="I658" s="2"/>
      <c r="J658" s="2"/>
      <c r="K658" s="2"/>
      <c r="L658" s="3"/>
      <c r="M658" s="4"/>
      <c r="N658" s="4"/>
      <c r="O658" s="5"/>
      <c r="P658" s="6"/>
      <c r="Q658" s="3"/>
      <c r="R658" s="2"/>
      <c r="S658" s="2"/>
      <c r="T658" s="2"/>
      <c r="U658" s="2"/>
      <c r="V658" s="3"/>
      <c r="W658" s="2"/>
      <c r="X658" s="2"/>
      <c r="Y658" s="2"/>
      <c r="Z658" s="2"/>
      <c r="AA658" s="3"/>
      <c r="AB658" s="2"/>
      <c r="AC658" s="2"/>
      <c r="AD658" s="2"/>
      <c r="AE658" s="2"/>
      <c r="AF658" s="3"/>
      <c r="AG658" s="2"/>
      <c r="AH658" s="2"/>
      <c r="AI658" s="2"/>
      <c r="AJ658" s="2"/>
      <c r="AK658" s="3"/>
      <c r="AL658" s="2"/>
      <c r="AM658" s="2"/>
      <c r="AN658" s="2"/>
      <c r="AO658" s="2"/>
      <c r="AP658" s="3"/>
      <c r="AQ658" s="2"/>
      <c r="AR658" s="2"/>
      <c r="AS658" s="2"/>
      <c r="AT658" s="7"/>
      <c r="AU658" s="2"/>
      <c r="AV658" s="2"/>
      <c r="AW658" s="2"/>
      <c r="AX658" s="2"/>
    </row>
    <row r="659">
      <c r="A659" s="2"/>
      <c r="B659" s="2"/>
      <c r="C659" s="2"/>
      <c r="D659" s="2"/>
      <c r="E659" s="2"/>
      <c r="F659" s="2"/>
      <c r="G659" s="2"/>
      <c r="H659" s="2"/>
      <c r="I659" s="2"/>
      <c r="J659" s="2"/>
      <c r="K659" s="2"/>
      <c r="L659" s="3"/>
      <c r="M659" s="4"/>
      <c r="N659" s="4"/>
      <c r="O659" s="5"/>
      <c r="P659" s="6"/>
      <c r="Q659" s="3"/>
      <c r="R659" s="2"/>
      <c r="S659" s="2"/>
      <c r="T659" s="2"/>
      <c r="U659" s="2"/>
      <c r="V659" s="3"/>
      <c r="W659" s="2"/>
      <c r="X659" s="2"/>
      <c r="Y659" s="2"/>
      <c r="Z659" s="2"/>
      <c r="AA659" s="3"/>
      <c r="AB659" s="2"/>
      <c r="AC659" s="2"/>
      <c r="AD659" s="2"/>
      <c r="AE659" s="2"/>
      <c r="AF659" s="3"/>
      <c r="AG659" s="2"/>
      <c r="AH659" s="2"/>
      <c r="AI659" s="2"/>
      <c r="AJ659" s="2"/>
      <c r="AK659" s="3"/>
      <c r="AL659" s="2"/>
      <c r="AM659" s="2"/>
      <c r="AN659" s="2"/>
      <c r="AO659" s="2"/>
      <c r="AP659" s="3"/>
      <c r="AQ659" s="2"/>
      <c r="AR659" s="2"/>
      <c r="AS659" s="2"/>
      <c r="AT659" s="7"/>
      <c r="AU659" s="2"/>
      <c r="AV659" s="2"/>
      <c r="AW659" s="2"/>
      <c r="AX659" s="2"/>
    </row>
    <row r="660">
      <c r="A660" s="2"/>
      <c r="B660" s="2"/>
      <c r="C660" s="2"/>
      <c r="D660" s="2"/>
      <c r="E660" s="2"/>
      <c r="F660" s="2"/>
      <c r="G660" s="2"/>
      <c r="H660" s="2"/>
      <c r="I660" s="2"/>
      <c r="J660" s="2"/>
      <c r="K660" s="2"/>
      <c r="L660" s="3"/>
      <c r="M660" s="4"/>
      <c r="N660" s="4"/>
      <c r="O660" s="5"/>
      <c r="P660" s="6"/>
      <c r="Q660" s="3"/>
      <c r="R660" s="2"/>
      <c r="S660" s="2"/>
      <c r="T660" s="2"/>
      <c r="U660" s="2"/>
      <c r="V660" s="3"/>
      <c r="W660" s="2"/>
      <c r="X660" s="2"/>
      <c r="Y660" s="2"/>
      <c r="Z660" s="2"/>
      <c r="AA660" s="3"/>
      <c r="AB660" s="2"/>
      <c r="AC660" s="2"/>
      <c r="AD660" s="2"/>
      <c r="AE660" s="2"/>
      <c r="AF660" s="3"/>
      <c r="AG660" s="2"/>
      <c r="AH660" s="2"/>
      <c r="AI660" s="2"/>
      <c r="AJ660" s="2"/>
      <c r="AK660" s="3"/>
      <c r="AL660" s="2"/>
      <c r="AM660" s="2"/>
      <c r="AN660" s="2"/>
      <c r="AO660" s="2"/>
      <c r="AP660" s="3"/>
      <c r="AQ660" s="2"/>
      <c r="AR660" s="2"/>
      <c r="AS660" s="2"/>
      <c r="AT660" s="7"/>
      <c r="AU660" s="2"/>
      <c r="AV660" s="2"/>
      <c r="AW660" s="2"/>
      <c r="AX660" s="2"/>
    </row>
    <row r="661">
      <c r="A661" s="2"/>
      <c r="B661" s="2"/>
      <c r="C661" s="2"/>
      <c r="D661" s="2"/>
      <c r="E661" s="2"/>
      <c r="F661" s="2"/>
      <c r="G661" s="2"/>
      <c r="H661" s="2"/>
      <c r="I661" s="2"/>
      <c r="J661" s="2"/>
      <c r="K661" s="2"/>
      <c r="L661" s="3"/>
      <c r="M661" s="4"/>
      <c r="N661" s="4"/>
      <c r="O661" s="5"/>
      <c r="P661" s="6"/>
      <c r="Q661" s="3"/>
      <c r="R661" s="2"/>
      <c r="S661" s="2"/>
      <c r="T661" s="2"/>
      <c r="U661" s="2"/>
      <c r="V661" s="3"/>
      <c r="W661" s="2"/>
      <c r="X661" s="2"/>
      <c r="Y661" s="2"/>
      <c r="Z661" s="2"/>
      <c r="AA661" s="3"/>
      <c r="AB661" s="2"/>
      <c r="AC661" s="2"/>
      <c r="AD661" s="2"/>
      <c r="AE661" s="2"/>
      <c r="AF661" s="3"/>
      <c r="AG661" s="2"/>
      <c r="AH661" s="2"/>
      <c r="AI661" s="2"/>
      <c r="AJ661" s="2"/>
      <c r="AK661" s="3"/>
      <c r="AL661" s="2"/>
      <c r="AM661" s="2"/>
      <c r="AN661" s="2"/>
      <c r="AO661" s="2"/>
      <c r="AP661" s="3"/>
      <c r="AQ661" s="2"/>
      <c r="AR661" s="2"/>
      <c r="AS661" s="2"/>
      <c r="AT661" s="7"/>
      <c r="AU661" s="2"/>
      <c r="AV661" s="2"/>
      <c r="AW661" s="2"/>
      <c r="AX661" s="2"/>
    </row>
    <row r="662">
      <c r="A662" s="2"/>
      <c r="B662" s="2"/>
      <c r="C662" s="2"/>
      <c r="D662" s="2"/>
      <c r="E662" s="2"/>
      <c r="F662" s="2"/>
      <c r="G662" s="2"/>
      <c r="H662" s="2"/>
      <c r="I662" s="2"/>
      <c r="J662" s="2"/>
      <c r="K662" s="2"/>
      <c r="L662" s="3"/>
      <c r="M662" s="4"/>
      <c r="N662" s="4"/>
      <c r="O662" s="5"/>
      <c r="P662" s="6"/>
      <c r="Q662" s="3"/>
      <c r="R662" s="2"/>
      <c r="S662" s="2"/>
      <c r="T662" s="2"/>
      <c r="U662" s="2"/>
      <c r="V662" s="3"/>
      <c r="W662" s="2"/>
      <c r="X662" s="2"/>
      <c r="Y662" s="2"/>
      <c r="Z662" s="2"/>
      <c r="AA662" s="3"/>
      <c r="AB662" s="2"/>
      <c r="AC662" s="2"/>
      <c r="AD662" s="2"/>
      <c r="AE662" s="2"/>
      <c r="AF662" s="3"/>
      <c r="AG662" s="2"/>
      <c r="AH662" s="2"/>
      <c r="AI662" s="2"/>
      <c r="AJ662" s="2"/>
      <c r="AK662" s="3"/>
      <c r="AL662" s="2"/>
      <c r="AM662" s="2"/>
      <c r="AN662" s="2"/>
      <c r="AO662" s="2"/>
      <c r="AP662" s="3"/>
      <c r="AQ662" s="2"/>
      <c r="AR662" s="2"/>
      <c r="AS662" s="2"/>
      <c r="AT662" s="7"/>
      <c r="AU662" s="2"/>
      <c r="AV662" s="2"/>
      <c r="AW662" s="2"/>
      <c r="AX662" s="2"/>
    </row>
    <row r="663">
      <c r="A663" s="2"/>
      <c r="B663" s="2"/>
      <c r="C663" s="2"/>
      <c r="D663" s="2"/>
      <c r="E663" s="2"/>
      <c r="F663" s="2"/>
      <c r="G663" s="2"/>
      <c r="H663" s="2"/>
      <c r="I663" s="2"/>
      <c r="J663" s="2"/>
      <c r="K663" s="2"/>
      <c r="L663" s="3"/>
      <c r="M663" s="4"/>
      <c r="N663" s="4"/>
      <c r="O663" s="5"/>
      <c r="P663" s="6"/>
      <c r="Q663" s="3"/>
      <c r="R663" s="2"/>
      <c r="S663" s="2"/>
      <c r="T663" s="2"/>
      <c r="U663" s="2"/>
      <c r="V663" s="3"/>
      <c r="W663" s="2"/>
      <c r="X663" s="2"/>
      <c r="Y663" s="2"/>
      <c r="Z663" s="2"/>
      <c r="AA663" s="3"/>
      <c r="AB663" s="2"/>
      <c r="AC663" s="2"/>
      <c r="AD663" s="2"/>
      <c r="AE663" s="2"/>
      <c r="AF663" s="3"/>
      <c r="AG663" s="2"/>
      <c r="AH663" s="2"/>
      <c r="AI663" s="2"/>
      <c r="AJ663" s="2"/>
      <c r="AK663" s="3"/>
      <c r="AL663" s="2"/>
      <c r="AM663" s="2"/>
      <c r="AN663" s="2"/>
      <c r="AO663" s="2"/>
      <c r="AP663" s="3"/>
      <c r="AQ663" s="2"/>
      <c r="AR663" s="2"/>
      <c r="AS663" s="2"/>
      <c r="AT663" s="7"/>
      <c r="AU663" s="2"/>
      <c r="AV663" s="2"/>
      <c r="AW663" s="2"/>
      <c r="AX663" s="2"/>
    </row>
    <row r="664">
      <c r="A664" s="2"/>
      <c r="B664" s="2"/>
      <c r="C664" s="2"/>
      <c r="D664" s="2"/>
      <c r="E664" s="2"/>
      <c r="F664" s="2"/>
      <c r="G664" s="2"/>
      <c r="H664" s="2"/>
      <c r="I664" s="2"/>
      <c r="J664" s="2"/>
      <c r="K664" s="2"/>
      <c r="L664" s="3"/>
      <c r="M664" s="4"/>
      <c r="N664" s="4"/>
      <c r="O664" s="5"/>
      <c r="P664" s="6"/>
      <c r="Q664" s="3"/>
      <c r="R664" s="2"/>
      <c r="S664" s="2"/>
      <c r="T664" s="2"/>
      <c r="U664" s="2"/>
      <c r="V664" s="3"/>
      <c r="W664" s="2"/>
      <c r="X664" s="2"/>
      <c r="Y664" s="2"/>
      <c r="Z664" s="2"/>
      <c r="AA664" s="3"/>
      <c r="AB664" s="2"/>
      <c r="AC664" s="2"/>
      <c r="AD664" s="2"/>
      <c r="AE664" s="2"/>
      <c r="AF664" s="3"/>
      <c r="AG664" s="2"/>
      <c r="AH664" s="2"/>
      <c r="AI664" s="2"/>
      <c r="AJ664" s="2"/>
      <c r="AK664" s="3"/>
      <c r="AL664" s="2"/>
      <c r="AM664" s="2"/>
      <c r="AN664" s="2"/>
      <c r="AO664" s="2"/>
      <c r="AP664" s="3"/>
      <c r="AQ664" s="2"/>
      <c r="AR664" s="2"/>
      <c r="AS664" s="2"/>
      <c r="AT664" s="7"/>
      <c r="AU664" s="2"/>
      <c r="AV664" s="2"/>
      <c r="AW664" s="2"/>
      <c r="AX664" s="2"/>
    </row>
    <row r="665">
      <c r="A665" s="2"/>
      <c r="B665" s="2"/>
      <c r="C665" s="2"/>
      <c r="D665" s="2"/>
      <c r="E665" s="2"/>
      <c r="F665" s="2"/>
      <c r="G665" s="2"/>
      <c r="H665" s="2"/>
      <c r="I665" s="2"/>
      <c r="J665" s="2"/>
      <c r="K665" s="2"/>
      <c r="L665" s="3"/>
      <c r="M665" s="4"/>
      <c r="N665" s="4"/>
      <c r="O665" s="5"/>
      <c r="P665" s="6"/>
      <c r="Q665" s="3"/>
      <c r="R665" s="2"/>
      <c r="S665" s="2"/>
      <c r="T665" s="2"/>
      <c r="U665" s="2"/>
      <c r="V665" s="3"/>
      <c r="W665" s="2"/>
      <c r="X665" s="2"/>
      <c r="Y665" s="2"/>
      <c r="Z665" s="2"/>
      <c r="AA665" s="3"/>
      <c r="AB665" s="2"/>
      <c r="AC665" s="2"/>
      <c r="AD665" s="2"/>
      <c r="AE665" s="2"/>
      <c r="AF665" s="3"/>
      <c r="AG665" s="2"/>
      <c r="AH665" s="2"/>
      <c r="AI665" s="2"/>
      <c r="AJ665" s="2"/>
      <c r="AK665" s="3"/>
      <c r="AL665" s="2"/>
      <c r="AM665" s="2"/>
      <c r="AN665" s="2"/>
      <c r="AO665" s="2"/>
      <c r="AP665" s="3"/>
      <c r="AQ665" s="2"/>
      <c r="AR665" s="2"/>
      <c r="AS665" s="2"/>
      <c r="AT665" s="7"/>
      <c r="AU665" s="2"/>
      <c r="AV665" s="2"/>
      <c r="AW665" s="2"/>
      <c r="AX665" s="2"/>
    </row>
    <row r="666">
      <c r="A666" s="2"/>
      <c r="B666" s="2"/>
      <c r="C666" s="2"/>
      <c r="D666" s="2"/>
      <c r="E666" s="2"/>
      <c r="F666" s="2"/>
      <c r="G666" s="2"/>
      <c r="H666" s="2"/>
      <c r="I666" s="2"/>
      <c r="J666" s="2"/>
      <c r="K666" s="2"/>
      <c r="L666" s="3"/>
      <c r="M666" s="4"/>
      <c r="N666" s="4"/>
      <c r="O666" s="5"/>
      <c r="P666" s="6"/>
      <c r="Q666" s="3"/>
      <c r="R666" s="2"/>
      <c r="S666" s="2"/>
      <c r="T666" s="2"/>
      <c r="U666" s="2"/>
      <c r="V666" s="3"/>
      <c r="W666" s="2"/>
      <c r="X666" s="2"/>
      <c r="Y666" s="2"/>
      <c r="Z666" s="2"/>
      <c r="AA666" s="3"/>
      <c r="AB666" s="2"/>
      <c r="AC666" s="2"/>
      <c r="AD666" s="2"/>
      <c r="AE666" s="2"/>
      <c r="AF666" s="3"/>
      <c r="AG666" s="2"/>
      <c r="AH666" s="2"/>
      <c r="AI666" s="2"/>
      <c r="AJ666" s="2"/>
      <c r="AK666" s="3"/>
      <c r="AL666" s="2"/>
      <c r="AM666" s="2"/>
      <c r="AN666" s="2"/>
      <c r="AO666" s="2"/>
      <c r="AP666" s="3"/>
      <c r="AQ666" s="2"/>
      <c r="AR666" s="2"/>
      <c r="AS666" s="2"/>
      <c r="AT666" s="7"/>
      <c r="AU666" s="2"/>
      <c r="AV666" s="2"/>
      <c r="AW666" s="2"/>
      <c r="AX666" s="2"/>
    </row>
    <row r="667">
      <c r="A667" s="2"/>
      <c r="B667" s="2"/>
      <c r="C667" s="2"/>
      <c r="D667" s="2"/>
      <c r="E667" s="2"/>
      <c r="F667" s="2"/>
      <c r="G667" s="2"/>
      <c r="H667" s="2"/>
      <c r="I667" s="2"/>
      <c r="J667" s="2"/>
      <c r="K667" s="2"/>
      <c r="L667" s="3"/>
      <c r="M667" s="4"/>
      <c r="N667" s="4"/>
      <c r="O667" s="5"/>
      <c r="P667" s="6"/>
      <c r="Q667" s="3"/>
      <c r="R667" s="2"/>
      <c r="S667" s="2"/>
      <c r="T667" s="2"/>
      <c r="U667" s="2"/>
      <c r="V667" s="3"/>
      <c r="W667" s="2"/>
      <c r="X667" s="2"/>
      <c r="Y667" s="2"/>
      <c r="Z667" s="2"/>
      <c r="AA667" s="3"/>
      <c r="AB667" s="2"/>
      <c r="AC667" s="2"/>
      <c r="AD667" s="2"/>
      <c r="AE667" s="2"/>
      <c r="AF667" s="3"/>
      <c r="AG667" s="2"/>
      <c r="AH667" s="2"/>
      <c r="AI667" s="2"/>
      <c r="AJ667" s="2"/>
      <c r="AK667" s="3"/>
      <c r="AL667" s="2"/>
      <c r="AM667" s="2"/>
      <c r="AN667" s="2"/>
      <c r="AO667" s="2"/>
      <c r="AP667" s="3"/>
      <c r="AQ667" s="2"/>
      <c r="AR667" s="2"/>
      <c r="AS667" s="2"/>
      <c r="AT667" s="7"/>
      <c r="AU667" s="2"/>
      <c r="AV667" s="2"/>
      <c r="AW667" s="2"/>
      <c r="AX667" s="2"/>
    </row>
    <row r="668">
      <c r="A668" s="2"/>
      <c r="B668" s="2"/>
      <c r="C668" s="2"/>
      <c r="D668" s="2"/>
      <c r="E668" s="2"/>
      <c r="F668" s="2"/>
      <c r="G668" s="2"/>
      <c r="H668" s="2"/>
      <c r="I668" s="2"/>
      <c r="J668" s="2"/>
      <c r="K668" s="2"/>
      <c r="L668" s="3"/>
      <c r="M668" s="4"/>
      <c r="N668" s="4"/>
      <c r="O668" s="5"/>
      <c r="P668" s="6"/>
      <c r="Q668" s="3"/>
      <c r="R668" s="2"/>
      <c r="S668" s="2"/>
      <c r="T668" s="2"/>
      <c r="U668" s="2"/>
      <c r="V668" s="3"/>
      <c r="W668" s="2"/>
      <c r="X668" s="2"/>
      <c r="Y668" s="2"/>
      <c r="Z668" s="2"/>
      <c r="AA668" s="3"/>
      <c r="AB668" s="2"/>
      <c r="AC668" s="2"/>
      <c r="AD668" s="2"/>
      <c r="AE668" s="2"/>
      <c r="AF668" s="3"/>
      <c r="AG668" s="2"/>
      <c r="AH668" s="2"/>
      <c r="AI668" s="2"/>
      <c r="AJ668" s="2"/>
      <c r="AK668" s="3"/>
      <c r="AL668" s="2"/>
      <c r="AM668" s="2"/>
      <c r="AN668" s="2"/>
      <c r="AO668" s="2"/>
      <c r="AP668" s="3"/>
      <c r="AQ668" s="2"/>
      <c r="AR668" s="2"/>
      <c r="AS668" s="2"/>
      <c r="AT668" s="7"/>
      <c r="AU668" s="2"/>
      <c r="AV668" s="2"/>
      <c r="AW668" s="2"/>
      <c r="AX668" s="2"/>
    </row>
    <row r="669">
      <c r="A669" s="2"/>
      <c r="B669" s="2"/>
      <c r="C669" s="2"/>
      <c r="D669" s="2"/>
      <c r="E669" s="2"/>
      <c r="F669" s="2"/>
      <c r="G669" s="2"/>
      <c r="H669" s="2"/>
      <c r="I669" s="2"/>
      <c r="J669" s="2"/>
      <c r="K669" s="2"/>
      <c r="L669" s="3"/>
      <c r="M669" s="4"/>
      <c r="N669" s="4"/>
      <c r="O669" s="5"/>
      <c r="P669" s="6"/>
      <c r="Q669" s="3"/>
      <c r="R669" s="2"/>
      <c r="S669" s="2"/>
      <c r="T669" s="2"/>
      <c r="U669" s="2"/>
      <c r="V669" s="3"/>
      <c r="W669" s="2"/>
      <c r="X669" s="2"/>
      <c r="Y669" s="2"/>
      <c r="Z669" s="2"/>
      <c r="AA669" s="3"/>
      <c r="AB669" s="2"/>
      <c r="AC669" s="2"/>
      <c r="AD669" s="2"/>
      <c r="AE669" s="2"/>
      <c r="AF669" s="3"/>
      <c r="AG669" s="2"/>
      <c r="AH669" s="2"/>
      <c r="AI669" s="2"/>
      <c r="AJ669" s="2"/>
      <c r="AK669" s="3"/>
      <c r="AL669" s="2"/>
      <c r="AM669" s="2"/>
      <c r="AN669" s="2"/>
      <c r="AO669" s="2"/>
      <c r="AP669" s="3"/>
      <c r="AQ669" s="2"/>
      <c r="AR669" s="2"/>
      <c r="AS669" s="2"/>
      <c r="AT669" s="7"/>
      <c r="AU669" s="2"/>
      <c r="AV669" s="2"/>
      <c r="AW669" s="2"/>
      <c r="AX669" s="2"/>
    </row>
    <row r="670">
      <c r="A670" s="2"/>
      <c r="B670" s="2"/>
      <c r="C670" s="2"/>
      <c r="D670" s="2"/>
      <c r="E670" s="2"/>
      <c r="F670" s="2"/>
      <c r="G670" s="2"/>
      <c r="H670" s="2"/>
      <c r="I670" s="2"/>
      <c r="J670" s="2"/>
      <c r="K670" s="2"/>
      <c r="L670" s="3"/>
      <c r="M670" s="4"/>
      <c r="N670" s="4"/>
      <c r="O670" s="5"/>
      <c r="P670" s="6"/>
      <c r="Q670" s="3"/>
      <c r="R670" s="2"/>
      <c r="S670" s="2"/>
      <c r="T670" s="2"/>
      <c r="U670" s="2"/>
      <c r="V670" s="3"/>
      <c r="W670" s="2"/>
      <c r="X670" s="2"/>
      <c r="Y670" s="2"/>
      <c r="Z670" s="2"/>
      <c r="AA670" s="3"/>
      <c r="AB670" s="2"/>
      <c r="AC670" s="2"/>
      <c r="AD670" s="2"/>
      <c r="AE670" s="2"/>
      <c r="AF670" s="3"/>
      <c r="AG670" s="2"/>
      <c r="AH670" s="2"/>
      <c r="AI670" s="2"/>
      <c r="AJ670" s="2"/>
      <c r="AK670" s="3"/>
      <c r="AL670" s="2"/>
      <c r="AM670" s="2"/>
      <c r="AN670" s="2"/>
      <c r="AO670" s="2"/>
      <c r="AP670" s="3"/>
      <c r="AQ670" s="2"/>
      <c r="AR670" s="2"/>
      <c r="AS670" s="2"/>
      <c r="AT670" s="7"/>
      <c r="AU670" s="2"/>
      <c r="AV670" s="2"/>
      <c r="AW670" s="2"/>
      <c r="AX670" s="2"/>
    </row>
    <row r="671">
      <c r="A671" s="2"/>
      <c r="B671" s="2"/>
      <c r="C671" s="2"/>
      <c r="D671" s="2"/>
      <c r="E671" s="2"/>
      <c r="F671" s="2"/>
      <c r="G671" s="2"/>
      <c r="H671" s="2"/>
      <c r="I671" s="2"/>
      <c r="J671" s="2"/>
      <c r="K671" s="2"/>
      <c r="L671" s="3"/>
      <c r="M671" s="4"/>
      <c r="N671" s="4"/>
      <c r="O671" s="5"/>
      <c r="P671" s="6"/>
      <c r="Q671" s="3"/>
      <c r="R671" s="2"/>
      <c r="S671" s="2"/>
      <c r="T671" s="2"/>
      <c r="U671" s="2"/>
      <c r="V671" s="3"/>
      <c r="W671" s="2"/>
      <c r="X671" s="2"/>
      <c r="Y671" s="2"/>
      <c r="Z671" s="2"/>
      <c r="AA671" s="3"/>
      <c r="AB671" s="2"/>
      <c r="AC671" s="2"/>
      <c r="AD671" s="2"/>
      <c r="AE671" s="2"/>
      <c r="AF671" s="3"/>
      <c r="AG671" s="2"/>
      <c r="AH671" s="2"/>
      <c r="AI671" s="2"/>
      <c r="AJ671" s="2"/>
      <c r="AK671" s="3"/>
      <c r="AL671" s="2"/>
      <c r="AM671" s="2"/>
      <c r="AN671" s="2"/>
      <c r="AO671" s="2"/>
      <c r="AP671" s="3"/>
      <c r="AQ671" s="2"/>
      <c r="AR671" s="2"/>
      <c r="AS671" s="2"/>
      <c r="AT671" s="7"/>
      <c r="AU671" s="2"/>
      <c r="AV671" s="2"/>
      <c r="AW671" s="2"/>
      <c r="AX671" s="2"/>
    </row>
    <row r="672">
      <c r="A672" s="2"/>
      <c r="B672" s="2"/>
      <c r="C672" s="2"/>
      <c r="D672" s="2"/>
      <c r="E672" s="2"/>
      <c r="F672" s="2"/>
      <c r="G672" s="2"/>
      <c r="H672" s="2"/>
      <c r="I672" s="2"/>
      <c r="J672" s="2"/>
      <c r="K672" s="2"/>
      <c r="L672" s="3"/>
      <c r="M672" s="4"/>
      <c r="N672" s="4"/>
      <c r="O672" s="5"/>
      <c r="P672" s="6"/>
      <c r="Q672" s="3"/>
      <c r="R672" s="2"/>
      <c r="S672" s="2"/>
      <c r="T672" s="2"/>
      <c r="U672" s="2"/>
      <c r="V672" s="3"/>
      <c r="W672" s="2"/>
      <c r="X672" s="2"/>
      <c r="Y672" s="2"/>
      <c r="Z672" s="2"/>
      <c r="AA672" s="3"/>
      <c r="AB672" s="2"/>
      <c r="AC672" s="2"/>
      <c r="AD672" s="2"/>
      <c r="AE672" s="2"/>
      <c r="AF672" s="3"/>
      <c r="AG672" s="2"/>
      <c r="AH672" s="2"/>
      <c r="AI672" s="2"/>
      <c r="AJ672" s="2"/>
      <c r="AK672" s="3"/>
      <c r="AL672" s="2"/>
      <c r="AM672" s="2"/>
      <c r="AN672" s="2"/>
      <c r="AO672" s="2"/>
      <c r="AP672" s="3"/>
      <c r="AQ672" s="2"/>
      <c r="AR672" s="2"/>
      <c r="AS672" s="2"/>
      <c r="AT672" s="7"/>
      <c r="AU672" s="2"/>
      <c r="AV672" s="2"/>
      <c r="AW672" s="2"/>
      <c r="AX672" s="2"/>
    </row>
    <row r="673">
      <c r="A673" s="2"/>
      <c r="B673" s="2"/>
      <c r="C673" s="2"/>
      <c r="D673" s="2"/>
      <c r="E673" s="2"/>
      <c r="F673" s="2"/>
      <c r="G673" s="2"/>
      <c r="H673" s="2"/>
      <c r="I673" s="2"/>
      <c r="J673" s="2"/>
      <c r="K673" s="2"/>
      <c r="L673" s="3"/>
      <c r="M673" s="4"/>
      <c r="N673" s="4"/>
      <c r="O673" s="5"/>
      <c r="P673" s="6"/>
      <c r="Q673" s="3"/>
      <c r="R673" s="2"/>
      <c r="S673" s="2"/>
      <c r="T673" s="2"/>
      <c r="U673" s="2"/>
      <c r="V673" s="3"/>
      <c r="W673" s="2"/>
      <c r="X673" s="2"/>
      <c r="Y673" s="2"/>
      <c r="Z673" s="2"/>
      <c r="AA673" s="3"/>
      <c r="AB673" s="2"/>
      <c r="AC673" s="2"/>
      <c r="AD673" s="2"/>
      <c r="AE673" s="2"/>
      <c r="AF673" s="3"/>
      <c r="AG673" s="2"/>
      <c r="AH673" s="2"/>
      <c r="AI673" s="2"/>
      <c r="AJ673" s="2"/>
      <c r="AK673" s="3"/>
      <c r="AL673" s="2"/>
      <c r="AM673" s="2"/>
      <c r="AN673" s="2"/>
      <c r="AO673" s="2"/>
      <c r="AP673" s="3"/>
      <c r="AQ673" s="2"/>
      <c r="AR673" s="2"/>
      <c r="AS673" s="2"/>
      <c r="AT673" s="7"/>
      <c r="AU673" s="2"/>
      <c r="AV673" s="2"/>
      <c r="AW673" s="2"/>
      <c r="AX673" s="2"/>
    </row>
    <row r="674">
      <c r="A674" s="2"/>
      <c r="B674" s="2"/>
      <c r="C674" s="2"/>
      <c r="D674" s="2"/>
      <c r="E674" s="2"/>
      <c r="F674" s="2"/>
      <c r="G674" s="2"/>
      <c r="H674" s="2"/>
      <c r="I674" s="2"/>
      <c r="J674" s="2"/>
      <c r="K674" s="2"/>
      <c r="L674" s="3"/>
      <c r="M674" s="4"/>
      <c r="N674" s="4"/>
      <c r="O674" s="5"/>
      <c r="P674" s="6"/>
      <c r="Q674" s="3"/>
      <c r="R674" s="2"/>
      <c r="S674" s="2"/>
      <c r="T674" s="2"/>
      <c r="U674" s="2"/>
      <c r="V674" s="3"/>
      <c r="W674" s="2"/>
      <c r="X674" s="2"/>
      <c r="Y674" s="2"/>
      <c r="Z674" s="2"/>
      <c r="AA674" s="3"/>
      <c r="AB674" s="2"/>
      <c r="AC674" s="2"/>
      <c r="AD674" s="2"/>
      <c r="AE674" s="2"/>
      <c r="AF674" s="3"/>
      <c r="AG674" s="2"/>
      <c r="AH674" s="2"/>
      <c r="AI674" s="2"/>
      <c r="AJ674" s="2"/>
      <c r="AK674" s="3"/>
      <c r="AL674" s="2"/>
      <c r="AM674" s="2"/>
      <c r="AN674" s="2"/>
      <c r="AO674" s="2"/>
      <c r="AP674" s="3"/>
      <c r="AQ674" s="2"/>
      <c r="AR674" s="2"/>
      <c r="AS674" s="2"/>
      <c r="AT674" s="7"/>
      <c r="AU674" s="2"/>
      <c r="AV674" s="2"/>
      <c r="AW674" s="2"/>
      <c r="AX674" s="2"/>
    </row>
    <row r="675">
      <c r="A675" s="2"/>
      <c r="B675" s="2"/>
      <c r="C675" s="2"/>
      <c r="D675" s="2"/>
      <c r="E675" s="2"/>
      <c r="F675" s="2"/>
      <c r="G675" s="2"/>
      <c r="H675" s="2"/>
      <c r="I675" s="2"/>
      <c r="J675" s="2"/>
      <c r="K675" s="2"/>
      <c r="L675" s="3"/>
      <c r="M675" s="4"/>
      <c r="N675" s="4"/>
      <c r="O675" s="5"/>
      <c r="P675" s="6"/>
      <c r="Q675" s="3"/>
      <c r="R675" s="2"/>
      <c r="S675" s="2"/>
      <c r="T675" s="2"/>
      <c r="U675" s="2"/>
      <c r="V675" s="3"/>
      <c r="W675" s="2"/>
      <c r="X675" s="2"/>
      <c r="Y675" s="2"/>
      <c r="Z675" s="2"/>
      <c r="AA675" s="3"/>
      <c r="AB675" s="2"/>
      <c r="AC675" s="2"/>
      <c r="AD675" s="2"/>
      <c r="AE675" s="2"/>
      <c r="AF675" s="3"/>
      <c r="AG675" s="2"/>
      <c r="AH675" s="2"/>
      <c r="AI675" s="2"/>
      <c r="AJ675" s="2"/>
      <c r="AK675" s="3"/>
      <c r="AL675" s="2"/>
      <c r="AM675" s="2"/>
      <c r="AN675" s="2"/>
      <c r="AO675" s="2"/>
      <c r="AP675" s="3"/>
      <c r="AQ675" s="2"/>
      <c r="AR675" s="2"/>
      <c r="AS675" s="2"/>
      <c r="AT675" s="7"/>
      <c r="AU675" s="2"/>
      <c r="AV675" s="2"/>
      <c r="AW675" s="2"/>
      <c r="AX675" s="2"/>
    </row>
    <row r="676">
      <c r="A676" s="2"/>
      <c r="B676" s="2"/>
      <c r="C676" s="2"/>
      <c r="D676" s="2"/>
      <c r="E676" s="2"/>
      <c r="F676" s="2"/>
      <c r="G676" s="2"/>
      <c r="H676" s="2"/>
      <c r="I676" s="2"/>
      <c r="J676" s="2"/>
      <c r="K676" s="2"/>
      <c r="L676" s="3"/>
      <c r="M676" s="4"/>
      <c r="N676" s="4"/>
      <c r="O676" s="5"/>
      <c r="P676" s="6"/>
      <c r="Q676" s="3"/>
      <c r="R676" s="2"/>
      <c r="S676" s="2"/>
      <c r="T676" s="2"/>
      <c r="U676" s="2"/>
      <c r="V676" s="3"/>
      <c r="W676" s="2"/>
      <c r="X676" s="2"/>
      <c r="Y676" s="2"/>
      <c r="Z676" s="2"/>
      <c r="AA676" s="3"/>
      <c r="AB676" s="2"/>
      <c r="AC676" s="2"/>
      <c r="AD676" s="2"/>
      <c r="AE676" s="2"/>
      <c r="AF676" s="3"/>
      <c r="AG676" s="2"/>
      <c r="AH676" s="2"/>
      <c r="AI676" s="2"/>
      <c r="AJ676" s="2"/>
      <c r="AK676" s="3"/>
      <c r="AL676" s="2"/>
      <c r="AM676" s="2"/>
      <c r="AN676" s="2"/>
      <c r="AO676" s="2"/>
      <c r="AP676" s="3"/>
      <c r="AQ676" s="2"/>
      <c r="AR676" s="2"/>
      <c r="AS676" s="2"/>
      <c r="AT676" s="7"/>
      <c r="AU676" s="2"/>
      <c r="AV676" s="2"/>
      <c r="AW676" s="2"/>
      <c r="AX676" s="2"/>
    </row>
    <row r="677">
      <c r="A677" s="2"/>
      <c r="B677" s="2"/>
      <c r="C677" s="2"/>
      <c r="D677" s="2"/>
      <c r="E677" s="2"/>
      <c r="F677" s="2"/>
      <c r="G677" s="2"/>
      <c r="H677" s="2"/>
      <c r="I677" s="2"/>
      <c r="J677" s="2"/>
      <c r="K677" s="2"/>
      <c r="L677" s="3"/>
      <c r="M677" s="4"/>
      <c r="N677" s="4"/>
      <c r="O677" s="5"/>
      <c r="P677" s="6"/>
      <c r="Q677" s="3"/>
      <c r="R677" s="2"/>
      <c r="S677" s="2"/>
      <c r="T677" s="2"/>
      <c r="U677" s="2"/>
      <c r="V677" s="3"/>
      <c r="W677" s="2"/>
      <c r="X677" s="2"/>
      <c r="Y677" s="2"/>
      <c r="Z677" s="2"/>
      <c r="AA677" s="3"/>
      <c r="AB677" s="2"/>
      <c r="AC677" s="2"/>
      <c r="AD677" s="2"/>
      <c r="AE677" s="2"/>
      <c r="AF677" s="3"/>
      <c r="AG677" s="2"/>
      <c r="AH677" s="2"/>
      <c r="AI677" s="2"/>
      <c r="AJ677" s="2"/>
      <c r="AK677" s="3"/>
      <c r="AL677" s="2"/>
      <c r="AM677" s="2"/>
      <c r="AN677" s="2"/>
      <c r="AO677" s="2"/>
      <c r="AP677" s="3"/>
      <c r="AQ677" s="2"/>
      <c r="AR677" s="2"/>
      <c r="AS677" s="2"/>
      <c r="AT677" s="7"/>
      <c r="AU677" s="2"/>
      <c r="AV677" s="2"/>
      <c r="AW677" s="2"/>
      <c r="AX677" s="2"/>
    </row>
    <row r="678">
      <c r="A678" s="2"/>
      <c r="B678" s="2"/>
      <c r="C678" s="2"/>
      <c r="D678" s="2"/>
      <c r="E678" s="2"/>
      <c r="F678" s="2"/>
      <c r="G678" s="2"/>
      <c r="H678" s="2"/>
      <c r="I678" s="2"/>
      <c r="J678" s="2"/>
      <c r="K678" s="2"/>
      <c r="L678" s="3"/>
      <c r="M678" s="4"/>
      <c r="N678" s="4"/>
      <c r="O678" s="5"/>
      <c r="P678" s="6"/>
      <c r="Q678" s="3"/>
      <c r="R678" s="2"/>
      <c r="S678" s="2"/>
      <c r="T678" s="2"/>
      <c r="U678" s="2"/>
      <c r="V678" s="3"/>
      <c r="W678" s="2"/>
      <c r="X678" s="2"/>
      <c r="Y678" s="2"/>
      <c r="Z678" s="2"/>
      <c r="AA678" s="3"/>
      <c r="AB678" s="2"/>
      <c r="AC678" s="2"/>
      <c r="AD678" s="2"/>
      <c r="AE678" s="2"/>
      <c r="AF678" s="3"/>
      <c r="AG678" s="2"/>
      <c r="AH678" s="2"/>
      <c r="AI678" s="2"/>
      <c r="AJ678" s="2"/>
      <c r="AK678" s="3"/>
      <c r="AL678" s="2"/>
      <c r="AM678" s="2"/>
      <c r="AN678" s="2"/>
      <c r="AO678" s="2"/>
      <c r="AP678" s="3"/>
      <c r="AQ678" s="2"/>
      <c r="AR678" s="2"/>
      <c r="AS678" s="2"/>
      <c r="AT678" s="7"/>
      <c r="AU678" s="2"/>
      <c r="AV678" s="2"/>
      <c r="AW678" s="2"/>
      <c r="AX678" s="2"/>
    </row>
    <row r="679">
      <c r="A679" s="2"/>
      <c r="B679" s="2"/>
      <c r="C679" s="2"/>
      <c r="D679" s="2"/>
      <c r="E679" s="2"/>
      <c r="F679" s="2"/>
      <c r="G679" s="2"/>
      <c r="H679" s="2"/>
      <c r="I679" s="2"/>
      <c r="J679" s="2"/>
      <c r="K679" s="2"/>
      <c r="L679" s="3"/>
      <c r="M679" s="4"/>
      <c r="N679" s="4"/>
      <c r="O679" s="5"/>
      <c r="P679" s="6"/>
      <c r="Q679" s="3"/>
      <c r="R679" s="2"/>
      <c r="S679" s="2"/>
      <c r="T679" s="2"/>
      <c r="U679" s="2"/>
      <c r="V679" s="3"/>
      <c r="W679" s="2"/>
      <c r="X679" s="2"/>
      <c r="Y679" s="2"/>
      <c r="Z679" s="2"/>
      <c r="AA679" s="3"/>
      <c r="AB679" s="2"/>
      <c r="AC679" s="2"/>
      <c r="AD679" s="2"/>
      <c r="AE679" s="2"/>
      <c r="AF679" s="3"/>
      <c r="AG679" s="2"/>
      <c r="AH679" s="2"/>
      <c r="AI679" s="2"/>
      <c r="AJ679" s="2"/>
      <c r="AK679" s="3"/>
      <c r="AL679" s="2"/>
      <c r="AM679" s="2"/>
      <c r="AN679" s="2"/>
      <c r="AO679" s="2"/>
      <c r="AP679" s="3"/>
      <c r="AQ679" s="2"/>
      <c r="AR679" s="2"/>
      <c r="AS679" s="2"/>
      <c r="AT679" s="7"/>
      <c r="AU679" s="2"/>
      <c r="AV679" s="2"/>
      <c r="AW679" s="2"/>
      <c r="AX679" s="2"/>
    </row>
    <row r="680">
      <c r="A680" s="2"/>
      <c r="B680" s="2"/>
      <c r="C680" s="2"/>
      <c r="D680" s="2"/>
      <c r="E680" s="2"/>
      <c r="F680" s="2"/>
      <c r="G680" s="2"/>
      <c r="H680" s="2"/>
      <c r="I680" s="2"/>
      <c r="J680" s="2"/>
      <c r="K680" s="2"/>
      <c r="L680" s="3"/>
      <c r="M680" s="4"/>
      <c r="N680" s="4"/>
      <c r="O680" s="5"/>
      <c r="P680" s="6"/>
      <c r="Q680" s="3"/>
      <c r="R680" s="2"/>
      <c r="S680" s="2"/>
      <c r="T680" s="2"/>
      <c r="U680" s="2"/>
      <c r="V680" s="3"/>
      <c r="W680" s="2"/>
      <c r="X680" s="2"/>
      <c r="Y680" s="2"/>
      <c r="Z680" s="2"/>
      <c r="AA680" s="3"/>
      <c r="AB680" s="2"/>
      <c r="AC680" s="2"/>
      <c r="AD680" s="2"/>
      <c r="AE680" s="2"/>
      <c r="AF680" s="3"/>
      <c r="AG680" s="2"/>
      <c r="AH680" s="2"/>
      <c r="AI680" s="2"/>
      <c r="AJ680" s="2"/>
      <c r="AK680" s="3"/>
      <c r="AL680" s="2"/>
      <c r="AM680" s="2"/>
      <c r="AN680" s="2"/>
      <c r="AO680" s="2"/>
      <c r="AP680" s="3"/>
      <c r="AQ680" s="2"/>
      <c r="AR680" s="2"/>
      <c r="AS680" s="2"/>
      <c r="AT680" s="7"/>
      <c r="AU680" s="2"/>
      <c r="AV680" s="2"/>
      <c r="AW680" s="2"/>
      <c r="AX680" s="2"/>
    </row>
    <row r="681">
      <c r="A681" s="2"/>
      <c r="B681" s="2"/>
      <c r="C681" s="2"/>
      <c r="D681" s="2"/>
      <c r="E681" s="2"/>
      <c r="F681" s="2"/>
      <c r="G681" s="2"/>
      <c r="H681" s="2"/>
      <c r="I681" s="2"/>
      <c r="J681" s="2"/>
      <c r="K681" s="2"/>
      <c r="L681" s="3"/>
      <c r="M681" s="4"/>
      <c r="N681" s="4"/>
      <c r="O681" s="5"/>
      <c r="P681" s="6"/>
      <c r="Q681" s="3"/>
      <c r="R681" s="2"/>
      <c r="S681" s="2"/>
      <c r="T681" s="2"/>
      <c r="U681" s="2"/>
      <c r="V681" s="3"/>
      <c r="W681" s="2"/>
      <c r="X681" s="2"/>
      <c r="Y681" s="2"/>
      <c r="Z681" s="2"/>
      <c r="AA681" s="3"/>
      <c r="AB681" s="2"/>
      <c r="AC681" s="2"/>
      <c r="AD681" s="2"/>
      <c r="AE681" s="2"/>
      <c r="AF681" s="3"/>
      <c r="AG681" s="2"/>
      <c r="AH681" s="2"/>
      <c r="AI681" s="2"/>
      <c r="AJ681" s="2"/>
      <c r="AK681" s="3"/>
      <c r="AL681" s="2"/>
      <c r="AM681" s="2"/>
      <c r="AN681" s="2"/>
      <c r="AO681" s="2"/>
      <c r="AP681" s="3"/>
      <c r="AQ681" s="2"/>
      <c r="AR681" s="2"/>
      <c r="AS681" s="2"/>
      <c r="AT681" s="7"/>
      <c r="AU681" s="2"/>
      <c r="AV681" s="2"/>
      <c r="AW681" s="2"/>
      <c r="AX681" s="2"/>
    </row>
    <row r="682">
      <c r="A682" s="2"/>
      <c r="B682" s="2"/>
      <c r="C682" s="2"/>
      <c r="D682" s="2"/>
      <c r="E682" s="2"/>
      <c r="F682" s="2"/>
      <c r="G682" s="2"/>
      <c r="H682" s="2"/>
      <c r="I682" s="2"/>
      <c r="J682" s="2"/>
      <c r="K682" s="2"/>
      <c r="L682" s="3"/>
      <c r="M682" s="4"/>
      <c r="N682" s="4"/>
      <c r="O682" s="5"/>
      <c r="P682" s="6"/>
      <c r="Q682" s="3"/>
      <c r="R682" s="2"/>
      <c r="S682" s="2"/>
      <c r="T682" s="2"/>
      <c r="U682" s="2"/>
      <c r="V682" s="3"/>
      <c r="W682" s="2"/>
      <c r="X682" s="2"/>
      <c r="Y682" s="2"/>
      <c r="Z682" s="2"/>
      <c r="AA682" s="3"/>
      <c r="AB682" s="2"/>
      <c r="AC682" s="2"/>
      <c r="AD682" s="2"/>
      <c r="AE682" s="2"/>
      <c r="AF682" s="3"/>
      <c r="AG682" s="2"/>
      <c r="AH682" s="2"/>
      <c r="AI682" s="2"/>
      <c r="AJ682" s="2"/>
      <c r="AK682" s="3"/>
      <c r="AL682" s="2"/>
      <c r="AM682" s="2"/>
      <c r="AN682" s="2"/>
      <c r="AO682" s="2"/>
      <c r="AP682" s="3"/>
      <c r="AQ682" s="2"/>
      <c r="AR682" s="2"/>
      <c r="AS682" s="2"/>
      <c r="AT682" s="7"/>
      <c r="AU682" s="2"/>
      <c r="AV682" s="2"/>
      <c r="AW682" s="2"/>
      <c r="AX682" s="2"/>
    </row>
    <row r="683">
      <c r="A683" s="2"/>
      <c r="B683" s="2"/>
      <c r="C683" s="2"/>
      <c r="D683" s="2"/>
      <c r="E683" s="2"/>
      <c r="F683" s="2"/>
      <c r="G683" s="2"/>
      <c r="H683" s="2"/>
      <c r="I683" s="2"/>
      <c r="J683" s="2"/>
      <c r="K683" s="2"/>
      <c r="L683" s="3"/>
      <c r="M683" s="4"/>
      <c r="N683" s="4"/>
      <c r="O683" s="5"/>
      <c r="P683" s="6"/>
      <c r="Q683" s="3"/>
      <c r="R683" s="2"/>
      <c r="S683" s="2"/>
      <c r="T683" s="2"/>
      <c r="U683" s="2"/>
      <c r="V683" s="3"/>
      <c r="W683" s="2"/>
      <c r="X683" s="2"/>
      <c r="Y683" s="2"/>
      <c r="Z683" s="2"/>
      <c r="AA683" s="3"/>
      <c r="AB683" s="2"/>
      <c r="AC683" s="2"/>
      <c r="AD683" s="2"/>
      <c r="AE683" s="2"/>
      <c r="AF683" s="3"/>
      <c r="AG683" s="2"/>
      <c r="AH683" s="2"/>
      <c r="AI683" s="2"/>
      <c r="AJ683" s="2"/>
      <c r="AK683" s="3"/>
      <c r="AL683" s="2"/>
      <c r="AM683" s="2"/>
      <c r="AN683" s="2"/>
      <c r="AO683" s="2"/>
      <c r="AP683" s="3"/>
      <c r="AQ683" s="2"/>
      <c r="AR683" s="2"/>
      <c r="AS683" s="2"/>
      <c r="AT683" s="7"/>
      <c r="AU683" s="2"/>
      <c r="AV683" s="2"/>
      <c r="AW683" s="2"/>
      <c r="AX683" s="2"/>
    </row>
    <row r="684">
      <c r="A684" s="2"/>
      <c r="B684" s="2"/>
      <c r="C684" s="2"/>
      <c r="D684" s="2"/>
      <c r="E684" s="2"/>
      <c r="F684" s="2"/>
      <c r="G684" s="2"/>
      <c r="H684" s="2"/>
      <c r="I684" s="2"/>
      <c r="J684" s="2"/>
      <c r="K684" s="2"/>
      <c r="L684" s="3"/>
      <c r="M684" s="4"/>
      <c r="N684" s="4"/>
      <c r="O684" s="5"/>
      <c r="P684" s="6"/>
      <c r="Q684" s="3"/>
      <c r="R684" s="2"/>
      <c r="S684" s="2"/>
      <c r="T684" s="2"/>
      <c r="U684" s="2"/>
      <c r="V684" s="3"/>
      <c r="W684" s="2"/>
      <c r="X684" s="2"/>
      <c r="Y684" s="2"/>
      <c r="Z684" s="2"/>
      <c r="AA684" s="3"/>
      <c r="AB684" s="2"/>
      <c r="AC684" s="2"/>
      <c r="AD684" s="2"/>
      <c r="AE684" s="2"/>
      <c r="AF684" s="3"/>
      <c r="AG684" s="2"/>
      <c r="AH684" s="2"/>
      <c r="AI684" s="2"/>
      <c r="AJ684" s="2"/>
      <c r="AK684" s="3"/>
      <c r="AL684" s="2"/>
      <c r="AM684" s="2"/>
      <c r="AN684" s="2"/>
      <c r="AO684" s="2"/>
      <c r="AP684" s="3"/>
      <c r="AQ684" s="2"/>
      <c r="AR684" s="2"/>
      <c r="AS684" s="2"/>
      <c r="AT684" s="7"/>
      <c r="AU684" s="2"/>
      <c r="AV684" s="2"/>
      <c r="AW684" s="2"/>
      <c r="AX684" s="2"/>
    </row>
    <row r="685">
      <c r="A685" s="2"/>
      <c r="B685" s="2"/>
      <c r="C685" s="2"/>
      <c r="D685" s="2"/>
      <c r="E685" s="2"/>
      <c r="F685" s="2"/>
      <c r="G685" s="2"/>
      <c r="H685" s="2"/>
      <c r="I685" s="2"/>
      <c r="J685" s="2"/>
      <c r="K685" s="2"/>
      <c r="L685" s="3"/>
      <c r="M685" s="4"/>
      <c r="N685" s="4"/>
      <c r="O685" s="5"/>
      <c r="P685" s="6"/>
      <c r="Q685" s="3"/>
      <c r="R685" s="2"/>
      <c r="S685" s="2"/>
      <c r="T685" s="2"/>
      <c r="U685" s="2"/>
      <c r="V685" s="3"/>
      <c r="W685" s="2"/>
      <c r="X685" s="2"/>
      <c r="Y685" s="2"/>
      <c r="Z685" s="2"/>
      <c r="AA685" s="3"/>
      <c r="AB685" s="2"/>
      <c r="AC685" s="2"/>
      <c r="AD685" s="2"/>
      <c r="AE685" s="2"/>
      <c r="AF685" s="3"/>
      <c r="AG685" s="2"/>
      <c r="AH685" s="2"/>
      <c r="AI685" s="2"/>
      <c r="AJ685" s="2"/>
      <c r="AK685" s="3"/>
      <c r="AL685" s="2"/>
      <c r="AM685" s="2"/>
      <c r="AN685" s="2"/>
      <c r="AO685" s="2"/>
      <c r="AP685" s="3"/>
      <c r="AQ685" s="2"/>
      <c r="AR685" s="2"/>
      <c r="AS685" s="2"/>
      <c r="AT685" s="7"/>
      <c r="AU685" s="2"/>
      <c r="AV685" s="2"/>
      <c r="AW685" s="2"/>
      <c r="AX685" s="2"/>
    </row>
    <row r="686">
      <c r="A686" s="2"/>
      <c r="B686" s="2"/>
      <c r="C686" s="2"/>
      <c r="D686" s="2"/>
      <c r="E686" s="2"/>
      <c r="F686" s="2"/>
      <c r="G686" s="2"/>
      <c r="H686" s="2"/>
      <c r="I686" s="2"/>
      <c r="J686" s="2"/>
      <c r="K686" s="2"/>
      <c r="L686" s="3"/>
      <c r="M686" s="4"/>
      <c r="N686" s="4"/>
      <c r="O686" s="5"/>
      <c r="P686" s="6"/>
      <c r="Q686" s="3"/>
      <c r="R686" s="2"/>
      <c r="S686" s="2"/>
      <c r="T686" s="2"/>
      <c r="U686" s="2"/>
      <c r="V686" s="3"/>
      <c r="W686" s="2"/>
      <c r="X686" s="2"/>
      <c r="Y686" s="2"/>
      <c r="Z686" s="2"/>
      <c r="AA686" s="3"/>
      <c r="AB686" s="2"/>
      <c r="AC686" s="2"/>
      <c r="AD686" s="2"/>
      <c r="AE686" s="2"/>
      <c r="AF686" s="3"/>
      <c r="AG686" s="2"/>
      <c r="AH686" s="2"/>
      <c r="AI686" s="2"/>
      <c r="AJ686" s="2"/>
      <c r="AK686" s="3"/>
      <c r="AL686" s="2"/>
      <c r="AM686" s="2"/>
      <c r="AN686" s="2"/>
      <c r="AO686" s="2"/>
      <c r="AP686" s="3"/>
      <c r="AQ686" s="2"/>
      <c r="AR686" s="2"/>
      <c r="AS686" s="2"/>
      <c r="AT686" s="7"/>
      <c r="AU686" s="2"/>
      <c r="AV686" s="2"/>
      <c r="AW686" s="2"/>
      <c r="AX686" s="2"/>
    </row>
    <row r="687">
      <c r="A687" s="2"/>
      <c r="B687" s="2"/>
      <c r="C687" s="2"/>
      <c r="D687" s="2"/>
      <c r="E687" s="2"/>
      <c r="F687" s="2"/>
      <c r="G687" s="2"/>
      <c r="H687" s="2"/>
      <c r="I687" s="2"/>
      <c r="J687" s="2"/>
      <c r="K687" s="2"/>
      <c r="L687" s="3"/>
      <c r="M687" s="4"/>
      <c r="N687" s="4"/>
      <c r="O687" s="5"/>
      <c r="P687" s="6"/>
      <c r="Q687" s="3"/>
      <c r="R687" s="2"/>
      <c r="S687" s="2"/>
      <c r="T687" s="2"/>
      <c r="U687" s="2"/>
      <c r="V687" s="3"/>
      <c r="W687" s="2"/>
      <c r="X687" s="2"/>
      <c r="Y687" s="2"/>
      <c r="Z687" s="2"/>
      <c r="AA687" s="3"/>
      <c r="AB687" s="2"/>
      <c r="AC687" s="2"/>
      <c r="AD687" s="2"/>
      <c r="AE687" s="2"/>
      <c r="AF687" s="3"/>
      <c r="AG687" s="2"/>
      <c r="AH687" s="2"/>
      <c r="AI687" s="2"/>
      <c r="AJ687" s="2"/>
      <c r="AK687" s="3"/>
      <c r="AL687" s="2"/>
      <c r="AM687" s="2"/>
      <c r="AN687" s="2"/>
      <c r="AO687" s="2"/>
      <c r="AP687" s="3"/>
      <c r="AQ687" s="2"/>
      <c r="AR687" s="2"/>
      <c r="AS687" s="2"/>
      <c r="AT687" s="7"/>
      <c r="AU687" s="2"/>
      <c r="AV687" s="2"/>
      <c r="AW687" s="2"/>
      <c r="AX687" s="2"/>
    </row>
    <row r="688">
      <c r="A688" s="2"/>
      <c r="B688" s="2"/>
      <c r="C688" s="2"/>
      <c r="D688" s="2"/>
      <c r="E688" s="2"/>
      <c r="F688" s="2"/>
      <c r="G688" s="2"/>
      <c r="H688" s="2"/>
      <c r="I688" s="2"/>
      <c r="J688" s="2"/>
      <c r="K688" s="2"/>
      <c r="L688" s="3"/>
      <c r="M688" s="4"/>
      <c r="N688" s="4"/>
      <c r="O688" s="5"/>
      <c r="P688" s="6"/>
      <c r="Q688" s="3"/>
      <c r="R688" s="2"/>
      <c r="S688" s="2"/>
      <c r="T688" s="2"/>
      <c r="U688" s="2"/>
      <c r="V688" s="3"/>
      <c r="W688" s="2"/>
      <c r="X688" s="2"/>
      <c r="Y688" s="2"/>
      <c r="Z688" s="2"/>
      <c r="AA688" s="3"/>
      <c r="AB688" s="2"/>
      <c r="AC688" s="2"/>
      <c r="AD688" s="2"/>
      <c r="AE688" s="2"/>
      <c r="AF688" s="3"/>
      <c r="AG688" s="2"/>
      <c r="AH688" s="2"/>
      <c r="AI688" s="2"/>
      <c r="AJ688" s="2"/>
      <c r="AK688" s="3"/>
      <c r="AL688" s="2"/>
      <c r="AM688" s="2"/>
      <c r="AN688" s="2"/>
      <c r="AO688" s="2"/>
      <c r="AP688" s="3"/>
      <c r="AQ688" s="2"/>
      <c r="AR688" s="2"/>
      <c r="AS688" s="2"/>
      <c r="AT688" s="7"/>
      <c r="AU688" s="2"/>
      <c r="AV688" s="2"/>
      <c r="AW688" s="2"/>
      <c r="AX688" s="2"/>
    </row>
    <row r="689">
      <c r="A689" s="2"/>
      <c r="B689" s="2"/>
      <c r="C689" s="2"/>
      <c r="D689" s="2"/>
      <c r="E689" s="2"/>
      <c r="F689" s="2"/>
      <c r="G689" s="2"/>
      <c r="H689" s="2"/>
      <c r="I689" s="2"/>
      <c r="J689" s="2"/>
      <c r="K689" s="2"/>
      <c r="L689" s="3"/>
      <c r="M689" s="4"/>
      <c r="N689" s="4"/>
      <c r="O689" s="5"/>
      <c r="P689" s="6"/>
      <c r="Q689" s="3"/>
      <c r="R689" s="2"/>
      <c r="S689" s="2"/>
      <c r="T689" s="2"/>
      <c r="U689" s="2"/>
      <c r="V689" s="3"/>
      <c r="W689" s="2"/>
      <c r="X689" s="2"/>
      <c r="Y689" s="2"/>
      <c r="Z689" s="2"/>
      <c r="AA689" s="3"/>
      <c r="AB689" s="2"/>
      <c r="AC689" s="2"/>
      <c r="AD689" s="2"/>
      <c r="AE689" s="2"/>
      <c r="AF689" s="3"/>
      <c r="AG689" s="2"/>
      <c r="AH689" s="2"/>
      <c r="AI689" s="2"/>
      <c r="AJ689" s="2"/>
      <c r="AK689" s="3"/>
      <c r="AL689" s="2"/>
      <c r="AM689" s="2"/>
      <c r="AN689" s="2"/>
      <c r="AO689" s="2"/>
      <c r="AP689" s="3"/>
      <c r="AQ689" s="2"/>
      <c r="AR689" s="2"/>
      <c r="AS689" s="2"/>
      <c r="AT689" s="7"/>
      <c r="AU689" s="2"/>
      <c r="AV689" s="2"/>
      <c r="AW689" s="2"/>
      <c r="AX689" s="2"/>
    </row>
    <row r="690">
      <c r="A690" s="2"/>
      <c r="B690" s="2"/>
      <c r="C690" s="2"/>
      <c r="D690" s="2"/>
      <c r="E690" s="2"/>
      <c r="F690" s="2"/>
      <c r="G690" s="2"/>
      <c r="H690" s="2"/>
      <c r="I690" s="2"/>
      <c r="J690" s="2"/>
      <c r="K690" s="2"/>
      <c r="L690" s="3"/>
      <c r="M690" s="4"/>
      <c r="N690" s="4"/>
      <c r="O690" s="5"/>
      <c r="P690" s="6"/>
      <c r="Q690" s="3"/>
      <c r="R690" s="2"/>
      <c r="S690" s="2"/>
      <c r="T690" s="2"/>
      <c r="U690" s="2"/>
      <c r="V690" s="3"/>
      <c r="W690" s="2"/>
      <c r="X690" s="2"/>
      <c r="Y690" s="2"/>
      <c r="Z690" s="2"/>
      <c r="AA690" s="3"/>
      <c r="AB690" s="2"/>
      <c r="AC690" s="2"/>
      <c r="AD690" s="2"/>
      <c r="AE690" s="2"/>
      <c r="AF690" s="3"/>
      <c r="AG690" s="2"/>
      <c r="AH690" s="2"/>
      <c r="AI690" s="2"/>
      <c r="AJ690" s="2"/>
      <c r="AK690" s="3"/>
      <c r="AL690" s="2"/>
      <c r="AM690" s="2"/>
      <c r="AN690" s="2"/>
      <c r="AO690" s="2"/>
      <c r="AP690" s="3"/>
      <c r="AQ690" s="2"/>
      <c r="AR690" s="2"/>
      <c r="AS690" s="2"/>
      <c r="AT690" s="7"/>
      <c r="AU690" s="2"/>
      <c r="AV690" s="2"/>
      <c r="AW690" s="2"/>
      <c r="AX690" s="2"/>
    </row>
    <row r="691">
      <c r="A691" s="2"/>
      <c r="B691" s="2"/>
      <c r="C691" s="2"/>
      <c r="D691" s="2"/>
      <c r="E691" s="2"/>
      <c r="F691" s="2"/>
      <c r="G691" s="2"/>
      <c r="H691" s="2"/>
      <c r="I691" s="2"/>
      <c r="J691" s="2"/>
      <c r="K691" s="2"/>
      <c r="L691" s="3"/>
      <c r="M691" s="4"/>
      <c r="N691" s="4"/>
      <c r="O691" s="5"/>
      <c r="P691" s="6"/>
      <c r="Q691" s="3"/>
      <c r="R691" s="2"/>
      <c r="S691" s="2"/>
      <c r="T691" s="2"/>
      <c r="U691" s="2"/>
      <c r="V691" s="3"/>
      <c r="W691" s="2"/>
      <c r="X691" s="2"/>
      <c r="Y691" s="2"/>
      <c r="Z691" s="2"/>
      <c r="AA691" s="3"/>
      <c r="AB691" s="2"/>
      <c r="AC691" s="2"/>
      <c r="AD691" s="2"/>
      <c r="AE691" s="2"/>
      <c r="AF691" s="3"/>
      <c r="AG691" s="2"/>
      <c r="AH691" s="2"/>
      <c r="AI691" s="2"/>
      <c r="AJ691" s="2"/>
      <c r="AK691" s="3"/>
      <c r="AL691" s="2"/>
      <c r="AM691" s="2"/>
      <c r="AN691" s="2"/>
      <c r="AO691" s="2"/>
      <c r="AP691" s="3"/>
      <c r="AQ691" s="2"/>
      <c r="AR691" s="2"/>
      <c r="AS691" s="2"/>
      <c r="AT691" s="7"/>
      <c r="AU691" s="2"/>
      <c r="AV691" s="2"/>
      <c r="AW691" s="2"/>
      <c r="AX691" s="2"/>
    </row>
    <row r="692">
      <c r="A692" s="2"/>
      <c r="B692" s="2"/>
      <c r="C692" s="2"/>
      <c r="D692" s="2"/>
      <c r="E692" s="2"/>
      <c r="F692" s="2"/>
      <c r="G692" s="2"/>
      <c r="H692" s="2"/>
      <c r="I692" s="2"/>
      <c r="J692" s="2"/>
      <c r="K692" s="2"/>
      <c r="L692" s="3"/>
      <c r="M692" s="4"/>
      <c r="N692" s="4"/>
      <c r="O692" s="5"/>
      <c r="P692" s="6"/>
      <c r="Q692" s="3"/>
      <c r="R692" s="2"/>
      <c r="S692" s="2"/>
      <c r="T692" s="2"/>
      <c r="U692" s="2"/>
      <c r="V692" s="3"/>
      <c r="W692" s="2"/>
      <c r="X692" s="2"/>
      <c r="Y692" s="2"/>
      <c r="Z692" s="2"/>
      <c r="AA692" s="3"/>
      <c r="AB692" s="2"/>
      <c r="AC692" s="2"/>
      <c r="AD692" s="2"/>
      <c r="AE692" s="2"/>
      <c r="AF692" s="3"/>
      <c r="AG692" s="2"/>
      <c r="AH692" s="2"/>
      <c r="AI692" s="2"/>
      <c r="AJ692" s="2"/>
      <c r="AK692" s="3"/>
      <c r="AL692" s="2"/>
      <c r="AM692" s="2"/>
      <c r="AN692" s="2"/>
      <c r="AO692" s="2"/>
      <c r="AP692" s="3"/>
      <c r="AQ692" s="2"/>
      <c r="AR692" s="2"/>
      <c r="AS692" s="2"/>
      <c r="AT692" s="7"/>
      <c r="AU692" s="2"/>
      <c r="AV692" s="2"/>
      <c r="AW692" s="2"/>
      <c r="AX692" s="2"/>
    </row>
    <row r="693">
      <c r="A693" s="2"/>
      <c r="B693" s="2"/>
      <c r="C693" s="2"/>
      <c r="D693" s="2"/>
      <c r="E693" s="2"/>
      <c r="F693" s="2"/>
      <c r="G693" s="2"/>
      <c r="H693" s="2"/>
      <c r="I693" s="2"/>
      <c r="J693" s="2"/>
      <c r="K693" s="2"/>
      <c r="L693" s="3"/>
      <c r="M693" s="4"/>
      <c r="N693" s="4"/>
      <c r="O693" s="5"/>
      <c r="P693" s="6"/>
      <c r="Q693" s="3"/>
      <c r="R693" s="2"/>
      <c r="S693" s="2"/>
      <c r="T693" s="2"/>
      <c r="U693" s="2"/>
      <c r="V693" s="3"/>
      <c r="W693" s="2"/>
      <c r="X693" s="2"/>
      <c r="Y693" s="2"/>
      <c r="Z693" s="2"/>
      <c r="AA693" s="3"/>
      <c r="AB693" s="2"/>
      <c r="AC693" s="2"/>
      <c r="AD693" s="2"/>
      <c r="AE693" s="2"/>
      <c r="AF693" s="3"/>
      <c r="AG693" s="2"/>
      <c r="AH693" s="2"/>
      <c r="AI693" s="2"/>
      <c r="AJ693" s="2"/>
      <c r="AK693" s="3"/>
      <c r="AL693" s="2"/>
      <c r="AM693" s="2"/>
      <c r="AN693" s="2"/>
      <c r="AO693" s="2"/>
      <c r="AP693" s="3"/>
      <c r="AQ693" s="2"/>
      <c r="AR693" s="2"/>
      <c r="AS693" s="2"/>
      <c r="AT693" s="7"/>
      <c r="AU693" s="2"/>
      <c r="AV693" s="2"/>
      <c r="AW693" s="2"/>
      <c r="AX693" s="2"/>
    </row>
    <row r="694">
      <c r="A694" s="2"/>
      <c r="B694" s="2"/>
      <c r="C694" s="2"/>
      <c r="D694" s="2"/>
      <c r="E694" s="2"/>
      <c r="F694" s="2"/>
      <c r="G694" s="2"/>
      <c r="H694" s="2"/>
      <c r="I694" s="2"/>
      <c r="J694" s="2"/>
      <c r="K694" s="2"/>
      <c r="L694" s="3"/>
      <c r="M694" s="4"/>
      <c r="N694" s="4"/>
      <c r="O694" s="5"/>
      <c r="P694" s="6"/>
      <c r="Q694" s="3"/>
      <c r="R694" s="2"/>
      <c r="S694" s="2"/>
      <c r="T694" s="2"/>
      <c r="U694" s="2"/>
      <c r="V694" s="3"/>
      <c r="W694" s="2"/>
      <c r="X694" s="2"/>
      <c r="Y694" s="2"/>
      <c r="Z694" s="2"/>
      <c r="AA694" s="3"/>
      <c r="AB694" s="2"/>
      <c r="AC694" s="2"/>
      <c r="AD694" s="2"/>
      <c r="AE694" s="2"/>
      <c r="AF694" s="3"/>
      <c r="AG694" s="2"/>
      <c r="AH694" s="2"/>
      <c r="AI694" s="2"/>
      <c r="AJ694" s="2"/>
      <c r="AK694" s="3"/>
      <c r="AL694" s="2"/>
      <c r="AM694" s="2"/>
      <c r="AN694" s="2"/>
      <c r="AO694" s="2"/>
      <c r="AP694" s="3"/>
      <c r="AQ694" s="2"/>
      <c r="AR694" s="2"/>
      <c r="AS694" s="2"/>
      <c r="AT694" s="7"/>
      <c r="AU694" s="2"/>
      <c r="AV694" s="2"/>
      <c r="AW694" s="2"/>
      <c r="AX694" s="2"/>
    </row>
    <row r="695">
      <c r="A695" s="2"/>
      <c r="B695" s="2"/>
      <c r="C695" s="2"/>
      <c r="D695" s="2"/>
      <c r="E695" s="2"/>
      <c r="F695" s="2"/>
      <c r="G695" s="2"/>
      <c r="H695" s="2"/>
      <c r="I695" s="2"/>
      <c r="J695" s="2"/>
      <c r="K695" s="2"/>
      <c r="L695" s="3"/>
      <c r="M695" s="4"/>
      <c r="N695" s="4"/>
      <c r="O695" s="5"/>
      <c r="P695" s="6"/>
      <c r="Q695" s="3"/>
      <c r="R695" s="2"/>
      <c r="S695" s="2"/>
      <c r="T695" s="2"/>
      <c r="U695" s="2"/>
      <c r="V695" s="3"/>
      <c r="W695" s="2"/>
      <c r="X695" s="2"/>
      <c r="Y695" s="2"/>
      <c r="Z695" s="2"/>
      <c r="AA695" s="3"/>
      <c r="AB695" s="2"/>
      <c r="AC695" s="2"/>
      <c r="AD695" s="2"/>
      <c r="AE695" s="2"/>
      <c r="AF695" s="3"/>
      <c r="AG695" s="2"/>
      <c r="AH695" s="2"/>
      <c r="AI695" s="2"/>
      <c r="AJ695" s="2"/>
      <c r="AK695" s="3"/>
      <c r="AL695" s="2"/>
      <c r="AM695" s="2"/>
      <c r="AN695" s="2"/>
      <c r="AO695" s="2"/>
      <c r="AP695" s="3"/>
      <c r="AQ695" s="2"/>
      <c r="AR695" s="2"/>
      <c r="AS695" s="2"/>
      <c r="AT695" s="7"/>
      <c r="AU695" s="2"/>
      <c r="AV695" s="2"/>
      <c r="AW695" s="2"/>
      <c r="AX695" s="2"/>
    </row>
    <row r="696">
      <c r="A696" s="2"/>
      <c r="B696" s="2"/>
      <c r="C696" s="2"/>
      <c r="D696" s="2"/>
      <c r="E696" s="2"/>
      <c r="F696" s="2"/>
      <c r="G696" s="2"/>
      <c r="H696" s="2"/>
      <c r="I696" s="2"/>
      <c r="J696" s="2"/>
      <c r="K696" s="2"/>
      <c r="L696" s="3"/>
      <c r="M696" s="4"/>
      <c r="N696" s="4"/>
      <c r="O696" s="5"/>
      <c r="P696" s="6"/>
      <c r="Q696" s="3"/>
      <c r="R696" s="2"/>
      <c r="S696" s="2"/>
      <c r="T696" s="2"/>
      <c r="U696" s="2"/>
      <c r="V696" s="3"/>
      <c r="W696" s="2"/>
      <c r="X696" s="2"/>
      <c r="Y696" s="2"/>
      <c r="Z696" s="2"/>
      <c r="AA696" s="3"/>
      <c r="AB696" s="2"/>
      <c r="AC696" s="2"/>
      <c r="AD696" s="2"/>
      <c r="AE696" s="2"/>
      <c r="AF696" s="3"/>
      <c r="AG696" s="2"/>
      <c r="AH696" s="2"/>
      <c r="AI696" s="2"/>
      <c r="AJ696" s="2"/>
      <c r="AK696" s="3"/>
      <c r="AL696" s="2"/>
      <c r="AM696" s="2"/>
      <c r="AN696" s="2"/>
      <c r="AO696" s="2"/>
      <c r="AP696" s="3"/>
      <c r="AQ696" s="2"/>
      <c r="AR696" s="2"/>
      <c r="AS696" s="2"/>
      <c r="AT696" s="7"/>
      <c r="AU696" s="2"/>
      <c r="AV696" s="2"/>
      <c r="AW696" s="2"/>
      <c r="AX696" s="2"/>
    </row>
    <row r="697">
      <c r="A697" s="2"/>
      <c r="B697" s="2"/>
      <c r="C697" s="2"/>
      <c r="D697" s="2"/>
      <c r="E697" s="2"/>
      <c r="F697" s="2"/>
      <c r="G697" s="2"/>
      <c r="H697" s="2"/>
      <c r="I697" s="2"/>
      <c r="J697" s="2"/>
      <c r="K697" s="2"/>
      <c r="L697" s="3"/>
      <c r="M697" s="4"/>
      <c r="N697" s="4"/>
      <c r="O697" s="5"/>
      <c r="P697" s="6"/>
      <c r="Q697" s="3"/>
      <c r="R697" s="2"/>
      <c r="S697" s="2"/>
      <c r="T697" s="2"/>
      <c r="U697" s="2"/>
      <c r="V697" s="3"/>
      <c r="W697" s="2"/>
      <c r="X697" s="2"/>
      <c r="Y697" s="2"/>
      <c r="Z697" s="2"/>
      <c r="AA697" s="3"/>
      <c r="AB697" s="2"/>
      <c r="AC697" s="2"/>
      <c r="AD697" s="2"/>
      <c r="AE697" s="2"/>
      <c r="AF697" s="3"/>
      <c r="AG697" s="2"/>
      <c r="AH697" s="2"/>
      <c r="AI697" s="2"/>
      <c r="AJ697" s="2"/>
      <c r="AK697" s="3"/>
      <c r="AL697" s="2"/>
      <c r="AM697" s="2"/>
      <c r="AN697" s="2"/>
      <c r="AO697" s="2"/>
      <c r="AP697" s="3"/>
      <c r="AQ697" s="2"/>
      <c r="AR697" s="2"/>
      <c r="AS697" s="2"/>
      <c r="AT697" s="7"/>
      <c r="AU697" s="2"/>
      <c r="AV697" s="2"/>
      <c r="AW697" s="2"/>
      <c r="AX697" s="2"/>
    </row>
    <row r="698">
      <c r="A698" s="2"/>
      <c r="B698" s="2"/>
      <c r="C698" s="2"/>
      <c r="D698" s="2"/>
      <c r="E698" s="2"/>
      <c r="F698" s="2"/>
      <c r="G698" s="2"/>
      <c r="H698" s="2"/>
      <c r="I698" s="2"/>
      <c r="J698" s="2"/>
      <c r="K698" s="2"/>
      <c r="L698" s="3"/>
      <c r="M698" s="4"/>
      <c r="N698" s="4"/>
      <c r="O698" s="5"/>
      <c r="P698" s="6"/>
      <c r="Q698" s="3"/>
      <c r="R698" s="2"/>
      <c r="S698" s="2"/>
      <c r="T698" s="2"/>
      <c r="U698" s="2"/>
      <c r="V698" s="3"/>
      <c r="W698" s="2"/>
      <c r="X698" s="2"/>
      <c r="Y698" s="2"/>
      <c r="Z698" s="2"/>
      <c r="AA698" s="3"/>
      <c r="AB698" s="2"/>
      <c r="AC698" s="2"/>
      <c r="AD698" s="2"/>
      <c r="AE698" s="2"/>
      <c r="AF698" s="3"/>
      <c r="AG698" s="2"/>
      <c r="AH698" s="2"/>
      <c r="AI698" s="2"/>
      <c r="AJ698" s="2"/>
      <c r="AK698" s="3"/>
      <c r="AL698" s="2"/>
      <c r="AM698" s="2"/>
      <c r="AN698" s="2"/>
      <c r="AO698" s="2"/>
      <c r="AP698" s="3"/>
      <c r="AQ698" s="2"/>
      <c r="AR698" s="2"/>
      <c r="AS698" s="2"/>
      <c r="AT698" s="7"/>
      <c r="AU698" s="2"/>
      <c r="AV698" s="2"/>
      <c r="AW698" s="2"/>
      <c r="AX698" s="2"/>
    </row>
    <row r="699">
      <c r="A699" s="2"/>
      <c r="B699" s="2"/>
      <c r="C699" s="2"/>
      <c r="D699" s="2"/>
      <c r="E699" s="2"/>
      <c r="F699" s="2"/>
      <c r="G699" s="2"/>
      <c r="H699" s="2"/>
      <c r="I699" s="2"/>
      <c r="J699" s="2"/>
      <c r="K699" s="2"/>
      <c r="L699" s="3"/>
      <c r="M699" s="4"/>
      <c r="N699" s="4"/>
      <c r="O699" s="5"/>
      <c r="P699" s="6"/>
      <c r="Q699" s="3"/>
      <c r="R699" s="2"/>
      <c r="S699" s="2"/>
      <c r="T699" s="2"/>
      <c r="U699" s="2"/>
      <c r="V699" s="3"/>
      <c r="W699" s="2"/>
      <c r="X699" s="2"/>
      <c r="Y699" s="2"/>
      <c r="Z699" s="2"/>
      <c r="AA699" s="3"/>
      <c r="AB699" s="2"/>
      <c r="AC699" s="2"/>
      <c r="AD699" s="2"/>
      <c r="AE699" s="2"/>
      <c r="AF699" s="3"/>
      <c r="AG699" s="2"/>
      <c r="AH699" s="2"/>
      <c r="AI699" s="2"/>
      <c r="AJ699" s="2"/>
      <c r="AK699" s="3"/>
      <c r="AL699" s="2"/>
      <c r="AM699" s="2"/>
      <c r="AN699" s="2"/>
      <c r="AO699" s="2"/>
      <c r="AP699" s="3"/>
      <c r="AQ699" s="2"/>
      <c r="AR699" s="2"/>
      <c r="AS699" s="2"/>
      <c r="AT699" s="7"/>
      <c r="AU699" s="2"/>
      <c r="AV699" s="2"/>
      <c r="AW699" s="2"/>
      <c r="AX699" s="2"/>
    </row>
    <row r="700">
      <c r="A700" s="2"/>
      <c r="B700" s="2"/>
      <c r="C700" s="2"/>
      <c r="D700" s="2"/>
      <c r="E700" s="2"/>
      <c r="F700" s="2"/>
      <c r="G700" s="2"/>
      <c r="H700" s="2"/>
      <c r="I700" s="2"/>
      <c r="J700" s="2"/>
      <c r="K700" s="2"/>
      <c r="L700" s="3"/>
      <c r="M700" s="4"/>
      <c r="N700" s="4"/>
      <c r="O700" s="5"/>
      <c r="P700" s="6"/>
      <c r="Q700" s="3"/>
      <c r="R700" s="2"/>
      <c r="S700" s="2"/>
      <c r="T700" s="2"/>
      <c r="U700" s="2"/>
      <c r="V700" s="3"/>
      <c r="W700" s="2"/>
      <c r="X700" s="2"/>
      <c r="Y700" s="2"/>
      <c r="Z700" s="2"/>
      <c r="AA700" s="3"/>
      <c r="AB700" s="2"/>
      <c r="AC700" s="2"/>
      <c r="AD700" s="2"/>
      <c r="AE700" s="2"/>
      <c r="AF700" s="3"/>
      <c r="AG700" s="2"/>
      <c r="AH700" s="2"/>
      <c r="AI700" s="2"/>
      <c r="AJ700" s="2"/>
      <c r="AK700" s="3"/>
      <c r="AL700" s="2"/>
      <c r="AM700" s="2"/>
      <c r="AN700" s="2"/>
      <c r="AO700" s="2"/>
      <c r="AP700" s="3"/>
      <c r="AQ700" s="2"/>
      <c r="AR700" s="2"/>
      <c r="AS700" s="2"/>
      <c r="AT700" s="7"/>
      <c r="AU700" s="2"/>
      <c r="AV700" s="2"/>
      <c r="AW700" s="2"/>
      <c r="AX700" s="2"/>
    </row>
    <row r="701">
      <c r="A701" s="2"/>
      <c r="B701" s="2"/>
      <c r="C701" s="2"/>
      <c r="D701" s="2"/>
      <c r="E701" s="2"/>
      <c r="F701" s="2"/>
      <c r="G701" s="2"/>
      <c r="H701" s="2"/>
      <c r="I701" s="2"/>
      <c r="J701" s="2"/>
      <c r="K701" s="2"/>
      <c r="L701" s="3"/>
      <c r="M701" s="4"/>
      <c r="N701" s="4"/>
      <c r="O701" s="5"/>
      <c r="P701" s="6"/>
      <c r="Q701" s="3"/>
      <c r="R701" s="2"/>
      <c r="S701" s="2"/>
      <c r="T701" s="2"/>
      <c r="U701" s="2"/>
      <c r="V701" s="3"/>
      <c r="W701" s="2"/>
      <c r="X701" s="2"/>
      <c r="Y701" s="2"/>
      <c r="Z701" s="2"/>
      <c r="AA701" s="3"/>
      <c r="AB701" s="2"/>
      <c r="AC701" s="2"/>
      <c r="AD701" s="2"/>
      <c r="AE701" s="2"/>
      <c r="AF701" s="3"/>
      <c r="AG701" s="2"/>
      <c r="AH701" s="2"/>
      <c r="AI701" s="2"/>
      <c r="AJ701" s="2"/>
      <c r="AK701" s="3"/>
      <c r="AL701" s="2"/>
      <c r="AM701" s="2"/>
      <c r="AN701" s="2"/>
      <c r="AO701" s="2"/>
      <c r="AP701" s="3"/>
      <c r="AQ701" s="2"/>
      <c r="AR701" s="2"/>
      <c r="AS701" s="2"/>
      <c r="AT701" s="7"/>
      <c r="AU701" s="2"/>
      <c r="AV701" s="2"/>
      <c r="AW701" s="2"/>
      <c r="AX701" s="2"/>
    </row>
    <row r="702">
      <c r="A702" s="2"/>
      <c r="B702" s="2"/>
      <c r="C702" s="2"/>
      <c r="D702" s="2"/>
      <c r="E702" s="2"/>
      <c r="F702" s="2"/>
      <c r="G702" s="2"/>
      <c r="H702" s="2"/>
      <c r="I702" s="2"/>
      <c r="J702" s="2"/>
      <c r="K702" s="2"/>
      <c r="L702" s="3"/>
      <c r="M702" s="4"/>
      <c r="N702" s="4"/>
      <c r="O702" s="5"/>
      <c r="P702" s="6"/>
      <c r="Q702" s="3"/>
      <c r="R702" s="2"/>
      <c r="S702" s="2"/>
      <c r="T702" s="2"/>
      <c r="U702" s="2"/>
      <c r="V702" s="3"/>
      <c r="W702" s="2"/>
      <c r="X702" s="2"/>
      <c r="Y702" s="2"/>
      <c r="Z702" s="2"/>
      <c r="AA702" s="3"/>
      <c r="AB702" s="2"/>
      <c r="AC702" s="2"/>
      <c r="AD702" s="2"/>
      <c r="AE702" s="2"/>
      <c r="AF702" s="3"/>
      <c r="AG702" s="2"/>
      <c r="AH702" s="2"/>
      <c r="AI702" s="2"/>
      <c r="AJ702" s="2"/>
      <c r="AK702" s="3"/>
      <c r="AL702" s="2"/>
      <c r="AM702" s="2"/>
      <c r="AN702" s="2"/>
      <c r="AO702" s="2"/>
      <c r="AP702" s="3"/>
      <c r="AQ702" s="2"/>
      <c r="AR702" s="2"/>
      <c r="AS702" s="2"/>
      <c r="AT702" s="7"/>
      <c r="AU702" s="2"/>
      <c r="AV702" s="2"/>
      <c r="AW702" s="2"/>
      <c r="AX702" s="2"/>
    </row>
    <row r="703">
      <c r="A703" s="2"/>
      <c r="B703" s="2"/>
      <c r="C703" s="2"/>
      <c r="D703" s="2"/>
      <c r="E703" s="2"/>
      <c r="F703" s="2"/>
      <c r="G703" s="2"/>
      <c r="H703" s="2"/>
      <c r="I703" s="2"/>
      <c r="J703" s="2"/>
      <c r="K703" s="2"/>
      <c r="L703" s="3"/>
      <c r="M703" s="4"/>
      <c r="N703" s="4"/>
      <c r="O703" s="5"/>
      <c r="P703" s="6"/>
      <c r="Q703" s="3"/>
      <c r="R703" s="2"/>
      <c r="S703" s="2"/>
      <c r="T703" s="2"/>
      <c r="U703" s="2"/>
      <c r="V703" s="3"/>
      <c r="W703" s="2"/>
      <c r="X703" s="2"/>
      <c r="Y703" s="2"/>
      <c r="Z703" s="2"/>
      <c r="AA703" s="3"/>
      <c r="AB703" s="2"/>
      <c r="AC703" s="2"/>
      <c r="AD703" s="2"/>
      <c r="AE703" s="2"/>
      <c r="AF703" s="3"/>
      <c r="AG703" s="2"/>
      <c r="AH703" s="2"/>
      <c r="AI703" s="2"/>
      <c r="AJ703" s="2"/>
      <c r="AK703" s="3"/>
      <c r="AL703" s="2"/>
      <c r="AM703" s="2"/>
      <c r="AN703" s="2"/>
      <c r="AO703" s="2"/>
      <c r="AP703" s="3"/>
      <c r="AQ703" s="2"/>
      <c r="AR703" s="2"/>
      <c r="AS703" s="2"/>
      <c r="AT703" s="7"/>
      <c r="AU703" s="2"/>
      <c r="AV703" s="2"/>
      <c r="AW703" s="2"/>
      <c r="AX703" s="2"/>
    </row>
    <row r="704">
      <c r="A704" s="2"/>
      <c r="B704" s="2"/>
      <c r="C704" s="2"/>
      <c r="D704" s="2"/>
      <c r="E704" s="2"/>
      <c r="F704" s="2"/>
      <c r="G704" s="2"/>
      <c r="H704" s="2"/>
      <c r="I704" s="2"/>
      <c r="J704" s="2"/>
      <c r="K704" s="2"/>
      <c r="L704" s="3"/>
      <c r="M704" s="4"/>
      <c r="N704" s="4"/>
      <c r="O704" s="5"/>
      <c r="P704" s="6"/>
      <c r="Q704" s="3"/>
      <c r="R704" s="2"/>
      <c r="S704" s="2"/>
      <c r="T704" s="2"/>
      <c r="U704" s="2"/>
      <c r="V704" s="3"/>
      <c r="W704" s="2"/>
      <c r="X704" s="2"/>
      <c r="Y704" s="2"/>
      <c r="Z704" s="2"/>
      <c r="AA704" s="3"/>
      <c r="AB704" s="2"/>
      <c r="AC704" s="2"/>
      <c r="AD704" s="2"/>
      <c r="AE704" s="2"/>
      <c r="AF704" s="3"/>
      <c r="AG704" s="2"/>
      <c r="AH704" s="2"/>
      <c r="AI704" s="2"/>
      <c r="AJ704" s="2"/>
      <c r="AK704" s="3"/>
      <c r="AL704" s="2"/>
      <c r="AM704" s="2"/>
      <c r="AN704" s="2"/>
      <c r="AO704" s="2"/>
      <c r="AP704" s="3"/>
      <c r="AQ704" s="2"/>
      <c r="AR704" s="2"/>
      <c r="AS704" s="2"/>
      <c r="AT704" s="7"/>
      <c r="AU704" s="2"/>
      <c r="AV704" s="2"/>
      <c r="AW704" s="2"/>
      <c r="AX704" s="2"/>
    </row>
    <row r="705">
      <c r="A705" s="2"/>
      <c r="B705" s="2"/>
      <c r="C705" s="2"/>
      <c r="D705" s="2"/>
      <c r="E705" s="2"/>
      <c r="F705" s="2"/>
      <c r="G705" s="2"/>
      <c r="H705" s="2"/>
      <c r="I705" s="2"/>
      <c r="J705" s="2"/>
      <c r="K705" s="2"/>
      <c r="L705" s="3"/>
      <c r="M705" s="4"/>
      <c r="N705" s="4"/>
      <c r="O705" s="5"/>
      <c r="P705" s="6"/>
      <c r="Q705" s="3"/>
      <c r="R705" s="2"/>
      <c r="S705" s="2"/>
      <c r="T705" s="2"/>
      <c r="U705" s="2"/>
      <c r="V705" s="3"/>
      <c r="W705" s="2"/>
      <c r="X705" s="2"/>
      <c r="Y705" s="2"/>
      <c r="Z705" s="2"/>
      <c r="AA705" s="3"/>
      <c r="AB705" s="2"/>
      <c r="AC705" s="2"/>
      <c r="AD705" s="2"/>
      <c r="AE705" s="2"/>
      <c r="AF705" s="3"/>
      <c r="AG705" s="2"/>
      <c r="AH705" s="2"/>
      <c r="AI705" s="2"/>
      <c r="AJ705" s="2"/>
      <c r="AK705" s="3"/>
      <c r="AL705" s="2"/>
      <c r="AM705" s="2"/>
      <c r="AN705" s="2"/>
      <c r="AO705" s="2"/>
      <c r="AP705" s="3"/>
      <c r="AQ705" s="2"/>
      <c r="AR705" s="2"/>
      <c r="AS705" s="2"/>
      <c r="AT705" s="7"/>
      <c r="AU705" s="2"/>
      <c r="AV705" s="2"/>
      <c r="AW705" s="2"/>
      <c r="AX705" s="2"/>
    </row>
    <row r="706">
      <c r="A706" s="2"/>
      <c r="B706" s="2"/>
      <c r="C706" s="2"/>
      <c r="D706" s="2"/>
      <c r="E706" s="2"/>
      <c r="F706" s="2"/>
      <c r="G706" s="2"/>
      <c r="H706" s="2"/>
      <c r="I706" s="2"/>
      <c r="J706" s="2"/>
      <c r="K706" s="2"/>
      <c r="L706" s="3"/>
      <c r="M706" s="4"/>
      <c r="N706" s="4"/>
      <c r="O706" s="5"/>
      <c r="P706" s="6"/>
      <c r="Q706" s="3"/>
      <c r="R706" s="2"/>
      <c r="S706" s="2"/>
      <c r="T706" s="2"/>
      <c r="U706" s="2"/>
      <c r="V706" s="3"/>
      <c r="W706" s="2"/>
      <c r="X706" s="2"/>
      <c r="Y706" s="2"/>
      <c r="Z706" s="2"/>
      <c r="AA706" s="3"/>
      <c r="AB706" s="2"/>
      <c r="AC706" s="2"/>
      <c r="AD706" s="2"/>
      <c r="AE706" s="2"/>
      <c r="AF706" s="3"/>
      <c r="AG706" s="2"/>
      <c r="AH706" s="2"/>
      <c r="AI706" s="2"/>
      <c r="AJ706" s="2"/>
      <c r="AK706" s="3"/>
      <c r="AL706" s="2"/>
      <c r="AM706" s="2"/>
      <c r="AN706" s="2"/>
      <c r="AO706" s="2"/>
      <c r="AP706" s="3"/>
      <c r="AQ706" s="2"/>
      <c r="AR706" s="2"/>
      <c r="AS706" s="2"/>
      <c r="AT706" s="7"/>
      <c r="AU706" s="2"/>
      <c r="AV706" s="2"/>
      <c r="AW706" s="2"/>
      <c r="AX706" s="2"/>
    </row>
    <row r="707">
      <c r="A707" s="2"/>
      <c r="B707" s="2"/>
      <c r="C707" s="2"/>
      <c r="D707" s="2"/>
      <c r="E707" s="2"/>
      <c r="F707" s="2"/>
      <c r="G707" s="2"/>
      <c r="H707" s="2"/>
      <c r="I707" s="2"/>
      <c r="J707" s="2"/>
      <c r="K707" s="2"/>
      <c r="L707" s="3"/>
      <c r="M707" s="4"/>
      <c r="N707" s="4"/>
      <c r="O707" s="5"/>
      <c r="P707" s="6"/>
      <c r="Q707" s="3"/>
      <c r="R707" s="2"/>
      <c r="S707" s="2"/>
      <c r="T707" s="2"/>
      <c r="U707" s="2"/>
      <c r="V707" s="3"/>
      <c r="W707" s="2"/>
      <c r="X707" s="2"/>
      <c r="Y707" s="2"/>
      <c r="Z707" s="2"/>
      <c r="AA707" s="3"/>
      <c r="AB707" s="2"/>
      <c r="AC707" s="2"/>
      <c r="AD707" s="2"/>
      <c r="AE707" s="2"/>
      <c r="AF707" s="3"/>
      <c r="AG707" s="2"/>
      <c r="AH707" s="2"/>
      <c r="AI707" s="2"/>
      <c r="AJ707" s="2"/>
      <c r="AK707" s="3"/>
      <c r="AL707" s="2"/>
      <c r="AM707" s="2"/>
      <c r="AN707" s="2"/>
      <c r="AO707" s="2"/>
      <c r="AP707" s="3"/>
      <c r="AQ707" s="2"/>
      <c r="AR707" s="2"/>
      <c r="AS707" s="2"/>
      <c r="AT707" s="7"/>
      <c r="AU707" s="2"/>
      <c r="AV707" s="2"/>
      <c r="AW707" s="2"/>
      <c r="AX707" s="2"/>
    </row>
    <row r="708">
      <c r="A708" s="2"/>
      <c r="B708" s="2"/>
      <c r="C708" s="2"/>
      <c r="D708" s="2"/>
      <c r="E708" s="2"/>
      <c r="F708" s="2"/>
      <c r="G708" s="2"/>
      <c r="H708" s="2"/>
      <c r="I708" s="2"/>
      <c r="J708" s="2"/>
      <c r="K708" s="2"/>
      <c r="L708" s="3"/>
      <c r="M708" s="4"/>
      <c r="N708" s="4"/>
      <c r="O708" s="5"/>
      <c r="P708" s="6"/>
      <c r="Q708" s="3"/>
      <c r="R708" s="2"/>
      <c r="S708" s="2"/>
      <c r="T708" s="2"/>
      <c r="U708" s="2"/>
      <c r="V708" s="3"/>
      <c r="W708" s="2"/>
      <c r="X708" s="2"/>
      <c r="Y708" s="2"/>
      <c r="Z708" s="2"/>
      <c r="AA708" s="3"/>
      <c r="AB708" s="2"/>
      <c r="AC708" s="2"/>
      <c r="AD708" s="2"/>
      <c r="AE708" s="2"/>
      <c r="AF708" s="3"/>
      <c r="AG708" s="2"/>
      <c r="AH708" s="2"/>
      <c r="AI708" s="2"/>
      <c r="AJ708" s="2"/>
      <c r="AK708" s="3"/>
      <c r="AL708" s="2"/>
      <c r="AM708" s="2"/>
      <c r="AN708" s="2"/>
      <c r="AO708" s="2"/>
      <c r="AP708" s="3"/>
      <c r="AQ708" s="2"/>
      <c r="AR708" s="2"/>
      <c r="AS708" s="2"/>
      <c r="AT708" s="7"/>
      <c r="AU708" s="2"/>
      <c r="AV708" s="2"/>
      <c r="AW708" s="2"/>
      <c r="AX708" s="2"/>
    </row>
    <row r="709">
      <c r="A709" s="2"/>
      <c r="B709" s="2"/>
      <c r="C709" s="2"/>
      <c r="D709" s="2"/>
      <c r="E709" s="2"/>
      <c r="F709" s="2"/>
      <c r="G709" s="2"/>
      <c r="H709" s="2"/>
      <c r="I709" s="2"/>
      <c r="J709" s="2"/>
      <c r="K709" s="2"/>
      <c r="L709" s="3"/>
      <c r="M709" s="4"/>
      <c r="N709" s="4"/>
      <c r="O709" s="5"/>
      <c r="P709" s="6"/>
      <c r="Q709" s="3"/>
      <c r="R709" s="2"/>
      <c r="S709" s="2"/>
      <c r="T709" s="2"/>
      <c r="U709" s="2"/>
      <c r="V709" s="3"/>
      <c r="W709" s="2"/>
      <c r="X709" s="2"/>
      <c r="Y709" s="2"/>
      <c r="Z709" s="2"/>
      <c r="AA709" s="3"/>
      <c r="AB709" s="2"/>
      <c r="AC709" s="2"/>
      <c r="AD709" s="2"/>
      <c r="AE709" s="2"/>
      <c r="AF709" s="3"/>
      <c r="AG709" s="2"/>
      <c r="AH709" s="2"/>
      <c r="AI709" s="2"/>
      <c r="AJ709" s="2"/>
      <c r="AK709" s="3"/>
      <c r="AL709" s="2"/>
      <c r="AM709" s="2"/>
      <c r="AN709" s="2"/>
      <c r="AO709" s="2"/>
      <c r="AP709" s="3"/>
      <c r="AQ709" s="2"/>
      <c r="AR709" s="2"/>
      <c r="AS709" s="2"/>
      <c r="AT709" s="7"/>
      <c r="AU709" s="2"/>
      <c r="AV709" s="2"/>
      <c r="AW709" s="2"/>
      <c r="AX709" s="2"/>
    </row>
    <row r="710">
      <c r="A710" s="2"/>
      <c r="B710" s="2"/>
      <c r="C710" s="2"/>
      <c r="D710" s="2"/>
      <c r="E710" s="2"/>
      <c r="F710" s="2"/>
      <c r="G710" s="2"/>
      <c r="H710" s="2"/>
      <c r="I710" s="2"/>
      <c r="J710" s="2"/>
      <c r="K710" s="2"/>
      <c r="L710" s="3"/>
      <c r="M710" s="4"/>
      <c r="N710" s="4"/>
      <c r="O710" s="5"/>
      <c r="P710" s="6"/>
      <c r="Q710" s="3"/>
      <c r="R710" s="2"/>
      <c r="S710" s="2"/>
      <c r="T710" s="2"/>
      <c r="U710" s="2"/>
      <c r="V710" s="3"/>
      <c r="W710" s="2"/>
      <c r="X710" s="2"/>
      <c r="Y710" s="2"/>
      <c r="Z710" s="2"/>
      <c r="AA710" s="3"/>
      <c r="AB710" s="2"/>
      <c r="AC710" s="2"/>
      <c r="AD710" s="2"/>
      <c r="AE710" s="2"/>
      <c r="AF710" s="3"/>
      <c r="AG710" s="2"/>
      <c r="AH710" s="2"/>
      <c r="AI710" s="2"/>
      <c r="AJ710" s="2"/>
      <c r="AK710" s="3"/>
      <c r="AL710" s="2"/>
      <c r="AM710" s="2"/>
      <c r="AN710" s="2"/>
      <c r="AO710" s="2"/>
      <c r="AP710" s="3"/>
      <c r="AQ710" s="2"/>
      <c r="AR710" s="2"/>
      <c r="AS710" s="2"/>
      <c r="AT710" s="7"/>
      <c r="AU710" s="2"/>
      <c r="AV710" s="2"/>
      <c r="AW710" s="2"/>
      <c r="AX710" s="2"/>
    </row>
    <row r="711">
      <c r="A711" s="2"/>
      <c r="B711" s="2"/>
      <c r="C711" s="2"/>
      <c r="D711" s="2"/>
      <c r="E711" s="2"/>
      <c r="F711" s="2"/>
      <c r="G711" s="2"/>
      <c r="H711" s="2"/>
      <c r="I711" s="2"/>
      <c r="J711" s="2"/>
      <c r="K711" s="2"/>
      <c r="L711" s="3"/>
      <c r="M711" s="4"/>
      <c r="N711" s="4"/>
      <c r="O711" s="5"/>
      <c r="P711" s="6"/>
      <c r="Q711" s="3"/>
      <c r="R711" s="2"/>
      <c r="S711" s="2"/>
      <c r="T711" s="2"/>
      <c r="U711" s="2"/>
      <c r="V711" s="3"/>
      <c r="W711" s="2"/>
      <c r="X711" s="2"/>
      <c r="Y711" s="2"/>
      <c r="Z711" s="2"/>
      <c r="AA711" s="3"/>
      <c r="AB711" s="2"/>
      <c r="AC711" s="2"/>
      <c r="AD711" s="2"/>
      <c r="AE711" s="2"/>
      <c r="AF711" s="3"/>
      <c r="AG711" s="2"/>
      <c r="AH711" s="2"/>
      <c r="AI711" s="2"/>
      <c r="AJ711" s="2"/>
      <c r="AK711" s="3"/>
      <c r="AL711" s="2"/>
      <c r="AM711" s="2"/>
      <c r="AN711" s="2"/>
      <c r="AO711" s="2"/>
      <c r="AP711" s="3"/>
      <c r="AQ711" s="2"/>
      <c r="AR711" s="2"/>
      <c r="AS711" s="2"/>
      <c r="AT711" s="7"/>
      <c r="AU711" s="2"/>
      <c r="AV711" s="2"/>
      <c r="AW711" s="2"/>
      <c r="AX711" s="2"/>
    </row>
    <row r="712">
      <c r="A712" s="2"/>
      <c r="B712" s="2"/>
      <c r="C712" s="2"/>
      <c r="D712" s="2"/>
      <c r="E712" s="2"/>
      <c r="F712" s="2"/>
      <c r="G712" s="2"/>
      <c r="H712" s="2"/>
      <c r="I712" s="2"/>
      <c r="J712" s="2"/>
      <c r="K712" s="2"/>
      <c r="L712" s="3"/>
      <c r="M712" s="4"/>
      <c r="N712" s="4"/>
      <c r="O712" s="5"/>
      <c r="P712" s="6"/>
      <c r="Q712" s="3"/>
      <c r="R712" s="2"/>
      <c r="S712" s="2"/>
      <c r="T712" s="2"/>
      <c r="U712" s="2"/>
      <c r="V712" s="3"/>
      <c r="W712" s="2"/>
      <c r="X712" s="2"/>
      <c r="Y712" s="2"/>
      <c r="Z712" s="2"/>
      <c r="AA712" s="3"/>
      <c r="AB712" s="2"/>
      <c r="AC712" s="2"/>
      <c r="AD712" s="2"/>
      <c r="AE712" s="2"/>
      <c r="AF712" s="3"/>
      <c r="AG712" s="2"/>
      <c r="AH712" s="2"/>
      <c r="AI712" s="2"/>
      <c r="AJ712" s="2"/>
      <c r="AK712" s="3"/>
      <c r="AL712" s="2"/>
      <c r="AM712" s="2"/>
      <c r="AN712" s="2"/>
      <c r="AO712" s="2"/>
      <c r="AP712" s="3"/>
      <c r="AQ712" s="2"/>
      <c r="AR712" s="2"/>
      <c r="AS712" s="2"/>
      <c r="AT712" s="7"/>
      <c r="AU712" s="2"/>
      <c r="AV712" s="2"/>
      <c r="AW712" s="2"/>
      <c r="AX712" s="2"/>
    </row>
    <row r="713">
      <c r="A713" s="2"/>
      <c r="B713" s="2"/>
      <c r="C713" s="2"/>
      <c r="D713" s="2"/>
      <c r="E713" s="2"/>
      <c r="F713" s="2"/>
      <c r="G713" s="2"/>
      <c r="H713" s="2"/>
      <c r="I713" s="2"/>
      <c r="J713" s="2"/>
      <c r="K713" s="2"/>
      <c r="L713" s="3"/>
      <c r="M713" s="4"/>
      <c r="N713" s="4"/>
      <c r="O713" s="5"/>
      <c r="P713" s="6"/>
      <c r="Q713" s="3"/>
      <c r="R713" s="2"/>
      <c r="S713" s="2"/>
      <c r="T713" s="2"/>
      <c r="U713" s="2"/>
      <c r="V713" s="3"/>
      <c r="W713" s="2"/>
      <c r="X713" s="2"/>
      <c r="Y713" s="2"/>
      <c r="Z713" s="2"/>
      <c r="AA713" s="3"/>
      <c r="AB713" s="2"/>
      <c r="AC713" s="2"/>
      <c r="AD713" s="2"/>
      <c r="AE713" s="2"/>
      <c r="AF713" s="3"/>
      <c r="AG713" s="2"/>
      <c r="AH713" s="2"/>
      <c r="AI713" s="2"/>
      <c r="AJ713" s="2"/>
      <c r="AK713" s="3"/>
      <c r="AL713" s="2"/>
      <c r="AM713" s="2"/>
      <c r="AN713" s="2"/>
      <c r="AO713" s="2"/>
      <c r="AP713" s="3"/>
      <c r="AQ713" s="2"/>
      <c r="AR713" s="2"/>
      <c r="AS713" s="2"/>
      <c r="AT713" s="7"/>
      <c r="AU713" s="2"/>
      <c r="AV713" s="2"/>
      <c r="AW713" s="2"/>
      <c r="AX713" s="2"/>
    </row>
    <row r="714">
      <c r="A714" s="2"/>
      <c r="B714" s="2"/>
      <c r="C714" s="2"/>
      <c r="D714" s="2"/>
      <c r="E714" s="2"/>
      <c r="F714" s="2"/>
      <c r="G714" s="2"/>
      <c r="H714" s="2"/>
      <c r="I714" s="2"/>
      <c r="J714" s="2"/>
      <c r="K714" s="2"/>
      <c r="L714" s="3"/>
      <c r="M714" s="4"/>
      <c r="N714" s="4"/>
      <c r="O714" s="5"/>
      <c r="P714" s="6"/>
      <c r="Q714" s="3"/>
      <c r="R714" s="2"/>
      <c r="S714" s="2"/>
      <c r="T714" s="2"/>
      <c r="U714" s="2"/>
      <c r="V714" s="3"/>
      <c r="W714" s="2"/>
      <c r="X714" s="2"/>
      <c r="Y714" s="2"/>
      <c r="Z714" s="2"/>
      <c r="AA714" s="3"/>
      <c r="AB714" s="2"/>
      <c r="AC714" s="2"/>
      <c r="AD714" s="2"/>
      <c r="AE714" s="2"/>
      <c r="AF714" s="3"/>
      <c r="AG714" s="2"/>
      <c r="AH714" s="2"/>
      <c r="AI714" s="2"/>
      <c r="AJ714" s="2"/>
      <c r="AK714" s="3"/>
      <c r="AL714" s="2"/>
      <c r="AM714" s="2"/>
      <c r="AN714" s="2"/>
      <c r="AO714" s="2"/>
      <c r="AP714" s="3"/>
      <c r="AQ714" s="2"/>
      <c r="AR714" s="2"/>
      <c r="AS714" s="2"/>
      <c r="AT714" s="7"/>
      <c r="AU714" s="2"/>
      <c r="AV714" s="2"/>
      <c r="AW714" s="2"/>
      <c r="AX714" s="2"/>
    </row>
    <row r="715">
      <c r="A715" s="2"/>
      <c r="B715" s="2"/>
      <c r="C715" s="2"/>
      <c r="D715" s="2"/>
      <c r="E715" s="2"/>
      <c r="F715" s="2"/>
      <c r="G715" s="2"/>
      <c r="H715" s="2"/>
      <c r="I715" s="2"/>
      <c r="J715" s="2"/>
      <c r="K715" s="2"/>
      <c r="L715" s="3"/>
      <c r="M715" s="4"/>
      <c r="N715" s="4"/>
      <c r="O715" s="5"/>
      <c r="P715" s="6"/>
      <c r="Q715" s="3"/>
      <c r="R715" s="2"/>
      <c r="S715" s="2"/>
      <c r="T715" s="2"/>
      <c r="U715" s="2"/>
      <c r="V715" s="3"/>
      <c r="W715" s="2"/>
      <c r="X715" s="2"/>
      <c r="Y715" s="2"/>
      <c r="Z715" s="2"/>
      <c r="AA715" s="3"/>
      <c r="AB715" s="2"/>
      <c r="AC715" s="2"/>
      <c r="AD715" s="2"/>
      <c r="AE715" s="2"/>
      <c r="AF715" s="3"/>
      <c r="AG715" s="2"/>
      <c r="AH715" s="2"/>
      <c r="AI715" s="2"/>
      <c r="AJ715" s="2"/>
      <c r="AK715" s="3"/>
      <c r="AL715" s="2"/>
      <c r="AM715" s="2"/>
      <c r="AN715" s="2"/>
      <c r="AO715" s="2"/>
      <c r="AP715" s="3"/>
      <c r="AQ715" s="2"/>
      <c r="AR715" s="2"/>
      <c r="AS715" s="2"/>
      <c r="AT715" s="7"/>
      <c r="AU715" s="2"/>
      <c r="AV715" s="2"/>
      <c r="AW715" s="2"/>
      <c r="AX715" s="2"/>
    </row>
    <row r="716">
      <c r="A716" s="2"/>
      <c r="B716" s="2"/>
      <c r="C716" s="2"/>
      <c r="D716" s="2"/>
      <c r="E716" s="2"/>
      <c r="F716" s="2"/>
      <c r="G716" s="2"/>
      <c r="H716" s="2"/>
      <c r="I716" s="2"/>
      <c r="J716" s="2"/>
      <c r="K716" s="2"/>
      <c r="L716" s="3"/>
      <c r="M716" s="4"/>
      <c r="N716" s="4"/>
      <c r="O716" s="5"/>
      <c r="P716" s="6"/>
      <c r="Q716" s="3"/>
      <c r="R716" s="2"/>
      <c r="S716" s="2"/>
      <c r="T716" s="2"/>
      <c r="U716" s="2"/>
      <c r="V716" s="3"/>
      <c r="W716" s="2"/>
      <c r="X716" s="2"/>
      <c r="Y716" s="2"/>
      <c r="Z716" s="2"/>
      <c r="AA716" s="3"/>
      <c r="AB716" s="2"/>
      <c r="AC716" s="2"/>
      <c r="AD716" s="2"/>
      <c r="AE716" s="2"/>
      <c r="AF716" s="3"/>
      <c r="AG716" s="2"/>
      <c r="AH716" s="2"/>
      <c r="AI716" s="2"/>
      <c r="AJ716" s="2"/>
      <c r="AK716" s="3"/>
      <c r="AL716" s="2"/>
      <c r="AM716" s="2"/>
      <c r="AN716" s="2"/>
      <c r="AO716" s="2"/>
      <c r="AP716" s="3"/>
      <c r="AQ716" s="2"/>
      <c r="AR716" s="2"/>
      <c r="AS716" s="2"/>
      <c r="AT716" s="7"/>
      <c r="AU716" s="2"/>
      <c r="AV716" s="2"/>
      <c r="AW716" s="2"/>
      <c r="AX716" s="2"/>
    </row>
    <row r="717">
      <c r="A717" s="2"/>
      <c r="B717" s="2"/>
      <c r="C717" s="2"/>
      <c r="D717" s="2"/>
      <c r="E717" s="2"/>
      <c r="F717" s="2"/>
      <c r="G717" s="2"/>
      <c r="H717" s="2"/>
      <c r="I717" s="2"/>
      <c r="J717" s="2"/>
      <c r="K717" s="2"/>
      <c r="L717" s="3"/>
      <c r="M717" s="4"/>
      <c r="N717" s="4"/>
      <c r="O717" s="5"/>
      <c r="P717" s="6"/>
      <c r="Q717" s="3"/>
      <c r="R717" s="2"/>
      <c r="S717" s="2"/>
      <c r="T717" s="2"/>
      <c r="U717" s="2"/>
      <c r="V717" s="3"/>
      <c r="W717" s="2"/>
      <c r="X717" s="2"/>
      <c r="Y717" s="2"/>
      <c r="Z717" s="2"/>
      <c r="AA717" s="3"/>
      <c r="AB717" s="2"/>
      <c r="AC717" s="2"/>
      <c r="AD717" s="2"/>
      <c r="AE717" s="2"/>
      <c r="AF717" s="3"/>
      <c r="AG717" s="2"/>
      <c r="AH717" s="2"/>
      <c r="AI717" s="2"/>
      <c r="AJ717" s="2"/>
      <c r="AK717" s="3"/>
      <c r="AL717" s="2"/>
      <c r="AM717" s="2"/>
      <c r="AN717" s="2"/>
      <c r="AO717" s="2"/>
      <c r="AP717" s="3"/>
      <c r="AQ717" s="2"/>
      <c r="AR717" s="2"/>
      <c r="AS717" s="2"/>
      <c r="AT717" s="7"/>
      <c r="AU717" s="2"/>
      <c r="AV717" s="2"/>
      <c r="AW717" s="2"/>
      <c r="AX717" s="2"/>
    </row>
    <row r="718">
      <c r="A718" s="2"/>
      <c r="B718" s="2"/>
      <c r="C718" s="2"/>
      <c r="D718" s="2"/>
      <c r="E718" s="2"/>
      <c r="F718" s="2"/>
      <c r="G718" s="2"/>
      <c r="H718" s="2"/>
      <c r="I718" s="2"/>
      <c r="J718" s="2"/>
      <c r="K718" s="2"/>
      <c r="L718" s="3"/>
      <c r="M718" s="4"/>
      <c r="N718" s="4"/>
      <c r="O718" s="5"/>
      <c r="P718" s="6"/>
      <c r="Q718" s="3"/>
      <c r="R718" s="2"/>
      <c r="S718" s="2"/>
      <c r="T718" s="2"/>
      <c r="U718" s="2"/>
      <c r="V718" s="3"/>
      <c r="W718" s="2"/>
      <c r="X718" s="2"/>
      <c r="Y718" s="2"/>
      <c r="Z718" s="2"/>
      <c r="AA718" s="3"/>
      <c r="AB718" s="2"/>
      <c r="AC718" s="2"/>
      <c r="AD718" s="2"/>
      <c r="AE718" s="2"/>
      <c r="AF718" s="3"/>
      <c r="AG718" s="2"/>
      <c r="AH718" s="2"/>
      <c r="AI718" s="2"/>
      <c r="AJ718" s="2"/>
      <c r="AK718" s="3"/>
      <c r="AL718" s="2"/>
      <c r="AM718" s="2"/>
      <c r="AN718" s="2"/>
      <c r="AO718" s="2"/>
      <c r="AP718" s="3"/>
      <c r="AQ718" s="2"/>
      <c r="AR718" s="2"/>
      <c r="AS718" s="2"/>
      <c r="AT718" s="7"/>
      <c r="AU718" s="2"/>
      <c r="AV718" s="2"/>
      <c r="AW718" s="2"/>
      <c r="AX718" s="2"/>
    </row>
    <row r="719">
      <c r="A719" s="2"/>
      <c r="B719" s="2"/>
      <c r="C719" s="2"/>
      <c r="D719" s="2"/>
      <c r="E719" s="2"/>
      <c r="F719" s="2"/>
      <c r="G719" s="2"/>
      <c r="H719" s="2"/>
      <c r="I719" s="2"/>
      <c r="J719" s="2"/>
      <c r="K719" s="2"/>
      <c r="L719" s="3"/>
      <c r="M719" s="4"/>
      <c r="N719" s="4"/>
      <c r="O719" s="5"/>
      <c r="P719" s="6"/>
      <c r="Q719" s="3"/>
      <c r="R719" s="2"/>
      <c r="S719" s="2"/>
      <c r="T719" s="2"/>
      <c r="U719" s="2"/>
      <c r="V719" s="3"/>
      <c r="W719" s="2"/>
      <c r="X719" s="2"/>
      <c r="Y719" s="2"/>
      <c r="Z719" s="2"/>
      <c r="AA719" s="3"/>
      <c r="AB719" s="2"/>
      <c r="AC719" s="2"/>
      <c r="AD719" s="2"/>
      <c r="AE719" s="2"/>
      <c r="AF719" s="3"/>
      <c r="AG719" s="2"/>
      <c r="AH719" s="2"/>
      <c r="AI719" s="2"/>
      <c r="AJ719" s="2"/>
      <c r="AK719" s="3"/>
      <c r="AL719" s="2"/>
      <c r="AM719" s="2"/>
      <c r="AN719" s="2"/>
      <c r="AO719" s="2"/>
      <c r="AP719" s="3"/>
      <c r="AQ719" s="2"/>
      <c r="AR719" s="2"/>
      <c r="AS719" s="2"/>
      <c r="AT719" s="7"/>
      <c r="AU719" s="2"/>
      <c r="AV719" s="2"/>
      <c r="AW719" s="2"/>
      <c r="AX719" s="2"/>
    </row>
    <row r="720">
      <c r="A720" s="2"/>
      <c r="B720" s="2"/>
      <c r="C720" s="2"/>
      <c r="D720" s="2"/>
      <c r="E720" s="2"/>
      <c r="F720" s="2"/>
      <c r="G720" s="2"/>
      <c r="H720" s="2"/>
      <c r="I720" s="2"/>
      <c r="J720" s="2"/>
      <c r="K720" s="2"/>
      <c r="L720" s="3"/>
      <c r="M720" s="4"/>
      <c r="N720" s="4"/>
      <c r="O720" s="5"/>
      <c r="P720" s="6"/>
      <c r="Q720" s="3"/>
      <c r="R720" s="2"/>
      <c r="S720" s="2"/>
      <c r="T720" s="2"/>
      <c r="U720" s="2"/>
      <c r="V720" s="3"/>
      <c r="W720" s="2"/>
      <c r="X720" s="2"/>
      <c r="Y720" s="2"/>
      <c r="Z720" s="2"/>
      <c r="AA720" s="3"/>
      <c r="AB720" s="2"/>
      <c r="AC720" s="2"/>
      <c r="AD720" s="2"/>
      <c r="AE720" s="2"/>
      <c r="AF720" s="3"/>
      <c r="AG720" s="2"/>
      <c r="AH720" s="2"/>
      <c r="AI720" s="2"/>
      <c r="AJ720" s="2"/>
      <c r="AK720" s="3"/>
      <c r="AL720" s="2"/>
      <c r="AM720" s="2"/>
      <c r="AN720" s="2"/>
      <c r="AO720" s="2"/>
      <c r="AP720" s="3"/>
      <c r="AQ720" s="2"/>
      <c r="AR720" s="2"/>
      <c r="AS720" s="2"/>
      <c r="AT720" s="7"/>
      <c r="AU720" s="2"/>
      <c r="AV720" s="2"/>
      <c r="AW720" s="2"/>
      <c r="AX720" s="2"/>
    </row>
    <row r="721">
      <c r="A721" s="2"/>
      <c r="B721" s="2"/>
      <c r="C721" s="2"/>
      <c r="D721" s="2"/>
      <c r="E721" s="2"/>
      <c r="F721" s="2"/>
      <c r="G721" s="2"/>
      <c r="H721" s="2"/>
      <c r="I721" s="2"/>
      <c r="J721" s="2"/>
      <c r="K721" s="2"/>
      <c r="L721" s="3"/>
      <c r="M721" s="4"/>
      <c r="N721" s="4"/>
      <c r="O721" s="5"/>
      <c r="P721" s="6"/>
      <c r="Q721" s="3"/>
      <c r="R721" s="2"/>
      <c r="S721" s="2"/>
      <c r="T721" s="2"/>
      <c r="U721" s="2"/>
      <c r="V721" s="3"/>
      <c r="W721" s="2"/>
      <c r="X721" s="2"/>
      <c r="Y721" s="2"/>
      <c r="Z721" s="2"/>
      <c r="AA721" s="3"/>
      <c r="AB721" s="2"/>
      <c r="AC721" s="2"/>
      <c r="AD721" s="2"/>
      <c r="AE721" s="2"/>
      <c r="AF721" s="3"/>
      <c r="AG721" s="2"/>
      <c r="AH721" s="2"/>
      <c r="AI721" s="2"/>
      <c r="AJ721" s="2"/>
      <c r="AK721" s="3"/>
      <c r="AL721" s="2"/>
      <c r="AM721" s="2"/>
      <c r="AN721" s="2"/>
      <c r="AO721" s="2"/>
      <c r="AP721" s="3"/>
      <c r="AQ721" s="2"/>
      <c r="AR721" s="2"/>
      <c r="AS721" s="2"/>
      <c r="AT721" s="7"/>
      <c r="AU721" s="2"/>
      <c r="AV721" s="2"/>
      <c r="AW721" s="2"/>
      <c r="AX721" s="2"/>
    </row>
    <row r="722">
      <c r="A722" s="2"/>
      <c r="B722" s="2"/>
      <c r="C722" s="2"/>
      <c r="D722" s="2"/>
      <c r="E722" s="2"/>
      <c r="F722" s="2"/>
      <c r="G722" s="2"/>
      <c r="H722" s="2"/>
      <c r="I722" s="2"/>
      <c r="J722" s="2"/>
      <c r="K722" s="2"/>
      <c r="L722" s="3"/>
      <c r="M722" s="4"/>
      <c r="N722" s="4"/>
      <c r="O722" s="5"/>
      <c r="P722" s="6"/>
      <c r="Q722" s="3"/>
      <c r="R722" s="2"/>
      <c r="S722" s="2"/>
      <c r="T722" s="2"/>
      <c r="U722" s="2"/>
      <c r="V722" s="3"/>
      <c r="W722" s="2"/>
      <c r="X722" s="2"/>
      <c r="Y722" s="2"/>
      <c r="Z722" s="2"/>
      <c r="AA722" s="3"/>
      <c r="AB722" s="2"/>
      <c r="AC722" s="2"/>
      <c r="AD722" s="2"/>
      <c r="AE722" s="2"/>
      <c r="AF722" s="3"/>
      <c r="AG722" s="2"/>
      <c r="AH722" s="2"/>
      <c r="AI722" s="2"/>
      <c r="AJ722" s="2"/>
      <c r="AK722" s="3"/>
      <c r="AL722" s="2"/>
      <c r="AM722" s="2"/>
      <c r="AN722" s="2"/>
      <c r="AO722" s="2"/>
      <c r="AP722" s="3"/>
      <c r="AQ722" s="2"/>
      <c r="AR722" s="2"/>
      <c r="AS722" s="2"/>
      <c r="AT722" s="7"/>
      <c r="AU722" s="2"/>
      <c r="AV722" s="2"/>
      <c r="AW722" s="2"/>
      <c r="AX722" s="2"/>
    </row>
    <row r="723">
      <c r="A723" s="2"/>
      <c r="B723" s="2"/>
      <c r="C723" s="2"/>
      <c r="D723" s="2"/>
      <c r="E723" s="2"/>
      <c r="F723" s="2"/>
      <c r="G723" s="2"/>
      <c r="H723" s="2"/>
      <c r="I723" s="2"/>
      <c r="J723" s="2"/>
      <c r="K723" s="2"/>
      <c r="L723" s="3"/>
      <c r="M723" s="4"/>
      <c r="N723" s="4"/>
      <c r="O723" s="5"/>
      <c r="P723" s="6"/>
      <c r="Q723" s="3"/>
      <c r="R723" s="2"/>
      <c r="S723" s="2"/>
      <c r="T723" s="2"/>
      <c r="U723" s="2"/>
      <c r="V723" s="3"/>
      <c r="W723" s="2"/>
      <c r="X723" s="2"/>
      <c r="Y723" s="2"/>
      <c r="Z723" s="2"/>
      <c r="AA723" s="3"/>
      <c r="AB723" s="2"/>
      <c r="AC723" s="2"/>
      <c r="AD723" s="2"/>
      <c r="AE723" s="2"/>
      <c r="AF723" s="3"/>
      <c r="AG723" s="2"/>
      <c r="AH723" s="2"/>
      <c r="AI723" s="2"/>
      <c r="AJ723" s="2"/>
      <c r="AK723" s="3"/>
      <c r="AL723" s="2"/>
      <c r="AM723" s="2"/>
      <c r="AN723" s="2"/>
      <c r="AO723" s="2"/>
      <c r="AP723" s="3"/>
      <c r="AQ723" s="2"/>
      <c r="AR723" s="2"/>
      <c r="AS723" s="2"/>
      <c r="AT723" s="7"/>
      <c r="AU723" s="2"/>
      <c r="AV723" s="2"/>
      <c r="AW723" s="2"/>
      <c r="AX723" s="2"/>
    </row>
    <row r="724">
      <c r="A724" s="2"/>
      <c r="B724" s="2"/>
      <c r="C724" s="2"/>
      <c r="D724" s="2"/>
      <c r="E724" s="2"/>
      <c r="F724" s="2"/>
      <c r="G724" s="2"/>
      <c r="H724" s="2"/>
      <c r="I724" s="2"/>
      <c r="J724" s="2"/>
      <c r="K724" s="2"/>
      <c r="L724" s="3"/>
      <c r="M724" s="4"/>
      <c r="N724" s="4"/>
      <c r="O724" s="5"/>
      <c r="P724" s="6"/>
      <c r="Q724" s="3"/>
      <c r="R724" s="2"/>
      <c r="S724" s="2"/>
      <c r="T724" s="2"/>
      <c r="U724" s="2"/>
      <c r="V724" s="3"/>
      <c r="W724" s="2"/>
      <c r="X724" s="2"/>
      <c r="Y724" s="2"/>
      <c r="Z724" s="2"/>
      <c r="AA724" s="3"/>
      <c r="AB724" s="2"/>
      <c r="AC724" s="2"/>
      <c r="AD724" s="2"/>
      <c r="AE724" s="2"/>
      <c r="AF724" s="3"/>
      <c r="AG724" s="2"/>
      <c r="AH724" s="2"/>
      <c r="AI724" s="2"/>
      <c r="AJ724" s="2"/>
      <c r="AK724" s="3"/>
      <c r="AL724" s="2"/>
      <c r="AM724" s="2"/>
      <c r="AN724" s="2"/>
      <c r="AO724" s="2"/>
      <c r="AP724" s="3"/>
      <c r="AQ724" s="2"/>
      <c r="AR724" s="2"/>
      <c r="AS724" s="2"/>
      <c r="AT724" s="7"/>
      <c r="AU724" s="2"/>
      <c r="AV724" s="2"/>
      <c r="AW724" s="2"/>
      <c r="AX724" s="2"/>
    </row>
    <row r="725">
      <c r="A725" s="2"/>
      <c r="B725" s="2"/>
      <c r="C725" s="2"/>
      <c r="D725" s="2"/>
      <c r="E725" s="2"/>
      <c r="F725" s="2"/>
      <c r="G725" s="2"/>
      <c r="H725" s="2"/>
      <c r="I725" s="2"/>
      <c r="J725" s="2"/>
      <c r="K725" s="2"/>
      <c r="L725" s="3"/>
      <c r="M725" s="4"/>
      <c r="N725" s="4"/>
      <c r="O725" s="5"/>
      <c r="P725" s="6"/>
      <c r="Q725" s="3"/>
      <c r="R725" s="2"/>
      <c r="S725" s="2"/>
      <c r="T725" s="2"/>
      <c r="U725" s="2"/>
      <c r="V725" s="3"/>
      <c r="W725" s="2"/>
      <c r="X725" s="2"/>
      <c r="Y725" s="2"/>
      <c r="Z725" s="2"/>
      <c r="AA725" s="3"/>
      <c r="AB725" s="2"/>
      <c r="AC725" s="2"/>
      <c r="AD725" s="2"/>
      <c r="AE725" s="2"/>
      <c r="AF725" s="3"/>
      <c r="AG725" s="2"/>
      <c r="AH725" s="2"/>
      <c r="AI725" s="2"/>
      <c r="AJ725" s="2"/>
      <c r="AK725" s="3"/>
      <c r="AL725" s="2"/>
      <c r="AM725" s="2"/>
      <c r="AN725" s="2"/>
      <c r="AO725" s="2"/>
      <c r="AP725" s="3"/>
      <c r="AQ725" s="2"/>
      <c r="AR725" s="2"/>
      <c r="AS725" s="2"/>
      <c r="AT725" s="7"/>
      <c r="AU725" s="2"/>
      <c r="AV725" s="2"/>
      <c r="AW725" s="2"/>
      <c r="AX725" s="2"/>
    </row>
    <row r="726">
      <c r="A726" s="2"/>
      <c r="B726" s="2"/>
      <c r="C726" s="2"/>
      <c r="D726" s="2"/>
      <c r="E726" s="2"/>
      <c r="F726" s="2"/>
      <c r="G726" s="2"/>
      <c r="H726" s="2"/>
      <c r="I726" s="2"/>
      <c r="J726" s="2"/>
      <c r="K726" s="2"/>
      <c r="L726" s="3"/>
      <c r="M726" s="4"/>
      <c r="N726" s="4"/>
      <c r="O726" s="5"/>
      <c r="P726" s="6"/>
      <c r="Q726" s="3"/>
      <c r="R726" s="2"/>
      <c r="S726" s="2"/>
      <c r="T726" s="2"/>
      <c r="U726" s="2"/>
      <c r="V726" s="3"/>
      <c r="W726" s="2"/>
      <c r="X726" s="2"/>
      <c r="Y726" s="2"/>
      <c r="Z726" s="2"/>
      <c r="AA726" s="3"/>
      <c r="AB726" s="2"/>
      <c r="AC726" s="2"/>
      <c r="AD726" s="2"/>
      <c r="AE726" s="2"/>
      <c r="AF726" s="3"/>
      <c r="AG726" s="2"/>
      <c r="AH726" s="2"/>
      <c r="AI726" s="2"/>
      <c r="AJ726" s="2"/>
      <c r="AK726" s="3"/>
      <c r="AL726" s="2"/>
      <c r="AM726" s="2"/>
      <c r="AN726" s="2"/>
      <c r="AO726" s="2"/>
      <c r="AP726" s="3"/>
      <c r="AQ726" s="2"/>
      <c r="AR726" s="2"/>
      <c r="AS726" s="2"/>
      <c r="AT726" s="7"/>
      <c r="AU726" s="2"/>
      <c r="AV726" s="2"/>
      <c r="AW726" s="2"/>
      <c r="AX726" s="2"/>
    </row>
    <row r="727">
      <c r="A727" s="2"/>
      <c r="B727" s="2"/>
      <c r="C727" s="2"/>
      <c r="D727" s="2"/>
      <c r="E727" s="2"/>
      <c r="F727" s="2"/>
      <c r="G727" s="2"/>
      <c r="H727" s="2"/>
      <c r="I727" s="2"/>
      <c r="J727" s="2"/>
      <c r="K727" s="2"/>
      <c r="L727" s="3"/>
      <c r="M727" s="4"/>
      <c r="N727" s="4"/>
      <c r="O727" s="5"/>
      <c r="P727" s="6"/>
      <c r="Q727" s="3"/>
      <c r="R727" s="2"/>
      <c r="S727" s="2"/>
      <c r="T727" s="2"/>
      <c r="U727" s="2"/>
      <c r="V727" s="3"/>
      <c r="W727" s="2"/>
      <c r="X727" s="2"/>
      <c r="Y727" s="2"/>
      <c r="Z727" s="2"/>
      <c r="AA727" s="3"/>
      <c r="AB727" s="2"/>
      <c r="AC727" s="2"/>
      <c r="AD727" s="2"/>
      <c r="AE727" s="2"/>
      <c r="AF727" s="3"/>
      <c r="AG727" s="2"/>
      <c r="AH727" s="2"/>
      <c r="AI727" s="2"/>
      <c r="AJ727" s="2"/>
      <c r="AK727" s="3"/>
      <c r="AL727" s="2"/>
      <c r="AM727" s="2"/>
      <c r="AN727" s="2"/>
      <c r="AO727" s="2"/>
      <c r="AP727" s="3"/>
      <c r="AQ727" s="2"/>
      <c r="AR727" s="2"/>
      <c r="AS727" s="2"/>
      <c r="AT727" s="7"/>
      <c r="AU727" s="2"/>
      <c r="AV727" s="2"/>
      <c r="AW727" s="2"/>
      <c r="AX727" s="2"/>
    </row>
    <row r="728">
      <c r="A728" s="2"/>
      <c r="B728" s="2"/>
      <c r="C728" s="2"/>
      <c r="D728" s="2"/>
      <c r="E728" s="2"/>
      <c r="F728" s="2"/>
      <c r="G728" s="2"/>
      <c r="H728" s="2"/>
      <c r="I728" s="2"/>
      <c r="J728" s="2"/>
      <c r="K728" s="2"/>
      <c r="L728" s="3"/>
      <c r="M728" s="4"/>
      <c r="N728" s="4"/>
      <c r="O728" s="5"/>
      <c r="P728" s="6"/>
      <c r="Q728" s="3"/>
      <c r="R728" s="2"/>
      <c r="S728" s="2"/>
      <c r="T728" s="2"/>
      <c r="U728" s="2"/>
      <c r="V728" s="3"/>
      <c r="W728" s="2"/>
      <c r="X728" s="2"/>
      <c r="Y728" s="2"/>
      <c r="Z728" s="2"/>
      <c r="AA728" s="3"/>
      <c r="AB728" s="2"/>
      <c r="AC728" s="2"/>
      <c r="AD728" s="2"/>
      <c r="AE728" s="2"/>
      <c r="AF728" s="3"/>
      <c r="AG728" s="2"/>
      <c r="AH728" s="2"/>
      <c r="AI728" s="2"/>
      <c r="AJ728" s="2"/>
      <c r="AK728" s="3"/>
      <c r="AL728" s="2"/>
      <c r="AM728" s="2"/>
      <c r="AN728" s="2"/>
      <c r="AO728" s="2"/>
      <c r="AP728" s="3"/>
      <c r="AQ728" s="2"/>
      <c r="AR728" s="2"/>
      <c r="AS728" s="2"/>
      <c r="AT728" s="7"/>
      <c r="AU728" s="2"/>
      <c r="AV728" s="2"/>
      <c r="AW728" s="2"/>
      <c r="AX728" s="2"/>
    </row>
    <row r="729">
      <c r="A729" s="2"/>
      <c r="B729" s="2"/>
      <c r="C729" s="2"/>
      <c r="D729" s="2"/>
      <c r="E729" s="2"/>
      <c r="F729" s="2"/>
      <c r="G729" s="2"/>
      <c r="H729" s="2"/>
      <c r="I729" s="2"/>
      <c r="J729" s="2"/>
      <c r="K729" s="2"/>
      <c r="L729" s="3"/>
      <c r="M729" s="4"/>
      <c r="N729" s="4"/>
      <c r="O729" s="5"/>
      <c r="P729" s="6"/>
      <c r="Q729" s="3"/>
      <c r="R729" s="2"/>
      <c r="S729" s="2"/>
      <c r="T729" s="2"/>
      <c r="U729" s="2"/>
      <c r="V729" s="3"/>
      <c r="W729" s="2"/>
      <c r="X729" s="2"/>
      <c r="Y729" s="2"/>
      <c r="Z729" s="2"/>
      <c r="AA729" s="3"/>
      <c r="AB729" s="2"/>
      <c r="AC729" s="2"/>
      <c r="AD729" s="2"/>
      <c r="AE729" s="2"/>
      <c r="AF729" s="3"/>
      <c r="AG729" s="2"/>
      <c r="AH729" s="2"/>
      <c r="AI729" s="2"/>
      <c r="AJ729" s="2"/>
      <c r="AK729" s="3"/>
      <c r="AL729" s="2"/>
      <c r="AM729" s="2"/>
      <c r="AN729" s="2"/>
      <c r="AO729" s="2"/>
      <c r="AP729" s="3"/>
      <c r="AQ729" s="2"/>
      <c r="AR729" s="2"/>
      <c r="AS729" s="2"/>
      <c r="AT729" s="7"/>
      <c r="AU729" s="2"/>
      <c r="AV729" s="2"/>
      <c r="AW729" s="2"/>
      <c r="AX729" s="2"/>
    </row>
    <row r="730">
      <c r="A730" s="2"/>
      <c r="B730" s="2"/>
      <c r="C730" s="2"/>
      <c r="D730" s="2"/>
      <c r="E730" s="2"/>
      <c r="F730" s="2"/>
      <c r="G730" s="2"/>
      <c r="H730" s="2"/>
      <c r="I730" s="2"/>
      <c r="J730" s="2"/>
      <c r="K730" s="2"/>
      <c r="L730" s="3"/>
      <c r="M730" s="4"/>
      <c r="N730" s="4"/>
      <c r="O730" s="5"/>
      <c r="P730" s="6"/>
      <c r="Q730" s="3"/>
      <c r="R730" s="2"/>
      <c r="S730" s="2"/>
      <c r="T730" s="2"/>
      <c r="U730" s="2"/>
      <c r="V730" s="3"/>
      <c r="W730" s="2"/>
      <c r="X730" s="2"/>
      <c r="Y730" s="2"/>
      <c r="Z730" s="2"/>
      <c r="AA730" s="3"/>
      <c r="AB730" s="2"/>
      <c r="AC730" s="2"/>
      <c r="AD730" s="2"/>
      <c r="AE730" s="2"/>
      <c r="AF730" s="3"/>
      <c r="AG730" s="2"/>
      <c r="AH730" s="2"/>
      <c r="AI730" s="2"/>
      <c r="AJ730" s="2"/>
      <c r="AK730" s="3"/>
      <c r="AL730" s="2"/>
      <c r="AM730" s="2"/>
      <c r="AN730" s="2"/>
      <c r="AO730" s="2"/>
      <c r="AP730" s="3"/>
      <c r="AQ730" s="2"/>
      <c r="AR730" s="2"/>
      <c r="AS730" s="2"/>
      <c r="AT730" s="7"/>
      <c r="AU730" s="2"/>
      <c r="AV730" s="2"/>
      <c r="AW730" s="2"/>
      <c r="AX730" s="2"/>
    </row>
    <row r="731">
      <c r="A731" s="2"/>
      <c r="B731" s="2"/>
      <c r="C731" s="2"/>
      <c r="D731" s="2"/>
      <c r="E731" s="2"/>
      <c r="F731" s="2"/>
      <c r="G731" s="2"/>
      <c r="H731" s="2"/>
      <c r="I731" s="2"/>
      <c r="J731" s="2"/>
      <c r="K731" s="2"/>
      <c r="L731" s="3"/>
      <c r="M731" s="4"/>
      <c r="N731" s="4"/>
      <c r="O731" s="5"/>
      <c r="P731" s="6"/>
      <c r="Q731" s="3"/>
      <c r="R731" s="2"/>
      <c r="S731" s="2"/>
      <c r="T731" s="2"/>
      <c r="U731" s="2"/>
      <c r="V731" s="3"/>
      <c r="W731" s="2"/>
      <c r="X731" s="2"/>
      <c r="Y731" s="2"/>
      <c r="Z731" s="2"/>
      <c r="AA731" s="3"/>
      <c r="AB731" s="2"/>
      <c r="AC731" s="2"/>
      <c r="AD731" s="2"/>
      <c r="AE731" s="2"/>
      <c r="AF731" s="3"/>
      <c r="AG731" s="2"/>
      <c r="AH731" s="2"/>
      <c r="AI731" s="2"/>
      <c r="AJ731" s="2"/>
      <c r="AK731" s="3"/>
      <c r="AL731" s="2"/>
      <c r="AM731" s="2"/>
      <c r="AN731" s="2"/>
      <c r="AO731" s="2"/>
      <c r="AP731" s="3"/>
      <c r="AQ731" s="2"/>
      <c r="AR731" s="2"/>
      <c r="AS731" s="2"/>
      <c r="AT731" s="7"/>
      <c r="AU731" s="2"/>
      <c r="AV731" s="2"/>
      <c r="AW731" s="2"/>
      <c r="AX731" s="2"/>
    </row>
    <row r="732">
      <c r="A732" s="2"/>
      <c r="B732" s="2"/>
      <c r="C732" s="2"/>
      <c r="D732" s="2"/>
      <c r="E732" s="2"/>
      <c r="F732" s="2"/>
      <c r="G732" s="2"/>
      <c r="H732" s="2"/>
      <c r="I732" s="2"/>
      <c r="J732" s="2"/>
      <c r="K732" s="2"/>
      <c r="L732" s="3"/>
      <c r="M732" s="4"/>
      <c r="N732" s="4"/>
      <c r="O732" s="5"/>
      <c r="P732" s="6"/>
      <c r="Q732" s="3"/>
      <c r="R732" s="2"/>
      <c r="S732" s="2"/>
      <c r="T732" s="2"/>
      <c r="U732" s="2"/>
      <c r="V732" s="3"/>
      <c r="W732" s="2"/>
      <c r="X732" s="2"/>
      <c r="Y732" s="2"/>
      <c r="Z732" s="2"/>
      <c r="AA732" s="3"/>
      <c r="AB732" s="2"/>
      <c r="AC732" s="2"/>
      <c r="AD732" s="2"/>
      <c r="AE732" s="2"/>
      <c r="AF732" s="3"/>
      <c r="AG732" s="2"/>
      <c r="AH732" s="2"/>
      <c r="AI732" s="2"/>
      <c r="AJ732" s="2"/>
      <c r="AK732" s="3"/>
      <c r="AL732" s="2"/>
      <c r="AM732" s="2"/>
      <c r="AN732" s="2"/>
      <c r="AO732" s="2"/>
      <c r="AP732" s="3"/>
      <c r="AQ732" s="2"/>
      <c r="AR732" s="2"/>
      <c r="AS732" s="2"/>
      <c r="AT732" s="7"/>
      <c r="AU732" s="2"/>
      <c r="AV732" s="2"/>
      <c r="AW732" s="2"/>
      <c r="AX732" s="2"/>
    </row>
    <row r="733">
      <c r="A733" s="2"/>
      <c r="B733" s="2"/>
      <c r="C733" s="2"/>
      <c r="D733" s="2"/>
      <c r="E733" s="2"/>
      <c r="F733" s="2"/>
      <c r="G733" s="2"/>
      <c r="H733" s="2"/>
      <c r="I733" s="2"/>
      <c r="J733" s="2"/>
      <c r="K733" s="2"/>
      <c r="L733" s="3"/>
      <c r="M733" s="4"/>
      <c r="N733" s="4"/>
      <c r="O733" s="5"/>
      <c r="P733" s="6"/>
      <c r="Q733" s="3"/>
      <c r="R733" s="2"/>
      <c r="S733" s="2"/>
      <c r="T733" s="2"/>
      <c r="U733" s="2"/>
      <c r="V733" s="3"/>
      <c r="W733" s="2"/>
      <c r="X733" s="2"/>
      <c r="Y733" s="2"/>
      <c r="Z733" s="2"/>
      <c r="AA733" s="3"/>
      <c r="AB733" s="2"/>
      <c r="AC733" s="2"/>
      <c r="AD733" s="2"/>
      <c r="AE733" s="2"/>
      <c r="AF733" s="3"/>
      <c r="AG733" s="2"/>
      <c r="AH733" s="2"/>
      <c r="AI733" s="2"/>
      <c r="AJ733" s="2"/>
      <c r="AK733" s="3"/>
      <c r="AL733" s="2"/>
      <c r="AM733" s="2"/>
      <c r="AN733" s="2"/>
      <c r="AO733" s="2"/>
      <c r="AP733" s="3"/>
      <c r="AQ733" s="2"/>
      <c r="AR733" s="2"/>
      <c r="AS733" s="2"/>
      <c r="AT733" s="7"/>
      <c r="AU733" s="2"/>
      <c r="AV733" s="2"/>
      <c r="AW733" s="2"/>
      <c r="AX733" s="2"/>
    </row>
    <row r="734">
      <c r="A734" s="2"/>
      <c r="B734" s="2"/>
      <c r="C734" s="2"/>
      <c r="D734" s="2"/>
      <c r="E734" s="2"/>
      <c r="F734" s="2"/>
      <c r="G734" s="2"/>
      <c r="H734" s="2"/>
      <c r="I734" s="2"/>
      <c r="J734" s="2"/>
      <c r="K734" s="2"/>
      <c r="L734" s="3"/>
      <c r="M734" s="4"/>
      <c r="N734" s="4"/>
      <c r="O734" s="5"/>
      <c r="P734" s="6"/>
      <c r="Q734" s="3"/>
      <c r="R734" s="2"/>
      <c r="S734" s="2"/>
      <c r="T734" s="2"/>
      <c r="U734" s="2"/>
      <c r="V734" s="3"/>
      <c r="W734" s="2"/>
      <c r="X734" s="2"/>
      <c r="Y734" s="2"/>
      <c r="Z734" s="2"/>
      <c r="AA734" s="3"/>
      <c r="AB734" s="2"/>
      <c r="AC734" s="2"/>
      <c r="AD734" s="2"/>
      <c r="AE734" s="2"/>
      <c r="AF734" s="3"/>
      <c r="AG734" s="2"/>
      <c r="AH734" s="2"/>
      <c r="AI734" s="2"/>
      <c r="AJ734" s="2"/>
      <c r="AK734" s="3"/>
      <c r="AL734" s="2"/>
      <c r="AM734" s="2"/>
      <c r="AN734" s="2"/>
      <c r="AO734" s="2"/>
      <c r="AP734" s="3"/>
      <c r="AQ734" s="2"/>
      <c r="AR734" s="2"/>
      <c r="AS734" s="2"/>
      <c r="AT734" s="7"/>
      <c r="AU734" s="2"/>
      <c r="AV734" s="2"/>
      <c r="AW734" s="2"/>
      <c r="AX734" s="2"/>
    </row>
    <row r="735">
      <c r="A735" s="2"/>
      <c r="B735" s="2"/>
      <c r="C735" s="2"/>
      <c r="D735" s="2"/>
      <c r="E735" s="2"/>
      <c r="F735" s="2"/>
      <c r="G735" s="2"/>
      <c r="H735" s="2"/>
      <c r="I735" s="2"/>
      <c r="J735" s="2"/>
      <c r="K735" s="2"/>
      <c r="L735" s="3"/>
      <c r="M735" s="4"/>
      <c r="N735" s="4"/>
      <c r="O735" s="5"/>
      <c r="P735" s="6"/>
      <c r="Q735" s="3"/>
      <c r="R735" s="2"/>
      <c r="S735" s="2"/>
      <c r="T735" s="2"/>
      <c r="U735" s="2"/>
      <c r="V735" s="3"/>
      <c r="W735" s="2"/>
      <c r="X735" s="2"/>
      <c r="Y735" s="2"/>
      <c r="Z735" s="2"/>
      <c r="AA735" s="3"/>
      <c r="AB735" s="2"/>
      <c r="AC735" s="2"/>
      <c r="AD735" s="2"/>
      <c r="AE735" s="2"/>
      <c r="AF735" s="3"/>
      <c r="AG735" s="2"/>
      <c r="AH735" s="2"/>
      <c r="AI735" s="2"/>
      <c r="AJ735" s="2"/>
      <c r="AK735" s="3"/>
      <c r="AL735" s="2"/>
      <c r="AM735" s="2"/>
      <c r="AN735" s="2"/>
      <c r="AO735" s="2"/>
      <c r="AP735" s="3"/>
      <c r="AQ735" s="2"/>
      <c r="AR735" s="2"/>
      <c r="AS735" s="2"/>
      <c r="AT735" s="7"/>
      <c r="AU735" s="2"/>
      <c r="AV735" s="2"/>
      <c r="AW735" s="2"/>
      <c r="AX735" s="2"/>
    </row>
    <row r="736">
      <c r="A736" s="2"/>
      <c r="B736" s="2"/>
      <c r="C736" s="2"/>
      <c r="D736" s="2"/>
      <c r="E736" s="2"/>
      <c r="F736" s="2"/>
      <c r="G736" s="2"/>
      <c r="H736" s="2"/>
      <c r="I736" s="2"/>
      <c r="J736" s="2"/>
      <c r="K736" s="2"/>
      <c r="L736" s="3"/>
      <c r="M736" s="4"/>
      <c r="N736" s="4"/>
      <c r="O736" s="5"/>
      <c r="P736" s="6"/>
      <c r="Q736" s="3"/>
      <c r="R736" s="2"/>
      <c r="S736" s="2"/>
      <c r="T736" s="2"/>
      <c r="U736" s="2"/>
      <c r="V736" s="3"/>
      <c r="W736" s="2"/>
      <c r="X736" s="2"/>
      <c r="Y736" s="2"/>
      <c r="Z736" s="2"/>
      <c r="AA736" s="3"/>
      <c r="AB736" s="2"/>
      <c r="AC736" s="2"/>
      <c r="AD736" s="2"/>
      <c r="AE736" s="2"/>
      <c r="AF736" s="3"/>
      <c r="AG736" s="2"/>
      <c r="AH736" s="2"/>
      <c r="AI736" s="2"/>
      <c r="AJ736" s="2"/>
      <c r="AK736" s="3"/>
      <c r="AL736" s="2"/>
      <c r="AM736" s="2"/>
      <c r="AN736" s="2"/>
      <c r="AO736" s="2"/>
      <c r="AP736" s="3"/>
      <c r="AQ736" s="2"/>
      <c r="AR736" s="2"/>
      <c r="AS736" s="2"/>
      <c r="AT736" s="7"/>
      <c r="AU736" s="2"/>
      <c r="AV736" s="2"/>
      <c r="AW736" s="2"/>
      <c r="AX736" s="2"/>
    </row>
    <row r="737">
      <c r="A737" s="2"/>
      <c r="B737" s="2"/>
      <c r="C737" s="2"/>
      <c r="D737" s="2"/>
      <c r="E737" s="2"/>
      <c r="F737" s="2"/>
      <c r="G737" s="2"/>
      <c r="H737" s="2"/>
      <c r="I737" s="2"/>
      <c r="J737" s="2"/>
      <c r="K737" s="2"/>
      <c r="L737" s="3"/>
      <c r="M737" s="4"/>
      <c r="N737" s="4"/>
      <c r="O737" s="5"/>
      <c r="P737" s="6"/>
      <c r="Q737" s="3"/>
      <c r="R737" s="2"/>
      <c r="S737" s="2"/>
      <c r="T737" s="2"/>
      <c r="U737" s="2"/>
      <c r="V737" s="3"/>
      <c r="W737" s="2"/>
      <c r="X737" s="2"/>
      <c r="Y737" s="2"/>
      <c r="Z737" s="2"/>
      <c r="AA737" s="3"/>
      <c r="AB737" s="2"/>
      <c r="AC737" s="2"/>
      <c r="AD737" s="2"/>
      <c r="AE737" s="2"/>
      <c r="AF737" s="3"/>
      <c r="AG737" s="2"/>
      <c r="AH737" s="2"/>
      <c r="AI737" s="2"/>
      <c r="AJ737" s="2"/>
      <c r="AK737" s="3"/>
      <c r="AL737" s="2"/>
      <c r="AM737" s="2"/>
      <c r="AN737" s="2"/>
      <c r="AO737" s="2"/>
      <c r="AP737" s="3"/>
      <c r="AQ737" s="2"/>
      <c r="AR737" s="2"/>
      <c r="AS737" s="2"/>
      <c r="AT737" s="7"/>
      <c r="AU737" s="2"/>
      <c r="AV737" s="2"/>
      <c r="AW737" s="2"/>
      <c r="AX737" s="2"/>
    </row>
    <row r="738">
      <c r="A738" s="2"/>
      <c r="B738" s="2"/>
      <c r="C738" s="2"/>
      <c r="D738" s="2"/>
      <c r="E738" s="2"/>
      <c r="F738" s="2"/>
      <c r="G738" s="2"/>
      <c r="H738" s="2"/>
      <c r="I738" s="2"/>
      <c r="J738" s="2"/>
      <c r="K738" s="2"/>
      <c r="L738" s="3"/>
      <c r="M738" s="4"/>
      <c r="N738" s="4"/>
      <c r="O738" s="5"/>
      <c r="P738" s="6"/>
      <c r="Q738" s="3"/>
      <c r="R738" s="2"/>
      <c r="S738" s="2"/>
      <c r="T738" s="2"/>
      <c r="U738" s="2"/>
      <c r="V738" s="3"/>
      <c r="W738" s="2"/>
      <c r="X738" s="2"/>
      <c r="Y738" s="2"/>
      <c r="Z738" s="2"/>
      <c r="AA738" s="3"/>
      <c r="AB738" s="2"/>
      <c r="AC738" s="2"/>
      <c r="AD738" s="2"/>
      <c r="AE738" s="2"/>
      <c r="AF738" s="3"/>
      <c r="AG738" s="2"/>
      <c r="AH738" s="2"/>
      <c r="AI738" s="2"/>
      <c r="AJ738" s="2"/>
      <c r="AK738" s="3"/>
      <c r="AL738" s="2"/>
      <c r="AM738" s="2"/>
      <c r="AN738" s="2"/>
      <c r="AO738" s="2"/>
      <c r="AP738" s="3"/>
      <c r="AQ738" s="2"/>
      <c r="AR738" s="2"/>
      <c r="AS738" s="2"/>
      <c r="AT738" s="7"/>
      <c r="AU738" s="2"/>
      <c r="AV738" s="2"/>
      <c r="AW738" s="2"/>
      <c r="AX738" s="2"/>
    </row>
    <row r="739">
      <c r="A739" s="2"/>
      <c r="B739" s="2"/>
      <c r="C739" s="2"/>
      <c r="D739" s="2"/>
      <c r="E739" s="2"/>
      <c r="F739" s="2"/>
      <c r="G739" s="2"/>
      <c r="H739" s="2"/>
      <c r="I739" s="2"/>
      <c r="J739" s="2"/>
      <c r="K739" s="2"/>
      <c r="L739" s="3"/>
      <c r="M739" s="4"/>
      <c r="N739" s="4"/>
      <c r="O739" s="5"/>
      <c r="P739" s="6"/>
      <c r="Q739" s="3"/>
      <c r="R739" s="2"/>
      <c r="S739" s="2"/>
      <c r="T739" s="2"/>
      <c r="U739" s="2"/>
      <c r="V739" s="3"/>
      <c r="W739" s="2"/>
      <c r="X739" s="2"/>
      <c r="Y739" s="2"/>
      <c r="Z739" s="2"/>
      <c r="AA739" s="3"/>
      <c r="AB739" s="2"/>
      <c r="AC739" s="2"/>
      <c r="AD739" s="2"/>
      <c r="AE739" s="2"/>
      <c r="AF739" s="3"/>
      <c r="AG739" s="2"/>
      <c r="AH739" s="2"/>
      <c r="AI739" s="2"/>
      <c r="AJ739" s="2"/>
      <c r="AK739" s="3"/>
      <c r="AL739" s="2"/>
      <c r="AM739" s="2"/>
      <c r="AN739" s="2"/>
      <c r="AO739" s="2"/>
      <c r="AP739" s="3"/>
      <c r="AQ739" s="2"/>
      <c r="AR739" s="2"/>
      <c r="AS739" s="2"/>
      <c r="AT739" s="7"/>
      <c r="AU739" s="2"/>
      <c r="AV739" s="2"/>
      <c r="AW739" s="2"/>
      <c r="AX739" s="2"/>
    </row>
    <row r="740">
      <c r="A740" s="2"/>
      <c r="B740" s="2"/>
      <c r="C740" s="2"/>
      <c r="D740" s="2"/>
      <c r="E740" s="2"/>
      <c r="F740" s="2"/>
      <c r="G740" s="2"/>
      <c r="H740" s="2"/>
      <c r="I740" s="2"/>
      <c r="J740" s="2"/>
      <c r="K740" s="2"/>
      <c r="L740" s="3"/>
      <c r="M740" s="4"/>
      <c r="N740" s="4"/>
      <c r="O740" s="5"/>
      <c r="P740" s="6"/>
      <c r="Q740" s="3"/>
      <c r="R740" s="2"/>
      <c r="S740" s="2"/>
      <c r="T740" s="2"/>
      <c r="U740" s="2"/>
      <c r="V740" s="3"/>
      <c r="W740" s="2"/>
      <c r="X740" s="2"/>
      <c r="Y740" s="2"/>
      <c r="Z740" s="2"/>
      <c r="AA740" s="3"/>
      <c r="AB740" s="2"/>
      <c r="AC740" s="2"/>
      <c r="AD740" s="2"/>
      <c r="AE740" s="2"/>
      <c r="AF740" s="3"/>
      <c r="AG740" s="2"/>
      <c r="AH740" s="2"/>
      <c r="AI740" s="2"/>
      <c r="AJ740" s="2"/>
      <c r="AK740" s="3"/>
      <c r="AL740" s="2"/>
      <c r="AM740" s="2"/>
      <c r="AN740" s="2"/>
      <c r="AO740" s="2"/>
      <c r="AP740" s="3"/>
      <c r="AQ740" s="2"/>
      <c r="AR740" s="2"/>
      <c r="AS740" s="2"/>
      <c r="AT740" s="7"/>
      <c r="AU740" s="2"/>
      <c r="AV740" s="2"/>
      <c r="AW740" s="2"/>
      <c r="AX740" s="2"/>
    </row>
    <row r="741">
      <c r="A741" s="2"/>
      <c r="B741" s="2"/>
      <c r="C741" s="2"/>
      <c r="D741" s="2"/>
      <c r="E741" s="2"/>
      <c r="F741" s="2"/>
      <c r="G741" s="2"/>
      <c r="H741" s="2"/>
      <c r="I741" s="2"/>
      <c r="J741" s="2"/>
      <c r="K741" s="2"/>
      <c r="L741" s="3"/>
      <c r="M741" s="4"/>
      <c r="N741" s="4"/>
      <c r="O741" s="5"/>
      <c r="P741" s="6"/>
      <c r="Q741" s="3"/>
      <c r="R741" s="2"/>
      <c r="S741" s="2"/>
      <c r="T741" s="2"/>
      <c r="U741" s="2"/>
      <c r="V741" s="3"/>
      <c r="W741" s="2"/>
      <c r="X741" s="2"/>
      <c r="Y741" s="2"/>
      <c r="Z741" s="2"/>
      <c r="AA741" s="3"/>
      <c r="AB741" s="2"/>
      <c r="AC741" s="2"/>
      <c r="AD741" s="2"/>
      <c r="AE741" s="2"/>
      <c r="AF741" s="3"/>
      <c r="AG741" s="2"/>
      <c r="AH741" s="2"/>
      <c r="AI741" s="2"/>
      <c r="AJ741" s="2"/>
      <c r="AK741" s="3"/>
      <c r="AL741" s="2"/>
      <c r="AM741" s="2"/>
      <c r="AN741" s="2"/>
      <c r="AO741" s="2"/>
      <c r="AP741" s="3"/>
      <c r="AQ741" s="2"/>
      <c r="AR741" s="2"/>
      <c r="AS741" s="2"/>
      <c r="AT741" s="7"/>
      <c r="AU741" s="2"/>
      <c r="AV741" s="2"/>
      <c r="AW741" s="2"/>
      <c r="AX741" s="2"/>
    </row>
    <row r="742">
      <c r="A742" s="2"/>
      <c r="B742" s="2"/>
      <c r="C742" s="2"/>
      <c r="D742" s="2"/>
      <c r="E742" s="2"/>
      <c r="F742" s="2"/>
      <c r="G742" s="2"/>
      <c r="H742" s="2"/>
      <c r="I742" s="2"/>
      <c r="J742" s="2"/>
      <c r="K742" s="2"/>
      <c r="L742" s="3"/>
      <c r="M742" s="4"/>
      <c r="N742" s="4"/>
      <c r="O742" s="5"/>
      <c r="P742" s="6"/>
      <c r="Q742" s="3"/>
      <c r="R742" s="2"/>
      <c r="S742" s="2"/>
      <c r="T742" s="2"/>
      <c r="U742" s="2"/>
      <c r="V742" s="3"/>
      <c r="W742" s="2"/>
      <c r="X742" s="2"/>
      <c r="Y742" s="2"/>
      <c r="Z742" s="2"/>
      <c r="AA742" s="3"/>
      <c r="AB742" s="2"/>
      <c r="AC742" s="2"/>
      <c r="AD742" s="2"/>
      <c r="AE742" s="2"/>
      <c r="AF742" s="3"/>
      <c r="AG742" s="2"/>
      <c r="AH742" s="2"/>
      <c r="AI742" s="2"/>
      <c r="AJ742" s="2"/>
      <c r="AK742" s="3"/>
      <c r="AL742" s="2"/>
      <c r="AM742" s="2"/>
      <c r="AN742" s="2"/>
      <c r="AO742" s="2"/>
      <c r="AP742" s="3"/>
      <c r="AQ742" s="2"/>
      <c r="AR742" s="2"/>
      <c r="AS742" s="2"/>
      <c r="AT742" s="7"/>
      <c r="AU742" s="2"/>
      <c r="AV742" s="2"/>
      <c r="AW742" s="2"/>
      <c r="AX742" s="2"/>
    </row>
    <row r="743">
      <c r="A743" s="2"/>
      <c r="B743" s="2"/>
      <c r="C743" s="2"/>
      <c r="D743" s="2"/>
      <c r="E743" s="2"/>
      <c r="F743" s="2"/>
      <c r="G743" s="2"/>
      <c r="H743" s="2"/>
      <c r="I743" s="2"/>
      <c r="J743" s="2"/>
      <c r="K743" s="2"/>
      <c r="L743" s="3"/>
      <c r="M743" s="4"/>
      <c r="N743" s="4"/>
      <c r="O743" s="5"/>
      <c r="P743" s="6"/>
      <c r="Q743" s="3"/>
      <c r="R743" s="2"/>
      <c r="S743" s="2"/>
      <c r="T743" s="2"/>
      <c r="U743" s="2"/>
      <c r="V743" s="3"/>
      <c r="W743" s="2"/>
      <c r="X743" s="2"/>
      <c r="Y743" s="2"/>
      <c r="Z743" s="2"/>
      <c r="AA743" s="3"/>
      <c r="AB743" s="2"/>
      <c r="AC743" s="2"/>
      <c r="AD743" s="2"/>
      <c r="AE743" s="2"/>
      <c r="AF743" s="3"/>
      <c r="AG743" s="2"/>
      <c r="AH743" s="2"/>
      <c r="AI743" s="2"/>
      <c r="AJ743" s="2"/>
      <c r="AK743" s="3"/>
      <c r="AL743" s="2"/>
      <c r="AM743" s="2"/>
      <c r="AN743" s="2"/>
      <c r="AO743" s="2"/>
      <c r="AP743" s="3"/>
      <c r="AQ743" s="2"/>
      <c r="AR743" s="2"/>
      <c r="AS743" s="2"/>
      <c r="AT743" s="7"/>
      <c r="AU743" s="2"/>
      <c r="AV743" s="2"/>
      <c r="AW743" s="2"/>
      <c r="AX743" s="2"/>
    </row>
    <row r="744">
      <c r="A744" s="2"/>
      <c r="B744" s="2"/>
      <c r="C744" s="2"/>
      <c r="D744" s="2"/>
      <c r="E744" s="2"/>
      <c r="F744" s="2"/>
      <c r="G744" s="2"/>
      <c r="H744" s="2"/>
      <c r="I744" s="2"/>
      <c r="J744" s="2"/>
      <c r="K744" s="2"/>
      <c r="L744" s="3"/>
      <c r="M744" s="4"/>
      <c r="N744" s="4"/>
      <c r="O744" s="5"/>
      <c r="P744" s="6"/>
      <c r="Q744" s="3"/>
      <c r="R744" s="2"/>
      <c r="S744" s="2"/>
      <c r="T744" s="2"/>
      <c r="U744" s="2"/>
      <c r="V744" s="3"/>
      <c r="W744" s="2"/>
      <c r="X744" s="2"/>
      <c r="Y744" s="2"/>
      <c r="Z744" s="2"/>
      <c r="AA744" s="3"/>
      <c r="AB744" s="2"/>
      <c r="AC744" s="2"/>
      <c r="AD744" s="2"/>
      <c r="AE744" s="2"/>
      <c r="AF744" s="3"/>
      <c r="AG744" s="2"/>
      <c r="AH744" s="2"/>
      <c r="AI744" s="2"/>
      <c r="AJ744" s="2"/>
      <c r="AK744" s="3"/>
      <c r="AL744" s="2"/>
      <c r="AM744" s="2"/>
      <c r="AN744" s="2"/>
      <c r="AO744" s="2"/>
      <c r="AP744" s="3"/>
      <c r="AQ744" s="2"/>
      <c r="AR744" s="2"/>
      <c r="AS744" s="2"/>
      <c r="AT744" s="7"/>
      <c r="AU744" s="2"/>
      <c r="AV744" s="2"/>
      <c r="AW744" s="2"/>
      <c r="AX744" s="2"/>
    </row>
    <row r="745">
      <c r="A745" s="2"/>
      <c r="B745" s="2"/>
      <c r="C745" s="2"/>
      <c r="D745" s="2"/>
      <c r="E745" s="2"/>
      <c r="F745" s="2"/>
      <c r="G745" s="2"/>
      <c r="H745" s="2"/>
      <c r="I745" s="2"/>
      <c r="J745" s="2"/>
      <c r="K745" s="2"/>
      <c r="L745" s="3"/>
      <c r="M745" s="4"/>
      <c r="N745" s="4"/>
      <c r="O745" s="5"/>
      <c r="P745" s="6"/>
      <c r="Q745" s="3"/>
      <c r="R745" s="2"/>
      <c r="S745" s="2"/>
      <c r="T745" s="2"/>
      <c r="U745" s="2"/>
      <c r="V745" s="3"/>
      <c r="W745" s="2"/>
      <c r="X745" s="2"/>
      <c r="Y745" s="2"/>
      <c r="Z745" s="2"/>
      <c r="AA745" s="3"/>
      <c r="AB745" s="2"/>
      <c r="AC745" s="2"/>
      <c r="AD745" s="2"/>
      <c r="AE745" s="2"/>
      <c r="AF745" s="3"/>
      <c r="AG745" s="2"/>
      <c r="AH745" s="2"/>
      <c r="AI745" s="2"/>
      <c r="AJ745" s="2"/>
      <c r="AK745" s="3"/>
      <c r="AL745" s="2"/>
      <c r="AM745" s="2"/>
      <c r="AN745" s="2"/>
      <c r="AO745" s="2"/>
      <c r="AP745" s="3"/>
      <c r="AQ745" s="2"/>
      <c r="AR745" s="2"/>
      <c r="AS745" s="2"/>
      <c r="AT745" s="7"/>
      <c r="AU745" s="2"/>
      <c r="AV745" s="2"/>
      <c r="AW745" s="2"/>
      <c r="AX745" s="2"/>
    </row>
    <row r="746">
      <c r="A746" s="2"/>
      <c r="B746" s="2"/>
      <c r="C746" s="2"/>
      <c r="D746" s="2"/>
      <c r="E746" s="2"/>
      <c r="F746" s="2"/>
      <c r="G746" s="2"/>
      <c r="H746" s="2"/>
      <c r="I746" s="2"/>
      <c r="J746" s="2"/>
      <c r="K746" s="2"/>
      <c r="L746" s="3"/>
      <c r="M746" s="4"/>
      <c r="N746" s="4"/>
      <c r="O746" s="5"/>
      <c r="P746" s="6"/>
      <c r="Q746" s="3"/>
      <c r="R746" s="2"/>
      <c r="S746" s="2"/>
      <c r="T746" s="2"/>
      <c r="U746" s="2"/>
      <c r="V746" s="3"/>
      <c r="W746" s="2"/>
      <c r="X746" s="2"/>
      <c r="Y746" s="2"/>
      <c r="Z746" s="2"/>
      <c r="AA746" s="3"/>
      <c r="AB746" s="2"/>
      <c r="AC746" s="2"/>
      <c r="AD746" s="2"/>
      <c r="AE746" s="2"/>
      <c r="AF746" s="3"/>
      <c r="AG746" s="2"/>
      <c r="AH746" s="2"/>
      <c r="AI746" s="2"/>
      <c r="AJ746" s="2"/>
      <c r="AK746" s="3"/>
      <c r="AL746" s="2"/>
      <c r="AM746" s="2"/>
      <c r="AN746" s="2"/>
      <c r="AO746" s="2"/>
      <c r="AP746" s="3"/>
      <c r="AQ746" s="2"/>
      <c r="AR746" s="2"/>
      <c r="AS746" s="2"/>
      <c r="AT746" s="7"/>
      <c r="AU746" s="2"/>
      <c r="AV746" s="2"/>
      <c r="AW746" s="2"/>
      <c r="AX746" s="2"/>
    </row>
    <row r="747">
      <c r="A747" s="2"/>
      <c r="B747" s="2"/>
      <c r="C747" s="2"/>
      <c r="D747" s="2"/>
      <c r="E747" s="2"/>
      <c r="F747" s="2"/>
      <c r="G747" s="2"/>
      <c r="H747" s="2"/>
      <c r="I747" s="2"/>
      <c r="J747" s="2"/>
      <c r="K747" s="2"/>
      <c r="L747" s="3"/>
      <c r="M747" s="4"/>
      <c r="N747" s="4"/>
      <c r="O747" s="5"/>
      <c r="P747" s="6"/>
      <c r="Q747" s="3"/>
      <c r="R747" s="2"/>
      <c r="S747" s="2"/>
      <c r="T747" s="2"/>
      <c r="U747" s="2"/>
      <c r="V747" s="3"/>
      <c r="W747" s="2"/>
      <c r="X747" s="2"/>
      <c r="Y747" s="2"/>
      <c r="Z747" s="2"/>
      <c r="AA747" s="3"/>
      <c r="AB747" s="2"/>
      <c r="AC747" s="2"/>
      <c r="AD747" s="2"/>
      <c r="AE747" s="2"/>
      <c r="AF747" s="3"/>
      <c r="AG747" s="2"/>
      <c r="AH747" s="2"/>
      <c r="AI747" s="2"/>
      <c r="AJ747" s="2"/>
      <c r="AK747" s="3"/>
      <c r="AL747" s="2"/>
      <c r="AM747" s="2"/>
      <c r="AN747" s="2"/>
      <c r="AO747" s="2"/>
      <c r="AP747" s="3"/>
      <c r="AQ747" s="2"/>
      <c r="AR747" s="2"/>
      <c r="AS747" s="2"/>
      <c r="AT747" s="7"/>
      <c r="AU747" s="2"/>
      <c r="AV747" s="2"/>
      <c r="AW747" s="2"/>
      <c r="AX747" s="2"/>
    </row>
    <row r="748">
      <c r="A748" s="2"/>
      <c r="B748" s="2"/>
      <c r="C748" s="2"/>
      <c r="D748" s="2"/>
      <c r="E748" s="2"/>
      <c r="F748" s="2"/>
      <c r="G748" s="2"/>
      <c r="H748" s="2"/>
      <c r="I748" s="2"/>
      <c r="J748" s="2"/>
      <c r="K748" s="2"/>
      <c r="L748" s="3"/>
      <c r="M748" s="4"/>
      <c r="N748" s="4"/>
      <c r="O748" s="5"/>
      <c r="P748" s="6"/>
      <c r="Q748" s="3"/>
      <c r="R748" s="2"/>
      <c r="S748" s="2"/>
      <c r="T748" s="2"/>
      <c r="U748" s="2"/>
      <c r="V748" s="3"/>
      <c r="W748" s="2"/>
      <c r="X748" s="2"/>
      <c r="Y748" s="2"/>
      <c r="Z748" s="2"/>
      <c r="AA748" s="3"/>
      <c r="AB748" s="2"/>
      <c r="AC748" s="2"/>
      <c r="AD748" s="2"/>
      <c r="AE748" s="2"/>
      <c r="AF748" s="3"/>
      <c r="AG748" s="2"/>
      <c r="AH748" s="2"/>
      <c r="AI748" s="2"/>
      <c r="AJ748" s="2"/>
      <c r="AK748" s="3"/>
      <c r="AL748" s="2"/>
      <c r="AM748" s="2"/>
      <c r="AN748" s="2"/>
      <c r="AO748" s="2"/>
      <c r="AP748" s="3"/>
      <c r="AQ748" s="2"/>
      <c r="AR748" s="2"/>
      <c r="AS748" s="2"/>
      <c r="AT748" s="7"/>
      <c r="AU748" s="2"/>
      <c r="AV748" s="2"/>
      <c r="AW748" s="2"/>
      <c r="AX748" s="2"/>
    </row>
    <row r="749">
      <c r="A749" s="2"/>
      <c r="B749" s="2"/>
      <c r="C749" s="2"/>
      <c r="D749" s="2"/>
      <c r="E749" s="2"/>
      <c r="F749" s="2"/>
      <c r="G749" s="2"/>
      <c r="H749" s="2"/>
      <c r="I749" s="2"/>
      <c r="J749" s="2"/>
      <c r="K749" s="2"/>
      <c r="L749" s="3"/>
      <c r="M749" s="4"/>
      <c r="N749" s="4"/>
      <c r="O749" s="5"/>
      <c r="P749" s="6"/>
      <c r="Q749" s="3"/>
      <c r="R749" s="2"/>
      <c r="S749" s="2"/>
      <c r="T749" s="2"/>
      <c r="U749" s="2"/>
      <c r="V749" s="3"/>
      <c r="W749" s="2"/>
      <c r="X749" s="2"/>
      <c r="Y749" s="2"/>
      <c r="Z749" s="2"/>
      <c r="AA749" s="3"/>
      <c r="AB749" s="2"/>
      <c r="AC749" s="2"/>
      <c r="AD749" s="2"/>
      <c r="AE749" s="2"/>
      <c r="AF749" s="3"/>
      <c r="AG749" s="2"/>
      <c r="AH749" s="2"/>
      <c r="AI749" s="2"/>
      <c r="AJ749" s="2"/>
      <c r="AK749" s="3"/>
      <c r="AL749" s="2"/>
      <c r="AM749" s="2"/>
      <c r="AN749" s="2"/>
      <c r="AO749" s="2"/>
      <c r="AP749" s="3"/>
      <c r="AQ749" s="2"/>
      <c r="AR749" s="2"/>
      <c r="AS749" s="2"/>
      <c r="AT749" s="7"/>
      <c r="AU749" s="2"/>
      <c r="AV749" s="2"/>
      <c r="AW749" s="2"/>
      <c r="AX749" s="2"/>
    </row>
    <row r="750">
      <c r="A750" s="2"/>
      <c r="B750" s="2"/>
      <c r="C750" s="2"/>
      <c r="D750" s="2"/>
      <c r="E750" s="2"/>
      <c r="F750" s="2"/>
      <c r="G750" s="2"/>
      <c r="H750" s="2"/>
      <c r="I750" s="2"/>
      <c r="J750" s="2"/>
      <c r="K750" s="2"/>
      <c r="L750" s="3"/>
      <c r="M750" s="4"/>
      <c r="N750" s="4"/>
      <c r="O750" s="5"/>
      <c r="P750" s="6"/>
      <c r="Q750" s="3"/>
      <c r="R750" s="2"/>
      <c r="S750" s="2"/>
      <c r="T750" s="2"/>
      <c r="U750" s="2"/>
      <c r="V750" s="3"/>
      <c r="W750" s="2"/>
      <c r="X750" s="2"/>
      <c r="Y750" s="2"/>
      <c r="Z750" s="2"/>
      <c r="AA750" s="3"/>
      <c r="AB750" s="2"/>
      <c r="AC750" s="2"/>
      <c r="AD750" s="2"/>
      <c r="AE750" s="2"/>
      <c r="AF750" s="3"/>
      <c r="AG750" s="2"/>
      <c r="AH750" s="2"/>
      <c r="AI750" s="2"/>
      <c r="AJ750" s="2"/>
      <c r="AK750" s="3"/>
      <c r="AL750" s="2"/>
      <c r="AM750" s="2"/>
      <c r="AN750" s="2"/>
      <c r="AO750" s="2"/>
      <c r="AP750" s="3"/>
      <c r="AQ750" s="2"/>
      <c r="AR750" s="2"/>
      <c r="AS750" s="2"/>
      <c r="AT750" s="7"/>
      <c r="AU750" s="2"/>
      <c r="AV750" s="2"/>
      <c r="AW750" s="2"/>
      <c r="AX750" s="2"/>
    </row>
    <row r="751">
      <c r="A751" s="2"/>
      <c r="B751" s="2"/>
      <c r="C751" s="2"/>
      <c r="D751" s="2"/>
      <c r="E751" s="2"/>
      <c r="F751" s="2"/>
      <c r="G751" s="2"/>
      <c r="H751" s="2"/>
      <c r="I751" s="2"/>
      <c r="J751" s="2"/>
      <c r="K751" s="2"/>
      <c r="L751" s="3"/>
      <c r="M751" s="4"/>
      <c r="N751" s="4"/>
      <c r="O751" s="5"/>
      <c r="P751" s="6"/>
      <c r="Q751" s="3"/>
      <c r="R751" s="2"/>
      <c r="S751" s="2"/>
      <c r="T751" s="2"/>
      <c r="U751" s="2"/>
      <c r="V751" s="3"/>
      <c r="W751" s="2"/>
      <c r="X751" s="2"/>
      <c r="Y751" s="2"/>
      <c r="Z751" s="2"/>
      <c r="AA751" s="3"/>
      <c r="AB751" s="2"/>
      <c r="AC751" s="2"/>
      <c r="AD751" s="2"/>
      <c r="AE751" s="2"/>
      <c r="AF751" s="3"/>
      <c r="AG751" s="2"/>
      <c r="AH751" s="2"/>
      <c r="AI751" s="2"/>
      <c r="AJ751" s="2"/>
      <c r="AK751" s="3"/>
      <c r="AL751" s="2"/>
      <c r="AM751" s="2"/>
      <c r="AN751" s="2"/>
      <c r="AO751" s="2"/>
      <c r="AP751" s="3"/>
      <c r="AQ751" s="2"/>
      <c r="AR751" s="2"/>
      <c r="AS751" s="2"/>
      <c r="AT751" s="7"/>
      <c r="AU751" s="2"/>
      <c r="AV751" s="2"/>
      <c r="AW751" s="2"/>
      <c r="AX751" s="2"/>
    </row>
    <row r="752">
      <c r="A752" s="2"/>
      <c r="B752" s="2"/>
      <c r="C752" s="2"/>
      <c r="D752" s="2"/>
      <c r="E752" s="2"/>
      <c r="F752" s="2"/>
      <c r="G752" s="2"/>
      <c r="H752" s="2"/>
      <c r="I752" s="2"/>
      <c r="J752" s="2"/>
      <c r="K752" s="2"/>
      <c r="L752" s="3"/>
      <c r="M752" s="4"/>
      <c r="N752" s="4"/>
      <c r="O752" s="5"/>
      <c r="P752" s="6"/>
      <c r="Q752" s="3"/>
      <c r="R752" s="2"/>
      <c r="S752" s="2"/>
      <c r="T752" s="2"/>
      <c r="U752" s="2"/>
      <c r="V752" s="3"/>
      <c r="W752" s="2"/>
      <c r="X752" s="2"/>
      <c r="Y752" s="2"/>
      <c r="Z752" s="2"/>
      <c r="AA752" s="3"/>
      <c r="AB752" s="2"/>
      <c r="AC752" s="2"/>
      <c r="AD752" s="2"/>
      <c r="AE752" s="2"/>
      <c r="AF752" s="3"/>
      <c r="AG752" s="2"/>
      <c r="AH752" s="2"/>
      <c r="AI752" s="2"/>
      <c r="AJ752" s="2"/>
      <c r="AK752" s="3"/>
      <c r="AL752" s="2"/>
      <c r="AM752" s="2"/>
      <c r="AN752" s="2"/>
      <c r="AO752" s="2"/>
      <c r="AP752" s="3"/>
      <c r="AQ752" s="2"/>
      <c r="AR752" s="2"/>
      <c r="AS752" s="2"/>
      <c r="AT752" s="7"/>
      <c r="AU752" s="2"/>
      <c r="AV752" s="2"/>
      <c r="AW752" s="2"/>
      <c r="AX752" s="2"/>
    </row>
    <row r="753">
      <c r="A753" s="2"/>
      <c r="B753" s="2"/>
      <c r="C753" s="2"/>
      <c r="D753" s="2"/>
      <c r="E753" s="2"/>
      <c r="F753" s="2"/>
      <c r="G753" s="2"/>
      <c r="H753" s="2"/>
      <c r="I753" s="2"/>
      <c r="J753" s="2"/>
      <c r="K753" s="2"/>
      <c r="L753" s="3"/>
      <c r="M753" s="4"/>
      <c r="N753" s="4"/>
      <c r="O753" s="5"/>
      <c r="P753" s="6"/>
      <c r="Q753" s="3"/>
      <c r="R753" s="2"/>
      <c r="S753" s="2"/>
      <c r="T753" s="2"/>
      <c r="U753" s="2"/>
      <c r="V753" s="3"/>
      <c r="W753" s="2"/>
      <c r="X753" s="2"/>
      <c r="Y753" s="2"/>
      <c r="Z753" s="2"/>
      <c r="AA753" s="3"/>
      <c r="AB753" s="2"/>
      <c r="AC753" s="2"/>
      <c r="AD753" s="2"/>
      <c r="AE753" s="2"/>
      <c r="AF753" s="3"/>
      <c r="AG753" s="2"/>
      <c r="AH753" s="2"/>
      <c r="AI753" s="2"/>
      <c r="AJ753" s="2"/>
      <c r="AK753" s="3"/>
      <c r="AL753" s="2"/>
      <c r="AM753" s="2"/>
      <c r="AN753" s="2"/>
      <c r="AO753" s="2"/>
      <c r="AP753" s="3"/>
      <c r="AQ753" s="2"/>
      <c r="AR753" s="2"/>
      <c r="AS753" s="2"/>
      <c r="AT753" s="7"/>
      <c r="AU753" s="2"/>
      <c r="AV753" s="2"/>
      <c r="AW753" s="2"/>
      <c r="AX753" s="2"/>
    </row>
    <row r="754">
      <c r="A754" s="2"/>
      <c r="B754" s="2"/>
      <c r="C754" s="2"/>
      <c r="D754" s="2"/>
      <c r="E754" s="2"/>
      <c r="F754" s="2"/>
      <c r="G754" s="2"/>
      <c r="H754" s="2"/>
      <c r="I754" s="2"/>
      <c r="J754" s="2"/>
      <c r="K754" s="2"/>
      <c r="L754" s="3"/>
      <c r="M754" s="4"/>
      <c r="N754" s="4"/>
      <c r="O754" s="5"/>
      <c r="P754" s="6"/>
      <c r="Q754" s="3"/>
      <c r="R754" s="2"/>
      <c r="S754" s="2"/>
      <c r="T754" s="2"/>
      <c r="U754" s="2"/>
      <c r="V754" s="3"/>
      <c r="W754" s="2"/>
      <c r="X754" s="2"/>
      <c r="Y754" s="2"/>
      <c r="Z754" s="2"/>
      <c r="AA754" s="3"/>
      <c r="AB754" s="2"/>
      <c r="AC754" s="2"/>
      <c r="AD754" s="2"/>
      <c r="AE754" s="2"/>
      <c r="AF754" s="3"/>
      <c r="AG754" s="2"/>
      <c r="AH754" s="2"/>
      <c r="AI754" s="2"/>
      <c r="AJ754" s="2"/>
      <c r="AK754" s="3"/>
      <c r="AL754" s="2"/>
      <c r="AM754" s="2"/>
      <c r="AN754" s="2"/>
      <c r="AO754" s="2"/>
      <c r="AP754" s="3"/>
      <c r="AQ754" s="2"/>
      <c r="AR754" s="2"/>
      <c r="AS754" s="2"/>
      <c r="AT754" s="7"/>
      <c r="AU754" s="2"/>
      <c r="AV754" s="2"/>
      <c r="AW754" s="2"/>
      <c r="AX754" s="2"/>
    </row>
    <row r="755">
      <c r="A755" s="2"/>
      <c r="B755" s="2"/>
      <c r="C755" s="2"/>
      <c r="D755" s="2"/>
      <c r="E755" s="2"/>
      <c r="F755" s="2"/>
      <c r="G755" s="2"/>
      <c r="H755" s="2"/>
      <c r="I755" s="2"/>
      <c r="J755" s="2"/>
      <c r="K755" s="2"/>
      <c r="L755" s="3"/>
      <c r="M755" s="4"/>
      <c r="N755" s="4"/>
      <c r="O755" s="5"/>
      <c r="P755" s="6"/>
      <c r="Q755" s="3"/>
      <c r="R755" s="2"/>
      <c r="S755" s="2"/>
      <c r="T755" s="2"/>
      <c r="U755" s="2"/>
      <c r="V755" s="3"/>
      <c r="W755" s="2"/>
      <c r="X755" s="2"/>
      <c r="Y755" s="2"/>
      <c r="Z755" s="2"/>
      <c r="AA755" s="3"/>
      <c r="AB755" s="2"/>
      <c r="AC755" s="2"/>
      <c r="AD755" s="2"/>
      <c r="AE755" s="2"/>
      <c r="AF755" s="3"/>
      <c r="AG755" s="2"/>
      <c r="AH755" s="2"/>
      <c r="AI755" s="2"/>
      <c r="AJ755" s="2"/>
      <c r="AK755" s="3"/>
      <c r="AL755" s="2"/>
      <c r="AM755" s="2"/>
      <c r="AN755" s="2"/>
      <c r="AO755" s="2"/>
      <c r="AP755" s="3"/>
      <c r="AQ755" s="2"/>
      <c r="AR755" s="2"/>
      <c r="AS755" s="2"/>
      <c r="AT755" s="7"/>
      <c r="AU755" s="2"/>
      <c r="AV755" s="2"/>
      <c r="AW755" s="2"/>
      <c r="AX755" s="2"/>
    </row>
    <row r="756">
      <c r="A756" s="2"/>
      <c r="B756" s="2"/>
      <c r="C756" s="2"/>
      <c r="D756" s="2"/>
      <c r="E756" s="2"/>
      <c r="F756" s="2"/>
      <c r="G756" s="2"/>
      <c r="H756" s="2"/>
      <c r="I756" s="2"/>
      <c r="J756" s="2"/>
      <c r="K756" s="2"/>
      <c r="L756" s="3"/>
      <c r="M756" s="4"/>
      <c r="N756" s="4"/>
      <c r="O756" s="5"/>
      <c r="P756" s="6"/>
      <c r="Q756" s="3"/>
      <c r="R756" s="2"/>
      <c r="S756" s="2"/>
      <c r="T756" s="2"/>
      <c r="U756" s="2"/>
      <c r="V756" s="3"/>
      <c r="W756" s="2"/>
      <c r="X756" s="2"/>
      <c r="Y756" s="2"/>
      <c r="Z756" s="2"/>
      <c r="AA756" s="3"/>
      <c r="AB756" s="2"/>
      <c r="AC756" s="2"/>
      <c r="AD756" s="2"/>
      <c r="AE756" s="2"/>
      <c r="AF756" s="3"/>
      <c r="AG756" s="2"/>
      <c r="AH756" s="2"/>
      <c r="AI756" s="2"/>
      <c r="AJ756" s="2"/>
      <c r="AK756" s="3"/>
      <c r="AL756" s="2"/>
      <c r="AM756" s="2"/>
      <c r="AN756" s="2"/>
      <c r="AO756" s="2"/>
      <c r="AP756" s="3"/>
      <c r="AQ756" s="2"/>
      <c r="AR756" s="2"/>
      <c r="AS756" s="2"/>
      <c r="AT756" s="7"/>
      <c r="AU756" s="2"/>
      <c r="AV756" s="2"/>
      <c r="AW756" s="2"/>
      <c r="AX756" s="2"/>
    </row>
    <row r="757">
      <c r="A757" s="2"/>
      <c r="B757" s="2"/>
      <c r="C757" s="2"/>
      <c r="D757" s="2"/>
      <c r="E757" s="2"/>
      <c r="F757" s="2"/>
      <c r="G757" s="2"/>
      <c r="H757" s="2"/>
      <c r="I757" s="2"/>
      <c r="J757" s="2"/>
      <c r="K757" s="2"/>
      <c r="L757" s="3"/>
      <c r="M757" s="4"/>
      <c r="N757" s="4"/>
      <c r="O757" s="5"/>
      <c r="P757" s="6"/>
      <c r="Q757" s="3"/>
      <c r="R757" s="2"/>
      <c r="S757" s="2"/>
      <c r="T757" s="2"/>
      <c r="U757" s="2"/>
      <c r="V757" s="3"/>
      <c r="W757" s="2"/>
      <c r="X757" s="2"/>
      <c r="Y757" s="2"/>
      <c r="Z757" s="2"/>
      <c r="AA757" s="3"/>
      <c r="AB757" s="2"/>
      <c r="AC757" s="2"/>
      <c r="AD757" s="2"/>
      <c r="AE757" s="2"/>
      <c r="AF757" s="3"/>
      <c r="AG757" s="2"/>
      <c r="AH757" s="2"/>
      <c r="AI757" s="2"/>
      <c r="AJ757" s="2"/>
      <c r="AK757" s="3"/>
      <c r="AL757" s="2"/>
      <c r="AM757" s="2"/>
      <c r="AN757" s="2"/>
      <c r="AO757" s="2"/>
      <c r="AP757" s="3"/>
      <c r="AQ757" s="2"/>
      <c r="AR757" s="2"/>
      <c r="AS757" s="2"/>
      <c r="AT757" s="7"/>
      <c r="AU757" s="2"/>
      <c r="AV757" s="2"/>
      <c r="AW757" s="2"/>
      <c r="AX757" s="2"/>
    </row>
    <row r="758">
      <c r="A758" s="2"/>
      <c r="B758" s="2"/>
      <c r="C758" s="2"/>
      <c r="D758" s="2"/>
      <c r="E758" s="2"/>
      <c r="F758" s="2"/>
      <c r="G758" s="2"/>
      <c r="H758" s="2"/>
      <c r="I758" s="2"/>
      <c r="J758" s="2"/>
      <c r="K758" s="2"/>
      <c r="L758" s="3"/>
      <c r="M758" s="4"/>
      <c r="N758" s="4"/>
      <c r="O758" s="5"/>
      <c r="P758" s="6"/>
      <c r="Q758" s="3"/>
      <c r="R758" s="2"/>
      <c r="S758" s="2"/>
      <c r="T758" s="2"/>
      <c r="U758" s="2"/>
      <c r="V758" s="3"/>
      <c r="W758" s="2"/>
      <c r="X758" s="2"/>
      <c r="Y758" s="2"/>
      <c r="Z758" s="2"/>
      <c r="AA758" s="3"/>
      <c r="AB758" s="2"/>
      <c r="AC758" s="2"/>
      <c r="AD758" s="2"/>
      <c r="AE758" s="2"/>
      <c r="AF758" s="3"/>
      <c r="AG758" s="2"/>
      <c r="AH758" s="2"/>
      <c r="AI758" s="2"/>
      <c r="AJ758" s="2"/>
      <c r="AK758" s="3"/>
      <c r="AL758" s="2"/>
      <c r="AM758" s="2"/>
      <c r="AN758" s="2"/>
      <c r="AO758" s="2"/>
      <c r="AP758" s="3"/>
      <c r="AQ758" s="2"/>
      <c r="AR758" s="2"/>
      <c r="AS758" s="2"/>
      <c r="AT758" s="7"/>
      <c r="AU758" s="2"/>
      <c r="AV758" s="2"/>
      <c r="AW758" s="2"/>
      <c r="AX758" s="2"/>
    </row>
    <row r="759">
      <c r="A759" s="2"/>
      <c r="B759" s="2"/>
      <c r="C759" s="2"/>
      <c r="D759" s="2"/>
      <c r="E759" s="2"/>
      <c r="F759" s="2"/>
      <c r="G759" s="2"/>
      <c r="H759" s="2"/>
      <c r="I759" s="2"/>
      <c r="J759" s="2"/>
      <c r="K759" s="2"/>
      <c r="L759" s="3"/>
      <c r="M759" s="4"/>
      <c r="N759" s="4"/>
      <c r="O759" s="5"/>
      <c r="P759" s="6"/>
      <c r="Q759" s="3"/>
      <c r="R759" s="2"/>
      <c r="S759" s="2"/>
      <c r="T759" s="2"/>
      <c r="U759" s="2"/>
      <c r="V759" s="3"/>
      <c r="W759" s="2"/>
      <c r="X759" s="2"/>
      <c r="Y759" s="2"/>
      <c r="Z759" s="2"/>
      <c r="AA759" s="3"/>
      <c r="AB759" s="2"/>
      <c r="AC759" s="2"/>
      <c r="AD759" s="2"/>
      <c r="AE759" s="2"/>
      <c r="AF759" s="3"/>
      <c r="AG759" s="2"/>
      <c r="AH759" s="2"/>
      <c r="AI759" s="2"/>
      <c r="AJ759" s="2"/>
      <c r="AK759" s="3"/>
      <c r="AL759" s="2"/>
      <c r="AM759" s="2"/>
      <c r="AN759" s="2"/>
      <c r="AO759" s="2"/>
      <c r="AP759" s="3"/>
      <c r="AQ759" s="2"/>
      <c r="AR759" s="2"/>
      <c r="AS759" s="2"/>
      <c r="AT759" s="7"/>
      <c r="AU759" s="2"/>
      <c r="AV759" s="2"/>
      <c r="AW759" s="2"/>
      <c r="AX759" s="2"/>
    </row>
    <row r="760">
      <c r="A760" s="2"/>
      <c r="B760" s="2"/>
      <c r="C760" s="2"/>
      <c r="D760" s="2"/>
      <c r="E760" s="2"/>
      <c r="F760" s="2"/>
      <c r="G760" s="2"/>
      <c r="H760" s="2"/>
      <c r="I760" s="2"/>
      <c r="J760" s="2"/>
      <c r="K760" s="2"/>
      <c r="L760" s="3"/>
      <c r="M760" s="4"/>
      <c r="N760" s="4"/>
      <c r="O760" s="5"/>
      <c r="P760" s="6"/>
      <c r="Q760" s="3"/>
      <c r="R760" s="2"/>
      <c r="S760" s="2"/>
      <c r="T760" s="2"/>
      <c r="U760" s="2"/>
      <c r="V760" s="3"/>
      <c r="W760" s="2"/>
      <c r="X760" s="2"/>
      <c r="Y760" s="2"/>
      <c r="Z760" s="2"/>
      <c r="AA760" s="3"/>
      <c r="AB760" s="2"/>
      <c r="AC760" s="2"/>
      <c r="AD760" s="2"/>
      <c r="AE760" s="2"/>
      <c r="AF760" s="3"/>
      <c r="AG760" s="2"/>
      <c r="AH760" s="2"/>
      <c r="AI760" s="2"/>
      <c r="AJ760" s="2"/>
      <c r="AK760" s="3"/>
      <c r="AL760" s="2"/>
      <c r="AM760" s="2"/>
      <c r="AN760" s="2"/>
      <c r="AO760" s="2"/>
      <c r="AP760" s="3"/>
      <c r="AQ760" s="2"/>
      <c r="AR760" s="2"/>
      <c r="AS760" s="2"/>
      <c r="AT760" s="7"/>
      <c r="AU760" s="2"/>
      <c r="AV760" s="2"/>
      <c r="AW760" s="2"/>
      <c r="AX760" s="2"/>
    </row>
    <row r="761">
      <c r="A761" s="2"/>
      <c r="B761" s="2"/>
      <c r="C761" s="2"/>
      <c r="D761" s="2"/>
      <c r="E761" s="2"/>
      <c r="F761" s="2"/>
      <c r="G761" s="2"/>
      <c r="H761" s="2"/>
      <c r="I761" s="2"/>
      <c r="J761" s="2"/>
      <c r="K761" s="2"/>
      <c r="L761" s="3"/>
      <c r="M761" s="4"/>
      <c r="N761" s="4"/>
      <c r="O761" s="5"/>
      <c r="P761" s="6"/>
      <c r="Q761" s="3"/>
      <c r="R761" s="2"/>
      <c r="S761" s="2"/>
      <c r="T761" s="2"/>
      <c r="U761" s="2"/>
      <c r="V761" s="3"/>
      <c r="W761" s="2"/>
      <c r="X761" s="2"/>
      <c r="Y761" s="2"/>
      <c r="Z761" s="2"/>
      <c r="AA761" s="3"/>
      <c r="AB761" s="2"/>
      <c r="AC761" s="2"/>
      <c r="AD761" s="2"/>
      <c r="AE761" s="2"/>
      <c r="AF761" s="3"/>
      <c r="AG761" s="2"/>
      <c r="AH761" s="2"/>
      <c r="AI761" s="2"/>
      <c r="AJ761" s="2"/>
      <c r="AK761" s="3"/>
      <c r="AL761" s="2"/>
      <c r="AM761" s="2"/>
      <c r="AN761" s="2"/>
      <c r="AO761" s="2"/>
      <c r="AP761" s="3"/>
      <c r="AQ761" s="2"/>
      <c r="AR761" s="2"/>
      <c r="AS761" s="2"/>
      <c r="AT761" s="7"/>
      <c r="AU761" s="2"/>
      <c r="AV761" s="2"/>
      <c r="AW761" s="2"/>
      <c r="AX761" s="2"/>
    </row>
    <row r="762">
      <c r="A762" s="2"/>
      <c r="B762" s="2"/>
      <c r="C762" s="2"/>
      <c r="D762" s="2"/>
      <c r="E762" s="2"/>
      <c r="F762" s="2"/>
      <c r="G762" s="2"/>
      <c r="H762" s="2"/>
      <c r="I762" s="2"/>
      <c r="J762" s="2"/>
      <c r="K762" s="2"/>
      <c r="L762" s="3"/>
      <c r="M762" s="4"/>
      <c r="N762" s="4"/>
      <c r="O762" s="5"/>
      <c r="P762" s="6"/>
      <c r="Q762" s="3"/>
      <c r="R762" s="2"/>
      <c r="S762" s="2"/>
      <c r="T762" s="2"/>
      <c r="U762" s="2"/>
      <c r="V762" s="3"/>
      <c r="W762" s="2"/>
      <c r="X762" s="2"/>
      <c r="Y762" s="2"/>
      <c r="Z762" s="2"/>
      <c r="AA762" s="3"/>
      <c r="AB762" s="2"/>
      <c r="AC762" s="2"/>
      <c r="AD762" s="2"/>
      <c r="AE762" s="2"/>
      <c r="AF762" s="3"/>
      <c r="AG762" s="2"/>
      <c r="AH762" s="2"/>
      <c r="AI762" s="2"/>
      <c r="AJ762" s="2"/>
      <c r="AK762" s="3"/>
      <c r="AL762" s="2"/>
      <c r="AM762" s="2"/>
      <c r="AN762" s="2"/>
      <c r="AO762" s="2"/>
      <c r="AP762" s="3"/>
      <c r="AQ762" s="2"/>
      <c r="AR762" s="2"/>
      <c r="AS762" s="2"/>
      <c r="AT762" s="7"/>
      <c r="AU762" s="2"/>
      <c r="AV762" s="2"/>
      <c r="AW762" s="2"/>
      <c r="AX762" s="2"/>
    </row>
    <row r="763">
      <c r="A763" s="2"/>
      <c r="B763" s="2"/>
      <c r="C763" s="2"/>
      <c r="D763" s="2"/>
      <c r="E763" s="2"/>
      <c r="F763" s="2"/>
      <c r="G763" s="2"/>
      <c r="H763" s="2"/>
      <c r="I763" s="2"/>
      <c r="J763" s="2"/>
      <c r="K763" s="2"/>
      <c r="L763" s="3"/>
      <c r="M763" s="4"/>
      <c r="N763" s="4"/>
      <c r="O763" s="5"/>
      <c r="P763" s="6"/>
      <c r="Q763" s="3"/>
      <c r="R763" s="2"/>
      <c r="S763" s="2"/>
      <c r="T763" s="2"/>
      <c r="U763" s="2"/>
      <c r="V763" s="3"/>
      <c r="W763" s="2"/>
      <c r="X763" s="2"/>
      <c r="Y763" s="2"/>
      <c r="Z763" s="2"/>
      <c r="AA763" s="3"/>
      <c r="AB763" s="2"/>
      <c r="AC763" s="2"/>
      <c r="AD763" s="2"/>
      <c r="AE763" s="2"/>
      <c r="AF763" s="3"/>
      <c r="AG763" s="2"/>
      <c r="AH763" s="2"/>
      <c r="AI763" s="2"/>
      <c r="AJ763" s="2"/>
      <c r="AK763" s="3"/>
      <c r="AL763" s="2"/>
      <c r="AM763" s="2"/>
      <c r="AN763" s="2"/>
      <c r="AO763" s="2"/>
      <c r="AP763" s="3"/>
      <c r="AQ763" s="2"/>
      <c r="AR763" s="2"/>
      <c r="AS763" s="2"/>
      <c r="AT763" s="7"/>
      <c r="AU763" s="2"/>
      <c r="AV763" s="2"/>
      <c r="AW763" s="2"/>
      <c r="AX763" s="2"/>
    </row>
    <row r="764">
      <c r="A764" s="2"/>
      <c r="B764" s="2"/>
      <c r="C764" s="2"/>
      <c r="D764" s="2"/>
      <c r="E764" s="2"/>
      <c r="F764" s="2"/>
      <c r="G764" s="2"/>
      <c r="H764" s="2"/>
      <c r="I764" s="2"/>
      <c r="J764" s="2"/>
      <c r="K764" s="2"/>
      <c r="L764" s="3"/>
      <c r="M764" s="4"/>
      <c r="N764" s="4"/>
      <c r="O764" s="5"/>
      <c r="P764" s="6"/>
      <c r="Q764" s="3"/>
      <c r="R764" s="2"/>
      <c r="S764" s="2"/>
      <c r="T764" s="2"/>
      <c r="U764" s="2"/>
      <c r="V764" s="3"/>
      <c r="W764" s="2"/>
      <c r="X764" s="2"/>
      <c r="Y764" s="2"/>
      <c r="Z764" s="2"/>
      <c r="AA764" s="3"/>
      <c r="AB764" s="2"/>
      <c r="AC764" s="2"/>
      <c r="AD764" s="2"/>
      <c r="AE764" s="2"/>
      <c r="AF764" s="3"/>
      <c r="AG764" s="2"/>
      <c r="AH764" s="2"/>
      <c r="AI764" s="2"/>
      <c r="AJ764" s="2"/>
      <c r="AK764" s="3"/>
      <c r="AL764" s="2"/>
      <c r="AM764" s="2"/>
      <c r="AN764" s="2"/>
      <c r="AO764" s="2"/>
      <c r="AP764" s="3"/>
      <c r="AQ764" s="2"/>
      <c r="AR764" s="2"/>
      <c r="AS764" s="2"/>
      <c r="AT764" s="7"/>
      <c r="AU764" s="2"/>
      <c r="AV764" s="2"/>
      <c r="AW764" s="2"/>
      <c r="AX764" s="2"/>
    </row>
    <row r="765">
      <c r="A765" s="2"/>
      <c r="B765" s="2"/>
      <c r="C765" s="2"/>
      <c r="D765" s="2"/>
      <c r="E765" s="2"/>
      <c r="F765" s="2"/>
      <c r="G765" s="2"/>
      <c r="H765" s="2"/>
      <c r="I765" s="2"/>
      <c r="J765" s="2"/>
      <c r="K765" s="2"/>
      <c r="L765" s="3"/>
      <c r="M765" s="4"/>
      <c r="N765" s="4"/>
      <c r="O765" s="5"/>
      <c r="P765" s="6"/>
      <c r="Q765" s="3"/>
      <c r="R765" s="2"/>
      <c r="S765" s="2"/>
      <c r="T765" s="2"/>
      <c r="U765" s="2"/>
      <c r="V765" s="3"/>
      <c r="W765" s="2"/>
      <c r="X765" s="2"/>
      <c r="Y765" s="2"/>
      <c r="Z765" s="2"/>
      <c r="AA765" s="3"/>
      <c r="AB765" s="2"/>
      <c r="AC765" s="2"/>
      <c r="AD765" s="2"/>
      <c r="AE765" s="2"/>
      <c r="AF765" s="3"/>
      <c r="AG765" s="2"/>
      <c r="AH765" s="2"/>
      <c r="AI765" s="2"/>
      <c r="AJ765" s="2"/>
      <c r="AK765" s="3"/>
      <c r="AL765" s="2"/>
      <c r="AM765" s="2"/>
      <c r="AN765" s="2"/>
      <c r="AO765" s="2"/>
      <c r="AP765" s="3"/>
      <c r="AQ765" s="2"/>
      <c r="AR765" s="2"/>
      <c r="AS765" s="2"/>
      <c r="AT765" s="7"/>
      <c r="AU765" s="2"/>
      <c r="AV765" s="2"/>
      <c r="AW765" s="2"/>
      <c r="AX765" s="2"/>
    </row>
    <row r="766">
      <c r="A766" s="2"/>
      <c r="B766" s="2"/>
      <c r="C766" s="2"/>
      <c r="D766" s="2"/>
      <c r="E766" s="2"/>
      <c r="F766" s="2"/>
      <c r="G766" s="2"/>
      <c r="H766" s="2"/>
      <c r="I766" s="2"/>
      <c r="J766" s="2"/>
      <c r="K766" s="2"/>
      <c r="L766" s="3"/>
      <c r="M766" s="4"/>
      <c r="N766" s="4"/>
      <c r="O766" s="5"/>
      <c r="P766" s="6"/>
      <c r="Q766" s="3"/>
      <c r="R766" s="2"/>
      <c r="S766" s="2"/>
      <c r="T766" s="2"/>
      <c r="U766" s="2"/>
      <c r="V766" s="3"/>
      <c r="W766" s="2"/>
      <c r="X766" s="2"/>
      <c r="Y766" s="2"/>
      <c r="Z766" s="2"/>
      <c r="AA766" s="3"/>
      <c r="AB766" s="2"/>
      <c r="AC766" s="2"/>
      <c r="AD766" s="2"/>
      <c r="AE766" s="2"/>
      <c r="AF766" s="3"/>
      <c r="AG766" s="2"/>
      <c r="AH766" s="2"/>
      <c r="AI766" s="2"/>
      <c r="AJ766" s="2"/>
      <c r="AK766" s="3"/>
      <c r="AL766" s="2"/>
      <c r="AM766" s="2"/>
      <c r="AN766" s="2"/>
      <c r="AO766" s="2"/>
      <c r="AP766" s="3"/>
      <c r="AQ766" s="2"/>
      <c r="AR766" s="2"/>
      <c r="AS766" s="2"/>
      <c r="AT766" s="7"/>
      <c r="AU766" s="2"/>
      <c r="AV766" s="2"/>
      <c r="AW766" s="2"/>
      <c r="AX766" s="2"/>
    </row>
    <row r="767">
      <c r="A767" s="2"/>
      <c r="B767" s="2"/>
      <c r="C767" s="2"/>
      <c r="D767" s="2"/>
      <c r="E767" s="2"/>
      <c r="F767" s="2"/>
      <c r="G767" s="2"/>
      <c r="H767" s="2"/>
      <c r="I767" s="2"/>
      <c r="J767" s="2"/>
      <c r="K767" s="2"/>
      <c r="L767" s="3"/>
      <c r="M767" s="4"/>
      <c r="N767" s="4"/>
      <c r="O767" s="5"/>
      <c r="P767" s="6"/>
      <c r="Q767" s="3"/>
      <c r="R767" s="2"/>
      <c r="S767" s="2"/>
      <c r="T767" s="2"/>
      <c r="U767" s="2"/>
      <c r="V767" s="3"/>
      <c r="W767" s="2"/>
      <c r="X767" s="2"/>
      <c r="Y767" s="2"/>
      <c r="Z767" s="2"/>
      <c r="AA767" s="3"/>
      <c r="AB767" s="2"/>
      <c r="AC767" s="2"/>
      <c r="AD767" s="2"/>
      <c r="AE767" s="2"/>
      <c r="AF767" s="3"/>
      <c r="AG767" s="2"/>
      <c r="AH767" s="2"/>
      <c r="AI767" s="2"/>
      <c r="AJ767" s="2"/>
      <c r="AK767" s="3"/>
      <c r="AL767" s="2"/>
      <c r="AM767" s="2"/>
      <c r="AN767" s="2"/>
      <c r="AO767" s="2"/>
      <c r="AP767" s="3"/>
      <c r="AQ767" s="2"/>
      <c r="AR767" s="2"/>
      <c r="AS767" s="2"/>
      <c r="AT767" s="7"/>
      <c r="AU767" s="2"/>
      <c r="AV767" s="2"/>
      <c r="AW767" s="2"/>
      <c r="AX767" s="2"/>
    </row>
    <row r="768">
      <c r="A768" s="2"/>
      <c r="B768" s="2"/>
      <c r="C768" s="2"/>
      <c r="D768" s="2"/>
      <c r="E768" s="2"/>
      <c r="F768" s="2"/>
      <c r="G768" s="2"/>
      <c r="H768" s="2"/>
      <c r="I768" s="2"/>
      <c r="J768" s="2"/>
      <c r="K768" s="2"/>
      <c r="L768" s="3"/>
      <c r="M768" s="4"/>
      <c r="N768" s="4"/>
      <c r="O768" s="5"/>
      <c r="P768" s="6"/>
      <c r="Q768" s="3"/>
      <c r="R768" s="2"/>
      <c r="S768" s="2"/>
      <c r="T768" s="2"/>
      <c r="U768" s="2"/>
      <c r="V768" s="3"/>
      <c r="W768" s="2"/>
      <c r="X768" s="2"/>
      <c r="Y768" s="2"/>
      <c r="Z768" s="2"/>
      <c r="AA768" s="3"/>
      <c r="AB768" s="2"/>
      <c r="AC768" s="2"/>
      <c r="AD768" s="2"/>
      <c r="AE768" s="2"/>
      <c r="AF768" s="3"/>
      <c r="AG768" s="2"/>
      <c r="AH768" s="2"/>
      <c r="AI768" s="2"/>
      <c r="AJ768" s="2"/>
      <c r="AK768" s="3"/>
      <c r="AL768" s="2"/>
      <c r="AM768" s="2"/>
      <c r="AN768" s="2"/>
      <c r="AO768" s="2"/>
      <c r="AP768" s="3"/>
      <c r="AQ768" s="2"/>
      <c r="AR768" s="2"/>
      <c r="AS768" s="2"/>
      <c r="AT768" s="7"/>
      <c r="AU768" s="2"/>
      <c r="AV768" s="2"/>
      <c r="AW768" s="2"/>
      <c r="AX768" s="2"/>
    </row>
    <row r="769">
      <c r="A769" s="2"/>
      <c r="B769" s="2"/>
      <c r="C769" s="2"/>
      <c r="D769" s="2"/>
      <c r="E769" s="2"/>
      <c r="F769" s="2"/>
      <c r="G769" s="2"/>
      <c r="H769" s="2"/>
      <c r="I769" s="2"/>
      <c r="J769" s="2"/>
      <c r="K769" s="2"/>
      <c r="L769" s="3"/>
      <c r="M769" s="4"/>
      <c r="N769" s="4"/>
      <c r="O769" s="5"/>
      <c r="P769" s="6"/>
      <c r="Q769" s="3"/>
      <c r="R769" s="2"/>
      <c r="S769" s="2"/>
      <c r="T769" s="2"/>
      <c r="U769" s="2"/>
      <c r="V769" s="3"/>
      <c r="W769" s="2"/>
      <c r="X769" s="2"/>
      <c r="Y769" s="2"/>
      <c r="Z769" s="2"/>
      <c r="AA769" s="3"/>
      <c r="AB769" s="2"/>
      <c r="AC769" s="2"/>
      <c r="AD769" s="2"/>
      <c r="AE769" s="2"/>
      <c r="AF769" s="3"/>
      <c r="AG769" s="2"/>
      <c r="AH769" s="2"/>
      <c r="AI769" s="2"/>
      <c r="AJ769" s="2"/>
      <c r="AK769" s="3"/>
      <c r="AL769" s="2"/>
      <c r="AM769" s="2"/>
      <c r="AN769" s="2"/>
      <c r="AO769" s="2"/>
      <c r="AP769" s="3"/>
      <c r="AQ769" s="2"/>
      <c r="AR769" s="2"/>
      <c r="AS769" s="2"/>
      <c r="AT769" s="7"/>
      <c r="AU769" s="2"/>
      <c r="AV769" s="2"/>
      <c r="AW769" s="2"/>
      <c r="AX769" s="2"/>
    </row>
    <row r="770">
      <c r="A770" s="2"/>
      <c r="B770" s="2"/>
      <c r="C770" s="2"/>
      <c r="D770" s="2"/>
      <c r="E770" s="2"/>
      <c r="F770" s="2"/>
      <c r="G770" s="2"/>
      <c r="H770" s="2"/>
      <c r="I770" s="2"/>
      <c r="J770" s="2"/>
      <c r="K770" s="2"/>
      <c r="L770" s="3"/>
      <c r="M770" s="4"/>
      <c r="N770" s="4"/>
      <c r="O770" s="5"/>
      <c r="P770" s="6"/>
      <c r="Q770" s="3"/>
      <c r="R770" s="2"/>
      <c r="S770" s="2"/>
      <c r="T770" s="2"/>
      <c r="U770" s="2"/>
      <c r="V770" s="3"/>
      <c r="W770" s="2"/>
      <c r="X770" s="2"/>
      <c r="Y770" s="2"/>
      <c r="Z770" s="2"/>
      <c r="AA770" s="3"/>
      <c r="AB770" s="2"/>
      <c r="AC770" s="2"/>
      <c r="AD770" s="2"/>
      <c r="AE770" s="2"/>
      <c r="AF770" s="3"/>
      <c r="AG770" s="2"/>
      <c r="AH770" s="2"/>
      <c r="AI770" s="2"/>
      <c r="AJ770" s="2"/>
      <c r="AK770" s="3"/>
      <c r="AL770" s="2"/>
      <c r="AM770" s="2"/>
      <c r="AN770" s="2"/>
      <c r="AO770" s="2"/>
      <c r="AP770" s="3"/>
      <c r="AQ770" s="2"/>
      <c r="AR770" s="2"/>
      <c r="AS770" s="2"/>
      <c r="AT770" s="7"/>
      <c r="AU770" s="2"/>
      <c r="AV770" s="2"/>
      <c r="AW770" s="2"/>
      <c r="AX770" s="2"/>
    </row>
    <row r="771">
      <c r="A771" s="2"/>
      <c r="B771" s="2"/>
      <c r="C771" s="2"/>
      <c r="D771" s="2"/>
      <c r="E771" s="2"/>
      <c r="F771" s="2"/>
      <c r="G771" s="2"/>
      <c r="H771" s="2"/>
      <c r="I771" s="2"/>
      <c r="J771" s="2"/>
      <c r="K771" s="2"/>
      <c r="L771" s="3"/>
      <c r="M771" s="4"/>
      <c r="N771" s="4"/>
      <c r="O771" s="5"/>
      <c r="P771" s="6"/>
      <c r="Q771" s="3"/>
      <c r="R771" s="2"/>
      <c r="S771" s="2"/>
      <c r="T771" s="2"/>
      <c r="U771" s="2"/>
      <c r="V771" s="3"/>
      <c r="W771" s="2"/>
      <c r="X771" s="2"/>
      <c r="Y771" s="2"/>
      <c r="Z771" s="2"/>
      <c r="AA771" s="3"/>
      <c r="AB771" s="2"/>
      <c r="AC771" s="2"/>
      <c r="AD771" s="2"/>
      <c r="AE771" s="2"/>
      <c r="AF771" s="3"/>
      <c r="AG771" s="2"/>
      <c r="AH771" s="2"/>
      <c r="AI771" s="2"/>
      <c r="AJ771" s="2"/>
      <c r="AK771" s="3"/>
      <c r="AL771" s="2"/>
      <c r="AM771" s="2"/>
      <c r="AN771" s="2"/>
      <c r="AO771" s="2"/>
      <c r="AP771" s="3"/>
      <c r="AQ771" s="2"/>
      <c r="AR771" s="2"/>
      <c r="AS771" s="2"/>
      <c r="AT771" s="7"/>
      <c r="AU771" s="2"/>
      <c r="AV771" s="2"/>
      <c r="AW771" s="2"/>
      <c r="AX771" s="2"/>
    </row>
    <row r="772">
      <c r="A772" s="2"/>
      <c r="B772" s="2"/>
      <c r="C772" s="2"/>
      <c r="D772" s="2"/>
      <c r="E772" s="2"/>
      <c r="F772" s="2"/>
      <c r="G772" s="2"/>
      <c r="H772" s="2"/>
      <c r="I772" s="2"/>
      <c r="J772" s="2"/>
      <c r="K772" s="2"/>
      <c r="L772" s="3"/>
      <c r="M772" s="4"/>
      <c r="N772" s="4"/>
      <c r="O772" s="5"/>
      <c r="P772" s="6"/>
      <c r="Q772" s="3"/>
      <c r="R772" s="2"/>
      <c r="S772" s="2"/>
      <c r="T772" s="2"/>
      <c r="U772" s="2"/>
      <c r="V772" s="3"/>
      <c r="W772" s="2"/>
      <c r="X772" s="2"/>
      <c r="Y772" s="2"/>
      <c r="Z772" s="2"/>
      <c r="AA772" s="3"/>
      <c r="AB772" s="2"/>
      <c r="AC772" s="2"/>
      <c r="AD772" s="2"/>
      <c r="AE772" s="2"/>
      <c r="AF772" s="3"/>
      <c r="AG772" s="2"/>
      <c r="AH772" s="2"/>
      <c r="AI772" s="2"/>
      <c r="AJ772" s="2"/>
      <c r="AK772" s="3"/>
      <c r="AL772" s="2"/>
      <c r="AM772" s="2"/>
      <c r="AN772" s="2"/>
      <c r="AO772" s="2"/>
      <c r="AP772" s="3"/>
      <c r="AQ772" s="2"/>
      <c r="AR772" s="2"/>
      <c r="AS772" s="2"/>
      <c r="AT772" s="7"/>
      <c r="AU772" s="2"/>
      <c r="AV772" s="2"/>
      <c r="AW772" s="2"/>
      <c r="AX772" s="2"/>
    </row>
    <row r="773">
      <c r="A773" s="2"/>
      <c r="B773" s="2"/>
      <c r="C773" s="2"/>
      <c r="D773" s="2"/>
      <c r="E773" s="2"/>
      <c r="F773" s="2"/>
      <c r="G773" s="2"/>
      <c r="H773" s="2"/>
      <c r="I773" s="2"/>
      <c r="J773" s="2"/>
      <c r="K773" s="2"/>
      <c r="L773" s="3"/>
      <c r="M773" s="4"/>
      <c r="N773" s="4"/>
      <c r="O773" s="5"/>
      <c r="P773" s="6"/>
      <c r="Q773" s="3"/>
      <c r="R773" s="2"/>
      <c r="S773" s="2"/>
      <c r="T773" s="2"/>
      <c r="U773" s="2"/>
      <c r="V773" s="3"/>
      <c r="W773" s="2"/>
      <c r="X773" s="2"/>
      <c r="Y773" s="2"/>
      <c r="Z773" s="2"/>
      <c r="AA773" s="3"/>
      <c r="AB773" s="2"/>
      <c r="AC773" s="2"/>
      <c r="AD773" s="2"/>
      <c r="AE773" s="2"/>
      <c r="AF773" s="3"/>
      <c r="AG773" s="2"/>
      <c r="AH773" s="2"/>
      <c r="AI773" s="2"/>
      <c r="AJ773" s="2"/>
      <c r="AK773" s="3"/>
      <c r="AL773" s="2"/>
      <c r="AM773" s="2"/>
      <c r="AN773" s="2"/>
      <c r="AO773" s="2"/>
      <c r="AP773" s="3"/>
      <c r="AQ773" s="2"/>
      <c r="AR773" s="2"/>
      <c r="AS773" s="2"/>
      <c r="AT773" s="7"/>
      <c r="AU773" s="2"/>
      <c r="AV773" s="2"/>
      <c r="AW773" s="2"/>
      <c r="AX773" s="2"/>
    </row>
    <row r="774">
      <c r="A774" s="2"/>
      <c r="B774" s="2"/>
      <c r="C774" s="2"/>
      <c r="D774" s="2"/>
      <c r="E774" s="2"/>
      <c r="F774" s="2"/>
      <c r="G774" s="2"/>
      <c r="H774" s="2"/>
      <c r="I774" s="2"/>
      <c r="J774" s="2"/>
      <c r="K774" s="2"/>
      <c r="L774" s="3"/>
      <c r="M774" s="4"/>
      <c r="N774" s="4"/>
      <c r="O774" s="5"/>
      <c r="P774" s="6"/>
      <c r="Q774" s="3"/>
      <c r="R774" s="2"/>
      <c r="S774" s="2"/>
      <c r="T774" s="2"/>
      <c r="U774" s="2"/>
      <c r="V774" s="3"/>
      <c r="W774" s="2"/>
      <c r="X774" s="2"/>
      <c r="Y774" s="2"/>
      <c r="Z774" s="2"/>
      <c r="AA774" s="3"/>
      <c r="AB774" s="2"/>
      <c r="AC774" s="2"/>
      <c r="AD774" s="2"/>
      <c r="AE774" s="2"/>
      <c r="AF774" s="3"/>
      <c r="AG774" s="2"/>
      <c r="AH774" s="2"/>
      <c r="AI774" s="2"/>
      <c r="AJ774" s="2"/>
      <c r="AK774" s="3"/>
      <c r="AL774" s="2"/>
      <c r="AM774" s="2"/>
      <c r="AN774" s="2"/>
      <c r="AO774" s="2"/>
      <c r="AP774" s="3"/>
      <c r="AQ774" s="2"/>
      <c r="AR774" s="2"/>
      <c r="AS774" s="2"/>
      <c r="AT774" s="7"/>
      <c r="AU774" s="2"/>
      <c r="AV774" s="2"/>
      <c r="AW774" s="2"/>
      <c r="AX774" s="2"/>
    </row>
    <row r="775">
      <c r="A775" s="2"/>
      <c r="B775" s="2"/>
      <c r="C775" s="2"/>
      <c r="D775" s="2"/>
      <c r="E775" s="2"/>
      <c r="F775" s="2"/>
      <c r="G775" s="2"/>
      <c r="H775" s="2"/>
      <c r="I775" s="2"/>
      <c r="J775" s="2"/>
      <c r="K775" s="2"/>
      <c r="L775" s="3"/>
      <c r="M775" s="4"/>
      <c r="N775" s="4"/>
      <c r="O775" s="5"/>
      <c r="P775" s="6"/>
      <c r="Q775" s="3"/>
      <c r="R775" s="2"/>
      <c r="S775" s="2"/>
      <c r="T775" s="2"/>
      <c r="U775" s="2"/>
      <c r="V775" s="3"/>
      <c r="W775" s="2"/>
      <c r="X775" s="2"/>
      <c r="Y775" s="2"/>
      <c r="Z775" s="2"/>
      <c r="AA775" s="3"/>
      <c r="AB775" s="2"/>
      <c r="AC775" s="2"/>
      <c r="AD775" s="2"/>
      <c r="AE775" s="2"/>
      <c r="AF775" s="3"/>
      <c r="AG775" s="2"/>
      <c r="AH775" s="2"/>
      <c r="AI775" s="2"/>
      <c r="AJ775" s="2"/>
      <c r="AK775" s="3"/>
      <c r="AL775" s="2"/>
      <c r="AM775" s="2"/>
      <c r="AN775" s="2"/>
      <c r="AO775" s="2"/>
      <c r="AP775" s="3"/>
      <c r="AQ775" s="2"/>
      <c r="AR775" s="2"/>
      <c r="AS775" s="2"/>
      <c r="AT775" s="7"/>
      <c r="AU775" s="2"/>
      <c r="AV775" s="2"/>
      <c r="AW775" s="2"/>
      <c r="AX775" s="2"/>
    </row>
    <row r="776">
      <c r="A776" s="2"/>
      <c r="B776" s="2"/>
      <c r="C776" s="2"/>
      <c r="D776" s="2"/>
      <c r="E776" s="2"/>
      <c r="F776" s="2"/>
      <c r="G776" s="2"/>
      <c r="H776" s="2"/>
      <c r="I776" s="2"/>
      <c r="J776" s="2"/>
      <c r="K776" s="2"/>
      <c r="L776" s="3"/>
      <c r="M776" s="4"/>
      <c r="N776" s="4"/>
      <c r="O776" s="5"/>
      <c r="P776" s="6"/>
      <c r="Q776" s="3"/>
      <c r="R776" s="2"/>
      <c r="S776" s="2"/>
      <c r="T776" s="2"/>
      <c r="U776" s="2"/>
      <c r="V776" s="3"/>
      <c r="W776" s="2"/>
      <c r="X776" s="2"/>
      <c r="Y776" s="2"/>
      <c r="Z776" s="2"/>
      <c r="AA776" s="3"/>
      <c r="AB776" s="2"/>
      <c r="AC776" s="2"/>
      <c r="AD776" s="2"/>
      <c r="AE776" s="2"/>
      <c r="AF776" s="3"/>
      <c r="AG776" s="2"/>
      <c r="AH776" s="2"/>
      <c r="AI776" s="2"/>
      <c r="AJ776" s="2"/>
      <c r="AK776" s="3"/>
      <c r="AL776" s="2"/>
      <c r="AM776" s="2"/>
      <c r="AN776" s="2"/>
      <c r="AO776" s="2"/>
      <c r="AP776" s="3"/>
      <c r="AQ776" s="2"/>
      <c r="AR776" s="2"/>
      <c r="AS776" s="2"/>
      <c r="AT776" s="7"/>
      <c r="AU776" s="2"/>
      <c r="AV776" s="2"/>
      <c r="AW776" s="2"/>
      <c r="AX776" s="2"/>
    </row>
    <row r="777">
      <c r="A777" s="2"/>
      <c r="B777" s="2"/>
      <c r="C777" s="2"/>
      <c r="D777" s="2"/>
      <c r="E777" s="2"/>
      <c r="F777" s="2"/>
      <c r="G777" s="2"/>
      <c r="H777" s="2"/>
      <c r="I777" s="2"/>
      <c r="J777" s="2"/>
      <c r="K777" s="2"/>
      <c r="L777" s="3"/>
      <c r="M777" s="4"/>
      <c r="N777" s="4"/>
      <c r="O777" s="5"/>
      <c r="P777" s="6"/>
      <c r="Q777" s="3"/>
      <c r="R777" s="2"/>
      <c r="S777" s="2"/>
      <c r="T777" s="2"/>
      <c r="U777" s="2"/>
      <c r="V777" s="3"/>
      <c r="W777" s="2"/>
      <c r="X777" s="2"/>
      <c r="Y777" s="2"/>
      <c r="Z777" s="2"/>
      <c r="AA777" s="3"/>
      <c r="AB777" s="2"/>
      <c r="AC777" s="2"/>
      <c r="AD777" s="2"/>
      <c r="AE777" s="2"/>
      <c r="AF777" s="3"/>
      <c r="AG777" s="2"/>
      <c r="AH777" s="2"/>
      <c r="AI777" s="2"/>
      <c r="AJ777" s="2"/>
      <c r="AK777" s="3"/>
      <c r="AL777" s="2"/>
      <c r="AM777" s="2"/>
      <c r="AN777" s="2"/>
      <c r="AO777" s="2"/>
      <c r="AP777" s="3"/>
      <c r="AQ777" s="2"/>
      <c r="AR777" s="2"/>
      <c r="AS777" s="2"/>
      <c r="AT777" s="7"/>
      <c r="AU777" s="2"/>
      <c r="AV777" s="2"/>
      <c r="AW777" s="2"/>
      <c r="AX777" s="2"/>
    </row>
    <row r="778">
      <c r="A778" s="2"/>
      <c r="B778" s="2"/>
      <c r="C778" s="2"/>
      <c r="D778" s="2"/>
      <c r="E778" s="2"/>
      <c r="F778" s="2"/>
      <c r="G778" s="2"/>
      <c r="H778" s="2"/>
      <c r="I778" s="2"/>
      <c r="J778" s="2"/>
      <c r="K778" s="2"/>
      <c r="L778" s="3"/>
      <c r="M778" s="4"/>
      <c r="N778" s="4"/>
      <c r="O778" s="5"/>
      <c r="P778" s="6"/>
      <c r="Q778" s="3"/>
      <c r="R778" s="2"/>
      <c r="S778" s="2"/>
      <c r="T778" s="2"/>
      <c r="U778" s="2"/>
      <c r="V778" s="3"/>
      <c r="W778" s="2"/>
      <c r="X778" s="2"/>
      <c r="Y778" s="2"/>
      <c r="Z778" s="2"/>
      <c r="AA778" s="3"/>
      <c r="AB778" s="2"/>
      <c r="AC778" s="2"/>
      <c r="AD778" s="2"/>
      <c r="AE778" s="2"/>
      <c r="AF778" s="3"/>
      <c r="AG778" s="2"/>
      <c r="AH778" s="2"/>
      <c r="AI778" s="2"/>
      <c r="AJ778" s="2"/>
      <c r="AK778" s="3"/>
      <c r="AL778" s="2"/>
      <c r="AM778" s="2"/>
      <c r="AN778" s="2"/>
      <c r="AO778" s="2"/>
      <c r="AP778" s="3"/>
      <c r="AQ778" s="2"/>
      <c r="AR778" s="2"/>
      <c r="AS778" s="2"/>
      <c r="AT778" s="7"/>
      <c r="AU778" s="2"/>
      <c r="AV778" s="2"/>
      <c r="AW778" s="2"/>
      <c r="AX778" s="2"/>
    </row>
    <row r="779">
      <c r="A779" s="2"/>
      <c r="B779" s="2"/>
      <c r="C779" s="2"/>
      <c r="D779" s="2"/>
      <c r="E779" s="2"/>
      <c r="F779" s="2"/>
      <c r="G779" s="2"/>
      <c r="H779" s="2"/>
      <c r="I779" s="2"/>
      <c r="J779" s="2"/>
      <c r="K779" s="2"/>
      <c r="L779" s="3"/>
      <c r="M779" s="4"/>
      <c r="N779" s="4"/>
      <c r="O779" s="5"/>
      <c r="P779" s="6"/>
      <c r="Q779" s="3"/>
      <c r="R779" s="2"/>
      <c r="S779" s="2"/>
      <c r="T779" s="2"/>
      <c r="U779" s="2"/>
      <c r="V779" s="3"/>
      <c r="W779" s="2"/>
      <c r="X779" s="2"/>
      <c r="Y779" s="2"/>
      <c r="Z779" s="2"/>
      <c r="AA779" s="3"/>
      <c r="AB779" s="2"/>
      <c r="AC779" s="2"/>
      <c r="AD779" s="2"/>
      <c r="AE779" s="2"/>
      <c r="AF779" s="3"/>
      <c r="AG779" s="2"/>
      <c r="AH779" s="2"/>
      <c r="AI779" s="2"/>
      <c r="AJ779" s="2"/>
      <c r="AK779" s="3"/>
      <c r="AL779" s="2"/>
      <c r="AM779" s="2"/>
      <c r="AN779" s="2"/>
      <c r="AO779" s="2"/>
      <c r="AP779" s="3"/>
      <c r="AQ779" s="2"/>
      <c r="AR779" s="2"/>
      <c r="AS779" s="2"/>
      <c r="AT779" s="7"/>
      <c r="AU779" s="2"/>
      <c r="AV779" s="2"/>
      <c r="AW779" s="2"/>
      <c r="AX779" s="2"/>
    </row>
    <row r="780">
      <c r="A780" s="2"/>
      <c r="B780" s="2"/>
      <c r="C780" s="2"/>
      <c r="D780" s="2"/>
      <c r="E780" s="2"/>
      <c r="F780" s="2"/>
      <c r="G780" s="2"/>
      <c r="H780" s="2"/>
      <c r="I780" s="2"/>
      <c r="J780" s="2"/>
      <c r="K780" s="2"/>
      <c r="L780" s="3"/>
      <c r="M780" s="4"/>
      <c r="N780" s="4"/>
      <c r="O780" s="5"/>
      <c r="P780" s="6"/>
      <c r="Q780" s="3"/>
      <c r="R780" s="2"/>
      <c r="S780" s="2"/>
      <c r="T780" s="2"/>
      <c r="U780" s="2"/>
      <c r="V780" s="3"/>
      <c r="W780" s="2"/>
      <c r="X780" s="2"/>
      <c r="Y780" s="2"/>
      <c r="Z780" s="2"/>
      <c r="AA780" s="3"/>
      <c r="AB780" s="2"/>
      <c r="AC780" s="2"/>
      <c r="AD780" s="2"/>
      <c r="AE780" s="2"/>
      <c r="AF780" s="3"/>
      <c r="AG780" s="2"/>
      <c r="AH780" s="2"/>
      <c r="AI780" s="2"/>
      <c r="AJ780" s="2"/>
      <c r="AK780" s="3"/>
      <c r="AL780" s="2"/>
      <c r="AM780" s="2"/>
      <c r="AN780" s="2"/>
      <c r="AO780" s="2"/>
      <c r="AP780" s="3"/>
      <c r="AQ780" s="2"/>
      <c r="AR780" s="2"/>
      <c r="AS780" s="2"/>
      <c r="AT780" s="7"/>
      <c r="AU780" s="2"/>
      <c r="AV780" s="2"/>
      <c r="AW780" s="2"/>
      <c r="AX780" s="2"/>
    </row>
    <row r="781">
      <c r="A781" s="2"/>
      <c r="B781" s="2"/>
      <c r="C781" s="2"/>
      <c r="D781" s="2"/>
      <c r="E781" s="2"/>
      <c r="F781" s="2"/>
      <c r="G781" s="2"/>
      <c r="H781" s="2"/>
      <c r="I781" s="2"/>
      <c r="J781" s="2"/>
      <c r="K781" s="2"/>
      <c r="L781" s="3"/>
      <c r="M781" s="4"/>
      <c r="N781" s="4"/>
      <c r="O781" s="5"/>
      <c r="P781" s="6"/>
      <c r="Q781" s="3"/>
      <c r="R781" s="2"/>
      <c r="S781" s="2"/>
      <c r="T781" s="2"/>
      <c r="U781" s="2"/>
      <c r="V781" s="3"/>
      <c r="W781" s="2"/>
      <c r="X781" s="2"/>
      <c r="Y781" s="2"/>
      <c r="Z781" s="2"/>
      <c r="AA781" s="3"/>
      <c r="AB781" s="2"/>
      <c r="AC781" s="2"/>
      <c r="AD781" s="2"/>
      <c r="AE781" s="2"/>
      <c r="AF781" s="3"/>
      <c r="AG781" s="2"/>
      <c r="AH781" s="2"/>
      <c r="AI781" s="2"/>
      <c r="AJ781" s="2"/>
      <c r="AK781" s="3"/>
      <c r="AL781" s="2"/>
      <c r="AM781" s="2"/>
      <c r="AN781" s="2"/>
      <c r="AO781" s="2"/>
      <c r="AP781" s="3"/>
      <c r="AQ781" s="2"/>
      <c r="AR781" s="2"/>
      <c r="AS781" s="2"/>
      <c r="AT781" s="7"/>
      <c r="AU781" s="2"/>
      <c r="AV781" s="2"/>
      <c r="AW781" s="2"/>
      <c r="AX781" s="2"/>
    </row>
    <row r="782">
      <c r="A782" s="2"/>
      <c r="B782" s="2"/>
      <c r="C782" s="2"/>
      <c r="D782" s="2"/>
      <c r="E782" s="2"/>
      <c r="F782" s="2"/>
      <c r="G782" s="2"/>
      <c r="H782" s="2"/>
      <c r="I782" s="2"/>
      <c r="J782" s="2"/>
      <c r="K782" s="2"/>
      <c r="L782" s="3"/>
      <c r="M782" s="4"/>
      <c r="N782" s="4"/>
      <c r="O782" s="5"/>
      <c r="P782" s="6"/>
      <c r="Q782" s="3"/>
      <c r="R782" s="2"/>
      <c r="S782" s="2"/>
      <c r="T782" s="2"/>
      <c r="U782" s="2"/>
      <c r="V782" s="3"/>
      <c r="W782" s="2"/>
      <c r="X782" s="2"/>
      <c r="Y782" s="2"/>
      <c r="Z782" s="2"/>
      <c r="AA782" s="3"/>
      <c r="AB782" s="2"/>
      <c r="AC782" s="2"/>
      <c r="AD782" s="2"/>
      <c r="AE782" s="2"/>
      <c r="AF782" s="3"/>
      <c r="AG782" s="2"/>
      <c r="AH782" s="2"/>
      <c r="AI782" s="2"/>
      <c r="AJ782" s="2"/>
      <c r="AK782" s="3"/>
      <c r="AL782" s="2"/>
      <c r="AM782" s="2"/>
      <c r="AN782" s="2"/>
      <c r="AO782" s="2"/>
      <c r="AP782" s="3"/>
      <c r="AQ782" s="2"/>
      <c r="AR782" s="2"/>
      <c r="AS782" s="2"/>
      <c r="AT782" s="7"/>
      <c r="AU782" s="2"/>
      <c r="AV782" s="2"/>
      <c r="AW782" s="2"/>
      <c r="AX782" s="2"/>
    </row>
    <row r="783">
      <c r="A783" s="2"/>
      <c r="B783" s="2"/>
      <c r="C783" s="2"/>
      <c r="D783" s="2"/>
      <c r="E783" s="2"/>
      <c r="F783" s="2"/>
      <c r="G783" s="2"/>
      <c r="H783" s="2"/>
      <c r="I783" s="2"/>
      <c r="J783" s="2"/>
      <c r="K783" s="2"/>
      <c r="L783" s="3"/>
      <c r="M783" s="4"/>
      <c r="N783" s="4"/>
      <c r="O783" s="5"/>
      <c r="P783" s="6"/>
      <c r="Q783" s="3"/>
      <c r="R783" s="2"/>
      <c r="S783" s="2"/>
      <c r="T783" s="2"/>
      <c r="U783" s="2"/>
      <c r="V783" s="3"/>
      <c r="W783" s="2"/>
      <c r="X783" s="2"/>
      <c r="Y783" s="2"/>
      <c r="Z783" s="2"/>
      <c r="AA783" s="3"/>
      <c r="AB783" s="2"/>
      <c r="AC783" s="2"/>
      <c r="AD783" s="2"/>
      <c r="AE783" s="2"/>
      <c r="AF783" s="3"/>
      <c r="AG783" s="2"/>
      <c r="AH783" s="2"/>
      <c r="AI783" s="2"/>
      <c r="AJ783" s="2"/>
      <c r="AK783" s="3"/>
      <c r="AL783" s="2"/>
      <c r="AM783" s="2"/>
      <c r="AN783" s="2"/>
      <c r="AO783" s="2"/>
      <c r="AP783" s="3"/>
      <c r="AQ783" s="2"/>
      <c r="AR783" s="2"/>
      <c r="AS783" s="2"/>
      <c r="AT783" s="7"/>
      <c r="AU783" s="2"/>
      <c r="AV783" s="2"/>
      <c r="AW783" s="2"/>
      <c r="AX783" s="2"/>
    </row>
    <row r="784">
      <c r="A784" s="2"/>
      <c r="B784" s="2"/>
      <c r="C784" s="2"/>
      <c r="D784" s="2"/>
      <c r="E784" s="2"/>
      <c r="F784" s="2"/>
      <c r="G784" s="2"/>
      <c r="H784" s="2"/>
      <c r="I784" s="2"/>
      <c r="J784" s="2"/>
      <c r="K784" s="2"/>
      <c r="L784" s="3"/>
      <c r="M784" s="4"/>
      <c r="N784" s="4"/>
      <c r="O784" s="5"/>
      <c r="P784" s="6"/>
      <c r="Q784" s="3"/>
      <c r="R784" s="2"/>
      <c r="S784" s="2"/>
      <c r="T784" s="2"/>
      <c r="U784" s="2"/>
      <c r="V784" s="3"/>
      <c r="W784" s="2"/>
      <c r="X784" s="2"/>
      <c r="Y784" s="2"/>
      <c r="Z784" s="2"/>
      <c r="AA784" s="3"/>
      <c r="AB784" s="2"/>
      <c r="AC784" s="2"/>
      <c r="AD784" s="2"/>
      <c r="AE784" s="2"/>
      <c r="AF784" s="3"/>
      <c r="AG784" s="2"/>
      <c r="AH784" s="2"/>
      <c r="AI784" s="2"/>
      <c r="AJ784" s="2"/>
      <c r="AK784" s="3"/>
      <c r="AL784" s="2"/>
      <c r="AM784" s="2"/>
      <c r="AN784" s="2"/>
      <c r="AO784" s="2"/>
      <c r="AP784" s="3"/>
      <c r="AQ784" s="2"/>
      <c r="AR784" s="2"/>
      <c r="AS784" s="2"/>
      <c r="AT784" s="7"/>
      <c r="AU784" s="2"/>
      <c r="AV784" s="2"/>
      <c r="AW784" s="2"/>
      <c r="AX784" s="2"/>
    </row>
    <row r="785">
      <c r="A785" s="2"/>
      <c r="B785" s="2"/>
      <c r="C785" s="2"/>
      <c r="D785" s="2"/>
      <c r="E785" s="2"/>
      <c r="F785" s="2"/>
      <c r="G785" s="2"/>
      <c r="H785" s="2"/>
      <c r="I785" s="2"/>
      <c r="J785" s="2"/>
      <c r="K785" s="2"/>
      <c r="L785" s="3"/>
      <c r="M785" s="4"/>
      <c r="N785" s="4"/>
      <c r="O785" s="5"/>
      <c r="P785" s="6"/>
      <c r="Q785" s="3"/>
      <c r="R785" s="2"/>
      <c r="S785" s="2"/>
      <c r="T785" s="2"/>
      <c r="U785" s="2"/>
      <c r="V785" s="3"/>
      <c r="W785" s="2"/>
      <c r="X785" s="2"/>
      <c r="Y785" s="2"/>
      <c r="Z785" s="2"/>
      <c r="AA785" s="3"/>
      <c r="AB785" s="2"/>
      <c r="AC785" s="2"/>
      <c r="AD785" s="2"/>
      <c r="AE785" s="2"/>
      <c r="AF785" s="3"/>
      <c r="AG785" s="2"/>
      <c r="AH785" s="2"/>
      <c r="AI785" s="2"/>
      <c r="AJ785" s="2"/>
      <c r="AK785" s="3"/>
      <c r="AL785" s="2"/>
      <c r="AM785" s="2"/>
      <c r="AN785" s="2"/>
      <c r="AO785" s="2"/>
      <c r="AP785" s="3"/>
      <c r="AQ785" s="2"/>
      <c r="AR785" s="2"/>
      <c r="AS785" s="2"/>
      <c r="AT785" s="7"/>
      <c r="AU785" s="2"/>
      <c r="AV785" s="2"/>
      <c r="AW785" s="2"/>
      <c r="AX785" s="2"/>
    </row>
    <row r="786">
      <c r="A786" s="2"/>
      <c r="B786" s="2"/>
      <c r="C786" s="2"/>
      <c r="D786" s="2"/>
      <c r="E786" s="2"/>
      <c r="F786" s="2"/>
      <c r="G786" s="2"/>
      <c r="H786" s="2"/>
      <c r="I786" s="2"/>
      <c r="J786" s="2"/>
      <c r="K786" s="2"/>
      <c r="L786" s="3"/>
      <c r="M786" s="4"/>
      <c r="N786" s="4"/>
      <c r="O786" s="5"/>
      <c r="P786" s="6"/>
      <c r="Q786" s="3"/>
      <c r="R786" s="2"/>
      <c r="S786" s="2"/>
      <c r="T786" s="2"/>
      <c r="U786" s="2"/>
      <c r="V786" s="3"/>
      <c r="W786" s="2"/>
      <c r="X786" s="2"/>
      <c r="Y786" s="2"/>
      <c r="Z786" s="2"/>
      <c r="AA786" s="3"/>
      <c r="AB786" s="2"/>
      <c r="AC786" s="2"/>
      <c r="AD786" s="2"/>
      <c r="AE786" s="2"/>
      <c r="AF786" s="3"/>
      <c r="AG786" s="2"/>
      <c r="AH786" s="2"/>
      <c r="AI786" s="2"/>
      <c r="AJ786" s="2"/>
      <c r="AK786" s="3"/>
      <c r="AL786" s="2"/>
      <c r="AM786" s="2"/>
      <c r="AN786" s="2"/>
      <c r="AO786" s="2"/>
      <c r="AP786" s="3"/>
      <c r="AQ786" s="2"/>
      <c r="AR786" s="2"/>
      <c r="AS786" s="2"/>
      <c r="AT786" s="7"/>
      <c r="AU786" s="2"/>
      <c r="AV786" s="2"/>
      <c r="AW786" s="2"/>
      <c r="AX786" s="2"/>
    </row>
    <row r="787">
      <c r="A787" s="2"/>
      <c r="B787" s="2"/>
      <c r="C787" s="2"/>
      <c r="D787" s="2"/>
      <c r="E787" s="2"/>
      <c r="F787" s="2"/>
      <c r="G787" s="2"/>
      <c r="H787" s="2"/>
      <c r="I787" s="2"/>
      <c r="J787" s="2"/>
      <c r="K787" s="2"/>
      <c r="L787" s="3"/>
      <c r="M787" s="4"/>
      <c r="N787" s="4"/>
      <c r="O787" s="5"/>
      <c r="P787" s="6"/>
      <c r="Q787" s="3"/>
      <c r="R787" s="2"/>
      <c r="S787" s="2"/>
      <c r="T787" s="2"/>
      <c r="U787" s="2"/>
      <c r="V787" s="3"/>
      <c r="W787" s="2"/>
      <c r="X787" s="2"/>
      <c r="Y787" s="2"/>
      <c r="Z787" s="2"/>
      <c r="AA787" s="3"/>
      <c r="AB787" s="2"/>
      <c r="AC787" s="2"/>
      <c r="AD787" s="2"/>
      <c r="AE787" s="2"/>
      <c r="AF787" s="3"/>
      <c r="AG787" s="2"/>
      <c r="AH787" s="2"/>
      <c r="AI787" s="2"/>
      <c r="AJ787" s="2"/>
      <c r="AK787" s="3"/>
      <c r="AL787" s="2"/>
      <c r="AM787" s="2"/>
      <c r="AN787" s="2"/>
      <c r="AO787" s="2"/>
      <c r="AP787" s="3"/>
      <c r="AQ787" s="2"/>
      <c r="AR787" s="2"/>
      <c r="AS787" s="2"/>
      <c r="AT787" s="7"/>
      <c r="AU787" s="2"/>
      <c r="AV787" s="2"/>
      <c r="AW787" s="2"/>
      <c r="AX787" s="2"/>
    </row>
    <row r="788">
      <c r="A788" s="2"/>
      <c r="B788" s="2"/>
      <c r="C788" s="2"/>
      <c r="D788" s="2"/>
      <c r="E788" s="2"/>
      <c r="F788" s="2"/>
      <c r="G788" s="2"/>
      <c r="H788" s="2"/>
      <c r="I788" s="2"/>
      <c r="J788" s="2"/>
      <c r="K788" s="2"/>
      <c r="L788" s="3"/>
      <c r="M788" s="4"/>
      <c r="N788" s="4"/>
      <c r="O788" s="5"/>
      <c r="P788" s="6"/>
      <c r="Q788" s="3"/>
      <c r="R788" s="2"/>
      <c r="S788" s="2"/>
      <c r="T788" s="2"/>
      <c r="U788" s="2"/>
      <c r="V788" s="3"/>
      <c r="W788" s="2"/>
      <c r="X788" s="2"/>
      <c r="Y788" s="2"/>
      <c r="Z788" s="2"/>
      <c r="AA788" s="3"/>
      <c r="AB788" s="2"/>
      <c r="AC788" s="2"/>
      <c r="AD788" s="2"/>
      <c r="AE788" s="2"/>
      <c r="AF788" s="3"/>
      <c r="AG788" s="2"/>
      <c r="AH788" s="2"/>
      <c r="AI788" s="2"/>
      <c r="AJ788" s="2"/>
      <c r="AK788" s="3"/>
      <c r="AL788" s="2"/>
      <c r="AM788" s="2"/>
      <c r="AN788" s="2"/>
      <c r="AO788" s="2"/>
      <c r="AP788" s="3"/>
      <c r="AQ788" s="2"/>
      <c r="AR788" s="2"/>
      <c r="AS788" s="2"/>
      <c r="AT788" s="7"/>
      <c r="AU788" s="2"/>
      <c r="AV788" s="2"/>
      <c r="AW788" s="2"/>
      <c r="AX788" s="2"/>
    </row>
    <row r="789">
      <c r="A789" s="2"/>
      <c r="B789" s="2"/>
      <c r="C789" s="2"/>
      <c r="D789" s="2"/>
      <c r="E789" s="2"/>
      <c r="F789" s="2"/>
      <c r="G789" s="2"/>
      <c r="H789" s="2"/>
      <c r="I789" s="2"/>
      <c r="J789" s="2"/>
      <c r="K789" s="2"/>
      <c r="L789" s="3"/>
      <c r="M789" s="4"/>
      <c r="N789" s="4"/>
      <c r="O789" s="5"/>
      <c r="P789" s="6"/>
      <c r="Q789" s="3"/>
      <c r="R789" s="2"/>
      <c r="S789" s="2"/>
      <c r="T789" s="2"/>
      <c r="U789" s="2"/>
      <c r="V789" s="3"/>
      <c r="W789" s="2"/>
      <c r="X789" s="2"/>
      <c r="Y789" s="2"/>
      <c r="Z789" s="2"/>
      <c r="AA789" s="3"/>
      <c r="AB789" s="2"/>
      <c r="AC789" s="2"/>
      <c r="AD789" s="2"/>
      <c r="AE789" s="2"/>
      <c r="AF789" s="3"/>
      <c r="AG789" s="2"/>
      <c r="AH789" s="2"/>
      <c r="AI789" s="2"/>
      <c r="AJ789" s="2"/>
      <c r="AK789" s="3"/>
      <c r="AL789" s="2"/>
      <c r="AM789" s="2"/>
      <c r="AN789" s="2"/>
      <c r="AO789" s="2"/>
      <c r="AP789" s="3"/>
      <c r="AQ789" s="2"/>
      <c r="AR789" s="2"/>
      <c r="AS789" s="2"/>
      <c r="AT789" s="7"/>
      <c r="AU789" s="2"/>
      <c r="AV789" s="2"/>
      <c r="AW789" s="2"/>
      <c r="AX789" s="2"/>
    </row>
    <row r="790">
      <c r="A790" s="2"/>
      <c r="B790" s="2"/>
      <c r="C790" s="2"/>
      <c r="D790" s="2"/>
      <c r="E790" s="2"/>
      <c r="F790" s="2"/>
      <c r="G790" s="2"/>
      <c r="H790" s="2"/>
      <c r="I790" s="2"/>
      <c r="J790" s="2"/>
      <c r="K790" s="2"/>
      <c r="L790" s="3"/>
      <c r="M790" s="4"/>
      <c r="N790" s="4"/>
      <c r="O790" s="5"/>
      <c r="P790" s="6"/>
      <c r="Q790" s="3"/>
      <c r="R790" s="2"/>
      <c r="S790" s="2"/>
      <c r="T790" s="2"/>
      <c r="U790" s="2"/>
      <c r="V790" s="3"/>
      <c r="W790" s="2"/>
      <c r="X790" s="2"/>
      <c r="Y790" s="2"/>
      <c r="Z790" s="2"/>
      <c r="AA790" s="3"/>
      <c r="AB790" s="2"/>
      <c r="AC790" s="2"/>
      <c r="AD790" s="2"/>
      <c r="AE790" s="2"/>
      <c r="AF790" s="3"/>
      <c r="AG790" s="2"/>
      <c r="AH790" s="2"/>
      <c r="AI790" s="2"/>
      <c r="AJ790" s="2"/>
      <c r="AK790" s="3"/>
      <c r="AL790" s="2"/>
      <c r="AM790" s="2"/>
      <c r="AN790" s="2"/>
      <c r="AO790" s="2"/>
      <c r="AP790" s="3"/>
      <c r="AQ790" s="2"/>
      <c r="AR790" s="2"/>
      <c r="AS790" s="2"/>
      <c r="AT790" s="7"/>
      <c r="AU790" s="2"/>
      <c r="AV790" s="2"/>
      <c r="AW790" s="2"/>
      <c r="AX790" s="2"/>
    </row>
    <row r="791">
      <c r="A791" s="2"/>
      <c r="B791" s="2"/>
      <c r="C791" s="2"/>
      <c r="D791" s="2"/>
      <c r="E791" s="2"/>
      <c r="F791" s="2"/>
      <c r="G791" s="2"/>
      <c r="H791" s="2"/>
      <c r="I791" s="2"/>
      <c r="J791" s="2"/>
      <c r="K791" s="2"/>
      <c r="L791" s="3"/>
      <c r="M791" s="4"/>
      <c r="N791" s="4"/>
      <c r="O791" s="5"/>
      <c r="P791" s="6"/>
      <c r="Q791" s="3"/>
      <c r="R791" s="2"/>
      <c r="S791" s="2"/>
      <c r="T791" s="2"/>
      <c r="U791" s="2"/>
      <c r="V791" s="3"/>
      <c r="W791" s="2"/>
      <c r="X791" s="2"/>
      <c r="Y791" s="2"/>
      <c r="Z791" s="2"/>
      <c r="AA791" s="3"/>
      <c r="AB791" s="2"/>
      <c r="AC791" s="2"/>
      <c r="AD791" s="2"/>
      <c r="AE791" s="2"/>
      <c r="AF791" s="3"/>
      <c r="AG791" s="2"/>
      <c r="AH791" s="2"/>
      <c r="AI791" s="2"/>
      <c r="AJ791" s="2"/>
      <c r="AK791" s="3"/>
      <c r="AL791" s="2"/>
      <c r="AM791" s="2"/>
      <c r="AN791" s="2"/>
      <c r="AO791" s="2"/>
      <c r="AP791" s="3"/>
      <c r="AQ791" s="2"/>
      <c r="AR791" s="2"/>
      <c r="AS791" s="2"/>
      <c r="AT791" s="7"/>
      <c r="AU791" s="2"/>
      <c r="AV791" s="2"/>
      <c r="AW791" s="2"/>
      <c r="AX791" s="2"/>
    </row>
    <row r="792">
      <c r="A792" s="2"/>
      <c r="B792" s="2"/>
      <c r="C792" s="2"/>
      <c r="D792" s="2"/>
      <c r="E792" s="2"/>
      <c r="F792" s="2"/>
      <c r="G792" s="2"/>
      <c r="H792" s="2"/>
      <c r="I792" s="2"/>
      <c r="J792" s="2"/>
      <c r="K792" s="2"/>
      <c r="L792" s="3"/>
      <c r="M792" s="4"/>
      <c r="N792" s="4"/>
      <c r="O792" s="5"/>
      <c r="P792" s="6"/>
      <c r="Q792" s="3"/>
      <c r="R792" s="2"/>
      <c r="S792" s="2"/>
      <c r="T792" s="2"/>
      <c r="U792" s="2"/>
      <c r="V792" s="3"/>
      <c r="W792" s="2"/>
      <c r="X792" s="2"/>
      <c r="Y792" s="2"/>
      <c r="Z792" s="2"/>
      <c r="AA792" s="3"/>
      <c r="AB792" s="2"/>
      <c r="AC792" s="2"/>
      <c r="AD792" s="2"/>
      <c r="AE792" s="2"/>
      <c r="AF792" s="3"/>
      <c r="AG792" s="2"/>
      <c r="AH792" s="2"/>
      <c r="AI792" s="2"/>
      <c r="AJ792" s="2"/>
      <c r="AK792" s="3"/>
      <c r="AL792" s="2"/>
      <c r="AM792" s="2"/>
      <c r="AN792" s="2"/>
      <c r="AO792" s="2"/>
      <c r="AP792" s="3"/>
      <c r="AQ792" s="2"/>
      <c r="AR792" s="2"/>
      <c r="AS792" s="2"/>
      <c r="AT792" s="7"/>
      <c r="AU792" s="2"/>
      <c r="AV792" s="2"/>
      <c r="AW792" s="2"/>
      <c r="AX792" s="2"/>
    </row>
    <row r="793">
      <c r="A793" s="2"/>
      <c r="B793" s="2"/>
      <c r="C793" s="2"/>
      <c r="D793" s="2"/>
      <c r="E793" s="2"/>
      <c r="F793" s="2"/>
      <c r="G793" s="2"/>
      <c r="H793" s="2"/>
      <c r="I793" s="2"/>
      <c r="J793" s="2"/>
      <c r="K793" s="2"/>
      <c r="L793" s="3"/>
      <c r="M793" s="4"/>
      <c r="N793" s="4"/>
      <c r="O793" s="5"/>
      <c r="P793" s="6"/>
      <c r="Q793" s="3"/>
      <c r="R793" s="2"/>
      <c r="S793" s="2"/>
      <c r="T793" s="2"/>
      <c r="U793" s="2"/>
      <c r="V793" s="3"/>
      <c r="W793" s="2"/>
      <c r="X793" s="2"/>
      <c r="Y793" s="2"/>
      <c r="Z793" s="2"/>
      <c r="AA793" s="3"/>
      <c r="AB793" s="2"/>
      <c r="AC793" s="2"/>
      <c r="AD793" s="2"/>
      <c r="AE793" s="2"/>
      <c r="AF793" s="3"/>
      <c r="AG793" s="2"/>
      <c r="AH793" s="2"/>
      <c r="AI793" s="2"/>
      <c r="AJ793" s="2"/>
      <c r="AK793" s="3"/>
      <c r="AL793" s="2"/>
      <c r="AM793" s="2"/>
      <c r="AN793" s="2"/>
      <c r="AO793" s="2"/>
      <c r="AP793" s="3"/>
      <c r="AQ793" s="2"/>
      <c r="AR793" s="2"/>
      <c r="AS793" s="2"/>
      <c r="AT793" s="7"/>
      <c r="AU793" s="2"/>
      <c r="AV793" s="2"/>
      <c r="AW793" s="2"/>
      <c r="AX793" s="2"/>
    </row>
    <row r="794">
      <c r="A794" s="2"/>
      <c r="B794" s="2"/>
      <c r="C794" s="2"/>
      <c r="D794" s="2"/>
      <c r="E794" s="2"/>
      <c r="F794" s="2"/>
      <c r="G794" s="2"/>
      <c r="H794" s="2"/>
      <c r="I794" s="2"/>
      <c r="J794" s="2"/>
      <c r="K794" s="2"/>
      <c r="L794" s="3"/>
      <c r="M794" s="4"/>
      <c r="N794" s="4"/>
      <c r="O794" s="5"/>
      <c r="P794" s="6"/>
      <c r="Q794" s="3"/>
      <c r="R794" s="2"/>
      <c r="S794" s="2"/>
      <c r="T794" s="2"/>
      <c r="U794" s="2"/>
      <c r="V794" s="3"/>
      <c r="W794" s="2"/>
      <c r="X794" s="2"/>
      <c r="Y794" s="2"/>
      <c r="Z794" s="2"/>
      <c r="AA794" s="3"/>
      <c r="AB794" s="2"/>
      <c r="AC794" s="2"/>
      <c r="AD794" s="2"/>
      <c r="AE794" s="2"/>
      <c r="AF794" s="3"/>
      <c r="AG794" s="2"/>
      <c r="AH794" s="2"/>
      <c r="AI794" s="2"/>
      <c r="AJ794" s="2"/>
      <c r="AK794" s="3"/>
      <c r="AL794" s="2"/>
      <c r="AM794" s="2"/>
      <c r="AN794" s="2"/>
      <c r="AO794" s="2"/>
      <c r="AP794" s="3"/>
      <c r="AQ794" s="2"/>
      <c r="AR794" s="2"/>
      <c r="AS794" s="2"/>
      <c r="AT794" s="7"/>
      <c r="AU794" s="2"/>
      <c r="AV794" s="2"/>
      <c r="AW794" s="2"/>
      <c r="AX794" s="2"/>
    </row>
    <row r="795">
      <c r="A795" s="2"/>
      <c r="B795" s="2"/>
      <c r="C795" s="2"/>
      <c r="D795" s="2"/>
      <c r="E795" s="2"/>
      <c r="F795" s="2"/>
      <c r="G795" s="2"/>
      <c r="H795" s="2"/>
      <c r="I795" s="2"/>
      <c r="J795" s="2"/>
      <c r="K795" s="2"/>
      <c r="L795" s="3"/>
      <c r="M795" s="4"/>
      <c r="N795" s="4"/>
      <c r="O795" s="5"/>
      <c r="P795" s="6"/>
      <c r="Q795" s="3"/>
      <c r="R795" s="2"/>
      <c r="S795" s="2"/>
      <c r="T795" s="2"/>
      <c r="U795" s="2"/>
      <c r="V795" s="3"/>
      <c r="W795" s="2"/>
      <c r="X795" s="2"/>
      <c r="Y795" s="2"/>
      <c r="Z795" s="2"/>
      <c r="AA795" s="3"/>
      <c r="AB795" s="2"/>
      <c r="AC795" s="2"/>
      <c r="AD795" s="2"/>
      <c r="AE795" s="2"/>
      <c r="AF795" s="3"/>
      <c r="AG795" s="2"/>
      <c r="AH795" s="2"/>
      <c r="AI795" s="2"/>
      <c r="AJ795" s="2"/>
      <c r="AK795" s="3"/>
      <c r="AL795" s="2"/>
      <c r="AM795" s="2"/>
      <c r="AN795" s="2"/>
      <c r="AO795" s="2"/>
      <c r="AP795" s="3"/>
      <c r="AQ795" s="2"/>
      <c r="AR795" s="2"/>
      <c r="AS795" s="2"/>
      <c r="AT795" s="7"/>
      <c r="AU795" s="2"/>
      <c r="AV795" s="2"/>
      <c r="AW795" s="2"/>
      <c r="AX795" s="2"/>
    </row>
    <row r="796">
      <c r="A796" s="2"/>
      <c r="B796" s="2"/>
      <c r="C796" s="2"/>
      <c r="D796" s="2"/>
      <c r="E796" s="2"/>
      <c r="F796" s="2"/>
      <c r="G796" s="2"/>
      <c r="H796" s="2"/>
      <c r="I796" s="2"/>
      <c r="J796" s="2"/>
      <c r="K796" s="2"/>
      <c r="L796" s="3"/>
      <c r="M796" s="4"/>
      <c r="N796" s="4"/>
      <c r="O796" s="5"/>
      <c r="P796" s="6"/>
      <c r="Q796" s="3"/>
      <c r="R796" s="2"/>
      <c r="S796" s="2"/>
      <c r="T796" s="2"/>
      <c r="U796" s="2"/>
      <c r="V796" s="3"/>
      <c r="W796" s="2"/>
      <c r="X796" s="2"/>
      <c r="Y796" s="2"/>
      <c r="Z796" s="2"/>
      <c r="AA796" s="3"/>
      <c r="AB796" s="2"/>
      <c r="AC796" s="2"/>
      <c r="AD796" s="2"/>
      <c r="AE796" s="2"/>
      <c r="AF796" s="3"/>
      <c r="AG796" s="2"/>
      <c r="AH796" s="2"/>
      <c r="AI796" s="2"/>
      <c r="AJ796" s="2"/>
      <c r="AK796" s="3"/>
      <c r="AL796" s="2"/>
      <c r="AM796" s="2"/>
      <c r="AN796" s="2"/>
      <c r="AO796" s="2"/>
      <c r="AP796" s="3"/>
      <c r="AQ796" s="2"/>
      <c r="AR796" s="2"/>
      <c r="AS796" s="2"/>
      <c r="AT796" s="7"/>
      <c r="AU796" s="2"/>
      <c r="AV796" s="2"/>
      <c r="AW796" s="2"/>
      <c r="AX796" s="2"/>
    </row>
    <row r="797">
      <c r="A797" s="2"/>
      <c r="B797" s="2"/>
      <c r="C797" s="2"/>
      <c r="D797" s="2"/>
      <c r="E797" s="2"/>
      <c r="F797" s="2"/>
      <c r="G797" s="2"/>
      <c r="H797" s="2"/>
      <c r="I797" s="2"/>
      <c r="J797" s="2"/>
      <c r="K797" s="2"/>
      <c r="L797" s="3"/>
      <c r="M797" s="4"/>
      <c r="N797" s="4"/>
      <c r="O797" s="5"/>
      <c r="P797" s="6"/>
      <c r="Q797" s="3"/>
      <c r="R797" s="2"/>
      <c r="S797" s="2"/>
      <c r="T797" s="2"/>
      <c r="U797" s="2"/>
      <c r="V797" s="3"/>
      <c r="W797" s="2"/>
      <c r="X797" s="2"/>
      <c r="Y797" s="2"/>
      <c r="Z797" s="2"/>
      <c r="AA797" s="3"/>
      <c r="AB797" s="2"/>
      <c r="AC797" s="2"/>
      <c r="AD797" s="2"/>
      <c r="AE797" s="2"/>
      <c r="AF797" s="3"/>
      <c r="AG797" s="2"/>
      <c r="AH797" s="2"/>
      <c r="AI797" s="2"/>
      <c r="AJ797" s="2"/>
      <c r="AK797" s="3"/>
      <c r="AL797" s="2"/>
      <c r="AM797" s="2"/>
      <c r="AN797" s="2"/>
      <c r="AO797" s="2"/>
      <c r="AP797" s="3"/>
      <c r="AQ797" s="2"/>
      <c r="AR797" s="2"/>
      <c r="AS797" s="2"/>
      <c r="AT797" s="7"/>
      <c r="AU797" s="2"/>
      <c r="AV797" s="2"/>
      <c r="AW797" s="2"/>
      <c r="AX797" s="2"/>
    </row>
    <row r="798">
      <c r="A798" s="2"/>
      <c r="B798" s="2"/>
      <c r="C798" s="2"/>
      <c r="D798" s="2"/>
      <c r="E798" s="2"/>
      <c r="F798" s="2"/>
      <c r="G798" s="2"/>
      <c r="H798" s="2"/>
      <c r="I798" s="2"/>
      <c r="J798" s="2"/>
      <c r="K798" s="2"/>
      <c r="L798" s="3"/>
      <c r="M798" s="4"/>
      <c r="N798" s="4"/>
      <c r="O798" s="5"/>
      <c r="P798" s="6"/>
      <c r="Q798" s="3"/>
      <c r="R798" s="2"/>
      <c r="S798" s="2"/>
      <c r="T798" s="2"/>
      <c r="U798" s="2"/>
      <c r="V798" s="3"/>
      <c r="W798" s="2"/>
      <c r="X798" s="2"/>
      <c r="Y798" s="2"/>
      <c r="Z798" s="2"/>
      <c r="AA798" s="3"/>
      <c r="AB798" s="2"/>
      <c r="AC798" s="2"/>
      <c r="AD798" s="2"/>
      <c r="AE798" s="2"/>
      <c r="AF798" s="3"/>
      <c r="AG798" s="2"/>
      <c r="AH798" s="2"/>
      <c r="AI798" s="2"/>
      <c r="AJ798" s="2"/>
      <c r="AK798" s="3"/>
      <c r="AL798" s="2"/>
      <c r="AM798" s="2"/>
      <c r="AN798" s="2"/>
      <c r="AO798" s="2"/>
      <c r="AP798" s="3"/>
      <c r="AQ798" s="2"/>
      <c r="AR798" s="2"/>
      <c r="AS798" s="2"/>
      <c r="AT798" s="7"/>
      <c r="AU798" s="2"/>
      <c r="AV798" s="2"/>
      <c r="AW798" s="2"/>
      <c r="AX798" s="2"/>
    </row>
    <row r="799">
      <c r="A799" s="2"/>
      <c r="B799" s="2"/>
      <c r="C799" s="2"/>
      <c r="D799" s="2"/>
      <c r="E799" s="2"/>
      <c r="F799" s="2"/>
      <c r="G799" s="2"/>
      <c r="H799" s="2"/>
      <c r="I799" s="2"/>
      <c r="J799" s="2"/>
      <c r="K799" s="2"/>
      <c r="L799" s="3"/>
      <c r="M799" s="4"/>
      <c r="N799" s="4"/>
      <c r="O799" s="5"/>
      <c r="P799" s="6"/>
      <c r="Q799" s="3"/>
      <c r="R799" s="2"/>
      <c r="S799" s="2"/>
      <c r="T799" s="2"/>
      <c r="U799" s="2"/>
      <c r="V799" s="3"/>
      <c r="W799" s="2"/>
      <c r="X799" s="2"/>
      <c r="Y799" s="2"/>
      <c r="Z799" s="2"/>
      <c r="AA799" s="3"/>
      <c r="AB799" s="2"/>
      <c r="AC799" s="2"/>
      <c r="AD799" s="2"/>
      <c r="AE799" s="2"/>
      <c r="AF799" s="3"/>
      <c r="AG799" s="2"/>
      <c r="AH799" s="2"/>
      <c r="AI799" s="2"/>
      <c r="AJ799" s="2"/>
      <c r="AK799" s="3"/>
      <c r="AL799" s="2"/>
      <c r="AM799" s="2"/>
      <c r="AN799" s="2"/>
      <c r="AO799" s="2"/>
      <c r="AP799" s="3"/>
      <c r="AQ799" s="2"/>
      <c r="AR799" s="2"/>
      <c r="AS799" s="2"/>
      <c r="AT799" s="7"/>
      <c r="AU799" s="2"/>
      <c r="AV799" s="2"/>
      <c r="AW799" s="2"/>
      <c r="AX799" s="2"/>
    </row>
    <row r="800">
      <c r="A800" s="2"/>
      <c r="B800" s="2"/>
      <c r="C800" s="2"/>
      <c r="D800" s="2"/>
      <c r="E800" s="2"/>
      <c r="F800" s="2"/>
      <c r="G800" s="2"/>
      <c r="H800" s="2"/>
      <c r="I800" s="2"/>
      <c r="J800" s="2"/>
      <c r="K800" s="2"/>
      <c r="L800" s="3"/>
      <c r="M800" s="4"/>
      <c r="N800" s="4"/>
      <c r="O800" s="5"/>
      <c r="P800" s="6"/>
      <c r="Q800" s="3"/>
      <c r="R800" s="2"/>
      <c r="S800" s="2"/>
      <c r="T800" s="2"/>
      <c r="U800" s="2"/>
      <c r="V800" s="3"/>
      <c r="W800" s="2"/>
      <c r="X800" s="2"/>
      <c r="Y800" s="2"/>
      <c r="Z800" s="2"/>
      <c r="AA800" s="3"/>
      <c r="AB800" s="2"/>
      <c r="AC800" s="2"/>
      <c r="AD800" s="2"/>
      <c r="AE800" s="2"/>
      <c r="AF800" s="3"/>
      <c r="AG800" s="2"/>
      <c r="AH800" s="2"/>
      <c r="AI800" s="2"/>
      <c r="AJ800" s="2"/>
      <c r="AK800" s="3"/>
      <c r="AL800" s="2"/>
      <c r="AM800" s="2"/>
      <c r="AN800" s="2"/>
      <c r="AO800" s="2"/>
      <c r="AP800" s="3"/>
      <c r="AQ800" s="2"/>
      <c r="AR800" s="2"/>
      <c r="AS800" s="2"/>
      <c r="AT800" s="7"/>
      <c r="AU800" s="2"/>
      <c r="AV800" s="2"/>
      <c r="AW800" s="2"/>
      <c r="AX800" s="2"/>
    </row>
    <row r="801">
      <c r="A801" s="2"/>
      <c r="B801" s="2"/>
      <c r="C801" s="2"/>
      <c r="D801" s="2"/>
      <c r="E801" s="2"/>
      <c r="F801" s="2"/>
      <c r="G801" s="2"/>
      <c r="H801" s="2"/>
      <c r="I801" s="2"/>
      <c r="J801" s="2"/>
      <c r="K801" s="2"/>
      <c r="L801" s="3"/>
      <c r="M801" s="4"/>
      <c r="N801" s="4"/>
      <c r="O801" s="5"/>
      <c r="P801" s="6"/>
      <c r="Q801" s="3"/>
      <c r="R801" s="2"/>
      <c r="S801" s="2"/>
      <c r="T801" s="2"/>
      <c r="U801" s="2"/>
      <c r="V801" s="3"/>
      <c r="W801" s="2"/>
      <c r="X801" s="2"/>
      <c r="Y801" s="2"/>
      <c r="Z801" s="2"/>
      <c r="AA801" s="3"/>
      <c r="AB801" s="2"/>
      <c r="AC801" s="2"/>
      <c r="AD801" s="2"/>
      <c r="AE801" s="2"/>
      <c r="AF801" s="3"/>
      <c r="AG801" s="2"/>
      <c r="AH801" s="2"/>
      <c r="AI801" s="2"/>
      <c r="AJ801" s="2"/>
      <c r="AK801" s="3"/>
      <c r="AL801" s="2"/>
      <c r="AM801" s="2"/>
      <c r="AN801" s="2"/>
      <c r="AO801" s="2"/>
      <c r="AP801" s="3"/>
      <c r="AQ801" s="2"/>
      <c r="AR801" s="2"/>
      <c r="AS801" s="2"/>
      <c r="AT801" s="7"/>
      <c r="AU801" s="2"/>
      <c r="AV801" s="2"/>
      <c r="AW801" s="2"/>
      <c r="AX801" s="2"/>
    </row>
    <row r="802">
      <c r="A802" s="2"/>
      <c r="B802" s="2"/>
      <c r="C802" s="2"/>
      <c r="D802" s="2"/>
      <c r="E802" s="2"/>
      <c r="F802" s="2"/>
      <c r="G802" s="2"/>
      <c r="H802" s="2"/>
      <c r="I802" s="2"/>
      <c r="J802" s="2"/>
      <c r="K802" s="2"/>
      <c r="L802" s="3"/>
      <c r="M802" s="4"/>
      <c r="N802" s="4"/>
      <c r="O802" s="5"/>
      <c r="P802" s="6"/>
      <c r="Q802" s="3"/>
      <c r="R802" s="2"/>
      <c r="S802" s="2"/>
      <c r="T802" s="2"/>
      <c r="U802" s="2"/>
      <c r="V802" s="3"/>
      <c r="W802" s="2"/>
      <c r="X802" s="2"/>
      <c r="Y802" s="2"/>
      <c r="Z802" s="2"/>
      <c r="AA802" s="3"/>
      <c r="AB802" s="2"/>
      <c r="AC802" s="2"/>
      <c r="AD802" s="2"/>
      <c r="AE802" s="2"/>
      <c r="AF802" s="3"/>
      <c r="AG802" s="2"/>
      <c r="AH802" s="2"/>
      <c r="AI802" s="2"/>
      <c r="AJ802" s="2"/>
      <c r="AK802" s="3"/>
      <c r="AL802" s="2"/>
      <c r="AM802" s="2"/>
      <c r="AN802" s="2"/>
      <c r="AO802" s="2"/>
      <c r="AP802" s="3"/>
      <c r="AQ802" s="2"/>
      <c r="AR802" s="2"/>
      <c r="AS802" s="2"/>
      <c r="AT802" s="7"/>
      <c r="AU802" s="2"/>
      <c r="AV802" s="2"/>
      <c r="AW802" s="2"/>
      <c r="AX802" s="2"/>
    </row>
    <row r="803">
      <c r="A803" s="2"/>
      <c r="B803" s="2"/>
      <c r="C803" s="2"/>
      <c r="D803" s="2"/>
      <c r="E803" s="2"/>
      <c r="F803" s="2"/>
      <c r="G803" s="2"/>
      <c r="H803" s="2"/>
      <c r="I803" s="2"/>
      <c r="J803" s="2"/>
      <c r="K803" s="2"/>
      <c r="L803" s="3"/>
      <c r="M803" s="4"/>
      <c r="N803" s="4"/>
      <c r="O803" s="5"/>
      <c r="P803" s="6"/>
      <c r="Q803" s="3"/>
      <c r="R803" s="2"/>
      <c r="S803" s="2"/>
      <c r="T803" s="2"/>
      <c r="U803" s="2"/>
      <c r="V803" s="3"/>
      <c r="W803" s="2"/>
      <c r="X803" s="2"/>
      <c r="Y803" s="2"/>
      <c r="Z803" s="2"/>
      <c r="AA803" s="3"/>
      <c r="AB803" s="2"/>
      <c r="AC803" s="2"/>
      <c r="AD803" s="2"/>
      <c r="AE803" s="2"/>
      <c r="AF803" s="3"/>
      <c r="AG803" s="2"/>
      <c r="AH803" s="2"/>
      <c r="AI803" s="2"/>
      <c r="AJ803" s="2"/>
      <c r="AK803" s="3"/>
      <c r="AL803" s="2"/>
      <c r="AM803" s="2"/>
      <c r="AN803" s="2"/>
      <c r="AO803" s="2"/>
      <c r="AP803" s="3"/>
      <c r="AQ803" s="2"/>
      <c r="AR803" s="2"/>
      <c r="AS803" s="2"/>
      <c r="AT803" s="7"/>
      <c r="AU803" s="2"/>
      <c r="AV803" s="2"/>
      <c r="AW803" s="2"/>
      <c r="AX803" s="2"/>
    </row>
    <row r="804">
      <c r="A804" s="2"/>
      <c r="B804" s="2"/>
      <c r="C804" s="2"/>
      <c r="D804" s="2"/>
      <c r="E804" s="2"/>
      <c r="F804" s="2"/>
      <c r="G804" s="2"/>
      <c r="H804" s="2"/>
      <c r="I804" s="2"/>
      <c r="J804" s="2"/>
      <c r="K804" s="2"/>
      <c r="L804" s="3"/>
      <c r="M804" s="4"/>
      <c r="N804" s="4"/>
      <c r="O804" s="5"/>
      <c r="P804" s="6"/>
      <c r="Q804" s="3"/>
      <c r="R804" s="2"/>
      <c r="S804" s="2"/>
      <c r="T804" s="2"/>
      <c r="U804" s="2"/>
      <c r="V804" s="3"/>
      <c r="W804" s="2"/>
      <c r="X804" s="2"/>
      <c r="Y804" s="2"/>
      <c r="Z804" s="2"/>
      <c r="AA804" s="3"/>
      <c r="AB804" s="2"/>
      <c r="AC804" s="2"/>
      <c r="AD804" s="2"/>
      <c r="AE804" s="2"/>
      <c r="AF804" s="3"/>
      <c r="AG804" s="2"/>
      <c r="AH804" s="2"/>
      <c r="AI804" s="2"/>
      <c r="AJ804" s="2"/>
      <c r="AK804" s="3"/>
      <c r="AL804" s="2"/>
      <c r="AM804" s="2"/>
      <c r="AN804" s="2"/>
      <c r="AO804" s="2"/>
      <c r="AP804" s="3"/>
      <c r="AQ804" s="2"/>
      <c r="AR804" s="2"/>
      <c r="AS804" s="2"/>
      <c r="AT804" s="7"/>
      <c r="AU804" s="2"/>
      <c r="AV804" s="2"/>
      <c r="AW804" s="2"/>
      <c r="AX804" s="2"/>
    </row>
    <row r="805">
      <c r="A805" s="2"/>
      <c r="B805" s="2"/>
      <c r="C805" s="2"/>
      <c r="D805" s="2"/>
      <c r="E805" s="2"/>
      <c r="F805" s="2"/>
      <c r="G805" s="2"/>
      <c r="H805" s="2"/>
      <c r="I805" s="2"/>
      <c r="J805" s="2"/>
      <c r="K805" s="2"/>
      <c r="L805" s="3"/>
      <c r="M805" s="4"/>
      <c r="N805" s="4"/>
      <c r="O805" s="5"/>
      <c r="P805" s="6"/>
      <c r="Q805" s="3"/>
      <c r="R805" s="2"/>
      <c r="S805" s="2"/>
      <c r="T805" s="2"/>
      <c r="U805" s="2"/>
      <c r="V805" s="3"/>
      <c r="W805" s="2"/>
      <c r="X805" s="2"/>
      <c r="Y805" s="2"/>
      <c r="Z805" s="2"/>
      <c r="AA805" s="3"/>
      <c r="AB805" s="2"/>
      <c r="AC805" s="2"/>
      <c r="AD805" s="2"/>
      <c r="AE805" s="2"/>
      <c r="AF805" s="3"/>
      <c r="AG805" s="2"/>
      <c r="AH805" s="2"/>
      <c r="AI805" s="2"/>
      <c r="AJ805" s="2"/>
      <c r="AK805" s="3"/>
      <c r="AL805" s="2"/>
      <c r="AM805" s="2"/>
      <c r="AN805" s="2"/>
      <c r="AO805" s="2"/>
      <c r="AP805" s="3"/>
      <c r="AQ805" s="2"/>
      <c r="AR805" s="2"/>
      <c r="AS805" s="2"/>
      <c r="AT805" s="7"/>
      <c r="AU805" s="2"/>
      <c r="AV805" s="2"/>
      <c r="AW805" s="2"/>
      <c r="AX805" s="2"/>
    </row>
    <row r="806">
      <c r="A806" s="2"/>
      <c r="B806" s="2"/>
      <c r="C806" s="2"/>
      <c r="D806" s="2"/>
      <c r="E806" s="2"/>
      <c r="F806" s="2"/>
      <c r="G806" s="2"/>
      <c r="H806" s="2"/>
      <c r="I806" s="2"/>
      <c r="J806" s="2"/>
      <c r="K806" s="2"/>
      <c r="L806" s="3"/>
      <c r="M806" s="4"/>
      <c r="N806" s="4"/>
      <c r="O806" s="5"/>
      <c r="P806" s="6"/>
      <c r="Q806" s="3"/>
      <c r="R806" s="2"/>
      <c r="S806" s="2"/>
      <c r="T806" s="2"/>
      <c r="U806" s="2"/>
      <c r="V806" s="3"/>
      <c r="W806" s="2"/>
      <c r="X806" s="2"/>
      <c r="Y806" s="2"/>
      <c r="Z806" s="2"/>
      <c r="AA806" s="3"/>
      <c r="AB806" s="2"/>
      <c r="AC806" s="2"/>
      <c r="AD806" s="2"/>
      <c r="AE806" s="2"/>
      <c r="AF806" s="3"/>
      <c r="AG806" s="2"/>
      <c r="AH806" s="2"/>
      <c r="AI806" s="2"/>
      <c r="AJ806" s="2"/>
      <c r="AK806" s="3"/>
      <c r="AL806" s="2"/>
      <c r="AM806" s="2"/>
      <c r="AN806" s="2"/>
      <c r="AO806" s="2"/>
      <c r="AP806" s="3"/>
      <c r="AQ806" s="2"/>
      <c r="AR806" s="2"/>
      <c r="AS806" s="2"/>
      <c r="AT806" s="7"/>
      <c r="AU806" s="2"/>
      <c r="AV806" s="2"/>
      <c r="AW806" s="2"/>
      <c r="AX806" s="2"/>
    </row>
    <row r="807">
      <c r="A807" s="2"/>
      <c r="B807" s="2"/>
      <c r="C807" s="2"/>
      <c r="D807" s="2"/>
      <c r="E807" s="2"/>
      <c r="F807" s="2"/>
      <c r="G807" s="2"/>
      <c r="H807" s="2"/>
      <c r="I807" s="2"/>
      <c r="J807" s="2"/>
      <c r="K807" s="2"/>
      <c r="L807" s="3"/>
      <c r="M807" s="4"/>
      <c r="N807" s="4"/>
      <c r="O807" s="5"/>
      <c r="P807" s="6"/>
      <c r="Q807" s="3"/>
      <c r="R807" s="2"/>
      <c r="S807" s="2"/>
      <c r="T807" s="2"/>
      <c r="U807" s="2"/>
      <c r="V807" s="3"/>
      <c r="W807" s="2"/>
      <c r="X807" s="2"/>
      <c r="Y807" s="2"/>
      <c r="Z807" s="2"/>
      <c r="AA807" s="3"/>
      <c r="AB807" s="2"/>
      <c r="AC807" s="2"/>
      <c r="AD807" s="2"/>
      <c r="AE807" s="2"/>
      <c r="AF807" s="3"/>
      <c r="AG807" s="2"/>
      <c r="AH807" s="2"/>
      <c r="AI807" s="2"/>
      <c r="AJ807" s="2"/>
      <c r="AK807" s="3"/>
      <c r="AL807" s="2"/>
      <c r="AM807" s="2"/>
      <c r="AN807" s="2"/>
      <c r="AO807" s="2"/>
      <c r="AP807" s="3"/>
      <c r="AQ807" s="2"/>
      <c r="AR807" s="2"/>
      <c r="AS807" s="2"/>
      <c r="AT807" s="7"/>
      <c r="AU807" s="2"/>
      <c r="AV807" s="2"/>
      <c r="AW807" s="2"/>
      <c r="AX807" s="2"/>
    </row>
    <row r="808">
      <c r="A808" s="2"/>
      <c r="B808" s="2"/>
      <c r="C808" s="2"/>
      <c r="D808" s="2"/>
      <c r="E808" s="2"/>
      <c r="F808" s="2"/>
      <c r="G808" s="2"/>
      <c r="H808" s="2"/>
      <c r="I808" s="2"/>
      <c r="J808" s="2"/>
      <c r="K808" s="2"/>
      <c r="L808" s="3"/>
      <c r="M808" s="4"/>
      <c r="N808" s="4"/>
      <c r="O808" s="5"/>
      <c r="P808" s="6"/>
      <c r="Q808" s="3"/>
      <c r="R808" s="2"/>
      <c r="S808" s="2"/>
      <c r="T808" s="2"/>
      <c r="U808" s="2"/>
      <c r="V808" s="3"/>
      <c r="W808" s="2"/>
      <c r="X808" s="2"/>
      <c r="Y808" s="2"/>
      <c r="Z808" s="2"/>
      <c r="AA808" s="3"/>
      <c r="AB808" s="2"/>
      <c r="AC808" s="2"/>
      <c r="AD808" s="2"/>
      <c r="AE808" s="2"/>
      <c r="AF808" s="3"/>
      <c r="AG808" s="2"/>
      <c r="AH808" s="2"/>
      <c r="AI808" s="2"/>
      <c r="AJ808" s="2"/>
      <c r="AK808" s="3"/>
      <c r="AL808" s="2"/>
      <c r="AM808" s="2"/>
      <c r="AN808" s="2"/>
      <c r="AO808" s="2"/>
      <c r="AP808" s="3"/>
      <c r="AQ808" s="2"/>
      <c r="AR808" s="2"/>
      <c r="AS808" s="2"/>
      <c r="AT808" s="7"/>
      <c r="AU808" s="2"/>
      <c r="AV808" s="2"/>
      <c r="AW808" s="2"/>
      <c r="AX808" s="2"/>
    </row>
    <row r="809">
      <c r="A809" s="2"/>
      <c r="B809" s="2"/>
      <c r="C809" s="2"/>
      <c r="D809" s="2"/>
      <c r="E809" s="2"/>
      <c r="F809" s="2"/>
      <c r="G809" s="2"/>
      <c r="H809" s="2"/>
      <c r="I809" s="2"/>
      <c r="J809" s="2"/>
      <c r="K809" s="2"/>
      <c r="L809" s="3"/>
      <c r="M809" s="4"/>
      <c r="N809" s="4"/>
      <c r="O809" s="5"/>
      <c r="P809" s="6"/>
      <c r="Q809" s="3"/>
      <c r="R809" s="2"/>
      <c r="S809" s="2"/>
      <c r="T809" s="2"/>
      <c r="U809" s="2"/>
      <c r="V809" s="3"/>
      <c r="W809" s="2"/>
      <c r="X809" s="2"/>
      <c r="Y809" s="2"/>
      <c r="Z809" s="2"/>
      <c r="AA809" s="3"/>
      <c r="AB809" s="2"/>
      <c r="AC809" s="2"/>
      <c r="AD809" s="2"/>
      <c r="AE809" s="2"/>
      <c r="AF809" s="3"/>
      <c r="AG809" s="2"/>
      <c r="AH809" s="2"/>
      <c r="AI809" s="2"/>
      <c r="AJ809" s="2"/>
      <c r="AK809" s="3"/>
      <c r="AL809" s="2"/>
      <c r="AM809" s="2"/>
      <c r="AN809" s="2"/>
      <c r="AO809" s="2"/>
      <c r="AP809" s="3"/>
      <c r="AQ809" s="2"/>
      <c r="AR809" s="2"/>
      <c r="AS809" s="2"/>
      <c r="AT809" s="7"/>
      <c r="AU809" s="2"/>
      <c r="AV809" s="2"/>
      <c r="AW809" s="2"/>
      <c r="AX809" s="2"/>
    </row>
    <row r="810">
      <c r="A810" s="2"/>
      <c r="B810" s="2"/>
      <c r="C810" s="2"/>
      <c r="D810" s="2"/>
      <c r="E810" s="2"/>
      <c r="F810" s="2"/>
      <c r="G810" s="2"/>
      <c r="H810" s="2"/>
      <c r="I810" s="2"/>
      <c r="J810" s="2"/>
      <c r="K810" s="2"/>
      <c r="L810" s="3"/>
      <c r="M810" s="4"/>
      <c r="N810" s="4"/>
      <c r="O810" s="5"/>
      <c r="P810" s="6"/>
      <c r="Q810" s="3"/>
      <c r="R810" s="2"/>
      <c r="S810" s="2"/>
      <c r="T810" s="2"/>
      <c r="U810" s="2"/>
      <c r="V810" s="3"/>
      <c r="W810" s="2"/>
      <c r="X810" s="2"/>
      <c r="Y810" s="2"/>
      <c r="Z810" s="2"/>
      <c r="AA810" s="3"/>
      <c r="AB810" s="2"/>
      <c r="AC810" s="2"/>
      <c r="AD810" s="2"/>
      <c r="AE810" s="2"/>
      <c r="AF810" s="3"/>
      <c r="AG810" s="2"/>
      <c r="AH810" s="2"/>
      <c r="AI810" s="2"/>
      <c r="AJ810" s="2"/>
      <c r="AK810" s="3"/>
      <c r="AL810" s="2"/>
      <c r="AM810" s="2"/>
      <c r="AN810" s="2"/>
      <c r="AO810" s="2"/>
      <c r="AP810" s="3"/>
      <c r="AQ810" s="2"/>
      <c r="AR810" s="2"/>
      <c r="AS810" s="2"/>
      <c r="AT810" s="7"/>
      <c r="AU810" s="2"/>
      <c r="AV810" s="2"/>
      <c r="AW810" s="2"/>
      <c r="AX810" s="2"/>
    </row>
    <row r="811">
      <c r="A811" s="2"/>
      <c r="B811" s="2"/>
      <c r="C811" s="2"/>
      <c r="D811" s="2"/>
      <c r="E811" s="2"/>
      <c r="F811" s="2"/>
      <c r="G811" s="2"/>
      <c r="H811" s="2"/>
      <c r="I811" s="2"/>
      <c r="J811" s="2"/>
      <c r="K811" s="2"/>
      <c r="L811" s="3"/>
      <c r="M811" s="4"/>
      <c r="N811" s="4"/>
      <c r="O811" s="5"/>
      <c r="P811" s="6"/>
      <c r="Q811" s="3"/>
      <c r="R811" s="2"/>
      <c r="S811" s="2"/>
      <c r="T811" s="2"/>
      <c r="U811" s="2"/>
      <c r="V811" s="3"/>
      <c r="W811" s="2"/>
      <c r="X811" s="2"/>
      <c r="Y811" s="2"/>
      <c r="Z811" s="2"/>
      <c r="AA811" s="3"/>
      <c r="AB811" s="2"/>
      <c r="AC811" s="2"/>
      <c r="AD811" s="2"/>
      <c r="AE811" s="2"/>
      <c r="AF811" s="3"/>
      <c r="AG811" s="2"/>
      <c r="AH811" s="2"/>
      <c r="AI811" s="2"/>
      <c r="AJ811" s="2"/>
      <c r="AK811" s="3"/>
      <c r="AL811" s="2"/>
      <c r="AM811" s="2"/>
      <c r="AN811" s="2"/>
      <c r="AO811" s="2"/>
      <c r="AP811" s="3"/>
      <c r="AQ811" s="2"/>
      <c r="AR811" s="2"/>
      <c r="AS811" s="2"/>
      <c r="AT811" s="7"/>
      <c r="AU811" s="2"/>
      <c r="AV811" s="2"/>
      <c r="AW811" s="2"/>
      <c r="AX811" s="2"/>
    </row>
    <row r="812">
      <c r="A812" s="2"/>
      <c r="B812" s="2"/>
      <c r="C812" s="2"/>
      <c r="D812" s="2"/>
      <c r="E812" s="2"/>
      <c r="F812" s="2"/>
      <c r="G812" s="2"/>
      <c r="H812" s="2"/>
      <c r="I812" s="2"/>
      <c r="J812" s="2"/>
      <c r="K812" s="2"/>
      <c r="L812" s="3"/>
      <c r="M812" s="4"/>
      <c r="N812" s="4"/>
      <c r="O812" s="5"/>
      <c r="P812" s="6"/>
      <c r="Q812" s="3"/>
      <c r="R812" s="2"/>
      <c r="S812" s="2"/>
      <c r="T812" s="2"/>
      <c r="U812" s="2"/>
      <c r="V812" s="3"/>
      <c r="W812" s="2"/>
      <c r="X812" s="2"/>
      <c r="Y812" s="2"/>
      <c r="Z812" s="2"/>
      <c r="AA812" s="3"/>
      <c r="AB812" s="2"/>
      <c r="AC812" s="2"/>
      <c r="AD812" s="2"/>
      <c r="AE812" s="2"/>
      <c r="AF812" s="3"/>
      <c r="AG812" s="2"/>
      <c r="AH812" s="2"/>
      <c r="AI812" s="2"/>
      <c r="AJ812" s="2"/>
      <c r="AK812" s="3"/>
      <c r="AL812" s="2"/>
      <c r="AM812" s="2"/>
      <c r="AN812" s="2"/>
      <c r="AO812" s="2"/>
      <c r="AP812" s="3"/>
      <c r="AQ812" s="2"/>
      <c r="AR812" s="2"/>
      <c r="AS812" s="2"/>
      <c r="AT812" s="7"/>
      <c r="AU812" s="2"/>
      <c r="AV812" s="2"/>
      <c r="AW812" s="2"/>
      <c r="AX812" s="2"/>
    </row>
    <row r="813">
      <c r="A813" s="2"/>
      <c r="B813" s="2"/>
      <c r="C813" s="2"/>
      <c r="D813" s="2"/>
      <c r="E813" s="2"/>
      <c r="F813" s="2"/>
      <c r="G813" s="2"/>
      <c r="H813" s="2"/>
      <c r="I813" s="2"/>
      <c r="J813" s="2"/>
      <c r="K813" s="2"/>
      <c r="L813" s="3"/>
      <c r="M813" s="4"/>
      <c r="N813" s="4"/>
      <c r="O813" s="5"/>
      <c r="P813" s="6"/>
      <c r="Q813" s="3"/>
      <c r="R813" s="2"/>
      <c r="S813" s="2"/>
      <c r="T813" s="2"/>
      <c r="U813" s="2"/>
      <c r="V813" s="3"/>
      <c r="W813" s="2"/>
      <c r="X813" s="2"/>
      <c r="Y813" s="2"/>
      <c r="Z813" s="2"/>
      <c r="AA813" s="3"/>
      <c r="AB813" s="2"/>
      <c r="AC813" s="2"/>
      <c r="AD813" s="2"/>
      <c r="AE813" s="2"/>
      <c r="AF813" s="3"/>
      <c r="AG813" s="2"/>
      <c r="AH813" s="2"/>
      <c r="AI813" s="2"/>
      <c r="AJ813" s="2"/>
      <c r="AK813" s="3"/>
      <c r="AL813" s="2"/>
      <c r="AM813" s="2"/>
      <c r="AN813" s="2"/>
      <c r="AO813" s="2"/>
      <c r="AP813" s="3"/>
      <c r="AQ813" s="2"/>
      <c r="AR813" s="2"/>
      <c r="AS813" s="2"/>
      <c r="AT813" s="7"/>
      <c r="AU813" s="2"/>
      <c r="AV813" s="2"/>
      <c r="AW813" s="2"/>
      <c r="AX813" s="2"/>
    </row>
    <row r="814">
      <c r="A814" s="2"/>
      <c r="B814" s="2"/>
      <c r="C814" s="2"/>
      <c r="D814" s="2"/>
      <c r="E814" s="2"/>
      <c r="F814" s="2"/>
      <c r="G814" s="2"/>
      <c r="H814" s="2"/>
      <c r="I814" s="2"/>
      <c r="J814" s="2"/>
      <c r="K814" s="2"/>
      <c r="L814" s="3"/>
      <c r="M814" s="4"/>
      <c r="N814" s="4"/>
      <c r="O814" s="5"/>
      <c r="P814" s="6"/>
      <c r="Q814" s="3"/>
      <c r="R814" s="2"/>
      <c r="S814" s="2"/>
      <c r="T814" s="2"/>
      <c r="U814" s="2"/>
      <c r="V814" s="3"/>
      <c r="W814" s="2"/>
      <c r="X814" s="2"/>
      <c r="Y814" s="2"/>
      <c r="Z814" s="2"/>
      <c r="AA814" s="3"/>
      <c r="AB814" s="2"/>
      <c r="AC814" s="2"/>
      <c r="AD814" s="2"/>
      <c r="AE814" s="2"/>
      <c r="AF814" s="3"/>
      <c r="AG814" s="2"/>
      <c r="AH814" s="2"/>
      <c r="AI814" s="2"/>
      <c r="AJ814" s="2"/>
      <c r="AK814" s="3"/>
      <c r="AL814" s="2"/>
      <c r="AM814" s="2"/>
      <c r="AN814" s="2"/>
      <c r="AO814" s="2"/>
      <c r="AP814" s="3"/>
      <c r="AQ814" s="2"/>
      <c r="AR814" s="2"/>
      <c r="AS814" s="2"/>
      <c r="AT814" s="7"/>
      <c r="AU814" s="2"/>
      <c r="AV814" s="2"/>
      <c r="AW814" s="2"/>
      <c r="AX814" s="2"/>
    </row>
    <row r="815">
      <c r="A815" s="2"/>
      <c r="B815" s="2"/>
      <c r="C815" s="2"/>
      <c r="D815" s="2"/>
      <c r="E815" s="2"/>
      <c r="F815" s="2"/>
      <c r="G815" s="2"/>
      <c r="H815" s="2"/>
      <c r="I815" s="2"/>
      <c r="J815" s="2"/>
      <c r="K815" s="2"/>
      <c r="L815" s="3"/>
      <c r="M815" s="4"/>
      <c r="N815" s="4"/>
      <c r="O815" s="5"/>
      <c r="P815" s="6"/>
      <c r="Q815" s="3"/>
      <c r="R815" s="2"/>
      <c r="S815" s="2"/>
      <c r="T815" s="2"/>
      <c r="U815" s="2"/>
      <c r="V815" s="3"/>
      <c r="W815" s="2"/>
      <c r="X815" s="2"/>
      <c r="Y815" s="2"/>
      <c r="Z815" s="2"/>
      <c r="AA815" s="3"/>
      <c r="AB815" s="2"/>
      <c r="AC815" s="2"/>
      <c r="AD815" s="2"/>
      <c r="AE815" s="2"/>
      <c r="AF815" s="3"/>
      <c r="AG815" s="2"/>
      <c r="AH815" s="2"/>
      <c r="AI815" s="2"/>
      <c r="AJ815" s="2"/>
      <c r="AK815" s="3"/>
      <c r="AL815" s="2"/>
      <c r="AM815" s="2"/>
      <c r="AN815" s="2"/>
      <c r="AO815" s="2"/>
      <c r="AP815" s="3"/>
      <c r="AQ815" s="2"/>
      <c r="AR815" s="2"/>
      <c r="AS815" s="2"/>
      <c r="AT815" s="7"/>
      <c r="AU815" s="2"/>
      <c r="AV815" s="2"/>
      <c r="AW815" s="2"/>
      <c r="AX815" s="2"/>
    </row>
    <row r="816">
      <c r="A816" s="2"/>
      <c r="B816" s="2"/>
      <c r="C816" s="2"/>
      <c r="D816" s="2"/>
      <c r="E816" s="2"/>
      <c r="F816" s="2"/>
      <c r="G816" s="2"/>
      <c r="H816" s="2"/>
      <c r="I816" s="2"/>
      <c r="J816" s="2"/>
      <c r="K816" s="2"/>
      <c r="L816" s="3"/>
      <c r="M816" s="4"/>
      <c r="N816" s="4"/>
      <c r="O816" s="5"/>
      <c r="P816" s="6"/>
      <c r="Q816" s="3"/>
      <c r="R816" s="2"/>
      <c r="S816" s="2"/>
      <c r="T816" s="2"/>
      <c r="U816" s="2"/>
      <c r="V816" s="3"/>
      <c r="W816" s="2"/>
      <c r="X816" s="2"/>
      <c r="Y816" s="2"/>
      <c r="Z816" s="2"/>
      <c r="AA816" s="3"/>
      <c r="AB816" s="2"/>
      <c r="AC816" s="2"/>
      <c r="AD816" s="2"/>
      <c r="AE816" s="2"/>
      <c r="AF816" s="3"/>
      <c r="AG816" s="2"/>
      <c r="AH816" s="2"/>
      <c r="AI816" s="2"/>
      <c r="AJ816" s="2"/>
      <c r="AK816" s="3"/>
      <c r="AL816" s="2"/>
      <c r="AM816" s="2"/>
      <c r="AN816" s="2"/>
      <c r="AO816" s="2"/>
      <c r="AP816" s="3"/>
      <c r="AQ816" s="2"/>
      <c r="AR816" s="2"/>
      <c r="AS816" s="2"/>
      <c r="AT816" s="7"/>
      <c r="AU816" s="2"/>
      <c r="AV816" s="2"/>
      <c r="AW816" s="2"/>
      <c r="AX816" s="2"/>
    </row>
    <row r="817">
      <c r="A817" s="2"/>
      <c r="B817" s="2"/>
      <c r="C817" s="2"/>
      <c r="D817" s="2"/>
      <c r="E817" s="2"/>
      <c r="F817" s="2"/>
      <c r="G817" s="2"/>
      <c r="H817" s="2"/>
      <c r="I817" s="2"/>
      <c r="J817" s="2"/>
      <c r="K817" s="2"/>
      <c r="L817" s="3"/>
      <c r="M817" s="4"/>
      <c r="N817" s="4"/>
      <c r="O817" s="5"/>
      <c r="P817" s="6"/>
      <c r="Q817" s="3"/>
      <c r="R817" s="2"/>
      <c r="S817" s="2"/>
      <c r="T817" s="2"/>
      <c r="U817" s="2"/>
      <c r="V817" s="3"/>
      <c r="W817" s="2"/>
      <c r="X817" s="2"/>
      <c r="Y817" s="2"/>
      <c r="Z817" s="2"/>
      <c r="AA817" s="3"/>
      <c r="AB817" s="2"/>
      <c r="AC817" s="2"/>
      <c r="AD817" s="2"/>
      <c r="AE817" s="2"/>
      <c r="AF817" s="3"/>
      <c r="AG817" s="2"/>
      <c r="AH817" s="2"/>
      <c r="AI817" s="2"/>
      <c r="AJ817" s="2"/>
      <c r="AK817" s="3"/>
      <c r="AL817" s="2"/>
      <c r="AM817" s="2"/>
      <c r="AN817" s="2"/>
      <c r="AO817" s="2"/>
      <c r="AP817" s="3"/>
      <c r="AQ817" s="2"/>
      <c r="AR817" s="2"/>
      <c r="AS817" s="2"/>
      <c r="AT817" s="7"/>
      <c r="AU817" s="2"/>
      <c r="AV817" s="2"/>
      <c r="AW817" s="2"/>
      <c r="AX817" s="2"/>
    </row>
    <row r="818">
      <c r="A818" s="2"/>
      <c r="B818" s="2"/>
      <c r="C818" s="2"/>
      <c r="D818" s="2"/>
      <c r="E818" s="2"/>
      <c r="F818" s="2"/>
      <c r="G818" s="2"/>
      <c r="H818" s="2"/>
      <c r="I818" s="2"/>
      <c r="J818" s="2"/>
      <c r="K818" s="2"/>
      <c r="L818" s="3"/>
      <c r="M818" s="4"/>
      <c r="N818" s="4"/>
      <c r="O818" s="5"/>
      <c r="P818" s="6"/>
      <c r="Q818" s="3"/>
      <c r="R818" s="2"/>
      <c r="S818" s="2"/>
      <c r="T818" s="2"/>
      <c r="U818" s="2"/>
      <c r="V818" s="3"/>
      <c r="W818" s="2"/>
      <c r="X818" s="2"/>
      <c r="Y818" s="2"/>
      <c r="Z818" s="2"/>
      <c r="AA818" s="3"/>
      <c r="AB818" s="2"/>
      <c r="AC818" s="2"/>
      <c r="AD818" s="2"/>
      <c r="AE818" s="2"/>
      <c r="AF818" s="3"/>
      <c r="AG818" s="2"/>
      <c r="AH818" s="2"/>
      <c r="AI818" s="2"/>
      <c r="AJ818" s="2"/>
      <c r="AK818" s="3"/>
      <c r="AL818" s="2"/>
      <c r="AM818" s="2"/>
      <c r="AN818" s="2"/>
      <c r="AO818" s="2"/>
      <c r="AP818" s="3"/>
      <c r="AQ818" s="2"/>
      <c r="AR818" s="2"/>
      <c r="AS818" s="2"/>
      <c r="AT818" s="7"/>
      <c r="AU818" s="2"/>
      <c r="AV818" s="2"/>
      <c r="AW818" s="2"/>
      <c r="AX818" s="2"/>
    </row>
    <row r="819">
      <c r="A819" s="2"/>
      <c r="B819" s="2"/>
      <c r="C819" s="2"/>
      <c r="D819" s="2"/>
      <c r="E819" s="2"/>
      <c r="F819" s="2"/>
      <c r="G819" s="2"/>
      <c r="H819" s="2"/>
      <c r="I819" s="2"/>
      <c r="J819" s="2"/>
      <c r="K819" s="2"/>
      <c r="L819" s="3"/>
      <c r="M819" s="4"/>
      <c r="N819" s="4"/>
      <c r="O819" s="5"/>
      <c r="P819" s="6"/>
      <c r="Q819" s="3"/>
      <c r="R819" s="2"/>
      <c r="S819" s="2"/>
      <c r="T819" s="2"/>
      <c r="U819" s="2"/>
      <c r="V819" s="3"/>
      <c r="W819" s="2"/>
      <c r="X819" s="2"/>
      <c r="Y819" s="2"/>
      <c r="Z819" s="2"/>
      <c r="AA819" s="3"/>
      <c r="AB819" s="2"/>
      <c r="AC819" s="2"/>
      <c r="AD819" s="2"/>
      <c r="AE819" s="2"/>
      <c r="AF819" s="3"/>
      <c r="AG819" s="2"/>
      <c r="AH819" s="2"/>
      <c r="AI819" s="2"/>
      <c r="AJ819" s="2"/>
      <c r="AK819" s="3"/>
      <c r="AL819" s="2"/>
      <c r="AM819" s="2"/>
      <c r="AN819" s="2"/>
      <c r="AO819" s="2"/>
      <c r="AP819" s="3"/>
      <c r="AQ819" s="2"/>
      <c r="AR819" s="2"/>
      <c r="AS819" s="2"/>
      <c r="AT819" s="7"/>
      <c r="AU819" s="2"/>
      <c r="AV819" s="2"/>
      <c r="AW819" s="2"/>
      <c r="AX819" s="2"/>
    </row>
    <row r="820">
      <c r="A820" s="2"/>
      <c r="B820" s="2"/>
      <c r="C820" s="2"/>
      <c r="D820" s="2"/>
      <c r="E820" s="2"/>
      <c r="F820" s="2"/>
      <c r="G820" s="2"/>
      <c r="H820" s="2"/>
      <c r="I820" s="2"/>
      <c r="J820" s="2"/>
      <c r="K820" s="2"/>
      <c r="L820" s="3"/>
      <c r="M820" s="4"/>
      <c r="N820" s="4"/>
      <c r="O820" s="5"/>
      <c r="P820" s="6"/>
      <c r="Q820" s="3"/>
      <c r="R820" s="2"/>
      <c r="S820" s="2"/>
      <c r="T820" s="2"/>
      <c r="U820" s="2"/>
      <c r="V820" s="3"/>
      <c r="W820" s="2"/>
      <c r="X820" s="2"/>
      <c r="Y820" s="2"/>
      <c r="Z820" s="2"/>
      <c r="AA820" s="3"/>
      <c r="AB820" s="2"/>
      <c r="AC820" s="2"/>
      <c r="AD820" s="2"/>
      <c r="AE820" s="2"/>
      <c r="AF820" s="3"/>
      <c r="AG820" s="2"/>
      <c r="AH820" s="2"/>
      <c r="AI820" s="2"/>
      <c r="AJ820" s="2"/>
      <c r="AK820" s="3"/>
      <c r="AL820" s="2"/>
      <c r="AM820" s="2"/>
      <c r="AN820" s="2"/>
      <c r="AO820" s="2"/>
      <c r="AP820" s="3"/>
      <c r="AQ820" s="2"/>
      <c r="AR820" s="2"/>
      <c r="AS820" s="2"/>
      <c r="AT820" s="7"/>
      <c r="AU820" s="2"/>
      <c r="AV820" s="2"/>
      <c r="AW820" s="2"/>
      <c r="AX820" s="2"/>
    </row>
    <row r="821">
      <c r="A821" s="2"/>
      <c r="B821" s="2"/>
      <c r="C821" s="2"/>
      <c r="D821" s="2"/>
      <c r="E821" s="2"/>
      <c r="F821" s="2"/>
      <c r="G821" s="2"/>
      <c r="H821" s="2"/>
      <c r="I821" s="2"/>
      <c r="J821" s="2"/>
      <c r="K821" s="2"/>
      <c r="L821" s="3"/>
      <c r="M821" s="4"/>
      <c r="N821" s="4"/>
      <c r="O821" s="5"/>
      <c r="P821" s="6"/>
      <c r="Q821" s="3"/>
      <c r="R821" s="2"/>
      <c r="S821" s="2"/>
      <c r="T821" s="2"/>
      <c r="U821" s="2"/>
      <c r="V821" s="3"/>
      <c r="W821" s="2"/>
      <c r="X821" s="2"/>
      <c r="Y821" s="2"/>
      <c r="Z821" s="2"/>
      <c r="AA821" s="3"/>
      <c r="AB821" s="2"/>
      <c r="AC821" s="2"/>
      <c r="AD821" s="2"/>
      <c r="AE821" s="2"/>
      <c r="AF821" s="3"/>
      <c r="AG821" s="2"/>
      <c r="AH821" s="2"/>
      <c r="AI821" s="2"/>
      <c r="AJ821" s="2"/>
      <c r="AK821" s="3"/>
      <c r="AL821" s="2"/>
      <c r="AM821" s="2"/>
      <c r="AN821" s="2"/>
      <c r="AO821" s="2"/>
      <c r="AP821" s="3"/>
      <c r="AQ821" s="2"/>
      <c r="AR821" s="2"/>
      <c r="AS821" s="2"/>
      <c r="AT821" s="7"/>
      <c r="AU821" s="2"/>
      <c r="AV821" s="2"/>
      <c r="AW821" s="2"/>
      <c r="AX821" s="2"/>
    </row>
    <row r="822">
      <c r="A822" s="2"/>
      <c r="B822" s="2"/>
      <c r="C822" s="2"/>
      <c r="D822" s="2"/>
      <c r="E822" s="2"/>
      <c r="F822" s="2"/>
      <c r="G822" s="2"/>
      <c r="H822" s="2"/>
      <c r="I822" s="2"/>
      <c r="J822" s="2"/>
      <c r="K822" s="2"/>
      <c r="L822" s="3"/>
      <c r="M822" s="4"/>
      <c r="N822" s="4"/>
      <c r="O822" s="5"/>
      <c r="P822" s="6"/>
      <c r="Q822" s="3"/>
      <c r="R822" s="2"/>
      <c r="S822" s="2"/>
      <c r="T822" s="2"/>
      <c r="U822" s="2"/>
      <c r="V822" s="3"/>
      <c r="W822" s="2"/>
      <c r="X822" s="2"/>
      <c r="Y822" s="2"/>
      <c r="Z822" s="2"/>
      <c r="AA822" s="3"/>
      <c r="AB822" s="2"/>
      <c r="AC822" s="2"/>
      <c r="AD822" s="2"/>
      <c r="AE822" s="2"/>
      <c r="AF822" s="3"/>
      <c r="AG822" s="2"/>
      <c r="AH822" s="2"/>
      <c r="AI822" s="2"/>
      <c r="AJ822" s="2"/>
      <c r="AK822" s="3"/>
      <c r="AL822" s="2"/>
      <c r="AM822" s="2"/>
      <c r="AN822" s="2"/>
      <c r="AO822" s="2"/>
      <c r="AP822" s="3"/>
      <c r="AQ822" s="2"/>
      <c r="AR822" s="2"/>
      <c r="AS822" s="2"/>
      <c r="AT822" s="7"/>
      <c r="AU822" s="2"/>
      <c r="AV822" s="2"/>
      <c r="AW822" s="2"/>
      <c r="AX822" s="2"/>
    </row>
    <row r="823">
      <c r="A823" s="2"/>
      <c r="B823" s="2"/>
      <c r="C823" s="2"/>
      <c r="D823" s="2"/>
      <c r="E823" s="2"/>
      <c r="F823" s="2"/>
      <c r="G823" s="2"/>
      <c r="H823" s="2"/>
      <c r="I823" s="2"/>
      <c r="J823" s="2"/>
      <c r="K823" s="2"/>
      <c r="L823" s="3"/>
      <c r="M823" s="4"/>
      <c r="N823" s="4"/>
      <c r="O823" s="5"/>
      <c r="P823" s="6"/>
      <c r="Q823" s="3"/>
      <c r="R823" s="2"/>
      <c r="S823" s="2"/>
      <c r="T823" s="2"/>
      <c r="U823" s="2"/>
      <c r="V823" s="3"/>
      <c r="W823" s="2"/>
      <c r="X823" s="2"/>
      <c r="Y823" s="2"/>
      <c r="Z823" s="2"/>
      <c r="AA823" s="3"/>
      <c r="AB823" s="2"/>
      <c r="AC823" s="2"/>
      <c r="AD823" s="2"/>
      <c r="AE823" s="2"/>
      <c r="AF823" s="3"/>
      <c r="AG823" s="2"/>
      <c r="AH823" s="2"/>
      <c r="AI823" s="2"/>
      <c r="AJ823" s="2"/>
      <c r="AK823" s="3"/>
      <c r="AL823" s="2"/>
      <c r="AM823" s="2"/>
      <c r="AN823" s="2"/>
      <c r="AO823" s="2"/>
      <c r="AP823" s="3"/>
      <c r="AQ823" s="2"/>
      <c r="AR823" s="2"/>
      <c r="AS823" s="2"/>
      <c r="AT823" s="7"/>
      <c r="AU823" s="2"/>
      <c r="AV823" s="2"/>
      <c r="AW823" s="2"/>
      <c r="AX823" s="2"/>
    </row>
    <row r="824">
      <c r="A824" s="2"/>
      <c r="B824" s="2"/>
      <c r="C824" s="2"/>
      <c r="D824" s="2"/>
      <c r="E824" s="2"/>
      <c r="F824" s="2"/>
      <c r="G824" s="2"/>
      <c r="H824" s="2"/>
      <c r="I824" s="2"/>
      <c r="J824" s="2"/>
      <c r="K824" s="2"/>
      <c r="L824" s="3"/>
      <c r="M824" s="4"/>
      <c r="N824" s="4"/>
      <c r="O824" s="5"/>
      <c r="P824" s="6"/>
      <c r="Q824" s="3"/>
      <c r="R824" s="2"/>
      <c r="S824" s="2"/>
      <c r="T824" s="2"/>
      <c r="U824" s="2"/>
      <c r="V824" s="3"/>
      <c r="W824" s="2"/>
      <c r="X824" s="2"/>
      <c r="Y824" s="2"/>
      <c r="Z824" s="2"/>
      <c r="AA824" s="3"/>
      <c r="AB824" s="2"/>
      <c r="AC824" s="2"/>
      <c r="AD824" s="2"/>
      <c r="AE824" s="2"/>
      <c r="AF824" s="3"/>
      <c r="AG824" s="2"/>
      <c r="AH824" s="2"/>
      <c r="AI824" s="2"/>
      <c r="AJ824" s="2"/>
      <c r="AK824" s="3"/>
      <c r="AL824" s="2"/>
      <c r="AM824" s="2"/>
      <c r="AN824" s="2"/>
      <c r="AO824" s="2"/>
      <c r="AP824" s="3"/>
      <c r="AQ824" s="2"/>
      <c r="AR824" s="2"/>
      <c r="AS824" s="2"/>
      <c r="AT824" s="7"/>
      <c r="AU824" s="2"/>
      <c r="AV824" s="2"/>
      <c r="AW824" s="2"/>
      <c r="AX824" s="2"/>
    </row>
    <row r="825">
      <c r="A825" s="2"/>
      <c r="B825" s="2"/>
      <c r="C825" s="2"/>
      <c r="D825" s="2"/>
      <c r="E825" s="2"/>
      <c r="F825" s="2"/>
      <c r="G825" s="2"/>
      <c r="H825" s="2"/>
      <c r="I825" s="2"/>
      <c r="J825" s="2"/>
      <c r="K825" s="2"/>
      <c r="L825" s="3"/>
      <c r="M825" s="4"/>
      <c r="N825" s="4"/>
      <c r="O825" s="5"/>
      <c r="P825" s="6"/>
      <c r="Q825" s="3"/>
      <c r="R825" s="2"/>
      <c r="S825" s="2"/>
      <c r="T825" s="2"/>
      <c r="U825" s="2"/>
      <c r="V825" s="3"/>
      <c r="W825" s="2"/>
      <c r="X825" s="2"/>
      <c r="Y825" s="2"/>
      <c r="Z825" s="2"/>
      <c r="AA825" s="3"/>
      <c r="AB825" s="2"/>
      <c r="AC825" s="2"/>
      <c r="AD825" s="2"/>
      <c r="AE825" s="2"/>
      <c r="AF825" s="3"/>
      <c r="AG825" s="2"/>
      <c r="AH825" s="2"/>
      <c r="AI825" s="2"/>
      <c r="AJ825" s="2"/>
      <c r="AK825" s="3"/>
      <c r="AL825" s="2"/>
      <c r="AM825" s="2"/>
      <c r="AN825" s="2"/>
      <c r="AO825" s="2"/>
      <c r="AP825" s="3"/>
      <c r="AQ825" s="2"/>
      <c r="AR825" s="2"/>
      <c r="AS825" s="2"/>
      <c r="AT825" s="7"/>
      <c r="AU825" s="2"/>
      <c r="AV825" s="2"/>
      <c r="AW825" s="2"/>
      <c r="AX825" s="2"/>
    </row>
    <row r="826">
      <c r="A826" s="2"/>
      <c r="B826" s="2"/>
      <c r="C826" s="2"/>
      <c r="D826" s="2"/>
      <c r="E826" s="2"/>
      <c r="F826" s="2"/>
      <c r="G826" s="2"/>
      <c r="H826" s="2"/>
      <c r="I826" s="2"/>
      <c r="J826" s="2"/>
      <c r="K826" s="2"/>
      <c r="L826" s="3"/>
      <c r="M826" s="4"/>
      <c r="N826" s="4"/>
      <c r="O826" s="5"/>
      <c r="P826" s="6"/>
      <c r="Q826" s="3"/>
      <c r="R826" s="2"/>
      <c r="S826" s="2"/>
      <c r="T826" s="2"/>
      <c r="U826" s="2"/>
      <c r="V826" s="3"/>
      <c r="W826" s="2"/>
      <c r="X826" s="2"/>
      <c r="Y826" s="2"/>
      <c r="Z826" s="2"/>
      <c r="AA826" s="3"/>
      <c r="AB826" s="2"/>
      <c r="AC826" s="2"/>
      <c r="AD826" s="2"/>
      <c r="AE826" s="2"/>
      <c r="AF826" s="3"/>
      <c r="AG826" s="2"/>
      <c r="AH826" s="2"/>
      <c r="AI826" s="2"/>
      <c r="AJ826" s="2"/>
      <c r="AK826" s="3"/>
      <c r="AL826" s="2"/>
      <c r="AM826" s="2"/>
      <c r="AN826" s="2"/>
      <c r="AO826" s="2"/>
      <c r="AP826" s="3"/>
      <c r="AQ826" s="2"/>
      <c r="AR826" s="2"/>
      <c r="AS826" s="2"/>
      <c r="AT826" s="7"/>
      <c r="AU826" s="2"/>
      <c r="AV826" s="2"/>
      <c r="AW826" s="2"/>
      <c r="AX826" s="2"/>
    </row>
    <row r="827">
      <c r="A827" s="2"/>
      <c r="B827" s="2"/>
      <c r="C827" s="2"/>
      <c r="D827" s="2"/>
      <c r="E827" s="2"/>
      <c r="F827" s="2"/>
      <c r="G827" s="2"/>
      <c r="H827" s="2"/>
      <c r="I827" s="2"/>
      <c r="J827" s="2"/>
      <c r="K827" s="2"/>
      <c r="L827" s="3"/>
      <c r="M827" s="4"/>
      <c r="N827" s="4"/>
      <c r="O827" s="5"/>
      <c r="P827" s="6"/>
      <c r="Q827" s="3"/>
      <c r="R827" s="2"/>
      <c r="S827" s="2"/>
      <c r="T827" s="2"/>
      <c r="U827" s="2"/>
      <c r="V827" s="3"/>
      <c r="W827" s="2"/>
      <c r="X827" s="2"/>
      <c r="Y827" s="2"/>
      <c r="Z827" s="2"/>
      <c r="AA827" s="3"/>
      <c r="AB827" s="2"/>
      <c r="AC827" s="2"/>
      <c r="AD827" s="2"/>
      <c r="AE827" s="2"/>
      <c r="AF827" s="3"/>
      <c r="AG827" s="2"/>
      <c r="AH827" s="2"/>
      <c r="AI827" s="2"/>
      <c r="AJ827" s="2"/>
      <c r="AK827" s="3"/>
      <c r="AL827" s="2"/>
      <c r="AM827" s="2"/>
      <c r="AN827" s="2"/>
      <c r="AO827" s="2"/>
      <c r="AP827" s="3"/>
      <c r="AQ827" s="2"/>
      <c r="AR827" s="2"/>
      <c r="AS827" s="2"/>
      <c r="AT827" s="7"/>
      <c r="AU827" s="2"/>
      <c r="AV827" s="2"/>
      <c r="AW827" s="2"/>
      <c r="AX827" s="2"/>
    </row>
    <row r="828">
      <c r="A828" s="2"/>
      <c r="B828" s="2"/>
      <c r="C828" s="2"/>
      <c r="D828" s="2"/>
      <c r="E828" s="2"/>
      <c r="F828" s="2"/>
      <c r="G828" s="2"/>
      <c r="H828" s="2"/>
      <c r="I828" s="2"/>
      <c r="J828" s="2"/>
      <c r="K828" s="2"/>
      <c r="L828" s="3"/>
      <c r="M828" s="4"/>
      <c r="N828" s="4"/>
      <c r="O828" s="5"/>
      <c r="P828" s="6"/>
      <c r="Q828" s="3"/>
      <c r="R828" s="2"/>
      <c r="S828" s="2"/>
      <c r="T828" s="2"/>
      <c r="U828" s="2"/>
      <c r="V828" s="3"/>
      <c r="W828" s="2"/>
      <c r="X828" s="2"/>
      <c r="Y828" s="2"/>
      <c r="Z828" s="2"/>
      <c r="AA828" s="3"/>
      <c r="AB828" s="2"/>
      <c r="AC828" s="2"/>
      <c r="AD828" s="2"/>
      <c r="AE828" s="2"/>
      <c r="AF828" s="3"/>
      <c r="AG828" s="2"/>
      <c r="AH828" s="2"/>
      <c r="AI828" s="2"/>
      <c r="AJ828" s="2"/>
      <c r="AK828" s="3"/>
      <c r="AL828" s="2"/>
      <c r="AM828" s="2"/>
      <c r="AN828" s="2"/>
      <c r="AO828" s="2"/>
      <c r="AP828" s="3"/>
      <c r="AQ828" s="2"/>
      <c r="AR828" s="2"/>
      <c r="AS828" s="2"/>
      <c r="AT828" s="7"/>
      <c r="AU828" s="2"/>
      <c r="AV828" s="2"/>
      <c r="AW828" s="2"/>
      <c r="AX828" s="2"/>
    </row>
    <row r="829">
      <c r="A829" s="2"/>
      <c r="B829" s="2"/>
      <c r="C829" s="2"/>
      <c r="D829" s="2"/>
      <c r="E829" s="2"/>
      <c r="F829" s="2"/>
      <c r="G829" s="2"/>
      <c r="H829" s="2"/>
      <c r="I829" s="2"/>
      <c r="J829" s="2"/>
      <c r="K829" s="2"/>
      <c r="L829" s="3"/>
      <c r="M829" s="4"/>
      <c r="N829" s="4"/>
      <c r="O829" s="5"/>
      <c r="P829" s="6"/>
      <c r="Q829" s="3"/>
      <c r="R829" s="2"/>
      <c r="S829" s="2"/>
      <c r="T829" s="2"/>
      <c r="U829" s="2"/>
      <c r="V829" s="3"/>
      <c r="W829" s="2"/>
      <c r="X829" s="2"/>
      <c r="Y829" s="2"/>
      <c r="Z829" s="2"/>
      <c r="AA829" s="3"/>
      <c r="AB829" s="2"/>
      <c r="AC829" s="2"/>
      <c r="AD829" s="2"/>
      <c r="AE829" s="2"/>
      <c r="AF829" s="3"/>
      <c r="AG829" s="2"/>
      <c r="AH829" s="2"/>
      <c r="AI829" s="2"/>
      <c r="AJ829" s="2"/>
      <c r="AK829" s="3"/>
      <c r="AL829" s="2"/>
      <c r="AM829" s="2"/>
      <c r="AN829" s="2"/>
      <c r="AO829" s="2"/>
      <c r="AP829" s="3"/>
      <c r="AQ829" s="2"/>
      <c r="AR829" s="2"/>
      <c r="AS829" s="2"/>
      <c r="AT829" s="7"/>
      <c r="AU829" s="2"/>
      <c r="AV829" s="2"/>
      <c r="AW829" s="2"/>
      <c r="AX829" s="2"/>
    </row>
    <row r="830">
      <c r="A830" s="2"/>
      <c r="B830" s="2"/>
      <c r="C830" s="2"/>
      <c r="D830" s="2"/>
      <c r="E830" s="2"/>
      <c r="F830" s="2"/>
      <c r="G830" s="2"/>
      <c r="H830" s="2"/>
      <c r="I830" s="2"/>
      <c r="J830" s="2"/>
      <c r="K830" s="2"/>
      <c r="L830" s="3"/>
      <c r="M830" s="4"/>
      <c r="N830" s="4"/>
      <c r="O830" s="5"/>
      <c r="P830" s="6"/>
      <c r="Q830" s="3"/>
      <c r="R830" s="2"/>
      <c r="S830" s="2"/>
      <c r="T830" s="2"/>
      <c r="U830" s="2"/>
      <c r="V830" s="3"/>
      <c r="W830" s="2"/>
      <c r="X830" s="2"/>
      <c r="Y830" s="2"/>
      <c r="Z830" s="2"/>
      <c r="AA830" s="3"/>
      <c r="AB830" s="2"/>
      <c r="AC830" s="2"/>
      <c r="AD830" s="2"/>
      <c r="AE830" s="2"/>
      <c r="AF830" s="3"/>
      <c r="AG830" s="2"/>
      <c r="AH830" s="2"/>
      <c r="AI830" s="2"/>
      <c r="AJ830" s="2"/>
      <c r="AK830" s="3"/>
      <c r="AL830" s="2"/>
      <c r="AM830" s="2"/>
      <c r="AN830" s="2"/>
      <c r="AO830" s="2"/>
      <c r="AP830" s="3"/>
      <c r="AQ830" s="2"/>
      <c r="AR830" s="2"/>
      <c r="AS830" s="2"/>
      <c r="AT830" s="7"/>
      <c r="AU830" s="2"/>
      <c r="AV830" s="2"/>
      <c r="AW830" s="2"/>
      <c r="AX830" s="2"/>
    </row>
    <row r="831">
      <c r="A831" s="2"/>
      <c r="B831" s="2"/>
      <c r="C831" s="2"/>
      <c r="D831" s="2"/>
      <c r="E831" s="2"/>
      <c r="F831" s="2"/>
      <c r="G831" s="2"/>
      <c r="H831" s="2"/>
      <c r="I831" s="2"/>
      <c r="J831" s="2"/>
      <c r="K831" s="2"/>
      <c r="L831" s="3"/>
      <c r="M831" s="4"/>
      <c r="N831" s="4"/>
      <c r="O831" s="5"/>
      <c r="P831" s="6"/>
      <c r="Q831" s="3"/>
      <c r="R831" s="2"/>
      <c r="S831" s="2"/>
      <c r="T831" s="2"/>
      <c r="U831" s="2"/>
      <c r="V831" s="3"/>
      <c r="W831" s="2"/>
      <c r="X831" s="2"/>
      <c r="Y831" s="2"/>
      <c r="Z831" s="2"/>
      <c r="AA831" s="3"/>
      <c r="AB831" s="2"/>
      <c r="AC831" s="2"/>
      <c r="AD831" s="2"/>
      <c r="AE831" s="2"/>
      <c r="AF831" s="3"/>
      <c r="AG831" s="2"/>
      <c r="AH831" s="2"/>
      <c r="AI831" s="2"/>
      <c r="AJ831" s="2"/>
      <c r="AK831" s="3"/>
      <c r="AL831" s="2"/>
      <c r="AM831" s="2"/>
      <c r="AN831" s="2"/>
      <c r="AO831" s="2"/>
      <c r="AP831" s="3"/>
      <c r="AQ831" s="2"/>
      <c r="AR831" s="2"/>
      <c r="AS831" s="2"/>
      <c r="AT831" s="7"/>
      <c r="AU831" s="2"/>
      <c r="AV831" s="2"/>
      <c r="AW831" s="2"/>
      <c r="AX831" s="2"/>
    </row>
    <row r="832">
      <c r="A832" s="2"/>
      <c r="B832" s="2"/>
      <c r="C832" s="2"/>
      <c r="D832" s="2"/>
      <c r="E832" s="2"/>
      <c r="F832" s="2"/>
      <c r="G832" s="2"/>
      <c r="H832" s="2"/>
      <c r="I832" s="2"/>
      <c r="J832" s="2"/>
      <c r="K832" s="2"/>
      <c r="L832" s="3"/>
      <c r="M832" s="4"/>
      <c r="N832" s="4"/>
      <c r="O832" s="5"/>
      <c r="P832" s="6"/>
      <c r="Q832" s="3"/>
      <c r="R832" s="2"/>
      <c r="S832" s="2"/>
      <c r="T832" s="2"/>
      <c r="U832" s="2"/>
      <c r="V832" s="3"/>
      <c r="W832" s="2"/>
      <c r="X832" s="2"/>
      <c r="Y832" s="2"/>
      <c r="Z832" s="2"/>
      <c r="AA832" s="3"/>
      <c r="AB832" s="2"/>
      <c r="AC832" s="2"/>
      <c r="AD832" s="2"/>
      <c r="AE832" s="2"/>
      <c r="AF832" s="3"/>
      <c r="AG832" s="2"/>
      <c r="AH832" s="2"/>
      <c r="AI832" s="2"/>
      <c r="AJ832" s="2"/>
      <c r="AK832" s="3"/>
      <c r="AL832" s="2"/>
      <c r="AM832" s="2"/>
      <c r="AN832" s="2"/>
      <c r="AO832" s="2"/>
      <c r="AP832" s="3"/>
      <c r="AQ832" s="2"/>
      <c r="AR832" s="2"/>
      <c r="AS832" s="2"/>
      <c r="AT832" s="7"/>
      <c r="AU832" s="2"/>
      <c r="AV832" s="2"/>
      <c r="AW832" s="2"/>
      <c r="AX832" s="2"/>
    </row>
    <row r="833">
      <c r="A833" s="2"/>
      <c r="B833" s="2"/>
      <c r="C833" s="2"/>
      <c r="D833" s="2"/>
      <c r="E833" s="2"/>
      <c r="F833" s="2"/>
      <c r="G833" s="2"/>
      <c r="H833" s="2"/>
      <c r="I833" s="2"/>
      <c r="J833" s="2"/>
      <c r="K833" s="2"/>
      <c r="L833" s="3"/>
      <c r="M833" s="4"/>
      <c r="N833" s="4"/>
      <c r="O833" s="5"/>
      <c r="P833" s="6"/>
      <c r="Q833" s="3"/>
      <c r="R833" s="2"/>
      <c r="S833" s="2"/>
      <c r="T833" s="2"/>
      <c r="U833" s="2"/>
      <c r="V833" s="3"/>
      <c r="W833" s="2"/>
      <c r="X833" s="2"/>
      <c r="Y833" s="2"/>
      <c r="Z833" s="2"/>
      <c r="AA833" s="3"/>
      <c r="AB833" s="2"/>
      <c r="AC833" s="2"/>
      <c r="AD833" s="2"/>
      <c r="AE833" s="2"/>
      <c r="AF833" s="3"/>
      <c r="AG833" s="2"/>
      <c r="AH833" s="2"/>
      <c r="AI833" s="2"/>
      <c r="AJ833" s="2"/>
      <c r="AK833" s="3"/>
      <c r="AL833" s="2"/>
      <c r="AM833" s="2"/>
      <c r="AN833" s="2"/>
      <c r="AO833" s="2"/>
      <c r="AP833" s="3"/>
      <c r="AQ833" s="2"/>
      <c r="AR833" s="2"/>
      <c r="AS833" s="2"/>
      <c r="AT833" s="7"/>
      <c r="AU833" s="2"/>
      <c r="AV833" s="2"/>
      <c r="AW833" s="2"/>
      <c r="AX833" s="2"/>
    </row>
    <row r="834">
      <c r="A834" s="2"/>
      <c r="B834" s="2"/>
      <c r="C834" s="2"/>
      <c r="D834" s="2"/>
      <c r="E834" s="2"/>
      <c r="F834" s="2"/>
      <c r="G834" s="2"/>
      <c r="H834" s="2"/>
      <c r="I834" s="2"/>
      <c r="J834" s="2"/>
      <c r="K834" s="2"/>
      <c r="L834" s="3"/>
      <c r="M834" s="4"/>
      <c r="N834" s="4"/>
      <c r="O834" s="5"/>
      <c r="P834" s="6"/>
      <c r="Q834" s="3"/>
      <c r="R834" s="2"/>
      <c r="S834" s="2"/>
      <c r="T834" s="2"/>
      <c r="U834" s="2"/>
      <c r="V834" s="3"/>
      <c r="W834" s="2"/>
      <c r="X834" s="2"/>
      <c r="Y834" s="2"/>
      <c r="Z834" s="2"/>
      <c r="AA834" s="3"/>
      <c r="AB834" s="2"/>
      <c r="AC834" s="2"/>
      <c r="AD834" s="2"/>
      <c r="AE834" s="2"/>
      <c r="AF834" s="3"/>
      <c r="AG834" s="2"/>
      <c r="AH834" s="2"/>
      <c r="AI834" s="2"/>
      <c r="AJ834" s="2"/>
      <c r="AK834" s="3"/>
      <c r="AL834" s="2"/>
      <c r="AM834" s="2"/>
      <c r="AN834" s="2"/>
      <c r="AO834" s="2"/>
      <c r="AP834" s="3"/>
      <c r="AQ834" s="2"/>
      <c r="AR834" s="2"/>
      <c r="AS834" s="2"/>
      <c r="AT834" s="7"/>
      <c r="AU834" s="2"/>
      <c r="AV834" s="2"/>
      <c r="AW834" s="2"/>
      <c r="AX834" s="2"/>
    </row>
    <row r="835">
      <c r="A835" s="2"/>
      <c r="B835" s="2"/>
      <c r="C835" s="2"/>
      <c r="D835" s="2"/>
      <c r="E835" s="2"/>
      <c r="F835" s="2"/>
      <c r="G835" s="2"/>
      <c r="H835" s="2"/>
      <c r="I835" s="2"/>
      <c r="J835" s="2"/>
      <c r="K835" s="2"/>
      <c r="L835" s="3"/>
      <c r="M835" s="4"/>
      <c r="N835" s="4"/>
      <c r="O835" s="5"/>
      <c r="P835" s="6"/>
      <c r="Q835" s="3"/>
      <c r="R835" s="2"/>
      <c r="S835" s="2"/>
      <c r="T835" s="2"/>
      <c r="U835" s="2"/>
      <c r="V835" s="3"/>
      <c r="W835" s="2"/>
      <c r="X835" s="2"/>
      <c r="Y835" s="2"/>
      <c r="Z835" s="2"/>
      <c r="AA835" s="3"/>
      <c r="AB835" s="2"/>
      <c r="AC835" s="2"/>
      <c r="AD835" s="2"/>
      <c r="AE835" s="2"/>
      <c r="AF835" s="3"/>
      <c r="AG835" s="2"/>
      <c r="AH835" s="2"/>
      <c r="AI835" s="2"/>
      <c r="AJ835" s="2"/>
      <c r="AK835" s="3"/>
      <c r="AL835" s="2"/>
      <c r="AM835" s="2"/>
      <c r="AN835" s="2"/>
      <c r="AO835" s="2"/>
      <c r="AP835" s="3"/>
      <c r="AQ835" s="2"/>
      <c r="AR835" s="2"/>
      <c r="AS835" s="2"/>
      <c r="AT835" s="7"/>
      <c r="AU835" s="2"/>
      <c r="AV835" s="2"/>
      <c r="AW835" s="2"/>
      <c r="AX835" s="2"/>
    </row>
    <row r="836">
      <c r="A836" s="2"/>
      <c r="B836" s="2"/>
      <c r="C836" s="2"/>
      <c r="D836" s="2"/>
      <c r="E836" s="2"/>
      <c r="F836" s="2"/>
      <c r="G836" s="2"/>
      <c r="H836" s="2"/>
      <c r="I836" s="2"/>
      <c r="J836" s="2"/>
      <c r="K836" s="2"/>
      <c r="L836" s="3"/>
      <c r="M836" s="4"/>
      <c r="N836" s="4"/>
      <c r="O836" s="5"/>
      <c r="P836" s="6"/>
      <c r="Q836" s="3"/>
      <c r="R836" s="2"/>
      <c r="S836" s="2"/>
      <c r="T836" s="2"/>
      <c r="U836" s="2"/>
      <c r="V836" s="3"/>
      <c r="W836" s="2"/>
      <c r="X836" s="2"/>
      <c r="Y836" s="2"/>
      <c r="Z836" s="2"/>
      <c r="AA836" s="3"/>
      <c r="AB836" s="2"/>
      <c r="AC836" s="2"/>
      <c r="AD836" s="2"/>
      <c r="AE836" s="2"/>
      <c r="AF836" s="3"/>
      <c r="AG836" s="2"/>
      <c r="AH836" s="2"/>
      <c r="AI836" s="2"/>
      <c r="AJ836" s="2"/>
      <c r="AK836" s="3"/>
      <c r="AL836" s="2"/>
      <c r="AM836" s="2"/>
      <c r="AN836" s="2"/>
      <c r="AO836" s="2"/>
      <c r="AP836" s="3"/>
      <c r="AQ836" s="2"/>
      <c r="AR836" s="2"/>
      <c r="AS836" s="2"/>
      <c r="AT836" s="7"/>
      <c r="AU836" s="2"/>
      <c r="AV836" s="2"/>
      <c r="AW836" s="2"/>
      <c r="AX836" s="2"/>
    </row>
    <row r="837">
      <c r="A837" s="2"/>
      <c r="B837" s="2"/>
      <c r="C837" s="2"/>
      <c r="D837" s="2"/>
      <c r="E837" s="2"/>
      <c r="F837" s="2"/>
      <c r="G837" s="2"/>
      <c r="H837" s="2"/>
      <c r="I837" s="2"/>
      <c r="J837" s="2"/>
      <c r="K837" s="2"/>
      <c r="L837" s="3"/>
      <c r="M837" s="4"/>
      <c r="N837" s="4"/>
      <c r="O837" s="5"/>
      <c r="P837" s="6"/>
      <c r="Q837" s="3"/>
      <c r="R837" s="2"/>
      <c r="S837" s="2"/>
      <c r="T837" s="2"/>
      <c r="U837" s="2"/>
      <c r="V837" s="3"/>
      <c r="W837" s="2"/>
      <c r="X837" s="2"/>
      <c r="Y837" s="2"/>
      <c r="Z837" s="2"/>
      <c r="AA837" s="3"/>
      <c r="AB837" s="2"/>
      <c r="AC837" s="2"/>
      <c r="AD837" s="2"/>
      <c r="AE837" s="2"/>
      <c r="AF837" s="3"/>
      <c r="AG837" s="2"/>
      <c r="AH837" s="2"/>
      <c r="AI837" s="2"/>
      <c r="AJ837" s="2"/>
      <c r="AK837" s="3"/>
      <c r="AL837" s="2"/>
      <c r="AM837" s="2"/>
      <c r="AN837" s="2"/>
      <c r="AO837" s="2"/>
      <c r="AP837" s="3"/>
      <c r="AQ837" s="2"/>
      <c r="AR837" s="2"/>
      <c r="AS837" s="2"/>
      <c r="AT837" s="7"/>
      <c r="AU837" s="2"/>
      <c r="AV837" s="2"/>
      <c r="AW837" s="2"/>
      <c r="AX837" s="2"/>
    </row>
    <row r="838">
      <c r="A838" s="2"/>
      <c r="B838" s="2"/>
      <c r="C838" s="2"/>
      <c r="D838" s="2"/>
      <c r="E838" s="2"/>
      <c r="F838" s="2"/>
      <c r="G838" s="2"/>
      <c r="H838" s="2"/>
      <c r="I838" s="2"/>
      <c r="J838" s="2"/>
      <c r="K838" s="2"/>
      <c r="L838" s="3"/>
      <c r="M838" s="4"/>
      <c r="N838" s="4"/>
      <c r="O838" s="5"/>
      <c r="P838" s="6"/>
      <c r="Q838" s="3"/>
      <c r="R838" s="2"/>
      <c r="S838" s="2"/>
      <c r="T838" s="2"/>
      <c r="U838" s="2"/>
      <c r="V838" s="3"/>
      <c r="W838" s="2"/>
      <c r="X838" s="2"/>
      <c r="Y838" s="2"/>
      <c r="Z838" s="2"/>
      <c r="AA838" s="3"/>
      <c r="AB838" s="2"/>
      <c r="AC838" s="2"/>
      <c r="AD838" s="2"/>
      <c r="AE838" s="2"/>
      <c r="AF838" s="3"/>
      <c r="AG838" s="2"/>
      <c r="AH838" s="2"/>
      <c r="AI838" s="2"/>
      <c r="AJ838" s="2"/>
      <c r="AK838" s="3"/>
      <c r="AL838" s="2"/>
      <c r="AM838" s="2"/>
      <c r="AN838" s="2"/>
      <c r="AO838" s="2"/>
      <c r="AP838" s="3"/>
      <c r="AQ838" s="2"/>
      <c r="AR838" s="2"/>
      <c r="AS838" s="2"/>
      <c r="AT838" s="7"/>
      <c r="AU838" s="2"/>
      <c r="AV838" s="2"/>
      <c r="AW838" s="2"/>
      <c r="AX838" s="2"/>
    </row>
    <row r="839">
      <c r="A839" s="2"/>
      <c r="B839" s="2"/>
      <c r="C839" s="2"/>
      <c r="D839" s="2"/>
      <c r="E839" s="2"/>
      <c r="F839" s="2"/>
      <c r="G839" s="2"/>
      <c r="H839" s="2"/>
      <c r="I839" s="2"/>
      <c r="J839" s="2"/>
      <c r="K839" s="2"/>
      <c r="L839" s="3"/>
      <c r="M839" s="4"/>
      <c r="N839" s="4"/>
      <c r="O839" s="5"/>
      <c r="P839" s="6"/>
      <c r="Q839" s="3"/>
      <c r="R839" s="2"/>
      <c r="S839" s="2"/>
      <c r="T839" s="2"/>
      <c r="U839" s="2"/>
      <c r="V839" s="3"/>
      <c r="W839" s="2"/>
      <c r="X839" s="2"/>
      <c r="Y839" s="2"/>
      <c r="Z839" s="2"/>
      <c r="AA839" s="3"/>
      <c r="AB839" s="2"/>
      <c r="AC839" s="2"/>
      <c r="AD839" s="2"/>
      <c r="AE839" s="2"/>
      <c r="AF839" s="3"/>
      <c r="AG839" s="2"/>
      <c r="AH839" s="2"/>
      <c r="AI839" s="2"/>
      <c r="AJ839" s="2"/>
      <c r="AK839" s="3"/>
      <c r="AL839" s="2"/>
      <c r="AM839" s="2"/>
      <c r="AN839" s="2"/>
      <c r="AO839" s="2"/>
      <c r="AP839" s="3"/>
      <c r="AQ839" s="2"/>
      <c r="AR839" s="2"/>
      <c r="AS839" s="2"/>
      <c r="AT839" s="7"/>
      <c r="AU839" s="2"/>
      <c r="AV839" s="2"/>
      <c r="AW839" s="2"/>
      <c r="AX839" s="2"/>
    </row>
    <row r="840">
      <c r="A840" s="2"/>
      <c r="B840" s="2"/>
      <c r="C840" s="2"/>
      <c r="D840" s="2"/>
      <c r="E840" s="2"/>
      <c r="F840" s="2"/>
      <c r="G840" s="2"/>
      <c r="H840" s="2"/>
      <c r="I840" s="2"/>
      <c r="J840" s="2"/>
      <c r="K840" s="2"/>
      <c r="L840" s="3"/>
      <c r="M840" s="4"/>
      <c r="N840" s="4"/>
      <c r="O840" s="5"/>
      <c r="P840" s="6"/>
      <c r="Q840" s="3"/>
      <c r="R840" s="2"/>
      <c r="S840" s="2"/>
      <c r="T840" s="2"/>
      <c r="U840" s="2"/>
      <c r="V840" s="3"/>
      <c r="W840" s="2"/>
      <c r="X840" s="2"/>
      <c r="Y840" s="2"/>
      <c r="Z840" s="2"/>
      <c r="AA840" s="3"/>
      <c r="AB840" s="2"/>
      <c r="AC840" s="2"/>
      <c r="AD840" s="2"/>
      <c r="AE840" s="2"/>
      <c r="AF840" s="3"/>
      <c r="AG840" s="2"/>
      <c r="AH840" s="2"/>
      <c r="AI840" s="2"/>
      <c r="AJ840" s="2"/>
      <c r="AK840" s="3"/>
      <c r="AL840" s="2"/>
      <c r="AM840" s="2"/>
      <c r="AN840" s="2"/>
      <c r="AO840" s="2"/>
      <c r="AP840" s="3"/>
      <c r="AQ840" s="2"/>
      <c r="AR840" s="2"/>
      <c r="AS840" s="2"/>
      <c r="AT840" s="7"/>
      <c r="AU840" s="2"/>
      <c r="AV840" s="2"/>
      <c r="AW840" s="2"/>
      <c r="AX840" s="2"/>
    </row>
    <row r="841">
      <c r="A841" s="2"/>
      <c r="B841" s="2"/>
      <c r="C841" s="2"/>
      <c r="D841" s="2"/>
      <c r="E841" s="2"/>
      <c r="F841" s="2"/>
      <c r="G841" s="2"/>
      <c r="H841" s="2"/>
      <c r="I841" s="2"/>
      <c r="J841" s="2"/>
      <c r="K841" s="2"/>
      <c r="L841" s="3"/>
      <c r="M841" s="4"/>
      <c r="N841" s="4"/>
      <c r="O841" s="5"/>
      <c r="P841" s="6"/>
      <c r="Q841" s="3"/>
      <c r="R841" s="2"/>
      <c r="S841" s="2"/>
      <c r="T841" s="2"/>
      <c r="U841" s="2"/>
      <c r="V841" s="3"/>
      <c r="W841" s="2"/>
      <c r="X841" s="2"/>
      <c r="Y841" s="2"/>
      <c r="Z841" s="2"/>
      <c r="AA841" s="3"/>
      <c r="AB841" s="2"/>
      <c r="AC841" s="2"/>
      <c r="AD841" s="2"/>
      <c r="AE841" s="2"/>
      <c r="AF841" s="3"/>
      <c r="AG841" s="2"/>
      <c r="AH841" s="2"/>
      <c r="AI841" s="2"/>
      <c r="AJ841" s="2"/>
      <c r="AK841" s="3"/>
      <c r="AL841" s="2"/>
      <c r="AM841" s="2"/>
      <c r="AN841" s="2"/>
      <c r="AO841" s="2"/>
      <c r="AP841" s="3"/>
      <c r="AQ841" s="2"/>
      <c r="AR841" s="2"/>
      <c r="AS841" s="2"/>
      <c r="AT841" s="7"/>
      <c r="AU841" s="2"/>
      <c r="AV841" s="2"/>
      <c r="AW841" s="2"/>
      <c r="AX841" s="2"/>
    </row>
    <row r="842">
      <c r="A842" s="2"/>
      <c r="B842" s="2"/>
      <c r="C842" s="2"/>
      <c r="D842" s="2"/>
      <c r="E842" s="2"/>
      <c r="F842" s="2"/>
      <c r="G842" s="2"/>
      <c r="H842" s="2"/>
      <c r="I842" s="2"/>
      <c r="J842" s="2"/>
      <c r="K842" s="2"/>
      <c r="L842" s="3"/>
      <c r="M842" s="4"/>
      <c r="N842" s="4"/>
      <c r="O842" s="5"/>
      <c r="P842" s="6"/>
      <c r="Q842" s="3"/>
      <c r="R842" s="2"/>
      <c r="S842" s="2"/>
      <c r="T842" s="2"/>
      <c r="U842" s="2"/>
      <c r="V842" s="3"/>
      <c r="W842" s="2"/>
      <c r="X842" s="2"/>
      <c r="Y842" s="2"/>
      <c r="Z842" s="2"/>
      <c r="AA842" s="3"/>
      <c r="AB842" s="2"/>
      <c r="AC842" s="2"/>
      <c r="AD842" s="2"/>
      <c r="AE842" s="2"/>
      <c r="AF842" s="3"/>
      <c r="AG842" s="2"/>
      <c r="AH842" s="2"/>
      <c r="AI842" s="2"/>
      <c r="AJ842" s="2"/>
      <c r="AK842" s="3"/>
      <c r="AL842" s="2"/>
      <c r="AM842" s="2"/>
      <c r="AN842" s="2"/>
      <c r="AO842" s="2"/>
      <c r="AP842" s="3"/>
      <c r="AQ842" s="2"/>
      <c r="AR842" s="2"/>
      <c r="AS842" s="2"/>
      <c r="AT842" s="7"/>
      <c r="AU842" s="2"/>
      <c r="AV842" s="2"/>
      <c r="AW842" s="2"/>
      <c r="AX842" s="2"/>
    </row>
    <row r="843">
      <c r="A843" s="2"/>
      <c r="B843" s="2"/>
      <c r="C843" s="2"/>
      <c r="D843" s="2"/>
      <c r="E843" s="2"/>
      <c r="F843" s="2"/>
      <c r="G843" s="2"/>
      <c r="H843" s="2"/>
      <c r="I843" s="2"/>
      <c r="J843" s="2"/>
      <c r="K843" s="2"/>
      <c r="L843" s="3"/>
      <c r="M843" s="4"/>
      <c r="N843" s="4"/>
      <c r="O843" s="5"/>
      <c r="P843" s="6"/>
      <c r="Q843" s="3"/>
      <c r="R843" s="2"/>
      <c r="S843" s="2"/>
      <c r="T843" s="2"/>
      <c r="U843" s="2"/>
      <c r="V843" s="3"/>
      <c r="W843" s="2"/>
      <c r="X843" s="2"/>
      <c r="Y843" s="2"/>
      <c r="Z843" s="2"/>
      <c r="AA843" s="3"/>
      <c r="AB843" s="2"/>
      <c r="AC843" s="2"/>
      <c r="AD843" s="2"/>
      <c r="AE843" s="2"/>
      <c r="AF843" s="3"/>
      <c r="AG843" s="2"/>
      <c r="AH843" s="2"/>
      <c r="AI843" s="2"/>
      <c r="AJ843" s="2"/>
      <c r="AK843" s="3"/>
      <c r="AL843" s="2"/>
      <c r="AM843" s="2"/>
      <c r="AN843" s="2"/>
      <c r="AO843" s="2"/>
      <c r="AP843" s="3"/>
      <c r="AQ843" s="2"/>
      <c r="AR843" s="2"/>
      <c r="AS843" s="2"/>
      <c r="AT843" s="7"/>
      <c r="AU843" s="2"/>
      <c r="AV843" s="2"/>
      <c r="AW843" s="2"/>
      <c r="AX843" s="2"/>
    </row>
    <row r="844">
      <c r="A844" s="2"/>
      <c r="B844" s="2"/>
      <c r="C844" s="2"/>
      <c r="D844" s="2"/>
      <c r="E844" s="2"/>
      <c r="F844" s="2"/>
      <c r="G844" s="2"/>
      <c r="H844" s="2"/>
      <c r="I844" s="2"/>
      <c r="J844" s="2"/>
      <c r="K844" s="2"/>
      <c r="L844" s="3"/>
      <c r="M844" s="4"/>
      <c r="N844" s="4"/>
      <c r="O844" s="5"/>
      <c r="P844" s="6"/>
      <c r="Q844" s="3"/>
      <c r="R844" s="2"/>
      <c r="S844" s="2"/>
      <c r="T844" s="2"/>
      <c r="U844" s="2"/>
      <c r="V844" s="3"/>
      <c r="W844" s="2"/>
      <c r="X844" s="2"/>
      <c r="Y844" s="2"/>
      <c r="Z844" s="2"/>
      <c r="AA844" s="3"/>
      <c r="AB844" s="2"/>
      <c r="AC844" s="2"/>
      <c r="AD844" s="2"/>
      <c r="AE844" s="2"/>
      <c r="AF844" s="3"/>
      <c r="AG844" s="2"/>
      <c r="AH844" s="2"/>
      <c r="AI844" s="2"/>
      <c r="AJ844" s="2"/>
      <c r="AK844" s="3"/>
      <c r="AL844" s="2"/>
      <c r="AM844" s="2"/>
      <c r="AN844" s="2"/>
      <c r="AO844" s="2"/>
      <c r="AP844" s="3"/>
      <c r="AQ844" s="2"/>
      <c r="AR844" s="2"/>
      <c r="AS844" s="2"/>
      <c r="AT844" s="7"/>
      <c r="AU844" s="2"/>
      <c r="AV844" s="2"/>
      <c r="AW844" s="2"/>
      <c r="AX844" s="2"/>
    </row>
    <row r="845">
      <c r="A845" s="2"/>
      <c r="B845" s="2"/>
      <c r="C845" s="2"/>
      <c r="D845" s="2"/>
      <c r="E845" s="2"/>
      <c r="F845" s="2"/>
      <c r="G845" s="2"/>
      <c r="H845" s="2"/>
      <c r="I845" s="2"/>
      <c r="J845" s="2"/>
      <c r="K845" s="2"/>
      <c r="L845" s="3"/>
      <c r="M845" s="4"/>
      <c r="N845" s="4"/>
      <c r="O845" s="5"/>
      <c r="P845" s="6"/>
      <c r="Q845" s="3"/>
      <c r="R845" s="2"/>
      <c r="S845" s="2"/>
      <c r="T845" s="2"/>
      <c r="U845" s="2"/>
      <c r="V845" s="3"/>
      <c r="W845" s="2"/>
      <c r="X845" s="2"/>
      <c r="Y845" s="2"/>
      <c r="Z845" s="2"/>
      <c r="AA845" s="3"/>
      <c r="AB845" s="2"/>
      <c r="AC845" s="2"/>
      <c r="AD845" s="2"/>
      <c r="AE845" s="2"/>
      <c r="AF845" s="3"/>
      <c r="AG845" s="2"/>
      <c r="AH845" s="2"/>
      <c r="AI845" s="2"/>
      <c r="AJ845" s="2"/>
      <c r="AK845" s="3"/>
      <c r="AL845" s="2"/>
      <c r="AM845" s="2"/>
      <c r="AN845" s="2"/>
      <c r="AO845" s="2"/>
      <c r="AP845" s="3"/>
      <c r="AQ845" s="2"/>
      <c r="AR845" s="2"/>
      <c r="AS845" s="2"/>
      <c r="AT845" s="7"/>
      <c r="AU845" s="2"/>
      <c r="AV845" s="2"/>
      <c r="AW845" s="2"/>
      <c r="AX845" s="2"/>
    </row>
    <row r="846">
      <c r="A846" s="2"/>
      <c r="B846" s="2"/>
      <c r="C846" s="2"/>
      <c r="D846" s="2"/>
      <c r="E846" s="2"/>
      <c r="F846" s="2"/>
      <c r="G846" s="2"/>
      <c r="H846" s="2"/>
      <c r="I846" s="2"/>
      <c r="J846" s="2"/>
      <c r="K846" s="2"/>
      <c r="L846" s="3"/>
      <c r="M846" s="4"/>
      <c r="N846" s="4"/>
      <c r="O846" s="5"/>
      <c r="P846" s="6"/>
      <c r="Q846" s="3"/>
      <c r="R846" s="2"/>
      <c r="S846" s="2"/>
      <c r="T846" s="2"/>
      <c r="U846" s="2"/>
      <c r="V846" s="3"/>
      <c r="W846" s="2"/>
      <c r="X846" s="2"/>
      <c r="Y846" s="2"/>
      <c r="Z846" s="2"/>
      <c r="AA846" s="3"/>
      <c r="AB846" s="2"/>
      <c r="AC846" s="2"/>
      <c r="AD846" s="2"/>
      <c r="AE846" s="2"/>
      <c r="AF846" s="3"/>
      <c r="AG846" s="2"/>
      <c r="AH846" s="2"/>
      <c r="AI846" s="2"/>
      <c r="AJ846" s="2"/>
      <c r="AK846" s="3"/>
      <c r="AL846" s="2"/>
      <c r="AM846" s="2"/>
      <c r="AN846" s="2"/>
      <c r="AO846" s="2"/>
      <c r="AP846" s="3"/>
      <c r="AQ846" s="2"/>
      <c r="AR846" s="2"/>
      <c r="AS846" s="2"/>
      <c r="AT846" s="7"/>
      <c r="AU846" s="2"/>
      <c r="AV846" s="2"/>
      <c r="AW846" s="2"/>
      <c r="AX846" s="2"/>
    </row>
    <row r="847">
      <c r="A847" s="2"/>
      <c r="B847" s="2"/>
      <c r="C847" s="2"/>
      <c r="D847" s="2"/>
      <c r="E847" s="2"/>
      <c r="F847" s="2"/>
      <c r="G847" s="2"/>
      <c r="H847" s="2"/>
      <c r="I847" s="2"/>
      <c r="J847" s="2"/>
      <c r="K847" s="2"/>
      <c r="L847" s="3"/>
      <c r="M847" s="4"/>
      <c r="N847" s="4"/>
      <c r="O847" s="5"/>
      <c r="P847" s="6"/>
      <c r="Q847" s="3"/>
      <c r="R847" s="2"/>
      <c r="S847" s="2"/>
      <c r="T847" s="2"/>
      <c r="U847" s="2"/>
      <c r="V847" s="3"/>
      <c r="W847" s="2"/>
      <c r="X847" s="2"/>
      <c r="Y847" s="2"/>
      <c r="Z847" s="2"/>
      <c r="AA847" s="3"/>
      <c r="AB847" s="2"/>
      <c r="AC847" s="2"/>
      <c r="AD847" s="2"/>
      <c r="AE847" s="2"/>
      <c r="AF847" s="3"/>
      <c r="AG847" s="2"/>
      <c r="AH847" s="2"/>
      <c r="AI847" s="2"/>
      <c r="AJ847" s="2"/>
      <c r="AK847" s="3"/>
      <c r="AL847" s="2"/>
      <c r="AM847" s="2"/>
      <c r="AN847" s="2"/>
      <c r="AO847" s="2"/>
      <c r="AP847" s="3"/>
      <c r="AQ847" s="2"/>
      <c r="AR847" s="2"/>
      <c r="AS847" s="2"/>
      <c r="AT847" s="7"/>
      <c r="AU847" s="2"/>
      <c r="AV847" s="2"/>
      <c r="AW847" s="2"/>
      <c r="AX847" s="2"/>
    </row>
    <row r="848">
      <c r="A848" s="2"/>
      <c r="B848" s="2"/>
      <c r="C848" s="2"/>
      <c r="D848" s="2"/>
      <c r="E848" s="2"/>
      <c r="F848" s="2"/>
      <c r="G848" s="2"/>
      <c r="H848" s="2"/>
      <c r="I848" s="2"/>
      <c r="J848" s="2"/>
      <c r="K848" s="2"/>
      <c r="L848" s="3"/>
      <c r="M848" s="4"/>
      <c r="N848" s="4"/>
      <c r="O848" s="5"/>
      <c r="P848" s="6"/>
      <c r="Q848" s="3"/>
      <c r="R848" s="2"/>
      <c r="S848" s="2"/>
      <c r="T848" s="2"/>
      <c r="U848" s="2"/>
      <c r="V848" s="3"/>
      <c r="W848" s="2"/>
      <c r="X848" s="2"/>
      <c r="Y848" s="2"/>
      <c r="Z848" s="2"/>
      <c r="AA848" s="3"/>
      <c r="AB848" s="2"/>
      <c r="AC848" s="2"/>
      <c r="AD848" s="2"/>
      <c r="AE848" s="2"/>
      <c r="AF848" s="3"/>
      <c r="AG848" s="2"/>
      <c r="AH848" s="2"/>
      <c r="AI848" s="2"/>
      <c r="AJ848" s="2"/>
      <c r="AK848" s="3"/>
      <c r="AL848" s="2"/>
      <c r="AM848" s="2"/>
      <c r="AN848" s="2"/>
      <c r="AO848" s="2"/>
      <c r="AP848" s="3"/>
      <c r="AQ848" s="2"/>
      <c r="AR848" s="2"/>
      <c r="AS848" s="2"/>
      <c r="AT848" s="7"/>
      <c r="AU848" s="2"/>
      <c r="AV848" s="2"/>
      <c r="AW848" s="2"/>
      <c r="AX848" s="2"/>
    </row>
    <row r="849">
      <c r="A849" s="2"/>
      <c r="B849" s="2"/>
      <c r="C849" s="2"/>
      <c r="D849" s="2"/>
      <c r="E849" s="2"/>
      <c r="F849" s="2"/>
      <c r="G849" s="2"/>
      <c r="H849" s="2"/>
      <c r="I849" s="2"/>
      <c r="J849" s="2"/>
      <c r="K849" s="2"/>
      <c r="L849" s="3"/>
      <c r="M849" s="4"/>
      <c r="N849" s="4"/>
      <c r="O849" s="5"/>
      <c r="P849" s="6"/>
      <c r="Q849" s="3"/>
      <c r="R849" s="2"/>
      <c r="S849" s="2"/>
      <c r="T849" s="2"/>
      <c r="U849" s="2"/>
      <c r="V849" s="3"/>
      <c r="W849" s="2"/>
      <c r="X849" s="2"/>
      <c r="Y849" s="2"/>
      <c r="Z849" s="2"/>
      <c r="AA849" s="3"/>
      <c r="AB849" s="2"/>
      <c r="AC849" s="2"/>
      <c r="AD849" s="2"/>
      <c r="AE849" s="2"/>
      <c r="AF849" s="3"/>
      <c r="AG849" s="2"/>
      <c r="AH849" s="2"/>
      <c r="AI849" s="2"/>
      <c r="AJ849" s="2"/>
      <c r="AK849" s="3"/>
      <c r="AL849" s="2"/>
      <c r="AM849" s="2"/>
      <c r="AN849" s="2"/>
      <c r="AO849" s="2"/>
      <c r="AP849" s="3"/>
      <c r="AQ849" s="2"/>
      <c r="AR849" s="2"/>
      <c r="AS849" s="2"/>
      <c r="AT849" s="7"/>
      <c r="AU849" s="2"/>
      <c r="AV849" s="2"/>
      <c r="AW849" s="2"/>
      <c r="AX849" s="2"/>
    </row>
    <row r="850">
      <c r="A850" s="2"/>
      <c r="B850" s="2"/>
      <c r="C850" s="2"/>
      <c r="D850" s="2"/>
      <c r="E850" s="2"/>
      <c r="F850" s="2"/>
      <c r="G850" s="2"/>
      <c r="H850" s="2"/>
      <c r="I850" s="2"/>
      <c r="J850" s="2"/>
      <c r="K850" s="2"/>
      <c r="L850" s="3"/>
      <c r="M850" s="4"/>
      <c r="N850" s="4"/>
      <c r="O850" s="5"/>
      <c r="P850" s="6"/>
      <c r="Q850" s="3"/>
      <c r="R850" s="2"/>
      <c r="S850" s="2"/>
      <c r="T850" s="2"/>
      <c r="U850" s="2"/>
      <c r="V850" s="3"/>
      <c r="W850" s="2"/>
      <c r="X850" s="2"/>
      <c r="Y850" s="2"/>
      <c r="Z850" s="2"/>
      <c r="AA850" s="3"/>
      <c r="AB850" s="2"/>
      <c r="AC850" s="2"/>
      <c r="AD850" s="2"/>
      <c r="AE850" s="2"/>
      <c r="AF850" s="3"/>
      <c r="AG850" s="2"/>
      <c r="AH850" s="2"/>
      <c r="AI850" s="2"/>
      <c r="AJ850" s="2"/>
      <c r="AK850" s="3"/>
      <c r="AL850" s="2"/>
      <c r="AM850" s="2"/>
      <c r="AN850" s="2"/>
      <c r="AO850" s="2"/>
      <c r="AP850" s="3"/>
      <c r="AQ850" s="2"/>
      <c r="AR850" s="2"/>
      <c r="AS850" s="2"/>
      <c r="AT850" s="7"/>
      <c r="AU850" s="2"/>
      <c r="AV850" s="2"/>
      <c r="AW850" s="2"/>
      <c r="AX850" s="2"/>
    </row>
    <row r="851">
      <c r="A851" s="2"/>
      <c r="B851" s="2"/>
      <c r="C851" s="2"/>
      <c r="D851" s="2"/>
      <c r="E851" s="2"/>
      <c r="F851" s="2"/>
      <c r="G851" s="2"/>
      <c r="H851" s="2"/>
      <c r="I851" s="2"/>
      <c r="J851" s="2"/>
      <c r="K851" s="2"/>
      <c r="L851" s="3"/>
      <c r="M851" s="4"/>
      <c r="N851" s="4"/>
      <c r="O851" s="5"/>
      <c r="P851" s="6"/>
      <c r="Q851" s="3"/>
      <c r="R851" s="2"/>
      <c r="S851" s="2"/>
      <c r="T851" s="2"/>
      <c r="U851" s="2"/>
      <c r="V851" s="3"/>
      <c r="W851" s="2"/>
      <c r="X851" s="2"/>
      <c r="Y851" s="2"/>
      <c r="Z851" s="2"/>
      <c r="AA851" s="3"/>
      <c r="AB851" s="2"/>
      <c r="AC851" s="2"/>
      <c r="AD851" s="2"/>
      <c r="AE851" s="2"/>
      <c r="AF851" s="3"/>
      <c r="AG851" s="2"/>
      <c r="AH851" s="2"/>
      <c r="AI851" s="2"/>
      <c r="AJ851" s="2"/>
      <c r="AK851" s="3"/>
      <c r="AL851" s="2"/>
      <c r="AM851" s="2"/>
      <c r="AN851" s="2"/>
      <c r="AO851" s="2"/>
      <c r="AP851" s="3"/>
      <c r="AQ851" s="2"/>
      <c r="AR851" s="2"/>
      <c r="AS851" s="2"/>
      <c r="AT851" s="7"/>
      <c r="AU851" s="2"/>
      <c r="AV851" s="2"/>
      <c r="AW851" s="2"/>
      <c r="AX851" s="2"/>
    </row>
    <row r="852">
      <c r="A852" s="2"/>
      <c r="B852" s="2"/>
      <c r="C852" s="2"/>
      <c r="D852" s="2"/>
      <c r="E852" s="2"/>
      <c r="F852" s="2"/>
      <c r="G852" s="2"/>
      <c r="H852" s="2"/>
      <c r="I852" s="2"/>
      <c r="J852" s="2"/>
      <c r="K852" s="2"/>
      <c r="L852" s="3"/>
      <c r="M852" s="4"/>
      <c r="N852" s="4"/>
      <c r="O852" s="5"/>
      <c r="P852" s="6"/>
      <c r="Q852" s="3"/>
      <c r="R852" s="2"/>
      <c r="S852" s="2"/>
      <c r="T852" s="2"/>
      <c r="U852" s="2"/>
      <c r="V852" s="3"/>
      <c r="W852" s="2"/>
      <c r="X852" s="2"/>
      <c r="Y852" s="2"/>
      <c r="Z852" s="2"/>
      <c r="AA852" s="3"/>
      <c r="AB852" s="2"/>
      <c r="AC852" s="2"/>
      <c r="AD852" s="2"/>
      <c r="AE852" s="2"/>
      <c r="AF852" s="3"/>
      <c r="AG852" s="2"/>
      <c r="AH852" s="2"/>
      <c r="AI852" s="2"/>
      <c r="AJ852" s="2"/>
      <c r="AK852" s="3"/>
      <c r="AL852" s="2"/>
      <c r="AM852" s="2"/>
      <c r="AN852" s="2"/>
      <c r="AO852" s="2"/>
      <c r="AP852" s="3"/>
      <c r="AQ852" s="2"/>
      <c r="AR852" s="2"/>
      <c r="AS852" s="2"/>
      <c r="AT852" s="7"/>
      <c r="AU852" s="2"/>
      <c r="AV852" s="2"/>
      <c r="AW852" s="2"/>
      <c r="AX852" s="2"/>
    </row>
    <row r="853">
      <c r="A853" s="2"/>
      <c r="B853" s="2"/>
      <c r="C853" s="2"/>
      <c r="D853" s="2"/>
      <c r="E853" s="2"/>
      <c r="F853" s="2"/>
      <c r="G853" s="2"/>
      <c r="H853" s="2"/>
      <c r="I853" s="2"/>
      <c r="J853" s="2"/>
      <c r="K853" s="2"/>
      <c r="L853" s="3"/>
      <c r="M853" s="4"/>
      <c r="N853" s="4"/>
      <c r="O853" s="5"/>
      <c r="P853" s="6"/>
      <c r="Q853" s="3"/>
      <c r="R853" s="2"/>
      <c r="S853" s="2"/>
      <c r="T853" s="2"/>
      <c r="U853" s="2"/>
      <c r="V853" s="3"/>
      <c r="W853" s="2"/>
      <c r="X853" s="2"/>
      <c r="Y853" s="2"/>
      <c r="Z853" s="2"/>
      <c r="AA853" s="3"/>
      <c r="AB853" s="2"/>
      <c r="AC853" s="2"/>
      <c r="AD853" s="2"/>
      <c r="AE853" s="2"/>
      <c r="AF853" s="3"/>
      <c r="AG853" s="2"/>
      <c r="AH853" s="2"/>
      <c r="AI853" s="2"/>
      <c r="AJ853" s="2"/>
      <c r="AK853" s="3"/>
      <c r="AL853" s="2"/>
      <c r="AM853" s="2"/>
      <c r="AN853" s="2"/>
      <c r="AO853" s="2"/>
      <c r="AP853" s="3"/>
      <c r="AQ853" s="2"/>
      <c r="AR853" s="2"/>
      <c r="AS853" s="2"/>
      <c r="AT853" s="7"/>
      <c r="AU853" s="2"/>
      <c r="AV853" s="2"/>
      <c r="AW853" s="2"/>
      <c r="AX853" s="2"/>
    </row>
    <row r="854">
      <c r="A854" s="2"/>
      <c r="B854" s="2"/>
      <c r="C854" s="2"/>
      <c r="D854" s="2"/>
      <c r="E854" s="2"/>
      <c r="F854" s="2"/>
      <c r="G854" s="2"/>
      <c r="H854" s="2"/>
      <c r="I854" s="2"/>
      <c r="J854" s="2"/>
      <c r="K854" s="2"/>
      <c r="L854" s="3"/>
      <c r="M854" s="4"/>
      <c r="N854" s="4"/>
      <c r="O854" s="5"/>
      <c r="P854" s="6"/>
      <c r="Q854" s="3"/>
      <c r="R854" s="2"/>
      <c r="S854" s="2"/>
      <c r="T854" s="2"/>
      <c r="U854" s="2"/>
      <c r="V854" s="3"/>
      <c r="W854" s="2"/>
      <c r="X854" s="2"/>
      <c r="Y854" s="2"/>
      <c r="Z854" s="2"/>
      <c r="AA854" s="3"/>
      <c r="AB854" s="2"/>
      <c r="AC854" s="2"/>
      <c r="AD854" s="2"/>
      <c r="AE854" s="2"/>
      <c r="AF854" s="3"/>
      <c r="AG854" s="2"/>
      <c r="AH854" s="2"/>
      <c r="AI854" s="2"/>
      <c r="AJ854" s="2"/>
      <c r="AK854" s="3"/>
      <c r="AL854" s="2"/>
      <c r="AM854" s="2"/>
      <c r="AN854" s="2"/>
      <c r="AO854" s="2"/>
      <c r="AP854" s="3"/>
      <c r="AQ854" s="2"/>
      <c r="AR854" s="2"/>
      <c r="AS854" s="2"/>
      <c r="AT854" s="7"/>
      <c r="AU854" s="2"/>
      <c r="AV854" s="2"/>
      <c r="AW854" s="2"/>
      <c r="AX854" s="2"/>
    </row>
    <row r="855">
      <c r="A855" s="2"/>
      <c r="B855" s="2"/>
      <c r="C855" s="2"/>
      <c r="D855" s="2"/>
      <c r="E855" s="2"/>
      <c r="F855" s="2"/>
      <c r="G855" s="2"/>
      <c r="H855" s="2"/>
      <c r="I855" s="2"/>
      <c r="J855" s="2"/>
      <c r="K855" s="2"/>
      <c r="L855" s="3"/>
      <c r="M855" s="4"/>
      <c r="N855" s="4"/>
      <c r="O855" s="5"/>
      <c r="P855" s="6"/>
      <c r="Q855" s="3"/>
      <c r="R855" s="2"/>
      <c r="S855" s="2"/>
      <c r="T855" s="2"/>
      <c r="U855" s="2"/>
      <c r="V855" s="3"/>
      <c r="W855" s="2"/>
      <c r="X855" s="2"/>
      <c r="Y855" s="2"/>
      <c r="Z855" s="2"/>
      <c r="AA855" s="3"/>
      <c r="AB855" s="2"/>
      <c r="AC855" s="2"/>
      <c r="AD855" s="2"/>
      <c r="AE855" s="2"/>
      <c r="AF855" s="3"/>
      <c r="AG855" s="2"/>
      <c r="AH855" s="2"/>
      <c r="AI855" s="2"/>
      <c r="AJ855" s="2"/>
      <c r="AK855" s="3"/>
      <c r="AL855" s="2"/>
      <c r="AM855" s="2"/>
      <c r="AN855" s="2"/>
      <c r="AO855" s="2"/>
      <c r="AP855" s="3"/>
      <c r="AQ855" s="2"/>
      <c r="AR855" s="2"/>
      <c r="AS855" s="2"/>
      <c r="AT855" s="7"/>
      <c r="AU855" s="2"/>
      <c r="AV855" s="2"/>
      <c r="AW855" s="2"/>
      <c r="AX855" s="2"/>
    </row>
    <row r="856">
      <c r="A856" s="2"/>
      <c r="B856" s="2"/>
      <c r="C856" s="2"/>
      <c r="D856" s="2"/>
      <c r="E856" s="2"/>
      <c r="F856" s="2"/>
      <c r="G856" s="2"/>
      <c r="H856" s="2"/>
      <c r="I856" s="2"/>
      <c r="J856" s="2"/>
      <c r="K856" s="2"/>
      <c r="L856" s="3"/>
      <c r="M856" s="4"/>
      <c r="N856" s="4"/>
      <c r="O856" s="5"/>
      <c r="P856" s="6"/>
      <c r="Q856" s="3"/>
      <c r="R856" s="2"/>
      <c r="S856" s="2"/>
      <c r="T856" s="2"/>
      <c r="U856" s="2"/>
      <c r="V856" s="3"/>
      <c r="W856" s="2"/>
      <c r="X856" s="2"/>
      <c r="Y856" s="2"/>
      <c r="Z856" s="2"/>
      <c r="AA856" s="3"/>
      <c r="AB856" s="2"/>
      <c r="AC856" s="2"/>
      <c r="AD856" s="2"/>
      <c r="AE856" s="2"/>
      <c r="AF856" s="3"/>
      <c r="AG856" s="2"/>
      <c r="AH856" s="2"/>
      <c r="AI856" s="2"/>
      <c r="AJ856" s="2"/>
      <c r="AK856" s="3"/>
      <c r="AL856" s="2"/>
      <c r="AM856" s="2"/>
      <c r="AN856" s="2"/>
      <c r="AO856" s="2"/>
      <c r="AP856" s="3"/>
      <c r="AQ856" s="2"/>
      <c r="AR856" s="2"/>
      <c r="AS856" s="2"/>
      <c r="AT856" s="7"/>
      <c r="AU856" s="2"/>
      <c r="AV856" s="2"/>
      <c r="AW856" s="2"/>
      <c r="AX856" s="2"/>
    </row>
    <row r="857">
      <c r="A857" s="2"/>
      <c r="B857" s="2"/>
      <c r="C857" s="2"/>
      <c r="D857" s="2"/>
      <c r="E857" s="2"/>
      <c r="F857" s="2"/>
      <c r="G857" s="2"/>
      <c r="H857" s="2"/>
      <c r="I857" s="2"/>
      <c r="J857" s="2"/>
      <c r="K857" s="2"/>
      <c r="L857" s="3"/>
      <c r="M857" s="4"/>
      <c r="N857" s="4"/>
      <c r="O857" s="5"/>
      <c r="P857" s="6"/>
      <c r="Q857" s="3"/>
      <c r="R857" s="2"/>
      <c r="S857" s="2"/>
      <c r="T857" s="2"/>
      <c r="U857" s="2"/>
      <c r="V857" s="3"/>
      <c r="W857" s="2"/>
      <c r="X857" s="2"/>
      <c r="Y857" s="2"/>
      <c r="Z857" s="2"/>
      <c r="AA857" s="3"/>
      <c r="AB857" s="2"/>
      <c r="AC857" s="2"/>
      <c r="AD857" s="2"/>
      <c r="AE857" s="2"/>
      <c r="AF857" s="3"/>
      <c r="AG857" s="2"/>
      <c r="AH857" s="2"/>
      <c r="AI857" s="2"/>
      <c r="AJ857" s="2"/>
      <c r="AK857" s="3"/>
      <c r="AL857" s="2"/>
      <c r="AM857" s="2"/>
      <c r="AN857" s="2"/>
      <c r="AO857" s="2"/>
      <c r="AP857" s="3"/>
      <c r="AQ857" s="2"/>
      <c r="AR857" s="2"/>
      <c r="AS857" s="2"/>
      <c r="AT857" s="7"/>
      <c r="AU857" s="2"/>
      <c r="AV857" s="2"/>
      <c r="AW857" s="2"/>
      <c r="AX857" s="2"/>
    </row>
    <row r="858">
      <c r="A858" s="2"/>
      <c r="B858" s="2"/>
      <c r="C858" s="2"/>
      <c r="D858" s="2"/>
      <c r="E858" s="2"/>
      <c r="F858" s="2"/>
      <c r="G858" s="2"/>
      <c r="H858" s="2"/>
      <c r="I858" s="2"/>
      <c r="J858" s="2"/>
      <c r="K858" s="2"/>
      <c r="L858" s="3"/>
      <c r="M858" s="4"/>
      <c r="N858" s="4"/>
      <c r="O858" s="5"/>
      <c r="P858" s="6"/>
      <c r="Q858" s="3"/>
      <c r="R858" s="2"/>
      <c r="S858" s="2"/>
      <c r="T858" s="2"/>
      <c r="U858" s="2"/>
      <c r="V858" s="3"/>
      <c r="W858" s="2"/>
      <c r="X858" s="2"/>
      <c r="Y858" s="2"/>
      <c r="Z858" s="2"/>
      <c r="AA858" s="3"/>
      <c r="AB858" s="2"/>
      <c r="AC858" s="2"/>
      <c r="AD858" s="2"/>
      <c r="AE858" s="2"/>
      <c r="AF858" s="3"/>
      <c r="AG858" s="2"/>
      <c r="AH858" s="2"/>
      <c r="AI858" s="2"/>
      <c r="AJ858" s="2"/>
      <c r="AK858" s="3"/>
      <c r="AL858" s="2"/>
      <c r="AM858" s="2"/>
      <c r="AN858" s="2"/>
      <c r="AO858" s="2"/>
      <c r="AP858" s="3"/>
      <c r="AQ858" s="2"/>
      <c r="AR858" s="2"/>
      <c r="AS858" s="2"/>
      <c r="AT858" s="7"/>
      <c r="AU858" s="2"/>
      <c r="AV858" s="2"/>
      <c r="AW858" s="2"/>
      <c r="AX858" s="2"/>
    </row>
    <row r="859">
      <c r="A859" s="2"/>
      <c r="B859" s="2"/>
      <c r="C859" s="2"/>
      <c r="D859" s="2"/>
      <c r="E859" s="2"/>
      <c r="F859" s="2"/>
      <c r="G859" s="2"/>
      <c r="H859" s="2"/>
      <c r="I859" s="2"/>
      <c r="J859" s="2"/>
      <c r="K859" s="2"/>
      <c r="L859" s="3"/>
      <c r="M859" s="4"/>
      <c r="N859" s="4"/>
      <c r="O859" s="5"/>
      <c r="P859" s="6"/>
      <c r="Q859" s="3"/>
      <c r="R859" s="2"/>
      <c r="S859" s="2"/>
      <c r="T859" s="2"/>
      <c r="U859" s="2"/>
      <c r="V859" s="3"/>
      <c r="W859" s="2"/>
      <c r="X859" s="2"/>
      <c r="Y859" s="2"/>
      <c r="Z859" s="2"/>
      <c r="AA859" s="3"/>
      <c r="AB859" s="2"/>
      <c r="AC859" s="2"/>
      <c r="AD859" s="2"/>
      <c r="AE859" s="2"/>
      <c r="AF859" s="3"/>
      <c r="AG859" s="2"/>
      <c r="AH859" s="2"/>
      <c r="AI859" s="2"/>
      <c r="AJ859" s="2"/>
      <c r="AK859" s="3"/>
      <c r="AL859" s="2"/>
      <c r="AM859" s="2"/>
      <c r="AN859" s="2"/>
      <c r="AO859" s="2"/>
      <c r="AP859" s="3"/>
      <c r="AQ859" s="2"/>
      <c r="AR859" s="2"/>
      <c r="AS859" s="2"/>
      <c r="AT859" s="7"/>
      <c r="AU859" s="2"/>
      <c r="AV859" s="2"/>
      <c r="AW859" s="2"/>
      <c r="AX859" s="2"/>
    </row>
    <row r="860">
      <c r="A860" s="2"/>
      <c r="B860" s="2"/>
      <c r="C860" s="2"/>
      <c r="D860" s="2"/>
      <c r="E860" s="2"/>
      <c r="F860" s="2"/>
      <c r="G860" s="2"/>
      <c r="H860" s="2"/>
      <c r="I860" s="2"/>
      <c r="J860" s="2"/>
      <c r="K860" s="2"/>
      <c r="L860" s="3"/>
      <c r="M860" s="4"/>
      <c r="N860" s="4"/>
      <c r="O860" s="5"/>
      <c r="P860" s="6"/>
      <c r="Q860" s="3"/>
      <c r="R860" s="2"/>
      <c r="S860" s="2"/>
      <c r="T860" s="2"/>
      <c r="U860" s="2"/>
      <c r="V860" s="3"/>
      <c r="W860" s="2"/>
      <c r="X860" s="2"/>
      <c r="Y860" s="2"/>
      <c r="Z860" s="2"/>
      <c r="AA860" s="3"/>
      <c r="AB860" s="2"/>
      <c r="AC860" s="2"/>
      <c r="AD860" s="2"/>
      <c r="AE860" s="2"/>
      <c r="AF860" s="3"/>
      <c r="AG860" s="2"/>
      <c r="AH860" s="2"/>
      <c r="AI860" s="2"/>
      <c r="AJ860" s="2"/>
      <c r="AK860" s="3"/>
      <c r="AL860" s="2"/>
      <c r="AM860" s="2"/>
      <c r="AN860" s="2"/>
      <c r="AO860" s="2"/>
      <c r="AP860" s="3"/>
      <c r="AQ860" s="2"/>
      <c r="AR860" s="2"/>
      <c r="AS860" s="2"/>
      <c r="AT860" s="7"/>
      <c r="AU860" s="2"/>
      <c r="AV860" s="2"/>
      <c r="AW860" s="2"/>
      <c r="AX860" s="2"/>
    </row>
    <row r="861">
      <c r="A861" s="2"/>
      <c r="B861" s="2"/>
      <c r="C861" s="2"/>
      <c r="D861" s="2"/>
      <c r="E861" s="2"/>
      <c r="F861" s="2"/>
      <c r="G861" s="2"/>
      <c r="H861" s="2"/>
      <c r="I861" s="2"/>
      <c r="J861" s="2"/>
      <c r="K861" s="2"/>
      <c r="L861" s="3"/>
      <c r="M861" s="4"/>
      <c r="N861" s="4"/>
      <c r="O861" s="5"/>
      <c r="P861" s="6"/>
      <c r="Q861" s="3"/>
      <c r="R861" s="2"/>
      <c r="S861" s="2"/>
      <c r="T861" s="2"/>
      <c r="U861" s="2"/>
      <c r="V861" s="3"/>
      <c r="W861" s="2"/>
      <c r="X861" s="2"/>
      <c r="Y861" s="2"/>
      <c r="Z861" s="2"/>
      <c r="AA861" s="3"/>
      <c r="AB861" s="2"/>
      <c r="AC861" s="2"/>
      <c r="AD861" s="2"/>
      <c r="AE861" s="2"/>
      <c r="AF861" s="3"/>
      <c r="AG861" s="2"/>
      <c r="AH861" s="2"/>
      <c r="AI861" s="2"/>
      <c r="AJ861" s="2"/>
      <c r="AK861" s="3"/>
      <c r="AL861" s="2"/>
      <c r="AM861" s="2"/>
      <c r="AN861" s="2"/>
      <c r="AO861" s="2"/>
      <c r="AP861" s="3"/>
      <c r="AQ861" s="2"/>
      <c r="AR861" s="2"/>
      <c r="AS861" s="2"/>
      <c r="AT861" s="7"/>
      <c r="AU861" s="2"/>
      <c r="AV861" s="2"/>
      <c r="AW861" s="2"/>
      <c r="AX861" s="2"/>
    </row>
    <row r="862">
      <c r="A862" s="2"/>
      <c r="B862" s="2"/>
      <c r="C862" s="2"/>
      <c r="D862" s="2"/>
      <c r="E862" s="2"/>
      <c r="F862" s="2"/>
      <c r="G862" s="2"/>
      <c r="H862" s="2"/>
      <c r="I862" s="2"/>
      <c r="J862" s="2"/>
      <c r="K862" s="2"/>
      <c r="L862" s="3"/>
      <c r="M862" s="4"/>
      <c r="N862" s="4"/>
      <c r="O862" s="5"/>
      <c r="P862" s="6"/>
      <c r="Q862" s="3"/>
      <c r="R862" s="2"/>
      <c r="S862" s="2"/>
      <c r="T862" s="2"/>
      <c r="U862" s="2"/>
      <c r="V862" s="3"/>
      <c r="W862" s="2"/>
      <c r="X862" s="2"/>
      <c r="Y862" s="2"/>
      <c r="Z862" s="2"/>
      <c r="AA862" s="3"/>
      <c r="AB862" s="2"/>
      <c r="AC862" s="2"/>
      <c r="AD862" s="2"/>
      <c r="AE862" s="2"/>
      <c r="AF862" s="3"/>
      <c r="AG862" s="2"/>
      <c r="AH862" s="2"/>
      <c r="AI862" s="2"/>
      <c r="AJ862" s="2"/>
      <c r="AK862" s="3"/>
      <c r="AL862" s="2"/>
      <c r="AM862" s="2"/>
      <c r="AN862" s="2"/>
      <c r="AO862" s="2"/>
      <c r="AP862" s="3"/>
      <c r="AQ862" s="2"/>
      <c r="AR862" s="2"/>
      <c r="AS862" s="2"/>
      <c r="AT862" s="7"/>
      <c r="AU862" s="2"/>
      <c r="AV862" s="2"/>
      <c r="AW862" s="2"/>
      <c r="AX862" s="2"/>
    </row>
    <row r="863">
      <c r="A863" s="2"/>
      <c r="B863" s="2"/>
      <c r="C863" s="2"/>
      <c r="D863" s="2"/>
      <c r="E863" s="2"/>
      <c r="F863" s="2"/>
      <c r="G863" s="2"/>
      <c r="H863" s="2"/>
      <c r="I863" s="2"/>
      <c r="J863" s="2"/>
      <c r="K863" s="2"/>
      <c r="L863" s="3"/>
      <c r="M863" s="4"/>
      <c r="N863" s="4"/>
      <c r="O863" s="5"/>
      <c r="P863" s="6"/>
      <c r="Q863" s="3"/>
      <c r="R863" s="2"/>
      <c r="S863" s="2"/>
      <c r="T863" s="2"/>
      <c r="U863" s="2"/>
      <c r="V863" s="3"/>
      <c r="W863" s="2"/>
      <c r="X863" s="2"/>
      <c r="Y863" s="2"/>
      <c r="Z863" s="2"/>
      <c r="AA863" s="3"/>
      <c r="AB863" s="2"/>
      <c r="AC863" s="2"/>
      <c r="AD863" s="2"/>
      <c r="AE863" s="2"/>
      <c r="AF863" s="3"/>
      <c r="AG863" s="2"/>
      <c r="AH863" s="2"/>
      <c r="AI863" s="2"/>
      <c r="AJ863" s="2"/>
      <c r="AK863" s="3"/>
      <c r="AL863" s="2"/>
      <c r="AM863" s="2"/>
      <c r="AN863" s="2"/>
      <c r="AO863" s="2"/>
      <c r="AP863" s="3"/>
      <c r="AQ863" s="2"/>
      <c r="AR863" s="2"/>
      <c r="AS863" s="2"/>
      <c r="AT863" s="7"/>
      <c r="AU863" s="2"/>
      <c r="AV863" s="2"/>
      <c r="AW863" s="2"/>
      <c r="AX863" s="2"/>
    </row>
    <row r="864">
      <c r="A864" s="2"/>
      <c r="B864" s="2"/>
      <c r="C864" s="2"/>
      <c r="D864" s="2"/>
      <c r="E864" s="2"/>
      <c r="F864" s="2"/>
      <c r="G864" s="2"/>
      <c r="H864" s="2"/>
      <c r="I864" s="2"/>
      <c r="J864" s="2"/>
      <c r="K864" s="2"/>
      <c r="L864" s="3"/>
      <c r="M864" s="4"/>
      <c r="N864" s="4"/>
      <c r="O864" s="5"/>
      <c r="P864" s="6"/>
      <c r="Q864" s="3"/>
      <c r="R864" s="2"/>
      <c r="S864" s="2"/>
      <c r="T864" s="2"/>
      <c r="U864" s="2"/>
      <c r="V864" s="3"/>
      <c r="W864" s="2"/>
      <c r="X864" s="2"/>
      <c r="Y864" s="2"/>
      <c r="Z864" s="2"/>
      <c r="AA864" s="3"/>
      <c r="AB864" s="2"/>
      <c r="AC864" s="2"/>
      <c r="AD864" s="2"/>
      <c r="AE864" s="2"/>
      <c r="AF864" s="3"/>
      <c r="AG864" s="2"/>
      <c r="AH864" s="2"/>
      <c r="AI864" s="2"/>
      <c r="AJ864" s="2"/>
      <c r="AK864" s="3"/>
      <c r="AL864" s="2"/>
      <c r="AM864" s="2"/>
      <c r="AN864" s="2"/>
      <c r="AO864" s="2"/>
      <c r="AP864" s="3"/>
      <c r="AQ864" s="2"/>
      <c r="AR864" s="2"/>
      <c r="AS864" s="2"/>
      <c r="AT864" s="7"/>
      <c r="AU864" s="2"/>
      <c r="AV864" s="2"/>
      <c r="AW864" s="2"/>
      <c r="AX864" s="2"/>
    </row>
    <row r="865">
      <c r="A865" s="2"/>
      <c r="B865" s="2"/>
      <c r="C865" s="2"/>
      <c r="D865" s="2"/>
      <c r="E865" s="2"/>
      <c r="F865" s="2"/>
      <c r="G865" s="2"/>
      <c r="H865" s="2"/>
      <c r="I865" s="2"/>
      <c r="J865" s="2"/>
      <c r="K865" s="2"/>
      <c r="L865" s="3"/>
      <c r="M865" s="4"/>
      <c r="N865" s="4"/>
      <c r="O865" s="5"/>
      <c r="P865" s="6"/>
      <c r="Q865" s="3"/>
      <c r="R865" s="2"/>
      <c r="S865" s="2"/>
      <c r="T865" s="2"/>
      <c r="U865" s="2"/>
      <c r="V865" s="3"/>
      <c r="W865" s="2"/>
      <c r="X865" s="2"/>
      <c r="Y865" s="2"/>
      <c r="Z865" s="2"/>
      <c r="AA865" s="3"/>
      <c r="AB865" s="2"/>
      <c r="AC865" s="2"/>
      <c r="AD865" s="2"/>
      <c r="AE865" s="2"/>
      <c r="AF865" s="3"/>
      <c r="AG865" s="2"/>
      <c r="AH865" s="2"/>
      <c r="AI865" s="2"/>
      <c r="AJ865" s="2"/>
      <c r="AK865" s="3"/>
      <c r="AL865" s="2"/>
      <c r="AM865" s="2"/>
      <c r="AN865" s="2"/>
      <c r="AO865" s="2"/>
      <c r="AP865" s="3"/>
      <c r="AQ865" s="2"/>
      <c r="AR865" s="2"/>
      <c r="AS865" s="2"/>
      <c r="AT865" s="7"/>
      <c r="AU865" s="2"/>
      <c r="AV865" s="2"/>
      <c r="AW865" s="2"/>
      <c r="AX865" s="2"/>
    </row>
    <row r="866">
      <c r="A866" s="2"/>
      <c r="B866" s="2"/>
      <c r="C866" s="2"/>
      <c r="D866" s="2"/>
      <c r="E866" s="2"/>
      <c r="F866" s="2"/>
      <c r="G866" s="2"/>
      <c r="H866" s="2"/>
      <c r="I866" s="2"/>
      <c r="J866" s="2"/>
      <c r="K866" s="2"/>
      <c r="L866" s="3"/>
      <c r="M866" s="4"/>
      <c r="N866" s="4"/>
      <c r="O866" s="5"/>
      <c r="P866" s="6"/>
      <c r="Q866" s="3"/>
      <c r="R866" s="2"/>
      <c r="S866" s="2"/>
      <c r="T866" s="2"/>
      <c r="U866" s="2"/>
      <c r="V866" s="3"/>
      <c r="W866" s="2"/>
      <c r="X866" s="2"/>
      <c r="Y866" s="2"/>
      <c r="Z866" s="2"/>
      <c r="AA866" s="3"/>
      <c r="AB866" s="2"/>
      <c r="AC866" s="2"/>
      <c r="AD866" s="2"/>
      <c r="AE866" s="2"/>
      <c r="AF866" s="3"/>
      <c r="AG866" s="2"/>
      <c r="AH866" s="2"/>
      <c r="AI866" s="2"/>
      <c r="AJ866" s="2"/>
      <c r="AK866" s="3"/>
      <c r="AL866" s="2"/>
      <c r="AM866" s="2"/>
      <c r="AN866" s="2"/>
      <c r="AO866" s="2"/>
      <c r="AP866" s="3"/>
      <c r="AQ866" s="2"/>
      <c r="AR866" s="2"/>
      <c r="AS866" s="2"/>
      <c r="AT866" s="7"/>
      <c r="AU866" s="2"/>
      <c r="AV866" s="2"/>
      <c r="AW866" s="2"/>
      <c r="AX866" s="2"/>
    </row>
    <row r="867">
      <c r="A867" s="2"/>
      <c r="B867" s="2"/>
      <c r="C867" s="2"/>
      <c r="D867" s="2"/>
      <c r="E867" s="2"/>
      <c r="F867" s="2"/>
      <c r="G867" s="2"/>
      <c r="H867" s="2"/>
      <c r="I867" s="2"/>
      <c r="J867" s="2"/>
      <c r="K867" s="2"/>
      <c r="L867" s="3"/>
      <c r="M867" s="4"/>
      <c r="N867" s="4"/>
      <c r="O867" s="5"/>
      <c r="P867" s="6"/>
      <c r="Q867" s="3"/>
      <c r="R867" s="2"/>
      <c r="S867" s="2"/>
      <c r="T867" s="2"/>
      <c r="U867" s="2"/>
      <c r="V867" s="3"/>
      <c r="W867" s="2"/>
      <c r="X867" s="2"/>
      <c r="Y867" s="2"/>
      <c r="Z867" s="2"/>
      <c r="AA867" s="3"/>
      <c r="AB867" s="2"/>
      <c r="AC867" s="2"/>
      <c r="AD867" s="2"/>
      <c r="AE867" s="2"/>
      <c r="AF867" s="3"/>
      <c r="AG867" s="2"/>
      <c r="AH867" s="2"/>
      <c r="AI867" s="2"/>
      <c r="AJ867" s="2"/>
      <c r="AK867" s="3"/>
      <c r="AL867" s="2"/>
      <c r="AM867" s="2"/>
      <c r="AN867" s="2"/>
      <c r="AO867" s="2"/>
      <c r="AP867" s="3"/>
      <c r="AQ867" s="2"/>
      <c r="AR867" s="2"/>
      <c r="AS867" s="2"/>
      <c r="AT867" s="7"/>
      <c r="AU867" s="2"/>
      <c r="AV867" s="2"/>
      <c r="AW867" s="2"/>
      <c r="AX867" s="2"/>
    </row>
    <row r="868">
      <c r="A868" s="2"/>
      <c r="B868" s="2"/>
      <c r="C868" s="2"/>
      <c r="D868" s="2"/>
      <c r="E868" s="2"/>
      <c r="F868" s="2"/>
      <c r="G868" s="2"/>
      <c r="H868" s="2"/>
      <c r="I868" s="2"/>
      <c r="J868" s="2"/>
      <c r="K868" s="2"/>
      <c r="L868" s="3"/>
      <c r="M868" s="4"/>
      <c r="N868" s="4"/>
      <c r="O868" s="5"/>
      <c r="P868" s="6"/>
      <c r="Q868" s="3"/>
      <c r="R868" s="2"/>
      <c r="S868" s="2"/>
      <c r="T868" s="2"/>
      <c r="U868" s="2"/>
      <c r="V868" s="3"/>
      <c r="W868" s="2"/>
      <c r="X868" s="2"/>
      <c r="Y868" s="2"/>
      <c r="Z868" s="2"/>
      <c r="AA868" s="3"/>
      <c r="AB868" s="2"/>
      <c r="AC868" s="2"/>
      <c r="AD868" s="2"/>
      <c r="AE868" s="2"/>
      <c r="AF868" s="3"/>
      <c r="AG868" s="2"/>
      <c r="AH868" s="2"/>
      <c r="AI868" s="2"/>
      <c r="AJ868" s="2"/>
      <c r="AK868" s="3"/>
      <c r="AL868" s="2"/>
      <c r="AM868" s="2"/>
      <c r="AN868" s="2"/>
      <c r="AO868" s="2"/>
      <c r="AP868" s="3"/>
      <c r="AQ868" s="2"/>
      <c r="AR868" s="2"/>
      <c r="AS868" s="2"/>
      <c r="AT868" s="7"/>
      <c r="AU868" s="2"/>
      <c r="AV868" s="2"/>
      <c r="AW868" s="2"/>
      <c r="AX868" s="2"/>
    </row>
    <row r="869">
      <c r="A869" s="2"/>
      <c r="B869" s="2"/>
      <c r="C869" s="2"/>
      <c r="D869" s="2"/>
      <c r="E869" s="2"/>
      <c r="F869" s="2"/>
      <c r="G869" s="2"/>
      <c r="H869" s="2"/>
      <c r="I869" s="2"/>
      <c r="J869" s="2"/>
      <c r="K869" s="2"/>
      <c r="L869" s="3"/>
      <c r="M869" s="4"/>
      <c r="N869" s="4"/>
      <c r="O869" s="5"/>
      <c r="P869" s="6"/>
      <c r="Q869" s="3"/>
      <c r="R869" s="2"/>
      <c r="S869" s="2"/>
      <c r="T869" s="2"/>
      <c r="U869" s="2"/>
      <c r="V869" s="3"/>
      <c r="W869" s="2"/>
      <c r="X869" s="2"/>
      <c r="Y869" s="2"/>
      <c r="Z869" s="2"/>
      <c r="AA869" s="3"/>
      <c r="AB869" s="2"/>
      <c r="AC869" s="2"/>
      <c r="AD869" s="2"/>
      <c r="AE869" s="2"/>
      <c r="AF869" s="3"/>
      <c r="AG869" s="2"/>
      <c r="AH869" s="2"/>
      <c r="AI869" s="2"/>
      <c r="AJ869" s="2"/>
      <c r="AK869" s="3"/>
      <c r="AL869" s="2"/>
      <c r="AM869" s="2"/>
      <c r="AN869" s="2"/>
      <c r="AO869" s="2"/>
      <c r="AP869" s="3"/>
      <c r="AQ869" s="2"/>
      <c r="AR869" s="2"/>
      <c r="AS869" s="2"/>
      <c r="AT869" s="7"/>
      <c r="AU869" s="2"/>
      <c r="AV869" s="2"/>
      <c r="AW869" s="2"/>
      <c r="AX869" s="2"/>
    </row>
    <row r="870">
      <c r="A870" s="2"/>
      <c r="B870" s="2"/>
      <c r="C870" s="2"/>
      <c r="D870" s="2"/>
      <c r="E870" s="2"/>
      <c r="F870" s="2"/>
      <c r="G870" s="2"/>
      <c r="H870" s="2"/>
      <c r="I870" s="2"/>
      <c r="J870" s="2"/>
      <c r="K870" s="2"/>
      <c r="L870" s="3"/>
      <c r="M870" s="4"/>
      <c r="N870" s="4"/>
      <c r="O870" s="5"/>
      <c r="P870" s="6"/>
      <c r="Q870" s="3"/>
      <c r="R870" s="2"/>
      <c r="S870" s="2"/>
      <c r="T870" s="2"/>
      <c r="U870" s="2"/>
      <c r="V870" s="3"/>
      <c r="W870" s="2"/>
      <c r="X870" s="2"/>
      <c r="Y870" s="2"/>
      <c r="Z870" s="2"/>
      <c r="AA870" s="3"/>
      <c r="AB870" s="2"/>
      <c r="AC870" s="2"/>
      <c r="AD870" s="2"/>
      <c r="AE870" s="2"/>
      <c r="AF870" s="3"/>
      <c r="AG870" s="2"/>
      <c r="AH870" s="2"/>
      <c r="AI870" s="2"/>
      <c r="AJ870" s="2"/>
      <c r="AK870" s="3"/>
      <c r="AL870" s="2"/>
      <c r="AM870" s="2"/>
      <c r="AN870" s="2"/>
      <c r="AO870" s="2"/>
      <c r="AP870" s="3"/>
      <c r="AQ870" s="2"/>
      <c r="AR870" s="2"/>
      <c r="AS870" s="2"/>
      <c r="AT870" s="7"/>
      <c r="AU870" s="2"/>
      <c r="AV870" s="2"/>
      <c r="AW870" s="2"/>
      <c r="AX870" s="2"/>
    </row>
    <row r="871">
      <c r="A871" s="2"/>
      <c r="B871" s="2"/>
      <c r="C871" s="2"/>
      <c r="D871" s="2"/>
      <c r="E871" s="2"/>
      <c r="F871" s="2"/>
      <c r="G871" s="2"/>
      <c r="H871" s="2"/>
      <c r="I871" s="2"/>
      <c r="J871" s="2"/>
      <c r="K871" s="2"/>
      <c r="L871" s="3"/>
      <c r="M871" s="4"/>
      <c r="N871" s="4"/>
      <c r="O871" s="5"/>
      <c r="P871" s="6"/>
      <c r="Q871" s="3"/>
      <c r="R871" s="2"/>
      <c r="S871" s="2"/>
      <c r="T871" s="2"/>
      <c r="U871" s="2"/>
      <c r="V871" s="3"/>
      <c r="W871" s="2"/>
      <c r="X871" s="2"/>
      <c r="Y871" s="2"/>
      <c r="Z871" s="2"/>
      <c r="AA871" s="3"/>
      <c r="AB871" s="2"/>
      <c r="AC871" s="2"/>
      <c r="AD871" s="2"/>
      <c r="AE871" s="2"/>
      <c r="AF871" s="3"/>
      <c r="AG871" s="2"/>
      <c r="AH871" s="2"/>
      <c r="AI871" s="2"/>
      <c r="AJ871" s="2"/>
      <c r="AK871" s="3"/>
      <c r="AL871" s="2"/>
      <c r="AM871" s="2"/>
      <c r="AN871" s="2"/>
      <c r="AO871" s="2"/>
      <c r="AP871" s="3"/>
      <c r="AQ871" s="2"/>
      <c r="AR871" s="2"/>
      <c r="AS871" s="2"/>
      <c r="AT871" s="7"/>
      <c r="AU871" s="2"/>
      <c r="AV871" s="2"/>
      <c r="AW871" s="2"/>
      <c r="AX871" s="2"/>
    </row>
    <row r="872">
      <c r="A872" s="2"/>
      <c r="B872" s="2"/>
      <c r="C872" s="2"/>
      <c r="D872" s="2"/>
      <c r="E872" s="2"/>
      <c r="F872" s="2"/>
      <c r="G872" s="2"/>
      <c r="H872" s="2"/>
      <c r="I872" s="2"/>
      <c r="J872" s="2"/>
      <c r="K872" s="2"/>
      <c r="L872" s="3"/>
      <c r="M872" s="4"/>
      <c r="N872" s="4"/>
      <c r="O872" s="5"/>
      <c r="P872" s="6"/>
      <c r="Q872" s="3"/>
      <c r="R872" s="2"/>
      <c r="S872" s="2"/>
      <c r="T872" s="2"/>
      <c r="U872" s="2"/>
      <c r="V872" s="3"/>
      <c r="W872" s="2"/>
      <c r="X872" s="2"/>
      <c r="Y872" s="2"/>
      <c r="Z872" s="2"/>
      <c r="AA872" s="3"/>
      <c r="AB872" s="2"/>
      <c r="AC872" s="2"/>
      <c r="AD872" s="2"/>
      <c r="AE872" s="2"/>
      <c r="AF872" s="3"/>
      <c r="AG872" s="2"/>
      <c r="AH872" s="2"/>
      <c r="AI872" s="2"/>
      <c r="AJ872" s="2"/>
      <c r="AK872" s="3"/>
      <c r="AL872" s="2"/>
      <c r="AM872" s="2"/>
      <c r="AN872" s="2"/>
      <c r="AO872" s="2"/>
      <c r="AP872" s="3"/>
      <c r="AQ872" s="2"/>
      <c r="AR872" s="2"/>
      <c r="AS872" s="2"/>
      <c r="AT872" s="7"/>
      <c r="AU872" s="2"/>
      <c r="AV872" s="2"/>
      <c r="AW872" s="2"/>
      <c r="AX872" s="2"/>
    </row>
    <row r="873">
      <c r="A873" s="2"/>
      <c r="B873" s="2"/>
      <c r="C873" s="2"/>
      <c r="D873" s="2"/>
      <c r="E873" s="2"/>
      <c r="F873" s="2"/>
      <c r="G873" s="2"/>
      <c r="H873" s="2"/>
      <c r="I873" s="2"/>
      <c r="J873" s="2"/>
      <c r="K873" s="2"/>
      <c r="L873" s="3"/>
      <c r="M873" s="4"/>
      <c r="N873" s="4"/>
      <c r="O873" s="5"/>
      <c r="P873" s="6"/>
      <c r="Q873" s="3"/>
      <c r="R873" s="2"/>
      <c r="S873" s="2"/>
      <c r="T873" s="2"/>
      <c r="U873" s="2"/>
      <c r="V873" s="3"/>
      <c r="W873" s="2"/>
      <c r="X873" s="2"/>
      <c r="Y873" s="2"/>
      <c r="Z873" s="2"/>
      <c r="AA873" s="3"/>
      <c r="AB873" s="2"/>
      <c r="AC873" s="2"/>
      <c r="AD873" s="2"/>
      <c r="AE873" s="2"/>
      <c r="AF873" s="3"/>
      <c r="AG873" s="2"/>
      <c r="AH873" s="2"/>
      <c r="AI873" s="2"/>
      <c r="AJ873" s="2"/>
      <c r="AK873" s="3"/>
      <c r="AL873" s="2"/>
      <c r="AM873" s="2"/>
      <c r="AN873" s="2"/>
      <c r="AO873" s="2"/>
      <c r="AP873" s="3"/>
      <c r="AQ873" s="2"/>
      <c r="AR873" s="2"/>
      <c r="AS873" s="2"/>
      <c r="AT873" s="7"/>
      <c r="AU873" s="2"/>
      <c r="AV873" s="2"/>
      <c r="AW873" s="2"/>
      <c r="AX873" s="2"/>
    </row>
    <row r="874">
      <c r="A874" s="2"/>
      <c r="B874" s="2"/>
      <c r="C874" s="2"/>
      <c r="D874" s="2"/>
      <c r="E874" s="2"/>
      <c r="F874" s="2"/>
      <c r="G874" s="2"/>
      <c r="H874" s="2"/>
      <c r="I874" s="2"/>
      <c r="J874" s="2"/>
      <c r="K874" s="2"/>
      <c r="L874" s="3"/>
      <c r="M874" s="4"/>
      <c r="N874" s="4"/>
      <c r="O874" s="5"/>
      <c r="P874" s="6"/>
      <c r="Q874" s="3"/>
      <c r="R874" s="2"/>
      <c r="S874" s="2"/>
      <c r="T874" s="2"/>
      <c r="U874" s="2"/>
      <c r="V874" s="3"/>
      <c r="W874" s="2"/>
      <c r="X874" s="2"/>
      <c r="Y874" s="2"/>
      <c r="Z874" s="2"/>
      <c r="AA874" s="3"/>
      <c r="AB874" s="2"/>
      <c r="AC874" s="2"/>
      <c r="AD874" s="2"/>
      <c r="AE874" s="2"/>
      <c r="AF874" s="3"/>
      <c r="AG874" s="2"/>
      <c r="AH874" s="2"/>
      <c r="AI874" s="2"/>
      <c r="AJ874" s="2"/>
      <c r="AK874" s="3"/>
      <c r="AL874" s="2"/>
      <c r="AM874" s="2"/>
      <c r="AN874" s="2"/>
      <c r="AO874" s="2"/>
      <c r="AP874" s="3"/>
      <c r="AQ874" s="2"/>
      <c r="AR874" s="2"/>
      <c r="AS874" s="2"/>
      <c r="AT874" s="7"/>
      <c r="AU874" s="2"/>
      <c r="AV874" s="2"/>
      <c r="AW874" s="2"/>
      <c r="AX874" s="2"/>
    </row>
    <row r="875">
      <c r="A875" s="2"/>
      <c r="B875" s="2"/>
      <c r="C875" s="2"/>
      <c r="D875" s="2"/>
      <c r="E875" s="2"/>
      <c r="F875" s="2"/>
      <c r="G875" s="2"/>
      <c r="H875" s="2"/>
      <c r="I875" s="2"/>
      <c r="J875" s="2"/>
      <c r="K875" s="2"/>
      <c r="L875" s="3"/>
      <c r="M875" s="4"/>
      <c r="N875" s="4"/>
      <c r="O875" s="5"/>
      <c r="P875" s="6"/>
      <c r="Q875" s="3"/>
      <c r="R875" s="2"/>
      <c r="S875" s="2"/>
      <c r="T875" s="2"/>
      <c r="U875" s="2"/>
      <c r="V875" s="3"/>
      <c r="W875" s="2"/>
      <c r="X875" s="2"/>
      <c r="Y875" s="2"/>
      <c r="Z875" s="2"/>
      <c r="AA875" s="3"/>
      <c r="AB875" s="2"/>
      <c r="AC875" s="2"/>
      <c r="AD875" s="2"/>
      <c r="AE875" s="2"/>
      <c r="AF875" s="3"/>
      <c r="AG875" s="2"/>
      <c r="AH875" s="2"/>
      <c r="AI875" s="2"/>
      <c r="AJ875" s="2"/>
      <c r="AK875" s="3"/>
      <c r="AL875" s="2"/>
      <c r="AM875" s="2"/>
      <c r="AN875" s="2"/>
      <c r="AO875" s="2"/>
      <c r="AP875" s="3"/>
      <c r="AQ875" s="2"/>
      <c r="AR875" s="2"/>
      <c r="AS875" s="2"/>
      <c r="AT875" s="7"/>
      <c r="AU875" s="2"/>
      <c r="AV875" s="2"/>
      <c r="AW875" s="2"/>
      <c r="AX875" s="2"/>
    </row>
    <row r="876">
      <c r="A876" s="2"/>
      <c r="B876" s="2"/>
      <c r="C876" s="2"/>
      <c r="D876" s="2"/>
      <c r="E876" s="2"/>
      <c r="F876" s="2"/>
      <c r="G876" s="2"/>
      <c r="H876" s="2"/>
      <c r="I876" s="2"/>
      <c r="J876" s="2"/>
      <c r="K876" s="2"/>
      <c r="L876" s="3"/>
      <c r="M876" s="4"/>
      <c r="N876" s="4"/>
      <c r="O876" s="5"/>
      <c r="P876" s="6"/>
      <c r="Q876" s="3"/>
      <c r="R876" s="2"/>
      <c r="S876" s="2"/>
      <c r="T876" s="2"/>
      <c r="U876" s="2"/>
      <c r="V876" s="3"/>
      <c r="W876" s="2"/>
      <c r="X876" s="2"/>
      <c r="Y876" s="2"/>
      <c r="Z876" s="2"/>
      <c r="AA876" s="3"/>
      <c r="AB876" s="2"/>
      <c r="AC876" s="2"/>
      <c r="AD876" s="2"/>
      <c r="AE876" s="2"/>
      <c r="AF876" s="3"/>
      <c r="AG876" s="2"/>
      <c r="AH876" s="2"/>
      <c r="AI876" s="2"/>
      <c r="AJ876" s="2"/>
      <c r="AK876" s="3"/>
      <c r="AL876" s="2"/>
      <c r="AM876" s="2"/>
      <c r="AN876" s="2"/>
      <c r="AO876" s="2"/>
      <c r="AP876" s="3"/>
      <c r="AQ876" s="2"/>
      <c r="AR876" s="2"/>
      <c r="AS876" s="2"/>
      <c r="AT876" s="7"/>
      <c r="AU876" s="2"/>
      <c r="AV876" s="2"/>
      <c r="AW876" s="2"/>
      <c r="AX876" s="2"/>
    </row>
    <row r="877">
      <c r="A877" s="2"/>
      <c r="B877" s="2"/>
      <c r="C877" s="2"/>
      <c r="D877" s="2"/>
      <c r="E877" s="2"/>
      <c r="F877" s="2"/>
      <c r="G877" s="2"/>
      <c r="H877" s="2"/>
      <c r="I877" s="2"/>
      <c r="J877" s="2"/>
      <c r="K877" s="2"/>
      <c r="L877" s="3"/>
      <c r="M877" s="4"/>
      <c r="N877" s="4"/>
      <c r="O877" s="5"/>
      <c r="P877" s="6"/>
      <c r="Q877" s="3"/>
      <c r="R877" s="2"/>
      <c r="S877" s="2"/>
      <c r="T877" s="2"/>
      <c r="U877" s="2"/>
      <c r="V877" s="3"/>
      <c r="W877" s="2"/>
      <c r="X877" s="2"/>
      <c r="Y877" s="2"/>
      <c r="Z877" s="2"/>
      <c r="AA877" s="3"/>
      <c r="AB877" s="2"/>
      <c r="AC877" s="2"/>
      <c r="AD877" s="2"/>
      <c r="AE877" s="2"/>
      <c r="AF877" s="3"/>
      <c r="AG877" s="2"/>
      <c r="AH877" s="2"/>
      <c r="AI877" s="2"/>
      <c r="AJ877" s="2"/>
      <c r="AK877" s="3"/>
      <c r="AL877" s="2"/>
      <c r="AM877" s="2"/>
      <c r="AN877" s="2"/>
      <c r="AO877" s="2"/>
      <c r="AP877" s="3"/>
      <c r="AQ877" s="2"/>
      <c r="AR877" s="2"/>
      <c r="AS877" s="2"/>
      <c r="AT877" s="7"/>
      <c r="AU877" s="2"/>
      <c r="AV877" s="2"/>
      <c r="AW877" s="2"/>
      <c r="AX877" s="2"/>
    </row>
    <row r="878">
      <c r="A878" s="2"/>
      <c r="B878" s="2"/>
      <c r="C878" s="2"/>
      <c r="D878" s="2"/>
      <c r="E878" s="2"/>
      <c r="F878" s="2"/>
      <c r="G878" s="2"/>
      <c r="H878" s="2"/>
      <c r="I878" s="2"/>
      <c r="J878" s="2"/>
      <c r="K878" s="2"/>
      <c r="L878" s="3"/>
      <c r="M878" s="4"/>
      <c r="N878" s="4"/>
      <c r="O878" s="5"/>
      <c r="P878" s="6"/>
      <c r="Q878" s="3"/>
      <c r="R878" s="2"/>
      <c r="S878" s="2"/>
      <c r="T878" s="2"/>
      <c r="U878" s="2"/>
      <c r="V878" s="3"/>
      <c r="W878" s="2"/>
      <c r="X878" s="2"/>
      <c r="Y878" s="2"/>
      <c r="Z878" s="2"/>
      <c r="AA878" s="3"/>
      <c r="AB878" s="2"/>
      <c r="AC878" s="2"/>
      <c r="AD878" s="2"/>
      <c r="AE878" s="2"/>
      <c r="AF878" s="3"/>
      <c r="AG878" s="2"/>
      <c r="AH878" s="2"/>
      <c r="AI878" s="2"/>
      <c r="AJ878" s="2"/>
      <c r="AK878" s="3"/>
      <c r="AL878" s="2"/>
      <c r="AM878" s="2"/>
      <c r="AN878" s="2"/>
      <c r="AO878" s="2"/>
      <c r="AP878" s="3"/>
      <c r="AQ878" s="2"/>
      <c r="AR878" s="2"/>
      <c r="AS878" s="2"/>
      <c r="AT878" s="7"/>
      <c r="AU878" s="2"/>
      <c r="AV878" s="2"/>
      <c r="AW878" s="2"/>
      <c r="AX878" s="2"/>
    </row>
    <row r="879">
      <c r="A879" s="2"/>
      <c r="B879" s="2"/>
      <c r="C879" s="2"/>
      <c r="D879" s="2"/>
      <c r="E879" s="2"/>
      <c r="F879" s="2"/>
      <c r="G879" s="2"/>
      <c r="H879" s="2"/>
      <c r="I879" s="2"/>
      <c r="J879" s="2"/>
      <c r="K879" s="2"/>
      <c r="L879" s="3"/>
      <c r="M879" s="4"/>
      <c r="N879" s="4"/>
      <c r="O879" s="5"/>
      <c r="P879" s="6"/>
      <c r="Q879" s="3"/>
      <c r="R879" s="2"/>
      <c r="S879" s="2"/>
      <c r="T879" s="2"/>
      <c r="U879" s="2"/>
      <c r="V879" s="3"/>
      <c r="W879" s="2"/>
      <c r="X879" s="2"/>
      <c r="Y879" s="2"/>
      <c r="Z879" s="2"/>
      <c r="AA879" s="3"/>
      <c r="AB879" s="2"/>
      <c r="AC879" s="2"/>
      <c r="AD879" s="2"/>
      <c r="AE879" s="2"/>
      <c r="AF879" s="3"/>
      <c r="AG879" s="2"/>
      <c r="AH879" s="2"/>
      <c r="AI879" s="2"/>
      <c r="AJ879" s="2"/>
      <c r="AK879" s="3"/>
      <c r="AL879" s="2"/>
      <c r="AM879" s="2"/>
      <c r="AN879" s="2"/>
      <c r="AO879" s="2"/>
      <c r="AP879" s="3"/>
      <c r="AQ879" s="2"/>
      <c r="AR879" s="2"/>
      <c r="AS879" s="2"/>
      <c r="AT879" s="7"/>
      <c r="AU879" s="2"/>
      <c r="AV879" s="2"/>
      <c r="AW879" s="2"/>
      <c r="AX879" s="2"/>
    </row>
    <row r="880">
      <c r="A880" s="2"/>
      <c r="B880" s="2"/>
      <c r="C880" s="2"/>
      <c r="D880" s="2"/>
      <c r="E880" s="2"/>
      <c r="F880" s="2"/>
      <c r="G880" s="2"/>
      <c r="H880" s="2"/>
      <c r="I880" s="2"/>
      <c r="J880" s="2"/>
      <c r="K880" s="2"/>
      <c r="L880" s="3"/>
      <c r="M880" s="4"/>
      <c r="N880" s="4"/>
      <c r="O880" s="5"/>
      <c r="P880" s="6"/>
      <c r="Q880" s="3"/>
      <c r="R880" s="2"/>
      <c r="S880" s="2"/>
      <c r="T880" s="2"/>
      <c r="U880" s="2"/>
      <c r="V880" s="3"/>
      <c r="W880" s="2"/>
      <c r="X880" s="2"/>
      <c r="Y880" s="2"/>
      <c r="Z880" s="2"/>
      <c r="AA880" s="3"/>
      <c r="AB880" s="2"/>
      <c r="AC880" s="2"/>
      <c r="AD880" s="2"/>
      <c r="AE880" s="2"/>
      <c r="AF880" s="3"/>
      <c r="AG880" s="2"/>
      <c r="AH880" s="2"/>
      <c r="AI880" s="2"/>
      <c r="AJ880" s="2"/>
      <c r="AK880" s="3"/>
      <c r="AL880" s="2"/>
      <c r="AM880" s="2"/>
      <c r="AN880" s="2"/>
      <c r="AO880" s="2"/>
      <c r="AP880" s="3"/>
      <c r="AQ880" s="2"/>
      <c r="AR880" s="2"/>
      <c r="AS880" s="2"/>
      <c r="AT880" s="7"/>
      <c r="AU880" s="2"/>
      <c r="AV880" s="2"/>
      <c r="AW880" s="2"/>
      <c r="AX880" s="2"/>
    </row>
    <row r="881">
      <c r="A881" s="2"/>
      <c r="B881" s="2"/>
      <c r="C881" s="2"/>
      <c r="D881" s="2"/>
      <c r="E881" s="2"/>
      <c r="F881" s="2"/>
      <c r="G881" s="2"/>
      <c r="H881" s="2"/>
      <c r="I881" s="2"/>
      <c r="J881" s="2"/>
      <c r="K881" s="2"/>
      <c r="L881" s="3"/>
      <c r="M881" s="4"/>
      <c r="N881" s="4"/>
      <c r="O881" s="5"/>
      <c r="P881" s="6"/>
      <c r="Q881" s="3"/>
      <c r="R881" s="2"/>
      <c r="S881" s="2"/>
      <c r="T881" s="2"/>
      <c r="U881" s="2"/>
      <c r="V881" s="3"/>
      <c r="W881" s="2"/>
      <c r="X881" s="2"/>
      <c r="Y881" s="2"/>
      <c r="Z881" s="2"/>
      <c r="AA881" s="3"/>
      <c r="AB881" s="2"/>
      <c r="AC881" s="2"/>
      <c r="AD881" s="2"/>
      <c r="AE881" s="2"/>
      <c r="AF881" s="3"/>
      <c r="AG881" s="2"/>
      <c r="AH881" s="2"/>
      <c r="AI881" s="2"/>
      <c r="AJ881" s="2"/>
      <c r="AK881" s="3"/>
      <c r="AL881" s="2"/>
      <c r="AM881" s="2"/>
      <c r="AN881" s="2"/>
      <c r="AO881" s="2"/>
      <c r="AP881" s="3"/>
      <c r="AQ881" s="2"/>
      <c r="AR881" s="2"/>
      <c r="AS881" s="2"/>
      <c r="AT881" s="7"/>
      <c r="AU881" s="2"/>
      <c r="AV881" s="2"/>
      <c r="AW881" s="2"/>
      <c r="AX881" s="2"/>
    </row>
    <row r="882">
      <c r="A882" s="2"/>
      <c r="B882" s="2"/>
      <c r="C882" s="2"/>
      <c r="D882" s="2"/>
      <c r="E882" s="2"/>
      <c r="F882" s="2"/>
      <c r="G882" s="2"/>
      <c r="H882" s="2"/>
      <c r="I882" s="2"/>
      <c r="J882" s="2"/>
      <c r="K882" s="2"/>
      <c r="L882" s="3"/>
      <c r="M882" s="4"/>
      <c r="N882" s="4"/>
      <c r="O882" s="5"/>
      <c r="P882" s="6"/>
      <c r="Q882" s="3"/>
      <c r="R882" s="2"/>
      <c r="S882" s="2"/>
      <c r="T882" s="2"/>
      <c r="U882" s="2"/>
      <c r="V882" s="3"/>
      <c r="W882" s="2"/>
      <c r="X882" s="2"/>
      <c r="Y882" s="2"/>
      <c r="Z882" s="2"/>
      <c r="AA882" s="3"/>
      <c r="AB882" s="2"/>
      <c r="AC882" s="2"/>
      <c r="AD882" s="2"/>
      <c r="AE882" s="2"/>
      <c r="AF882" s="3"/>
      <c r="AG882" s="2"/>
      <c r="AH882" s="2"/>
      <c r="AI882" s="2"/>
      <c r="AJ882" s="2"/>
      <c r="AK882" s="3"/>
      <c r="AL882" s="2"/>
      <c r="AM882" s="2"/>
      <c r="AN882" s="2"/>
      <c r="AO882" s="2"/>
      <c r="AP882" s="3"/>
      <c r="AQ882" s="2"/>
      <c r="AR882" s="2"/>
      <c r="AS882" s="2"/>
      <c r="AT882" s="7"/>
      <c r="AU882" s="2"/>
      <c r="AV882" s="2"/>
      <c r="AW882" s="2"/>
      <c r="AX882" s="2"/>
    </row>
    <row r="883">
      <c r="A883" s="2"/>
      <c r="B883" s="2"/>
      <c r="C883" s="2"/>
      <c r="D883" s="2"/>
      <c r="E883" s="2"/>
      <c r="F883" s="2"/>
      <c r="G883" s="2"/>
      <c r="H883" s="2"/>
      <c r="I883" s="2"/>
      <c r="J883" s="2"/>
      <c r="K883" s="2"/>
      <c r="L883" s="3"/>
      <c r="M883" s="4"/>
      <c r="N883" s="4"/>
      <c r="O883" s="5"/>
      <c r="P883" s="6"/>
      <c r="Q883" s="3"/>
      <c r="R883" s="2"/>
      <c r="S883" s="2"/>
      <c r="T883" s="2"/>
      <c r="U883" s="2"/>
      <c r="V883" s="3"/>
      <c r="W883" s="2"/>
      <c r="X883" s="2"/>
      <c r="Y883" s="2"/>
      <c r="Z883" s="2"/>
      <c r="AA883" s="3"/>
      <c r="AB883" s="2"/>
      <c r="AC883" s="2"/>
      <c r="AD883" s="2"/>
      <c r="AE883" s="2"/>
      <c r="AF883" s="3"/>
      <c r="AG883" s="2"/>
      <c r="AH883" s="2"/>
      <c r="AI883" s="2"/>
      <c r="AJ883" s="2"/>
      <c r="AK883" s="3"/>
      <c r="AL883" s="2"/>
      <c r="AM883" s="2"/>
      <c r="AN883" s="2"/>
      <c r="AO883" s="2"/>
      <c r="AP883" s="3"/>
      <c r="AQ883" s="2"/>
      <c r="AR883" s="2"/>
      <c r="AS883" s="2"/>
      <c r="AT883" s="7"/>
      <c r="AU883" s="2"/>
      <c r="AV883" s="2"/>
      <c r="AW883" s="2"/>
      <c r="AX883" s="2"/>
    </row>
    <row r="884">
      <c r="A884" s="2"/>
      <c r="B884" s="2"/>
      <c r="C884" s="2"/>
      <c r="D884" s="2"/>
      <c r="E884" s="2"/>
      <c r="F884" s="2"/>
      <c r="G884" s="2"/>
      <c r="H884" s="2"/>
      <c r="I884" s="2"/>
      <c r="J884" s="2"/>
      <c r="K884" s="2"/>
      <c r="L884" s="3"/>
      <c r="M884" s="4"/>
      <c r="N884" s="4"/>
      <c r="O884" s="5"/>
      <c r="P884" s="6"/>
      <c r="Q884" s="3"/>
      <c r="R884" s="2"/>
      <c r="S884" s="2"/>
      <c r="T884" s="2"/>
      <c r="U884" s="2"/>
      <c r="V884" s="3"/>
      <c r="W884" s="2"/>
      <c r="X884" s="2"/>
      <c r="Y884" s="2"/>
      <c r="Z884" s="2"/>
      <c r="AA884" s="3"/>
      <c r="AB884" s="2"/>
      <c r="AC884" s="2"/>
      <c r="AD884" s="2"/>
      <c r="AE884" s="2"/>
      <c r="AF884" s="3"/>
      <c r="AG884" s="2"/>
      <c r="AH884" s="2"/>
      <c r="AI884" s="2"/>
      <c r="AJ884" s="2"/>
      <c r="AK884" s="3"/>
      <c r="AL884" s="2"/>
      <c r="AM884" s="2"/>
      <c r="AN884" s="2"/>
      <c r="AO884" s="2"/>
      <c r="AP884" s="3"/>
      <c r="AQ884" s="2"/>
      <c r="AR884" s="2"/>
      <c r="AS884" s="2"/>
      <c r="AT884" s="7"/>
      <c r="AU884" s="2"/>
      <c r="AV884" s="2"/>
      <c r="AW884" s="2"/>
      <c r="AX884" s="2"/>
    </row>
    <row r="885">
      <c r="A885" s="2"/>
      <c r="B885" s="2"/>
      <c r="C885" s="2"/>
      <c r="D885" s="2"/>
      <c r="E885" s="2"/>
      <c r="F885" s="2"/>
      <c r="G885" s="2"/>
      <c r="H885" s="2"/>
      <c r="I885" s="2"/>
      <c r="J885" s="2"/>
      <c r="K885" s="2"/>
      <c r="L885" s="3"/>
      <c r="M885" s="4"/>
      <c r="N885" s="4"/>
      <c r="O885" s="5"/>
      <c r="P885" s="6"/>
      <c r="Q885" s="3"/>
      <c r="R885" s="2"/>
      <c r="S885" s="2"/>
      <c r="T885" s="2"/>
      <c r="U885" s="2"/>
      <c r="V885" s="3"/>
      <c r="W885" s="2"/>
      <c r="X885" s="2"/>
      <c r="Y885" s="2"/>
      <c r="Z885" s="2"/>
      <c r="AA885" s="3"/>
      <c r="AB885" s="2"/>
      <c r="AC885" s="2"/>
      <c r="AD885" s="2"/>
      <c r="AE885" s="2"/>
      <c r="AF885" s="3"/>
      <c r="AG885" s="2"/>
      <c r="AH885" s="2"/>
      <c r="AI885" s="2"/>
      <c r="AJ885" s="2"/>
      <c r="AK885" s="3"/>
      <c r="AL885" s="2"/>
      <c r="AM885" s="2"/>
      <c r="AN885" s="2"/>
      <c r="AO885" s="2"/>
      <c r="AP885" s="3"/>
      <c r="AQ885" s="2"/>
      <c r="AR885" s="2"/>
      <c r="AS885" s="2"/>
      <c r="AT885" s="7"/>
      <c r="AU885" s="2"/>
      <c r="AV885" s="2"/>
      <c r="AW885" s="2"/>
      <c r="AX885" s="2"/>
    </row>
    <row r="886">
      <c r="A886" s="2"/>
      <c r="B886" s="2"/>
      <c r="C886" s="2"/>
      <c r="D886" s="2"/>
      <c r="E886" s="2"/>
      <c r="F886" s="2"/>
      <c r="G886" s="2"/>
      <c r="H886" s="2"/>
      <c r="I886" s="2"/>
      <c r="J886" s="2"/>
      <c r="K886" s="2"/>
      <c r="L886" s="3"/>
      <c r="M886" s="4"/>
      <c r="N886" s="4"/>
      <c r="O886" s="5"/>
      <c r="P886" s="6"/>
      <c r="Q886" s="3"/>
      <c r="R886" s="2"/>
      <c r="S886" s="2"/>
      <c r="T886" s="2"/>
      <c r="U886" s="2"/>
      <c r="V886" s="3"/>
      <c r="W886" s="2"/>
      <c r="X886" s="2"/>
      <c r="Y886" s="2"/>
      <c r="Z886" s="2"/>
      <c r="AA886" s="3"/>
      <c r="AB886" s="2"/>
      <c r="AC886" s="2"/>
      <c r="AD886" s="2"/>
      <c r="AE886" s="2"/>
      <c r="AF886" s="3"/>
      <c r="AG886" s="2"/>
      <c r="AH886" s="2"/>
      <c r="AI886" s="2"/>
      <c r="AJ886" s="2"/>
      <c r="AK886" s="3"/>
      <c r="AL886" s="2"/>
      <c r="AM886" s="2"/>
      <c r="AN886" s="2"/>
      <c r="AO886" s="2"/>
      <c r="AP886" s="3"/>
      <c r="AQ886" s="2"/>
      <c r="AR886" s="2"/>
      <c r="AS886" s="2"/>
      <c r="AT886" s="7"/>
      <c r="AU886" s="2"/>
      <c r="AV886" s="2"/>
      <c r="AW886" s="2"/>
      <c r="AX886" s="2"/>
    </row>
    <row r="887">
      <c r="A887" s="2"/>
      <c r="B887" s="2"/>
      <c r="C887" s="2"/>
      <c r="D887" s="2"/>
      <c r="E887" s="2"/>
      <c r="F887" s="2"/>
      <c r="G887" s="2"/>
      <c r="H887" s="2"/>
      <c r="I887" s="2"/>
      <c r="J887" s="2"/>
      <c r="K887" s="2"/>
      <c r="L887" s="3"/>
      <c r="M887" s="4"/>
      <c r="N887" s="4"/>
      <c r="O887" s="5"/>
      <c r="P887" s="6"/>
      <c r="Q887" s="3"/>
      <c r="R887" s="2"/>
      <c r="S887" s="2"/>
      <c r="T887" s="2"/>
      <c r="U887" s="2"/>
      <c r="V887" s="3"/>
      <c r="W887" s="2"/>
      <c r="X887" s="2"/>
      <c r="Y887" s="2"/>
      <c r="Z887" s="2"/>
      <c r="AA887" s="3"/>
      <c r="AB887" s="2"/>
      <c r="AC887" s="2"/>
      <c r="AD887" s="2"/>
      <c r="AE887" s="2"/>
      <c r="AF887" s="3"/>
      <c r="AG887" s="2"/>
      <c r="AH887" s="2"/>
      <c r="AI887" s="2"/>
      <c r="AJ887" s="2"/>
      <c r="AK887" s="3"/>
      <c r="AL887" s="2"/>
      <c r="AM887" s="2"/>
      <c r="AN887" s="2"/>
      <c r="AO887" s="2"/>
      <c r="AP887" s="3"/>
      <c r="AQ887" s="2"/>
      <c r="AR887" s="2"/>
      <c r="AS887" s="2"/>
      <c r="AT887" s="7"/>
      <c r="AU887" s="2"/>
      <c r="AV887" s="2"/>
      <c r="AW887" s="2"/>
      <c r="AX887" s="2"/>
    </row>
    <row r="888">
      <c r="A888" s="2"/>
      <c r="B888" s="2"/>
      <c r="C888" s="2"/>
      <c r="D888" s="2"/>
      <c r="E888" s="2"/>
      <c r="F888" s="2"/>
      <c r="G888" s="2"/>
      <c r="H888" s="2"/>
      <c r="I888" s="2"/>
      <c r="J888" s="2"/>
      <c r="K888" s="2"/>
      <c r="L888" s="3"/>
      <c r="M888" s="4"/>
      <c r="N888" s="4"/>
      <c r="O888" s="5"/>
      <c r="P888" s="6"/>
      <c r="Q888" s="3"/>
      <c r="R888" s="2"/>
      <c r="S888" s="2"/>
      <c r="T888" s="2"/>
      <c r="U888" s="2"/>
      <c r="V888" s="3"/>
      <c r="W888" s="2"/>
      <c r="X888" s="2"/>
      <c r="Y888" s="2"/>
      <c r="Z888" s="2"/>
      <c r="AA888" s="3"/>
      <c r="AB888" s="2"/>
      <c r="AC888" s="2"/>
      <c r="AD888" s="2"/>
      <c r="AE888" s="2"/>
      <c r="AF888" s="3"/>
      <c r="AG888" s="2"/>
      <c r="AH888" s="2"/>
      <c r="AI888" s="2"/>
      <c r="AJ888" s="2"/>
      <c r="AK888" s="3"/>
      <c r="AL888" s="2"/>
      <c r="AM888" s="2"/>
      <c r="AN888" s="2"/>
      <c r="AO888" s="2"/>
      <c r="AP888" s="3"/>
      <c r="AQ888" s="2"/>
      <c r="AR888" s="2"/>
      <c r="AS888" s="2"/>
      <c r="AT888" s="7"/>
      <c r="AU888" s="2"/>
      <c r="AV888" s="2"/>
      <c r="AW888" s="2"/>
      <c r="AX888" s="2"/>
    </row>
    <row r="889">
      <c r="A889" s="2"/>
      <c r="B889" s="2"/>
      <c r="C889" s="2"/>
      <c r="D889" s="2"/>
      <c r="E889" s="2"/>
      <c r="F889" s="2"/>
      <c r="G889" s="2"/>
      <c r="H889" s="2"/>
      <c r="I889" s="2"/>
      <c r="J889" s="2"/>
      <c r="K889" s="2"/>
      <c r="L889" s="3"/>
      <c r="M889" s="4"/>
      <c r="N889" s="4"/>
      <c r="O889" s="5"/>
      <c r="P889" s="6"/>
      <c r="Q889" s="3"/>
      <c r="R889" s="2"/>
      <c r="S889" s="2"/>
      <c r="T889" s="2"/>
      <c r="U889" s="2"/>
      <c r="V889" s="3"/>
      <c r="W889" s="2"/>
      <c r="X889" s="2"/>
      <c r="Y889" s="2"/>
      <c r="Z889" s="2"/>
      <c r="AA889" s="3"/>
      <c r="AB889" s="2"/>
      <c r="AC889" s="2"/>
      <c r="AD889" s="2"/>
      <c r="AE889" s="2"/>
      <c r="AF889" s="3"/>
      <c r="AG889" s="2"/>
      <c r="AH889" s="2"/>
      <c r="AI889" s="2"/>
      <c r="AJ889" s="2"/>
      <c r="AK889" s="3"/>
      <c r="AL889" s="2"/>
      <c r="AM889" s="2"/>
      <c r="AN889" s="2"/>
      <c r="AO889" s="2"/>
      <c r="AP889" s="3"/>
      <c r="AQ889" s="2"/>
      <c r="AR889" s="2"/>
      <c r="AS889" s="2"/>
      <c r="AT889" s="7"/>
      <c r="AU889" s="2"/>
      <c r="AV889" s="2"/>
      <c r="AW889" s="2"/>
      <c r="AX889" s="2"/>
    </row>
    <row r="890">
      <c r="A890" s="2"/>
      <c r="B890" s="2"/>
      <c r="C890" s="2"/>
      <c r="D890" s="2"/>
      <c r="E890" s="2"/>
      <c r="F890" s="2"/>
      <c r="G890" s="2"/>
      <c r="H890" s="2"/>
      <c r="I890" s="2"/>
      <c r="J890" s="2"/>
      <c r="K890" s="2"/>
      <c r="L890" s="3"/>
      <c r="M890" s="4"/>
      <c r="N890" s="4"/>
      <c r="O890" s="5"/>
      <c r="P890" s="6"/>
      <c r="Q890" s="3"/>
      <c r="R890" s="2"/>
      <c r="S890" s="2"/>
      <c r="T890" s="2"/>
      <c r="U890" s="2"/>
      <c r="V890" s="3"/>
      <c r="W890" s="2"/>
      <c r="X890" s="2"/>
      <c r="Y890" s="2"/>
      <c r="Z890" s="2"/>
      <c r="AA890" s="3"/>
      <c r="AB890" s="2"/>
      <c r="AC890" s="2"/>
      <c r="AD890" s="2"/>
      <c r="AE890" s="2"/>
      <c r="AF890" s="3"/>
      <c r="AG890" s="2"/>
      <c r="AH890" s="2"/>
      <c r="AI890" s="2"/>
      <c r="AJ890" s="2"/>
      <c r="AK890" s="3"/>
      <c r="AL890" s="2"/>
      <c r="AM890" s="2"/>
      <c r="AN890" s="2"/>
      <c r="AO890" s="2"/>
      <c r="AP890" s="3"/>
      <c r="AQ890" s="2"/>
      <c r="AR890" s="2"/>
      <c r="AS890" s="2"/>
      <c r="AT890" s="7"/>
      <c r="AU890" s="2"/>
      <c r="AV890" s="2"/>
      <c r="AW890" s="2"/>
      <c r="AX890" s="2"/>
    </row>
    <row r="891">
      <c r="A891" s="2"/>
      <c r="B891" s="2"/>
      <c r="C891" s="2"/>
      <c r="D891" s="2"/>
      <c r="E891" s="2"/>
      <c r="F891" s="2"/>
      <c r="G891" s="2"/>
      <c r="H891" s="2"/>
      <c r="I891" s="2"/>
      <c r="J891" s="2"/>
      <c r="K891" s="2"/>
      <c r="L891" s="3"/>
      <c r="M891" s="4"/>
      <c r="N891" s="4"/>
      <c r="O891" s="5"/>
      <c r="P891" s="6"/>
      <c r="Q891" s="3"/>
      <c r="R891" s="2"/>
      <c r="S891" s="2"/>
      <c r="T891" s="2"/>
      <c r="U891" s="2"/>
      <c r="V891" s="3"/>
      <c r="W891" s="2"/>
      <c r="X891" s="2"/>
      <c r="Y891" s="2"/>
      <c r="Z891" s="2"/>
      <c r="AA891" s="3"/>
      <c r="AB891" s="2"/>
      <c r="AC891" s="2"/>
      <c r="AD891" s="2"/>
      <c r="AE891" s="2"/>
      <c r="AF891" s="3"/>
      <c r="AG891" s="2"/>
      <c r="AH891" s="2"/>
      <c r="AI891" s="2"/>
      <c r="AJ891" s="2"/>
      <c r="AK891" s="3"/>
      <c r="AL891" s="2"/>
      <c r="AM891" s="2"/>
      <c r="AN891" s="2"/>
      <c r="AO891" s="2"/>
      <c r="AP891" s="3"/>
      <c r="AQ891" s="2"/>
      <c r="AR891" s="2"/>
      <c r="AS891" s="2"/>
      <c r="AT891" s="7"/>
      <c r="AU891" s="2"/>
      <c r="AV891" s="2"/>
      <c r="AW891" s="2"/>
      <c r="AX891" s="2"/>
    </row>
    <row r="892">
      <c r="A892" s="2"/>
      <c r="B892" s="2"/>
      <c r="C892" s="2"/>
      <c r="D892" s="2"/>
      <c r="E892" s="2"/>
      <c r="F892" s="2"/>
      <c r="G892" s="2"/>
      <c r="H892" s="2"/>
      <c r="I892" s="2"/>
      <c r="J892" s="2"/>
      <c r="K892" s="2"/>
      <c r="L892" s="3"/>
      <c r="M892" s="4"/>
      <c r="N892" s="4"/>
      <c r="O892" s="5"/>
      <c r="P892" s="6"/>
      <c r="Q892" s="3"/>
      <c r="R892" s="2"/>
      <c r="S892" s="2"/>
      <c r="T892" s="2"/>
      <c r="U892" s="2"/>
      <c r="V892" s="3"/>
      <c r="W892" s="2"/>
      <c r="X892" s="2"/>
      <c r="Y892" s="2"/>
      <c r="Z892" s="2"/>
      <c r="AA892" s="3"/>
      <c r="AB892" s="2"/>
      <c r="AC892" s="2"/>
      <c r="AD892" s="2"/>
      <c r="AE892" s="2"/>
      <c r="AF892" s="3"/>
      <c r="AG892" s="2"/>
      <c r="AH892" s="2"/>
      <c r="AI892" s="2"/>
      <c r="AJ892" s="2"/>
      <c r="AK892" s="3"/>
      <c r="AL892" s="2"/>
      <c r="AM892" s="2"/>
      <c r="AN892" s="2"/>
      <c r="AO892" s="2"/>
      <c r="AP892" s="3"/>
      <c r="AQ892" s="2"/>
      <c r="AR892" s="2"/>
      <c r="AS892" s="2"/>
      <c r="AT892" s="7"/>
      <c r="AU892" s="2"/>
      <c r="AV892" s="2"/>
      <c r="AW892" s="2"/>
      <c r="AX892" s="2"/>
    </row>
    <row r="893">
      <c r="A893" s="2"/>
      <c r="B893" s="2"/>
      <c r="C893" s="2"/>
      <c r="D893" s="2"/>
      <c r="E893" s="2"/>
      <c r="F893" s="2"/>
      <c r="G893" s="2"/>
      <c r="H893" s="2"/>
      <c r="I893" s="2"/>
      <c r="J893" s="2"/>
      <c r="K893" s="2"/>
      <c r="L893" s="3"/>
      <c r="M893" s="4"/>
      <c r="N893" s="4"/>
      <c r="O893" s="5"/>
      <c r="P893" s="6"/>
      <c r="Q893" s="3"/>
      <c r="R893" s="2"/>
      <c r="S893" s="2"/>
      <c r="T893" s="2"/>
      <c r="U893" s="2"/>
      <c r="V893" s="3"/>
      <c r="W893" s="2"/>
      <c r="X893" s="2"/>
      <c r="Y893" s="2"/>
      <c r="Z893" s="2"/>
      <c r="AA893" s="3"/>
      <c r="AB893" s="2"/>
      <c r="AC893" s="2"/>
      <c r="AD893" s="2"/>
      <c r="AE893" s="2"/>
      <c r="AF893" s="3"/>
      <c r="AG893" s="2"/>
      <c r="AH893" s="2"/>
      <c r="AI893" s="2"/>
      <c r="AJ893" s="2"/>
      <c r="AK893" s="3"/>
      <c r="AL893" s="2"/>
      <c r="AM893" s="2"/>
      <c r="AN893" s="2"/>
      <c r="AO893" s="2"/>
      <c r="AP893" s="3"/>
      <c r="AQ893" s="2"/>
      <c r="AR893" s="2"/>
      <c r="AS893" s="2"/>
      <c r="AT893" s="7"/>
      <c r="AU893" s="2"/>
      <c r="AV893" s="2"/>
      <c r="AW893" s="2"/>
      <c r="AX893" s="2"/>
    </row>
    <row r="894">
      <c r="A894" s="2"/>
      <c r="B894" s="2"/>
      <c r="C894" s="2"/>
      <c r="D894" s="2"/>
      <c r="E894" s="2"/>
      <c r="F894" s="2"/>
      <c r="G894" s="2"/>
      <c r="H894" s="2"/>
      <c r="I894" s="2"/>
      <c r="J894" s="2"/>
      <c r="K894" s="2"/>
      <c r="L894" s="3"/>
      <c r="M894" s="4"/>
      <c r="N894" s="4"/>
      <c r="O894" s="5"/>
      <c r="P894" s="6"/>
      <c r="Q894" s="3"/>
      <c r="R894" s="2"/>
      <c r="S894" s="2"/>
      <c r="T894" s="2"/>
      <c r="U894" s="2"/>
      <c r="V894" s="3"/>
      <c r="W894" s="2"/>
      <c r="X894" s="2"/>
      <c r="Y894" s="2"/>
      <c r="Z894" s="2"/>
      <c r="AA894" s="3"/>
      <c r="AB894" s="2"/>
      <c r="AC894" s="2"/>
      <c r="AD894" s="2"/>
      <c r="AE894" s="2"/>
      <c r="AF894" s="3"/>
      <c r="AG894" s="2"/>
      <c r="AH894" s="2"/>
      <c r="AI894" s="2"/>
      <c r="AJ894" s="2"/>
      <c r="AK894" s="3"/>
      <c r="AL894" s="2"/>
      <c r="AM894" s="2"/>
      <c r="AN894" s="2"/>
      <c r="AO894" s="2"/>
      <c r="AP894" s="3"/>
      <c r="AQ894" s="2"/>
      <c r="AR894" s="2"/>
      <c r="AS894" s="2"/>
      <c r="AT894" s="7"/>
      <c r="AU894" s="2"/>
      <c r="AV894" s="2"/>
      <c r="AW894" s="2"/>
      <c r="AX894" s="2"/>
    </row>
    <row r="895">
      <c r="A895" s="2"/>
      <c r="B895" s="2"/>
      <c r="C895" s="2"/>
      <c r="D895" s="2"/>
      <c r="E895" s="2"/>
      <c r="F895" s="2"/>
      <c r="G895" s="2"/>
      <c r="H895" s="2"/>
      <c r="I895" s="2"/>
      <c r="J895" s="2"/>
      <c r="K895" s="2"/>
      <c r="L895" s="3"/>
      <c r="M895" s="4"/>
      <c r="N895" s="4"/>
      <c r="O895" s="5"/>
      <c r="P895" s="6"/>
      <c r="Q895" s="3"/>
      <c r="R895" s="2"/>
      <c r="S895" s="2"/>
      <c r="T895" s="2"/>
      <c r="U895" s="2"/>
      <c r="V895" s="3"/>
      <c r="W895" s="2"/>
      <c r="X895" s="2"/>
      <c r="Y895" s="2"/>
      <c r="Z895" s="2"/>
      <c r="AA895" s="3"/>
      <c r="AB895" s="2"/>
      <c r="AC895" s="2"/>
      <c r="AD895" s="2"/>
      <c r="AE895" s="2"/>
      <c r="AF895" s="3"/>
      <c r="AG895" s="2"/>
      <c r="AH895" s="2"/>
      <c r="AI895" s="2"/>
      <c r="AJ895" s="2"/>
      <c r="AK895" s="3"/>
      <c r="AL895" s="2"/>
      <c r="AM895" s="2"/>
      <c r="AN895" s="2"/>
      <c r="AO895" s="2"/>
      <c r="AP895" s="3"/>
      <c r="AQ895" s="2"/>
      <c r="AR895" s="2"/>
      <c r="AS895" s="2"/>
      <c r="AT895" s="7"/>
      <c r="AU895" s="2"/>
      <c r="AV895" s="2"/>
      <c r="AW895" s="2"/>
      <c r="AX895" s="2"/>
    </row>
    <row r="896">
      <c r="A896" s="2"/>
      <c r="B896" s="2"/>
      <c r="C896" s="2"/>
      <c r="D896" s="2"/>
      <c r="E896" s="2"/>
      <c r="F896" s="2"/>
      <c r="G896" s="2"/>
      <c r="H896" s="2"/>
      <c r="I896" s="2"/>
      <c r="J896" s="2"/>
      <c r="K896" s="2"/>
      <c r="L896" s="3"/>
      <c r="M896" s="4"/>
      <c r="N896" s="4"/>
      <c r="O896" s="5"/>
      <c r="P896" s="6"/>
      <c r="Q896" s="3"/>
      <c r="R896" s="2"/>
      <c r="S896" s="2"/>
      <c r="T896" s="2"/>
      <c r="U896" s="2"/>
      <c r="V896" s="3"/>
      <c r="W896" s="2"/>
      <c r="X896" s="2"/>
      <c r="Y896" s="2"/>
      <c r="Z896" s="2"/>
      <c r="AA896" s="3"/>
      <c r="AB896" s="2"/>
      <c r="AC896" s="2"/>
      <c r="AD896" s="2"/>
      <c r="AE896" s="2"/>
      <c r="AF896" s="3"/>
      <c r="AG896" s="2"/>
      <c r="AH896" s="2"/>
      <c r="AI896" s="2"/>
      <c r="AJ896" s="2"/>
      <c r="AK896" s="3"/>
      <c r="AL896" s="2"/>
      <c r="AM896" s="2"/>
      <c r="AN896" s="2"/>
      <c r="AO896" s="2"/>
      <c r="AP896" s="3"/>
      <c r="AQ896" s="2"/>
      <c r="AR896" s="2"/>
      <c r="AS896" s="2"/>
      <c r="AT896" s="7"/>
      <c r="AU896" s="2"/>
      <c r="AV896" s="2"/>
      <c r="AW896" s="2"/>
      <c r="AX896" s="2"/>
    </row>
    <row r="897">
      <c r="A897" s="2"/>
      <c r="B897" s="2"/>
      <c r="C897" s="2"/>
      <c r="D897" s="2"/>
      <c r="E897" s="2"/>
      <c r="F897" s="2"/>
      <c r="G897" s="2"/>
      <c r="H897" s="2"/>
      <c r="I897" s="2"/>
      <c r="J897" s="2"/>
      <c r="K897" s="2"/>
      <c r="L897" s="3"/>
      <c r="M897" s="4"/>
      <c r="N897" s="4"/>
      <c r="O897" s="5"/>
      <c r="P897" s="6"/>
      <c r="Q897" s="3"/>
      <c r="R897" s="2"/>
      <c r="S897" s="2"/>
      <c r="T897" s="2"/>
      <c r="U897" s="2"/>
      <c r="V897" s="3"/>
      <c r="W897" s="2"/>
      <c r="X897" s="2"/>
      <c r="Y897" s="2"/>
      <c r="Z897" s="2"/>
      <c r="AA897" s="3"/>
      <c r="AB897" s="2"/>
      <c r="AC897" s="2"/>
      <c r="AD897" s="2"/>
      <c r="AE897" s="2"/>
      <c r="AF897" s="3"/>
      <c r="AG897" s="2"/>
      <c r="AH897" s="2"/>
      <c r="AI897" s="2"/>
      <c r="AJ897" s="2"/>
      <c r="AK897" s="3"/>
      <c r="AL897" s="2"/>
      <c r="AM897" s="2"/>
      <c r="AN897" s="2"/>
      <c r="AO897" s="2"/>
      <c r="AP897" s="3"/>
      <c r="AQ897" s="2"/>
      <c r="AR897" s="2"/>
      <c r="AS897" s="2"/>
      <c r="AT897" s="7"/>
      <c r="AU897" s="2"/>
      <c r="AV897" s="2"/>
      <c r="AW897" s="2"/>
      <c r="AX897" s="2"/>
    </row>
    <row r="898">
      <c r="A898" s="2"/>
      <c r="B898" s="2"/>
      <c r="C898" s="2"/>
      <c r="D898" s="2"/>
      <c r="E898" s="2"/>
      <c r="F898" s="2"/>
      <c r="G898" s="2"/>
      <c r="H898" s="2"/>
      <c r="I898" s="2"/>
      <c r="J898" s="2"/>
      <c r="K898" s="2"/>
      <c r="L898" s="3"/>
      <c r="M898" s="4"/>
      <c r="N898" s="4"/>
      <c r="O898" s="5"/>
      <c r="P898" s="6"/>
      <c r="Q898" s="3"/>
      <c r="R898" s="2"/>
      <c r="S898" s="2"/>
      <c r="T898" s="2"/>
      <c r="U898" s="2"/>
      <c r="V898" s="3"/>
      <c r="W898" s="2"/>
      <c r="X898" s="2"/>
      <c r="Y898" s="2"/>
      <c r="Z898" s="2"/>
      <c r="AA898" s="3"/>
      <c r="AB898" s="2"/>
      <c r="AC898" s="2"/>
      <c r="AD898" s="2"/>
      <c r="AE898" s="2"/>
      <c r="AF898" s="3"/>
      <c r="AG898" s="2"/>
      <c r="AH898" s="2"/>
      <c r="AI898" s="2"/>
      <c r="AJ898" s="2"/>
      <c r="AK898" s="3"/>
      <c r="AL898" s="2"/>
      <c r="AM898" s="2"/>
      <c r="AN898" s="2"/>
      <c r="AO898" s="2"/>
      <c r="AP898" s="3"/>
      <c r="AQ898" s="2"/>
      <c r="AR898" s="2"/>
      <c r="AS898" s="2"/>
      <c r="AT898" s="7"/>
      <c r="AU898" s="2"/>
      <c r="AV898" s="2"/>
      <c r="AW898" s="2"/>
      <c r="AX898" s="2"/>
    </row>
    <row r="899">
      <c r="A899" s="2"/>
      <c r="B899" s="2"/>
      <c r="C899" s="2"/>
      <c r="D899" s="2"/>
      <c r="E899" s="2"/>
      <c r="F899" s="2"/>
      <c r="G899" s="2"/>
      <c r="H899" s="2"/>
      <c r="I899" s="2"/>
      <c r="J899" s="2"/>
      <c r="K899" s="2"/>
      <c r="L899" s="3"/>
      <c r="M899" s="4"/>
      <c r="N899" s="4"/>
      <c r="O899" s="5"/>
      <c r="P899" s="6"/>
      <c r="Q899" s="3"/>
      <c r="R899" s="2"/>
      <c r="S899" s="2"/>
      <c r="T899" s="2"/>
      <c r="U899" s="2"/>
      <c r="V899" s="3"/>
      <c r="W899" s="2"/>
      <c r="X899" s="2"/>
      <c r="Y899" s="2"/>
      <c r="Z899" s="2"/>
      <c r="AA899" s="3"/>
      <c r="AB899" s="2"/>
      <c r="AC899" s="2"/>
      <c r="AD899" s="2"/>
      <c r="AE899" s="2"/>
      <c r="AF899" s="3"/>
      <c r="AG899" s="2"/>
      <c r="AH899" s="2"/>
      <c r="AI899" s="2"/>
      <c r="AJ899" s="2"/>
      <c r="AK899" s="3"/>
      <c r="AL899" s="2"/>
      <c r="AM899" s="2"/>
      <c r="AN899" s="2"/>
      <c r="AO899" s="2"/>
      <c r="AP899" s="3"/>
      <c r="AQ899" s="2"/>
      <c r="AR899" s="2"/>
      <c r="AS899" s="2"/>
      <c r="AT899" s="7"/>
      <c r="AU899" s="2"/>
      <c r="AV899" s="2"/>
      <c r="AW899" s="2"/>
      <c r="AX899" s="2"/>
    </row>
    <row r="900">
      <c r="A900" s="2"/>
      <c r="B900" s="2"/>
      <c r="C900" s="2"/>
      <c r="D900" s="2"/>
      <c r="E900" s="2"/>
      <c r="F900" s="2"/>
      <c r="G900" s="2"/>
      <c r="H900" s="2"/>
      <c r="I900" s="2"/>
      <c r="J900" s="2"/>
      <c r="K900" s="2"/>
      <c r="L900" s="3"/>
      <c r="M900" s="4"/>
      <c r="N900" s="4"/>
      <c r="O900" s="5"/>
      <c r="P900" s="6"/>
      <c r="Q900" s="3"/>
      <c r="R900" s="2"/>
      <c r="S900" s="2"/>
      <c r="T900" s="2"/>
      <c r="U900" s="2"/>
      <c r="V900" s="3"/>
      <c r="W900" s="2"/>
      <c r="X900" s="2"/>
      <c r="Y900" s="2"/>
      <c r="Z900" s="2"/>
      <c r="AA900" s="3"/>
      <c r="AB900" s="2"/>
      <c r="AC900" s="2"/>
      <c r="AD900" s="2"/>
      <c r="AE900" s="2"/>
      <c r="AF900" s="3"/>
      <c r="AG900" s="2"/>
      <c r="AH900" s="2"/>
      <c r="AI900" s="2"/>
      <c r="AJ900" s="2"/>
      <c r="AK900" s="3"/>
      <c r="AL900" s="2"/>
      <c r="AM900" s="2"/>
      <c r="AN900" s="2"/>
      <c r="AO900" s="2"/>
      <c r="AP900" s="3"/>
      <c r="AQ900" s="2"/>
      <c r="AR900" s="2"/>
      <c r="AS900" s="2"/>
      <c r="AT900" s="7"/>
      <c r="AU900" s="2"/>
      <c r="AV900" s="2"/>
      <c r="AW900" s="2"/>
      <c r="AX900" s="2"/>
    </row>
    <row r="901">
      <c r="A901" s="2"/>
      <c r="B901" s="2"/>
      <c r="C901" s="2"/>
      <c r="D901" s="2"/>
      <c r="E901" s="2"/>
      <c r="F901" s="2"/>
      <c r="G901" s="2"/>
      <c r="H901" s="2"/>
      <c r="I901" s="2"/>
      <c r="J901" s="2"/>
      <c r="K901" s="2"/>
      <c r="L901" s="3"/>
      <c r="M901" s="4"/>
      <c r="N901" s="4"/>
      <c r="O901" s="5"/>
      <c r="P901" s="6"/>
      <c r="Q901" s="3"/>
      <c r="R901" s="2"/>
      <c r="S901" s="2"/>
      <c r="T901" s="2"/>
      <c r="U901" s="2"/>
      <c r="V901" s="3"/>
      <c r="W901" s="2"/>
      <c r="X901" s="2"/>
      <c r="Y901" s="2"/>
      <c r="Z901" s="2"/>
      <c r="AA901" s="3"/>
      <c r="AB901" s="2"/>
      <c r="AC901" s="2"/>
      <c r="AD901" s="2"/>
      <c r="AE901" s="2"/>
      <c r="AF901" s="3"/>
      <c r="AG901" s="2"/>
      <c r="AH901" s="2"/>
      <c r="AI901" s="2"/>
      <c r="AJ901" s="2"/>
      <c r="AK901" s="3"/>
      <c r="AL901" s="2"/>
      <c r="AM901" s="2"/>
      <c r="AN901" s="2"/>
      <c r="AO901" s="2"/>
      <c r="AP901" s="3"/>
      <c r="AQ901" s="2"/>
      <c r="AR901" s="2"/>
      <c r="AS901" s="2"/>
      <c r="AT901" s="7"/>
      <c r="AU901" s="2"/>
      <c r="AV901" s="2"/>
      <c r="AW901" s="2"/>
      <c r="AX901" s="2"/>
    </row>
    <row r="902">
      <c r="A902" s="2"/>
      <c r="B902" s="2"/>
      <c r="C902" s="2"/>
      <c r="D902" s="2"/>
      <c r="E902" s="2"/>
      <c r="F902" s="2"/>
      <c r="G902" s="2"/>
      <c r="H902" s="2"/>
      <c r="I902" s="2"/>
      <c r="J902" s="2"/>
      <c r="K902" s="2"/>
      <c r="L902" s="3"/>
      <c r="M902" s="4"/>
      <c r="N902" s="4"/>
      <c r="O902" s="5"/>
      <c r="P902" s="6"/>
      <c r="Q902" s="3"/>
      <c r="R902" s="2"/>
      <c r="S902" s="2"/>
      <c r="T902" s="2"/>
      <c r="U902" s="2"/>
      <c r="V902" s="3"/>
      <c r="W902" s="2"/>
      <c r="X902" s="2"/>
      <c r="Y902" s="2"/>
      <c r="Z902" s="2"/>
      <c r="AA902" s="3"/>
      <c r="AB902" s="2"/>
      <c r="AC902" s="2"/>
      <c r="AD902" s="2"/>
      <c r="AE902" s="2"/>
      <c r="AF902" s="3"/>
      <c r="AG902" s="2"/>
      <c r="AH902" s="2"/>
      <c r="AI902" s="2"/>
      <c r="AJ902" s="2"/>
      <c r="AK902" s="3"/>
      <c r="AL902" s="2"/>
      <c r="AM902" s="2"/>
      <c r="AN902" s="2"/>
      <c r="AO902" s="2"/>
      <c r="AP902" s="3"/>
      <c r="AQ902" s="2"/>
      <c r="AR902" s="2"/>
      <c r="AS902" s="2"/>
      <c r="AT902" s="7"/>
      <c r="AU902" s="2"/>
      <c r="AV902" s="2"/>
      <c r="AW902" s="2"/>
      <c r="AX902" s="2"/>
    </row>
    <row r="903">
      <c r="A903" s="2"/>
      <c r="B903" s="2"/>
      <c r="C903" s="2"/>
      <c r="D903" s="2"/>
      <c r="E903" s="2"/>
      <c r="F903" s="2"/>
      <c r="G903" s="2"/>
      <c r="H903" s="2"/>
      <c r="I903" s="2"/>
      <c r="J903" s="2"/>
      <c r="K903" s="2"/>
      <c r="L903" s="3"/>
      <c r="M903" s="4"/>
      <c r="N903" s="4"/>
      <c r="O903" s="5"/>
      <c r="P903" s="6"/>
      <c r="Q903" s="3"/>
      <c r="R903" s="2"/>
      <c r="S903" s="2"/>
      <c r="T903" s="2"/>
      <c r="U903" s="2"/>
      <c r="V903" s="3"/>
      <c r="W903" s="2"/>
      <c r="X903" s="2"/>
      <c r="Y903" s="2"/>
      <c r="Z903" s="2"/>
      <c r="AA903" s="3"/>
      <c r="AB903" s="2"/>
      <c r="AC903" s="2"/>
      <c r="AD903" s="2"/>
      <c r="AE903" s="2"/>
      <c r="AF903" s="3"/>
      <c r="AG903" s="2"/>
      <c r="AH903" s="2"/>
      <c r="AI903" s="2"/>
      <c r="AJ903" s="2"/>
      <c r="AK903" s="3"/>
      <c r="AL903" s="2"/>
      <c r="AM903" s="2"/>
      <c r="AN903" s="2"/>
      <c r="AO903" s="2"/>
      <c r="AP903" s="3"/>
      <c r="AQ903" s="2"/>
      <c r="AR903" s="2"/>
      <c r="AS903" s="2"/>
      <c r="AT903" s="7"/>
      <c r="AU903" s="2"/>
      <c r="AV903" s="2"/>
      <c r="AW903" s="2"/>
      <c r="AX903" s="2"/>
    </row>
    <row r="904">
      <c r="A904" s="2"/>
      <c r="B904" s="2"/>
      <c r="C904" s="2"/>
      <c r="D904" s="2"/>
      <c r="E904" s="2"/>
      <c r="F904" s="2"/>
      <c r="G904" s="2"/>
      <c r="H904" s="2"/>
      <c r="I904" s="2"/>
      <c r="J904" s="2"/>
      <c r="K904" s="2"/>
      <c r="L904" s="3"/>
      <c r="M904" s="4"/>
      <c r="N904" s="4"/>
      <c r="O904" s="5"/>
      <c r="P904" s="6"/>
      <c r="Q904" s="3"/>
      <c r="R904" s="2"/>
      <c r="S904" s="2"/>
      <c r="T904" s="2"/>
      <c r="U904" s="2"/>
      <c r="V904" s="3"/>
      <c r="W904" s="2"/>
      <c r="X904" s="2"/>
      <c r="Y904" s="2"/>
      <c r="Z904" s="2"/>
      <c r="AA904" s="3"/>
      <c r="AB904" s="2"/>
      <c r="AC904" s="2"/>
      <c r="AD904" s="2"/>
      <c r="AE904" s="2"/>
      <c r="AF904" s="3"/>
      <c r="AG904" s="2"/>
      <c r="AH904" s="2"/>
      <c r="AI904" s="2"/>
      <c r="AJ904" s="2"/>
      <c r="AK904" s="3"/>
      <c r="AL904" s="2"/>
      <c r="AM904" s="2"/>
      <c r="AN904" s="2"/>
      <c r="AO904" s="2"/>
      <c r="AP904" s="3"/>
      <c r="AQ904" s="2"/>
      <c r="AR904" s="2"/>
      <c r="AS904" s="2"/>
      <c r="AT904" s="7"/>
      <c r="AU904" s="2"/>
      <c r="AV904" s="2"/>
      <c r="AW904" s="2"/>
      <c r="AX904" s="2"/>
    </row>
    <row r="905">
      <c r="A905" s="2"/>
      <c r="B905" s="2"/>
      <c r="C905" s="2"/>
      <c r="D905" s="2"/>
      <c r="E905" s="2"/>
      <c r="F905" s="2"/>
      <c r="G905" s="2"/>
      <c r="H905" s="2"/>
      <c r="I905" s="2"/>
      <c r="J905" s="2"/>
      <c r="K905" s="2"/>
      <c r="L905" s="3"/>
      <c r="M905" s="4"/>
      <c r="N905" s="4"/>
      <c r="O905" s="5"/>
      <c r="P905" s="6"/>
      <c r="Q905" s="3"/>
      <c r="R905" s="2"/>
      <c r="S905" s="2"/>
      <c r="T905" s="2"/>
      <c r="U905" s="2"/>
      <c r="V905" s="3"/>
      <c r="W905" s="2"/>
      <c r="X905" s="2"/>
      <c r="Y905" s="2"/>
      <c r="Z905" s="2"/>
      <c r="AA905" s="3"/>
      <c r="AB905" s="2"/>
      <c r="AC905" s="2"/>
      <c r="AD905" s="2"/>
      <c r="AE905" s="2"/>
      <c r="AF905" s="3"/>
      <c r="AG905" s="2"/>
      <c r="AH905" s="2"/>
      <c r="AI905" s="2"/>
      <c r="AJ905" s="2"/>
      <c r="AK905" s="3"/>
      <c r="AL905" s="2"/>
      <c r="AM905" s="2"/>
      <c r="AN905" s="2"/>
      <c r="AO905" s="2"/>
      <c r="AP905" s="3"/>
      <c r="AQ905" s="2"/>
      <c r="AR905" s="2"/>
      <c r="AS905" s="2"/>
      <c r="AT905" s="7"/>
      <c r="AU905" s="2"/>
      <c r="AV905" s="2"/>
      <c r="AW905" s="2"/>
      <c r="AX905" s="2"/>
    </row>
    <row r="906">
      <c r="A906" s="2"/>
      <c r="B906" s="2"/>
      <c r="C906" s="2"/>
      <c r="D906" s="2"/>
      <c r="E906" s="2"/>
      <c r="F906" s="2"/>
      <c r="G906" s="2"/>
      <c r="H906" s="2"/>
      <c r="I906" s="2"/>
      <c r="J906" s="2"/>
      <c r="K906" s="2"/>
      <c r="L906" s="3"/>
      <c r="M906" s="4"/>
      <c r="N906" s="4"/>
      <c r="O906" s="5"/>
      <c r="P906" s="6"/>
      <c r="Q906" s="3"/>
      <c r="R906" s="2"/>
      <c r="S906" s="2"/>
      <c r="T906" s="2"/>
      <c r="U906" s="2"/>
      <c r="V906" s="3"/>
      <c r="W906" s="2"/>
      <c r="X906" s="2"/>
      <c r="Y906" s="2"/>
      <c r="Z906" s="2"/>
      <c r="AA906" s="3"/>
      <c r="AB906" s="2"/>
      <c r="AC906" s="2"/>
      <c r="AD906" s="2"/>
      <c r="AE906" s="2"/>
      <c r="AF906" s="3"/>
      <c r="AG906" s="2"/>
      <c r="AH906" s="2"/>
      <c r="AI906" s="2"/>
      <c r="AJ906" s="2"/>
      <c r="AK906" s="3"/>
      <c r="AL906" s="2"/>
      <c r="AM906" s="2"/>
      <c r="AN906" s="2"/>
      <c r="AO906" s="2"/>
      <c r="AP906" s="3"/>
      <c r="AQ906" s="2"/>
      <c r="AR906" s="2"/>
      <c r="AS906" s="2"/>
      <c r="AT906" s="7"/>
      <c r="AU906" s="2"/>
      <c r="AV906" s="2"/>
      <c r="AW906" s="2"/>
      <c r="AX906" s="2"/>
    </row>
    <row r="907">
      <c r="A907" s="2"/>
      <c r="B907" s="2"/>
      <c r="C907" s="2"/>
      <c r="D907" s="2"/>
      <c r="E907" s="2"/>
      <c r="F907" s="2"/>
      <c r="G907" s="2"/>
      <c r="H907" s="2"/>
      <c r="I907" s="2"/>
      <c r="J907" s="2"/>
      <c r="K907" s="2"/>
      <c r="L907" s="3"/>
      <c r="M907" s="4"/>
      <c r="N907" s="4"/>
      <c r="O907" s="5"/>
      <c r="P907" s="6"/>
      <c r="Q907" s="3"/>
      <c r="R907" s="2"/>
      <c r="S907" s="2"/>
      <c r="T907" s="2"/>
      <c r="U907" s="2"/>
      <c r="V907" s="3"/>
      <c r="W907" s="2"/>
      <c r="X907" s="2"/>
      <c r="Y907" s="2"/>
      <c r="Z907" s="2"/>
      <c r="AA907" s="3"/>
      <c r="AB907" s="2"/>
      <c r="AC907" s="2"/>
      <c r="AD907" s="2"/>
      <c r="AE907" s="2"/>
      <c r="AF907" s="3"/>
      <c r="AG907" s="2"/>
      <c r="AH907" s="2"/>
      <c r="AI907" s="2"/>
      <c r="AJ907" s="2"/>
      <c r="AK907" s="3"/>
      <c r="AL907" s="2"/>
      <c r="AM907" s="2"/>
      <c r="AN907" s="2"/>
      <c r="AO907" s="2"/>
      <c r="AP907" s="3"/>
      <c r="AQ907" s="2"/>
      <c r="AR907" s="2"/>
      <c r="AS907" s="2"/>
      <c r="AT907" s="7"/>
      <c r="AU907" s="2"/>
      <c r="AV907" s="2"/>
      <c r="AW907" s="2"/>
      <c r="AX907" s="2"/>
    </row>
    <row r="908">
      <c r="A908" s="2"/>
      <c r="B908" s="2"/>
      <c r="C908" s="2"/>
      <c r="D908" s="2"/>
      <c r="E908" s="2"/>
      <c r="F908" s="2"/>
      <c r="G908" s="2"/>
      <c r="H908" s="2"/>
      <c r="I908" s="2"/>
      <c r="J908" s="2"/>
      <c r="K908" s="2"/>
      <c r="L908" s="3"/>
      <c r="M908" s="4"/>
      <c r="N908" s="4"/>
      <c r="O908" s="5"/>
      <c r="P908" s="6"/>
      <c r="Q908" s="3"/>
      <c r="R908" s="2"/>
      <c r="S908" s="2"/>
      <c r="T908" s="2"/>
      <c r="U908" s="2"/>
      <c r="V908" s="3"/>
      <c r="W908" s="2"/>
      <c r="X908" s="2"/>
      <c r="Y908" s="2"/>
      <c r="Z908" s="2"/>
      <c r="AA908" s="3"/>
      <c r="AB908" s="2"/>
      <c r="AC908" s="2"/>
      <c r="AD908" s="2"/>
      <c r="AE908" s="2"/>
      <c r="AF908" s="3"/>
      <c r="AG908" s="2"/>
      <c r="AH908" s="2"/>
      <c r="AI908" s="2"/>
      <c r="AJ908" s="2"/>
      <c r="AK908" s="3"/>
      <c r="AL908" s="2"/>
      <c r="AM908" s="2"/>
      <c r="AN908" s="2"/>
      <c r="AO908" s="2"/>
      <c r="AP908" s="3"/>
      <c r="AQ908" s="2"/>
      <c r="AR908" s="2"/>
      <c r="AS908" s="2"/>
      <c r="AT908" s="7"/>
      <c r="AU908" s="2"/>
      <c r="AV908" s="2"/>
      <c r="AW908" s="2"/>
      <c r="AX908" s="2"/>
    </row>
    <row r="909">
      <c r="A909" s="2"/>
      <c r="B909" s="2"/>
      <c r="C909" s="2"/>
      <c r="D909" s="2"/>
      <c r="E909" s="2"/>
      <c r="F909" s="2"/>
      <c r="G909" s="2"/>
      <c r="H909" s="2"/>
      <c r="I909" s="2"/>
      <c r="J909" s="2"/>
      <c r="K909" s="2"/>
      <c r="L909" s="3"/>
      <c r="M909" s="4"/>
      <c r="N909" s="4"/>
      <c r="O909" s="5"/>
      <c r="P909" s="6"/>
      <c r="Q909" s="3"/>
      <c r="R909" s="2"/>
      <c r="S909" s="2"/>
      <c r="T909" s="2"/>
      <c r="U909" s="2"/>
      <c r="V909" s="3"/>
      <c r="W909" s="2"/>
      <c r="X909" s="2"/>
      <c r="Y909" s="2"/>
      <c r="Z909" s="2"/>
      <c r="AA909" s="3"/>
      <c r="AB909" s="2"/>
      <c r="AC909" s="2"/>
      <c r="AD909" s="2"/>
      <c r="AE909" s="2"/>
      <c r="AF909" s="3"/>
      <c r="AG909" s="2"/>
      <c r="AH909" s="2"/>
      <c r="AI909" s="2"/>
      <c r="AJ909" s="2"/>
      <c r="AK909" s="3"/>
      <c r="AL909" s="2"/>
      <c r="AM909" s="2"/>
      <c r="AN909" s="2"/>
      <c r="AO909" s="2"/>
      <c r="AP909" s="3"/>
      <c r="AQ909" s="2"/>
      <c r="AR909" s="2"/>
      <c r="AS909" s="2"/>
      <c r="AT909" s="7"/>
      <c r="AU909" s="2"/>
      <c r="AV909" s="2"/>
      <c r="AW909" s="2"/>
      <c r="AX909" s="2"/>
    </row>
    <row r="910">
      <c r="A910" s="2"/>
      <c r="B910" s="2"/>
      <c r="C910" s="2"/>
      <c r="D910" s="2"/>
      <c r="E910" s="2"/>
      <c r="F910" s="2"/>
      <c r="G910" s="2"/>
      <c r="H910" s="2"/>
      <c r="I910" s="2"/>
      <c r="J910" s="2"/>
      <c r="K910" s="2"/>
      <c r="L910" s="3"/>
      <c r="M910" s="4"/>
      <c r="N910" s="4"/>
      <c r="O910" s="5"/>
      <c r="P910" s="6"/>
      <c r="Q910" s="3"/>
      <c r="R910" s="2"/>
      <c r="S910" s="2"/>
      <c r="T910" s="2"/>
      <c r="U910" s="2"/>
      <c r="V910" s="3"/>
      <c r="W910" s="2"/>
      <c r="X910" s="2"/>
      <c r="Y910" s="2"/>
      <c r="Z910" s="2"/>
      <c r="AA910" s="3"/>
      <c r="AB910" s="2"/>
      <c r="AC910" s="2"/>
      <c r="AD910" s="2"/>
      <c r="AE910" s="2"/>
      <c r="AF910" s="3"/>
      <c r="AG910" s="2"/>
      <c r="AH910" s="2"/>
      <c r="AI910" s="2"/>
      <c r="AJ910" s="2"/>
      <c r="AK910" s="3"/>
      <c r="AL910" s="2"/>
      <c r="AM910" s="2"/>
      <c r="AN910" s="2"/>
      <c r="AO910" s="2"/>
      <c r="AP910" s="3"/>
      <c r="AQ910" s="2"/>
      <c r="AR910" s="2"/>
      <c r="AS910" s="2"/>
      <c r="AT910" s="7"/>
      <c r="AU910" s="2"/>
      <c r="AV910" s="2"/>
      <c r="AW910" s="2"/>
      <c r="AX910" s="2"/>
    </row>
    <row r="911">
      <c r="A911" s="2"/>
      <c r="B911" s="2"/>
      <c r="C911" s="2"/>
      <c r="D911" s="2"/>
      <c r="E911" s="2"/>
      <c r="F911" s="2"/>
      <c r="G911" s="2"/>
      <c r="H911" s="2"/>
      <c r="I911" s="2"/>
      <c r="J911" s="2"/>
      <c r="K911" s="2"/>
      <c r="L911" s="3"/>
      <c r="M911" s="4"/>
      <c r="N911" s="4"/>
      <c r="O911" s="5"/>
      <c r="P911" s="6"/>
      <c r="Q911" s="3"/>
      <c r="R911" s="2"/>
      <c r="S911" s="2"/>
      <c r="T911" s="2"/>
      <c r="U911" s="2"/>
      <c r="V911" s="3"/>
      <c r="W911" s="2"/>
      <c r="X911" s="2"/>
      <c r="Y911" s="2"/>
      <c r="Z911" s="2"/>
      <c r="AA911" s="3"/>
      <c r="AB911" s="2"/>
      <c r="AC911" s="2"/>
      <c r="AD911" s="2"/>
      <c r="AE911" s="2"/>
      <c r="AF911" s="3"/>
      <c r="AG911" s="2"/>
      <c r="AH911" s="2"/>
      <c r="AI911" s="2"/>
      <c r="AJ911" s="2"/>
      <c r="AK911" s="3"/>
      <c r="AL911" s="2"/>
      <c r="AM911" s="2"/>
      <c r="AN911" s="2"/>
      <c r="AO911" s="2"/>
      <c r="AP911" s="3"/>
      <c r="AQ911" s="2"/>
      <c r="AR911" s="2"/>
      <c r="AS911" s="2"/>
      <c r="AT911" s="7"/>
      <c r="AU911" s="2"/>
      <c r="AV911" s="2"/>
      <c r="AW911" s="2"/>
      <c r="AX911" s="2"/>
    </row>
    <row r="912">
      <c r="A912" s="2"/>
      <c r="B912" s="2"/>
      <c r="C912" s="2"/>
      <c r="D912" s="2"/>
      <c r="E912" s="2"/>
      <c r="F912" s="2"/>
      <c r="G912" s="2"/>
      <c r="H912" s="2"/>
      <c r="I912" s="2"/>
      <c r="J912" s="2"/>
      <c r="K912" s="2"/>
      <c r="L912" s="3"/>
      <c r="M912" s="4"/>
      <c r="N912" s="4"/>
      <c r="O912" s="5"/>
      <c r="P912" s="6"/>
      <c r="Q912" s="3"/>
      <c r="R912" s="2"/>
      <c r="S912" s="2"/>
      <c r="T912" s="2"/>
      <c r="U912" s="2"/>
      <c r="V912" s="3"/>
      <c r="W912" s="2"/>
      <c r="X912" s="2"/>
      <c r="Y912" s="2"/>
      <c r="Z912" s="2"/>
      <c r="AA912" s="3"/>
      <c r="AB912" s="2"/>
      <c r="AC912" s="2"/>
      <c r="AD912" s="2"/>
      <c r="AE912" s="2"/>
      <c r="AF912" s="3"/>
      <c r="AG912" s="2"/>
      <c r="AH912" s="2"/>
      <c r="AI912" s="2"/>
      <c r="AJ912" s="2"/>
      <c r="AK912" s="3"/>
      <c r="AL912" s="2"/>
      <c r="AM912" s="2"/>
      <c r="AN912" s="2"/>
      <c r="AO912" s="2"/>
      <c r="AP912" s="3"/>
      <c r="AQ912" s="2"/>
      <c r="AR912" s="2"/>
      <c r="AS912" s="2"/>
      <c r="AT912" s="7"/>
      <c r="AU912" s="2"/>
      <c r="AV912" s="2"/>
      <c r="AW912" s="2"/>
      <c r="AX912" s="2"/>
    </row>
    <row r="913">
      <c r="A913" s="2"/>
      <c r="B913" s="2"/>
      <c r="C913" s="2"/>
      <c r="D913" s="2"/>
      <c r="E913" s="2"/>
      <c r="F913" s="2"/>
      <c r="G913" s="2"/>
      <c r="H913" s="2"/>
      <c r="I913" s="2"/>
      <c r="J913" s="2"/>
      <c r="K913" s="2"/>
      <c r="L913" s="3"/>
      <c r="M913" s="4"/>
      <c r="N913" s="4"/>
      <c r="O913" s="5"/>
      <c r="P913" s="6"/>
      <c r="Q913" s="3"/>
      <c r="R913" s="2"/>
      <c r="S913" s="2"/>
      <c r="T913" s="2"/>
      <c r="U913" s="2"/>
      <c r="V913" s="3"/>
      <c r="W913" s="2"/>
      <c r="X913" s="2"/>
      <c r="Y913" s="2"/>
      <c r="Z913" s="2"/>
      <c r="AA913" s="3"/>
      <c r="AB913" s="2"/>
      <c r="AC913" s="2"/>
      <c r="AD913" s="2"/>
      <c r="AE913" s="2"/>
      <c r="AF913" s="3"/>
      <c r="AG913" s="2"/>
      <c r="AH913" s="2"/>
      <c r="AI913" s="2"/>
      <c r="AJ913" s="2"/>
      <c r="AK913" s="3"/>
      <c r="AL913" s="2"/>
      <c r="AM913" s="2"/>
      <c r="AN913" s="2"/>
      <c r="AO913" s="2"/>
      <c r="AP913" s="3"/>
      <c r="AQ913" s="2"/>
      <c r="AR913" s="2"/>
      <c r="AS913" s="2"/>
      <c r="AT913" s="7"/>
      <c r="AU913" s="2"/>
      <c r="AV913" s="2"/>
      <c r="AW913" s="2"/>
      <c r="AX913" s="2"/>
    </row>
    <row r="914">
      <c r="A914" s="2"/>
      <c r="B914" s="2"/>
      <c r="C914" s="2"/>
      <c r="D914" s="2"/>
      <c r="E914" s="2"/>
      <c r="F914" s="2"/>
      <c r="G914" s="2"/>
      <c r="H914" s="2"/>
      <c r="I914" s="2"/>
      <c r="J914" s="2"/>
      <c r="K914" s="2"/>
      <c r="L914" s="3"/>
      <c r="M914" s="4"/>
      <c r="N914" s="4"/>
      <c r="O914" s="5"/>
      <c r="P914" s="6"/>
      <c r="Q914" s="3"/>
      <c r="R914" s="2"/>
      <c r="S914" s="2"/>
      <c r="T914" s="2"/>
      <c r="U914" s="2"/>
      <c r="V914" s="3"/>
      <c r="W914" s="2"/>
      <c r="X914" s="2"/>
      <c r="Y914" s="2"/>
      <c r="Z914" s="2"/>
      <c r="AA914" s="3"/>
      <c r="AB914" s="2"/>
      <c r="AC914" s="2"/>
      <c r="AD914" s="2"/>
      <c r="AE914" s="2"/>
      <c r="AF914" s="3"/>
      <c r="AG914" s="2"/>
      <c r="AH914" s="2"/>
      <c r="AI914" s="2"/>
      <c r="AJ914" s="2"/>
      <c r="AK914" s="3"/>
      <c r="AL914" s="2"/>
      <c r="AM914" s="2"/>
      <c r="AN914" s="2"/>
      <c r="AO914" s="2"/>
      <c r="AP914" s="3"/>
      <c r="AQ914" s="2"/>
      <c r="AR914" s="2"/>
      <c r="AS914" s="2"/>
      <c r="AT914" s="7"/>
      <c r="AU914" s="2"/>
      <c r="AV914" s="2"/>
      <c r="AW914" s="2"/>
      <c r="AX914" s="2"/>
    </row>
    <row r="915">
      <c r="A915" s="2"/>
      <c r="B915" s="2"/>
      <c r="C915" s="2"/>
      <c r="D915" s="2"/>
      <c r="E915" s="2"/>
      <c r="F915" s="2"/>
      <c r="G915" s="2"/>
      <c r="H915" s="2"/>
      <c r="I915" s="2"/>
      <c r="J915" s="2"/>
      <c r="K915" s="2"/>
      <c r="L915" s="3"/>
      <c r="M915" s="4"/>
      <c r="N915" s="4"/>
      <c r="O915" s="5"/>
      <c r="P915" s="6"/>
      <c r="Q915" s="3"/>
      <c r="R915" s="2"/>
      <c r="S915" s="2"/>
      <c r="T915" s="2"/>
      <c r="U915" s="2"/>
      <c r="V915" s="3"/>
      <c r="W915" s="2"/>
      <c r="X915" s="2"/>
      <c r="Y915" s="2"/>
      <c r="Z915" s="2"/>
      <c r="AA915" s="3"/>
      <c r="AB915" s="2"/>
      <c r="AC915" s="2"/>
      <c r="AD915" s="2"/>
      <c r="AE915" s="2"/>
      <c r="AF915" s="3"/>
      <c r="AG915" s="2"/>
      <c r="AH915" s="2"/>
      <c r="AI915" s="2"/>
      <c r="AJ915" s="2"/>
      <c r="AK915" s="3"/>
      <c r="AL915" s="2"/>
      <c r="AM915" s="2"/>
      <c r="AN915" s="2"/>
      <c r="AO915" s="2"/>
      <c r="AP915" s="3"/>
      <c r="AQ915" s="2"/>
      <c r="AR915" s="2"/>
      <c r="AS915" s="2"/>
      <c r="AT915" s="7"/>
      <c r="AU915" s="2"/>
      <c r="AV915" s="2"/>
      <c r="AW915" s="2"/>
      <c r="AX915" s="2"/>
    </row>
    <row r="916">
      <c r="A916" s="2"/>
      <c r="B916" s="2"/>
      <c r="C916" s="2"/>
      <c r="D916" s="2"/>
      <c r="E916" s="2"/>
      <c r="F916" s="2"/>
      <c r="G916" s="2"/>
      <c r="H916" s="2"/>
      <c r="I916" s="2"/>
      <c r="J916" s="2"/>
      <c r="K916" s="2"/>
      <c r="L916" s="3"/>
      <c r="M916" s="4"/>
      <c r="N916" s="4"/>
      <c r="O916" s="5"/>
      <c r="P916" s="6"/>
      <c r="Q916" s="3"/>
      <c r="R916" s="2"/>
      <c r="S916" s="2"/>
      <c r="T916" s="2"/>
      <c r="U916" s="2"/>
      <c r="V916" s="3"/>
      <c r="W916" s="2"/>
      <c r="X916" s="2"/>
      <c r="Y916" s="2"/>
      <c r="Z916" s="2"/>
      <c r="AA916" s="3"/>
      <c r="AB916" s="2"/>
      <c r="AC916" s="2"/>
      <c r="AD916" s="2"/>
      <c r="AE916" s="2"/>
      <c r="AF916" s="3"/>
      <c r="AG916" s="2"/>
      <c r="AH916" s="2"/>
      <c r="AI916" s="2"/>
      <c r="AJ916" s="2"/>
      <c r="AK916" s="3"/>
      <c r="AL916" s="2"/>
      <c r="AM916" s="2"/>
      <c r="AN916" s="2"/>
      <c r="AO916" s="2"/>
      <c r="AP916" s="3"/>
      <c r="AQ916" s="2"/>
      <c r="AR916" s="2"/>
      <c r="AS916" s="2"/>
      <c r="AT916" s="7"/>
      <c r="AU916" s="2"/>
      <c r="AV916" s="2"/>
      <c r="AW916" s="2"/>
      <c r="AX916" s="2"/>
    </row>
    <row r="917">
      <c r="A917" s="2"/>
      <c r="B917" s="2"/>
      <c r="C917" s="2"/>
      <c r="D917" s="2"/>
      <c r="E917" s="2"/>
      <c r="F917" s="2"/>
      <c r="G917" s="2"/>
      <c r="H917" s="2"/>
      <c r="I917" s="2"/>
      <c r="J917" s="2"/>
      <c r="K917" s="2"/>
      <c r="L917" s="3"/>
      <c r="M917" s="4"/>
      <c r="N917" s="4"/>
      <c r="O917" s="5"/>
      <c r="P917" s="6"/>
      <c r="Q917" s="3"/>
      <c r="R917" s="2"/>
      <c r="S917" s="2"/>
      <c r="T917" s="2"/>
      <c r="U917" s="2"/>
      <c r="V917" s="3"/>
      <c r="W917" s="2"/>
      <c r="X917" s="2"/>
      <c r="Y917" s="2"/>
      <c r="Z917" s="2"/>
      <c r="AA917" s="3"/>
      <c r="AB917" s="2"/>
      <c r="AC917" s="2"/>
      <c r="AD917" s="2"/>
      <c r="AE917" s="2"/>
      <c r="AF917" s="3"/>
      <c r="AG917" s="2"/>
      <c r="AH917" s="2"/>
      <c r="AI917" s="2"/>
      <c r="AJ917" s="2"/>
      <c r="AK917" s="3"/>
      <c r="AL917" s="2"/>
      <c r="AM917" s="2"/>
      <c r="AN917" s="2"/>
      <c r="AO917" s="2"/>
      <c r="AP917" s="3"/>
      <c r="AQ917" s="2"/>
      <c r="AR917" s="2"/>
      <c r="AS917" s="2"/>
      <c r="AT917" s="7"/>
      <c r="AU917" s="2"/>
      <c r="AV917" s="2"/>
      <c r="AW917" s="2"/>
      <c r="AX917" s="2"/>
    </row>
    <row r="918">
      <c r="A918" s="2"/>
      <c r="B918" s="2"/>
      <c r="C918" s="2"/>
      <c r="D918" s="2"/>
      <c r="E918" s="2"/>
      <c r="F918" s="2"/>
      <c r="G918" s="2"/>
      <c r="H918" s="2"/>
      <c r="I918" s="2"/>
      <c r="J918" s="2"/>
      <c r="K918" s="2"/>
      <c r="L918" s="3"/>
      <c r="M918" s="4"/>
      <c r="N918" s="4"/>
      <c r="O918" s="5"/>
      <c r="P918" s="6"/>
      <c r="Q918" s="3"/>
      <c r="R918" s="2"/>
      <c r="S918" s="2"/>
      <c r="T918" s="2"/>
      <c r="U918" s="2"/>
      <c r="V918" s="3"/>
      <c r="W918" s="2"/>
      <c r="X918" s="2"/>
      <c r="Y918" s="2"/>
      <c r="Z918" s="2"/>
      <c r="AA918" s="3"/>
      <c r="AB918" s="2"/>
      <c r="AC918" s="2"/>
      <c r="AD918" s="2"/>
      <c r="AE918" s="2"/>
      <c r="AF918" s="3"/>
      <c r="AG918" s="2"/>
      <c r="AH918" s="2"/>
      <c r="AI918" s="2"/>
      <c r="AJ918" s="2"/>
      <c r="AK918" s="3"/>
      <c r="AL918" s="2"/>
      <c r="AM918" s="2"/>
      <c r="AN918" s="2"/>
      <c r="AO918" s="2"/>
      <c r="AP918" s="3"/>
      <c r="AQ918" s="2"/>
      <c r="AR918" s="2"/>
      <c r="AS918" s="2"/>
      <c r="AT918" s="7"/>
      <c r="AU918" s="2"/>
      <c r="AV918" s="2"/>
      <c r="AW918" s="2"/>
      <c r="AX918" s="2"/>
    </row>
    <row r="919">
      <c r="A919" s="2"/>
      <c r="B919" s="2"/>
      <c r="C919" s="2"/>
      <c r="D919" s="2"/>
      <c r="E919" s="2"/>
      <c r="F919" s="2"/>
      <c r="G919" s="2"/>
      <c r="H919" s="2"/>
      <c r="I919" s="2"/>
      <c r="J919" s="2"/>
      <c r="K919" s="2"/>
      <c r="L919" s="3"/>
      <c r="M919" s="4"/>
      <c r="N919" s="4"/>
      <c r="O919" s="5"/>
      <c r="P919" s="6"/>
      <c r="Q919" s="3"/>
      <c r="R919" s="2"/>
      <c r="S919" s="2"/>
      <c r="T919" s="2"/>
      <c r="U919" s="2"/>
      <c r="V919" s="3"/>
      <c r="W919" s="2"/>
      <c r="X919" s="2"/>
      <c r="Y919" s="2"/>
      <c r="Z919" s="2"/>
      <c r="AA919" s="3"/>
      <c r="AB919" s="2"/>
      <c r="AC919" s="2"/>
      <c r="AD919" s="2"/>
      <c r="AE919" s="2"/>
      <c r="AF919" s="3"/>
      <c r="AG919" s="2"/>
      <c r="AH919" s="2"/>
      <c r="AI919" s="2"/>
      <c r="AJ919" s="2"/>
      <c r="AK919" s="3"/>
      <c r="AL919" s="2"/>
      <c r="AM919" s="2"/>
      <c r="AN919" s="2"/>
      <c r="AO919" s="2"/>
      <c r="AP919" s="3"/>
      <c r="AQ919" s="2"/>
      <c r="AR919" s="2"/>
      <c r="AS919" s="2"/>
      <c r="AT919" s="7"/>
      <c r="AU919" s="2"/>
      <c r="AV919" s="2"/>
      <c r="AW919" s="2"/>
      <c r="AX919" s="2"/>
    </row>
    <row r="920">
      <c r="A920" s="2"/>
      <c r="B920" s="2"/>
      <c r="C920" s="2"/>
      <c r="D920" s="2"/>
      <c r="E920" s="2"/>
      <c r="F920" s="2"/>
      <c r="G920" s="2"/>
      <c r="H920" s="2"/>
      <c r="I920" s="2"/>
      <c r="J920" s="2"/>
      <c r="K920" s="2"/>
      <c r="L920" s="3"/>
      <c r="M920" s="4"/>
      <c r="N920" s="4"/>
      <c r="O920" s="5"/>
      <c r="P920" s="6"/>
      <c r="Q920" s="3"/>
      <c r="R920" s="2"/>
      <c r="S920" s="2"/>
      <c r="T920" s="2"/>
      <c r="U920" s="2"/>
      <c r="V920" s="3"/>
      <c r="W920" s="2"/>
      <c r="X920" s="2"/>
      <c r="Y920" s="2"/>
      <c r="Z920" s="2"/>
      <c r="AA920" s="3"/>
      <c r="AB920" s="2"/>
      <c r="AC920" s="2"/>
      <c r="AD920" s="2"/>
      <c r="AE920" s="2"/>
      <c r="AF920" s="3"/>
      <c r="AG920" s="2"/>
      <c r="AH920" s="2"/>
      <c r="AI920" s="2"/>
      <c r="AJ920" s="2"/>
      <c r="AK920" s="3"/>
      <c r="AL920" s="2"/>
      <c r="AM920" s="2"/>
      <c r="AN920" s="2"/>
      <c r="AO920" s="2"/>
      <c r="AP920" s="3"/>
      <c r="AQ920" s="2"/>
      <c r="AR920" s="2"/>
      <c r="AS920" s="2"/>
      <c r="AT920" s="7"/>
      <c r="AU920" s="2"/>
      <c r="AV920" s="2"/>
      <c r="AW920" s="2"/>
      <c r="AX920" s="2"/>
    </row>
    <row r="921">
      <c r="A921" s="2"/>
      <c r="B921" s="2"/>
      <c r="C921" s="2"/>
      <c r="D921" s="2"/>
      <c r="E921" s="2"/>
      <c r="F921" s="2"/>
      <c r="G921" s="2"/>
      <c r="H921" s="2"/>
      <c r="I921" s="2"/>
      <c r="J921" s="2"/>
      <c r="K921" s="2"/>
      <c r="L921" s="3"/>
      <c r="M921" s="4"/>
      <c r="N921" s="4"/>
      <c r="O921" s="5"/>
      <c r="P921" s="6"/>
      <c r="Q921" s="3"/>
      <c r="R921" s="2"/>
      <c r="S921" s="2"/>
      <c r="T921" s="2"/>
      <c r="U921" s="2"/>
      <c r="V921" s="3"/>
      <c r="W921" s="2"/>
      <c r="X921" s="2"/>
      <c r="Y921" s="2"/>
      <c r="Z921" s="2"/>
      <c r="AA921" s="3"/>
      <c r="AB921" s="2"/>
      <c r="AC921" s="2"/>
      <c r="AD921" s="2"/>
      <c r="AE921" s="2"/>
      <c r="AF921" s="3"/>
      <c r="AG921" s="2"/>
      <c r="AH921" s="2"/>
      <c r="AI921" s="2"/>
      <c r="AJ921" s="2"/>
      <c r="AK921" s="3"/>
      <c r="AL921" s="2"/>
      <c r="AM921" s="2"/>
      <c r="AN921" s="2"/>
      <c r="AO921" s="2"/>
      <c r="AP921" s="3"/>
      <c r="AQ921" s="2"/>
      <c r="AR921" s="2"/>
      <c r="AS921" s="2"/>
      <c r="AT921" s="7"/>
      <c r="AU921" s="2"/>
      <c r="AV921" s="2"/>
      <c r="AW921" s="2"/>
      <c r="AX921" s="2"/>
    </row>
    <row r="922">
      <c r="A922" s="2"/>
      <c r="B922" s="2"/>
      <c r="C922" s="2"/>
      <c r="D922" s="2"/>
      <c r="E922" s="2"/>
      <c r="F922" s="2"/>
      <c r="G922" s="2"/>
      <c r="H922" s="2"/>
      <c r="I922" s="2"/>
      <c r="J922" s="2"/>
      <c r="K922" s="2"/>
      <c r="L922" s="3"/>
      <c r="M922" s="4"/>
      <c r="N922" s="4"/>
      <c r="O922" s="5"/>
      <c r="P922" s="6"/>
      <c r="Q922" s="3"/>
      <c r="R922" s="2"/>
      <c r="S922" s="2"/>
      <c r="T922" s="2"/>
      <c r="U922" s="2"/>
      <c r="V922" s="3"/>
      <c r="W922" s="2"/>
      <c r="X922" s="2"/>
      <c r="Y922" s="2"/>
      <c r="Z922" s="2"/>
      <c r="AA922" s="3"/>
      <c r="AB922" s="2"/>
      <c r="AC922" s="2"/>
      <c r="AD922" s="2"/>
      <c r="AE922" s="2"/>
      <c r="AF922" s="3"/>
      <c r="AG922" s="2"/>
      <c r="AH922" s="2"/>
      <c r="AI922" s="2"/>
      <c r="AJ922" s="2"/>
      <c r="AK922" s="3"/>
      <c r="AL922" s="2"/>
      <c r="AM922" s="2"/>
      <c r="AN922" s="2"/>
      <c r="AO922" s="2"/>
      <c r="AP922" s="3"/>
      <c r="AQ922" s="2"/>
      <c r="AR922" s="2"/>
      <c r="AS922" s="2"/>
      <c r="AT922" s="7"/>
      <c r="AU922" s="2"/>
      <c r="AV922" s="2"/>
      <c r="AW922" s="2"/>
      <c r="AX922" s="2"/>
    </row>
    <row r="923">
      <c r="A923" s="2"/>
      <c r="B923" s="2"/>
      <c r="C923" s="2"/>
      <c r="D923" s="2"/>
      <c r="E923" s="2"/>
      <c r="F923" s="2"/>
      <c r="G923" s="2"/>
      <c r="H923" s="2"/>
      <c r="I923" s="2"/>
      <c r="J923" s="2"/>
      <c r="K923" s="2"/>
      <c r="L923" s="3"/>
      <c r="M923" s="4"/>
      <c r="N923" s="4"/>
      <c r="O923" s="5"/>
      <c r="P923" s="6"/>
      <c r="Q923" s="3"/>
      <c r="R923" s="2"/>
      <c r="S923" s="2"/>
      <c r="T923" s="2"/>
      <c r="U923" s="2"/>
      <c r="V923" s="3"/>
      <c r="W923" s="2"/>
      <c r="X923" s="2"/>
      <c r="Y923" s="2"/>
      <c r="Z923" s="2"/>
      <c r="AA923" s="3"/>
      <c r="AB923" s="2"/>
      <c r="AC923" s="2"/>
      <c r="AD923" s="2"/>
      <c r="AE923" s="2"/>
      <c r="AF923" s="3"/>
      <c r="AG923" s="2"/>
      <c r="AH923" s="2"/>
      <c r="AI923" s="2"/>
      <c r="AJ923" s="2"/>
      <c r="AK923" s="3"/>
      <c r="AL923" s="2"/>
      <c r="AM923" s="2"/>
      <c r="AN923" s="2"/>
      <c r="AO923" s="2"/>
      <c r="AP923" s="3"/>
      <c r="AQ923" s="2"/>
      <c r="AR923" s="2"/>
      <c r="AS923" s="2"/>
      <c r="AT923" s="7"/>
      <c r="AU923" s="2"/>
      <c r="AV923" s="2"/>
      <c r="AW923" s="2"/>
      <c r="AX923" s="2"/>
    </row>
    <row r="924">
      <c r="A924" s="2"/>
      <c r="B924" s="2"/>
      <c r="C924" s="2"/>
      <c r="D924" s="2"/>
      <c r="E924" s="2"/>
      <c r="F924" s="2"/>
      <c r="G924" s="2"/>
      <c r="H924" s="2"/>
      <c r="I924" s="2"/>
      <c r="J924" s="2"/>
      <c r="K924" s="2"/>
      <c r="L924" s="3"/>
      <c r="M924" s="4"/>
      <c r="N924" s="4"/>
      <c r="O924" s="5"/>
      <c r="P924" s="6"/>
      <c r="Q924" s="3"/>
      <c r="R924" s="2"/>
      <c r="S924" s="2"/>
      <c r="T924" s="2"/>
      <c r="U924" s="2"/>
      <c r="V924" s="3"/>
      <c r="W924" s="2"/>
      <c r="X924" s="2"/>
      <c r="Y924" s="2"/>
      <c r="Z924" s="2"/>
      <c r="AA924" s="3"/>
      <c r="AB924" s="2"/>
      <c r="AC924" s="2"/>
      <c r="AD924" s="2"/>
      <c r="AE924" s="2"/>
      <c r="AF924" s="3"/>
      <c r="AG924" s="2"/>
      <c r="AH924" s="2"/>
      <c r="AI924" s="2"/>
      <c r="AJ924" s="2"/>
      <c r="AK924" s="3"/>
      <c r="AL924" s="2"/>
      <c r="AM924" s="2"/>
      <c r="AN924" s="2"/>
      <c r="AO924" s="2"/>
      <c r="AP924" s="3"/>
      <c r="AQ924" s="2"/>
      <c r="AR924" s="2"/>
      <c r="AS924" s="2"/>
      <c r="AT924" s="7"/>
      <c r="AU924" s="2"/>
      <c r="AV924" s="2"/>
      <c r="AW924" s="2"/>
      <c r="AX924" s="2"/>
    </row>
    <row r="925">
      <c r="A925" s="2"/>
      <c r="B925" s="2"/>
      <c r="C925" s="2"/>
      <c r="D925" s="2"/>
      <c r="E925" s="2"/>
      <c r="F925" s="2"/>
      <c r="G925" s="2"/>
      <c r="H925" s="2"/>
      <c r="I925" s="2"/>
      <c r="J925" s="2"/>
      <c r="K925" s="2"/>
      <c r="L925" s="3"/>
      <c r="M925" s="4"/>
      <c r="N925" s="4"/>
      <c r="O925" s="5"/>
      <c r="P925" s="6"/>
      <c r="Q925" s="3"/>
      <c r="R925" s="2"/>
      <c r="S925" s="2"/>
      <c r="T925" s="2"/>
      <c r="U925" s="2"/>
      <c r="V925" s="3"/>
      <c r="W925" s="2"/>
      <c r="X925" s="2"/>
      <c r="Y925" s="2"/>
      <c r="Z925" s="2"/>
      <c r="AA925" s="3"/>
      <c r="AB925" s="2"/>
      <c r="AC925" s="2"/>
      <c r="AD925" s="2"/>
      <c r="AE925" s="2"/>
      <c r="AF925" s="3"/>
      <c r="AG925" s="2"/>
      <c r="AH925" s="2"/>
      <c r="AI925" s="2"/>
      <c r="AJ925" s="2"/>
      <c r="AK925" s="3"/>
      <c r="AL925" s="2"/>
      <c r="AM925" s="2"/>
      <c r="AN925" s="2"/>
      <c r="AO925" s="2"/>
      <c r="AP925" s="3"/>
      <c r="AQ925" s="2"/>
      <c r="AR925" s="2"/>
      <c r="AS925" s="2"/>
      <c r="AT925" s="7"/>
      <c r="AU925" s="2"/>
      <c r="AV925" s="2"/>
      <c r="AW925" s="2"/>
      <c r="AX925" s="2"/>
    </row>
    <row r="926">
      <c r="A926" s="2"/>
      <c r="B926" s="2"/>
      <c r="C926" s="2"/>
      <c r="D926" s="2"/>
      <c r="E926" s="2"/>
      <c r="F926" s="2"/>
      <c r="G926" s="2"/>
      <c r="H926" s="2"/>
      <c r="I926" s="2"/>
      <c r="J926" s="2"/>
      <c r="K926" s="2"/>
      <c r="L926" s="3"/>
      <c r="M926" s="4"/>
      <c r="N926" s="4"/>
      <c r="O926" s="5"/>
      <c r="P926" s="6"/>
      <c r="Q926" s="3"/>
      <c r="R926" s="2"/>
      <c r="S926" s="2"/>
      <c r="T926" s="2"/>
      <c r="U926" s="2"/>
      <c r="V926" s="3"/>
      <c r="W926" s="2"/>
      <c r="X926" s="2"/>
      <c r="Y926" s="2"/>
      <c r="Z926" s="2"/>
      <c r="AA926" s="3"/>
      <c r="AB926" s="2"/>
      <c r="AC926" s="2"/>
      <c r="AD926" s="2"/>
      <c r="AE926" s="2"/>
      <c r="AF926" s="3"/>
      <c r="AG926" s="2"/>
      <c r="AH926" s="2"/>
      <c r="AI926" s="2"/>
      <c r="AJ926" s="2"/>
      <c r="AK926" s="3"/>
      <c r="AL926" s="2"/>
      <c r="AM926" s="2"/>
      <c r="AN926" s="2"/>
      <c r="AO926" s="2"/>
      <c r="AP926" s="3"/>
      <c r="AQ926" s="2"/>
      <c r="AR926" s="2"/>
      <c r="AS926" s="2"/>
      <c r="AT926" s="7"/>
      <c r="AU926" s="2"/>
      <c r="AV926" s="2"/>
      <c r="AW926" s="2"/>
      <c r="AX926" s="2"/>
    </row>
    <row r="927">
      <c r="A927" s="2"/>
      <c r="B927" s="2"/>
      <c r="C927" s="2"/>
      <c r="D927" s="2"/>
      <c r="E927" s="2"/>
      <c r="F927" s="2"/>
      <c r="G927" s="2"/>
      <c r="H927" s="2"/>
      <c r="I927" s="2"/>
      <c r="J927" s="2"/>
      <c r="K927" s="2"/>
      <c r="L927" s="3"/>
      <c r="M927" s="4"/>
      <c r="N927" s="4"/>
      <c r="O927" s="5"/>
      <c r="P927" s="6"/>
      <c r="Q927" s="3"/>
      <c r="R927" s="2"/>
      <c r="S927" s="2"/>
      <c r="T927" s="2"/>
      <c r="U927" s="2"/>
      <c r="V927" s="3"/>
      <c r="W927" s="2"/>
      <c r="X927" s="2"/>
      <c r="Y927" s="2"/>
      <c r="Z927" s="2"/>
      <c r="AA927" s="3"/>
      <c r="AB927" s="2"/>
      <c r="AC927" s="2"/>
      <c r="AD927" s="2"/>
      <c r="AE927" s="2"/>
      <c r="AF927" s="3"/>
      <c r="AG927" s="2"/>
      <c r="AH927" s="2"/>
      <c r="AI927" s="2"/>
      <c r="AJ927" s="2"/>
      <c r="AK927" s="3"/>
      <c r="AL927" s="2"/>
      <c r="AM927" s="2"/>
      <c r="AN927" s="2"/>
      <c r="AO927" s="2"/>
      <c r="AP927" s="3"/>
      <c r="AQ927" s="2"/>
      <c r="AR927" s="2"/>
      <c r="AS927" s="2"/>
      <c r="AT927" s="7"/>
      <c r="AU927" s="2"/>
      <c r="AV927" s="2"/>
      <c r="AW927" s="2"/>
      <c r="AX927" s="2"/>
    </row>
    <row r="928">
      <c r="A928" s="2"/>
      <c r="B928" s="2"/>
      <c r="C928" s="2"/>
      <c r="D928" s="2"/>
      <c r="E928" s="2"/>
      <c r="F928" s="2"/>
      <c r="G928" s="2"/>
      <c r="H928" s="2"/>
      <c r="I928" s="2"/>
      <c r="J928" s="2"/>
      <c r="K928" s="2"/>
      <c r="L928" s="3"/>
      <c r="M928" s="4"/>
      <c r="N928" s="4"/>
      <c r="O928" s="5"/>
      <c r="P928" s="6"/>
      <c r="Q928" s="3"/>
      <c r="R928" s="2"/>
      <c r="S928" s="2"/>
      <c r="T928" s="2"/>
      <c r="U928" s="2"/>
      <c r="V928" s="3"/>
      <c r="W928" s="2"/>
      <c r="X928" s="2"/>
      <c r="Y928" s="2"/>
      <c r="Z928" s="2"/>
      <c r="AA928" s="3"/>
      <c r="AB928" s="2"/>
      <c r="AC928" s="2"/>
      <c r="AD928" s="2"/>
      <c r="AE928" s="2"/>
      <c r="AF928" s="3"/>
      <c r="AG928" s="2"/>
      <c r="AH928" s="2"/>
      <c r="AI928" s="2"/>
      <c r="AJ928" s="2"/>
      <c r="AK928" s="3"/>
      <c r="AL928" s="2"/>
      <c r="AM928" s="2"/>
      <c r="AN928" s="2"/>
      <c r="AO928" s="2"/>
      <c r="AP928" s="3"/>
      <c r="AQ928" s="2"/>
      <c r="AR928" s="2"/>
      <c r="AS928" s="2"/>
      <c r="AT928" s="7"/>
      <c r="AU928" s="2"/>
      <c r="AV928" s="2"/>
      <c r="AW928" s="2"/>
      <c r="AX928" s="2"/>
    </row>
    <row r="929">
      <c r="A929" s="2"/>
      <c r="B929" s="2"/>
      <c r="C929" s="2"/>
      <c r="D929" s="2"/>
      <c r="E929" s="2"/>
      <c r="F929" s="2"/>
      <c r="G929" s="2"/>
      <c r="H929" s="2"/>
      <c r="I929" s="2"/>
      <c r="J929" s="2"/>
      <c r="K929" s="2"/>
      <c r="L929" s="3"/>
      <c r="M929" s="4"/>
      <c r="N929" s="4"/>
      <c r="O929" s="5"/>
      <c r="P929" s="6"/>
      <c r="Q929" s="3"/>
      <c r="R929" s="2"/>
      <c r="S929" s="2"/>
      <c r="T929" s="2"/>
      <c r="U929" s="2"/>
      <c r="V929" s="3"/>
      <c r="W929" s="2"/>
      <c r="X929" s="2"/>
      <c r="Y929" s="2"/>
      <c r="Z929" s="2"/>
      <c r="AA929" s="3"/>
      <c r="AB929" s="2"/>
      <c r="AC929" s="2"/>
      <c r="AD929" s="2"/>
      <c r="AE929" s="2"/>
      <c r="AF929" s="3"/>
      <c r="AG929" s="2"/>
      <c r="AH929" s="2"/>
      <c r="AI929" s="2"/>
      <c r="AJ929" s="2"/>
      <c r="AK929" s="3"/>
      <c r="AL929" s="2"/>
      <c r="AM929" s="2"/>
      <c r="AN929" s="2"/>
      <c r="AO929" s="2"/>
      <c r="AP929" s="3"/>
      <c r="AQ929" s="2"/>
      <c r="AR929" s="2"/>
      <c r="AS929" s="2"/>
      <c r="AT929" s="7"/>
      <c r="AU929" s="2"/>
      <c r="AV929" s="2"/>
      <c r="AW929" s="2"/>
      <c r="AX929" s="2"/>
    </row>
    <row r="930">
      <c r="A930" s="2"/>
      <c r="B930" s="2"/>
      <c r="C930" s="2"/>
      <c r="D930" s="2"/>
      <c r="E930" s="2"/>
      <c r="F930" s="2"/>
      <c r="G930" s="2"/>
      <c r="H930" s="2"/>
      <c r="I930" s="2"/>
      <c r="J930" s="2"/>
      <c r="K930" s="2"/>
      <c r="L930" s="3"/>
      <c r="M930" s="4"/>
      <c r="N930" s="4"/>
      <c r="O930" s="5"/>
      <c r="P930" s="6"/>
      <c r="Q930" s="3"/>
      <c r="R930" s="2"/>
      <c r="S930" s="2"/>
      <c r="T930" s="2"/>
      <c r="U930" s="2"/>
      <c r="V930" s="3"/>
      <c r="W930" s="2"/>
      <c r="X930" s="2"/>
      <c r="Y930" s="2"/>
      <c r="Z930" s="2"/>
      <c r="AA930" s="3"/>
      <c r="AB930" s="2"/>
      <c r="AC930" s="2"/>
      <c r="AD930" s="2"/>
      <c r="AE930" s="2"/>
      <c r="AF930" s="3"/>
      <c r="AG930" s="2"/>
      <c r="AH930" s="2"/>
      <c r="AI930" s="2"/>
      <c r="AJ930" s="2"/>
      <c r="AK930" s="3"/>
      <c r="AL930" s="2"/>
      <c r="AM930" s="2"/>
      <c r="AN930" s="2"/>
      <c r="AO930" s="2"/>
      <c r="AP930" s="3"/>
      <c r="AQ930" s="2"/>
      <c r="AR930" s="2"/>
      <c r="AS930" s="2"/>
      <c r="AT930" s="7"/>
      <c r="AU930" s="2"/>
      <c r="AV930" s="2"/>
      <c r="AW930" s="2"/>
      <c r="AX930" s="2"/>
    </row>
    <row r="931">
      <c r="A931" s="2"/>
      <c r="B931" s="2"/>
      <c r="C931" s="2"/>
      <c r="D931" s="2"/>
      <c r="E931" s="2"/>
      <c r="F931" s="2"/>
      <c r="G931" s="2"/>
      <c r="H931" s="2"/>
      <c r="I931" s="2"/>
      <c r="J931" s="2"/>
      <c r="K931" s="2"/>
      <c r="L931" s="3"/>
      <c r="M931" s="4"/>
      <c r="N931" s="4"/>
      <c r="O931" s="5"/>
      <c r="P931" s="6"/>
      <c r="Q931" s="3"/>
      <c r="R931" s="2"/>
      <c r="S931" s="2"/>
      <c r="T931" s="2"/>
      <c r="U931" s="2"/>
      <c r="V931" s="3"/>
      <c r="W931" s="2"/>
      <c r="X931" s="2"/>
      <c r="Y931" s="2"/>
      <c r="Z931" s="2"/>
      <c r="AA931" s="3"/>
      <c r="AB931" s="2"/>
      <c r="AC931" s="2"/>
      <c r="AD931" s="2"/>
      <c r="AE931" s="2"/>
      <c r="AF931" s="3"/>
      <c r="AG931" s="2"/>
      <c r="AH931" s="2"/>
      <c r="AI931" s="2"/>
      <c r="AJ931" s="2"/>
      <c r="AK931" s="3"/>
      <c r="AL931" s="2"/>
      <c r="AM931" s="2"/>
      <c r="AN931" s="2"/>
      <c r="AO931" s="2"/>
      <c r="AP931" s="3"/>
      <c r="AQ931" s="2"/>
      <c r="AR931" s="2"/>
      <c r="AS931" s="2"/>
      <c r="AT931" s="7"/>
      <c r="AU931" s="2"/>
      <c r="AV931" s="2"/>
      <c r="AW931" s="2"/>
      <c r="AX931" s="2"/>
    </row>
    <row r="932">
      <c r="A932" s="2"/>
      <c r="B932" s="2"/>
      <c r="C932" s="2"/>
      <c r="D932" s="2"/>
      <c r="E932" s="2"/>
      <c r="F932" s="2"/>
      <c r="G932" s="2"/>
      <c r="H932" s="2"/>
      <c r="I932" s="2"/>
      <c r="J932" s="2"/>
      <c r="K932" s="2"/>
      <c r="L932" s="3"/>
      <c r="M932" s="4"/>
      <c r="N932" s="4"/>
      <c r="O932" s="5"/>
      <c r="P932" s="6"/>
      <c r="Q932" s="3"/>
      <c r="R932" s="2"/>
      <c r="S932" s="2"/>
      <c r="T932" s="2"/>
      <c r="U932" s="2"/>
      <c r="V932" s="3"/>
      <c r="W932" s="2"/>
      <c r="X932" s="2"/>
      <c r="Y932" s="2"/>
      <c r="Z932" s="2"/>
      <c r="AA932" s="3"/>
      <c r="AB932" s="2"/>
      <c r="AC932" s="2"/>
      <c r="AD932" s="2"/>
      <c r="AE932" s="2"/>
      <c r="AF932" s="3"/>
      <c r="AG932" s="2"/>
      <c r="AH932" s="2"/>
      <c r="AI932" s="2"/>
      <c r="AJ932" s="2"/>
      <c r="AK932" s="3"/>
      <c r="AL932" s="2"/>
      <c r="AM932" s="2"/>
      <c r="AN932" s="2"/>
      <c r="AO932" s="2"/>
      <c r="AP932" s="3"/>
      <c r="AQ932" s="2"/>
      <c r="AR932" s="2"/>
      <c r="AS932" s="2"/>
      <c r="AT932" s="7"/>
      <c r="AU932" s="2"/>
      <c r="AV932" s="2"/>
      <c r="AW932" s="2"/>
      <c r="AX932" s="2"/>
    </row>
    <row r="933">
      <c r="A933" s="2"/>
      <c r="B933" s="2"/>
      <c r="C933" s="2"/>
      <c r="D933" s="2"/>
      <c r="E933" s="2"/>
      <c r="F933" s="2"/>
      <c r="G933" s="2"/>
      <c r="H933" s="2"/>
      <c r="I933" s="2"/>
      <c r="J933" s="2"/>
      <c r="K933" s="2"/>
      <c r="L933" s="3"/>
      <c r="M933" s="4"/>
      <c r="N933" s="4"/>
      <c r="O933" s="5"/>
      <c r="P933" s="6"/>
      <c r="Q933" s="3"/>
      <c r="R933" s="2"/>
      <c r="S933" s="2"/>
      <c r="T933" s="2"/>
      <c r="U933" s="2"/>
      <c r="V933" s="3"/>
      <c r="W933" s="2"/>
      <c r="X933" s="2"/>
      <c r="Y933" s="2"/>
      <c r="Z933" s="2"/>
      <c r="AA933" s="3"/>
      <c r="AB933" s="2"/>
      <c r="AC933" s="2"/>
      <c r="AD933" s="2"/>
      <c r="AE933" s="2"/>
      <c r="AF933" s="3"/>
      <c r="AG933" s="2"/>
      <c r="AH933" s="2"/>
      <c r="AI933" s="2"/>
      <c r="AJ933" s="2"/>
      <c r="AK933" s="3"/>
      <c r="AL933" s="2"/>
      <c r="AM933" s="2"/>
      <c r="AN933" s="2"/>
      <c r="AO933" s="2"/>
      <c r="AP933" s="3"/>
      <c r="AQ933" s="2"/>
      <c r="AR933" s="2"/>
      <c r="AS933" s="2"/>
      <c r="AT933" s="7"/>
      <c r="AU933" s="2"/>
      <c r="AV933" s="2"/>
      <c r="AW933" s="2"/>
      <c r="AX933" s="2"/>
    </row>
    <row r="934">
      <c r="A934" s="2"/>
      <c r="B934" s="2"/>
      <c r="C934" s="2"/>
      <c r="D934" s="2"/>
      <c r="E934" s="2"/>
      <c r="F934" s="2"/>
      <c r="G934" s="2"/>
      <c r="H934" s="2"/>
      <c r="I934" s="2"/>
      <c r="J934" s="2"/>
      <c r="K934" s="2"/>
      <c r="L934" s="3"/>
      <c r="M934" s="4"/>
      <c r="N934" s="4"/>
      <c r="O934" s="5"/>
      <c r="P934" s="6"/>
      <c r="Q934" s="3"/>
      <c r="R934" s="2"/>
      <c r="S934" s="2"/>
      <c r="T934" s="2"/>
      <c r="U934" s="2"/>
      <c r="V934" s="3"/>
      <c r="W934" s="2"/>
      <c r="X934" s="2"/>
      <c r="Y934" s="2"/>
      <c r="Z934" s="2"/>
      <c r="AA934" s="3"/>
      <c r="AB934" s="2"/>
      <c r="AC934" s="2"/>
      <c r="AD934" s="2"/>
      <c r="AE934" s="2"/>
      <c r="AF934" s="3"/>
      <c r="AG934" s="2"/>
      <c r="AH934" s="2"/>
      <c r="AI934" s="2"/>
      <c r="AJ934" s="2"/>
      <c r="AK934" s="3"/>
      <c r="AL934" s="2"/>
      <c r="AM934" s="2"/>
      <c r="AN934" s="2"/>
      <c r="AO934" s="2"/>
      <c r="AP934" s="3"/>
      <c r="AQ934" s="2"/>
      <c r="AR934" s="2"/>
      <c r="AS934" s="2"/>
      <c r="AT934" s="7"/>
      <c r="AU934" s="2"/>
      <c r="AV934" s="2"/>
      <c r="AW934" s="2"/>
      <c r="AX934" s="2"/>
    </row>
    <row r="935">
      <c r="A935" s="2"/>
      <c r="B935" s="2"/>
      <c r="C935" s="2"/>
      <c r="D935" s="2"/>
      <c r="E935" s="2"/>
      <c r="F935" s="2"/>
      <c r="G935" s="2"/>
      <c r="H935" s="2"/>
      <c r="I935" s="2"/>
      <c r="J935" s="2"/>
      <c r="K935" s="2"/>
      <c r="L935" s="3"/>
      <c r="M935" s="4"/>
      <c r="N935" s="4"/>
      <c r="O935" s="5"/>
      <c r="P935" s="6"/>
      <c r="Q935" s="3"/>
      <c r="R935" s="2"/>
      <c r="S935" s="2"/>
      <c r="T935" s="2"/>
      <c r="U935" s="2"/>
      <c r="V935" s="3"/>
      <c r="W935" s="2"/>
      <c r="X935" s="2"/>
      <c r="Y935" s="2"/>
      <c r="Z935" s="2"/>
      <c r="AA935" s="3"/>
      <c r="AB935" s="2"/>
      <c r="AC935" s="2"/>
      <c r="AD935" s="2"/>
      <c r="AE935" s="2"/>
      <c r="AF935" s="3"/>
      <c r="AG935" s="2"/>
      <c r="AH935" s="2"/>
      <c r="AI935" s="2"/>
      <c r="AJ935" s="2"/>
      <c r="AK935" s="3"/>
      <c r="AL935" s="2"/>
      <c r="AM935" s="2"/>
      <c r="AN935" s="2"/>
      <c r="AO935" s="2"/>
      <c r="AP935" s="3"/>
      <c r="AQ935" s="2"/>
      <c r="AR935" s="2"/>
      <c r="AS935" s="2"/>
      <c r="AT935" s="7"/>
      <c r="AU935" s="2"/>
      <c r="AV935" s="2"/>
      <c r="AW935" s="2"/>
      <c r="AX935" s="2"/>
    </row>
    <row r="936">
      <c r="A936" s="2"/>
      <c r="B936" s="2"/>
      <c r="C936" s="2"/>
      <c r="D936" s="2"/>
      <c r="E936" s="2"/>
      <c r="F936" s="2"/>
      <c r="G936" s="2"/>
      <c r="H936" s="2"/>
      <c r="I936" s="2"/>
      <c r="J936" s="2"/>
      <c r="K936" s="2"/>
      <c r="L936" s="3"/>
      <c r="M936" s="4"/>
      <c r="N936" s="4"/>
      <c r="O936" s="5"/>
      <c r="P936" s="6"/>
      <c r="Q936" s="3"/>
      <c r="R936" s="2"/>
      <c r="S936" s="2"/>
      <c r="T936" s="2"/>
      <c r="U936" s="2"/>
      <c r="V936" s="3"/>
      <c r="W936" s="2"/>
      <c r="X936" s="2"/>
      <c r="Y936" s="2"/>
      <c r="Z936" s="2"/>
      <c r="AA936" s="3"/>
      <c r="AB936" s="2"/>
      <c r="AC936" s="2"/>
      <c r="AD936" s="2"/>
      <c r="AE936" s="2"/>
      <c r="AF936" s="3"/>
      <c r="AG936" s="2"/>
      <c r="AH936" s="2"/>
      <c r="AI936" s="2"/>
      <c r="AJ936" s="2"/>
      <c r="AK936" s="3"/>
      <c r="AL936" s="2"/>
      <c r="AM936" s="2"/>
      <c r="AN936" s="2"/>
      <c r="AO936" s="2"/>
      <c r="AP936" s="3"/>
      <c r="AQ936" s="2"/>
      <c r="AR936" s="2"/>
      <c r="AS936" s="2"/>
      <c r="AT936" s="7"/>
      <c r="AU936" s="2"/>
      <c r="AV936" s="2"/>
      <c r="AW936" s="2"/>
      <c r="AX936" s="2"/>
    </row>
    <row r="937">
      <c r="A937" s="2"/>
      <c r="B937" s="2"/>
      <c r="C937" s="2"/>
      <c r="D937" s="2"/>
      <c r="E937" s="2"/>
      <c r="F937" s="2"/>
      <c r="G937" s="2"/>
      <c r="H937" s="2"/>
      <c r="I937" s="2"/>
      <c r="J937" s="2"/>
      <c r="K937" s="2"/>
      <c r="L937" s="3"/>
      <c r="M937" s="4"/>
      <c r="N937" s="4"/>
      <c r="O937" s="5"/>
      <c r="P937" s="6"/>
      <c r="Q937" s="3"/>
      <c r="R937" s="2"/>
      <c r="S937" s="2"/>
      <c r="T937" s="2"/>
      <c r="U937" s="2"/>
      <c r="V937" s="3"/>
      <c r="W937" s="2"/>
      <c r="X937" s="2"/>
      <c r="Y937" s="2"/>
      <c r="Z937" s="2"/>
      <c r="AA937" s="3"/>
      <c r="AB937" s="2"/>
      <c r="AC937" s="2"/>
      <c r="AD937" s="2"/>
      <c r="AE937" s="2"/>
      <c r="AF937" s="3"/>
      <c r="AG937" s="2"/>
      <c r="AH937" s="2"/>
      <c r="AI937" s="2"/>
      <c r="AJ937" s="2"/>
      <c r="AK937" s="3"/>
      <c r="AL937" s="2"/>
      <c r="AM937" s="2"/>
      <c r="AN937" s="2"/>
      <c r="AO937" s="2"/>
      <c r="AP937" s="3"/>
      <c r="AQ937" s="2"/>
      <c r="AR937" s="2"/>
      <c r="AS937" s="2"/>
      <c r="AT937" s="7"/>
      <c r="AU937" s="2"/>
      <c r="AV937" s="2"/>
      <c r="AW937" s="2"/>
      <c r="AX937" s="2"/>
    </row>
    <row r="938">
      <c r="A938" s="2"/>
      <c r="B938" s="2"/>
      <c r="C938" s="2"/>
      <c r="D938" s="2"/>
      <c r="E938" s="2"/>
      <c r="F938" s="2"/>
      <c r="G938" s="2"/>
      <c r="H938" s="2"/>
      <c r="I938" s="2"/>
      <c r="J938" s="2"/>
      <c r="K938" s="2"/>
      <c r="L938" s="3"/>
      <c r="M938" s="4"/>
      <c r="N938" s="4"/>
      <c r="O938" s="5"/>
      <c r="P938" s="6"/>
      <c r="Q938" s="3"/>
      <c r="R938" s="2"/>
      <c r="S938" s="2"/>
      <c r="T938" s="2"/>
      <c r="U938" s="2"/>
      <c r="V938" s="3"/>
      <c r="W938" s="2"/>
      <c r="X938" s="2"/>
      <c r="Y938" s="2"/>
      <c r="Z938" s="2"/>
      <c r="AA938" s="3"/>
      <c r="AB938" s="2"/>
      <c r="AC938" s="2"/>
      <c r="AD938" s="2"/>
      <c r="AE938" s="2"/>
      <c r="AF938" s="3"/>
      <c r="AG938" s="2"/>
      <c r="AH938" s="2"/>
      <c r="AI938" s="2"/>
      <c r="AJ938" s="2"/>
      <c r="AK938" s="3"/>
      <c r="AL938" s="2"/>
      <c r="AM938" s="2"/>
      <c r="AN938" s="2"/>
      <c r="AO938" s="2"/>
      <c r="AP938" s="3"/>
      <c r="AQ938" s="2"/>
      <c r="AR938" s="2"/>
      <c r="AS938" s="2"/>
      <c r="AT938" s="7"/>
      <c r="AU938" s="2"/>
      <c r="AV938" s="2"/>
      <c r="AW938" s="2"/>
      <c r="AX938" s="2"/>
    </row>
    <row r="939">
      <c r="A939" s="2"/>
      <c r="B939" s="2"/>
      <c r="C939" s="2"/>
      <c r="D939" s="2"/>
      <c r="E939" s="2"/>
      <c r="F939" s="2"/>
      <c r="G939" s="2"/>
      <c r="H939" s="2"/>
      <c r="I939" s="2"/>
      <c r="J939" s="2"/>
      <c r="K939" s="2"/>
      <c r="L939" s="3"/>
      <c r="M939" s="4"/>
      <c r="N939" s="4"/>
      <c r="O939" s="5"/>
      <c r="P939" s="6"/>
      <c r="Q939" s="3"/>
      <c r="R939" s="2"/>
      <c r="S939" s="2"/>
      <c r="T939" s="2"/>
      <c r="U939" s="2"/>
      <c r="V939" s="3"/>
      <c r="W939" s="2"/>
      <c r="X939" s="2"/>
      <c r="Y939" s="2"/>
      <c r="Z939" s="2"/>
      <c r="AA939" s="3"/>
      <c r="AB939" s="2"/>
      <c r="AC939" s="2"/>
      <c r="AD939" s="2"/>
      <c r="AE939" s="2"/>
      <c r="AF939" s="3"/>
      <c r="AG939" s="2"/>
      <c r="AH939" s="2"/>
      <c r="AI939" s="2"/>
      <c r="AJ939" s="2"/>
      <c r="AK939" s="3"/>
      <c r="AL939" s="2"/>
      <c r="AM939" s="2"/>
      <c r="AN939" s="2"/>
      <c r="AO939" s="2"/>
      <c r="AP939" s="3"/>
      <c r="AQ939" s="2"/>
      <c r="AR939" s="2"/>
      <c r="AS939" s="2"/>
      <c r="AT939" s="7"/>
      <c r="AU939" s="2"/>
      <c r="AV939" s="2"/>
      <c r="AW939" s="2"/>
      <c r="AX939" s="2"/>
    </row>
    <row r="940">
      <c r="A940" s="2"/>
      <c r="B940" s="2"/>
      <c r="C940" s="2"/>
      <c r="D940" s="2"/>
      <c r="E940" s="2"/>
      <c r="F940" s="2"/>
      <c r="G940" s="2"/>
      <c r="H940" s="2"/>
      <c r="I940" s="2"/>
      <c r="J940" s="2"/>
      <c r="K940" s="2"/>
      <c r="L940" s="3"/>
      <c r="M940" s="4"/>
      <c r="N940" s="4"/>
      <c r="O940" s="5"/>
      <c r="P940" s="6"/>
      <c r="Q940" s="3"/>
      <c r="R940" s="2"/>
      <c r="S940" s="2"/>
      <c r="T940" s="2"/>
      <c r="U940" s="2"/>
      <c r="V940" s="3"/>
      <c r="W940" s="2"/>
      <c r="X940" s="2"/>
      <c r="Y940" s="2"/>
      <c r="Z940" s="2"/>
      <c r="AA940" s="3"/>
      <c r="AB940" s="2"/>
      <c r="AC940" s="2"/>
      <c r="AD940" s="2"/>
      <c r="AE940" s="2"/>
      <c r="AF940" s="3"/>
      <c r="AG940" s="2"/>
      <c r="AH940" s="2"/>
      <c r="AI940" s="2"/>
      <c r="AJ940" s="2"/>
      <c r="AK940" s="3"/>
      <c r="AL940" s="2"/>
      <c r="AM940" s="2"/>
      <c r="AN940" s="2"/>
      <c r="AO940" s="2"/>
      <c r="AP940" s="3"/>
      <c r="AQ940" s="2"/>
      <c r="AR940" s="2"/>
      <c r="AS940" s="2"/>
      <c r="AT940" s="7"/>
      <c r="AU940" s="2"/>
      <c r="AV940" s="2"/>
      <c r="AW940" s="2"/>
      <c r="AX940" s="2"/>
    </row>
    <row r="941">
      <c r="A941" s="2"/>
      <c r="B941" s="2"/>
      <c r="C941" s="2"/>
      <c r="D941" s="2"/>
      <c r="E941" s="2"/>
      <c r="F941" s="2"/>
      <c r="G941" s="2"/>
      <c r="H941" s="2"/>
      <c r="I941" s="2"/>
      <c r="J941" s="2"/>
      <c r="K941" s="2"/>
      <c r="L941" s="3"/>
      <c r="M941" s="4"/>
      <c r="N941" s="4"/>
      <c r="O941" s="5"/>
      <c r="P941" s="6"/>
      <c r="Q941" s="3"/>
      <c r="R941" s="2"/>
      <c r="S941" s="2"/>
      <c r="T941" s="2"/>
      <c r="U941" s="2"/>
      <c r="V941" s="3"/>
      <c r="W941" s="2"/>
      <c r="X941" s="2"/>
      <c r="Y941" s="2"/>
      <c r="Z941" s="2"/>
      <c r="AA941" s="3"/>
      <c r="AB941" s="2"/>
      <c r="AC941" s="2"/>
      <c r="AD941" s="2"/>
      <c r="AE941" s="2"/>
      <c r="AF941" s="3"/>
      <c r="AG941" s="2"/>
      <c r="AH941" s="2"/>
      <c r="AI941" s="2"/>
      <c r="AJ941" s="2"/>
      <c r="AK941" s="3"/>
      <c r="AL941" s="2"/>
      <c r="AM941" s="2"/>
      <c r="AN941" s="2"/>
      <c r="AO941" s="2"/>
      <c r="AP941" s="3"/>
      <c r="AQ941" s="2"/>
      <c r="AR941" s="2"/>
      <c r="AS941" s="2"/>
      <c r="AT941" s="7"/>
      <c r="AU941" s="2"/>
      <c r="AV941" s="2"/>
      <c r="AW941" s="2"/>
      <c r="AX941" s="2"/>
    </row>
    <row r="942">
      <c r="A942" s="2"/>
      <c r="B942" s="2"/>
      <c r="C942" s="2"/>
      <c r="D942" s="2"/>
      <c r="E942" s="2"/>
      <c r="F942" s="2"/>
      <c r="G942" s="2"/>
      <c r="H942" s="2"/>
      <c r="I942" s="2"/>
      <c r="J942" s="2"/>
      <c r="K942" s="2"/>
      <c r="L942" s="3"/>
      <c r="M942" s="4"/>
      <c r="N942" s="4"/>
      <c r="O942" s="5"/>
      <c r="P942" s="6"/>
      <c r="Q942" s="3"/>
      <c r="R942" s="2"/>
      <c r="S942" s="2"/>
      <c r="T942" s="2"/>
      <c r="U942" s="2"/>
      <c r="V942" s="3"/>
      <c r="W942" s="2"/>
      <c r="X942" s="2"/>
      <c r="Y942" s="2"/>
      <c r="Z942" s="2"/>
      <c r="AA942" s="3"/>
      <c r="AB942" s="2"/>
      <c r="AC942" s="2"/>
      <c r="AD942" s="2"/>
      <c r="AE942" s="2"/>
      <c r="AF942" s="3"/>
      <c r="AG942" s="2"/>
      <c r="AH942" s="2"/>
      <c r="AI942" s="2"/>
      <c r="AJ942" s="2"/>
      <c r="AK942" s="3"/>
      <c r="AL942" s="2"/>
      <c r="AM942" s="2"/>
      <c r="AN942" s="2"/>
      <c r="AO942" s="2"/>
      <c r="AP942" s="3"/>
      <c r="AQ942" s="2"/>
      <c r="AR942" s="2"/>
      <c r="AS942" s="2"/>
      <c r="AT942" s="7"/>
      <c r="AU942" s="2"/>
      <c r="AV942" s="2"/>
      <c r="AW942" s="2"/>
      <c r="AX942" s="2"/>
    </row>
    <row r="943">
      <c r="A943" s="2"/>
      <c r="B943" s="2"/>
      <c r="C943" s="2"/>
      <c r="D943" s="2"/>
      <c r="E943" s="2"/>
      <c r="F943" s="2"/>
      <c r="G943" s="2"/>
      <c r="H943" s="2"/>
      <c r="I943" s="2"/>
      <c r="J943" s="2"/>
      <c r="K943" s="2"/>
      <c r="L943" s="3"/>
      <c r="M943" s="4"/>
      <c r="N943" s="4"/>
      <c r="O943" s="5"/>
      <c r="P943" s="6"/>
      <c r="Q943" s="3"/>
      <c r="R943" s="2"/>
      <c r="S943" s="2"/>
      <c r="T943" s="2"/>
      <c r="U943" s="2"/>
      <c r="V943" s="3"/>
      <c r="W943" s="2"/>
      <c r="X943" s="2"/>
      <c r="Y943" s="2"/>
      <c r="Z943" s="2"/>
      <c r="AA943" s="3"/>
      <c r="AB943" s="2"/>
      <c r="AC943" s="2"/>
      <c r="AD943" s="2"/>
      <c r="AE943" s="2"/>
      <c r="AF943" s="3"/>
      <c r="AG943" s="2"/>
      <c r="AH943" s="2"/>
      <c r="AI943" s="2"/>
      <c r="AJ943" s="2"/>
      <c r="AK943" s="3"/>
      <c r="AL943" s="2"/>
      <c r="AM943" s="2"/>
      <c r="AN943" s="2"/>
      <c r="AO943" s="2"/>
      <c r="AP943" s="3"/>
      <c r="AQ943" s="2"/>
      <c r="AR943" s="2"/>
      <c r="AS943" s="2"/>
      <c r="AT943" s="7"/>
      <c r="AU943" s="2"/>
      <c r="AV943" s="2"/>
      <c r="AW943" s="2"/>
      <c r="AX943" s="2"/>
    </row>
    <row r="944">
      <c r="A944" s="2"/>
      <c r="B944" s="2"/>
      <c r="C944" s="2"/>
      <c r="D944" s="2"/>
      <c r="E944" s="2"/>
      <c r="F944" s="2"/>
      <c r="G944" s="2"/>
      <c r="H944" s="2"/>
      <c r="I944" s="2"/>
      <c r="J944" s="2"/>
      <c r="K944" s="2"/>
      <c r="L944" s="3"/>
      <c r="M944" s="4"/>
      <c r="N944" s="4"/>
      <c r="O944" s="5"/>
      <c r="P944" s="6"/>
      <c r="Q944" s="3"/>
      <c r="R944" s="2"/>
      <c r="S944" s="2"/>
      <c r="T944" s="2"/>
      <c r="U944" s="2"/>
      <c r="V944" s="3"/>
      <c r="W944" s="2"/>
      <c r="X944" s="2"/>
      <c r="Y944" s="2"/>
      <c r="Z944" s="2"/>
      <c r="AA944" s="3"/>
      <c r="AB944" s="2"/>
      <c r="AC944" s="2"/>
      <c r="AD944" s="2"/>
      <c r="AE944" s="2"/>
      <c r="AF944" s="3"/>
      <c r="AG944" s="2"/>
      <c r="AH944" s="2"/>
      <c r="AI944" s="2"/>
      <c r="AJ944" s="2"/>
      <c r="AK944" s="3"/>
      <c r="AL944" s="2"/>
      <c r="AM944" s="2"/>
      <c r="AN944" s="2"/>
      <c r="AO944" s="2"/>
      <c r="AP944" s="3"/>
      <c r="AQ944" s="2"/>
      <c r="AR944" s="2"/>
      <c r="AS944" s="2"/>
      <c r="AT944" s="7"/>
      <c r="AU944" s="2"/>
      <c r="AV944" s="2"/>
      <c r="AW944" s="2"/>
      <c r="AX944" s="2"/>
    </row>
    <row r="945">
      <c r="A945" s="2"/>
      <c r="B945" s="2"/>
      <c r="C945" s="2"/>
      <c r="D945" s="2"/>
      <c r="E945" s="2"/>
      <c r="F945" s="2"/>
      <c r="G945" s="2"/>
      <c r="H945" s="2"/>
      <c r="I945" s="2"/>
      <c r="J945" s="2"/>
      <c r="K945" s="2"/>
      <c r="L945" s="3"/>
      <c r="M945" s="4"/>
      <c r="N945" s="4"/>
      <c r="O945" s="5"/>
      <c r="P945" s="6"/>
      <c r="Q945" s="3"/>
      <c r="R945" s="2"/>
      <c r="S945" s="2"/>
      <c r="T945" s="2"/>
      <c r="U945" s="2"/>
      <c r="V945" s="3"/>
      <c r="W945" s="2"/>
      <c r="X945" s="2"/>
      <c r="Y945" s="2"/>
      <c r="Z945" s="2"/>
      <c r="AA945" s="3"/>
      <c r="AB945" s="2"/>
      <c r="AC945" s="2"/>
      <c r="AD945" s="2"/>
      <c r="AE945" s="2"/>
      <c r="AF945" s="3"/>
      <c r="AG945" s="2"/>
      <c r="AH945" s="2"/>
      <c r="AI945" s="2"/>
      <c r="AJ945" s="2"/>
      <c r="AK945" s="3"/>
      <c r="AL945" s="2"/>
      <c r="AM945" s="2"/>
      <c r="AN945" s="2"/>
      <c r="AO945" s="2"/>
      <c r="AP945" s="3"/>
      <c r="AQ945" s="2"/>
      <c r="AR945" s="2"/>
      <c r="AS945" s="2"/>
      <c r="AT945" s="7"/>
      <c r="AU945" s="2"/>
      <c r="AV945" s="2"/>
      <c r="AW945" s="2"/>
      <c r="AX945" s="2"/>
    </row>
    <row r="946">
      <c r="A946" s="2"/>
      <c r="B946" s="2"/>
      <c r="C946" s="2"/>
      <c r="D946" s="2"/>
      <c r="E946" s="2"/>
      <c r="F946" s="2"/>
      <c r="G946" s="2"/>
      <c r="H946" s="2"/>
      <c r="I946" s="2"/>
      <c r="J946" s="2"/>
      <c r="K946" s="2"/>
      <c r="L946" s="3"/>
      <c r="M946" s="4"/>
      <c r="N946" s="4"/>
      <c r="O946" s="5"/>
      <c r="P946" s="6"/>
      <c r="Q946" s="3"/>
      <c r="R946" s="2"/>
      <c r="S946" s="2"/>
      <c r="T946" s="2"/>
      <c r="U946" s="2"/>
      <c r="V946" s="3"/>
      <c r="W946" s="2"/>
      <c r="X946" s="2"/>
      <c r="Y946" s="2"/>
      <c r="Z946" s="2"/>
      <c r="AA946" s="3"/>
      <c r="AB946" s="2"/>
      <c r="AC946" s="2"/>
      <c r="AD946" s="2"/>
      <c r="AE946" s="2"/>
      <c r="AF946" s="3"/>
      <c r="AG946" s="2"/>
      <c r="AH946" s="2"/>
      <c r="AI946" s="2"/>
      <c r="AJ946" s="2"/>
      <c r="AK946" s="3"/>
      <c r="AL946" s="2"/>
      <c r="AM946" s="2"/>
      <c r="AN946" s="2"/>
      <c r="AO946" s="2"/>
      <c r="AP946" s="3"/>
      <c r="AQ946" s="2"/>
      <c r="AR946" s="2"/>
      <c r="AS946" s="2"/>
      <c r="AT946" s="7"/>
      <c r="AU946" s="2"/>
      <c r="AV946" s="2"/>
      <c r="AW946" s="2"/>
      <c r="AX946" s="2"/>
    </row>
    <row r="947">
      <c r="A947" s="2"/>
      <c r="B947" s="2"/>
      <c r="C947" s="2"/>
      <c r="D947" s="2"/>
      <c r="E947" s="2"/>
      <c r="F947" s="2"/>
      <c r="G947" s="2"/>
      <c r="H947" s="2"/>
      <c r="I947" s="2"/>
      <c r="J947" s="2"/>
      <c r="K947" s="2"/>
      <c r="L947" s="3"/>
      <c r="M947" s="4"/>
      <c r="N947" s="4"/>
      <c r="O947" s="5"/>
      <c r="P947" s="6"/>
      <c r="Q947" s="3"/>
      <c r="R947" s="2"/>
      <c r="S947" s="2"/>
      <c r="T947" s="2"/>
      <c r="U947" s="2"/>
      <c r="V947" s="3"/>
      <c r="W947" s="2"/>
      <c r="X947" s="2"/>
      <c r="Y947" s="2"/>
      <c r="Z947" s="2"/>
      <c r="AA947" s="3"/>
      <c r="AB947" s="2"/>
      <c r="AC947" s="2"/>
      <c r="AD947" s="2"/>
      <c r="AE947" s="2"/>
      <c r="AF947" s="3"/>
      <c r="AG947" s="2"/>
      <c r="AH947" s="2"/>
      <c r="AI947" s="2"/>
      <c r="AJ947" s="2"/>
      <c r="AK947" s="3"/>
      <c r="AL947" s="2"/>
      <c r="AM947" s="2"/>
      <c r="AN947" s="2"/>
      <c r="AO947" s="2"/>
      <c r="AP947" s="3"/>
      <c r="AQ947" s="2"/>
      <c r="AR947" s="2"/>
      <c r="AS947" s="2"/>
      <c r="AT947" s="7"/>
      <c r="AU947" s="2"/>
      <c r="AV947" s="2"/>
      <c r="AW947" s="2"/>
      <c r="AX947" s="2"/>
    </row>
    <row r="948">
      <c r="A948" s="2"/>
      <c r="B948" s="2"/>
      <c r="C948" s="2"/>
      <c r="D948" s="2"/>
      <c r="E948" s="2"/>
      <c r="F948" s="2"/>
      <c r="G948" s="2"/>
      <c r="H948" s="2"/>
      <c r="I948" s="2"/>
      <c r="J948" s="2"/>
      <c r="K948" s="2"/>
      <c r="L948" s="3"/>
      <c r="M948" s="4"/>
      <c r="N948" s="4"/>
      <c r="O948" s="5"/>
      <c r="P948" s="6"/>
      <c r="Q948" s="3"/>
      <c r="R948" s="2"/>
      <c r="S948" s="2"/>
      <c r="T948" s="2"/>
      <c r="U948" s="2"/>
      <c r="V948" s="3"/>
      <c r="W948" s="2"/>
      <c r="X948" s="2"/>
      <c r="Y948" s="2"/>
      <c r="Z948" s="2"/>
      <c r="AA948" s="3"/>
      <c r="AB948" s="2"/>
      <c r="AC948" s="2"/>
      <c r="AD948" s="2"/>
      <c r="AE948" s="2"/>
      <c r="AF948" s="3"/>
      <c r="AG948" s="2"/>
      <c r="AH948" s="2"/>
      <c r="AI948" s="2"/>
      <c r="AJ948" s="2"/>
      <c r="AK948" s="3"/>
      <c r="AL948" s="2"/>
      <c r="AM948" s="2"/>
      <c r="AN948" s="2"/>
      <c r="AO948" s="2"/>
      <c r="AP948" s="3"/>
      <c r="AQ948" s="2"/>
      <c r="AR948" s="2"/>
      <c r="AS948" s="2"/>
      <c r="AT948" s="7"/>
      <c r="AU948" s="2"/>
      <c r="AV948" s="2"/>
      <c r="AW948" s="2"/>
      <c r="AX948" s="2"/>
    </row>
    <row r="949">
      <c r="A949" s="2"/>
      <c r="B949" s="2"/>
      <c r="C949" s="2"/>
      <c r="D949" s="2"/>
      <c r="E949" s="2"/>
      <c r="F949" s="2"/>
      <c r="G949" s="2"/>
      <c r="H949" s="2"/>
      <c r="I949" s="2"/>
      <c r="J949" s="2"/>
      <c r="K949" s="2"/>
      <c r="L949" s="3"/>
      <c r="M949" s="4"/>
      <c r="N949" s="4"/>
      <c r="O949" s="5"/>
      <c r="P949" s="6"/>
      <c r="Q949" s="3"/>
      <c r="R949" s="2"/>
      <c r="S949" s="2"/>
      <c r="T949" s="2"/>
      <c r="U949" s="2"/>
      <c r="V949" s="3"/>
      <c r="W949" s="2"/>
      <c r="X949" s="2"/>
      <c r="Y949" s="2"/>
      <c r="Z949" s="2"/>
      <c r="AA949" s="3"/>
      <c r="AB949" s="2"/>
      <c r="AC949" s="2"/>
      <c r="AD949" s="2"/>
      <c r="AE949" s="2"/>
      <c r="AF949" s="3"/>
      <c r="AG949" s="2"/>
      <c r="AH949" s="2"/>
      <c r="AI949" s="2"/>
      <c r="AJ949" s="2"/>
      <c r="AK949" s="3"/>
      <c r="AL949" s="2"/>
      <c r="AM949" s="2"/>
      <c r="AN949" s="2"/>
      <c r="AO949" s="2"/>
      <c r="AP949" s="3"/>
      <c r="AQ949" s="2"/>
      <c r="AR949" s="2"/>
      <c r="AS949" s="2"/>
      <c r="AT949" s="7"/>
      <c r="AU949" s="2"/>
      <c r="AV949" s="2"/>
      <c r="AW949" s="2"/>
      <c r="AX949" s="2"/>
    </row>
    <row r="950">
      <c r="A950" s="2"/>
      <c r="B950" s="2"/>
      <c r="C950" s="2"/>
      <c r="D950" s="2"/>
      <c r="E950" s="2"/>
      <c r="F950" s="2"/>
      <c r="G950" s="2"/>
      <c r="H950" s="2"/>
      <c r="I950" s="2"/>
      <c r="J950" s="2"/>
      <c r="K950" s="2"/>
      <c r="L950" s="3"/>
      <c r="M950" s="4"/>
      <c r="N950" s="4"/>
      <c r="O950" s="5"/>
      <c r="P950" s="6"/>
      <c r="Q950" s="3"/>
      <c r="R950" s="2"/>
      <c r="S950" s="2"/>
      <c r="T950" s="2"/>
      <c r="U950" s="2"/>
      <c r="V950" s="3"/>
      <c r="W950" s="2"/>
      <c r="X950" s="2"/>
      <c r="Y950" s="2"/>
      <c r="Z950" s="2"/>
      <c r="AA950" s="3"/>
      <c r="AB950" s="2"/>
      <c r="AC950" s="2"/>
      <c r="AD950" s="2"/>
      <c r="AE950" s="2"/>
      <c r="AF950" s="3"/>
      <c r="AG950" s="2"/>
      <c r="AH950" s="2"/>
      <c r="AI950" s="2"/>
      <c r="AJ950" s="2"/>
      <c r="AK950" s="3"/>
      <c r="AL950" s="2"/>
      <c r="AM950" s="2"/>
      <c r="AN950" s="2"/>
      <c r="AO950" s="2"/>
      <c r="AP950" s="3"/>
      <c r="AQ950" s="2"/>
      <c r="AR950" s="2"/>
      <c r="AS950" s="2"/>
      <c r="AT950" s="7"/>
      <c r="AU950" s="2"/>
      <c r="AV950" s="2"/>
      <c r="AW950" s="2"/>
      <c r="AX950" s="2"/>
    </row>
    <row r="951">
      <c r="A951" s="2"/>
      <c r="B951" s="2"/>
      <c r="C951" s="2"/>
      <c r="D951" s="2"/>
      <c r="E951" s="2"/>
      <c r="F951" s="2"/>
      <c r="G951" s="2"/>
      <c r="H951" s="2"/>
      <c r="I951" s="2"/>
      <c r="J951" s="2"/>
      <c r="K951" s="2"/>
      <c r="L951" s="3"/>
      <c r="M951" s="4"/>
      <c r="N951" s="4"/>
      <c r="O951" s="5"/>
      <c r="P951" s="6"/>
      <c r="Q951" s="3"/>
      <c r="R951" s="2"/>
      <c r="S951" s="2"/>
      <c r="T951" s="2"/>
      <c r="U951" s="2"/>
      <c r="V951" s="3"/>
      <c r="W951" s="2"/>
      <c r="X951" s="2"/>
      <c r="Y951" s="2"/>
      <c r="Z951" s="2"/>
      <c r="AA951" s="3"/>
      <c r="AB951" s="2"/>
      <c r="AC951" s="2"/>
      <c r="AD951" s="2"/>
      <c r="AE951" s="2"/>
      <c r="AF951" s="3"/>
      <c r="AG951" s="2"/>
      <c r="AH951" s="2"/>
      <c r="AI951" s="2"/>
      <c r="AJ951" s="2"/>
      <c r="AK951" s="3"/>
      <c r="AL951" s="2"/>
      <c r="AM951" s="2"/>
      <c r="AN951" s="2"/>
      <c r="AO951" s="2"/>
      <c r="AP951" s="3"/>
      <c r="AQ951" s="2"/>
      <c r="AR951" s="2"/>
      <c r="AS951" s="2"/>
      <c r="AT951" s="7"/>
      <c r="AU951" s="2"/>
      <c r="AV951" s="2"/>
      <c r="AW951" s="2"/>
      <c r="AX951" s="2"/>
    </row>
    <row r="952">
      <c r="A952" s="2"/>
      <c r="B952" s="2"/>
      <c r="C952" s="2"/>
      <c r="D952" s="2"/>
      <c r="E952" s="2"/>
      <c r="F952" s="2"/>
      <c r="G952" s="2"/>
      <c r="H952" s="2"/>
      <c r="I952" s="2"/>
      <c r="J952" s="2"/>
      <c r="K952" s="2"/>
      <c r="L952" s="3"/>
      <c r="M952" s="4"/>
      <c r="N952" s="4"/>
      <c r="O952" s="5"/>
      <c r="P952" s="6"/>
      <c r="Q952" s="3"/>
      <c r="R952" s="2"/>
      <c r="S952" s="2"/>
      <c r="T952" s="2"/>
      <c r="U952" s="2"/>
      <c r="V952" s="3"/>
      <c r="W952" s="2"/>
      <c r="X952" s="2"/>
      <c r="Y952" s="2"/>
      <c r="Z952" s="2"/>
      <c r="AA952" s="3"/>
      <c r="AB952" s="2"/>
      <c r="AC952" s="2"/>
      <c r="AD952" s="2"/>
      <c r="AE952" s="2"/>
      <c r="AF952" s="3"/>
      <c r="AG952" s="2"/>
      <c r="AH952" s="2"/>
      <c r="AI952" s="2"/>
      <c r="AJ952" s="2"/>
      <c r="AK952" s="3"/>
      <c r="AL952" s="2"/>
      <c r="AM952" s="2"/>
      <c r="AN952" s="2"/>
      <c r="AO952" s="2"/>
      <c r="AP952" s="3"/>
      <c r="AQ952" s="2"/>
      <c r="AR952" s="2"/>
      <c r="AS952" s="2"/>
      <c r="AT952" s="7"/>
      <c r="AU952" s="2"/>
      <c r="AV952" s="2"/>
      <c r="AW952" s="2"/>
      <c r="AX952" s="2"/>
    </row>
    <row r="953">
      <c r="A953" s="2"/>
      <c r="B953" s="2"/>
      <c r="C953" s="2"/>
      <c r="D953" s="2"/>
      <c r="E953" s="2"/>
      <c r="F953" s="2"/>
      <c r="G953" s="2"/>
      <c r="H953" s="2"/>
      <c r="I953" s="2"/>
      <c r="J953" s="2"/>
      <c r="K953" s="2"/>
      <c r="L953" s="3"/>
      <c r="M953" s="4"/>
      <c r="N953" s="4"/>
      <c r="O953" s="5"/>
      <c r="P953" s="6"/>
      <c r="Q953" s="3"/>
      <c r="R953" s="2"/>
      <c r="S953" s="2"/>
      <c r="T953" s="2"/>
      <c r="U953" s="2"/>
      <c r="V953" s="3"/>
      <c r="W953" s="2"/>
      <c r="X953" s="2"/>
      <c r="Y953" s="2"/>
      <c r="Z953" s="2"/>
      <c r="AA953" s="3"/>
      <c r="AB953" s="2"/>
      <c r="AC953" s="2"/>
      <c r="AD953" s="2"/>
      <c r="AE953" s="2"/>
      <c r="AF953" s="3"/>
      <c r="AG953" s="2"/>
      <c r="AH953" s="2"/>
      <c r="AI953" s="2"/>
      <c r="AJ953" s="2"/>
      <c r="AK953" s="3"/>
      <c r="AL953" s="2"/>
      <c r="AM953" s="2"/>
      <c r="AN953" s="2"/>
      <c r="AO953" s="2"/>
      <c r="AP953" s="3"/>
      <c r="AQ953" s="2"/>
      <c r="AR953" s="2"/>
      <c r="AS953" s="2"/>
      <c r="AT953" s="7"/>
      <c r="AU953" s="2"/>
      <c r="AV953" s="2"/>
      <c r="AW953" s="2"/>
      <c r="AX953" s="2"/>
    </row>
    <row r="954">
      <c r="A954" s="2"/>
      <c r="B954" s="2"/>
      <c r="C954" s="2"/>
      <c r="D954" s="2"/>
      <c r="E954" s="2"/>
      <c r="F954" s="2"/>
      <c r="G954" s="2"/>
      <c r="H954" s="2"/>
      <c r="I954" s="2"/>
      <c r="J954" s="2"/>
      <c r="K954" s="2"/>
      <c r="L954" s="3"/>
      <c r="M954" s="4"/>
      <c r="N954" s="4"/>
      <c r="O954" s="5"/>
      <c r="P954" s="6"/>
      <c r="Q954" s="3"/>
      <c r="R954" s="2"/>
      <c r="S954" s="2"/>
      <c r="T954" s="2"/>
      <c r="U954" s="2"/>
      <c r="V954" s="3"/>
      <c r="W954" s="2"/>
      <c r="X954" s="2"/>
      <c r="Y954" s="2"/>
      <c r="Z954" s="2"/>
      <c r="AA954" s="3"/>
      <c r="AB954" s="2"/>
      <c r="AC954" s="2"/>
      <c r="AD954" s="2"/>
      <c r="AE954" s="2"/>
      <c r="AF954" s="3"/>
      <c r="AG954" s="2"/>
      <c r="AH954" s="2"/>
      <c r="AI954" s="2"/>
      <c r="AJ954" s="2"/>
      <c r="AK954" s="3"/>
      <c r="AL954" s="2"/>
      <c r="AM954" s="2"/>
      <c r="AN954" s="2"/>
      <c r="AO954" s="2"/>
      <c r="AP954" s="3"/>
      <c r="AQ954" s="2"/>
      <c r="AR954" s="2"/>
      <c r="AS954" s="2"/>
      <c r="AT954" s="7"/>
      <c r="AU954" s="2"/>
      <c r="AV954" s="2"/>
      <c r="AW954" s="2"/>
      <c r="AX954" s="2"/>
    </row>
    <row r="955">
      <c r="A955" s="2"/>
      <c r="B955" s="2"/>
      <c r="C955" s="2"/>
      <c r="D955" s="2"/>
      <c r="E955" s="2"/>
      <c r="F955" s="2"/>
      <c r="G955" s="2"/>
      <c r="H955" s="2"/>
      <c r="I955" s="2"/>
      <c r="J955" s="2"/>
      <c r="K955" s="2"/>
      <c r="L955" s="3"/>
      <c r="M955" s="4"/>
      <c r="N955" s="4"/>
      <c r="O955" s="5"/>
      <c r="P955" s="6"/>
      <c r="Q955" s="3"/>
      <c r="R955" s="2"/>
      <c r="S955" s="2"/>
      <c r="T955" s="2"/>
      <c r="U955" s="2"/>
      <c r="V955" s="3"/>
      <c r="W955" s="2"/>
      <c r="X955" s="2"/>
      <c r="Y955" s="2"/>
      <c r="Z955" s="2"/>
      <c r="AA955" s="3"/>
      <c r="AB955" s="2"/>
      <c r="AC955" s="2"/>
      <c r="AD955" s="2"/>
      <c r="AE955" s="2"/>
      <c r="AF955" s="3"/>
      <c r="AG955" s="2"/>
      <c r="AH955" s="2"/>
      <c r="AI955" s="2"/>
      <c r="AJ955" s="2"/>
      <c r="AK955" s="3"/>
      <c r="AL955" s="2"/>
      <c r="AM955" s="2"/>
      <c r="AN955" s="2"/>
      <c r="AO955" s="2"/>
      <c r="AP955" s="3"/>
      <c r="AQ955" s="2"/>
      <c r="AR955" s="2"/>
      <c r="AS955" s="2"/>
      <c r="AT955" s="7"/>
      <c r="AU955" s="2"/>
      <c r="AV955" s="2"/>
      <c r="AW955" s="2"/>
      <c r="AX955" s="2"/>
    </row>
    <row r="956">
      <c r="A956" s="2"/>
      <c r="B956" s="2"/>
      <c r="C956" s="2"/>
      <c r="D956" s="2"/>
      <c r="E956" s="2"/>
      <c r="F956" s="2"/>
      <c r="G956" s="2"/>
      <c r="H956" s="2"/>
      <c r="I956" s="2"/>
      <c r="J956" s="2"/>
      <c r="K956" s="2"/>
      <c r="L956" s="3"/>
      <c r="M956" s="4"/>
      <c r="N956" s="4"/>
      <c r="O956" s="5"/>
      <c r="P956" s="6"/>
      <c r="Q956" s="3"/>
      <c r="R956" s="2"/>
      <c r="S956" s="2"/>
      <c r="T956" s="2"/>
      <c r="U956" s="2"/>
      <c r="V956" s="3"/>
      <c r="W956" s="2"/>
      <c r="X956" s="2"/>
      <c r="Y956" s="2"/>
      <c r="Z956" s="2"/>
      <c r="AA956" s="3"/>
      <c r="AB956" s="2"/>
      <c r="AC956" s="2"/>
      <c r="AD956" s="2"/>
      <c r="AE956" s="2"/>
      <c r="AF956" s="3"/>
      <c r="AG956" s="2"/>
      <c r="AH956" s="2"/>
      <c r="AI956" s="2"/>
      <c r="AJ956" s="2"/>
      <c r="AK956" s="3"/>
      <c r="AL956" s="2"/>
      <c r="AM956" s="2"/>
      <c r="AN956" s="2"/>
      <c r="AO956" s="2"/>
      <c r="AP956" s="3"/>
      <c r="AQ956" s="2"/>
      <c r="AR956" s="2"/>
      <c r="AS956" s="2"/>
      <c r="AT956" s="7"/>
      <c r="AU956" s="2"/>
      <c r="AV956" s="2"/>
      <c r="AW956" s="2"/>
      <c r="AX956" s="2"/>
    </row>
    <row r="957">
      <c r="A957" s="2"/>
      <c r="B957" s="2"/>
      <c r="C957" s="2"/>
      <c r="D957" s="2"/>
      <c r="E957" s="2"/>
      <c r="F957" s="2"/>
      <c r="G957" s="2"/>
      <c r="H957" s="2"/>
      <c r="I957" s="2"/>
      <c r="J957" s="2"/>
      <c r="K957" s="2"/>
      <c r="L957" s="3"/>
      <c r="M957" s="4"/>
      <c r="N957" s="4"/>
      <c r="O957" s="5"/>
      <c r="P957" s="6"/>
      <c r="Q957" s="3"/>
      <c r="R957" s="2"/>
      <c r="S957" s="2"/>
      <c r="T957" s="2"/>
      <c r="U957" s="2"/>
      <c r="V957" s="3"/>
      <c r="W957" s="2"/>
      <c r="X957" s="2"/>
      <c r="Y957" s="2"/>
      <c r="Z957" s="2"/>
      <c r="AA957" s="3"/>
      <c r="AB957" s="2"/>
      <c r="AC957" s="2"/>
      <c r="AD957" s="2"/>
      <c r="AE957" s="2"/>
      <c r="AF957" s="3"/>
      <c r="AG957" s="2"/>
      <c r="AH957" s="2"/>
      <c r="AI957" s="2"/>
      <c r="AJ957" s="2"/>
      <c r="AK957" s="3"/>
      <c r="AL957" s="2"/>
      <c r="AM957" s="2"/>
      <c r="AN957" s="2"/>
      <c r="AO957" s="2"/>
      <c r="AP957" s="3"/>
      <c r="AQ957" s="2"/>
      <c r="AR957" s="2"/>
      <c r="AS957" s="2"/>
      <c r="AT957" s="7"/>
      <c r="AU957" s="2"/>
      <c r="AV957" s="2"/>
      <c r="AW957" s="2"/>
      <c r="AX957" s="2"/>
    </row>
    <row r="958">
      <c r="A958" s="2"/>
      <c r="B958" s="2"/>
      <c r="C958" s="2"/>
      <c r="D958" s="2"/>
      <c r="E958" s="2"/>
      <c r="F958" s="2"/>
      <c r="G958" s="2"/>
      <c r="H958" s="2"/>
      <c r="I958" s="2"/>
      <c r="J958" s="2"/>
      <c r="K958" s="2"/>
      <c r="L958" s="3"/>
      <c r="M958" s="4"/>
      <c r="N958" s="4"/>
      <c r="O958" s="5"/>
      <c r="P958" s="6"/>
      <c r="Q958" s="3"/>
      <c r="R958" s="2"/>
      <c r="S958" s="2"/>
      <c r="T958" s="2"/>
      <c r="U958" s="2"/>
      <c r="V958" s="3"/>
      <c r="W958" s="2"/>
      <c r="X958" s="2"/>
      <c r="Y958" s="2"/>
      <c r="Z958" s="2"/>
      <c r="AA958" s="3"/>
      <c r="AB958" s="2"/>
      <c r="AC958" s="2"/>
      <c r="AD958" s="2"/>
      <c r="AE958" s="2"/>
      <c r="AF958" s="3"/>
      <c r="AG958" s="2"/>
      <c r="AH958" s="2"/>
      <c r="AI958" s="2"/>
      <c r="AJ958" s="2"/>
      <c r="AK958" s="3"/>
      <c r="AL958" s="2"/>
      <c r="AM958" s="2"/>
      <c r="AN958" s="2"/>
      <c r="AO958" s="2"/>
      <c r="AP958" s="3"/>
      <c r="AQ958" s="2"/>
      <c r="AR958" s="2"/>
      <c r="AS958" s="2"/>
      <c r="AT958" s="7"/>
      <c r="AU958" s="2"/>
      <c r="AV958" s="2"/>
      <c r="AW958" s="2"/>
      <c r="AX958" s="2"/>
    </row>
    <row r="959">
      <c r="A959" s="2"/>
      <c r="B959" s="2"/>
      <c r="C959" s="2"/>
      <c r="D959" s="2"/>
      <c r="E959" s="2"/>
      <c r="F959" s="2"/>
      <c r="G959" s="2"/>
      <c r="H959" s="2"/>
      <c r="I959" s="2"/>
      <c r="J959" s="2"/>
      <c r="K959" s="2"/>
      <c r="L959" s="3"/>
      <c r="M959" s="4"/>
      <c r="N959" s="4"/>
      <c r="O959" s="5"/>
      <c r="P959" s="6"/>
      <c r="Q959" s="3"/>
      <c r="R959" s="2"/>
      <c r="S959" s="2"/>
      <c r="T959" s="2"/>
      <c r="U959" s="2"/>
      <c r="V959" s="3"/>
      <c r="W959" s="2"/>
      <c r="X959" s="2"/>
      <c r="Y959" s="2"/>
      <c r="Z959" s="2"/>
      <c r="AA959" s="3"/>
      <c r="AB959" s="2"/>
      <c r="AC959" s="2"/>
      <c r="AD959" s="2"/>
      <c r="AE959" s="2"/>
      <c r="AF959" s="3"/>
      <c r="AG959" s="2"/>
      <c r="AH959" s="2"/>
      <c r="AI959" s="2"/>
      <c r="AJ959" s="2"/>
      <c r="AK959" s="3"/>
      <c r="AL959" s="2"/>
      <c r="AM959" s="2"/>
      <c r="AN959" s="2"/>
      <c r="AO959" s="2"/>
      <c r="AP959" s="3"/>
      <c r="AQ959" s="2"/>
      <c r="AR959" s="2"/>
      <c r="AS959" s="2"/>
      <c r="AT959" s="7"/>
      <c r="AU959" s="2"/>
      <c r="AV959" s="2"/>
      <c r="AW959" s="2"/>
      <c r="AX959" s="2"/>
    </row>
    <row r="960">
      <c r="A960" s="2"/>
      <c r="B960" s="2"/>
      <c r="C960" s="2"/>
      <c r="D960" s="2"/>
      <c r="E960" s="2"/>
      <c r="F960" s="2"/>
      <c r="G960" s="2"/>
      <c r="H960" s="2"/>
      <c r="I960" s="2"/>
      <c r="J960" s="2"/>
      <c r="K960" s="2"/>
      <c r="L960" s="3"/>
      <c r="M960" s="4"/>
      <c r="N960" s="4"/>
      <c r="O960" s="5"/>
      <c r="P960" s="6"/>
      <c r="Q960" s="3"/>
      <c r="R960" s="2"/>
      <c r="S960" s="2"/>
      <c r="T960" s="2"/>
      <c r="U960" s="2"/>
      <c r="V960" s="3"/>
      <c r="W960" s="2"/>
      <c r="X960" s="2"/>
      <c r="Y960" s="2"/>
      <c r="Z960" s="2"/>
      <c r="AA960" s="3"/>
      <c r="AB960" s="2"/>
      <c r="AC960" s="2"/>
      <c r="AD960" s="2"/>
      <c r="AE960" s="2"/>
      <c r="AF960" s="3"/>
      <c r="AG960" s="2"/>
      <c r="AH960" s="2"/>
      <c r="AI960" s="2"/>
      <c r="AJ960" s="2"/>
      <c r="AK960" s="3"/>
      <c r="AL960" s="2"/>
      <c r="AM960" s="2"/>
      <c r="AN960" s="2"/>
      <c r="AO960" s="2"/>
      <c r="AP960" s="3"/>
      <c r="AQ960" s="2"/>
      <c r="AR960" s="2"/>
      <c r="AS960" s="2"/>
      <c r="AT960" s="7"/>
      <c r="AU960" s="2"/>
      <c r="AV960" s="2"/>
      <c r="AW960" s="2"/>
      <c r="AX960" s="2"/>
    </row>
    <row r="961">
      <c r="A961" s="2"/>
      <c r="B961" s="2"/>
      <c r="C961" s="2"/>
      <c r="D961" s="2"/>
      <c r="E961" s="2"/>
      <c r="F961" s="2"/>
      <c r="G961" s="2"/>
      <c r="H961" s="2"/>
      <c r="I961" s="2"/>
      <c r="J961" s="2"/>
      <c r="K961" s="2"/>
      <c r="L961" s="3"/>
      <c r="M961" s="4"/>
      <c r="N961" s="4"/>
      <c r="O961" s="5"/>
      <c r="P961" s="6"/>
      <c r="Q961" s="3"/>
      <c r="R961" s="2"/>
      <c r="S961" s="2"/>
      <c r="T961" s="2"/>
      <c r="U961" s="2"/>
      <c r="V961" s="3"/>
      <c r="W961" s="2"/>
      <c r="X961" s="2"/>
      <c r="Y961" s="2"/>
      <c r="Z961" s="2"/>
      <c r="AA961" s="3"/>
      <c r="AB961" s="2"/>
      <c r="AC961" s="2"/>
      <c r="AD961" s="2"/>
      <c r="AE961" s="2"/>
      <c r="AF961" s="3"/>
      <c r="AG961" s="2"/>
      <c r="AH961" s="2"/>
      <c r="AI961" s="2"/>
      <c r="AJ961" s="2"/>
      <c r="AK961" s="3"/>
      <c r="AL961" s="2"/>
      <c r="AM961" s="2"/>
      <c r="AN961" s="2"/>
      <c r="AO961" s="2"/>
      <c r="AP961" s="3"/>
      <c r="AQ961" s="2"/>
      <c r="AR961" s="2"/>
      <c r="AS961" s="2"/>
      <c r="AT961" s="7"/>
      <c r="AU961" s="2"/>
      <c r="AV961" s="2"/>
      <c r="AW961" s="2"/>
      <c r="AX961" s="2"/>
    </row>
    <row r="962">
      <c r="A962" s="2"/>
      <c r="B962" s="2"/>
      <c r="C962" s="2"/>
      <c r="D962" s="2"/>
      <c r="E962" s="2"/>
      <c r="F962" s="2"/>
      <c r="G962" s="2"/>
      <c r="H962" s="2"/>
      <c r="I962" s="2"/>
      <c r="J962" s="2"/>
      <c r="K962" s="2"/>
      <c r="L962" s="3"/>
      <c r="M962" s="4"/>
      <c r="N962" s="4"/>
      <c r="O962" s="5"/>
      <c r="P962" s="6"/>
      <c r="Q962" s="3"/>
      <c r="R962" s="2"/>
      <c r="S962" s="2"/>
      <c r="T962" s="2"/>
      <c r="U962" s="2"/>
      <c r="V962" s="3"/>
      <c r="W962" s="2"/>
      <c r="X962" s="2"/>
      <c r="Y962" s="2"/>
      <c r="Z962" s="2"/>
      <c r="AA962" s="3"/>
      <c r="AB962" s="2"/>
      <c r="AC962" s="2"/>
      <c r="AD962" s="2"/>
      <c r="AE962" s="2"/>
      <c r="AF962" s="3"/>
      <c r="AG962" s="2"/>
      <c r="AH962" s="2"/>
      <c r="AI962" s="2"/>
      <c r="AJ962" s="2"/>
      <c r="AK962" s="3"/>
      <c r="AL962" s="2"/>
      <c r="AM962" s="2"/>
      <c r="AN962" s="2"/>
      <c r="AO962" s="2"/>
      <c r="AP962" s="3"/>
      <c r="AQ962" s="2"/>
      <c r="AR962" s="2"/>
      <c r="AS962" s="2"/>
      <c r="AT962" s="7"/>
      <c r="AU962" s="2"/>
      <c r="AV962" s="2"/>
      <c r="AW962" s="2"/>
      <c r="AX962" s="2"/>
    </row>
    <row r="963">
      <c r="A963" s="2"/>
      <c r="B963" s="2"/>
      <c r="C963" s="2"/>
      <c r="D963" s="2"/>
      <c r="E963" s="2"/>
      <c r="F963" s="2"/>
      <c r="G963" s="2"/>
      <c r="H963" s="2"/>
      <c r="I963" s="2"/>
      <c r="J963" s="2"/>
      <c r="K963" s="2"/>
      <c r="L963" s="3"/>
      <c r="M963" s="4"/>
      <c r="N963" s="4"/>
      <c r="O963" s="5"/>
      <c r="P963" s="6"/>
      <c r="Q963" s="3"/>
      <c r="R963" s="2"/>
      <c r="S963" s="2"/>
      <c r="T963" s="2"/>
      <c r="U963" s="2"/>
      <c r="V963" s="3"/>
      <c r="W963" s="2"/>
      <c r="X963" s="2"/>
      <c r="Y963" s="2"/>
      <c r="Z963" s="2"/>
      <c r="AA963" s="3"/>
      <c r="AB963" s="2"/>
      <c r="AC963" s="2"/>
      <c r="AD963" s="2"/>
      <c r="AE963" s="2"/>
      <c r="AF963" s="3"/>
      <c r="AG963" s="2"/>
      <c r="AH963" s="2"/>
      <c r="AI963" s="2"/>
      <c r="AJ963" s="2"/>
      <c r="AK963" s="3"/>
      <c r="AL963" s="2"/>
      <c r="AM963" s="2"/>
      <c r="AN963" s="2"/>
      <c r="AO963" s="2"/>
      <c r="AP963" s="3"/>
      <c r="AQ963" s="2"/>
      <c r="AR963" s="2"/>
      <c r="AS963" s="2"/>
      <c r="AT963" s="7"/>
      <c r="AU963" s="2"/>
      <c r="AV963" s="2"/>
      <c r="AW963" s="2"/>
      <c r="AX963" s="2"/>
    </row>
    <row r="964">
      <c r="A964" s="2"/>
      <c r="B964" s="2"/>
      <c r="C964" s="2"/>
      <c r="D964" s="2"/>
      <c r="E964" s="2"/>
      <c r="F964" s="2"/>
      <c r="G964" s="2"/>
      <c r="H964" s="2"/>
      <c r="I964" s="2"/>
      <c r="J964" s="2"/>
      <c r="K964" s="2"/>
      <c r="L964" s="3"/>
      <c r="M964" s="4"/>
      <c r="N964" s="4"/>
      <c r="O964" s="5"/>
      <c r="P964" s="6"/>
      <c r="Q964" s="3"/>
      <c r="R964" s="2"/>
      <c r="S964" s="2"/>
      <c r="T964" s="2"/>
      <c r="U964" s="2"/>
      <c r="V964" s="3"/>
      <c r="W964" s="2"/>
      <c r="X964" s="2"/>
      <c r="Y964" s="2"/>
      <c r="Z964" s="2"/>
      <c r="AA964" s="3"/>
      <c r="AB964" s="2"/>
      <c r="AC964" s="2"/>
      <c r="AD964" s="2"/>
      <c r="AE964" s="2"/>
      <c r="AF964" s="3"/>
      <c r="AG964" s="2"/>
      <c r="AH964" s="2"/>
      <c r="AI964" s="2"/>
      <c r="AJ964" s="2"/>
      <c r="AK964" s="3"/>
      <c r="AL964" s="2"/>
      <c r="AM964" s="2"/>
      <c r="AN964" s="2"/>
      <c r="AO964" s="2"/>
      <c r="AP964" s="3"/>
      <c r="AQ964" s="2"/>
      <c r="AR964" s="2"/>
      <c r="AS964" s="2"/>
      <c r="AT964" s="7"/>
      <c r="AU964" s="2"/>
      <c r="AV964" s="2"/>
      <c r="AW964" s="2"/>
      <c r="AX964" s="2"/>
    </row>
    <row r="965">
      <c r="A965" s="2"/>
      <c r="B965" s="2"/>
      <c r="C965" s="2"/>
      <c r="D965" s="2"/>
      <c r="E965" s="2"/>
      <c r="F965" s="2"/>
      <c r="G965" s="2"/>
      <c r="H965" s="2"/>
      <c r="I965" s="2"/>
      <c r="J965" s="2"/>
      <c r="K965" s="2"/>
      <c r="L965" s="3"/>
      <c r="M965" s="4"/>
      <c r="N965" s="4"/>
      <c r="O965" s="5"/>
      <c r="P965" s="6"/>
      <c r="Q965" s="3"/>
      <c r="R965" s="2"/>
      <c r="S965" s="2"/>
      <c r="T965" s="2"/>
      <c r="U965" s="2"/>
      <c r="V965" s="3"/>
      <c r="W965" s="2"/>
      <c r="X965" s="2"/>
      <c r="Y965" s="2"/>
      <c r="Z965" s="2"/>
      <c r="AA965" s="3"/>
      <c r="AB965" s="2"/>
      <c r="AC965" s="2"/>
      <c r="AD965" s="2"/>
      <c r="AE965" s="2"/>
      <c r="AF965" s="3"/>
      <c r="AG965" s="2"/>
      <c r="AH965" s="2"/>
      <c r="AI965" s="2"/>
      <c r="AJ965" s="2"/>
      <c r="AK965" s="3"/>
      <c r="AL965" s="2"/>
      <c r="AM965" s="2"/>
      <c r="AN965" s="2"/>
      <c r="AO965" s="2"/>
      <c r="AP965" s="3"/>
      <c r="AQ965" s="2"/>
      <c r="AR965" s="2"/>
      <c r="AS965" s="2"/>
      <c r="AT965" s="7"/>
      <c r="AU965" s="2"/>
      <c r="AV965" s="2"/>
      <c r="AW965" s="2"/>
      <c r="AX965" s="2"/>
    </row>
    <row r="966">
      <c r="A966" s="2"/>
      <c r="B966" s="2"/>
      <c r="C966" s="2"/>
      <c r="D966" s="2"/>
      <c r="E966" s="2"/>
      <c r="F966" s="2"/>
      <c r="G966" s="2"/>
      <c r="H966" s="2"/>
      <c r="I966" s="2"/>
      <c r="J966" s="2"/>
      <c r="K966" s="2"/>
      <c r="L966" s="3"/>
      <c r="M966" s="4"/>
      <c r="N966" s="4"/>
      <c r="O966" s="5"/>
      <c r="P966" s="6"/>
      <c r="Q966" s="3"/>
      <c r="R966" s="2"/>
      <c r="S966" s="2"/>
      <c r="T966" s="2"/>
      <c r="U966" s="2"/>
      <c r="V966" s="3"/>
      <c r="W966" s="2"/>
      <c r="X966" s="2"/>
      <c r="Y966" s="2"/>
      <c r="Z966" s="2"/>
      <c r="AA966" s="3"/>
      <c r="AB966" s="2"/>
      <c r="AC966" s="2"/>
      <c r="AD966" s="2"/>
      <c r="AE966" s="2"/>
      <c r="AF966" s="3"/>
      <c r="AG966" s="2"/>
      <c r="AH966" s="2"/>
      <c r="AI966" s="2"/>
      <c r="AJ966" s="2"/>
      <c r="AK966" s="3"/>
      <c r="AL966" s="2"/>
      <c r="AM966" s="2"/>
      <c r="AN966" s="2"/>
      <c r="AO966" s="2"/>
      <c r="AP966" s="3"/>
      <c r="AQ966" s="2"/>
      <c r="AR966" s="2"/>
      <c r="AS966" s="2"/>
      <c r="AT966" s="7"/>
      <c r="AU966" s="2"/>
      <c r="AV966" s="2"/>
      <c r="AW966" s="2"/>
      <c r="AX966" s="2"/>
    </row>
    <row r="967">
      <c r="A967" s="2"/>
      <c r="B967" s="2"/>
      <c r="C967" s="2"/>
      <c r="D967" s="2"/>
      <c r="E967" s="2"/>
      <c r="F967" s="2"/>
      <c r="G967" s="2"/>
      <c r="H967" s="2"/>
      <c r="I967" s="2"/>
      <c r="J967" s="2"/>
      <c r="K967" s="2"/>
      <c r="L967" s="3"/>
      <c r="M967" s="4"/>
      <c r="N967" s="4"/>
      <c r="O967" s="5"/>
      <c r="P967" s="6"/>
      <c r="Q967" s="3"/>
      <c r="R967" s="2"/>
      <c r="S967" s="2"/>
      <c r="T967" s="2"/>
      <c r="U967" s="2"/>
      <c r="V967" s="3"/>
      <c r="W967" s="2"/>
      <c r="X967" s="2"/>
      <c r="Y967" s="2"/>
      <c r="Z967" s="2"/>
      <c r="AA967" s="3"/>
      <c r="AB967" s="2"/>
      <c r="AC967" s="2"/>
      <c r="AD967" s="2"/>
      <c r="AE967" s="2"/>
      <c r="AF967" s="3"/>
      <c r="AG967" s="2"/>
      <c r="AH967" s="2"/>
      <c r="AI967" s="2"/>
      <c r="AJ967" s="2"/>
      <c r="AK967" s="3"/>
      <c r="AL967" s="2"/>
      <c r="AM967" s="2"/>
      <c r="AN967" s="2"/>
      <c r="AO967" s="2"/>
      <c r="AP967" s="3"/>
      <c r="AQ967" s="2"/>
      <c r="AR967" s="2"/>
      <c r="AS967" s="2"/>
      <c r="AT967" s="7"/>
      <c r="AU967" s="2"/>
      <c r="AV967" s="2"/>
      <c r="AW967" s="2"/>
      <c r="AX967" s="2"/>
    </row>
    <row r="968">
      <c r="A968" s="2"/>
      <c r="B968" s="2"/>
      <c r="C968" s="2"/>
      <c r="D968" s="2"/>
      <c r="E968" s="2"/>
      <c r="F968" s="2"/>
      <c r="G968" s="2"/>
      <c r="H968" s="2"/>
      <c r="I968" s="2"/>
      <c r="J968" s="2"/>
      <c r="K968" s="2"/>
      <c r="L968" s="3"/>
      <c r="M968" s="4"/>
      <c r="N968" s="4"/>
      <c r="O968" s="5"/>
      <c r="P968" s="6"/>
      <c r="Q968" s="3"/>
      <c r="R968" s="2"/>
      <c r="S968" s="2"/>
      <c r="T968" s="2"/>
      <c r="U968" s="2"/>
      <c r="V968" s="3"/>
      <c r="W968" s="2"/>
      <c r="X968" s="2"/>
      <c r="Y968" s="2"/>
      <c r="Z968" s="2"/>
      <c r="AA968" s="3"/>
      <c r="AB968" s="2"/>
      <c r="AC968" s="2"/>
      <c r="AD968" s="2"/>
      <c r="AE968" s="2"/>
      <c r="AF968" s="3"/>
      <c r="AG968" s="2"/>
      <c r="AH968" s="2"/>
      <c r="AI968" s="2"/>
      <c r="AJ968" s="2"/>
      <c r="AK968" s="3"/>
      <c r="AL968" s="2"/>
      <c r="AM968" s="2"/>
      <c r="AN968" s="2"/>
      <c r="AO968" s="2"/>
      <c r="AP968" s="3"/>
      <c r="AQ968" s="2"/>
      <c r="AR968" s="2"/>
      <c r="AS968" s="2"/>
      <c r="AT968" s="7"/>
      <c r="AU968" s="2"/>
      <c r="AV968" s="2"/>
      <c r="AW968" s="2"/>
      <c r="AX968" s="2"/>
    </row>
    <row r="969">
      <c r="A969" s="2"/>
      <c r="B969" s="2"/>
      <c r="C969" s="2"/>
      <c r="D969" s="2"/>
      <c r="E969" s="2"/>
      <c r="F969" s="2"/>
      <c r="G969" s="2"/>
      <c r="H969" s="2"/>
      <c r="I969" s="2"/>
      <c r="J969" s="2"/>
      <c r="K969" s="2"/>
      <c r="L969" s="3"/>
      <c r="M969" s="4"/>
      <c r="N969" s="4"/>
      <c r="O969" s="5"/>
      <c r="P969" s="6"/>
      <c r="Q969" s="3"/>
      <c r="R969" s="2"/>
      <c r="S969" s="2"/>
      <c r="T969" s="2"/>
      <c r="U969" s="2"/>
      <c r="V969" s="3"/>
      <c r="W969" s="2"/>
      <c r="X969" s="2"/>
      <c r="Y969" s="2"/>
      <c r="Z969" s="2"/>
      <c r="AA969" s="3"/>
      <c r="AB969" s="2"/>
      <c r="AC969" s="2"/>
      <c r="AD969" s="2"/>
      <c r="AE969" s="2"/>
      <c r="AF969" s="3"/>
      <c r="AG969" s="2"/>
      <c r="AH969" s="2"/>
      <c r="AI969" s="2"/>
      <c r="AJ969" s="2"/>
      <c r="AK969" s="3"/>
      <c r="AL969" s="2"/>
      <c r="AM969" s="2"/>
      <c r="AN969" s="2"/>
      <c r="AO969" s="2"/>
      <c r="AP969" s="3"/>
      <c r="AQ969" s="2"/>
      <c r="AR969" s="2"/>
      <c r="AS969" s="2"/>
      <c r="AT969" s="7"/>
      <c r="AU969" s="2"/>
      <c r="AV969" s="2"/>
      <c r="AW969" s="2"/>
      <c r="AX969" s="2"/>
    </row>
    <row r="970">
      <c r="A970" s="2"/>
      <c r="B970" s="2"/>
      <c r="C970" s="2"/>
      <c r="D970" s="2"/>
      <c r="E970" s="2"/>
      <c r="F970" s="2"/>
      <c r="G970" s="2"/>
      <c r="H970" s="2"/>
      <c r="I970" s="2"/>
      <c r="J970" s="2"/>
      <c r="K970" s="2"/>
      <c r="L970" s="3"/>
      <c r="M970" s="4"/>
      <c r="N970" s="4"/>
      <c r="O970" s="5"/>
      <c r="P970" s="6"/>
      <c r="Q970" s="3"/>
      <c r="R970" s="2"/>
      <c r="S970" s="2"/>
      <c r="T970" s="2"/>
      <c r="U970" s="2"/>
      <c r="V970" s="3"/>
      <c r="W970" s="2"/>
      <c r="X970" s="2"/>
      <c r="Y970" s="2"/>
      <c r="Z970" s="2"/>
      <c r="AA970" s="3"/>
      <c r="AB970" s="2"/>
      <c r="AC970" s="2"/>
      <c r="AD970" s="2"/>
      <c r="AE970" s="2"/>
      <c r="AF970" s="3"/>
      <c r="AG970" s="2"/>
      <c r="AH970" s="2"/>
      <c r="AI970" s="2"/>
      <c r="AJ970" s="2"/>
      <c r="AK970" s="3"/>
      <c r="AL970" s="2"/>
      <c r="AM970" s="2"/>
      <c r="AN970" s="2"/>
      <c r="AO970" s="2"/>
      <c r="AP970" s="3"/>
      <c r="AQ970" s="2"/>
      <c r="AR970" s="2"/>
      <c r="AS970" s="2"/>
      <c r="AT970" s="7"/>
      <c r="AU970" s="2"/>
      <c r="AV970" s="2"/>
      <c r="AW970" s="2"/>
      <c r="AX970" s="2"/>
    </row>
    <row r="971">
      <c r="A971" s="2"/>
      <c r="B971" s="2"/>
      <c r="C971" s="2"/>
      <c r="D971" s="2"/>
      <c r="E971" s="2"/>
      <c r="F971" s="2"/>
      <c r="G971" s="2"/>
      <c r="H971" s="2"/>
      <c r="I971" s="2"/>
      <c r="J971" s="2"/>
      <c r="K971" s="2"/>
      <c r="L971" s="3"/>
      <c r="M971" s="4"/>
      <c r="N971" s="4"/>
      <c r="O971" s="5"/>
      <c r="P971" s="6"/>
      <c r="Q971" s="3"/>
      <c r="R971" s="2"/>
      <c r="S971" s="2"/>
      <c r="T971" s="2"/>
      <c r="U971" s="2"/>
      <c r="V971" s="3"/>
      <c r="W971" s="2"/>
      <c r="X971" s="2"/>
      <c r="Y971" s="2"/>
      <c r="Z971" s="2"/>
      <c r="AA971" s="3"/>
      <c r="AB971" s="2"/>
      <c r="AC971" s="2"/>
      <c r="AD971" s="2"/>
      <c r="AE971" s="2"/>
      <c r="AF971" s="3"/>
      <c r="AG971" s="2"/>
      <c r="AH971" s="2"/>
      <c r="AI971" s="2"/>
      <c r="AJ971" s="2"/>
      <c r="AK971" s="3"/>
      <c r="AL971" s="2"/>
      <c r="AM971" s="2"/>
      <c r="AN971" s="2"/>
      <c r="AO971" s="2"/>
      <c r="AP971" s="3"/>
      <c r="AQ971" s="2"/>
      <c r="AR971" s="2"/>
      <c r="AS971" s="2"/>
      <c r="AT971" s="7"/>
      <c r="AU971" s="2"/>
      <c r="AV971" s="2"/>
      <c r="AW971" s="2"/>
      <c r="AX971" s="2"/>
    </row>
    <row r="972">
      <c r="A972" s="2"/>
      <c r="B972" s="2"/>
      <c r="C972" s="2"/>
      <c r="D972" s="2"/>
      <c r="E972" s="2"/>
      <c r="F972" s="2"/>
      <c r="G972" s="2"/>
      <c r="H972" s="2"/>
      <c r="I972" s="2"/>
      <c r="J972" s="2"/>
      <c r="K972" s="2"/>
      <c r="L972" s="3"/>
      <c r="M972" s="4"/>
      <c r="N972" s="4"/>
      <c r="O972" s="5"/>
      <c r="P972" s="6"/>
      <c r="Q972" s="3"/>
      <c r="R972" s="2"/>
      <c r="S972" s="2"/>
      <c r="T972" s="2"/>
      <c r="U972" s="2"/>
      <c r="V972" s="3"/>
      <c r="W972" s="2"/>
      <c r="X972" s="2"/>
      <c r="Y972" s="2"/>
      <c r="Z972" s="2"/>
      <c r="AA972" s="3"/>
      <c r="AB972" s="2"/>
      <c r="AC972" s="2"/>
      <c r="AD972" s="2"/>
      <c r="AE972" s="2"/>
      <c r="AF972" s="3"/>
      <c r="AG972" s="2"/>
      <c r="AH972" s="2"/>
      <c r="AI972" s="2"/>
      <c r="AJ972" s="2"/>
      <c r="AK972" s="3"/>
      <c r="AL972" s="2"/>
      <c r="AM972" s="2"/>
      <c r="AN972" s="2"/>
      <c r="AO972" s="2"/>
      <c r="AP972" s="3"/>
      <c r="AQ972" s="2"/>
      <c r="AR972" s="2"/>
      <c r="AS972" s="2"/>
      <c r="AT972" s="7"/>
      <c r="AU972" s="2"/>
      <c r="AV972" s="2"/>
      <c r="AW972" s="2"/>
      <c r="AX972" s="2"/>
    </row>
    <row r="973">
      <c r="A973" s="2"/>
      <c r="B973" s="2"/>
      <c r="C973" s="2"/>
      <c r="D973" s="2"/>
      <c r="E973" s="2"/>
      <c r="F973" s="2"/>
      <c r="G973" s="2"/>
      <c r="H973" s="2"/>
      <c r="I973" s="2"/>
      <c r="J973" s="2"/>
      <c r="K973" s="2"/>
      <c r="L973" s="3"/>
      <c r="M973" s="4"/>
      <c r="N973" s="4"/>
      <c r="O973" s="5"/>
      <c r="P973" s="6"/>
      <c r="Q973" s="3"/>
      <c r="R973" s="2"/>
      <c r="S973" s="2"/>
      <c r="T973" s="2"/>
      <c r="U973" s="2"/>
      <c r="V973" s="3"/>
      <c r="W973" s="2"/>
      <c r="X973" s="2"/>
      <c r="Y973" s="2"/>
      <c r="Z973" s="2"/>
      <c r="AA973" s="3"/>
      <c r="AB973" s="2"/>
      <c r="AC973" s="2"/>
      <c r="AD973" s="2"/>
      <c r="AE973" s="2"/>
      <c r="AF973" s="3"/>
      <c r="AG973" s="2"/>
      <c r="AH973" s="2"/>
      <c r="AI973" s="2"/>
      <c r="AJ973" s="2"/>
      <c r="AK973" s="3"/>
      <c r="AL973" s="2"/>
      <c r="AM973" s="2"/>
      <c r="AN973" s="2"/>
      <c r="AO973" s="2"/>
      <c r="AP973" s="3"/>
      <c r="AQ973" s="2"/>
      <c r="AR973" s="2"/>
      <c r="AS973" s="2"/>
      <c r="AT973" s="7"/>
      <c r="AU973" s="2"/>
      <c r="AV973" s="2"/>
      <c r="AW973" s="2"/>
      <c r="AX973" s="2"/>
    </row>
    <row r="974">
      <c r="A974" s="2"/>
      <c r="B974" s="2"/>
      <c r="C974" s="2"/>
      <c r="D974" s="2"/>
      <c r="E974" s="2"/>
      <c r="F974" s="2"/>
      <c r="G974" s="2"/>
      <c r="H974" s="2"/>
      <c r="I974" s="2"/>
      <c r="J974" s="2"/>
      <c r="K974" s="2"/>
      <c r="L974" s="3"/>
      <c r="M974" s="4"/>
      <c r="N974" s="4"/>
      <c r="O974" s="5"/>
      <c r="P974" s="6"/>
      <c r="Q974" s="3"/>
      <c r="R974" s="2"/>
      <c r="S974" s="2"/>
      <c r="T974" s="2"/>
      <c r="U974" s="2"/>
      <c r="V974" s="3"/>
      <c r="W974" s="2"/>
      <c r="X974" s="2"/>
      <c r="Y974" s="2"/>
      <c r="Z974" s="2"/>
      <c r="AA974" s="3"/>
      <c r="AB974" s="2"/>
      <c r="AC974" s="2"/>
      <c r="AD974" s="2"/>
      <c r="AE974" s="2"/>
      <c r="AF974" s="3"/>
      <c r="AG974" s="2"/>
      <c r="AH974" s="2"/>
      <c r="AI974" s="2"/>
      <c r="AJ974" s="2"/>
      <c r="AK974" s="3"/>
      <c r="AL974" s="2"/>
      <c r="AM974" s="2"/>
      <c r="AN974" s="2"/>
      <c r="AO974" s="2"/>
      <c r="AP974" s="3"/>
      <c r="AQ974" s="2"/>
      <c r="AR974" s="2"/>
      <c r="AS974" s="2"/>
      <c r="AT974" s="7"/>
      <c r="AU974" s="2"/>
      <c r="AV974" s="2"/>
      <c r="AW974" s="2"/>
      <c r="AX974" s="2"/>
    </row>
    <row r="975">
      <c r="A975" s="2"/>
      <c r="B975" s="2"/>
      <c r="C975" s="2"/>
      <c r="D975" s="2"/>
      <c r="E975" s="2"/>
      <c r="F975" s="2"/>
      <c r="G975" s="2"/>
      <c r="H975" s="2"/>
      <c r="I975" s="2"/>
      <c r="J975" s="2"/>
      <c r="K975" s="2"/>
      <c r="L975" s="3"/>
      <c r="M975" s="4"/>
      <c r="N975" s="4"/>
      <c r="O975" s="5"/>
      <c r="P975" s="6"/>
      <c r="Q975" s="3"/>
      <c r="R975" s="2"/>
      <c r="S975" s="2"/>
      <c r="T975" s="2"/>
      <c r="U975" s="2"/>
      <c r="V975" s="3"/>
      <c r="W975" s="2"/>
      <c r="X975" s="2"/>
      <c r="Y975" s="2"/>
      <c r="Z975" s="2"/>
      <c r="AA975" s="3"/>
      <c r="AB975" s="2"/>
      <c r="AC975" s="2"/>
      <c r="AD975" s="2"/>
      <c r="AE975" s="2"/>
      <c r="AF975" s="3"/>
      <c r="AG975" s="2"/>
      <c r="AH975" s="2"/>
      <c r="AI975" s="2"/>
      <c r="AJ975" s="2"/>
      <c r="AK975" s="3"/>
      <c r="AL975" s="2"/>
      <c r="AM975" s="2"/>
      <c r="AN975" s="2"/>
      <c r="AO975" s="2"/>
      <c r="AP975" s="3"/>
      <c r="AQ975" s="2"/>
      <c r="AR975" s="2"/>
      <c r="AS975" s="2"/>
      <c r="AT975" s="7"/>
      <c r="AU975" s="2"/>
      <c r="AV975" s="2"/>
      <c r="AW975" s="2"/>
      <c r="AX975" s="2"/>
    </row>
    <row r="976">
      <c r="A976" s="2"/>
      <c r="B976" s="2"/>
      <c r="C976" s="2"/>
      <c r="D976" s="2"/>
      <c r="E976" s="2"/>
      <c r="F976" s="2"/>
      <c r="G976" s="2"/>
      <c r="H976" s="2"/>
      <c r="I976" s="2"/>
      <c r="J976" s="2"/>
      <c r="K976" s="2"/>
      <c r="L976" s="3"/>
      <c r="M976" s="4"/>
      <c r="N976" s="4"/>
      <c r="O976" s="5"/>
      <c r="P976" s="6"/>
      <c r="Q976" s="3"/>
      <c r="R976" s="2"/>
      <c r="S976" s="2"/>
      <c r="T976" s="2"/>
      <c r="U976" s="2"/>
      <c r="V976" s="3"/>
      <c r="W976" s="2"/>
      <c r="X976" s="2"/>
      <c r="Y976" s="2"/>
      <c r="Z976" s="2"/>
      <c r="AA976" s="3"/>
      <c r="AB976" s="2"/>
      <c r="AC976" s="2"/>
      <c r="AD976" s="2"/>
      <c r="AE976" s="2"/>
      <c r="AF976" s="3"/>
      <c r="AG976" s="2"/>
      <c r="AH976" s="2"/>
      <c r="AI976" s="2"/>
      <c r="AJ976" s="2"/>
      <c r="AK976" s="3"/>
      <c r="AL976" s="2"/>
      <c r="AM976" s="2"/>
      <c r="AN976" s="2"/>
      <c r="AO976" s="2"/>
      <c r="AP976" s="3"/>
      <c r="AQ976" s="2"/>
      <c r="AR976" s="2"/>
      <c r="AS976" s="2"/>
      <c r="AT976" s="7"/>
      <c r="AU976" s="2"/>
      <c r="AV976" s="2"/>
      <c r="AW976" s="2"/>
      <c r="AX976" s="2"/>
    </row>
    <row r="977">
      <c r="A977" s="2"/>
      <c r="B977" s="2"/>
      <c r="C977" s="2"/>
      <c r="D977" s="2"/>
      <c r="E977" s="2"/>
      <c r="F977" s="2"/>
      <c r="G977" s="2"/>
      <c r="H977" s="2"/>
      <c r="I977" s="2"/>
      <c r="J977" s="2"/>
      <c r="K977" s="2"/>
      <c r="L977" s="3"/>
      <c r="M977" s="4"/>
      <c r="N977" s="4"/>
      <c r="O977" s="5"/>
      <c r="P977" s="6"/>
      <c r="Q977" s="3"/>
      <c r="R977" s="2"/>
      <c r="S977" s="2"/>
      <c r="T977" s="2"/>
      <c r="U977" s="2"/>
      <c r="V977" s="3"/>
      <c r="W977" s="2"/>
      <c r="X977" s="2"/>
      <c r="Y977" s="2"/>
      <c r="Z977" s="2"/>
      <c r="AA977" s="3"/>
      <c r="AB977" s="2"/>
      <c r="AC977" s="2"/>
      <c r="AD977" s="2"/>
      <c r="AE977" s="2"/>
      <c r="AF977" s="3"/>
      <c r="AG977" s="2"/>
      <c r="AH977" s="2"/>
      <c r="AI977" s="2"/>
      <c r="AJ977" s="2"/>
      <c r="AK977" s="3"/>
      <c r="AL977" s="2"/>
      <c r="AM977" s="2"/>
      <c r="AN977" s="2"/>
      <c r="AO977" s="2"/>
      <c r="AP977" s="3"/>
      <c r="AQ977" s="2"/>
      <c r="AR977" s="2"/>
      <c r="AS977" s="2"/>
      <c r="AT977" s="7"/>
      <c r="AU977" s="2"/>
      <c r="AV977" s="2"/>
      <c r="AW977" s="2"/>
      <c r="AX977" s="2"/>
    </row>
    <row r="978">
      <c r="A978" s="2"/>
      <c r="B978" s="2"/>
      <c r="C978" s="2"/>
      <c r="D978" s="2"/>
      <c r="E978" s="2"/>
      <c r="F978" s="2"/>
      <c r="G978" s="2"/>
      <c r="H978" s="2"/>
      <c r="I978" s="2"/>
      <c r="J978" s="2"/>
      <c r="K978" s="2"/>
      <c r="L978" s="3"/>
      <c r="M978" s="4"/>
      <c r="N978" s="4"/>
      <c r="O978" s="5"/>
      <c r="P978" s="6"/>
      <c r="Q978" s="3"/>
      <c r="R978" s="2"/>
      <c r="S978" s="2"/>
      <c r="T978" s="2"/>
      <c r="U978" s="2"/>
      <c r="V978" s="3"/>
      <c r="W978" s="2"/>
      <c r="X978" s="2"/>
      <c r="Y978" s="2"/>
      <c r="Z978" s="2"/>
      <c r="AA978" s="3"/>
      <c r="AB978" s="2"/>
      <c r="AC978" s="2"/>
      <c r="AD978" s="2"/>
      <c r="AE978" s="2"/>
      <c r="AF978" s="3"/>
      <c r="AG978" s="2"/>
      <c r="AH978" s="2"/>
      <c r="AI978" s="2"/>
      <c r="AJ978" s="2"/>
      <c r="AK978" s="3"/>
      <c r="AL978" s="2"/>
      <c r="AM978" s="2"/>
      <c r="AN978" s="2"/>
      <c r="AO978" s="2"/>
      <c r="AP978" s="3"/>
      <c r="AQ978" s="2"/>
      <c r="AR978" s="2"/>
      <c r="AS978" s="2"/>
      <c r="AT978" s="7"/>
      <c r="AU978" s="2"/>
      <c r="AV978" s="2"/>
      <c r="AW978" s="2"/>
      <c r="AX978" s="2"/>
    </row>
    <row r="979">
      <c r="A979" s="2"/>
      <c r="B979" s="2"/>
      <c r="C979" s="2"/>
      <c r="D979" s="2"/>
      <c r="E979" s="2"/>
      <c r="F979" s="2"/>
      <c r="G979" s="2"/>
      <c r="H979" s="2"/>
      <c r="I979" s="2"/>
      <c r="J979" s="2"/>
      <c r="K979" s="2"/>
      <c r="L979" s="3"/>
      <c r="M979" s="4"/>
      <c r="N979" s="4"/>
      <c r="O979" s="5"/>
      <c r="P979" s="6"/>
      <c r="Q979" s="3"/>
      <c r="R979" s="2"/>
      <c r="S979" s="2"/>
      <c r="T979" s="2"/>
      <c r="U979" s="2"/>
      <c r="V979" s="3"/>
      <c r="W979" s="2"/>
      <c r="X979" s="2"/>
      <c r="Y979" s="2"/>
      <c r="Z979" s="2"/>
      <c r="AA979" s="3"/>
      <c r="AB979" s="2"/>
      <c r="AC979" s="2"/>
      <c r="AD979" s="2"/>
      <c r="AE979" s="2"/>
      <c r="AF979" s="3"/>
      <c r="AG979" s="2"/>
      <c r="AH979" s="2"/>
      <c r="AI979" s="2"/>
      <c r="AJ979" s="2"/>
      <c r="AK979" s="3"/>
      <c r="AL979" s="2"/>
      <c r="AM979" s="2"/>
      <c r="AN979" s="2"/>
      <c r="AO979" s="2"/>
      <c r="AP979" s="3"/>
      <c r="AQ979" s="2"/>
      <c r="AR979" s="2"/>
      <c r="AS979" s="2"/>
      <c r="AT979" s="7"/>
      <c r="AU979" s="2"/>
      <c r="AV979" s="2"/>
      <c r="AW979" s="2"/>
      <c r="AX979" s="2"/>
    </row>
    <row r="980">
      <c r="A980" s="2"/>
      <c r="B980" s="2"/>
      <c r="C980" s="2"/>
      <c r="D980" s="2"/>
      <c r="E980" s="2"/>
      <c r="F980" s="2"/>
      <c r="G980" s="2"/>
      <c r="H980" s="2"/>
      <c r="I980" s="2"/>
      <c r="J980" s="2"/>
      <c r="K980" s="2"/>
      <c r="L980" s="3"/>
      <c r="M980" s="4"/>
      <c r="N980" s="4"/>
      <c r="O980" s="5"/>
      <c r="P980" s="6"/>
      <c r="Q980" s="3"/>
      <c r="R980" s="2"/>
      <c r="S980" s="2"/>
      <c r="T980" s="2"/>
      <c r="U980" s="2"/>
      <c r="V980" s="3"/>
      <c r="W980" s="2"/>
      <c r="X980" s="2"/>
      <c r="Y980" s="2"/>
      <c r="Z980" s="2"/>
      <c r="AA980" s="3"/>
      <c r="AB980" s="2"/>
      <c r="AC980" s="2"/>
      <c r="AD980" s="2"/>
      <c r="AE980" s="2"/>
      <c r="AF980" s="3"/>
      <c r="AG980" s="2"/>
      <c r="AH980" s="2"/>
      <c r="AI980" s="2"/>
      <c r="AJ980" s="2"/>
      <c r="AK980" s="3"/>
      <c r="AL980" s="2"/>
      <c r="AM980" s="2"/>
      <c r="AN980" s="2"/>
      <c r="AO980" s="2"/>
      <c r="AP980" s="3"/>
      <c r="AQ980" s="2"/>
      <c r="AR980" s="2"/>
      <c r="AS980" s="2"/>
      <c r="AT980" s="7"/>
      <c r="AU980" s="2"/>
      <c r="AV980" s="2"/>
      <c r="AW980" s="2"/>
      <c r="AX980" s="2"/>
    </row>
    <row r="981">
      <c r="A981" s="2"/>
      <c r="B981" s="2"/>
      <c r="C981" s="2"/>
      <c r="D981" s="2"/>
      <c r="E981" s="2"/>
      <c r="F981" s="2"/>
      <c r="G981" s="2"/>
      <c r="H981" s="2"/>
      <c r="I981" s="2"/>
      <c r="J981" s="2"/>
      <c r="K981" s="2"/>
      <c r="L981" s="3"/>
      <c r="M981" s="4"/>
      <c r="N981" s="4"/>
      <c r="O981" s="5"/>
      <c r="P981" s="6"/>
      <c r="Q981" s="3"/>
      <c r="R981" s="2"/>
      <c r="S981" s="2"/>
      <c r="T981" s="2"/>
      <c r="U981" s="2"/>
      <c r="V981" s="3"/>
      <c r="W981" s="2"/>
      <c r="X981" s="2"/>
      <c r="Y981" s="2"/>
      <c r="Z981" s="2"/>
      <c r="AA981" s="3"/>
      <c r="AB981" s="2"/>
      <c r="AC981" s="2"/>
      <c r="AD981" s="2"/>
      <c r="AE981" s="2"/>
      <c r="AF981" s="3"/>
      <c r="AG981" s="2"/>
      <c r="AH981" s="2"/>
      <c r="AI981" s="2"/>
      <c r="AJ981" s="2"/>
      <c r="AK981" s="3"/>
      <c r="AL981" s="2"/>
      <c r="AM981" s="2"/>
      <c r="AN981" s="2"/>
      <c r="AO981" s="2"/>
      <c r="AP981" s="3"/>
      <c r="AQ981" s="2"/>
      <c r="AR981" s="2"/>
      <c r="AS981" s="2"/>
      <c r="AT981" s="7"/>
      <c r="AU981" s="2"/>
      <c r="AV981" s="2"/>
      <c r="AW981" s="2"/>
      <c r="AX981" s="2"/>
    </row>
    <row r="982">
      <c r="A982" s="2"/>
      <c r="B982" s="2"/>
      <c r="C982" s="2"/>
      <c r="D982" s="2"/>
      <c r="E982" s="2"/>
      <c r="F982" s="2"/>
      <c r="G982" s="2"/>
      <c r="H982" s="2"/>
      <c r="I982" s="2"/>
      <c r="J982" s="2"/>
      <c r="K982" s="2"/>
      <c r="L982" s="3"/>
      <c r="M982" s="4"/>
      <c r="N982" s="4"/>
      <c r="O982" s="5"/>
      <c r="P982" s="6"/>
      <c r="Q982" s="3"/>
      <c r="R982" s="2"/>
      <c r="S982" s="2"/>
      <c r="T982" s="2"/>
      <c r="U982" s="2"/>
      <c r="V982" s="3"/>
      <c r="W982" s="2"/>
      <c r="X982" s="2"/>
      <c r="Y982" s="2"/>
      <c r="Z982" s="2"/>
      <c r="AA982" s="3"/>
      <c r="AB982" s="2"/>
      <c r="AC982" s="2"/>
      <c r="AD982" s="2"/>
      <c r="AE982" s="2"/>
      <c r="AF982" s="3"/>
      <c r="AG982" s="2"/>
      <c r="AH982" s="2"/>
      <c r="AI982" s="2"/>
      <c r="AJ982" s="2"/>
      <c r="AK982" s="3"/>
      <c r="AL982" s="2"/>
      <c r="AM982" s="2"/>
      <c r="AN982" s="2"/>
      <c r="AO982" s="2"/>
      <c r="AP982" s="3"/>
      <c r="AQ982" s="2"/>
      <c r="AR982" s="2"/>
      <c r="AS982" s="2"/>
      <c r="AT982" s="7"/>
      <c r="AU982" s="2"/>
      <c r="AV982" s="2"/>
      <c r="AW982" s="2"/>
      <c r="AX982" s="2"/>
    </row>
    <row r="983">
      <c r="A983" s="2"/>
      <c r="B983" s="2"/>
      <c r="C983" s="2"/>
      <c r="D983" s="2"/>
      <c r="E983" s="2"/>
      <c r="F983" s="2"/>
      <c r="G983" s="2"/>
      <c r="H983" s="2"/>
      <c r="I983" s="2"/>
      <c r="J983" s="2"/>
      <c r="K983" s="2"/>
      <c r="L983" s="3"/>
      <c r="M983" s="4"/>
      <c r="N983" s="4"/>
      <c r="O983" s="5"/>
      <c r="P983" s="6"/>
      <c r="Q983" s="3"/>
      <c r="R983" s="2"/>
      <c r="S983" s="2"/>
      <c r="T983" s="2"/>
      <c r="U983" s="2"/>
      <c r="V983" s="3"/>
      <c r="W983" s="2"/>
      <c r="X983" s="2"/>
      <c r="Y983" s="2"/>
      <c r="Z983" s="2"/>
      <c r="AA983" s="3"/>
      <c r="AB983" s="2"/>
      <c r="AC983" s="2"/>
      <c r="AD983" s="2"/>
      <c r="AE983" s="2"/>
      <c r="AF983" s="3"/>
      <c r="AG983" s="2"/>
      <c r="AH983" s="2"/>
      <c r="AI983" s="2"/>
      <c r="AJ983" s="2"/>
      <c r="AK983" s="3"/>
      <c r="AL983" s="2"/>
      <c r="AM983" s="2"/>
      <c r="AN983" s="2"/>
      <c r="AO983" s="2"/>
      <c r="AP983" s="3"/>
      <c r="AQ983" s="2"/>
      <c r="AR983" s="2"/>
      <c r="AS983" s="2"/>
      <c r="AT983" s="7"/>
      <c r="AU983" s="2"/>
      <c r="AV983" s="2"/>
      <c r="AW983" s="2"/>
      <c r="AX983" s="2"/>
    </row>
    <row r="984">
      <c r="A984" s="2"/>
      <c r="B984" s="2"/>
      <c r="C984" s="2"/>
      <c r="D984" s="2"/>
      <c r="E984" s="2"/>
      <c r="F984" s="2"/>
      <c r="G984" s="2"/>
      <c r="H984" s="2"/>
      <c r="I984" s="2"/>
      <c r="J984" s="2"/>
      <c r="K984" s="2"/>
      <c r="L984" s="3"/>
      <c r="M984" s="4"/>
      <c r="N984" s="4"/>
      <c r="O984" s="5"/>
      <c r="P984" s="6"/>
      <c r="Q984" s="3"/>
      <c r="R984" s="2"/>
      <c r="S984" s="2"/>
      <c r="T984" s="2"/>
      <c r="U984" s="2"/>
      <c r="V984" s="3"/>
      <c r="W984" s="2"/>
      <c r="X984" s="2"/>
      <c r="Y984" s="2"/>
      <c r="Z984" s="2"/>
      <c r="AA984" s="3"/>
      <c r="AB984" s="2"/>
      <c r="AC984" s="2"/>
      <c r="AD984" s="2"/>
      <c r="AE984" s="2"/>
      <c r="AF984" s="3"/>
      <c r="AG984" s="2"/>
      <c r="AH984" s="2"/>
      <c r="AI984" s="2"/>
      <c r="AJ984" s="2"/>
      <c r="AK984" s="3"/>
      <c r="AL984" s="2"/>
      <c r="AM984" s="2"/>
      <c r="AN984" s="2"/>
      <c r="AO984" s="2"/>
      <c r="AP984" s="3"/>
      <c r="AQ984" s="2"/>
      <c r="AR984" s="2"/>
      <c r="AS984" s="2"/>
      <c r="AT984" s="7"/>
      <c r="AU984" s="2"/>
      <c r="AV984" s="2"/>
      <c r="AW984" s="2"/>
      <c r="AX984" s="2"/>
    </row>
    <row r="985">
      <c r="A985" s="2"/>
      <c r="B985" s="2"/>
      <c r="C985" s="2"/>
      <c r="D985" s="2"/>
      <c r="E985" s="2"/>
      <c r="F985" s="2"/>
      <c r="G985" s="2"/>
      <c r="H985" s="2"/>
      <c r="I985" s="2"/>
      <c r="J985" s="2"/>
      <c r="K985" s="2"/>
      <c r="L985" s="3"/>
      <c r="M985" s="4"/>
      <c r="N985" s="4"/>
      <c r="O985" s="5"/>
      <c r="P985" s="6"/>
      <c r="Q985" s="3"/>
      <c r="R985" s="2"/>
      <c r="S985" s="2"/>
      <c r="T985" s="2"/>
      <c r="U985" s="2"/>
      <c r="V985" s="3"/>
      <c r="W985" s="2"/>
      <c r="X985" s="2"/>
      <c r="Y985" s="2"/>
      <c r="Z985" s="2"/>
      <c r="AA985" s="3"/>
      <c r="AB985" s="2"/>
      <c r="AC985" s="2"/>
      <c r="AD985" s="2"/>
      <c r="AE985" s="2"/>
      <c r="AF985" s="3"/>
      <c r="AG985" s="2"/>
      <c r="AH985" s="2"/>
      <c r="AI985" s="2"/>
      <c r="AJ985" s="2"/>
      <c r="AK985" s="3"/>
      <c r="AL985" s="2"/>
      <c r="AM985" s="2"/>
      <c r="AN985" s="2"/>
      <c r="AO985" s="2"/>
      <c r="AP985" s="3"/>
      <c r="AQ985" s="2"/>
      <c r="AR985" s="2"/>
      <c r="AS985" s="2"/>
      <c r="AT985" s="7"/>
      <c r="AU985" s="2"/>
      <c r="AV985" s="2"/>
      <c r="AW985" s="2"/>
      <c r="AX985" s="2"/>
    </row>
    <row r="986">
      <c r="A986" s="2"/>
      <c r="B986" s="2"/>
      <c r="C986" s="2"/>
      <c r="D986" s="2"/>
      <c r="E986" s="2"/>
      <c r="F986" s="2"/>
      <c r="G986" s="2"/>
      <c r="H986" s="2"/>
      <c r="I986" s="2"/>
      <c r="J986" s="2"/>
      <c r="K986" s="2"/>
      <c r="L986" s="3"/>
      <c r="M986" s="4"/>
      <c r="N986" s="4"/>
      <c r="O986" s="5"/>
      <c r="P986" s="6"/>
      <c r="Q986" s="3"/>
      <c r="R986" s="2"/>
      <c r="S986" s="2"/>
      <c r="T986" s="2"/>
      <c r="U986" s="2"/>
      <c r="V986" s="3"/>
      <c r="W986" s="2"/>
      <c r="X986" s="2"/>
      <c r="Y986" s="2"/>
      <c r="Z986" s="2"/>
      <c r="AA986" s="3"/>
      <c r="AB986" s="2"/>
      <c r="AC986" s="2"/>
      <c r="AD986" s="2"/>
      <c r="AE986" s="2"/>
      <c r="AF986" s="3"/>
      <c r="AG986" s="2"/>
      <c r="AH986" s="2"/>
      <c r="AI986" s="2"/>
      <c r="AJ986" s="2"/>
      <c r="AK986" s="3"/>
      <c r="AL986" s="2"/>
      <c r="AM986" s="2"/>
      <c r="AN986" s="2"/>
      <c r="AO986" s="2"/>
      <c r="AP986" s="3"/>
      <c r="AQ986" s="2"/>
      <c r="AR986" s="2"/>
      <c r="AS986" s="2"/>
      <c r="AT986" s="7"/>
      <c r="AU986" s="2"/>
      <c r="AV986" s="2"/>
      <c r="AW986" s="2"/>
      <c r="AX986" s="2"/>
    </row>
    <row r="987">
      <c r="A987" s="2"/>
      <c r="B987" s="2"/>
      <c r="C987" s="2"/>
      <c r="D987" s="2"/>
      <c r="E987" s="2"/>
      <c r="F987" s="2"/>
      <c r="G987" s="2"/>
      <c r="H987" s="2"/>
      <c r="I987" s="2"/>
      <c r="J987" s="2"/>
      <c r="K987" s="2"/>
      <c r="L987" s="3"/>
      <c r="M987" s="4"/>
      <c r="N987" s="4"/>
      <c r="O987" s="5"/>
      <c r="P987" s="6"/>
      <c r="Q987" s="3"/>
      <c r="R987" s="2"/>
      <c r="S987" s="2"/>
      <c r="T987" s="2"/>
      <c r="U987" s="2"/>
      <c r="V987" s="3"/>
      <c r="W987" s="2"/>
      <c r="X987" s="2"/>
      <c r="Y987" s="2"/>
      <c r="Z987" s="2"/>
      <c r="AA987" s="3"/>
      <c r="AB987" s="2"/>
      <c r="AC987" s="2"/>
      <c r="AD987" s="2"/>
      <c r="AE987" s="2"/>
      <c r="AF987" s="3"/>
      <c r="AG987" s="2"/>
      <c r="AH987" s="2"/>
      <c r="AI987" s="2"/>
      <c r="AJ987" s="2"/>
      <c r="AK987" s="3"/>
      <c r="AL987" s="2"/>
      <c r="AM987" s="2"/>
      <c r="AN987" s="2"/>
      <c r="AO987" s="2"/>
      <c r="AP987" s="3"/>
      <c r="AQ987" s="2"/>
      <c r="AR987" s="2"/>
      <c r="AS987" s="2"/>
      <c r="AT987" s="7"/>
      <c r="AU987" s="2"/>
      <c r="AV987" s="2"/>
      <c r="AW987" s="2"/>
      <c r="AX987" s="2"/>
    </row>
    <row r="988">
      <c r="A988" s="2"/>
      <c r="B988" s="2"/>
      <c r="C988" s="2"/>
      <c r="D988" s="2"/>
      <c r="E988" s="2"/>
      <c r="F988" s="2"/>
      <c r="G988" s="2"/>
      <c r="H988" s="2"/>
      <c r="I988" s="2"/>
      <c r="J988" s="2"/>
      <c r="K988" s="2"/>
      <c r="L988" s="3"/>
      <c r="M988" s="4"/>
      <c r="N988" s="4"/>
      <c r="O988" s="5"/>
      <c r="P988" s="6"/>
      <c r="Q988" s="3"/>
      <c r="R988" s="2"/>
      <c r="S988" s="2"/>
      <c r="T988" s="2"/>
      <c r="U988" s="2"/>
      <c r="V988" s="3"/>
      <c r="W988" s="2"/>
      <c r="X988" s="2"/>
      <c r="Y988" s="2"/>
      <c r="Z988" s="2"/>
      <c r="AA988" s="3"/>
      <c r="AB988" s="2"/>
      <c r="AC988" s="2"/>
      <c r="AD988" s="2"/>
      <c r="AE988" s="2"/>
      <c r="AF988" s="3"/>
      <c r="AG988" s="2"/>
      <c r="AH988" s="2"/>
      <c r="AI988" s="2"/>
      <c r="AJ988" s="2"/>
      <c r="AK988" s="3"/>
      <c r="AL988" s="2"/>
      <c r="AM988" s="2"/>
      <c r="AN988" s="2"/>
      <c r="AO988" s="2"/>
      <c r="AP988" s="3"/>
      <c r="AQ988" s="2"/>
      <c r="AR988" s="2"/>
      <c r="AS988" s="2"/>
      <c r="AT988" s="7"/>
      <c r="AU988" s="2"/>
      <c r="AV988" s="2"/>
      <c r="AW988" s="2"/>
      <c r="AX988" s="2"/>
    </row>
    <row r="989">
      <c r="A989" s="2"/>
      <c r="B989" s="2"/>
      <c r="C989" s="2"/>
      <c r="D989" s="2"/>
      <c r="E989" s="2"/>
      <c r="F989" s="2"/>
      <c r="G989" s="2"/>
      <c r="H989" s="2"/>
      <c r="I989" s="2"/>
      <c r="J989" s="2"/>
      <c r="K989" s="2"/>
      <c r="L989" s="3"/>
      <c r="M989" s="4"/>
      <c r="N989" s="4"/>
      <c r="O989" s="5"/>
      <c r="P989" s="6"/>
      <c r="Q989" s="3"/>
      <c r="R989" s="2"/>
      <c r="S989" s="2"/>
      <c r="T989" s="2"/>
      <c r="U989" s="2"/>
      <c r="V989" s="3"/>
      <c r="W989" s="2"/>
      <c r="X989" s="2"/>
      <c r="Y989" s="2"/>
      <c r="Z989" s="2"/>
      <c r="AA989" s="3"/>
      <c r="AB989" s="2"/>
      <c r="AC989" s="2"/>
      <c r="AD989" s="2"/>
      <c r="AE989" s="2"/>
      <c r="AF989" s="3"/>
      <c r="AG989" s="2"/>
      <c r="AH989" s="2"/>
      <c r="AI989" s="2"/>
      <c r="AJ989" s="2"/>
      <c r="AK989" s="3"/>
      <c r="AL989" s="2"/>
      <c r="AM989" s="2"/>
      <c r="AN989" s="2"/>
      <c r="AO989" s="2"/>
      <c r="AP989" s="3"/>
      <c r="AQ989" s="2"/>
      <c r="AR989" s="2"/>
      <c r="AS989" s="2"/>
      <c r="AT989" s="7"/>
      <c r="AU989" s="2"/>
      <c r="AV989" s="2"/>
      <c r="AW989" s="2"/>
      <c r="AX989" s="2"/>
    </row>
    <row r="990">
      <c r="A990" s="2"/>
      <c r="B990" s="2"/>
      <c r="C990" s="2"/>
      <c r="D990" s="2"/>
      <c r="E990" s="2"/>
      <c r="F990" s="2"/>
      <c r="G990" s="2"/>
      <c r="H990" s="2"/>
      <c r="I990" s="2"/>
      <c r="J990" s="2"/>
      <c r="K990" s="2"/>
      <c r="L990" s="3"/>
      <c r="M990" s="4"/>
      <c r="N990" s="4"/>
      <c r="O990" s="5"/>
      <c r="P990" s="6"/>
      <c r="Q990" s="3"/>
      <c r="R990" s="2"/>
      <c r="S990" s="2"/>
      <c r="T990" s="2"/>
      <c r="U990" s="2"/>
      <c r="V990" s="3"/>
      <c r="W990" s="2"/>
      <c r="X990" s="2"/>
      <c r="Y990" s="2"/>
      <c r="Z990" s="2"/>
      <c r="AA990" s="3"/>
      <c r="AB990" s="2"/>
      <c r="AC990" s="2"/>
      <c r="AD990" s="2"/>
      <c r="AE990" s="2"/>
      <c r="AF990" s="3"/>
      <c r="AG990" s="2"/>
      <c r="AH990" s="2"/>
      <c r="AI990" s="2"/>
      <c r="AJ990" s="2"/>
      <c r="AK990" s="3"/>
      <c r="AL990" s="2"/>
      <c r="AM990" s="2"/>
      <c r="AN990" s="2"/>
      <c r="AO990" s="2"/>
      <c r="AP990" s="3"/>
      <c r="AQ990" s="2"/>
      <c r="AR990" s="2"/>
      <c r="AS990" s="2"/>
      <c r="AT990" s="7"/>
      <c r="AU990" s="2"/>
      <c r="AV990" s="2"/>
      <c r="AW990" s="2"/>
      <c r="AX990" s="2"/>
    </row>
    <row r="991">
      <c r="A991" s="2"/>
      <c r="B991" s="2"/>
      <c r="C991" s="2"/>
      <c r="D991" s="2"/>
      <c r="E991" s="2"/>
      <c r="F991" s="2"/>
      <c r="G991" s="2"/>
      <c r="H991" s="2"/>
      <c r="I991" s="2"/>
      <c r="J991" s="2"/>
      <c r="K991" s="2"/>
      <c r="L991" s="3"/>
      <c r="M991" s="4"/>
      <c r="N991" s="4"/>
      <c r="O991" s="5"/>
      <c r="P991" s="6"/>
      <c r="Q991" s="3"/>
      <c r="R991" s="2"/>
      <c r="S991" s="2"/>
      <c r="T991" s="2"/>
      <c r="U991" s="2"/>
      <c r="V991" s="3"/>
      <c r="W991" s="2"/>
      <c r="X991" s="2"/>
      <c r="Y991" s="2"/>
      <c r="Z991" s="2"/>
      <c r="AA991" s="3"/>
      <c r="AB991" s="2"/>
      <c r="AC991" s="2"/>
      <c r="AD991" s="2"/>
      <c r="AE991" s="2"/>
      <c r="AF991" s="3"/>
      <c r="AG991" s="2"/>
      <c r="AH991" s="2"/>
      <c r="AI991" s="2"/>
      <c r="AJ991" s="2"/>
      <c r="AK991" s="3"/>
      <c r="AL991" s="2"/>
      <c r="AM991" s="2"/>
      <c r="AN991" s="2"/>
      <c r="AO991" s="2"/>
      <c r="AP991" s="3"/>
      <c r="AQ991" s="2"/>
      <c r="AR991" s="2"/>
      <c r="AS991" s="2"/>
      <c r="AT991" s="7"/>
      <c r="AU991" s="2"/>
      <c r="AV991" s="2"/>
      <c r="AW991" s="2"/>
      <c r="AX991" s="2"/>
    </row>
    <row r="992">
      <c r="A992" s="2"/>
      <c r="B992" s="2"/>
      <c r="C992" s="2"/>
      <c r="D992" s="2"/>
      <c r="E992" s="2"/>
      <c r="F992" s="2"/>
      <c r="G992" s="2"/>
      <c r="H992" s="2"/>
      <c r="I992" s="2"/>
      <c r="J992" s="2"/>
      <c r="K992" s="2"/>
      <c r="L992" s="3"/>
      <c r="M992" s="4"/>
      <c r="N992" s="4"/>
      <c r="O992" s="5"/>
      <c r="P992" s="6"/>
      <c r="Q992" s="3"/>
      <c r="R992" s="2"/>
      <c r="S992" s="2"/>
      <c r="T992" s="2"/>
      <c r="U992" s="2"/>
      <c r="V992" s="3"/>
      <c r="W992" s="2"/>
      <c r="X992" s="2"/>
      <c r="Y992" s="2"/>
      <c r="Z992" s="2"/>
      <c r="AA992" s="3"/>
      <c r="AB992" s="2"/>
      <c r="AC992" s="2"/>
      <c r="AD992" s="2"/>
      <c r="AE992" s="2"/>
      <c r="AF992" s="3"/>
      <c r="AG992" s="2"/>
      <c r="AH992" s="2"/>
      <c r="AI992" s="2"/>
      <c r="AJ992" s="2"/>
      <c r="AK992" s="3"/>
      <c r="AL992" s="2"/>
      <c r="AM992" s="2"/>
      <c r="AN992" s="2"/>
      <c r="AO992" s="2"/>
      <c r="AP992" s="3"/>
      <c r="AQ992" s="2"/>
      <c r="AR992" s="2"/>
      <c r="AS992" s="2"/>
      <c r="AT992" s="7"/>
      <c r="AU992" s="2"/>
      <c r="AV992" s="2"/>
      <c r="AW992" s="2"/>
      <c r="AX992" s="2"/>
    </row>
    <row r="993">
      <c r="A993" s="2"/>
      <c r="B993" s="2"/>
      <c r="C993" s="2"/>
      <c r="D993" s="2"/>
      <c r="E993" s="2"/>
      <c r="F993" s="2"/>
      <c r="G993" s="2"/>
      <c r="H993" s="2"/>
      <c r="I993" s="2"/>
      <c r="J993" s="2"/>
      <c r="K993" s="2"/>
      <c r="L993" s="3"/>
      <c r="M993" s="4"/>
      <c r="N993" s="4"/>
      <c r="O993" s="5"/>
      <c r="P993" s="6"/>
      <c r="Q993" s="3"/>
      <c r="R993" s="2"/>
      <c r="S993" s="2"/>
      <c r="T993" s="2"/>
      <c r="U993" s="2"/>
      <c r="V993" s="3"/>
      <c r="W993" s="2"/>
      <c r="X993" s="2"/>
      <c r="Y993" s="2"/>
      <c r="Z993" s="2"/>
      <c r="AA993" s="3"/>
      <c r="AB993" s="2"/>
      <c r="AC993" s="2"/>
      <c r="AD993" s="2"/>
      <c r="AE993" s="2"/>
      <c r="AF993" s="3"/>
      <c r="AG993" s="2"/>
      <c r="AH993" s="2"/>
      <c r="AI993" s="2"/>
      <c r="AJ993" s="2"/>
      <c r="AK993" s="3"/>
      <c r="AL993" s="2"/>
      <c r="AM993" s="2"/>
      <c r="AN993" s="2"/>
      <c r="AO993" s="2"/>
      <c r="AP993" s="3"/>
      <c r="AQ993" s="2"/>
      <c r="AR993" s="2"/>
      <c r="AS993" s="2"/>
      <c r="AT993" s="7"/>
      <c r="AU993" s="2"/>
      <c r="AV993" s="2"/>
      <c r="AW993" s="2"/>
      <c r="AX993" s="2"/>
    </row>
    <row r="994">
      <c r="A994" s="2"/>
      <c r="B994" s="2"/>
      <c r="C994" s="2"/>
      <c r="D994" s="2"/>
      <c r="E994" s="2"/>
      <c r="F994" s="2"/>
      <c r="G994" s="2"/>
      <c r="H994" s="2"/>
      <c r="I994" s="2"/>
      <c r="J994" s="2"/>
      <c r="K994" s="2"/>
      <c r="L994" s="3"/>
      <c r="M994" s="4"/>
      <c r="N994" s="4"/>
      <c r="O994" s="5"/>
      <c r="P994" s="6"/>
      <c r="Q994" s="3"/>
      <c r="R994" s="2"/>
      <c r="S994" s="2"/>
      <c r="T994" s="2"/>
      <c r="U994" s="2"/>
      <c r="V994" s="3"/>
      <c r="W994" s="2"/>
      <c r="X994" s="2"/>
      <c r="Y994" s="2"/>
      <c r="Z994" s="2"/>
      <c r="AA994" s="3"/>
      <c r="AB994" s="2"/>
      <c r="AC994" s="2"/>
      <c r="AD994" s="2"/>
      <c r="AE994" s="2"/>
      <c r="AF994" s="3"/>
      <c r="AG994" s="2"/>
      <c r="AH994" s="2"/>
      <c r="AI994" s="2"/>
      <c r="AJ994" s="2"/>
      <c r="AK994" s="3"/>
      <c r="AL994" s="2"/>
      <c r="AM994" s="2"/>
      <c r="AN994" s="2"/>
      <c r="AO994" s="2"/>
      <c r="AP994" s="3"/>
      <c r="AQ994" s="2"/>
      <c r="AR994" s="2"/>
      <c r="AS994" s="2"/>
      <c r="AT994" s="7"/>
      <c r="AU994" s="2"/>
      <c r="AV994" s="2"/>
      <c r="AW994" s="2"/>
      <c r="AX994" s="2"/>
    </row>
    <row r="995">
      <c r="A995" s="2"/>
      <c r="B995" s="2"/>
      <c r="C995" s="2"/>
      <c r="D995" s="2"/>
      <c r="E995" s="2"/>
      <c r="F995" s="2"/>
      <c r="G995" s="2"/>
      <c r="H995" s="2"/>
      <c r="I995" s="2"/>
      <c r="J995" s="2"/>
      <c r="K995" s="2"/>
      <c r="L995" s="3"/>
      <c r="M995" s="4"/>
      <c r="N995" s="4"/>
      <c r="O995" s="5"/>
      <c r="P995" s="6"/>
      <c r="Q995" s="3"/>
      <c r="R995" s="2"/>
      <c r="S995" s="2"/>
      <c r="T995" s="2"/>
      <c r="U995" s="2"/>
      <c r="V995" s="3"/>
      <c r="W995" s="2"/>
      <c r="X995" s="2"/>
      <c r="Y995" s="2"/>
      <c r="Z995" s="2"/>
      <c r="AA995" s="3"/>
      <c r="AB995" s="2"/>
      <c r="AC995" s="2"/>
      <c r="AD995" s="2"/>
      <c r="AE995" s="2"/>
      <c r="AF995" s="3"/>
      <c r="AG995" s="2"/>
      <c r="AH995" s="2"/>
      <c r="AI995" s="2"/>
      <c r="AJ995" s="2"/>
      <c r="AK995" s="3"/>
      <c r="AL995" s="2"/>
      <c r="AM995" s="2"/>
      <c r="AN995" s="2"/>
      <c r="AO995" s="2"/>
      <c r="AP995" s="3"/>
      <c r="AQ995" s="2"/>
      <c r="AR995" s="2"/>
      <c r="AS995" s="2"/>
      <c r="AT995" s="7"/>
      <c r="AU995" s="2"/>
      <c r="AV995" s="2"/>
      <c r="AW995" s="2"/>
      <c r="AX995" s="2"/>
    </row>
    <row r="996">
      <c r="A996" s="2"/>
      <c r="B996" s="2"/>
      <c r="C996" s="2"/>
      <c r="D996" s="2"/>
      <c r="E996" s="2"/>
      <c r="F996" s="2"/>
      <c r="G996" s="2"/>
      <c r="H996" s="2"/>
      <c r="I996" s="2"/>
      <c r="J996" s="2"/>
      <c r="K996" s="2"/>
      <c r="L996" s="3"/>
      <c r="M996" s="4"/>
      <c r="N996" s="4"/>
      <c r="O996" s="5"/>
      <c r="P996" s="6"/>
      <c r="Q996" s="3"/>
      <c r="R996" s="2"/>
      <c r="S996" s="2"/>
      <c r="T996" s="2"/>
      <c r="U996" s="2"/>
      <c r="V996" s="3"/>
      <c r="W996" s="2"/>
      <c r="X996" s="2"/>
      <c r="Y996" s="2"/>
      <c r="Z996" s="2"/>
      <c r="AA996" s="3"/>
      <c r="AB996" s="2"/>
      <c r="AC996" s="2"/>
      <c r="AD996" s="2"/>
      <c r="AE996" s="2"/>
      <c r="AF996" s="3"/>
      <c r="AG996" s="2"/>
      <c r="AH996" s="2"/>
      <c r="AI996" s="2"/>
      <c r="AJ996" s="2"/>
      <c r="AK996" s="3"/>
      <c r="AL996" s="2"/>
      <c r="AM996" s="2"/>
      <c r="AN996" s="2"/>
      <c r="AO996" s="2"/>
      <c r="AP996" s="3"/>
      <c r="AQ996" s="2"/>
      <c r="AR996" s="2"/>
      <c r="AS996" s="2"/>
      <c r="AT996" s="7"/>
      <c r="AU996" s="2"/>
      <c r="AV996" s="2"/>
      <c r="AW996" s="2"/>
      <c r="AX996" s="2"/>
    </row>
    <row r="997">
      <c r="A997" s="2"/>
      <c r="B997" s="2"/>
      <c r="C997" s="2"/>
      <c r="D997" s="2"/>
      <c r="E997" s="2"/>
      <c r="F997" s="2"/>
      <c r="G997" s="2"/>
      <c r="H997" s="2"/>
      <c r="I997" s="2"/>
      <c r="J997" s="2"/>
      <c r="K997" s="2"/>
      <c r="L997" s="3"/>
      <c r="M997" s="4"/>
      <c r="N997" s="4"/>
      <c r="O997" s="5"/>
      <c r="P997" s="6"/>
      <c r="Q997" s="3"/>
      <c r="R997" s="2"/>
      <c r="S997" s="2"/>
      <c r="T997" s="2"/>
      <c r="U997" s="2"/>
      <c r="V997" s="3"/>
      <c r="W997" s="2"/>
      <c r="X997" s="2"/>
      <c r="Y997" s="2"/>
      <c r="Z997" s="2"/>
      <c r="AA997" s="3"/>
      <c r="AB997" s="2"/>
      <c r="AC997" s="2"/>
      <c r="AD997" s="2"/>
      <c r="AE997" s="2"/>
      <c r="AF997" s="3"/>
      <c r="AG997" s="2"/>
      <c r="AH997" s="2"/>
      <c r="AI997" s="2"/>
      <c r="AJ997" s="2"/>
      <c r="AK997" s="3"/>
      <c r="AL997" s="2"/>
      <c r="AM997" s="2"/>
      <c r="AN997" s="2"/>
      <c r="AO997" s="2"/>
      <c r="AP997" s="3"/>
      <c r="AQ997" s="2"/>
      <c r="AR997" s="2"/>
      <c r="AS997" s="2"/>
      <c r="AT997" s="7"/>
      <c r="AU997" s="2"/>
      <c r="AV997" s="2"/>
      <c r="AW997" s="2"/>
      <c r="AX997" s="2"/>
    </row>
    <row r="998">
      <c r="A998" s="2"/>
      <c r="B998" s="2"/>
      <c r="C998" s="2"/>
      <c r="D998" s="2"/>
      <c r="E998" s="2"/>
      <c r="F998" s="2"/>
      <c r="G998" s="2"/>
      <c r="H998" s="2"/>
      <c r="I998" s="2"/>
      <c r="J998" s="2"/>
      <c r="K998" s="2"/>
      <c r="L998" s="3"/>
      <c r="M998" s="4"/>
      <c r="N998" s="4"/>
      <c r="O998" s="5"/>
      <c r="P998" s="6"/>
      <c r="Q998" s="3"/>
      <c r="R998" s="2"/>
      <c r="S998" s="2"/>
      <c r="T998" s="2"/>
      <c r="U998" s="2"/>
      <c r="V998" s="3"/>
      <c r="W998" s="2"/>
      <c r="X998" s="2"/>
      <c r="Y998" s="2"/>
      <c r="Z998" s="2"/>
      <c r="AA998" s="3"/>
      <c r="AB998" s="2"/>
      <c r="AC998" s="2"/>
      <c r="AD998" s="2"/>
      <c r="AE998" s="2"/>
      <c r="AF998" s="3"/>
      <c r="AG998" s="2"/>
      <c r="AH998" s="2"/>
      <c r="AI998" s="2"/>
      <c r="AJ998" s="2"/>
      <c r="AK998" s="3"/>
      <c r="AL998" s="2"/>
      <c r="AM998" s="2"/>
      <c r="AN998" s="2"/>
      <c r="AO998" s="2"/>
      <c r="AP998" s="3"/>
      <c r="AQ998" s="2"/>
      <c r="AR998" s="2"/>
      <c r="AS998" s="2"/>
      <c r="AT998" s="7"/>
      <c r="AU998" s="2"/>
      <c r="AV998" s="2"/>
      <c r="AW998" s="2"/>
      <c r="AX998" s="2"/>
    </row>
    <row r="999">
      <c r="A999" s="2"/>
      <c r="B999" s="2"/>
      <c r="C999" s="2"/>
      <c r="D999" s="2"/>
      <c r="E999" s="2"/>
      <c r="F999" s="2"/>
      <c r="G999" s="2"/>
      <c r="H999" s="2"/>
      <c r="I999" s="2"/>
      <c r="J999" s="2"/>
      <c r="K999" s="2"/>
      <c r="L999" s="3"/>
      <c r="M999" s="4"/>
      <c r="N999" s="4"/>
      <c r="O999" s="5"/>
      <c r="P999" s="6"/>
      <c r="Q999" s="3"/>
      <c r="R999" s="2"/>
      <c r="S999" s="2"/>
      <c r="T999" s="2"/>
      <c r="U999" s="2"/>
      <c r="V999" s="3"/>
      <c r="W999" s="2"/>
      <c r="X999" s="2"/>
      <c r="Y999" s="2"/>
      <c r="Z999" s="2"/>
      <c r="AA999" s="3"/>
      <c r="AB999" s="2"/>
      <c r="AC999" s="2"/>
      <c r="AD999" s="2"/>
      <c r="AE999" s="2"/>
      <c r="AF999" s="3"/>
      <c r="AG999" s="2"/>
      <c r="AH999" s="2"/>
      <c r="AI999" s="2"/>
      <c r="AJ999" s="2"/>
      <c r="AK999" s="3"/>
      <c r="AL999" s="2"/>
      <c r="AM999" s="2"/>
      <c r="AN999" s="2"/>
      <c r="AO999" s="2"/>
      <c r="AP999" s="3"/>
      <c r="AQ999" s="2"/>
      <c r="AR999" s="2"/>
      <c r="AS999" s="2"/>
      <c r="AT999" s="7"/>
      <c r="AU999" s="2"/>
      <c r="AV999" s="2"/>
      <c r="AW999" s="2"/>
      <c r="AX999" s="2"/>
    </row>
    <row r="1000">
      <c r="A1000" s="2"/>
      <c r="B1000" s="2"/>
      <c r="C1000" s="2"/>
      <c r="D1000" s="2"/>
      <c r="E1000" s="2"/>
      <c r="F1000" s="2"/>
      <c r="G1000" s="2"/>
      <c r="H1000" s="2"/>
      <c r="I1000" s="2"/>
      <c r="J1000" s="2"/>
      <c r="K1000" s="2"/>
      <c r="L1000" s="3"/>
      <c r="M1000" s="4"/>
      <c r="N1000" s="4"/>
      <c r="O1000" s="5"/>
      <c r="P1000" s="6"/>
      <c r="Q1000" s="3"/>
      <c r="R1000" s="2"/>
      <c r="S1000" s="2"/>
      <c r="T1000" s="2"/>
      <c r="U1000" s="2"/>
      <c r="V1000" s="3"/>
      <c r="W1000" s="2"/>
      <c r="X1000" s="2"/>
      <c r="Y1000" s="2"/>
      <c r="Z1000" s="2"/>
      <c r="AA1000" s="3"/>
      <c r="AB1000" s="2"/>
      <c r="AC1000" s="2"/>
      <c r="AD1000" s="2"/>
      <c r="AE1000" s="2"/>
      <c r="AF1000" s="3"/>
      <c r="AG1000" s="2"/>
      <c r="AH1000" s="2"/>
      <c r="AI1000" s="2"/>
      <c r="AJ1000" s="2"/>
      <c r="AK1000" s="3"/>
      <c r="AL1000" s="2"/>
      <c r="AM1000" s="2"/>
      <c r="AN1000" s="2"/>
      <c r="AO1000" s="2"/>
      <c r="AP1000" s="3"/>
      <c r="AQ1000" s="2"/>
      <c r="AR1000" s="2"/>
      <c r="AS1000" s="2"/>
      <c r="AT1000" s="7"/>
      <c r="AU1000" s="2"/>
      <c r="AV1000" s="2"/>
      <c r="AW1000" s="2"/>
      <c r="AX1000" s="2"/>
    </row>
  </sheetData>
  <mergeCells count="42">
    <mergeCell ref="L2:P2"/>
    <mergeCell ref="Q2:U2"/>
    <mergeCell ref="V2:Z2"/>
    <mergeCell ref="AA2:AE2"/>
    <mergeCell ref="AF2:AJ2"/>
    <mergeCell ref="AK2:AO2"/>
    <mergeCell ref="AP2:AT2"/>
    <mergeCell ref="AG3:AJ3"/>
    <mergeCell ref="AL3:AO3"/>
    <mergeCell ref="AQ3:AT3"/>
    <mergeCell ref="B3:B4"/>
    <mergeCell ref="C3:D3"/>
    <mergeCell ref="E3:G3"/>
    <mergeCell ref="M3:P3"/>
    <mergeCell ref="R3:U3"/>
    <mergeCell ref="W3:Z3"/>
    <mergeCell ref="AB3:AE3"/>
    <mergeCell ref="C15:J15"/>
    <mergeCell ref="C16:E16"/>
    <mergeCell ref="F16:J16"/>
    <mergeCell ref="C17:E17"/>
    <mergeCell ref="F17:J17"/>
    <mergeCell ref="C18:E18"/>
    <mergeCell ref="F18:J18"/>
    <mergeCell ref="C19:E19"/>
    <mergeCell ref="F19:J19"/>
    <mergeCell ref="C20:E20"/>
    <mergeCell ref="F20:J20"/>
    <mergeCell ref="C21:E21"/>
    <mergeCell ref="F21:J21"/>
    <mergeCell ref="C22:E22"/>
    <mergeCell ref="B33:J33"/>
    <mergeCell ref="B35:J35"/>
    <mergeCell ref="B36:J36"/>
    <mergeCell ref="B37:J37"/>
    <mergeCell ref="F22:J22"/>
    <mergeCell ref="B25:J25"/>
    <mergeCell ref="B26:J26"/>
    <mergeCell ref="B27:J27"/>
    <mergeCell ref="B29:J29"/>
    <mergeCell ref="B30:J30"/>
    <mergeCell ref="B32:J32"/>
  </mergeCells>
  <conditionalFormatting sqref="N4:P49 S4:U50 X4:Z52 AC4:AE18 AH4:AJ24 AM4:AO79 AR4:AR19 AS4:AS20 AT4:AT24 AS23 S60:U61">
    <cfRule type="cellIs" dxfId="0" priority="1" operator="equal">
      <formula>0</formula>
    </cfRule>
  </conditionalFormatting>
  <conditionalFormatting sqref="C5:J13">
    <cfRule type="cellIs" dxfId="1" priority="2" operator="equal">
      <formula>0</formula>
    </cfRule>
  </conditionalFormatting>
  <conditionalFormatting sqref="D40">
    <cfRule type="notContainsBlanks" dxfId="2" priority="3">
      <formula>LEN(TRIM(D40))&gt;0</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3" max="3" width="14.13"/>
    <col customWidth="1" min="5" max="5" width="7.13"/>
    <col customWidth="1" min="6" max="6" width="6.88"/>
    <col customWidth="1" min="7" max="7" width="9.88"/>
    <col customWidth="1" min="8" max="8" width="7.25"/>
    <col customWidth="1" min="9" max="9" width="10.38"/>
    <col customWidth="1" min="10" max="10" width="7.0"/>
  </cols>
  <sheetData>
    <row r="1">
      <c r="A1" s="78"/>
      <c r="B1" s="78"/>
      <c r="C1" s="78"/>
      <c r="D1" s="78"/>
      <c r="E1" s="78"/>
      <c r="F1" s="78"/>
      <c r="G1" s="78"/>
      <c r="H1" s="78"/>
      <c r="I1" s="78"/>
      <c r="J1" s="78"/>
      <c r="K1" s="78"/>
      <c r="L1" s="78"/>
      <c r="M1" s="78"/>
      <c r="N1" s="78"/>
      <c r="O1" s="78"/>
      <c r="P1" s="78"/>
      <c r="Q1" s="78"/>
      <c r="R1" s="78"/>
      <c r="S1" s="78"/>
      <c r="T1" s="78"/>
      <c r="U1" s="78"/>
      <c r="V1" s="78"/>
      <c r="W1" s="78"/>
      <c r="X1" s="78"/>
      <c r="Y1" s="78"/>
      <c r="Z1" s="78"/>
    </row>
    <row r="2">
      <c r="A2" s="78"/>
      <c r="B2" s="78"/>
      <c r="C2" s="78"/>
      <c r="D2" s="78"/>
      <c r="E2" s="78"/>
      <c r="F2" s="78"/>
      <c r="G2" s="78"/>
      <c r="H2" s="78"/>
      <c r="I2" s="78"/>
      <c r="J2" s="78"/>
      <c r="K2" s="78"/>
      <c r="L2" s="78"/>
      <c r="M2" s="78"/>
      <c r="N2" s="78"/>
      <c r="O2" s="78"/>
      <c r="P2" s="78"/>
      <c r="Q2" s="78"/>
      <c r="R2" s="78"/>
      <c r="S2" s="78"/>
      <c r="T2" s="78"/>
      <c r="U2" s="78"/>
      <c r="V2" s="78"/>
      <c r="W2" s="78"/>
      <c r="X2" s="78"/>
      <c r="Y2" s="78"/>
      <c r="Z2" s="78"/>
    </row>
    <row r="3">
      <c r="A3" s="78"/>
      <c r="B3" s="78"/>
      <c r="C3" s="79" t="s">
        <v>7</v>
      </c>
      <c r="D3" s="80" t="s">
        <v>19</v>
      </c>
      <c r="E3" s="14"/>
      <c r="F3" s="15"/>
      <c r="G3" s="80" t="s">
        <v>20</v>
      </c>
      <c r="H3" s="14"/>
      <c r="I3" s="14"/>
      <c r="J3" s="15"/>
      <c r="K3" s="78"/>
      <c r="L3" s="78"/>
      <c r="M3" s="78"/>
      <c r="N3" s="78"/>
      <c r="O3" s="78"/>
      <c r="P3" s="78"/>
      <c r="Q3" s="78"/>
      <c r="R3" s="78"/>
      <c r="S3" s="78"/>
      <c r="T3" s="78"/>
      <c r="U3" s="78"/>
      <c r="V3" s="78"/>
      <c r="W3" s="78"/>
      <c r="X3" s="78"/>
      <c r="Y3" s="78"/>
      <c r="Z3" s="78"/>
    </row>
    <row r="4">
      <c r="A4" s="78"/>
      <c r="B4" s="78"/>
      <c r="D4" s="81" t="s">
        <v>12</v>
      </c>
      <c r="E4" s="81" t="s">
        <v>21</v>
      </c>
      <c r="F4" s="81" t="s">
        <v>22</v>
      </c>
      <c r="G4" s="81" t="s">
        <v>12</v>
      </c>
      <c r="H4" s="81" t="s">
        <v>23</v>
      </c>
      <c r="I4" s="81" t="s">
        <v>24</v>
      </c>
      <c r="J4" s="82" t="s">
        <v>25</v>
      </c>
      <c r="K4" s="78"/>
      <c r="L4" s="78"/>
      <c r="M4" s="78"/>
      <c r="N4" s="78"/>
      <c r="O4" s="78"/>
      <c r="P4" s="78"/>
      <c r="Q4" s="78"/>
      <c r="R4" s="78"/>
      <c r="S4" s="78"/>
      <c r="T4" s="78"/>
      <c r="U4" s="78"/>
      <c r="V4" s="78"/>
      <c r="W4" s="78"/>
      <c r="X4" s="78"/>
      <c r="Y4" s="78"/>
      <c r="Z4" s="78"/>
    </row>
    <row r="5">
      <c r="A5" s="78"/>
      <c r="B5" s="78"/>
      <c r="C5" s="83" t="s">
        <v>26</v>
      </c>
      <c r="D5" s="84">
        <v>21.0</v>
      </c>
      <c r="E5" s="84">
        <v>20.0</v>
      </c>
      <c r="F5" s="85">
        <f t="shared" ref="F5:F10" si="1">D5-E5</f>
        <v>1</v>
      </c>
      <c r="G5" s="86">
        <v>109.0</v>
      </c>
      <c r="H5" s="84">
        <v>1.0</v>
      </c>
      <c r="I5" s="87">
        <f t="shared" ref="I5:I10" si="2">G5-H5</f>
        <v>108</v>
      </c>
      <c r="J5" s="85">
        <f t="shared" ref="J5:J10" si="3">G5-H5-I5</f>
        <v>0</v>
      </c>
      <c r="K5" s="78"/>
      <c r="L5" s="78"/>
      <c r="M5" s="78"/>
      <c r="N5" s="78"/>
      <c r="O5" s="78"/>
      <c r="P5" s="78"/>
      <c r="Q5" s="78"/>
      <c r="R5" s="78"/>
      <c r="S5" s="78"/>
      <c r="T5" s="78"/>
      <c r="U5" s="78"/>
      <c r="V5" s="78"/>
      <c r="W5" s="78"/>
      <c r="X5" s="78"/>
      <c r="Y5" s="78"/>
      <c r="Z5" s="78"/>
    </row>
    <row r="6">
      <c r="A6" s="78"/>
      <c r="B6" s="78"/>
      <c r="C6" s="83" t="s">
        <v>0</v>
      </c>
      <c r="D6" s="84">
        <v>47.0</v>
      </c>
      <c r="E6" s="84">
        <v>34.0</v>
      </c>
      <c r="F6" s="85">
        <f t="shared" si="1"/>
        <v>13</v>
      </c>
      <c r="G6" s="88">
        <v>199.0</v>
      </c>
      <c r="H6" s="84">
        <v>3.0</v>
      </c>
      <c r="I6" s="87">
        <f t="shared" si="2"/>
        <v>196</v>
      </c>
      <c r="J6" s="85">
        <f t="shared" si="3"/>
        <v>0</v>
      </c>
      <c r="K6" s="78"/>
      <c r="L6" s="78"/>
      <c r="M6" s="78"/>
      <c r="N6" s="78"/>
      <c r="O6" s="78"/>
      <c r="P6" s="78"/>
      <c r="Q6" s="78"/>
      <c r="R6" s="78"/>
      <c r="S6" s="78"/>
      <c r="T6" s="78"/>
      <c r="U6" s="78"/>
      <c r="V6" s="78"/>
      <c r="W6" s="78"/>
      <c r="X6" s="78"/>
      <c r="Y6" s="78"/>
      <c r="Z6" s="78"/>
    </row>
    <row r="7">
      <c r="A7" s="78"/>
      <c r="B7" s="78"/>
      <c r="C7" s="83" t="s">
        <v>3</v>
      </c>
      <c r="D7" s="84">
        <v>17.0</v>
      </c>
      <c r="E7" s="84">
        <v>16.0</v>
      </c>
      <c r="F7" s="85">
        <f t="shared" si="1"/>
        <v>1</v>
      </c>
      <c r="G7" s="88">
        <v>111.0</v>
      </c>
      <c r="H7" s="84">
        <v>4.0</v>
      </c>
      <c r="I7" s="87">
        <f t="shared" si="2"/>
        <v>107</v>
      </c>
      <c r="J7" s="85">
        <f t="shared" si="3"/>
        <v>0</v>
      </c>
      <c r="K7" s="78"/>
      <c r="L7" s="78"/>
      <c r="M7" s="78"/>
      <c r="N7" s="78"/>
      <c r="O7" s="78"/>
      <c r="P7" s="78"/>
      <c r="Q7" s="78"/>
      <c r="R7" s="78"/>
      <c r="S7" s="78"/>
      <c r="T7" s="78"/>
      <c r="U7" s="78"/>
      <c r="V7" s="78"/>
      <c r="W7" s="78"/>
      <c r="X7" s="78"/>
      <c r="Y7" s="78"/>
      <c r="Z7" s="78"/>
    </row>
    <row r="8">
      <c r="A8" s="78"/>
      <c r="B8" s="78"/>
      <c r="C8" s="83" t="s">
        <v>27</v>
      </c>
      <c r="D8" s="84">
        <v>269.0</v>
      </c>
      <c r="E8" s="84">
        <v>257.0</v>
      </c>
      <c r="F8" s="85">
        <f t="shared" si="1"/>
        <v>12</v>
      </c>
      <c r="G8" s="88">
        <v>896.0</v>
      </c>
      <c r="H8" s="84">
        <v>0.0</v>
      </c>
      <c r="I8" s="87">
        <f t="shared" si="2"/>
        <v>896</v>
      </c>
      <c r="J8" s="85">
        <f t="shared" si="3"/>
        <v>0</v>
      </c>
      <c r="K8" s="78"/>
      <c r="L8" s="78"/>
      <c r="M8" s="78"/>
      <c r="N8" s="78"/>
      <c r="O8" s="78"/>
      <c r="P8" s="78"/>
      <c r="Q8" s="78"/>
      <c r="R8" s="78"/>
      <c r="S8" s="78"/>
      <c r="T8" s="78"/>
      <c r="U8" s="78"/>
      <c r="V8" s="78"/>
      <c r="W8" s="78"/>
      <c r="X8" s="78"/>
      <c r="Y8" s="78"/>
      <c r="Z8" s="78"/>
    </row>
    <row r="9">
      <c r="A9" s="78"/>
      <c r="B9" s="78"/>
      <c r="C9" s="83" t="s">
        <v>5</v>
      </c>
      <c r="D9" s="84">
        <v>8.0</v>
      </c>
      <c r="E9" s="84">
        <v>8.0</v>
      </c>
      <c r="F9" s="85">
        <f t="shared" si="1"/>
        <v>0</v>
      </c>
      <c r="G9" s="88">
        <v>142.0</v>
      </c>
      <c r="H9" s="84">
        <v>0.0</v>
      </c>
      <c r="I9" s="87">
        <f t="shared" si="2"/>
        <v>142</v>
      </c>
      <c r="J9" s="85">
        <f t="shared" si="3"/>
        <v>0</v>
      </c>
      <c r="K9" s="78"/>
      <c r="L9" s="78"/>
      <c r="M9" s="78"/>
      <c r="N9" s="78"/>
      <c r="O9" s="78"/>
      <c r="P9" s="78"/>
      <c r="Q9" s="78"/>
      <c r="R9" s="78"/>
      <c r="S9" s="78"/>
      <c r="T9" s="78"/>
      <c r="U9" s="78"/>
      <c r="V9" s="78"/>
      <c r="W9" s="78"/>
      <c r="X9" s="78"/>
      <c r="Y9" s="78"/>
      <c r="Z9" s="78"/>
    </row>
    <row r="10">
      <c r="A10" s="78"/>
      <c r="B10" s="78"/>
      <c r="C10" s="83" t="s">
        <v>6</v>
      </c>
      <c r="D10" s="84">
        <v>82.0</v>
      </c>
      <c r="E10" s="84">
        <v>77.0</v>
      </c>
      <c r="F10" s="85">
        <f t="shared" si="1"/>
        <v>5</v>
      </c>
      <c r="G10" s="89">
        <v>296.0</v>
      </c>
      <c r="H10" s="84">
        <v>0.0</v>
      </c>
      <c r="I10" s="87">
        <f t="shared" si="2"/>
        <v>296</v>
      </c>
      <c r="J10" s="85">
        <f t="shared" si="3"/>
        <v>0</v>
      </c>
      <c r="K10" s="78"/>
      <c r="L10" s="78"/>
      <c r="M10" s="78"/>
      <c r="N10" s="78"/>
      <c r="O10" s="78"/>
      <c r="P10" s="78"/>
      <c r="Q10" s="78"/>
      <c r="R10" s="78"/>
      <c r="S10" s="78"/>
      <c r="T10" s="78"/>
      <c r="U10" s="78"/>
      <c r="V10" s="78"/>
      <c r="W10" s="78"/>
      <c r="X10" s="78"/>
      <c r="Y10" s="78"/>
      <c r="Z10" s="78"/>
    </row>
    <row r="11">
      <c r="A11" s="78"/>
      <c r="B11" s="78"/>
      <c r="C11" s="78"/>
      <c r="D11" s="78"/>
      <c r="E11" s="78"/>
      <c r="F11" s="78"/>
      <c r="G11" s="78"/>
      <c r="H11" s="78"/>
      <c r="I11" s="78"/>
      <c r="J11" s="78"/>
      <c r="K11" s="78"/>
      <c r="L11" s="78"/>
      <c r="M11" s="78"/>
      <c r="N11" s="78"/>
      <c r="O11" s="78"/>
      <c r="P11" s="78"/>
      <c r="Q11" s="78"/>
      <c r="R11" s="78"/>
      <c r="S11" s="78"/>
      <c r="T11" s="78"/>
      <c r="U11" s="78"/>
      <c r="V11" s="78"/>
      <c r="W11" s="78"/>
      <c r="X11" s="78"/>
      <c r="Y11" s="78"/>
      <c r="Z11" s="78"/>
    </row>
    <row r="12">
      <c r="A12" s="78"/>
      <c r="B12" s="78"/>
      <c r="C12" s="78"/>
      <c r="D12" s="90">
        <f t="shared" ref="D12:I12" si="4">Sum(D5:D10)</f>
        <v>444</v>
      </c>
      <c r="E12" s="90">
        <f t="shared" si="4"/>
        <v>412</v>
      </c>
      <c r="F12" s="90">
        <f t="shared" si="4"/>
        <v>32</v>
      </c>
      <c r="G12" s="90">
        <f t="shared" si="4"/>
        <v>1753</v>
      </c>
      <c r="H12" s="90">
        <f t="shared" si="4"/>
        <v>8</v>
      </c>
      <c r="I12" s="90">
        <f t="shared" si="4"/>
        <v>1745</v>
      </c>
      <c r="J12" s="90">
        <f>G12-H12-I12</f>
        <v>0</v>
      </c>
      <c r="K12" s="78"/>
      <c r="L12" s="78"/>
      <c r="M12" s="78"/>
      <c r="N12" s="78"/>
      <c r="O12" s="78"/>
      <c r="P12" s="78"/>
      <c r="Q12" s="78"/>
      <c r="R12" s="78"/>
      <c r="S12" s="78"/>
      <c r="T12" s="78"/>
      <c r="U12" s="78"/>
      <c r="V12" s="78"/>
      <c r="W12" s="78"/>
      <c r="X12" s="78"/>
      <c r="Y12" s="78"/>
      <c r="Z12" s="78"/>
    </row>
    <row r="13">
      <c r="A13" s="78"/>
      <c r="B13" s="78"/>
      <c r="C13" s="78"/>
      <c r="D13" s="78"/>
      <c r="E13" s="78"/>
      <c r="F13" s="78"/>
      <c r="G13" s="78"/>
      <c r="H13" s="78"/>
      <c r="I13" s="78"/>
      <c r="J13" s="78"/>
      <c r="K13" s="78"/>
      <c r="L13" s="78"/>
      <c r="M13" s="78"/>
      <c r="N13" s="78"/>
      <c r="O13" s="78"/>
      <c r="P13" s="78"/>
      <c r="Q13" s="78"/>
      <c r="R13" s="78"/>
      <c r="S13" s="78"/>
      <c r="T13" s="78"/>
      <c r="U13" s="78"/>
      <c r="V13" s="78"/>
      <c r="W13" s="78"/>
      <c r="X13" s="78"/>
      <c r="Y13" s="78"/>
      <c r="Z13" s="78"/>
    </row>
    <row r="14">
      <c r="A14" s="78"/>
      <c r="B14" s="78"/>
      <c r="C14" s="91" t="s">
        <v>28</v>
      </c>
      <c r="D14" s="92">
        <f>INT((E12/D12)*100)</f>
        <v>92</v>
      </c>
      <c r="E14" s="90"/>
      <c r="F14" s="90"/>
      <c r="G14" s="78"/>
      <c r="H14" s="78"/>
      <c r="I14" s="78"/>
      <c r="J14" s="78"/>
      <c r="K14" s="78"/>
      <c r="L14" s="78"/>
      <c r="M14" s="78"/>
      <c r="N14" s="78"/>
      <c r="O14" s="78"/>
      <c r="P14" s="78"/>
      <c r="Q14" s="78"/>
      <c r="R14" s="78"/>
      <c r="S14" s="78"/>
      <c r="T14" s="78"/>
      <c r="U14" s="78"/>
      <c r="V14" s="78"/>
      <c r="W14" s="78"/>
      <c r="X14" s="78"/>
      <c r="Y14" s="78"/>
      <c r="Z14" s="78"/>
    </row>
    <row r="15">
      <c r="A15" s="78"/>
      <c r="B15" s="78"/>
      <c r="C15" s="91" t="s">
        <v>29</v>
      </c>
      <c r="D15" s="92">
        <f>INT((I12/G12)*100)</f>
        <v>99</v>
      </c>
      <c r="E15" s="78"/>
      <c r="F15" s="78"/>
      <c r="G15" s="78"/>
      <c r="H15" s="78"/>
      <c r="I15" s="78"/>
      <c r="J15" s="78"/>
      <c r="K15" s="78"/>
      <c r="L15" s="78"/>
      <c r="M15" s="78"/>
      <c r="N15" s="78"/>
      <c r="O15" s="78"/>
      <c r="P15" s="78"/>
      <c r="Q15" s="78"/>
      <c r="R15" s="78"/>
      <c r="S15" s="78"/>
      <c r="T15" s="78"/>
      <c r="U15" s="78"/>
      <c r="V15" s="78"/>
      <c r="W15" s="78"/>
      <c r="X15" s="78"/>
      <c r="Y15" s="78"/>
      <c r="Z15" s="78"/>
    </row>
    <row r="16">
      <c r="A16" s="78"/>
      <c r="B16" s="78"/>
      <c r="C16" s="78"/>
      <c r="D16" s="78"/>
      <c r="E16" s="78"/>
      <c r="F16" s="78"/>
      <c r="G16" s="78"/>
      <c r="H16" s="78"/>
      <c r="I16" s="78"/>
      <c r="J16" s="78"/>
      <c r="K16" s="78"/>
      <c r="L16" s="78"/>
      <c r="M16" s="78"/>
      <c r="N16" s="78"/>
      <c r="O16" s="78"/>
      <c r="P16" s="78"/>
      <c r="Q16" s="78"/>
      <c r="R16" s="78"/>
      <c r="S16" s="78"/>
      <c r="T16" s="78"/>
      <c r="U16" s="78"/>
      <c r="V16" s="78"/>
      <c r="W16" s="78"/>
      <c r="X16" s="78"/>
      <c r="Y16" s="78"/>
      <c r="Z16" s="78"/>
    </row>
    <row r="17">
      <c r="A17" s="78"/>
      <c r="B17" s="78"/>
      <c r="C17" s="78"/>
      <c r="D17" s="78"/>
      <c r="E17" s="78"/>
      <c r="F17" s="78"/>
      <c r="G17" s="78"/>
      <c r="H17" s="78"/>
      <c r="I17" s="78"/>
      <c r="J17" s="78"/>
      <c r="K17" s="78"/>
      <c r="L17" s="78"/>
      <c r="M17" s="78"/>
      <c r="N17" s="78"/>
      <c r="O17" s="78"/>
      <c r="P17" s="78"/>
      <c r="Q17" s="78"/>
      <c r="R17" s="78"/>
      <c r="S17" s="78"/>
      <c r="T17" s="78"/>
      <c r="U17" s="78"/>
      <c r="V17" s="78"/>
      <c r="W17" s="78"/>
      <c r="X17" s="78"/>
      <c r="Y17" s="78"/>
      <c r="Z17" s="78"/>
    </row>
    <row r="18">
      <c r="A18" s="78"/>
      <c r="B18" s="78"/>
      <c r="C18" s="78"/>
      <c r="D18" s="78"/>
      <c r="E18" s="78"/>
      <c r="F18" s="78"/>
      <c r="G18" s="78"/>
      <c r="H18" s="78"/>
      <c r="I18" s="78"/>
      <c r="J18" s="78"/>
      <c r="K18" s="78"/>
      <c r="L18" s="78"/>
      <c r="M18" s="78"/>
      <c r="N18" s="78"/>
      <c r="O18" s="78"/>
      <c r="P18" s="78"/>
      <c r="Q18" s="78"/>
      <c r="R18" s="78"/>
      <c r="S18" s="78"/>
      <c r="T18" s="78"/>
      <c r="U18" s="78"/>
      <c r="V18" s="78"/>
      <c r="W18" s="78"/>
      <c r="X18" s="78"/>
      <c r="Y18" s="78"/>
      <c r="Z18" s="78"/>
    </row>
    <row r="19">
      <c r="A19" s="78"/>
      <c r="B19" s="78"/>
      <c r="C19" s="78"/>
      <c r="D19" s="78"/>
      <c r="E19" s="78"/>
      <c r="F19" s="78"/>
      <c r="G19" s="78"/>
      <c r="H19" s="78"/>
      <c r="I19" s="78"/>
      <c r="J19" s="78"/>
      <c r="K19" s="78"/>
      <c r="L19" s="78"/>
      <c r="M19" s="78"/>
      <c r="N19" s="78"/>
      <c r="O19" s="78"/>
      <c r="P19" s="78"/>
      <c r="Q19" s="78"/>
      <c r="R19" s="78"/>
      <c r="S19" s="78"/>
      <c r="T19" s="78"/>
      <c r="U19" s="78"/>
      <c r="V19" s="78"/>
      <c r="W19" s="78"/>
      <c r="X19" s="78"/>
      <c r="Y19" s="78"/>
      <c r="Z19" s="78"/>
    </row>
    <row r="20">
      <c r="A20" s="78"/>
      <c r="B20" s="78"/>
      <c r="C20" s="78"/>
      <c r="D20" s="78"/>
      <c r="E20" s="78"/>
      <c r="F20" s="78"/>
      <c r="G20" s="78"/>
      <c r="H20" s="78"/>
      <c r="I20" s="78"/>
      <c r="J20" s="78"/>
      <c r="K20" s="78"/>
      <c r="L20" s="78"/>
      <c r="M20" s="78"/>
      <c r="N20" s="78"/>
      <c r="O20" s="78"/>
      <c r="P20" s="78"/>
      <c r="Q20" s="78"/>
      <c r="R20" s="78"/>
      <c r="S20" s="78"/>
      <c r="T20" s="78"/>
      <c r="U20" s="78"/>
      <c r="V20" s="78"/>
      <c r="W20" s="78"/>
      <c r="X20" s="78"/>
      <c r="Y20" s="78"/>
      <c r="Z20" s="78"/>
    </row>
    <row r="21">
      <c r="A21" s="78"/>
      <c r="B21" s="78"/>
      <c r="C21" s="78"/>
      <c r="D21" s="78"/>
      <c r="E21" s="78"/>
      <c r="F21" s="78"/>
      <c r="G21" s="78"/>
      <c r="H21" s="78"/>
      <c r="I21" s="78"/>
      <c r="J21" s="78"/>
      <c r="K21" s="78"/>
      <c r="L21" s="78"/>
      <c r="M21" s="78"/>
      <c r="N21" s="78"/>
      <c r="O21" s="78"/>
      <c r="P21" s="78"/>
      <c r="Q21" s="78"/>
      <c r="R21" s="78"/>
      <c r="S21" s="78"/>
      <c r="T21" s="78"/>
      <c r="U21" s="78"/>
      <c r="V21" s="78"/>
      <c r="W21" s="78"/>
      <c r="X21" s="78"/>
      <c r="Y21" s="78"/>
      <c r="Z21" s="78"/>
    </row>
    <row r="22">
      <c r="A22" s="78"/>
      <c r="B22" s="78"/>
      <c r="C22" s="78"/>
      <c r="D22" s="78"/>
      <c r="E22" s="78"/>
      <c r="F22" s="78"/>
      <c r="G22" s="78"/>
      <c r="H22" s="78"/>
      <c r="I22" s="78"/>
      <c r="J22" s="78"/>
      <c r="K22" s="78"/>
      <c r="L22" s="78"/>
      <c r="M22" s="78"/>
      <c r="N22" s="78"/>
      <c r="O22" s="78"/>
      <c r="P22" s="78"/>
      <c r="Q22" s="78"/>
      <c r="R22" s="78"/>
      <c r="S22" s="78"/>
      <c r="T22" s="78"/>
      <c r="U22" s="78"/>
      <c r="V22" s="78"/>
      <c r="W22" s="78"/>
      <c r="X22" s="78"/>
      <c r="Y22" s="78"/>
      <c r="Z22" s="78"/>
    </row>
    <row r="23">
      <c r="A23" s="78"/>
      <c r="B23" s="78"/>
      <c r="C23" s="78"/>
      <c r="D23" s="78"/>
      <c r="E23" s="78"/>
      <c r="F23" s="78"/>
      <c r="G23" s="78"/>
      <c r="H23" s="78"/>
      <c r="I23" s="78"/>
      <c r="J23" s="78"/>
      <c r="K23" s="78"/>
      <c r="L23" s="78"/>
      <c r="M23" s="78"/>
      <c r="N23" s="78"/>
      <c r="O23" s="78"/>
      <c r="P23" s="78"/>
      <c r="Q23" s="78"/>
      <c r="R23" s="78"/>
      <c r="S23" s="78"/>
      <c r="T23" s="78"/>
      <c r="U23" s="78"/>
      <c r="V23" s="78"/>
      <c r="W23" s="78"/>
      <c r="X23" s="78"/>
      <c r="Y23" s="78"/>
      <c r="Z23" s="78"/>
    </row>
    <row r="24">
      <c r="A24" s="78"/>
      <c r="B24" s="78"/>
      <c r="C24" s="78"/>
      <c r="D24" s="78"/>
      <c r="E24" s="78"/>
      <c r="F24" s="78"/>
      <c r="G24" s="78"/>
      <c r="H24" s="78"/>
      <c r="I24" s="78"/>
      <c r="J24" s="78"/>
      <c r="K24" s="78"/>
      <c r="L24" s="78"/>
      <c r="M24" s="78"/>
      <c r="N24" s="78"/>
      <c r="O24" s="78"/>
      <c r="P24" s="78"/>
      <c r="Q24" s="78"/>
      <c r="R24" s="78"/>
      <c r="S24" s="78"/>
      <c r="T24" s="78"/>
      <c r="U24" s="78"/>
      <c r="V24" s="78"/>
      <c r="W24" s="78"/>
      <c r="X24" s="78"/>
      <c r="Y24" s="78"/>
      <c r="Z24" s="78"/>
    </row>
    <row r="25">
      <c r="A25" s="78"/>
      <c r="B25" s="78"/>
      <c r="C25" s="78"/>
      <c r="D25" s="78"/>
      <c r="E25" s="78"/>
      <c r="F25" s="78"/>
      <c r="G25" s="78"/>
      <c r="H25" s="78"/>
      <c r="I25" s="78"/>
      <c r="J25" s="78"/>
      <c r="K25" s="78"/>
      <c r="L25" s="78"/>
      <c r="M25" s="78"/>
      <c r="N25" s="78"/>
      <c r="O25" s="78"/>
      <c r="P25" s="78"/>
      <c r="Q25" s="78"/>
      <c r="R25" s="78"/>
      <c r="S25" s="78"/>
      <c r="T25" s="78"/>
      <c r="U25" s="78"/>
      <c r="V25" s="78"/>
      <c r="W25" s="78"/>
      <c r="X25" s="78"/>
      <c r="Y25" s="78"/>
      <c r="Z25" s="78"/>
    </row>
    <row r="26">
      <c r="A26" s="78"/>
      <c r="B26" s="78"/>
      <c r="C26" s="78"/>
      <c r="D26" s="78"/>
      <c r="E26" s="78"/>
      <c r="F26" s="78"/>
      <c r="G26" s="78"/>
      <c r="H26" s="78"/>
      <c r="I26" s="78"/>
      <c r="J26" s="78"/>
      <c r="K26" s="78"/>
      <c r="L26" s="78"/>
      <c r="M26" s="78"/>
      <c r="N26" s="78"/>
      <c r="O26" s="78"/>
      <c r="P26" s="78"/>
      <c r="Q26" s="78"/>
      <c r="R26" s="78"/>
      <c r="S26" s="78"/>
      <c r="T26" s="78"/>
      <c r="U26" s="78"/>
      <c r="V26" s="78"/>
      <c r="W26" s="78"/>
      <c r="X26" s="78"/>
      <c r="Y26" s="78"/>
      <c r="Z26" s="78"/>
    </row>
    <row r="27">
      <c r="A27" s="78"/>
      <c r="B27" s="78"/>
      <c r="C27" s="78"/>
      <c r="D27" s="78"/>
      <c r="E27" s="78"/>
      <c r="F27" s="78"/>
      <c r="G27" s="78"/>
      <c r="H27" s="78"/>
      <c r="I27" s="78"/>
      <c r="J27" s="78"/>
      <c r="K27" s="78"/>
      <c r="L27" s="78"/>
      <c r="M27" s="78"/>
      <c r="N27" s="78"/>
      <c r="O27" s="78"/>
      <c r="P27" s="78"/>
      <c r="Q27" s="78"/>
      <c r="R27" s="78"/>
      <c r="S27" s="78"/>
      <c r="T27" s="78"/>
      <c r="U27" s="78"/>
      <c r="V27" s="78"/>
      <c r="W27" s="78"/>
      <c r="X27" s="78"/>
      <c r="Y27" s="78"/>
      <c r="Z27" s="78"/>
    </row>
    <row r="28">
      <c r="A28" s="78"/>
      <c r="B28" s="78"/>
      <c r="C28" s="78"/>
      <c r="D28" s="78"/>
      <c r="E28" s="78"/>
      <c r="F28" s="78"/>
      <c r="G28" s="78"/>
      <c r="H28" s="78"/>
      <c r="I28" s="78"/>
      <c r="J28" s="78"/>
      <c r="K28" s="78"/>
      <c r="L28" s="78"/>
      <c r="M28" s="78"/>
      <c r="N28" s="78"/>
      <c r="O28" s="78"/>
      <c r="P28" s="78"/>
      <c r="Q28" s="78"/>
      <c r="R28" s="78"/>
      <c r="S28" s="78"/>
      <c r="T28" s="78"/>
      <c r="U28" s="78"/>
      <c r="V28" s="78"/>
      <c r="W28" s="78"/>
      <c r="X28" s="78"/>
      <c r="Y28" s="78"/>
      <c r="Z28" s="78"/>
    </row>
    <row r="29">
      <c r="A29" s="78"/>
      <c r="B29" s="78"/>
      <c r="C29" s="78"/>
      <c r="D29" s="78"/>
      <c r="E29" s="78"/>
      <c r="F29" s="78"/>
      <c r="G29" s="78"/>
      <c r="H29" s="78"/>
      <c r="I29" s="78"/>
      <c r="J29" s="78"/>
      <c r="K29" s="78"/>
      <c r="L29" s="78"/>
      <c r="M29" s="78"/>
      <c r="N29" s="78"/>
      <c r="O29" s="78"/>
      <c r="P29" s="78"/>
      <c r="Q29" s="78"/>
      <c r="R29" s="78"/>
      <c r="S29" s="78"/>
      <c r="T29" s="78"/>
      <c r="U29" s="78"/>
      <c r="V29" s="78"/>
      <c r="W29" s="78"/>
      <c r="X29" s="78"/>
      <c r="Y29" s="78"/>
      <c r="Z29" s="78"/>
    </row>
    <row r="30">
      <c r="A30" s="78"/>
      <c r="B30" s="78"/>
      <c r="C30" s="78"/>
      <c r="D30" s="78"/>
      <c r="E30" s="78"/>
      <c r="F30" s="78"/>
      <c r="G30" s="78"/>
      <c r="H30" s="78"/>
      <c r="I30" s="78"/>
      <c r="J30" s="78"/>
      <c r="K30" s="78"/>
      <c r="L30" s="78"/>
      <c r="M30" s="78"/>
      <c r="N30" s="78"/>
      <c r="O30" s="78"/>
      <c r="P30" s="78"/>
      <c r="Q30" s="78"/>
      <c r="R30" s="78"/>
      <c r="S30" s="78"/>
      <c r="T30" s="78"/>
      <c r="U30" s="78"/>
      <c r="V30" s="78"/>
      <c r="W30" s="78"/>
      <c r="X30" s="78"/>
      <c r="Y30" s="78"/>
      <c r="Z30" s="78"/>
    </row>
    <row r="31">
      <c r="A31" s="78"/>
      <c r="B31" s="78"/>
      <c r="C31" s="78"/>
      <c r="D31" s="78"/>
      <c r="E31" s="78"/>
      <c r="F31" s="78"/>
      <c r="G31" s="78"/>
      <c r="H31" s="78"/>
      <c r="I31" s="78"/>
      <c r="J31" s="78"/>
      <c r="K31" s="78"/>
      <c r="L31" s="78"/>
      <c r="M31" s="78"/>
      <c r="N31" s="78"/>
      <c r="O31" s="78"/>
      <c r="P31" s="78"/>
      <c r="Q31" s="78"/>
      <c r="R31" s="78"/>
      <c r="S31" s="78"/>
      <c r="T31" s="78"/>
      <c r="U31" s="78"/>
      <c r="V31" s="78"/>
      <c r="W31" s="78"/>
      <c r="X31" s="78"/>
      <c r="Y31" s="78"/>
      <c r="Z31" s="78"/>
    </row>
    <row r="32">
      <c r="A32" s="78"/>
      <c r="B32" s="78"/>
      <c r="C32" s="78"/>
      <c r="D32" s="78"/>
      <c r="E32" s="78"/>
      <c r="F32" s="78"/>
      <c r="G32" s="78"/>
      <c r="H32" s="78"/>
      <c r="I32" s="78"/>
      <c r="J32" s="78"/>
      <c r="K32" s="78"/>
      <c r="L32" s="78"/>
      <c r="M32" s="78"/>
      <c r="N32" s="78"/>
      <c r="O32" s="78"/>
      <c r="P32" s="78"/>
      <c r="Q32" s="78"/>
      <c r="R32" s="78"/>
      <c r="S32" s="78"/>
      <c r="T32" s="78"/>
      <c r="U32" s="78"/>
      <c r="V32" s="78"/>
      <c r="W32" s="78"/>
      <c r="X32" s="78"/>
      <c r="Y32" s="78"/>
      <c r="Z32" s="78"/>
    </row>
    <row r="33">
      <c r="A33" s="78"/>
      <c r="B33" s="78"/>
      <c r="C33" s="78"/>
      <c r="D33" s="78"/>
      <c r="E33" s="78"/>
      <c r="F33" s="78"/>
      <c r="G33" s="78"/>
      <c r="H33" s="78"/>
      <c r="I33" s="78"/>
      <c r="J33" s="78"/>
      <c r="K33" s="78"/>
      <c r="L33" s="78"/>
      <c r="M33" s="78"/>
      <c r="N33" s="78"/>
      <c r="O33" s="78"/>
      <c r="P33" s="78"/>
      <c r="Q33" s="78"/>
      <c r="R33" s="78"/>
      <c r="S33" s="78"/>
      <c r="T33" s="78"/>
      <c r="U33" s="78"/>
      <c r="V33" s="78"/>
      <c r="W33" s="78"/>
      <c r="X33" s="78"/>
      <c r="Y33" s="78"/>
      <c r="Z33" s="78"/>
    </row>
    <row r="34">
      <c r="A34" s="78"/>
      <c r="B34" s="78"/>
      <c r="C34" s="78"/>
      <c r="D34" s="78"/>
      <c r="E34" s="78"/>
      <c r="F34" s="78"/>
      <c r="G34" s="78"/>
      <c r="H34" s="78"/>
      <c r="I34" s="78"/>
      <c r="J34" s="78"/>
      <c r="K34" s="78"/>
      <c r="L34" s="78"/>
      <c r="M34" s="78"/>
      <c r="N34" s="78"/>
      <c r="O34" s="78"/>
      <c r="P34" s="78"/>
      <c r="Q34" s="78"/>
      <c r="R34" s="78"/>
      <c r="S34" s="78"/>
      <c r="T34" s="78"/>
      <c r="U34" s="78"/>
      <c r="V34" s="78"/>
      <c r="W34" s="78"/>
      <c r="X34" s="78"/>
      <c r="Y34" s="78"/>
      <c r="Z34" s="78"/>
    </row>
    <row r="35">
      <c r="A35" s="78"/>
      <c r="B35" s="78"/>
      <c r="C35" s="78"/>
      <c r="D35" s="78"/>
      <c r="E35" s="78"/>
      <c r="F35" s="78"/>
      <c r="G35" s="78"/>
      <c r="H35" s="78"/>
      <c r="I35" s="78"/>
      <c r="J35" s="78"/>
      <c r="K35" s="78"/>
      <c r="L35" s="78"/>
      <c r="M35" s="78"/>
      <c r="N35" s="78"/>
      <c r="O35" s="78"/>
      <c r="P35" s="78"/>
      <c r="Q35" s="78"/>
      <c r="R35" s="78"/>
      <c r="S35" s="78"/>
      <c r="T35" s="78"/>
      <c r="U35" s="78"/>
      <c r="V35" s="78"/>
      <c r="W35" s="78"/>
      <c r="X35" s="78"/>
      <c r="Y35" s="78"/>
      <c r="Z35" s="78"/>
    </row>
    <row r="36">
      <c r="A36" s="78"/>
      <c r="B36" s="78"/>
      <c r="C36" s="78"/>
      <c r="D36" s="78"/>
      <c r="E36" s="78"/>
      <c r="F36" s="78"/>
      <c r="G36" s="78"/>
      <c r="H36" s="78"/>
      <c r="I36" s="78"/>
      <c r="J36" s="78"/>
      <c r="K36" s="78"/>
      <c r="L36" s="78"/>
      <c r="M36" s="78"/>
      <c r="N36" s="78"/>
      <c r="O36" s="78"/>
      <c r="P36" s="78"/>
      <c r="Q36" s="78"/>
      <c r="R36" s="78"/>
      <c r="S36" s="78"/>
      <c r="T36" s="78"/>
      <c r="U36" s="78"/>
      <c r="V36" s="78"/>
      <c r="W36" s="78"/>
      <c r="X36" s="78"/>
      <c r="Y36" s="78"/>
      <c r="Z36" s="78"/>
    </row>
    <row r="37">
      <c r="A37" s="78"/>
      <c r="B37" s="78"/>
      <c r="C37" s="78"/>
      <c r="D37" s="78"/>
      <c r="E37" s="78"/>
      <c r="F37" s="78"/>
      <c r="G37" s="78"/>
      <c r="H37" s="78"/>
      <c r="I37" s="78"/>
      <c r="J37" s="78"/>
      <c r="K37" s="78"/>
      <c r="L37" s="78"/>
      <c r="M37" s="78"/>
      <c r="N37" s="78"/>
      <c r="O37" s="78"/>
      <c r="P37" s="78"/>
      <c r="Q37" s="78"/>
      <c r="R37" s="78"/>
      <c r="S37" s="78"/>
      <c r="T37" s="78"/>
      <c r="U37" s="78"/>
      <c r="V37" s="78"/>
      <c r="W37" s="78"/>
      <c r="X37" s="78"/>
      <c r="Y37" s="78"/>
      <c r="Z37" s="78"/>
    </row>
    <row r="38">
      <c r="A38" s="78"/>
      <c r="B38" s="78"/>
      <c r="C38" s="78"/>
      <c r="D38" s="78"/>
      <c r="E38" s="78"/>
      <c r="F38" s="78"/>
      <c r="G38" s="78"/>
      <c r="H38" s="78"/>
      <c r="I38" s="78"/>
      <c r="J38" s="78"/>
      <c r="K38" s="78"/>
      <c r="L38" s="78"/>
      <c r="M38" s="78"/>
      <c r="N38" s="78"/>
      <c r="O38" s="78"/>
      <c r="P38" s="78"/>
      <c r="Q38" s="78"/>
      <c r="R38" s="78"/>
      <c r="S38" s="78"/>
      <c r="T38" s="78"/>
      <c r="U38" s="78"/>
      <c r="V38" s="78"/>
      <c r="W38" s="78"/>
      <c r="X38" s="78"/>
      <c r="Y38" s="78"/>
      <c r="Z38" s="78"/>
    </row>
    <row r="39">
      <c r="A39" s="78"/>
      <c r="B39" s="78"/>
      <c r="C39" s="78"/>
      <c r="D39" s="78"/>
      <c r="E39" s="78"/>
      <c r="F39" s="78"/>
      <c r="G39" s="78"/>
      <c r="H39" s="78"/>
      <c r="I39" s="78"/>
      <c r="J39" s="78"/>
      <c r="K39" s="78"/>
      <c r="L39" s="78"/>
      <c r="M39" s="78"/>
      <c r="N39" s="78"/>
      <c r="O39" s="78"/>
      <c r="P39" s="78"/>
      <c r="Q39" s="78"/>
      <c r="R39" s="78"/>
      <c r="S39" s="78"/>
      <c r="T39" s="78"/>
      <c r="U39" s="78"/>
      <c r="V39" s="78"/>
      <c r="W39" s="78"/>
      <c r="X39" s="78"/>
      <c r="Y39" s="78"/>
      <c r="Z39" s="78"/>
    </row>
    <row r="40">
      <c r="A40" s="78"/>
      <c r="B40" s="78"/>
      <c r="C40" s="78"/>
      <c r="D40" s="78"/>
      <c r="E40" s="78"/>
      <c r="F40" s="78"/>
      <c r="G40" s="78"/>
      <c r="H40" s="78"/>
      <c r="I40" s="78"/>
      <c r="J40" s="78"/>
      <c r="K40" s="78"/>
      <c r="L40" s="78"/>
      <c r="M40" s="78"/>
      <c r="N40" s="78"/>
      <c r="O40" s="78"/>
      <c r="P40" s="78"/>
      <c r="Q40" s="78"/>
      <c r="R40" s="78"/>
      <c r="S40" s="78"/>
      <c r="T40" s="78"/>
      <c r="U40" s="78"/>
      <c r="V40" s="78"/>
      <c r="W40" s="78"/>
      <c r="X40" s="78"/>
      <c r="Y40" s="78"/>
      <c r="Z40" s="78"/>
    </row>
    <row r="41">
      <c r="A41" s="78"/>
      <c r="B41" s="78"/>
      <c r="C41" s="78"/>
      <c r="D41" s="78"/>
      <c r="E41" s="78"/>
      <c r="F41" s="78"/>
      <c r="G41" s="78"/>
      <c r="H41" s="78"/>
      <c r="I41" s="78"/>
      <c r="J41" s="78"/>
      <c r="K41" s="78"/>
      <c r="L41" s="78"/>
      <c r="M41" s="78"/>
      <c r="N41" s="78"/>
      <c r="O41" s="78"/>
      <c r="P41" s="78"/>
      <c r="Q41" s="78"/>
      <c r="R41" s="78"/>
      <c r="S41" s="78"/>
      <c r="T41" s="78"/>
      <c r="U41" s="78"/>
      <c r="V41" s="78"/>
      <c r="W41" s="78"/>
      <c r="X41" s="78"/>
      <c r="Y41" s="78"/>
      <c r="Z41" s="78"/>
    </row>
    <row r="42">
      <c r="A42" s="78"/>
      <c r="B42" s="78"/>
      <c r="C42" s="78"/>
      <c r="D42" s="78"/>
      <c r="E42" s="78"/>
      <c r="F42" s="78"/>
      <c r="G42" s="78"/>
      <c r="H42" s="78"/>
      <c r="I42" s="78"/>
      <c r="J42" s="78"/>
      <c r="K42" s="78"/>
      <c r="L42" s="78"/>
      <c r="M42" s="78"/>
      <c r="N42" s="78"/>
      <c r="O42" s="78"/>
      <c r="P42" s="78"/>
      <c r="Q42" s="78"/>
      <c r="R42" s="78"/>
      <c r="S42" s="78"/>
      <c r="T42" s="78"/>
      <c r="U42" s="78"/>
      <c r="V42" s="78"/>
      <c r="W42" s="78"/>
      <c r="X42" s="78"/>
      <c r="Y42" s="78"/>
      <c r="Z42" s="78"/>
    </row>
    <row r="43">
      <c r="A43" s="78"/>
      <c r="B43" s="78"/>
      <c r="C43" s="78"/>
      <c r="D43" s="78"/>
      <c r="E43" s="78"/>
      <c r="F43" s="78"/>
      <c r="G43" s="78"/>
      <c r="H43" s="78"/>
      <c r="I43" s="78"/>
      <c r="J43" s="78"/>
      <c r="K43" s="78"/>
      <c r="L43" s="78"/>
      <c r="M43" s="78"/>
      <c r="N43" s="78"/>
      <c r="O43" s="78"/>
      <c r="P43" s="78"/>
      <c r="Q43" s="78"/>
      <c r="R43" s="78"/>
      <c r="S43" s="78"/>
      <c r="T43" s="78"/>
      <c r="U43" s="78"/>
      <c r="V43" s="78"/>
      <c r="W43" s="78"/>
      <c r="X43" s="78"/>
      <c r="Y43" s="78"/>
      <c r="Z43" s="78"/>
    </row>
    <row r="44">
      <c r="A44" s="78"/>
      <c r="B44" s="78"/>
      <c r="C44" s="78"/>
      <c r="D44" s="78"/>
      <c r="E44" s="78"/>
      <c r="F44" s="78"/>
      <c r="G44" s="78"/>
      <c r="H44" s="78"/>
      <c r="I44" s="78"/>
      <c r="J44" s="78"/>
      <c r="K44" s="78"/>
      <c r="L44" s="78"/>
      <c r="M44" s="78"/>
      <c r="N44" s="78"/>
      <c r="O44" s="78"/>
      <c r="P44" s="78"/>
      <c r="Q44" s="78"/>
      <c r="R44" s="78"/>
      <c r="S44" s="78"/>
      <c r="T44" s="78"/>
      <c r="U44" s="78"/>
      <c r="V44" s="78"/>
      <c r="W44" s="78"/>
      <c r="X44" s="78"/>
      <c r="Y44" s="78"/>
      <c r="Z44" s="78"/>
    </row>
    <row r="45">
      <c r="A45" s="78"/>
      <c r="B45" s="78"/>
      <c r="C45" s="78"/>
      <c r="D45" s="78"/>
      <c r="E45" s="78"/>
      <c r="F45" s="78"/>
      <c r="G45" s="78"/>
      <c r="H45" s="78"/>
      <c r="I45" s="78"/>
      <c r="J45" s="78"/>
      <c r="K45" s="78"/>
      <c r="L45" s="78"/>
      <c r="M45" s="78"/>
      <c r="N45" s="78"/>
      <c r="O45" s="78"/>
      <c r="P45" s="78"/>
      <c r="Q45" s="78"/>
      <c r="R45" s="78"/>
      <c r="S45" s="78"/>
      <c r="T45" s="78"/>
      <c r="U45" s="78"/>
      <c r="V45" s="78"/>
      <c r="W45" s="78"/>
      <c r="X45" s="78"/>
      <c r="Y45" s="78"/>
      <c r="Z45" s="78"/>
    </row>
    <row r="46">
      <c r="A46" s="78"/>
      <c r="B46" s="78"/>
      <c r="C46" s="78"/>
      <c r="D46" s="78"/>
      <c r="E46" s="78"/>
      <c r="F46" s="78"/>
      <c r="G46" s="78"/>
      <c r="H46" s="78"/>
      <c r="I46" s="78"/>
      <c r="J46" s="78"/>
      <c r="K46" s="78"/>
      <c r="L46" s="78"/>
      <c r="M46" s="78"/>
      <c r="N46" s="78"/>
      <c r="O46" s="78"/>
      <c r="P46" s="78"/>
      <c r="Q46" s="78"/>
      <c r="R46" s="78"/>
      <c r="S46" s="78"/>
      <c r="T46" s="78"/>
      <c r="U46" s="78"/>
      <c r="V46" s="78"/>
      <c r="W46" s="78"/>
      <c r="X46" s="78"/>
      <c r="Y46" s="78"/>
      <c r="Z46" s="78"/>
    </row>
    <row r="47">
      <c r="A47" s="78"/>
      <c r="B47" s="78"/>
      <c r="C47" s="78"/>
      <c r="D47" s="78"/>
      <c r="E47" s="78"/>
      <c r="F47" s="78"/>
      <c r="G47" s="78"/>
      <c r="H47" s="78"/>
      <c r="I47" s="78"/>
      <c r="J47" s="78"/>
      <c r="K47" s="78"/>
      <c r="L47" s="78"/>
      <c r="M47" s="78"/>
      <c r="N47" s="78"/>
      <c r="O47" s="78"/>
      <c r="P47" s="78"/>
      <c r="Q47" s="78"/>
      <c r="R47" s="78"/>
      <c r="S47" s="78"/>
      <c r="T47" s="78"/>
      <c r="U47" s="78"/>
      <c r="V47" s="78"/>
      <c r="W47" s="78"/>
      <c r="X47" s="78"/>
      <c r="Y47" s="78"/>
      <c r="Z47" s="78"/>
    </row>
    <row r="48">
      <c r="A48" s="78"/>
      <c r="B48" s="78"/>
      <c r="C48" s="78"/>
      <c r="D48" s="78"/>
      <c r="E48" s="78"/>
      <c r="F48" s="78"/>
      <c r="G48" s="78"/>
      <c r="H48" s="78"/>
      <c r="I48" s="78"/>
      <c r="J48" s="78"/>
      <c r="K48" s="78"/>
      <c r="L48" s="78"/>
      <c r="M48" s="78"/>
      <c r="N48" s="78"/>
      <c r="O48" s="78"/>
      <c r="P48" s="78"/>
      <c r="Q48" s="78"/>
      <c r="R48" s="78"/>
      <c r="S48" s="78"/>
      <c r="T48" s="78"/>
      <c r="U48" s="78"/>
      <c r="V48" s="78"/>
      <c r="W48" s="78"/>
      <c r="X48" s="78"/>
      <c r="Y48" s="78"/>
      <c r="Z48" s="78"/>
    </row>
    <row r="49">
      <c r="A49" s="78"/>
      <c r="B49" s="78"/>
      <c r="C49" s="78"/>
      <c r="D49" s="78"/>
      <c r="E49" s="78"/>
      <c r="F49" s="78"/>
      <c r="G49" s="78"/>
      <c r="H49" s="78"/>
      <c r="I49" s="78"/>
      <c r="J49" s="78"/>
      <c r="K49" s="78"/>
      <c r="L49" s="78"/>
      <c r="M49" s="78"/>
      <c r="N49" s="78"/>
      <c r="O49" s="78"/>
      <c r="P49" s="78"/>
      <c r="Q49" s="78"/>
      <c r="R49" s="78"/>
      <c r="S49" s="78"/>
      <c r="T49" s="78"/>
      <c r="U49" s="78"/>
      <c r="V49" s="78"/>
      <c r="W49" s="78"/>
      <c r="X49" s="78"/>
      <c r="Y49" s="78"/>
      <c r="Z49" s="78"/>
    </row>
    <row r="50">
      <c r="A50" s="78"/>
      <c r="B50" s="78"/>
      <c r="C50" s="78"/>
      <c r="D50" s="78"/>
      <c r="E50" s="78"/>
      <c r="F50" s="78"/>
      <c r="G50" s="78"/>
      <c r="H50" s="78"/>
      <c r="I50" s="78"/>
      <c r="J50" s="78"/>
      <c r="K50" s="78"/>
      <c r="L50" s="78"/>
      <c r="M50" s="78"/>
      <c r="N50" s="78"/>
      <c r="O50" s="78"/>
      <c r="P50" s="78"/>
      <c r="Q50" s="78"/>
      <c r="R50" s="78"/>
      <c r="S50" s="78"/>
      <c r="T50" s="78"/>
      <c r="U50" s="78"/>
      <c r="V50" s="78"/>
      <c r="W50" s="78"/>
      <c r="X50" s="78"/>
      <c r="Y50" s="78"/>
      <c r="Z50" s="78"/>
    </row>
    <row r="51">
      <c r="A51" s="78"/>
      <c r="B51" s="78"/>
      <c r="C51" s="78"/>
      <c r="D51" s="78"/>
      <c r="E51" s="78"/>
      <c r="F51" s="78"/>
      <c r="G51" s="78"/>
      <c r="H51" s="78"/>
      <c r="I51" s="78"/>
      <c r="J51" s="78"/>
      <c r="K51" s="78"/>
      <c r="L51" s="78"/>
      <c r="M51" s="78"/>
      <c r="N51" s="78"/>
      <c r="O51" s="78"/>
      <c r="P51" s="78"/>
      <c r="Q51" s="78"/>
      <c r="R51" s="78"/>
      <c r="S51" s="78"/>
      <c r="T51" s="78"/>
      <c r="U51" s="78"/>
      <c r="V51" s="78"/>
      <c r="W51" s="78"/>
      <c r="X51" s="78"/>
      <c r="Y51" s="78"/>
      <c r="Z51" s="78"/>
    </row>
    <row r="52">
      <c r="A52" s="78"/>
      <c r="B52" s="78"/>
      <c r="C52" s="78"/>
      <c r="D52" s="78"/>
      <c r="E52" s="78"/>
      <c r="F52" s="78"/>
      <c r="G52" s="78"/>
      <c r="H52" s="78"/>
      <c r="I52" s="78"/>
      <c r="J52" s="78"/>
      <c r="K52" s="78"/>
      <c r="L52" s="78"/>
      <c r="M52" s="78"/>
      <c r="N52" s="78"/>
      <c r="O52" s="78"/>
      <c r="P52" s="78"/>
      <c r="Q52" s="78"/>
      <c r="R52" s="78"/>
      <c r="S52" s="78"/>
      <c r="T52" s="78"/>
      <c r="U52" s="78"/>
      <c r="V52" s="78"/>
      <c r="W52" s="78"/>
      <c r="X52" s="78"/>
      <c r="Y52" s="78"/>
      <c r="Z52" s="78"/>
    </row>
    <row r="53">
      <c r="A53" s="78"/>
      <c r="B53" s="78"/>
      <c r="C53" s="78"/>
      <c r="D53" s="78"/>
      <c r="E53" s="78"/>
      <c r="F53" s="78"/>
      <c r="G53" s="78"/>
      <c r="H53" s="78"/>
      <c r="I53" s="78"/>
      <c r="J53" s="78"/>
      <c r="K53" s="78"/>
      <c r="L53" s="78"/>
      <c r="M53" s="78"/>
      <c r="N53" s="78"/>
      <c r="O53" s="78"/>
      <c r="P53" s="78"/>
      <c r="Q53" s="78"/>
      <c r="R53" s="78"/>
      <c r="S53" s="78"/>
      <c r="T53" s="78"/>
      <c r="U53" s="78"/>
      <c r="V53" s="78"/>
      <c r="W53" s="78"/>
      <c r="X53" s="78"/>
      <c r="Y53" s="78"/>
      <c r="Z53" s="78"/>
    </row>
    <row r="54">
      <c r="A54" s="78"/>
      <c r="B54" s="78"/>
      <c r="C54" s="78"/>
      <c r="D54" s="78"/>
      <c r="E54" s="78"/>
      <c r="F54" s="78"/>
      <c r="G54" s="78"/>
      <c r="H54" s="78"/>
      <c r="I54" s="78"/>
      <c r="J54" s="78"/>
      <c r="K54" s="78"/>
      <c r="L54" s="78"/>
      <c r="M54" s="78"/>
      <c r="N54" s="78"/>
      <c r="O54" s="78"/>
      <c r="P54" s="78"/>
      <c r="Q54" s="78"/>
      <c r="R54" s="78"/>
      <c r="S54" s="78"/>
      <c r="T54" s="78"/>
      <c r="U54" s="78"/>
      <c r="V54" s="78"/>
      <c r="W54" s="78"/>
      <c r="X54" s="78"/>
      <c r="Y54" s="78"/>
      <c r="Z54" s="78"/>
    </row>
    <row r="55">
      <c r="A55" s="78"/>
      <c r="B55" s="78"/>
      <c r="C55" s="78"/>
      <c r="D55" s="78"/>
      <c r="E55" s="78"/>
      <c r="F55" s="78"/>
      <c r="G55" s="78"/>
      <c r="H55" s="78"/>
      <c r="I55" s="78"/>
      <c r="J55" s="78"/>
      <c r="K55" s="78"/>
      <c r="L55" s="78"/>
      <c r="M55" s="78"/>
      <c r="N55" s="78"/>
      <c r="O55" s="78"/>
      <c r="P55" s="78"/>
      <c r="Q55" s="78"/>
      <c r="R55" s="78"/>
      <c r="S55" s="78"/>
      <c r="T55" s="78"/>
      <c r="U55" s="78"/>
      <c r="V55" s="78"/>
      <c r="W55" s="78"/>
      <c r="X55" s="78"/>
      <c r="Y55" s="78"/>
      <c r="Z55" s="78"/>
    </row>
    <row r="56">
      <c r="A56" s="78"/>
      <c r="B56" s="78"/>
      <c r="C56" s="78"/>
      <c r="D56" s="78"/>
      <c r="E56" s="78"/>
      <c r="F56" s="78"/>
      <c r="G56" s="78"/>
      <c r="H56" s="78"/>
      <c r="I56" s="78"/>
      <c r="J56" s="78"/>
      <c r="K56" s="78"/>
      <c r="L56" s="78"/>
      <c r="M56" s="78"/>
      <c r="N56" s="78"/>
      <c r="O56" s="78"/>
      <c r="P56" s="78"/>
      <c r="Q56" s="78"/>
      <c r="R56" s="78"/>
      <c r="S56" s="78"/>
      <c r="T56" s="78"/>
      <c r="U56" s="78"/>
      <c r="V56" s="78"/>
      <c r="W56" s="78"/>
      <c r="X56" s="78"/>
      <c r="Y56" s="78"/>
      <c r="Z56" s="78"/>
    </row>
    <row r="57">
      <c r="A57" s="78"/>
      <c r="B57" s="78"/>
      <c r="C57" s="78"/>
      <c r="D57" s="78"/>
      <c r="E57" s="78"/>
      <c r="F57" s="78"/>
      <c r="G57" s="78"/>
      <c r="H57" s="78"/>
      <c r="I57" s="78"/>
      <c r="J57" s="78"/>
      <c r="K57" s="78"/>
      <c r="L57" s="78"/>
      <c r="M57" s="78"/>
      <c r="N57" s="78"/>
      <c r="O57" s="78"/>
      <c r="P57" s="78"/>
      <c r="Q57" s="78"/>
      <c r="R57" s="78"/>
      <c r="S57" s="78"/>
      <c r="T57" s="78"/>
      <c r="U57" s="78"/>
      <c r="V57" s="78"/>
      <c r="W57" s="78"/>
      <c r="X57" s="78"/>
      <c r="Y57" s="78"/>
      <c r="Z57" s="78"/>
    </row>
    <row r="58">
      <c r="A58" s="78"/>
      <c r="B58" s="78"/>
      <c r="C58" s="78"/>
      <c r="D58" s="78"/>
      <c r="E58" s="78"/>
      <c r="F58" s="78"/>
      <c r="G58" s="78"/>
      <c r="H58" s="78"/>
      <c r="I58" s="78"/>
      <c r="J58" s="78"/>
      <c r="K58" s="78"/>
      <c r="L58" s="78"/>
      <c r="M58" s="78"/>
      <c r="N58" s="78"/>
      <c r="O58" s="78"/>
      <c r="P58" s="78"/>
      <c r="Q58" s="78"/>
      <c r="R58" s="78"/>
      <c r="S58" s="78"/>
      <c r="T58" s="78"/>
      <c r="U58" s="78"/>
      <c r="V58" s="78"/>
      <c r="W58" s="78"/>
      <c r="X58" s="78"/>
      <c r="Y58" s="78"/>
      <c r="Z58" s="78"/>
    </row>
    <row r="59">
      <c r="A59" s="78"/>
      <c r="B59" s="78"/>
      <c r="C59" s="78"/>
      <c r="D59" s="78"/>
      <c r="E59" s="78"/>
      <c r="F59" s="78"/>
      <c r="G59" s="78"/>
      <c r="H59" s="78"/>
      <c r="I59" s="78"/>
      <c r="J59" s="78"/>
      <c r="K59" s="78"/>
      <c r="L59" s="78"/>
      <c r="M59" s="78"/>
      <c r="N59" s="78"/>
      <c r="O59" s="78"/>
      <c r="P59" s="78"/>
      <c r="Q59" s="78"/>
      <c r="R59" s="78"/>
      <c r="S59" s="78"/>
      <c r="T59" s="78"/>
      <c r="U59" s="78"/>
      <c r="V59" s="78"/>
      <c r="W59" s="78"/>
      <c r="X59" s="78"/>
      <c r="Y59" s="78"/>
      <c r="Z59" s="78"/>
    </row>
    <row r="60">
      <c r="A60" s="78"/>
      <c r="B60" s="78"/>
      <c r="C60" s="78"/>
      <c r="D60" s="78"/>
      <c r="E60" s="78"/>
      <c r="F60" s="78"/>
      <c r="G60" s="78"/>
      <c r="H60" s="78"/>
      <c r="I60" s="78"/>
      <c r="J60" s="78"/>
      <c r="K60" s="78"/>
      <c r="L60" s="78"/>
      <c r="M60" s="78"/>
      <c r="N60" s="78"/>
      <c r="O60" s="78"/>
      <c r="P60" s="78"/>
      <c r="Q60" s="78"/>
      <c r="R60" s="78"/>
      <c r="S60" s="78"/>
      <c r="T60" s="78"/>
      <c r="U60" s="78"/>
      <c r="V60" s="78"/>
      <c r="W60" s="78"/>
      <c r="X60" s="78"/>
      <c r="Y60" s="78"/>
      <c r="Z60" s="78"/>
    </row>
    <row r="61">
      <c r="A61" s="78"/>
      <c r="B61" s="78"/>
      <c r="C61" s="78"/>
      <c r="D61" s="78"/>
      <c r="E61" s="78"/>
      <c r="F61" s="78"/>
      <c r="G61" s="78"/>
      <c r="H61" s="78"/>
      <c r="I61" s="78"/>
      <c r="J61" s="78"/>
      <c r="K61" s="78"/>
      <c r="L61" s="78"/>
      <c r="M61" s="78"/>
      <c r="N61" s="78"/>
      <c r="O61" s="78"/>
      <c r="P61" s="78"/>
      <c r="Q61" s="78"/>
      <c r="R61" s="78"/>
      <c r="S61" s="78"/>
      <c r="T61" s="78"/>
      <c r="U61" s="78"/>
      <c r="V61" s="78"/>
      <c r="W61" s="78"/>
      <c r="X61" s="78"/>
      <c r="Y61" s="78"/>
      <c r="Z61" s="78"/>
    </row>
    <row r="62">
      <c r="A62" s="78"/>
      <c r="B62" s="78"/>
      <c r="C62" s="78"/>
      <c r="D62" s="78"/>
      <c r="E62" s="78"/>
      <c r="F62" s="78"/>
      <c r="G62" s="78"/>
      <c r="H62" s="78"/>
      <c r="I62" s="78"/>
      <c r="J62" s="78"/>
      <c r="K62" s="78"/>
      <c r="L62" s="78"/>
      <c r="M62" s="78"/>
      <c r="N62" s="78"/>
      <c r="O62" s="78"/>
      <c r="P62" s="78"/>
      <c r="Q62" s="78"/>
      <c r="R62" s="78"/>
      <c r="S62" s="78"/>
      <c r="T62" s="78"/>
      <c r="U62" s="78"/>
      <c r="V62" s="78"/>
      <c r="W62" s="78"/>
      <c r="X62" s="78"/>
      <c r="Y62" s="78"/>
      <c r="Z62" s="78"/>
    </row>
    <row r="63">
      <c r="A63" s="78"/>
      <c r="B63" s="78"/>
      <c r="C63" s="78"/>
      <c r="D63" s="78"/>
      <c r="E63" s="78"/>
      <c r="F63" s="78"/>
      <c r="G63" s="78"/>
      <c r="H63" s="78"/>
      <c r="I63" s="78"/>
      <c r="J63" s="78"/>
      <c r="K63" s="78"/>
      <c r="L63" s="78"/>
      <c r="M63" s="78"/>
      <c r="N63" s="78"/>
      <c r="O63" s="78"/>
      <c r="P63" s="78"/>
      <c r="Q63" s="78"/>
      <c r="R63" s="78"/>
      <c r="S63" s="78"/>
      <c r="T63" s="78"/>
      <c r="U63" s="78"/>
      <c r="V63" s="78"/>
      <c r="W63" s="78"/>
      <c r="X63" s="78"/>
      <c r="Y63" s="78"/>
      <c r="Z63" s="78"/>
    </row>
    <row r="64">
      <c r="A64" s="78"/>
      <c r="B64" s="78"/>
      <c r="C64" s="78"/>
      <c r="D64" s="78"/>
      <c r="E64" s="78"/>
      <c r="F64" s="78"/>
      <c r="G64" s="78"/>
      <c r="H64" s="78"/>
      <c r="I64" s="78"/>
      <c r="J64" s="78"/>
      <c r="K64" s="78"/>
      <c r="L64" s="78"/>
      <c r="M64" s="78"/>
      <c r="N64" s="78"/>
      <c r="O64" s="78"/>
      <c r="P64" s="78"/>
      <c r="Q64" s="78"/>
      <c r="R64" s="78"/>
      <c r="S64" s="78"/>
      <c r="T64" s="78"/>
      <c r="U64" s="78"/>
      <c r="V64" s="78"/>
      <c r="W64" s="78"/>
      <c r="X64" s="78"/>
      <c r="Y64" s="78"/>
      <c r="Z64" s="78"/>
    </row>
    <row r="65">
      <c r="A65" s="78"/>
      <c r="B65" s="78"/>
      <c r="C65" s="78"/>
      <c r="D65" s="78"/>
      <c r="E65" s="78"/>
      <c r="F65" s="78"/>
      <c r="G65" s="78"/>
      <c r="H65" s="78"/>
      <c r="I65" s="78"/>
      <c r="J65" s="78"/>
      <c r="K65" s="78"/>
      <c r="L65" s="78"/>
      <c r="M65" s="78"/>
      <c r="N65" s="78"/>
      <c r="O65" s="78"/>
      <c r="P65" s="78"/>
      <c r="Q65" s="78"/>
      <c r="R65" s="78"/>
      <c r="S65" s="78"/>
      <c r="T65" s="78"/>
      <c r="U65" s="78"/>
      <c r="V65" s="78"/>
      <c r="W65" s="78"/>
      <c r="X65" s="78"/>
      <c r="Y65" s="78"/>
      <c r="Z65" s="78"/>
    </row>
    <row r="66">
      <c r="A66" s="78"/>
      <c r="B66" s="78"/>
      <c r="C66" s="78"/>
      <c r="D66" s="78"/>
      <c r="E66" s="78"/>
      <c r="F66" s="78"/>
      <c r="G66" s="78"/>
      <c r="H66" s="78"/>
      <c r="I66" s="78"/>
      <c r="J66" s="78"/>
      <c r="K66" s="78"/>
      <c r="L66" s="78"/>
      <c r="M66" s="78"/>
      <c r="N66" s="78"/>
      <c r="O66" s="78"/>
      <c r="P66" s="78"/>
      <c r="Q66" s="78"/>
      <c r="R66" s="78"/>
      <c r="S66" s="78"/>
      <c r="T66" s="78"/>
      <c r="U66" s="78"/>
      <c r="V66" s="78"/>
      <c r="W66" s="78"/>
      <c r="X66" s="78"/>
      <c r="Y66" s="78"/>
      <c r="Z66" s="78"/>
    </row>
    <row r="67">
      <c r="A67" s="78"/>
      <c r="B67" s="78"/>
      <c r="C67" s="78"/>
      <c r="D67" s="78"/>
      <c r="E67" s="78"/>
      <c r="F67" s="78"/>
      <c r="G67" s="78"/>
      <c r="H67" s="78"/>
      <c r="I67" s="78"/>
      <c r="J67" s="78"/>
      <c r="K67" s="78"/>
      <c r="L67" s="78"/>
      <c r="M67" s="78"/>
      <c r="N67" s="78"/>
      <c r="O67" s="78"/>
      <c r="P67" s="78"/>
      <c r="Q67" s="78"/>
      <c r="R67" s="78"/>
      <c r="S67" s="78"/>
      <c r="T67" s="78"/>
      <c r="U67" s="78"/>
      <c r="V67" s="78"/>
      <c r="W67" s="78"/>
      <c r="X67" s="78"/>
      <c r="Y67" s="78"/>
      <c r="Z67" s="78"/>
    </row>
    <row r="68">
      <c r="A68" s="78"/>
      <c r="B68" s="78"/>
      <c r="C68" s="78"/>
      <c r="D68" s="78"/>
      <c r="E68" s="78"/>
      <c r="F68" s="78"/>
      <c r="G68" s="78"/>
      <c r="H68" s="78"/>
      <c r="I68" s="78"/>
      <c r="J68" s="78"/>
      <c r="K68" s="78"/>
      <c r="L68" s="78"/>
      <c r="M68" s="78"/>
      <c r="N68" s="78"/>
      <c r="O68" s="78"/>
      <c r="P68" s="78"/>
      <c r="Q68" s="78"/>
      <c r="R68" s="78"/>
      <c r="S68" s="78"/>
      <c r="T68" s="78"/>
      <c r="U68" s="78"/>
      <c r="V68" s="78"/>
      <c r="W68" s="78"/>
      <c r="X68" s="78"/>
      <c r="Y68" s="78"/>
      <c r="Z68" s="78"/>
    </row>
    <row r="69">
      <c r="A69" s="78"/>
      <c r="B69" s="78"/>
      <c r="C69" s="78"/>
      <c r="D69" s="78"/>
      <c r="E69" s="78"/>
      <c r="F69" s="78"/>
      <c r="G69" s="78"/>
      <c r="H69" s="78"/>
      <c r="I69" s="78"/>
      <c r="J69" s="78"/>
      <c r="K69" s="78"/>
      <c r="L69" s="78"/>
      <c r="M69" s="78"/>
      <c r="N69" s="78"/>
      <c r="O69" s="78"/>
      <c r="P69" s="78"/>
      <c r="Q69" s="78"/>
      <c r="R69" s="78"/>
      <c r="S69" s="78"/>
      <c r="T69" s="78"/>
      <c r="U69" s="78"/>
      <c r="V69" s="78"/>
      <c r="W69" s="78"/>
      <c r="X69" s="78"/>
      <c r="Y69" s="78"/>
      <c r="Z69" s="78"/>
    </row>
    <row r="70">
      <c r="A70" s="78"/>
      <c r="B70" s="78"/>
      <c r="C70" s="78"/>
      <c r="D70" s="78"/>
      <c r="E70" s="78"/>
      <c r="F70" s="78"/>
      <c r="G70" s="78"/>
      <c r="H70" s="78"/>
      <c r="I70" s="78"/>
      <c r="J70" s="78"/>
      <c r="K70" s="78"/>
      <c r="L70" s="78"/>
      <c r="M70" s="78"/>
      <c r="N70" s="78"/>
      <c r="O70" s="78"/>
      <c r="P70" s="78"/>
      <c r="Q70" s="78"/>
      <c r="R70" s="78"/>
      <c r="S70" s="78"/>
      <c r="T70" s="78"/>
      <c r="U70" s="78"/>
      <c r="V70" s="78"/>
      <c r="W70" s="78"/>
      <c r="X70" s="78"/>
      <c r="Y70" s="78"/>
      <c r="Z70" s="78"/>
    </row>
    <row r="71">
      <c r="A71" s="78"/>
      <c r="B71" s="78"/>
      <c r="C71" s="78"/>
      <c r="D71" s="78"/>
      <c r="E71" s="78"/>
      <c r="F71" s="78"/>
      <c r="G71" s="78"/>
      <c r="H71" s="78"/>
      <c r="I71" s="78"/>
      <c r="J71" s="78"/>
      <c r="K71" s="78"/>
      <c r="L71" s="78"/>
      <c r="M71" s="78"/>
      <c r="N71" s="78"/>
      <c r="O71" s="78"/>
      <c r="P71" s="78"/>
      <c r="Q71" s="78"/>
      <c r="R71" s="78"/>
      <c r="S71" s="78"/>
      <c r="T71" s="78"/>
      <c r="U71" s="78"/>
      <c r="V71" s="78"/>
      <c r="W71" s="78"/>
      <c r="X71" s="78"/>
      <c r="Y71" s="78"/>
      <c r="Z71" s="78"/>
    </row>
    <row r="72">
      <c r="A72" s="78"/>
      <c r="B72" s="78"/>
      <c r="C72" s="78"/>
      <c r="D72" s="78"/>
      <c r="E72" s="78"/>
      <c r="F72" s="78"/>
      <c r="G72" s="78"/>
      <c r="H72" s="78"/>
      <c r="I72" s="78"/>
      <c r="J72" s="78"/>
      <c r="K72" s="78"/>
      <c r="L72" s="78"/>
      <c r="M72" s="78"/>
      <c r="N72" s="78"/>
      <c r="O72" s="78"/>
      <c r="P72" s="78"/>
      <c r="Q72" s="78"/>
      <c r="R72" s="78"/>
      <c r="S72" s="78"/>
      <c r="T72" s="78"/>
      <c r="U72" s="78"/>
      <c r="V72" s="78"/>
      <c r="W72" s="78"/>
      <c r="X72" s="78"/>
      <c r="Y72" s="78"/>
      <c r="Z72" s="78"/>
    </row>
    <row r="73">
      <c r="A73" s="78"/>
      <c r="B73" s="78"/>
      <c r="C73" s="78"/>
      <c r="D73" s="78"/>
      <c r="E73" s="78"/>
      <c r="F73" s="78"/>
      <c r="G73" s="78"/>
      <c r="H73" s="78"/>
      <c r="I73" s="78"/>
      <c r="J73" s="78"/>
      <c r="K73" s="78"/>
      <c r="L73" s="78"/>
      <c r="M73" s="78"/>
      <c r="N73" s="78"/>
      <c r="O73" s="78"/>
      <c r="P73" s="78"/>
      <c r="Q73" s="78"/>
      <c r="R73" s="78"/>
      <c r="S73" s="78"/>
      <c r="T73" s="78"/>
      <c r="U73" s="78"/>
      <c r="V73" s="78"/>
      <c r="W73" s="78"/>
      <c r="X73" s="78"/>
      <c r="Y73" s="78"/>
      <c r="Z73" s="78"/>
    </row>
    <row r="74">
      <c r="A74" s="78"/>
      <c r="B74" s="78"/>
      <c r="C74" s="78"/>
      <c r="D74" s="78"/>
      <c r="E74" s="78"/>
      <c r="F74" s="78"/>
      <c r="G74" s="78"/>
      <c r="H74" s="78"/>
      <c r="I74" s="78"/>
      <c r="J74" s="78"/>
      <c r="K74" s="78"/>
      <c r="L74" s="78"/>
      <c r="M74" s="78"/>
      <c r="N74" s="78"/>
      <c r="O74" s="78"/>
      <c r="P74" s="78"/>
      <c r="Q74" s="78"/>
      <c r="R74" s="78"/>
      <c r="S74" s="78"/>
      <c r="T74" s="78"/>
      <c r="U74" s="78"/>
      <c r="V74" s="78"/>
      <c r="W74" s="78"/>
      <c r="X74" s="78"/>
      <c r="Y74" s="78"/>
      <c r="Z74" s="78"/>
    </row>
    <row r="75">
      <c r="A75" s="78"/>
      <c r="B75" s="78"/>
      <c r="C75" s="78"/>
      <c r="D75" s="78"/>
      <c r="E75" s="78"/>
      <c r="F75" s="78"/>
      <c r="G75" s="78"/>
      <c r="H75" s="78"/>
      <c r="I75" s="78"/>
      <c r="J75" s="78"/>
      <c r="K75" s="78"/>
      <c r="L75" s="78"/>
      <c r="M75" s="78"/>
      <c r="N75" s="78"/>
      <c r="O75" s="78"/>
      <c r="P75" s="78"/>
      <c r="Q75" s="78"/>
      <c r="R75" s="78"/>
      <c r="S75" s="78"/>
      <c r="T75" s="78"/>
      <c r="U75" s="78"/>
      <c r="V75" s="78"/>
      <c r="W75" s="78"/>
      <c r="X75" s="78"/>
      <c r="Y75" s="78"/>
      <c r="Z75" s="78"/>
    </row>
    <row r="76">
      <c r="A76" s="78"/>
      <c r="B76" s="78"/>
      <c r="C76" s="78"/>
      <c r="D76" s="78"/>
      <c r="E76" s="78"/>
      <c r="F76" s="78"/>
      <c r="G76" s="78"/>
      <c r="H76" s="78"/>
      <c r="I76" s="78"/>
      <c r="J76" s="78"/>
      <c r="K76" s="78"/>
      <c r="L76" s="78"/>
      <c r="M76" s="78"/>
      <c r="N76" s="78"/>
      <c r="O76" s="78"/>
      <c r="P76" s="78"/>
      <c r="Q76" s="78"/>
      <c r="R76" s="78"/>
      <c r="S76" s="78"/>
      <c r="T76" s="78"/>
      <c r="U76" s="78"/>
      <c r="V76" s="78"/>
      <c r="W76" s="78"/>
      <c r="X76" s="78"/>
      <c r="Y76" s="78"/>
      <c r="Z76" s="78"/>
    </row>
    <row r="77">
      <c r="A77" s="78"/>
      <c r="B77" s="78"/>
      <c r="C77" s="78"/>
      <c r="D77" s="78"/>
      <c r="E77" s="78"/>
      <c r="F77" s="78"/>
      <c r="G77" s="78"/>
      <c r="H77" s="78"/>
      <c r="I77" s="78"/>
      <c r="J77" s="78"/>
      <c r="K77" s="78"/>
      <c r="L77" s="78"/>
      <c r="M77" s="78"/>
      <c r="N77" s="78"/>
      <c r="O77" s="78"/>
      <c r="P77" s="78"/>
      <c r="Q77" s="78"/>
      <c r="R77" s="78"/>
      <c r="S77" s="78"/>
      <c r="T77" s="78"/>
      <c r="U77" s="78"/>
      <c r="V77" s="78"/>
      <c r="W77" s="78"/>
      <c r="X77" s="78"/>
      <c r="Y77" s="78"/>
      <c r="Z77" s="78"/>
    </row>
    <row r="78">
      <c r="A78" s="78"/>
      <c r="B78" s="78"/>
      <c r="C78" s="78"/>
      <c r="D78" s="78"/>
      <c r="E78" s="78"/>
      <c r="F78" s="78"/>
      <c r="G78" s="78"/>
      <c r="H78" s="78"/>
      <c r="I78" s="78"/>
      <c r="J78" s="78"/>
      <c r="K78" s="78"/>
      <c r="L78" s="78"/>
      <c r="M78" s="78"/>
      <c r="N78" s="78"/>
      <c r="O78" s="78"/>
      <c r="P78" s="78"/>
      <c r="Q78" s="78"/>
      <c r="R78" s="78"/>
      <c r="S78" s="78"/>
      <c r="T78" s="78"/>
      <c r="U78" s="78"/>
      <c r="V78" s="78"/>
      <c r="W78" s="78"/>
      <c r="X78" s="78"/>
      <c r="Y78" s="78"/>
      <c r="Z78" s="78"/>
    </row>
    <row r="79">
      <c r="A79" s="78"/>
      <c r="B79" s="78"/>
      <c r="C79" s="78"/>
      <c r="D79" s="78"/>
      <c r="E79" s="78"/>
      <c r="F79" s="78"/>
      <c r="G79" s="78"/>
      <c r="H79" s="78"/>
      <c r="I79" s="78"/>
      <c r="J79" s="78"/>
      <c r="K79" s="78"/>
      <c r="L79" s="78"/>
      <c r="M79" s="78"/>
      <c r="N79" s="78"/>
      <c r="O79" s="78"/>
      <c r="P79" s="78"/>
      <c r="Q79" s="78"/>
      <c r="R79" s="78"/>
      <c r="S79" s="78"/>
      <c r="T79" s="78"/>
      <c r="U79" s="78"/>
      <c r="V79" s="78"/>
      <c r="W79" s="78"/>
      <c r="X79" s="78"/>
      <c r="Y79" s="78"/>
      <c r="Z79" s="78"/>
    </row>
    <row r="80">
      <c r="A80" s="78"/>
      <c r="B80" s="78"/>
      <c r="C80" s="78"/>
      <c r="D80" s="78"/>
      <c r="E80" s="78"/>
      <c r="F80" s="78"/>
      <c r="G80" s="78"/>
      <c r="H80" s="78"/>
      <c r="I80" s="78"/>
      <c r="J80" s="78"/>
      <c r="K80" s="78"/>
      <c r="L80" s="78"/>
      <c r="M80" s="78"/>
      <c r="N80" s="78"/>
      <c r="O80" s="78"/>
      <c r="P80" s="78"/>
      <c r="Q80" s="78"/>
      <c r="R80" s="78"/>
      <c r="S80" s="78"/>
      <c r="T80" s="78"/>
      <c r="U80" s="78"/>
      <c r="V80" s="78"/>
      <c r="W80" s="78"/>
      <c r="X80" s="78"/>
      <c r="Y80" s="78"/>
      <c r="Z80" s="78"/>
    </row>
    <row r="81">
      <c r="A81" s="78"/>
      <c r="B81" s="78"/>
      <c r="C81" s="78"/>
      <c r="D81" s="78"/>
      <c r="E81" s="78"/>
      <c r="F81" s="78"/>
      <c r="G81" s="78"/>
      <c r="H81" s="78"/>
      <c r="I81" s="78"/>
      <c r="J81" s="78"/>
      <c r="K81" s="78"/>
      <c r="L81" s="78"/>
      <c r="M81" s="78"/>
      <c r="N81" s="78"/>
      <c r="O81" s="78"/>
      <c r="P81" s="78"/>
      <c r="Q81" s="78"/>
      <c r="R81" s="78"/>
      <c r="S81" s="78"/>
      <c r="T81" s="78"/>
      <c r="U81" s="78"/>
      <c r="V81" s="78"/>
      <c r="W81" s="78"/>
      <c r="X81" s="78"/>
      <c r="Y81" s="78"/>
      <c r="Z81" s="78"/>
    </row>
    <row r="82">
      <c r="A82" s="78"/>
      <c r="B82" s="78"/>
      <c r="C82" s="78"/>
      <c r="D82" s="78"/>
      <c r="E82" s="78"/>
      <c r="F82" s="78"/>
      <c r="G82" s="78"/>
      <c r="H82" s="78"/>
      <c r="I82" s="78"/>
      <c r="J82" s="78"/>
      <c r="K82" s="78"/>
      <c r="L82" s="78"/>
      <c r="M82" s="78"/>
      <c r="N82" s="78"/>
      <c r="O82" s="78"/>
      <c r="P82" s="78"/>
      <c r="Q82" s="78"/>
      <c r="R82" s="78"/>
      <c r="S82" s="78"/>
      <c r="T82" s="78"/>
      <c r="U82" s="78"/>
      <c r="V82" s="78"/>
      <c r="W82" s="78"/>
      <c r="X82" s="78"/>
      <c r="Y82" s="78"/>
      <c r="Z82" s="78"/>
    </row>
    <row r="83">
      <c r="A83" s="78"/>
      <c r="B83" s="78"/>
      <c r="C83" s="78"/>
      <c r="D83" s="78"/>
      <c r="E83" s="78"/>
      <c r="F83" s="78"/>
      <c r="G83" s="78"/>
      <c r="H83" s="78"/>
      <c r="I83" s="78"/>
      <c r="J83" s="78"/>
      <c r="K83" s="78"/>
      <c r="L83" s="78"/>
      <c r="M83" s="78"/>
      <c r="N83" s="78"/>
      <c r="O83" s="78"/>
      <c r="P83" s="78"/>
      <c r="Q83" s="78"/>
      <c r="R83" s="78"/>
      <c r="S83" s="78"/>
      <c r="T83" s="78"/>
      <c r="U83" s="78"/>
      <c r="V83" s="78"/>
      <c r="W83" s="78"/>
      <c r="X83" s="78"/>
      <c r="Y83" s="78"/>
      <c r="Z83" s="78"/>
    </row>
    <row r="84">
      <c r="A84" s="78"/>
      <c r="B84" s="78"/>
      <c r="C84" s="78"/>
      <c r="D84" s="78"/>
      <c r="E84" s="78"/>
      <c r="F84" s="78"/>
      <c r="G84" s="78"/>
      <c r="H84" s="78"/>
      <c r="I84" s="78"/>
      <c r="J84" s="78"/>
      <c r="K84" s="78"/>
      <c r="L84" s="78"/>
      <c r="M84" s="78"/>
      <c r="N84" s="78"/>
      <c r="O84" s="78"/>
      <c r="P84" s="78"/>
      <c r="Q84" s="78"/>
      <c r="R84" s="78"/>
      <c r="S84" s="78"/>
      <c r="T84" s="78"/>
      <c r="U84" s="78"/>
      <c r="V84" s="78"/>
      <c r="W84" s="78"/>
      <c r="X84" s="78"/>
      <c r="Y84" s="78"/>
      <c r="Z84" s="78"/>
    </row>
    <row r="85">
      <c r="A85" s="78"/>
      <c r="B85" s="78"/>
      <c r="C85" s="78"/>
      <c r="D85" s="78"/>
      <c r="E85" s="78"/>
      <c r="F85" s="78"/>
      <c r="G85" s="78"/>
      <c r="H85" s="78"/>
      <c r="I85" s="78"/>
      <c r="J85" s="78"/>
      <c r="K85" s="78"/>
      <c r="L85" s="78"/>
      <c r="M85" s="78"/>
      <c r="N85" s="78"/>
      <c r="O85" s="78"/>
      <c r="P85" s="78"/>
      <c r="Q85" s="78"/>
      <c r="R85" s="78"/>
      <c r="S85" s="78"/>
      <c r="T85" s="78"/>
      <c r="U85" s="78"/>
      <c r="V85" s="78"/>
      <c r="W85" s="78"/>
      <c r="X85" s="78"/>
      <c r="Y85" s="78"/>
      <c r="Z85" s="78"/>
    </row>
    <row r="86">
      <c r="A86" s="78"/>
      <c r="B86" s="78"/>
      <c r="C86" s="78"/>
      <c r="D86" s="78"/>
      <c r="E86" s="78"/>
      <c r="F86" s="78"/>
      <c r="G86" s="78"/>
      <c r="H86" s="78"/>
      <c r="I86" s="78"/>
      <c r="J86" s="78"/>
      <c r="K86" s="78"/>
      <c r="L86" s="78"/>
      <c r="M86" s="78"/>
      <c r="N86" s="78"/>
      <c r="O86" s="78"/>
      <c r="P86" s="78"/>
      <c r="Q86" s="78"/>
      <c r="R86" s="78"/>
      <c r="S86" s="78"/>
      <c r="T86" s="78"/>
      <c r="U86" s="78"/>
      <c r="V86" s="78"/>
      <c r="W86" s="78"/>
      <c r="X86" s="78"/>
      <c r="Y86" s="78"/>
      <c r="Z86" s="78"/>
    </row>
    <row r="87">
      <c r="A87" s="78"/>
      <c r="B87" s="78"/>
      <c r="C87" s="78"/>
      <c r="D87" s="78"/>
      <c r="E87" s="78"/>
      <c r="F87" s="78"/>
      <c r="G87" s="78"/>
      <c r="H87" s="78"/>
      <c r="I87" s="78"/>
      <c r="J87" s="78"/>
      <c r="K87" s="78"/>
      <c r="L87" s="78"/>
      <c r="M87" s="78"/>
      <c r="N87" s="78"/>
      <c r="O87" s="78"/>
      <c r="P87" s="78"/>
      <c r="Q87" s="78"/>
      <c r="R87" s="78"/>
      <c r="S87" s="78"/>
      <c r="T87" s="78"/>
      <c r="U87" s="78"/>
      <c r="V87" s="78"/>
      <c r="W87" s="78"/>
      <c r="X87" s="78"/>
      <c r="Y87" s="78"/>
      <c r="Z87" s="78"/>
    </row>
    <row r="88">
      <c r="A88" s="78"/>
      <c r="B88" s="78"/>
      <c r="C88" s="78"/>
      <c r="D88" s="78"/>
      <c r="E88" s="78"/>
      <c r="F88" s="78"/>
      <c r="G88" s="78"/>
      <c r="H88" s="78"/>
      <c r="I88" s="78"/>
      <c r="J88" s="78"/>
      <c r="K88" s="78"/>
      <c r="L88" s="78"/>
      <c r="M88" s="78"/>
      <c r="N88" s="78"/>
      <c r="O88" s="78"/>
      <c r="P88" s="78"/>
      <c r="Q88" s="78"/>
      <c r="R88" s="78"/>
      <c r="S88" s="78"/>
      <c r="T88" s="78"/>
      <c r="U88" s="78"/>
      <c r="V88" s="78"/>
      <c r="W88" s="78"/>
      <c r="X88" s="78"/>
      <c r="Y88" s="78"/>
      <c r="Z88" s="78"/>
    </row>
    <row r="89">
      <c r="A89" s="78"/>
      <c r="B89" s="78"/>
      <c r="C89" s="78"/>
      <c r="D89" s="78"/>
      <c r="E89" s="78"/>
      <c r="F89" s="78"/>
      <c r="G89" s="78"/>
      <c r="H89" s="78"/>
      <c r="I89" s="78"/>
      <c r="J89" s="78"/>
      <c r="K89" s="78"/>
      <c r="L89" s="78"/>
      <c r="M89" s="78"/>
      <c r="N89" s="78"/>
      <c r="O89" s="78"/>
      <c r="P89" s="78"/>
      <c r="Q89" s="78"/>
      <c r="R89" s="78"/>
      <c r="S89" s="78"/>
      <c r="T89" s="78"/>
      <c r="U89" s="78"/>
      <c r="V89" s="78"/>
      <c r="W89" s="78"/>
      <c r="X89" s="78"/>
      <c r="Y89" s="78"/>
      <c r="Z89" s="78"/>
    </row>
    <row r="90">
      <c r="A90" s="78"/>
      <c r="B90" s="78"/>
      <c r="C90" s="78"/>
      <c r="D90" s="78"/>
      <c r="E90" s="78"/>
      <c r="F90" s="78"/>
      <c r="G90" s="78"/>
      <c r="H90" s="78"/>
      <c r="I90" s="78"/>
      <c r="J90" s="78"/>
      <c r="K90" s="78"/>
      <c r="L90" s="78"/>
      <c r="M90" s="78"/>
      <c r="N90" s="78"/>
      <c r="O90" s="78"/>
      <c r="P90" s="78"/>
      <c r="Q90" s="78"/>
      <c r="R90" s="78"/>
      <c r="S90" s="78"/>
      <c r="T90" s="78"/>
      <c r="U90" s="78"/>
      <c r="V90" s="78"/>
      <c r="W90" s="78"/>
      <c r="X90" s="78"/>
      <c r="Y90" s="78"/>
      <c r="Z90" s="78"/>
    </row>
    <row r="91">
      <c r="A91" s="78"/>
      <c r="B91" s="78"/>
      <c r="C91" s="78"/>
      <c r="D91" s="78"/>
      <c r="E91" s="78"/>
      <c r="F91" s="78"/>
      <c r="G91" s="78"/>
      <c r="H91" s="78"/>
      <c r="I91" s="78"/>
      <c r="J91" s="78"/>
      <c r="K91" s="78"/>
      <c r="L91" s="78"/>
      <c r="M91" s="78"/>
      <c r="N91" s="78"/>
      <c r="O91" s="78"/>
      <c r="P91" s="78"/>
      <c r="Q91" s="78"/>
      <c r="R91" s="78"/>
      <c r="S91" s="78"/>
      <c r="T91" s="78"/>
      <c r="U91" s="78"/>
      <c r="V91" s="78"/>
      <c r="W91" s="78"/>
      <c r="X91" s="78"/>
      <c r="Y91" s="78"/>
      <c r="Z91" s="78"/>
    </row>
    <row r="92">
      <c r="A92" s="78"/>
      <c r="B92" s="78"/>
      <c r="C92" s="78"/>
      <c r="D92" s="78"/>
      <c r="E92" s="78"/>
      <c r="F92" s="78"/>
      <c r="G92" s="78"/>
      <c r="H92" s="78"/>
      <c r="I92" s="78"/>
      <c r="J92" s="78"/>
      <c r="K92" s="78"/>
      <c r="L92" s="78"/>
      <c r="M92" s="78"/>
      <c r="N92" s="78"/>
      <c r="O92" s="78"/>
      <c r="P92" s="78"/>
      <c r="Q92" s="78"/>
      <c r="R92" s="78"/>
      <c r="S92" s="78"/>
      <c r="T92" s="78"/>
      <c r="U92" s="78"/>
      <c r="V92" s="78"/>
      <c r="W92" s="78"/>
      <c r="X92" s="78"/>
      <c r="Y92" s="78"/>
      <c r="Z92" s="78"/>
    </row>
    <row r="93">
      <c r="A93" s="78"/>
      <c r="B93" s="78"/>
      <c r="C93" s="78"/>
      <c r="D93" s="78"/>
      <c r="E93" s="78"/>
      <c r="F93" s="78"/>
      <c r="G93" s="78"/>
      <c r="H93" s="78"/>
      <c r="I93" s="78"/>
      <c r="J93" s="78"/>
      <c r="K93" s="78"/>
      <c r="L93" s="78"/>
      <c r="M93" s="78"/>
      <c r="N93" s="78"/>
      <c r="O93" s="78"/>
      <c r="P93" s="78"/>
      <c r="Q93" s="78"/>
      <c r="R93" s="78"/>
      <c r="S93" s="78"/>
      <c r="T93" s="78"/>
      <c r="U93" s="78"/>
      <c r="V93" s="78"/>
      <c r="W93" s="78"/>
      <c r="X93" s="78"/>
      <c r="Y93" s="78"/>
      <c r="Z93" s="78"/>
    </row>
    <row r="94">
      <c r="A94" s="78"/>
      <c r="B94" s="78"/>
      <c r="C94" s="78"/>
      <c r="D94" s="78"/>
      <c r="E94" s="78"/>
      <c r="F94" s="78"/>
      <c r="G94" s="78"/>
      <c r="H94" s="78"/>
      <c r="I94" s="78"/>
      <c r="J94" s="78"/>
      <c r="K94" s="78"/>
      <c r="L94" s="78"/>
      <c r="M94" s="78"/>
      <c r="N94" s="78"/>
      <c r="O94" s="78"/>
      <c r="P94" s="78"/>
      <c r="Q94" s="78"/>
      <c r="R94" s="78"/>
      <c r="S94" s="78"/>
      <c r="T94" s="78"/>
      <c r="U94" s="78"/>
      <c r="V94" s="78"/>
      <c r="W94" s="78"/>
      <c r="X94" s="78"/>
      <c r="Y94" s="78"/>
      <c r="Z94" s="78"/>
    </row>
    <row r="95">
      <c r="A95" s="78"/>
      <c r="B95" s="78"/>
      <c r="C95" s="78"/>
      <c r="D95" s="78"/>
      <c r="E95" s="78"/>
      <c r="F95" s="78"/>
      <c r="G95" s="78"/>
      <c r="H95" s="78"/>
      <c r="I95" s="78"/>
      <c r="J95" s="78"/>
      <c r="K95" s="78"/>
      <c r="L95" s="78"/>
      <c r="M95" s="78"/>
      <c r="N95" s="78"/>
      <c r="O95" s="78"/>
      <c r="P95" s="78"/>
      <c r="Q95" s="78"/>
      <c r="R95" s="78"/>
      <c r="S95" s="78"/>
      <c r="T95" s="78"/>
      <c r="U95" s="78"/>
      <c r="V95" s="78"/>
      <c r="W95" s="78"/>
      <c r="X95" s="78"/>
      <c r="Y95" s="78"/>
      <c r="Z95" s="78"/>
    </row>
    <row r="96">
      <c r="A96" s="78"/>
      <c r="B96" s="78"/>
      <c r="C96" s="78"/>
      <c r="D96" s="78"/>
      <c r="E96" s="78"/>
      <c r="F96" s="78"/>
      <c r="G96" s="78"/>
      <c r="H96" s="78"/>
      <c r="I96" s="78"/>
      <c r="J96" s="78"/>
      <c r="K96" s="78"/>
      <c r="L96" s="78"/>
      <c r="M96" s="78"/>
      <c r="N96" s="78"/>
      <c r="O96" s="78"/>
      <c r="P96" s="78"/>
      <c r="Q96" s="78"/>
      <c r="R96" s="78"/>
      <c r="S96" s="78"/>
      <c r="T96" s="78"/>
      <c r="U96" s="78"/>
      <c r="V96" s="78"/>
      <c r="W96" s="78"/>
      <c r="X96" s="78"/>
      <c r="Y96" s="78"/>
      <c r="Z96" s="78"/>
    </row>
    <row r="97">
      <c r="A97" s="78"/>
      <c r="B97" s="78"/>
      <c r="C97" s="78"/>
      <c r="D97" s="78"/>
      <c r="E97" s="78"/>
      <c r="F97" s="78"/>
      <c r="G97" s="78"/>
      <c r="H97" s="78"/>
      <c r="I97" s="78"/>
      <c r="J97" s="78"/>
      <c r="K97" s="78"/>
      <c r="L97" s="78"/>
      <c r="M97" s="78"/>
      <c r="N97" s="78"/>
      <c r="O97" s="78"/>
      <c r="P97" s="78"/>
      <c r="Q97" s="78"/>
      <c r="R97" s="78"/>
      <c r="S97" s="78"/>
      <c r="T97" s="78"/>
      <c r="U97" s="78"/>
      <c r="V97" s="78"/>
      <c r="W97" s="78"/>
      <c r="X97" s="78"/>
      <c r="Y97" s="78"/>
      <c r="Z97" s="78"/>
    </row>
    <row r="98">
      <c r="A98" s="78"/>
      <c r="B98" s="78"/>
      <c r="C98" s="78"/>
      <c r="D98" s="78"/>
      <c r="E98" s="78"/>
      <c r="F98" s="78"/>
      <c r="G98" s="78"/>
      <c r="H98" s="78"/>
      <c r="I98" s="78"/>
      <c r="J98" s="78"/>
      <c r="K98" s="78"/>
      <c r="L98" s="78"/>
      <c r="M98" s="78"/>
      <c r="N98" s="78"/>
      <c r="O98" s="78"/>
      <c r="P98" s="78"/>
      <c r="Q98" s="78"/>
      <c r="R98" s="78"/>
      <c r="S98" s="78"/>
      <c r="T98" s="78"/>
      <c r="U98" s="78"/>
      <c r="V98" s="78"/>
      <c r="W98" s="78"/>
      <c r="X98" s="78"/>
      <c r="Y98" s="78"/>
      <c r="Z98" s="78"/>
    </row>
    <row r="99">
      <c r="A99" s="78"/>
      <c r="B99" s="78"/>
      <c r="C99" s="78"/>
      <c r="D99" s="78"/>
      <c r="E99" s="78"/>
      <c r="F99" s="78"/>
      <c r="G99" s="78"/>
      <c r="H99" s="78"/>
      <c r="I99" s="78"/>
      <c r="J99" s="78"/>
      <c r="K99" s="78"/>
      <c r="L99" s="78"/>
      <c r="M99" s="78"/>
      <c r="N99" s="78"/>
      <c r="O99" s="78"/>
      <c r="P99" s="78"/>
      <c r="Q99" s="78"/>
      <c r="R99" s="78"/>
      <c r="S99" s="78"/>
      <c r="T99" s="78"/>
      <c r="U99" s="78"/>
      <c r="V99" s="78"/>
      <c r="W99" s="78"/>
      <c r="X99" s="78"/>
      <c r="Y99" s="78"/>
      <c r="Z99" s="78"/>
    </row>
    <row r="100">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row>
    <row r="101">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row>
    <row r="102">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row>
    <row r="103">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row>
    <row r="104">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row>
    <row r="105">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row>
    <row r="106">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row>
    <row r="107">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row>
    <row r="108">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row>
    <row r="109">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row>
    <row r="110">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row>
    <row r="111">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row>
    <row r="112">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c r="A989" s="78"/>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c r="A990" s="78"/>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c r="A991" s="78"/>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row>
    <row r="992">
      <c r="A992" s="78"/>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row>
    <row r="993">
      <c r="A993" s="78"/>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row>
    <row r="994">
      <c r="A994" s="78"/>
      <c r="B994" s="78"/>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row>
    <row r="995">
      <c r="A995" s="78"/>
      <c r="B995" s="78"/>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row>
    <row r="996">
      <c r="A996" s="78"/>
      <c r="B996" s="78"/>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row>
    <row r="997">
      <c r="A997" s="78"/>
      <c r="B997" s="78"/>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row>
    <row r="998">
      <c r="A998" s="78"/>
      <c r="B998" s="78"/>
      <c r="C998" s="78"/>
      <c r="D998" s="78"/>
      <c r="E998" s="78"/>
      <c r="F998" s="78"/>
      <c r="G998" s="78"/>
      <c r="H998" s="78"/>
      <c r="I998" s="78"/>
      <c r="J998" s="78"/>
      <c r="K998" s="78"/>
      <c r="L998" s="78"/>
      <c r="M998" s="78"/>
      <c r="N998" s="78"/>
      <c r="O998" s="78"/>
      <c r="P998" s="78"/>
      <c r="Q998" s="78"/>
      <c r="R998" s="78"/>
      <c r="S998" s="78"/>
      <c r="T998" s="78"/>
      <c r="U998" s="78"/>
      <c r="V998" s="78"/>
      <c r="W998" s="78"/>
      <c r="X998" s="78"/>
      <c r="Y998" s="78"/>
      <c r="Z998" s="78"/>
    </row>
    <row r="999">
      <c r="A999" s="78"/>
      <c r="B999" s="78"/>
      <c r="C999" s="78"/>
      <c r="D999" s="78"/>
      <c r="E999" s="78"/>
      <c r="F999" s="78"/>
      <c r="G999" s="78"/>
      <c r="H999" s="78"/>
      <c r="I999" s="78"/>
      <c r="J999" s="78"/>
      <c r="K999" s="78"/>
      <c r="L999" s="78"/>
      <c r="M999" s="78"/>
      <c r="N999" s="78"/>
      <c r="O999" s="78"/>
      <c r="P999" s="78"/>
      <c r="Q999" s="78"/>
      <c r="R999" s="78"/>
      <c r="S999" s="78"/>
      <c r="T999" s="78"/>
      <c r="U999" s="78"/>
      <c r="V999" s="78"/>
      <c r="W999" s="78"/>
      <c r="X999" s="78"/>
      <c r="Y999" s="78"/>
      <c r="Z999" s="78"/>
    </row>
    <row r="1000">
      <c r="A1000" s="78"/>
      <c r="B1000" s="78"/>
      <c r="C1000" s="78"/>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row>
  </sheetData>
  <mergeCells count="3">
    <mergeCell ref="C3:C4"/>
    <mergeCell ref="D3:F3"/>
    <mergeCell ref="G3:J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0.13"/>
    <col customWidth="1" min="2" max="2" width="94.5"/>
    <col customWidth="1" min="3" max="3" width="11.25"/>
    <col customWidth="1" min="5" max="5" width="54.13"/>
  </cols>
  <sheetData>
    <row r="1" ht="14.25" customHeight="1">
      <c r="A1" s="93" t="s">
        <v>30</v>
      </c>
      <c r="B1" s="94" t="s">
        <v>31</v>
      </c>
      <c r="C1" s="93" t="s">
        <v>32</v>
      </c>
      <c r="D1" s="95"/>
      <c r="E1" s="96" t="s">
        <v>33</v>
      </c>
      <c r="F1" s="97"/>
      <c r="G1" s="95"/>
      <c r="H1" s="95"/>
      <c r="I1" s="95"/>
      <c r="J1" s="95"/>
      <c r="K1" s="95"/>
      <c r="L1" s="95"/>
      <c r="M1" s="95"/>
      <c r="N1" s="95"/>
      <c r="O1" s="95"/>
      <c r="P1" s="95"/>
      <c r="Q1" s="95"/>
      <c r="R1" s="97"/>
      <c r="S1" s="97"/>
      <c r="T1" s="97"/>
    </row>
    <row r="2">
      <c r="A2" s="98" t="s">
        <v>34</v>
      </c>
      <c r="B2" s="98" t="s">
        <v>35</v>
      </c>
      <c r="C2" s="84" t="s">
        <v>36</v>
      </c>
      <c r="D2" s="98"/>
      <c r="E2" s="99"/>
      <c r="F2" s="99"/>
      <c r="G2" s="99"/>
      <c r="H2" s="99"/>
      <c r="I2" s="99"/>
      <c r="J2" s="99"/>
      <c r="K2" s="99"/>
      <c r="L2" s="99"/>
      <c r="M2" s="99"/>
      <c r="N2" s="99"/>
      <c r="O2" s="99"/>
      <c r="P2" s="99"/>
      <c r="Q2" s="99"/>
      <c r="R2" s="99"/>
      <c r="S2" s="99"/>
      <c r="T2" s="99"/>
    </row>
    <row r="3">
      <c r="A3" s="98" t="s">
        <v>37</v>
      </c>
      <c r="B3" s="98" t="s">
        <v>38</v>
      </c>
      <c r="C3" s="84" t="s">
        <v>36</v>
      </c>
      <c r="D3" s="99"/>
      <c r="E3" s="99"/>
      <c r="F3" s="99"/>
      <c r="G3" s="99"/>
      <c r="H3" s="99"/>
      <c r="I3" s="99"/>
      <c r="J3" s="99"/>
      <c r="K3" s="99"/>
      <c r="L3" s="99"/>
      <c r="M3" s="99"/>
      <c r="N3" s="99"/>
      <c r="O3" s="99"/>
      <c r="P3" s="99"/>
      <c r="Q3" s="99"/>
      <c r="R3" s="99"/>
      <c r="S3" s="99"/>
      <c r="T3" s="99"/>
    </row>
    <row r="4">
      <c r="A4" s="98" t="s">
        <v>39</v>
      </c>
      <c r="B4" s="98" t="s">
        <v>40</v>
      </c>
      <c r="C4" s="84" t="s">
        <v>36</v>
      </c>
      <c r="D4" s="98"/>
      <c r="E4" s="99"/>
      <c r="F4" s="99"/>
      <c r="G4" s="99"/>
      <c r="H4" s="99"/>
      <c r="I4" s="99"/>
      <c r="J4" s="99"/>
      <c r="K4" s="99"/>
      <c r="L4" s="99"/>
      <c r="M4" s="99"/>
      <c r="N4" s="99"/>
      <c r="O4" s="99"/>
      <c r="P4" s="99"/>
      <c r="Q4" s="99"/>
      <c r="R4" s="99"/>
      <c r="S4" s="99"/>
      <c r="T4" s="99"/>
    </row>
    <row r="5">
      <c r="A5" s="98" t="s">
        <v>41</v>
      </c>
      <c r="B5" s="98" t="s">
        <v>42</v>
      </c>
      <c r="C5" s="84" t="s">
        <v>36</v>
      </c>
      <c r="D5" s="99"/>
      <c r="E5" s="99"/>
      <c r="F5" s="99"/>
      <c r="G5" s="99"/>
      <c r="H5" s="99"/>
      <c r="I5" s="99"/>
      <c r="J5" s="99"/>
      <c r="K5" s="99"/>
      <c r="L5" s="99"/>
      <c r="M5" s="99"/>
      <c r="N5" s="99"/>
      <c r="O5" s="99"/>
      <c r="P5" s="99"/>
      <c r="Q5" s="99"/>
      <c r="R5" s="99"/>
      <c r="S5" s="99"/>
      <c r="T5" s="99"/>
    </row>
    <row r="6">
      <c r="A6" s="98" t="s">
        <v>43</v>
      </c>
      <c r="B6" s="98" t="s">
        <v>44</v>
      </c>
      <c r="C6" s="84" t="s">
        <v>36</v>
      </c>
      <c r="D6" s="99"/>
      <c r="E6" s="99"/>
      <c r="F6" s="99"/>
      <c r="G6" s="99"/>
      <c r="H6" s="99"/>
      <c r="I6" s="99"/>
      <c r="J6" s="99"/>
      <c r="K6" s="99"/>
      <c r="L6" s="99"/>
      <c r="M6" s="99"/>
      <c r="N6" s="99"/>
      <c r="O6" s="99"/>
      <c r="P6" s="99"/>
      <c r="Q6" s="99"/>
      <c r="R6" s="99"/>
      <c r="S6" s="99"/>
      <c r="T6" s="99"/>
    </row>
    <row r="7">
      <c r="A7" s="98" t="s">
        <v>45</v>
      </c>
      <c r="B7" s="98" t="s">
        <v>46</v>
      </c>
      <c r="C7" s="84" t="s">
        <v>36</v>
      </c>
      <c r="D7" s="99"/>
      <c r="E7" s="99"/>
      <c r="F7" s="99"/>
      <c r="G7" s="99"/>
      <c r="H7" s="99"/>
      <c r="I7" s="99"/>
      <c r="J7" s="99"/>
      <c r="K7" s="99"/>
      <c r="L7" s="99"/>
      <c r="M7" s="99"/>
      <c r="N7" s="99"/>
      <c r="O7" s="99"/>
      <c r="P7" s="99"/>
      <c r="Q7" s="99"/>
      <c r="R7" s="99"/>
      <c r="S7" s="99"/>
      <c r="T7" s="99"/>
    </row>
    <row r="8">
      <c r="A8" s="98" t="s">
        <v>47</v>
      </c>
      <c r="B8" s="98" t="s">
        <v>48</v>
      </c>
      <c r="C8" s="84" t="s">
        <v>36</v>
      </c>
      <c r="D8" s="99"/>
      <c r="E8" s="99"/>
      <c r="F8" s="99"/>
      <c r="G8" s="99"/>
      <c r="H8" s="99"/>
      <c r="I8" s="99"/>
      <c r="J8" s="99"/>
      <c r="K8" s="99"/>
      <c r="L8" s="99"/>
      <c r="M8" s="99"/>
      <c r="N8" s="99"/>
      <c r="O8" s="99"/>
      <c r="P8" s="99"/>
      <c r="Q8" s="99"/>
      <c r="R8" s="99"/>
      <c r="S8" s="99"/>
      <c r="T8" s="99"/>
    </row>
    <row r="9">
      <c r="A9" s="98" t="s">
        <v>49</v>
      </c>
      <c r="B9" s="98" t="s">
        <v>50</v>
      </c>
      <c r="C9" s="84" t="s">
        <v>36</v>
      </c>
      <c r="D9" s="99"/>
      <c r="E9" s="99"/>
      <c r="F9" s="99"/>
      <c r="G9" s="99"/>
      <c r="H9" s="99"/>
      <c r="I9" s="99"/>
      <c r="J9" s="99"/>
      <c r="K9" s="99"/>
      <c r="L9" s="99"/>
      <c r="M9" s="99"/>
      <c r="N9" s="99"/>
      <c r="O9" s="99"/>
      <c r="P9" s="99"/>
      <c r="Q9" s="99"/>
      <c r="R9" s="99"/>
      <c r="S9" s="99"/>
      <c r="T9" s="99"/>
    </row>
    <row r="10">
      <c r="A10" s="98" t="s">
        <v>51</v>
      </c>
      <c r="B10" s="98" t="s">
        <v>52</v>
      </c>
      <c r="C10" s="84" t="s">
        <v>36</v>
      </c>
      <c r="D10" s="99"/>
      <c r="E10" s="99"/>
      <c r="F10" s="99"/>
      <c r="G10" s="99"/>
      <c r="H10" s="99"/>
      <c r="I10" s="99"/>
      <c r="J10" s="99"/>
      <c r="K10" s="99"/>
      <c r="L10" s="99"/>
      <c r="M10" s="99"/>
      <c r="N10" s="99"/>
      <c r="O10" s="99"/>
      <c r="P10" s="99"/>
      <c r="Q10" s="99"/>
      <c r="R10" s="99"/>
      <c r="S10" s="99"/>
      <c r="T10" s="99"/>
    </row>
    <row r="11">
      <c r="A11" s="98" t="s">
        <v>53</v>
      </c>
      <c r="B11" s="98" t="s">
        <v>54</v>
      </c>
      <c r="C11" s="84" t="s">
        <v>36</v>
      </c>
      <c r="D11" s="99"/>
      <c r="E11" s="99"/>
      <c r="F11" s="99"/>
      <c r="G11" s="99"/>
      <c r="H11" s="99"/>
      <c r="I11" s="99"/>
      <c r="J11" s="99"/>
      <c r="K11" s="99"/>
      <c r="L11" s="99"/>
      <c r="M11" s="99"/>
      <c r="N11" s="99"/>
      <c r="O11" s="99"/>
      <c r="P11" s="99"/>
      <c r="Q11" s="99"/>
      <c r="R11" s="99"/>
      <c r="S11" s="99"/>
      <c r="T11" s="99"/>
    </row>
    <row r="12">
      <c r="A12" s="98" t="s">
        <v>55</v>
      </c>
      <c r="B12" s="98" t="s">
        <v>56</v>
      </c>
      <c r="C12" s="84" t="s">
        <v>36</v>
      </c>
      <c r="D12" s="99"/>
      <c r="E12" s="99"/>
      <c r="F12" s="99"/>
      <c r="G12" s="99"/>
      <c r="H12" s="99"/>
      <c r="I12" s="99"/>
      <c r="J12" s="99"/>
      <c r="K12" s="99"/>
      <c r="L12" s="99"/>
      <c r="M12" s="99"/>
      <c r="N12" s="99"/>
      <c r="O12" s="99"/>
      <c r="P12" s="99"/>
      <c r="Q12" s="99"/>
      <c r="R12" s="99"/>
      <c r="S12" s="99"/>
      <c r="T12" s="99"/>
    </row>
    <row r="13">
      <c r="A13" s="98" t="s">
        <v>57</v>
      </c>
      <c r="B13" s="98" t="s">
        <v>58</v>
      </c>
      <c r="C13" s="84" t="s">
        <v>36</v>
      </c>
      <c r="D13" s="99"/>
      <c r="E13" s="99"/>
      <c r="F13" s="99"/>
      <c r="G13" s="99"/>
      <c r="H13" s="99"/>
      <c r="I13" s="99"/>
      <c r="J13" s="99"/>
      <c r="K13" s="99"/>
      <c r="L13" s="99"/>
      <c r="M13" s="99"/>
      <c r="N13" s="99"/>
      <c r="O13" s="99"/>
      <c r="P13" s="99"/>
      <c r="Q13" s="99"/>
      <c r="R13" s="99"/>
      <c r="S13" s="99"/>
      <c r="T13" s="99"/>
    </row>
    <row r="14">
      <c r="A14" s="98" t="s">
        <v>59</v>
      </c>
      <c r="B14" s="98" t="s">
        <v>60</v>
      </c>
      <c r="C14" s="84" t="s">
        <v>36</v>
      </c>
      <c r="D14" s="99"/>
      <c r="E14" s="99"/>
      <c r="F14" s="99"/>
      <c r="G14" s="99"/>
      <c r="H14" s="99"/>
      <c r="I14" s="99"/>
      <c r="J14" s="99"/>
      <c r="K14" s="99"/>
      <c r="L14" s="99"/>
      <c r="M14" s="99"/>
      <c r="N14" s="99"/>
      <c r="O14" s="99"/>
      <c r="P14" s="99"/>
      <c r="Q14" s="99"/>
      <c r="R14" s="99"/>
      <c r="S14" s="99"/>
      <c r="T14" s="99"/>
    </row>
    <row r="15">
      <c r="A15" s="98" t="s">
        <v>61</v>
      </c>
      <c r="B15" s="98" t="s">
        <v>62</v>
      </c>
      <c r="C15" s="84" t="s">
        <v>36</v>
      </c>
      <c r="D15" s="99"/>
      <c r="E15" s="99"/>
      <c r="F15" s="99"/>
      <c r="G15" s="99"/>
      <c r="H15" s="99"/>
      <c r="I15" s="99"/>
      <c r="J15" s="99"/>
      <c r="K15" s="99"/>
      <c r="L15" s="99"/>
      <c r="M15" s="99"/>
      <c r="N15" s="99"/>
      <c r="O15" s="99"/>
      <c r="P15" s="99"/>
      <c r="Q15" s="99"/>
      <c r="R15" s="99"/>
      <c r="S15" s="99"/>
      <c r="T15" s="99"/>
    </row>
    <row r="16">
      <c r="A16" s="98" t="s">
        <v>63</v>
      </c>
      <c r="B16" s="98" t="s">
        <v>64</v>
      </c>
      <c r="C16" s="84" t="s">
        <v>36</v>
      </c>
      <c r="D16" s="99"/>
      <c r="E16" s="99"/>
      <c r="F16" s="99"/>
      <c r="G16" s="99"/>
      <c r="H16" s="99"/>
      <c r="I16" s="99"/>
      <c r="J16" s="99"/>
      <c r="K16" s="99"/>
      <c r="L16" s="99"/>
      <c r="M16" s="99"/>
      <c r="N16" s="99"/>
      <c r="O16" s="99"/>
      <c r="P16" s="99"/>
      <c r="Q16" s="99"/>
      <c r="R16" s="99"/>
      <c r="S16" s="99"/>
      <c r="T16" s="99"/>
    </row>
    <row r="17">
      <c r="A17" s="98" t="s">
        <v>65</v>
      </c>
      <c r="B17" s="98" t="s">
        <v>66</v>
      </c>
      <c r="C17" s="84" t="s">
        <v>36</v>
      </c>
      <c r="D17" s="99"/>
      <c r="E17" s="99"/>
      <c r="F17" s="99"/>
      <c r="G17" s="99"/>
      <c r="H17" s="99"/>
      <c r="I17" s="99"/>
      <c r="J17" s="99"/>
      <c r="K17" s="99"/>
      <c r="L17" s="99"/>
      <c r="M17" s="99"/>
      <c r="N17" s="99"/>
      <c r="O17" s="99"/>
      <c r="P17" s="99"/>
      <c r="Q17" s="99"/>
      <c r="R17" s="99"/>
      <c r="S17" s="99"/>
      <c r="T17" s="99"/>
    </row>
    <row r="18">
      <c r="A18" s="98" t="s">
        <v>67</v>
      </c>
      <c r="B18" s="98" t="s">
        <v>68</v>
      </c>
      <c r="C18" s="84" t="s">
        <v>36</v>
      </c>
      <c r="D18" s="99"/>
      <c r="E18" s="99"/>
      <c r="F18" s="99"/>
      <c r="G18" s="99"/>
      <c r="H18" s="99"/>
      <c r="I18" s="99"/>
      <c r="J18" s="99"/>
      <c r="K18" s="99"/>
      <c r="L18" s="99"/>
      <c r="M18" s="99"/>
      <c r="N18" s="99"/>
      <c r="O18" s="99"/>
      <c r="P18" s="99"/>
      <c r="Q18" s="99"/>
      <c r="R18" s="99"/>
      <c r="S18" s="99"/>
      <c r="T18" s="99"/>
    </row>
    <row r="19">
      <c r="A19" s="98" t="s">
        <v>69</v>
      </c>
      <c r="B19" s="98" t="s">
        <v>70</v>
      </c>
      <c r="C19" s="84" t="s">
        <v>36</v>
      </c>
      <c r="D19" s="99"/>
      <c r="E19" s="99"/>
      <c r="F19" s="99"/>
      <c r="G19" s="99"/>
      <c r="H19" s="99"/>
      <c r="I19" s="99"/>
      <c r="J19" s="99"/>
      <c r="K19" s="99"/>
      <c r="L19" s="99"/>
      <c r="M19" s="99"/>
      <c r="N19" s="99"/>
      <c r="O19" s="99"/>
      <c r="P19" s="99"/>
      <c r="Q19" s="99"/>
      <c r="R19" s="99"/>
      <c r="S19" s="99"/>
      <c r="T19" s="99"/>
    </row>
    <row r="20">
      <c r="A20" s="98" t="s">
        <v>71</v>
      </c>
      <c r="B20" s="98" t="s">
        <v>72</v>
      </c>
      <c r="C20" s="84" t="s">
        <v>36</v>
      </c>
      <c r="D20" s="99"/>
      <c r="E20" s="99"/>
      <c r="F20" s="99"/>
      <c r="G20" s="99"/>
      <c r="H20" s="99"/>
      <c r="I20" s="99"/>
      <c r="J20" s="99"/>
      <c r="K20" s="99"/>
      <c r="L20" s="99"/>
      <c r="M20" s="99"/>
      <c r="N20" s="99"/>
      <c r="O20" s="99"/>
      <c r="P20" s="99"/>
      <c r="Q20" s="99"/>
      <c r="R20" s="99"/>
      <c r="S20" s="99"/>
      <c r="T20" s="99"/>
    </row>
    <row r="21">
      <c r="A21" s="98" t="s">
        <v>73</v>
      </c>
      <c r="B21" s="98" t="s">
        <v>74</v>
      </c>
      <c r="C21" s="84" t="s">
        <v>36</v>
      </c>
      <c r="D21" s="99"/>
      <c r="E21" s="99"/>
      <c r="F21" s="99"/>
      <c r="G21" s="99"/>
      <c r="H21" s="99"/>
      <c r="I21" s="99"/>
      <c r="J21" s="99"/>
      <c r="K21" s="99"/>
      <c r="L21" s="99"/>
      <c r="M21" s="99"/>
      <c r="N21" s="99"/>
      <c r="O21" s="99"/>
      <c r="P21" s="99"/>
      <c r="Q21" s="99"/>
      <c r="R21" s="99"/>
      <c r="S21" s="99"/>
      <c r="T21" s="99"/>
    </row>
    <row r="22">
      <c r="A22" s="98" t="s">
        <v>75</v>
      </c>
      <c r="B22" s="98" t="s">
        <v>76</v>
      </c>
      <c r="C22" s="84" t="s">
        <v>36</v>
      </c>
      <c r="D22" s="98"/>
      <c r="E22" s="98"/>
      <c r="F22" s="99"/>
      <c r="G22" s="99"/>
      <c r="H22" s="99"/>
      <c r="I22" s="99"/>
      <c r="J22" s="99"/>
      <c r="K22" s="99"/>
      <c r="L22" s="99"/>
      <c r="M22" s="99"/>
      <c r="N22" s="99"/>
      <c r="O22" s="99"/>
      <c r="P22" s="99"/>
      <c r="Q22" s="99"/>
      <c r="R22" s="99"/>
      <c r="S22" s="99"/>
      <c r="T22" s="99"/>
    </row>
    <row r="23">
      <c r="A23" s="98" t="s">
        <v>77</v>
      </c>
      <c r="B23" s="98" t="s">
        <v>78</v>
      </c>
      <c r="C23" s="84" t="s">
        <v>36</v>
      </c>
      <c r="D23" s="98"/>
      <c r="E23" s="99"/>
      <c r="F23" s="99"/>
      <c r="G23" s="99"/>
      <c r="H23" s="99"/>
      <c r="I23" s="99"/>
      <c r="J23" s="99"/>
      <c r="K23" s="99"/>
      <c r="L23" s="99"/>
      <c r="M23" s="99"/>
      <c r="N23" s="99"/>
      <c r="O23" s="99"/>
      <c r="P23" s="99"/>
      <c r="Q23" s="99"/>
      <c r="R23" s="99"/>
      <c r="S23" s="99"/>
      <c r="T23" s="99"/>
    </row>
    <row r="24">
      <c r="A24" s="98" t="s">
        <v>79</v>
      </c>
      <c r="B24" s="98" t="s">
        <v>80</v>
      </c>
      <c r="C24" s="84" t="s">
        <v>36</v>
      </c>
      <c r="D24" s="99"/>
      <c r="E24" s="99"/>
      <c r="F24" s="99"/>
      <c r="G24" s="99"/>
      <c r="H24" s="99"/>
      <c r="I24" s="99"/>
      <c r="J24" s="99"/>
      <c r="K24" s="99"/>
      <c r="L24" s="99"/>
      <c r="M24" s="99"/>
      <c r="N24" s="99"/>
      <c r="O24" s="99"/>
      <c r="P24" s="99"/>
      <c r="Q24" s="99"/>
      <c r="R24" s="99"/>
      <c r="S24" s="99"/>
      <c r="T24" s="99"/>
    </row>
    <row r="25">
      <c r="A25" s="98" t="s">
        <v>81</v>
      </c>
      <c r="B25" s="98" t="s">
        <v>82</v>
      </c>
      <c r="C25" s="84" t="s">
        <v>36</v>
      </c>
      <c r="D25" s="99"/>
      <c r="E25" s="99"/>
      <c r="F25" s="99"/>
      <c r="G25" s="99"/>
      <c r="H25" s="99"/>
      <c r="I25" s="99"/>
      <c r="J25" s="99"/>
      <c r="K25" s="99"/>
      <c r="L25" s="99"/>
      <c r="M25" s="99"/>
      <c r="N25" s="99"/>
      <c r="O25" s="99"/>
      <c r="P25" s="99"/>
      <c r="Q25" s="99"/>
      <c r="R25" s="99"/>
      <c r="S25" s="99"/>
      <c r="T25" s="99"/>
    </row>
    <row r="26">
      <c r="A26" s="98" t="s">
        <v>83</v>
      </c>
      <c r="B26" s="98" t="s">
        <v>84</v>
      </c>
      <c r="C26" s="84" t="s">
        <v>36</v>
      </c>
      <c r="D26" s="99"/>
      <c r="E26" s="99"/>
      <c r="F26" s="99"/>
      <c r="G26" s="99"/>
      <c r="H26" s="99"/>
      <c r="I26" s="99"/>
      <c r="J26" s="99"/>
      <c r="K26" s="99"/>
      <c r="L26" s="99"/>
      <c r="M26" s="99"/>
      <c r="N26" s="99"/>
      <c r="O26" s="99"/>
      <c r="P26" s="99"/>
      <c r="Q26" s="99"/>
      <c r="R26" s="99"/>
      <c r="S26" s="99"/>
      <c r="T26" s="99"/>
    </row>
    <row r="27">
      <c r="A27" s="98" t="s">
        <v>85</v>
      </c>
      <c r="B27" s="98" t="s">
        <v>86</v>
      </c>
      <c r="C27" s="84" t="s">
        <v>36</v>
      </c>
      <c r="D27" s="99"/>
      <c r="E27" s="99"/>
      <c r="F27" s="99"/>
      <c r="G27" s="99"/>
      <c r="H27" s="99"/>
      <c r="I27" s="99"/>
      <c r="J27" s="99"/>
      <c r="K27" s="99"/>
      <c r="L27" s="99"/>
      <c r="M27" s="99"/>
      <c r="N27" s="99"/>
      <c r="O27" s="99"/>
      <c r="P27" s="99"/>
      <c r="Q27" s="99"/>
      <c r="R27" s="99"/>
      <c r="S27" s="99"/>
      <c r="T27" s="99"/>
    </row>
    <row r="28">
      <c r="A28" s="98" t="s">
        <v>87</v>
      </c>
      <c r="B28" s="98" t="s">
        <v>88</v>
      </c>
      <c r="C28" s="84" t="s">
        <v>36</v>
      </c>
      <c r="D28" s="99"/>
      <c r="E28" s="99"/>
      <c r="F28" s="99"/>
      <c r="G28" s="99"/>
      <c r="H28" s="99"/>
      <c r="I28" s="99"/>
      <c r="J28" s="99"/>
      <c r="K28" s="99"/>
      <c r="L28" s="99"/>
      <c r="M28" s="99"/>
      <c r="N28" s="99"/>
      <c r="O28" s="99"/>
      <c r="P28" s="99"/>
      <c r="Q28" s="99"/>
      <c r="R28" s="99"/>
      <c r="S28" s="99"/>
      <c r="T28" s="99"/>
    </row>
    <row r="29">
      <c r="A29" s="98" t="s">
        <v>89</v>
      </c>
      <c r="B29" s="98" t="s">
        <v>90</v>
      </c>
      <c r="C29" s="84" t="s">
        <v>36</v>
      </c>
      <c r="D29" s="99"/>
      <c r="E29" s="99"/>
      <c r="F29" s="99"/>
      <c r="G29" s="99"/>
      <c r="H29" s="99"/>
      <c r="I29" s="99"/>
      <c r="J29" s="99"/>
      <c r="K29" s="99"/>
      <c r="L29" s="99"/>
      <c r="M29" s="99"/>
      <c r="N29" s="99"/>
      <c r="O29" s="99"/>
      <c r="P29" s="99"/>
      <c r="Q29" s="99"/>
      <c r="R29" s="99"/>
      <c r="S29" s="99"/>
      <c r="T29" s="99"/>
    </row>
    <row r="30">
      <c r="A30" s="98" t="s">
        <v>91</v>
      </c>
      <c r="B30" s="98" t="s">
        <v>92</v>
      </c>
      <c r="C30" s="84" t="s">
        <v>36</v>
      </c>
      <c r="D30" s="99"/>
      <c r="E30" s="99"/>
      <c r="F30" s="99"/>
      <c r="G30" s="99"/>
      <c r="H30" s="99"/>
      <c r="I30" s="99"/>
      <c r="J30" s="99"/>
      <c r="K30" s="99"/>
      <c r="L30" s="99"/>
      <c r="M30" s="99"/>
      <c r="N30" s="99"/>
      <c r="O30" s="99"/>
      <c r="P30" s="99"/>
      <c r="Q30" s="99"/>
      <c r="R30" s="99"/>
      <c r="S30" s="99"/>
      <c r="T30" s="99"/>
    </row>
    <row r="31">
      <c r="A31" s="98" t="s">
        <v>93</v>
      </c>
      <c r="B31" s="98" t="s">
        <v>94</v>
      </c>
      <c r="C31" s="84" t="s">
        <v>36</v>
      </c>
      <c r="D31" s="99"/>
      <c r="E31" s="99"/>
      <c r="F31" s="99"/>
      <c r="G31" s="99"/>
      <c r="H31" s="99"/>
      <c r="I31" s="99"/>
      <c r="J31" s="99"/>
      <c r="K31" s="99"/>
      <c r="L31" s="99"/>
      <c r="M31" s="99"/>
      <c r="N31" s="99"/>
      <c r="O31" s="99"/>
      <c r="P31" s="99"/>
      <c r="Q31" s="99"/>
      <c r="R31" s="99"/>
      <c r="S31" s="99"/>
      <c r="T31" s="99"/>
    </row>
    <row r="32">
      <c r="A32" s="98" t="s">
        <v>95</v>
      </c>
      <c r="B32" s="98" t="s">
        <v>96</v>
      </c>
      <c r="C32" s="84" t="s">
        <v>36</v>
      </c>
      <c r="D32" s="99"/>
      <c r="E32" s="99"/>
      <c r="F32" s="99"/>
      <c r="G32" s="99"/>
      <c r="H32" s="99"/>
      <c r="I32" s="99"/>
      <c r="J32" s="99"/>
      <c r="K32" s="99"/>
      <c r="L32" s="99"/>
      <c r="M32" s="99"/>
      <c r="N32" s="99"/>
      <c r="O32" s="99"/>
      <c r="P32" s="99"/>
      <c r="Q32" s="99"/>
      <c r="R32" s="99"/>
      <c r="S32" s="99"/>
      <c r="T32" s="99"/>
    </row>
    <row r="33">
      <c r="A33" s="98" t="s">
        <v>97</v>
      </c>
      <c r="B33" s="98" t="s">
        <v>98</v>
      </c>
      <c r="C33" s="84" t="s">
        <v>36</v>
      </c>
      <c r="D33" s="99"/>
      <c r="E33" s="99"/>
      <c r="F33" s="99"/>
      <c r="G33" s="99"/>
      <c r="H33" s="99"/>
      <c r="I33" s="99"/>
      <c r="J33" s="99"/>
      <c r="K33" s="99"/>
      <c r="L33" s="99"/>
      <c r="M33" s="99"/>
      <c r="N33" s="99"/>
      <c r="O33" s="99"/>
      <c r="P33" s="99"/>
      <c r="Q33" s="99"/>
      <c r="R33" s="99"/>
      <c r="S33" s="99"/>
      <c r="T33" s="99"/>
    </row>
    <row r="34">
      <c r="A34" s="98" t="s">
        <v>99</v>
      </c>
      <c r="B34" s="98" t="s">
        <v>100</v>
      </c>
      <c r="C34" s="84" t="s">
        <v>36</v>
      </c>
      <c r="D34" s="99"/>
      <c r="E34" s="99"/>
      <c r="F34" s="99"/>
      <c r="G34" s="99"/>
      <c r="H34" s="99"/>
      <c r="I34" s="99"/>
      <c r="J34" s="99"/>
      <c r="K34" s="99"/>
      <c r="L34" s="99"/>
      <c r="M34" s="99"/>
      <c r="N34" s="99"/>
      <c r="O34" s="99"/>
      <c r="P34" s="99"/>
      <c r="Q34" s="99"/>
      <c r="R34" s="99"/>
      <c r="S34" s="99"/>
      <c r="T34" s="99"/>
    </row>
    <row r="35">
      <c r="A35" s="98" t="s">
        <v>101</v>
      </c>
      <c r="B35" s="98" t="s">
        <v>102</v>
      </c>
      <c r="C35" s="84" t="s">
        <v>36</v>
      </c>
      <c r="D35" s="98"/>
      <c r="E35" s="98"/>
      <c r="F35" s="99"/>
      <c r="G35" s="99"/>
      <c r="H35" s="99"/>
      <c r="I35" s="99"/>
      <c r="J35" s="99"/>
      <c r="K35" s="99"/>
      <c r="L35" s="99"/>
      <c r="M35" s="99"/>
      <c r="N35" s="99"/>
      <c r="O35" s="99"/>
      <c r="P35" s="99"/>
      <c r="Q35" s="99"/>
      <c r="R35" s="99"/>
      <c r="S35" s="99"/>
      <c r="T35" s="99"/>
    </row>
    <row r="36">
      <c r="A36" s="98" t="s">
        <v>103</v>
      </c>
      <c r="B36" s="98" t="s">
        <v>104</v>
      </c>
      <c r="C36" s="84" t="s">
        <v>36</v>
      </c>
      <c r="D36" s="99"/>
      <c r="E36" s="99"/>
      <c r="F36" s="99"/>
      <c r="G36" s="99"/>
      <c r="H36" s="99"/>
      <c r="I36" s="99"/>
      <c r="J36" s="99"/>
      <c r="K36" s="99"/>
      <c r="L36" s="99"/>
      <c r="M36" s="99"/>
      <c r="N36" s="99"/>
      <c r="O36" s="99"/>
      <c r="P36" s="99"/>
      <c r="Q36" s="99"/>
      <c r="R36" s="99"/>
      <c r="S36" s="99"/>
      <c r="T36" s="99"/>
    </row>
    <row r="37">
      <c r="A37" s="98" t="s">
        <v>105</v>
      </c>
      <c r="B37" s="98" t="s">
        <v>106</v>
      </c>
      <c r="C37" s="84" t="s">
        <v>36</v>
      </c>
      <c r="D37" s="99"/>
      <c r="E37" s="99"/>
      <c r="F37" s="99"/>
      <c r="G37" s="99"/>
      <c r="H37" s="99"/>
      <c r="I37" s="99"/>
      <c r="J37" s="99"/>
      <c r="K37" s="99"/>
      <c r="L37" s="99"/>
      <c r="M37" s="99"/>
      <c r="N37" s="99"/>
      <c r="O37" s="99"/>
      <c r="P37" s="99"/>
      <c r="Q37" s="99"/>
      <c r="R37" s="99"/>
      <c r="S37" s="99"/>
      <c r="T37" s="99"/>
    </row>
    <row r="38">
      <c r="A38" s="98" t="s">
        <v>107</v>
      </c>
      <c r="B38" s="98" t="s">
        <v>108</v>
      </c>
      <c r="C38" s="84" t="s">
        <v>36</v>
      </c>
      <c r="D38" s="99"/>
      <c r="E38" s="99"/>
      <c r="F38" s="99"/>
      <c r="G38" s="99"/>
      <c r="H38" s="99"/>
      <c r="I38" s="99"/>
      <c r="J38" s="99"/>
      <c r="K38" s="99"/>
      <c r="L38" s="99"/>
      <c r="M38" s="99"/>
      <c r="N38" s="99"/>
      <c r="O38" s="99"/>
      <c r="P38" s="99"/>
      <c r="Q38" s="99"/>
      <c r="R38" s="99"/>
      <c r="S38" s="99"/>
      <c r="T38" s="99"/>
    </row>
    <row r="39">
      <c r="A39" s="98" t="s">
        <v>109</v>
      </c>
      <c r="B39" s="98" t="s">
        <v>110</v>
      </c>
      <c r="C39" s="84"/>
      <c r="D39" s="98" t="s">
        <v>111</v>
      </c>
      <c r="E39" s="98"/>
      <c r="F39" s="99"/>
      <c r="G39" s="99"/>
      <c r="H39" s="99"/>
      <c r="I39" s="99"/>
      <c r="J39" s="99"/>
      <c r="K39" s="99"/>
      <c r="L39" s="99"/>
      <c r="M39" s="99"/>
      <c r="N39" s="99"/>
      <c r="O39" s="99"/>
      <c r="P39" s="99"/>
      <c r="Q39" s="99"/>
      <c r="R39" s="99"/>
      <c r="S39" s="99"/>
      <c r="T39" s="99"/>
    </row>
    <row r="40">
      <c r="A40" s="98" t="s">
        <v>112</v>
      </c>
      <c r="B40" s="98" t="s">
        <v>113</v>
      </c>
      <c r="C40" s="84" t="s">
        <v>36</v>
      </c>
      <c r="D40" s="99"/>
      <c r="E40" s="99"/>
      <c r="F40" s="99"/>
      <c r="G40" s="99"/>
      <c r="H40" s="99"/>
      <c r="I40" s="99"/>
      <c r="J40" s="99"/>
      <c r="K40" s="99"/>
      <c r="L40" s="99"/>
      <c r="M40" s="99"/>
      <c r="N40" s="99"/>
      <c r="O40" s="99"/>
      <c r="P40" s="99"/>
      <c r="Q40" s="99"/>
      <c r="R40" s="99"/>
      <c r="S40" s="99"/>
      <c r="T40" s="99"/>
    </row>
    <row r="41">
      <c r="A41" s="98" t="s">
        <v>114</v>
      </c>
      <c r="B41" s="98" t="s">
        <v>115</v>
      </c>
      <c r="C41" s="84" t="s">
        <v>36</v>
      </c>
      <c r="D41" s="99"/>
      <c r="E41" s="99"/>
      <c r="F41" s="99"/>
      <c r="G41" s="84"/>
      <c r="H41" s="99"/>
      <c r="I41" s="99"/>
      <c r="J41" s="99"/>
      <c r="K41" s="99"/>
      <c r="L41" s="99"/>
      <c r="M41" s="99"/>
      <c r="N41" s="99"/>
      <c r="O41" s="99"/>
      <c r="P41" s="99"/>
      <c r="Q41" s="99"/>
      <c r="R41" s="99"/>
      <c r="S41" s="99"/>
      <c r="T41" s="99"/>
    </row>
    <row r="42">
      <c r="A42" s="98" t="s">
        <v>116</v>
      </c>
      <c r="B42" s="98" t="s">
        <v>117</v>
      </c>
      <c r="C42" s="84" t="s">
        <v>36</v>
      </c>
      <c r="D42" s="99"/>
      <c r="E42" s="99"/>
      <c r="F42" s="99"/>
      <c r="G42" s="99"/>
      <c r="H42" s="99"/>
      <c r="I42" s="99"/>
      <c r="J42" s="99"/>
      <c r="K42" s="99"/>
      <c r="L42" s="99"/>
      <c r="M42" s="99"/>
      <c r="N42" s="99"/>
      <c r="O42" s="99"/>
      <c r="P42" s="99"/>
      <c r="Q42" s="99"/>
      <c r="R42" s="99"/>
      <c r="S42" s="99"/>
      <c r="T42" s="99"/>
    </row>
    <row r="43">
      <c r="A43" s="98" t="s">
        <v>118</v>
      </c>
      <c r="B43" s="98" t="s">
        <v>119</v>
      </c>
      <c r="C43" s="84" t="s">
        <v>36</v>
      </c>
      <c r="D43" s="99"/>
      <c r="E43" s="99"/>
      <c r="F43" s="99"/>
      <c r="G43" s="99"/>
      <c r="H43" s="99"/>
      <c r="I43" s="99"/>
      <c r="J43" s="99"/>
      <c r="K43" s="99"/>
      <c r="L43" s="99"/>
      <c r="M43" s="99"/>
      <c r="N43" s="99"/>
      <c r="O43" s="99"/>
      <c r="P43" s="99"/>
      <c r="Q43" s="99"/>
      <c r="R43" s="99"/>
      <c r="S43" s="99"/>
      <c r="T43" s="99"/>
    </row>
    <row r="44">
      <c r="A44" s="98" t="s">
        <v>120</v>
      </c>
      <c r="B44" s="98" t="s">
        <v>121</v>
      </c>
      <c r="C44" s="84" t="s">
        <v>36</v>
      </c>
      <c r="D44" s="99"/>
      <c r="E44" s="99"/>
      <c r="F44" s="99"/>
      <c r="G44" s="99"/>
      <c r="H44" s="99"/>
      <c r="I44" s="99"/>
      <c r="J44" s="99"/>
      <c r="K44" s="99"/>
      <c r="L44" s="99"/>
      <c r="M44" s="99"/>
      <c r="N44" s="99"/>
      <c r="O44" s="99"/>
      <c r="P44" s="99"/>
      <c r="Q44" s="99"/>
      <c r="R44" s="99"/>
      <c r="S44" s="99"/>
      <c r="T44" s="99"/>
    </row>
    <row r="45">
      <c r="A45" s="98" t="s">
        <v>122</v>
      </c>
      <c r="B45" s="98" t="s">
        <v>123</v>
      </c>
      <c r="C45" s="84" t="s">
        <v>36</v>
      </c>
      <c r="D45" s="99"/>
      <c r="E45" s="99"/>
      <c r="F45" s="99"/>
      <c r="G45" s="99"/>
      <c r="H45" s="99"/>
      <c r="I45" s="99"/>
      <c r="J45" s="99"/>
      <c r="K45" s="99"/>
      <c r="L45" s="99"/>
      <c r="M45" s="99"/>
      <c r="N45" s="99"/>
      <c r="O45" s="99"/>
      <c r="P45" s="99"/>
      <c r="Q45" s="99"/>
      <c r="R45" s="99"/>
      <c r="S45" s="99"/>
      <c r="T45" s="99"/>
    </row>
    <row r="46">
      <c r="A46" s="98" t="s">
        <v>124</v>
      </c>
      <c r="B46" s="98" t="s">
        <v>125</v>
      </c>
      <c r="C46" s="84" t="s">
        <v>36</v>
      </c>
      <c r="D46" s="99"/>
      <c r="E46" s="99"/>
      <c r="F46" s="99"/>
      <c r="G46" s="99"/>
      <c r="H46" s="99"/>
      <c r="I46" s="99"/>
      <c r="J46" s="99"/>
      <c r="K46" s="99"/>
      <c r="L46" s="99"/>
      <c r="M46" s="99"/>
      <c r="N46" s="99"/>
      <c r="O46" s="99"/>
      <c r="P46" s="99"/>
      <c r="Q46" s="99"/>
      <c r="R46" s="99"/>
      <c r="S46" s="99"/>
      <c r="T46" s="99"/>
    </row>
    <row r="47">
      <c r="A47" s="98" t="s">
        <v>126</v>
      </c>
      <c r="B47" s="98" t="s">
        <v>127</v>
      </c>
      <c r="C47" s="84" t="s">
        <v>36</v>
      </c>
      <c r="D47" s="99"/>
      <c r="E47" s="99"/>
      <c r="F47" s="99"/>
      <c r="G47" s="99"/>
      <c r="H47" s="99"/>
      <c r="I47" s="99"/>
      <c r="J47" s="99"/>
      <c r="K47" s="99"/>
      <c r="L47" s="99"/>
      <c r="M47" s="99"/>
      <c r="N47" s="99"/>
      <c r="O47" s="99"/>
      <c r="P47" s="99"/>
      <c r="Q47" s="99"/>
      <c r="R47" s="99"/>
      <c r="S47" s="99"/>
      <c r="T47" s="99"/>
    </row>
    <row r="48">
      <c r="A48" s="98" t="s">
        <v>128</v>
      </c>
      <c r="B48" s="98" t="s">
        <v>129</v>
      </c>
      <c r="C48" s="84" t="s">
        <v>36</v>
      </c>
      <c r="D48" s="99"/>
      <c r="E48" s="99"/>
      <c r="F48" s="99"/>
      <c r="G48" s="99"/>
      <c r="H48" s="99"/>
      <c r="I48" s="99"/>
      <c r="J48" s="99"/>
      <c r="K48" s="99"/>
      <c r="L48" s="99"/>
      <c r="M48" s="99"/>
      <c r="N48" s="99"/>
      <c r="O48" s="99"/>
      <c r="P48" s="99"/>
      <c r="Q48" s="99"/>
      <c r="R48" s="99"/>
      <c r="S48" s="99"/>
      <c r="T48" s="99"/>
    </row>
    <row r="49">
      <c r="A49" s="98" t="s">
        <v>130</v>
      </c>
      <c r="B49" s="98" t="s">
        <v>131</v>
      </c>
      <c r="C49" s="84" t="s">
        <v>36</v>
      </c>
      <c r="D49" s="99"/>
      <c r="E49" s="99"/>
      <c r="F49" s="99"/>
      <c r="G49" s="99"/>
      <c r="H49" s="99"/>
      <c r="I49" s="99"/>
      <c r="J49" s="99"/>
      <c r="K49" s="99"/>
      <c r="L49" s="99"/>
      <c r="M49" s="99"/>
      <c r="N49" s="99"/>
      <c r="O49" s="99"/>
      <c r="P49" s="99"/>
      <c r="Q49" s="99"/>
      <c r="R49" s="99"/>
      <c r="S49" s="99"/>
      <c r="T49" s="99"/>
    </row>
    <row r="50">
      <c r="A50" s="98" t="s">
        <v>132</v>
      </c>
      <c r="B50" s="98" t="s">
        <v>133</v>
      </c>
      <c r="C50" s="84" t="s">
        <v>36</v>
      </c>
      <c r="D50" s="99"/>
      <c r="E50" s="99"/>
      <c r="F50" s="99"/>
      <c r="G50" s="99"/>
      <c r="H50" s="99"/>
      <c r="I50" s="99"/>
      <c r="J50" s="99"/>
      <c r="K50" s="99"/>
      <c r="L50" s="99"/>
      <c r="M50" s="99"/>
      <c r="N50" s="99"/>
      <c r="O50" s="99"/>
      <c r="P50" s="99"/>
      <c r="Q50" s="99"/>
      <c r="R50" s="99"/>
      <c r="S50" s="99"/>
      <c r="T50" s="99"/>
    </row>
    <row r="51">
      <c r="A51" s="98" t="s">
        <v>134</v>
      </c>
      <c r="B51" s="98" t="s">
        <v>135</v>
      </c>
      <c r="C51" s="84" t="s">
        <v>36</v>
      </c>
      <c r="D51" s="99"/>
      <c r="E51" s="99"/>
      <c r="F51" s="99"/>
      <c r="G51" s="99"/>
      <c r="H51" s="99"/>
      <c r="I51" s="99"/>
      <c r="J51" s="99"/>
      <c r="K51" s="99"/>
      <c r="L51" s="99"/>
      <c r="M51" s="99"/>
      <c r="N51" s="99"/>
      <c r="O51" s="99"/>
      <c r="P51" s="99"/>
      <c r="Q51" s="99"/>
      <c r="R51" s="99"/>
      <c r="S51" s="99"/>
      <c r="T51" s="99"/>
    </row>
    <row r="52">
      <c r="A52" s="98" t="s">
        <v>136</v>
      </c>
      <c r="B52" s="98" t="s">
        <v>137</v>
      </c>
      <c r="C52" s="84" t="s">
        <v>36</v>
      </c>
      <c r="D52" s="99"/>
      <c r="E52" s="99"/>
      <c r="F52" s="99"/>
      <c r="G52" s="99"/>
      <c r="H52" s="99"/>
      <c r="I52" s="99"/>
      <c r="J52" s="99"/>
      <c r="K52" s="99"/>
      <c r="L52" s="99"/>
      <c r="M52" s="99"/>
      <c r="N52" s="99"/>
      <c r="O52" s="99"/>
      <c r="P52" s="99"/>
      <c r="Q52" s="99"/>
      <c r="R52" s="99"/>
      <c r="S52" s="99"/>
      <c r="T52" s="99"/>
    </row>
    <row r="53">
      <c r="A53" s="98" t="s">
        <v>138</v>
      </c>
      <c r="B53" s="98" t="s">
        <v>139</v>
      </c>
      <c r="C53" s="84" t="s">
        <v>36</v>
      </c>
      <c r="D53" s="99"/>
      <c r="E53" s="100" t="s">
        <v>140</v>
      </c>
      <c r="F53" s="99"/>
      <c r="G53" s="99"/>
      <c r="H53" s="99"/>
      <c r="I53" s="99"/>
      <c r="J53" s="99"/>
      <c r="K53" s="99"/>
      <c r="L53" s="99"/>
      <c r="M53" s="99"/>
      <c r="N53" s="99"/>
      <c r="O53" s="99"/>
      <c r="P53" s="99"/>
      <c r="Q53" s="99"/>
      <c r="R53" s="99"/>
      <c r="S53" s="99"/>
      <c r="T53" s="99"/>
    </row>
    <row r="54">
      <c r="A54" s="98" t="s">
        <v>141</v>
      </c>
      <c r="B54" s="98" t="s">
        <v>142</v>
      </c>
      <c r="C54" s="84" t="s">
        <v>36</v>
      </c>
      <c r="D54" s="99"/>
      <c r="E54" s="99"/>
      <c r="F54" s="99"/>
      <c r="G54" s="99"/>
      <c r="H54" s="99"/>
      <c r="I54" s="99"/>
      <c r="J54" s="99"/>
      <c r="K54" s="99"/>
      <c r="L54" s="99"/>
      <c r="M54" s="99"/>
      <c r="N54" s="99"/>
      <c r="O54" s="99"/>
      <c r="P54" s="99"/>
      <c r="Q54" s="99"/>
      <c r="R54" s="99"/>
      <c r="S54" s="99"/>
      <c r="T54" s="99"/>
    </row>
    <row r="55">
      <c r="A55" s="98" t="s">
        <v>143</v>
      </c>
      <c r="B55" s="98" t="s">
        <v>144</v>
      </c>
      <c r="C55" s="84" t="s">
        <v>36</v>
      </c>
      <c r="D55" s="99"/>
      <c r="E55" s="100"/>
      <c r="F55" s="99"/>
      <c r="G55" s="99"/>
      <c r="H55" s="99"/>
      <c r="I55" s="99"/>
      <c r="J55" s="99"/>
      <c r="K55" s="99"/>
      <c r="L55" s="99"/>
      <c r="M55" s="99"/>
      <c r="N55" s="99"/>
      <c r="O55" s="99"/>
      <c r="P55" s="99"/>
      <c r="Q55" s="99"/>
      <c r="R55" s="99"/>
      <c r="S55" s="99"/>
      <c r="T55" s="99"/>
    </row>
    <row r="56">
      <c r="A56" s="99"/>
      <c r="B56" s="99"/>
      <c r="C56" s="85"/>
      <c r="D56" s="99"/>
      <c r="E56" s="99"/>
      <c r="F56" s="99"/>
      <c r="G56" s="99"/>
      <c r="H56" s="99"/>
      <c r="I56" s="99"/>
      <c r="J56" s="99"/>
      <c r="K56" s="99"/>
      <c r="L56" s="99"/>
      <c r="M56" s="99"/>
      <c r="N56" s="99"/>
      <c r="O56" s="99"/>
      <c r="P56" s="99"/>
      <c r="Q56" s="99"/>
      <c r="R56" s="99"/>
      <c r="S56" s="99"/>
      <c r="T56" s="99"/>
    </row>
    <row r="57">
      <c r="A57" s="99"/>
      <c r="B57" s="99"/>
      <c r="C57" s="85"/>
      <c r="D57" s="99"/>
      <c r="E57" s="99"/>
      <c r="F57" s="99"/>
      <c r="G57" s="99"/>
      <c r="H57" s="99"/>
      <c r="I57" s="99"/>
      <c r="J57" s="99"/>
      <c r="K57" s="99"/>
      <c r="L57" s="99"/>
      <c r="M57" s="99"/>
      <c r="N57" s="99"/>
      <c r="O57" s="99"/>
      <c r="P57" s="99"/>
      <c r="Q57" s="99"/>
      <c r="R57" s="99"/>
      <c r="S57" s="99"/>
      <c r="T57" s="99"/>
    </row>
    <row r="58">
      <c r="A58" s="99"/>
      <c r="B58" s="99"/>
      <c r="C58" s="85"/>
      <c r="D58" s="99"/>
      <c r="E58" s="99"/>
      <c r="F58" s="99"/>
      <c r="G58" s="99"/>
      <c r="H58" s="99"/>
      <c r="I58" s="99"/>
      <c r="J58" s="99"/>
      <c r="K58" s="99"/>
      <c r="L58" s="99"/>
      <c r="M58" s="99"/>
      <c r="N58" s="99"/>
      <c r="O58" s="99"/>
      <c r="P58" s="99"/>
      <c r="Q58" s="99"/>
      <c r="R58" s="99"/>
      <c r="S58" s="99"/>
      <c r="T58" s="99"/>
    </row>
    <row r="59">
      <c r="A59" s="99"/>
      <c r="B59" s="99"/>
      <c r="C59" s="85"/>
      <c r="D59" s="99"/>
      <c r="E59" s="99"/>
      <c r="F59" s="99"/>
      <c r="G59" s="99"/>
      <c r="H59" s="99"/>
      <c r="I59" s="99"/>
      <c r="J59" s="99"/>
      <c r="K59" s="99"/>
      <c r="L59" s="99"/>
      <c r="M59" s="99"/>
      <c r="N59" s="99"/>
      <c r="O59" s="99"/>
      <c r="P59" s="99"/>
      <c r="Q59" s="99"/>
      <c r="R59" s="99"/>
      <c r="S59" s="99"/>
      <c r="T59" s="99"/>
    </row>
    <row r="60">
      <c r="A60" s="99"/>
      <c r="B60" s="99"/>
      <c r="C60" s="85"/>
      <c r="D60" s="99"/>
      <c r="E60" s="99"/>
      <c r="F60" s="99"/>
      <c r="G60" s="99"/>
      <c r="H60" s="99"/>
      <c r="I60" s="99"/>
      <c r="J60" s="99"/>
      <c r="K60" s="99"/>
      <c r="L60" s="99"/>
      <c r="M60" s="99"/>
      <c r="N60" s="99"/>
      <c r="O60" s="99"/>
      <c r="P60" s="99"/>
      <c r="Q60" s="99"/>
      <c r="R60" s="99"/>
      <c r="S60" s="99"/>
      <c r="T60" s="99"/>
    </row>
    <row r="61">
      <c r="A61" s="99"/>
      <c r="B61" s="99"/>
      <c r="C61" s="85"/>
      <c r="D61" s="99"/>
      <c r="E61" s="99"/>
      <c r="F61" s="99"/>
      <c r="G61" s="99"/>
      <c r="H61" s="99"/>
      <c r="I61" s="99"/>
      <c r="J61" s="99"/>
      <c r="K61" s="99"/>
      <c r="L61" s="99"/>
      <c r="M61" s="99"/>
      <c r="N61" s="99"/>
      <c r="O61" s="99"/>
      <c r="P61" s="99"/>
      <c r="Q61" s="99"/>
      <c r="R61" s="99"/>
      <c r="S61" s="99"/>
      <c r="T61" s="99"/>
    </row>
    <row r="62">
      <c r="A62" s="99"/>
      <c r="B62" s="99"/>
      <c r="C62" s="85"/>
      <c r="D62" s="99"/>
      <c r="E62" s="99"/>
      <c r="F62" s="99"/>
      <c r="G62" s="99"/>
      <c r="H62" s="99"/>
      <c r="I62" s="99"/>
      <c r="J62" s="99"/>
      <c r="K62" s="99"/>
      <c r="L62" s="99"/>
      <c r="M62" s="99"/>
      <c r="N62" s="99"/>
      <c r="O62" s="99"/>
      <c r="P62" s="99"/>
      <c r="Q62" s="99"/>
      <c r="R62" s="99"/>
      <c r="S62" s="99"/>
      <c r="T62" s="99"/>
    </row>
    <row r="63">
      <c r="A63" s="99"/>
      <c r="B63" s="99"/>
      <c r="C63" s="85"/>
      <c r="D63" s="99"/>
      <c r="E63" s="99"/>
      <c r="F63" s="99"/>
      <c r="G63" s="99"/>
      <c r="H63" s="99"/>
      <c r="I63" s="99"/>
      <c r="J63" s="99"/>
      <c r="K63" s="99"/>
      <c r="L63" s="99"/>
      <c r="M63" s="99"/>
      <c r="N63" s="99"/>
      <c r="O63" s="99"/>
      <c r="P63" s="99"/>
      <c r="Q63" s="99"/>
      <c r="R63" s="99"/>
      <c r="S63" s="99"/>
      <c r="T63" s="99"/>
    </row>
    <row r="64">
      <c r="A64" s="99"/>
      <c r="B64" s="99"/>
      <c r="C64" s="85"/>
      <c r="D64" s="99"/>
      <c r="E64" s="99"/>
      <c r="F64" s="99"/>
      <c r="G64" s="99"/>
      <c r="H64" s="99"/>
      <c r="I64" s="99"/>
      <c r="J64" s="99"/>
      <c r="K64" s="99"/>
      <c r="L64" s="99"/>
      <c r="M64" s="99"/>
      <c r="N64" s="99"/>
      <c r="O64" s="99"/>
      <c r="P64" s="99"/>
      <c r="Q64" s="99"/>
      <c r="R64" s="99"/>
      <c r="S64" s="99"/>
      <c r="T64" s="99"/>
    </row>
    <row r="65">
      <c r="A65" s="99"/>
      <c r="B65" s="99"/>
      <c r="C65" s="85"/>
      <c r="D65" s="99"/>
      <c r="E65" s="99"/>
      <c r="F65" s="99"/>
      <c r="G65" s="99"/>
      <c r="H65" s="99"/>
      <c r="I65" s="99"/>
      <c r="J65" s="99"/>
      <c r="K65" s="99"/>
      <c r="L65" s="99"/>
      <c r="M65" s="99"/>
      <c r="N65" s="99"/>
      <c r="O65" s="99"/>
      <c r="P65" s="99"/>
      <c r="Q65" s="99"/>
      <c r="R65" s="99"/>
      <c r="S65" s="99"/>
      <c r="T65" s="99"/>
    </row>
    <row r="66">
      <c r="A66" s="99"/>
      <c r="B66" s="99"/>
      <c r="C66" s="85"/>
      <c r="D66" s="99"/>
      <c r="E66" s="99"/>
      <c r="F66" s="99"/>
      <c r="G66" s="99"/>
      <c r="H66" s="99"/>
      <c r="I66" s="99"/>
      <c r="J66" s="99"/>
      <c r="K66" s="99"/>
      <c r="L66" s="99"/>
      <c r="M66" s="99"/>
      <c r="N66" s="99"/>
      <c r="O66" s="99"/>
      <c r="P66" s="99"/>
      <c r="Q66" s="99"/>
      <c r="R66" s="99"/>
      <c r="S66" s="99"/>
      <c r="T66" s="99"/>
    </row>
    <row r="67">
      <c r="A67" s="99"/>
      <c r="B67" s="99"/>
      <c r="C67" s="85"/>
      <c r="D67" s="99"/>
      <c r="E67" s="99"/>
      <c r="F67" s="99"/>
      <c r="G67" s="99"/>
      <c r="H67" s="99"/>
      <c r="I67" s="99"/>
      <c r="J67" s="99"/>
      <c r="K67" s="99"/>
      <c r="L67" s="99"/>
      <c r="M67" s="99"/>
      <c r="N67" s="99"/>
      <c r="O67" s="99"/>
      <c r="P67" s="99"/>
      <c r="Q67" s="99"/>
      <c r="R67" s="99"/>
      <c r="S67" s="99"/>
      <c r="T67" s="99"/>
    </row>
    <row r="68">
      <c r="A68" s="99"/>
      <c r="B68" s="99"/>
      <c r="C68" s="85"/>
      <c r="D68" s="99"/>
      <c r="E68" s="99"/>
      <c r="F68" s="99"/>
      <c r="G68" s="99"/>
      <c r="H68" s="99"/>
      <c r="I68" s="99"/>
      <c r="J68" s="99"/>
      <c r="K68" s="99"/>
      <c r="L68" s="99"/>
      <c r="M68" s="99"/>
      <c r="N68" s="99"/>
      <c r="O68" s="99"/>
      <c r="P68" s="99"/>
      <c r="Q68" s="99"/>
      <c r="R68" s="99"/>
      <c r="S68" s="99"/>
      <c r="T68" s="99"/>
    </row>
    <row r="69">
      <c r="A69" s="99"/>
      <c r="B69" s="99"/>
      <c r="C69" s="85"/>
      <c r="D69" s="99"/>
      <c r="E69" s="99"/>
      <c r="F69" s="99"/>
      <c r="G69" s="99"/>
      <c r="H69" s="99"/>
      <c r="I69" s="99"/>
      <c r="J69" s="99"/>
      <c r="K69" s="99"/>
      <c r="L69" s="99"/>
      <c r="M69" s="99"/>
      <c r="N69" s="99"/>
      <c r="O69" s="99"/>
      <c r="P69" s="99"/>
      <c r="Q69" s="99"/>
      <c r="R69" s="99"/>
      <c r="S69" s="99"/>
      <c r="T69" s="99"/>
    </row>
    <row r="70">
      <c r="A70" s="99"/>
      <c r="B70" s="99"/>
      <c r="C70" s="85"/>
      <c r="D70" s="99"/>
      <c r="E70" s="99"/>
      <c r="F70" s="99"/>
      <c r="G70" s="99"/>
      <c r="H70" s="99"/>
      <c r="I70" s="99"/>
      <c r="J70" s="99"/>
      <c r="K70" s="99"/>
      <c r="L70" s="99"/>
      <c r="M70" s="99"/>
      <c r="N70" s="99"/>
      <c r="O70" s="99"/>
      <c r="P70" s="99"/>
      <c r="Q70" s="99"/>
      <c r="R70" s="99"/>
      <c r="S70" s="99"/>
      <c r="T70" s="99"/>
    </row>
    <row r="71">
      <c r="A71" s="99"/>
      <c r="B71" s="99"/>
      <c r="C71" s="85"/>
      <c r="D71" s="99"/>
      <c r="E71" s="99"/>
      <c r="F71" s="99"/>
      <c r="G71" s="99"/>
      <c r="H71" s="99"/>
      <c r="I71" s="99"/>
      <c r="J71" s="99"/>
      <c r="K71" s="99"/>
      <c r="L71" s="99"/>
      <c r="M71" s="99"/>
      <c r="N71" s="99"/>
      <c r="O71" s="99"/>
      <c r="P71" s="99"/>
      <c r="Q71" s="99"/>
      <c r="R71" s="99"/>
      <c r="S71" s="99"/>
      <c r="T71" s="99"/>
    </row>
    <row r="72">
      <c r="A72" s="99"/>
      <c r="B72" s="99"/>
      <c r="C72" s="85"/>
      <c r="D72" s="99"/>
      <c r="E72" s="99"/>
      <c r="F72" s="99"/>
      <c r="G72" s="99"/>
      <c r="H72" s="99"/>
      <c r="I72" s="99"/>
      <c r="J72" s="99"/>
      <c r="K72" s="99"/>
      <c r="L72" s="99"/>
      <c r="M72" s="99"/>
      <c r="N72" s="99"/>
      <c r="O72" s="99"/>
      <c r="P72" s="99"/>
      <c r="Q72" s="99"/>
      <c r="R72" s="99"/>
      <c r="S72" s="99"/>
      <c r="T72" s="99"/>
    </row>
    <row r="73">
      <c r="A73" s="99"/>
      <c r="B73" s="99"/>
      <c r="C73" s="85"/>
      <c r="D73" s="99"/>
      <c r="E73" s="99"/>
      <c r="F73" s="99"/>
      <c r="G73" s="99"/>
      <c r="H73" s="99"/>
      <c r="I73" s="99"/>
      <c r="J73" s="99"/>
      <c r="K73" s="99"/>
      <c r="L73" s="99"/>
      <c r="M73" s="99"/>
      <c r="N73" s="99"/>
      <c r="O73" s="99"/>
      <c r="P73" s="99"/>
      <c r="Q73" s="99"/>
      <c r="R73" s="99"/>
      <c r="S73" s="99"/>
      <c r="T73" s="99"/>
    </row>
    <row r="74">
      <c r="A74" s="99"/>
      <c r="B74" s="99"/>
      <c r="C74" s="85"/>
      <c r="D74" s="99"/>
      <c r="E74" s="99"/>
      <c r="F74" s="99"/>
      <c r="G74" s="99"/>
      <c r="H74" s="99"/>
      <c r="I74" s="99"/>
      <c r="J74" s="99"/>
      <c r="K74" s="99"/>
      <c r="L74" s="99"/>
      <c r="M74" s="99"/>
      <c r="N74" s="99"/>
      <c r="O74" s="99"/>
      <c r="P74" s="99"/>
      <c r="Q74" s="99"/>
      <c r="R74" s="99"/>
      <c r="S74" s="99"/>
      <c r="T74" s="99"/>
    </row>
    <row r="75">
      <c r="A75" s="99"/>
      <c r="B75" s="99"/>
      <c r="C75" s="85"/>
      <c r="D75" s="99"/>
      <c r="E75" s="99"/>
      <c r="F75" s="99"/>
      <c r="G75" s="99"/>
      <c r="H75" s="99"/>
      <c r="I75" s="99"/>
      <c r="J75" s="99"/>
      <c r="K75" s="99"/>
      <c r="L75" s="99"/>
      <c r="M75" s="99"/>
      <c r="N75" s="99"/>
      <c r="O75" s="99"/>
      <c r="P75" s="99"/>
      <c r="Q75" s="99"/>
      <c r="R75" s="99"/>
      <c r="S75" s="99"/>
      <c r="T75" s="99"/>
    </row>
    <row r="76">
      <c r="A76" s="99"/>
      <c r="B76" s="99"/>
      <c r="C76" s="85"/>
      <c r="D76" s="99"/>
      <c r="E76" s="99"/>
      <c r="F76" s="99"/>
      <c r="G76" s="99"/>
      <c r="H76" s="99"/>
      <c r="I76" s="99"/>
      <c r="J76" s="99"/>
      <c r="K76" s="99"/>
      <c r="L76" s="99"/>
      <c r="M76" s="99"/>
      <c r="N76" s="99"/>
      <c r="O76" s="99"/>
      <c r="P76" s="99"/>
      <c r="Q76" s="99"/>
      <c r="R76" s="99"/>
      <c r="S76" s="99"/>
      <c r="T76" s="99"/>
    </row>
    <row r="77">
      <c r="A77" s="99"/>
      <c r="B77" s="99"/>
      <c r="C77" s="85"/>
      <c r="D77" s="99"/>
      <c r="E77" s="99"/>
      <c r="F77" s="99"/>
      <c r="G77" s="99"/>
      <c r="H77" s="99"/>
      <c r="I77" s="99"/>
      <c r="J77" s="99"/>
      <c r="K77" s="99"/>
      <c r="L77" s="99"/>
      <c r="M77" s="99"/>
      <c r="N77" s="99"/>
      <c r="O77" s="99"/>
      <c r="P77" s="99"/>
      <c r="Q77" s="99"/>
      <c r="R77" s="99"/>
      <c r="S77" s="99"/>
      <c r="T77" s="99"/>
    </row>
    <row r="78">
      <c r="A78" s="99"/>
      <c r="B78" s="99"/>
      <c r="C78" s="85"/>
      <c r="D78" s="99"/>
      <c r="E78" s="99"/>
      <c r="F78" s="99"/>
      <c r="G78" s="99"/>
      <c r="H78" s="99"/>
      <c r="I78" s="99"/>
      <c r="J78" s="99"/>
      <c r="K78" s="99"/>
      <c r="L78" s="99"/>
      <c r="M78" s="99"/>
      <c r="N78" s="99"/>
      <c r="O78" s="99"/>
      <c r="P78" s="99"/>
      <c r="Q78" s="99"/>
      <c r="R78" s="99"/>
      <c r="S78" s="99"/>
      <c r="T78" s="99"/>
    </row>
    <row r="79">
      <c r="A79" s="99"/>
      <c r="B79" s="99"/>
      <c r="C79" s="85"/>
      <c r="D79" s="99"/>
      <c r="E79" s="99"/>
      <c r="F79" s="99"/>
      <c r="G79" s="99"/>
      <c r="H79" s="99"/>
      <c r="I79" s="99"/>
      <c r="J79" s="99"/>
      <c r="K79" s="99"/>
      <c r="L79" s="99"/>
      <c r="M79" s="99"/>
      <c r="N79" s="99"/>
      <c r="O79" s="99"/>
      <c r="P79" s="99"/>
      <c r="Q79" s="99"/>
      <c r="R79" s="99"/>
      <c r="S79" s="99"/>
      <c r="T79" s="99"/>
    </row>
    <row r="80">
      <c r="A80" s="99"/>
      <c r="B80" s="99"/>
      <c r="C80" s="85"/>
      <c r="D80" s="99"/>
      <c r="E80" s="99"/>
      <c r="F80" s="99"/>
      <c r="G80" s="99"/>
      <c r="H80" s="99"/>
      <c r="I80" s="99"/>
      <c r="J80" s="99"/>
      <c r="K80" s="99"/>
      <c r="L80" s="99"/>
      <c r="M80" s="99"/>
      <c r="N80" s="99"/>
      <c r="O80" s="99"/>
      <c r="P80" s="99"/>
      <c r="Q80" s="99"/>
      <c r="R80" s="99"/>
      <c r="S80" s="99"/>
      <c r="T80" s="99"/>
    </row>
    <row r="81">
      <c r="A81" s="99"/>
      <c r="B81" s="99"/>
      <c r="C81" s="85"/>
      <c r="D81" s="99"/>
      <c r="E81" s="99"/>
      <c r="F81" s="99"/>
      <c r="G81" s="99"/>
      <c r="H81" s="99"/>
      <c r="I81" s="99"/>
      <c r="J81" s="99"/>
      <c r="K81" s="99"/>
      <c r="L81" s="99"/>
      <c r="M81" s="99"/>
      <c r="N81" s="99"/>
      <c r="O81" s="99"/>
      <c r="P81" s="99"/>
      <c r="Q81" s="99"/>
      <c r="R81" s="99"/>
      <c r="S81" s="99"/>
      <c r="T81" s="99"/>
    </row>
    <row r="82">
      <c r="A82" s="99"/>
      <c r="B82" s="99"/>
      <c r="C82" s="85"/>
      <c r="D82" s="99"/>
      <c r="E82" s="99"/>
      <c r="F82" s="99"/>
      <c r="G82" s="99"/>
      <c r="H82" s="99"/>
      <c r="I82" s="99"/>
      <c r="J82" s="99"/>
      <c r="K82" s="99"/>
      <c r="L82" s="99"/>
      <c r="M82" s="99"/>
      <c r="N82" s="99"/>
      <c r="O82" s="99"/>
      <c r="P82" s="99"/>
      <c r="Q82" s="99"/>
      <c r="R82" s="99"/>
      <c r="S82" s="99"/>
      <c r="T82" s="99"/>
    </row>
    <row r="83">
      <c r="A83" s="99"/>
      <c r="B83" s="99"/>
      <c r="C83" s="85"/>
      <c r="D83" s="99"/>
      <c r="E83" s="99"/>
      <c r="F83" s="99"/>
      <c r="G83" s="99"/>
      <c r="H83" s="99"/>
      <c r="I83" s="99"/>
      <c r="J83" s="99"/>
      <c r="K83" s="99"/>
      <c r="L83" s="99"/>
      <c r="M83" s="99"/>
      <c r="N83" s="99"/>
      <c r="O83" s="99"/>
      <c r="P83" s="99"/>
      <c r="Q83" s="99"/>
      <c r="R83" s="99"/>
      <c r="S83" s="99"/>
      <c r="T83" s="99"/>
    </row>
    <row r="84">
      <c r="A84" s="99"/>
      <c r="B84" s="99"/>
      <c r="C84" s="85"/>
      <c r="D84" s="99"/>
      <c r="E84" s="99"/>
      <c r="F84" s="99"/>
      <c r="G84" s="99"/>
      <c r="H84" s="99"/>
      <c r="I84" s="99"/>
      <c r="J84" s="99"/>
      <c r="K84" s="99"/>
      <c r="L84" s="99"/>
      <c r="M84" s="99"/>
      <c r="N84" s="99"/>
      <c r="O84" s="99"/>
      <c r="P84" s="99"/>
      <c r="Q84" s="99"/>
      <c r="R84" s="99"/>
      <c r="S84" s="99"/>
      <c r="T84" s="99"/>
    </row>
    <row r="85">
      <c r="A85" s="99"/>
      <c r="B85" s="99"/>
      <c r="C85" s="85"/>
      <c r="D85" s="99"/>
      <c r="E85" s="99"/>
      <c r="F85" s="99"/>
      <c r="G85" s="99"/>
      <c r="H85" s="99"/>
      <c r="I85" s="99"/>
      <c r="J85" s="99"/>
      <c r="K85" s="99"/>
      <c r="L85" s="99"/>
      <c r="M85" s="99"/>
      <c r="N85" s="99"/>
      <c r="O85" s="99"/>
      <c r="P85" s="99"/>
      <c r="Q85" s="99"/>
      <c r="R85" s="99"/>
      <c r="S85" s="99"/>
      <c r="T85" s="99"/>
    </row>
    <row r="86">
      <c r="A86" s="99"/>
      <c r="B86" s="99"/>
      <c r="C86" s="85"/>
      <c r="D86" s="99"/>
      <c r="E86" s="99"/>
      <c r="F86" s="99"/>
      <c r="G86" s="99"/>
      <c r="H86" s="99"/>
      <c r="I86" s="99"/>
      <c r="J86" s="99"/>
      <c r="K86" s="99"/>
      <c r="L86" s="99"/>
      <c r="M86" s="99"/>
      <c r="N86" s="99"/>
      <c r="O86" s="99"/>
      <c r="P86" s="99"/>
      <c r="Q86" s="99"/>
      <c r="R86" s="99"/>
      <c r="S86" s="99"/>
      <c r="T86" s="99"/>
    </row>
    <row r="87">
      <c r="A87" s="99"/>
      <c r="B87" s="99"/>
      <c r="C87" s="85"/>
      <c r="D87" s="99"/>
      <c r="E87" s="99"/>
      <c r="F87" s="99"/>
      <c r="G87" s="99"/>
      <c r="H87" s="99"/>
      <c r="I87" s="99"/>
      <c r="J87" s="99"/>
      <c r="K87" s="99"/>
      <c r="L87" s="99"/>
      <c r="M87" s="99"/>
      <c r="N87" s="99"/>
      <c r="O87" s="99"/>
      <c r="P87" s="99"/>
      <c r="Q87" s="99"/>
      <c r="R87" s="99"/>
      <c r="S87" s="99"/>
      <c r="T87" s="99"/>
    </row>
    <row r="88">
      <c r="A88" s="99"/>
      <c r="B88" s="99"/>
      <c r="C88" s="85"/>
      <c r="D88" s="99"/>
      <c r="E88" s="99"/>
      <c r="F88" s="99"/>
      <c r="G88" s="99"/>
      <c r="H88" s="99"/>
      <c r="I88" s="99"/>
      <c r="J88" s="99"/>
      <c r="K88" s="99"/>
      <c r="L88" s="99"/>
      <c r="M88" s="99"/>
      <c r="N88" s="99"/>
      <c r="O88" s="99"/>
      <c r="P88" s="99"/>
      <c r="Q88" s="99"/>
      <c r="R88" s="99"/>
      <c r="S88" s="99"/>
      <c r="T88" s="99"/>
    </row>
    <row r="89">
      <c r="A89" s="99"/>
      <c r="B89" s="99"/>
      <c r="C89" s="85"/>
      <c r="D89" s="99"/>
      <c r="E89" s="99"/>
      <c r="F89" s="99"/>
      <c r="G89" s="99"/>
      <c r="H89" s="99"/>
      <c r="I89" s="99"/>
      <c r="J89" s="99"/>
      <c r="K89" s="99"/>
      <c r="L89" s="99"/>
      <c r="M89" s="99"/>
      <c r="N89" s="99"/>
      <c r="O89" s="99"/>
      <c r="P89" s="99"/>
      <c r="Q89" s="99"/>
      <c r="R89" s="99"/>
      <c r="S89" s="99"/>
      <c r="T89" s="99"/>
    </row>
    <row r="90">
      <c r="A90" s="99"/>
      <c r="B90" s="99"/>
      <c r="C90" s="85"/>
      <c r="D90" s="99"/>
      <c r="E90" s="99"/>
      <c r="F90" s="99"/>
      <c r="G90" s="99"/>
      <c r="H90" s="99"/>
      <c r="I90" s="99"/>
      <c r="J90" s="99"/>
      <c r="K90" s="99"/>
      <c r="L90" s="99"/>
      <c r="M90" s="99"/>
      <c r="N90" s="99"/>
      <c r="O90" s="99"/>
      <c r="P90" s="99"/>
      <c r="Q90" s="99"/>
      <c r="R90" s="99"/>
      <c r="S90" s="99"/>
      <c r="T90" s="99"/>
    </row>
    <row r="91">
      <c r="A91" s="99"/>
      <c r="B91" s="99"/>
      <c r="C91" s="85"/>
      <c r="D91" s="99"/>
      <c r="E91" s="99"/>
      <c r="F91" s="99"/>
      <c r="G91" s="99"/>
      <c r="H91" s="99"/>
      <c r="I91" s="99"/>
      <c r="J91" s="99"/>
      <c r="K91" s="99"/>
      <c r="L91" s="99"/>
      <c r="M91" s="99"/>
      <c r="N91" s="99"/>
      <c r="O91" s="99"/>
      <c r="P91" s="99"/>
      <c r="Q91" s="99"/>
      <c r="R91" s="99"/>
      <c r="S91" s="99"/>
      <c r="T91" s="99"/>
    </row>
    <row r="92">
      <c r="A92" s="99"/>
      <c r="B92" s="99"/>
      <c r="C92" s="85"/>
      <c r="D92" s="99"/>
      <c r="E92" s="99"/>
      <c r="F92" s="99"/>
      <c r="G92" s="99"/>
      <c r="H92" s="99"/>
      <c r="I92" s="99"/>
      <c r="J92" s="99"/>
      <c r="K92" s="99"/>
      <c r="L92" s="99"/>
      <c r="M92" s="99"/>
      <c r="N92" s="99"/>
      <c r="O92" s="99"/>
      <c r="P92" s="99"/>
      <c r="Q92" s="99"/>
      <c r="R92" s="99"/>
      <c r="S92" s="99"/>
      <c r="T92" s="99"/>
    </row>
    <row r="93">
      <c r="A93" s="99"/>
      <c r="B93" s="99"/>
      <c r="C93" s="85"/>
      <c r="D93" s="99"/>
      <c r="E93" s="99"/>
      <c r="F93" s="99"/>
      <c r="G93" s="99"/>
      <c r="H93" s="99"/>
      <c r="I93" s="99"/>
      <c r="J93" s="99"/>
      <c r="K93" s="99"/>
      <c r="L93" s="99"/>
      <c r="M93" s="99"/>
      <c r="N93" s="99"/>
      <c r="O93" s="99"/>
      <c r="P93" s="99"/>
      <c r="Q93" s="99"/>
      <c r="R93" s="99"/>
      <c r="S93" s="99"/>
      <c r="T93" s="99"/>
    </row>
    <row r="94">
      <c r="A94" s="99"/>
      <c r="B94" s="99"/>
      <c r="C94" s="85"/>
      <c r="D94" s="99"/>
      <c r="E94" s="99"/>
      <c r="F94" s="99"/>
      <c r="G94" s="99"/>
      <c r="H94" s="99"/>
      <c r="I94" s="99"/>
      <c r="J94" s="99"/>
      <c r="K94" s="99"/>
      <c r="L94" s="99"/>
      <c r="M94" s="99"/>
      <c r="N94" s="99"/>
      <c r="O94" s="99"/>
      <c r="P94" s="99"/>
      <c r="Q94" s="99"/>
      <c r="R94" s="99"/>
      <c r="S94" s="99"/>
      <c r="T94" s="99"/>
    </row>
    <row r="95">
      <c r="A95" s="99"/>
      <c r="B95" s="99"/>
      <c r="C95" s="85"/>
      <c r="D95" s="99"/>
      <c r="E95" s="99"/>
      <c r="F95" s="99"/>
      <c r="G95" s="99"/>
      <c r="H95" s="99"/>
      <c r="I95" s="99"/>
      <c r="J95" s="99"/>
      <c r="K95" s="99"/>
      <c r="L95" s="99"/>
      <c r="M95" s="99"/>
      <c r="N95" s="99"/>
      <c r="O95" s="99"/>
      <c r="P95" s="99"/>
      <c r="Q95" s="99"/>
      <c r="R95" s="99"/>
      <c r="S95" s="99"/>
      <c r="T95" s="99"/>
    </row>
    <row r="96">
      <c r="A96" s="99"/>
      <c r="B96" s="99"/>
      <c r="C96" s="85"/>
      <c r="D96" s="99"/>
      <c r="E96" s="99"/>
      <c r="F96" s="99"/>
      <c r="G96" s="99"/>
      <c r="H96" s="99"/>
      <c r="I96" s="99"/>
      <c r="J96" s="99"/>
      <c r="K96" s="99"/>
      <c r="L96" s="99"/>
      <c r="M96" s="99"/>
      <c r="N96" s="99"/>
      <c r="O96" s="99"/>
      <c r="P96" s="99"/>
      <c r="Q96" s="99"/>
      <c r="R96" s="99"/>
      <c r="S96" s="99"/>
      <c r="T96" s="99"/>
    </row>
    <row r="97">
      <c r="A97" s="99"/>
      <c r="B97" s="99"/>
      <c r="C97" s="85"/>
      <c r="D97" s="99"/>
      <c r="E97" s="99"/>
      <c r="F97" s="99"/>
      <c r="G97" s="99"/>
      <c r="H97" s="99"/>
      <c r="I97" s="99"/>
      <c r="J97" s="99"/>
      <c r="K97" s="99"/>
      <c r="L97" s="99"/>
      <c r="M97" s="99"/>
      <c r="N97" s="99"/>
      <c r="O97" s="99"/>
      <c r="P97" s="99"/>
      <c r="Q97" s="99"/>
      <c r="R97" s="99"/>
      <c r="S97" s="99"/>
      <c r="T97" s="99"/>
    </row>
    <row r="98">
      <c r="A98" s="99"/>
      <c r="B98" s="99"/>
      <c r="C98" s="85"/>
      <c r="D98" s="99"/>
      <c r="E98" s="99"/>
      <c r="F98" s="99"/>
      <c r="G98" s="99"/>
      <c r="H98" s="99"/>
      <c r="I98" s="99"/>
      <c r="J98" s="99"/>
      <c r="K98" s="99"/>
      <c r="L98" s="99"/>
      <c r="M98" s="99"/>
      <c r="N98" s="99"/>
      <c r="O98" s="99"/>
      <c r="P98" s="99"/>
      <c r="Q98" s="99"/>
      <c r="R98" s="99"/>
      <c r="S98" s="99"/>
      <c r="T98" s="99"/>
    </row>
    <row r="99">
      <c r="A99" s="78"/>
      <c r="B99" s="99"/>
      <c r="C99" s="85"/>
      <c r="D99" s="99"/>
      <c r="E99" s="99"/>
      <c r="F99" s="99"/>
      <c r="G99" s="99"/>
      <c r="H99" s="99"/>
      <c r="I99" s="99"/>
      <c r="J99" s="99"/>
      <c r="K99" s="99"/>
      <c r="L99" s="99"/>
      <c r="M99" s="99"/>
      <c r="N99" s="99"/>
      <c r="O99" s="99"/>
      <c r="P99" s="99"/>
      <c r="Q99" s="99"/>
      <c r="R99" s="99"/>
      <c r="S99" s="99"/>
      <c r="T99" s="99"/>
    </row>
    <row r="100">
      <c r="A100" s="78"/>
      <c r="B100" s="99"/>
      <c r="C100" s="85"/>
      <c r="D100" s="99"/>
      <c r="E100" s="99"/>
      <c r="F100" s="99"/>
      <c r="G100" s="99"/>
      <c r="H100" s="99"/>
      <c r="I100" s="99"/>
      <c r="J100" s="99"/>
      <c r="K100" s="99"/>
      <c r="L100" s="99"/>
      <c r="M100" s="99"/>
      <c r="N100" s="99"/>
      <c r="O100" s="99"/>
      <c r="P100" s="99"/>
      <c r="Q100" s="99"/>
      <c r="R100" s="99"/>
      <c r="S100" s="99"/>
      <c r="T100" s="99"/>
    </row>
    <row r="101">
      <c r="A101" s="78"/>
      <c r="B101" s="99"/>
      <c r="C101" s="85"/>
      <c r="D101" s="99"/>
      <c r="E101" s="99"/>
      <c r="F101" s="99"/>
      <c r="G101" s="99"/>
      <c r="H101" s="99"/>
      <c r="I101" s="99"/>
      <c r="J101" s="99"/>
      <c r="K101" s="99"/>
      <c r="L101" s="99"/>
      <c r="M101" s="99"/>
      <c r="N101" s="99"/>
      <c r="O101" s="99"/>
      <c r="P101" s="99"/>
      <c r="Q101" s="99"/>
      <c r="R101" s="99"/>
      <c r="S101" s="99"/>
      <c r="T101" s="99"/>
    </row>
    <row r="102">
      <c r="A102" s="78"/>
      <c r="B102" s="99"/>
      <c r="C102" s="85"/>
      <c r="D102" s="99"/>
      <c r="E102" s="99"/>
      <c r="F102" s="99"/>
      <c r="G102" s="99"/>
      <c r="H102" s="99"/>
      <c r="I102" s="99"/>
      <c r="J102" s="99"/>
      <c r="K102" s="99"/>
      <c r="L102" s="99"/>
      <c r="M102" s="99"/>
      <c r="N102" s="99"/>
      <c r="O102" s="99"/>
      <c r="P102" s="99"/>
      <c r="Q102" s="99"/>
      <c r="R102" s="99"/>
      <c r="S102" s="99"/>
      <c r="T102" s="99"/>
    </row>
    <row r="103">
      <c r="A103" s="78"/>
      <c r="B103" s="99"/>
      <c r="C103" s="85"/>
      <c r="D103" s="99"/>
      <c r="E103" s="99"/>
      <c r="F103" s="99"/>
      <c r="G103" s="99"/>
      <c r="H103" s="99"/>
      <c r="I103" s="99"/>
      <c r="J103" s="99"/>
      <c r="K103" s="99"/>
      <c r="L103" s="99"/>
      <c r="M103" s="99"/>
      <c r="N103" s="99"/>
      <c r="O103" s="99"/>
      <c r="P103" s="99"/>
      <c r="Q103" s="99"/>
      <c r="R103" s="99"/>
      <c r="S103" s="99"/>
      <c r="T103" s="99"/>
    </row>
    <row r="104">
      <c r="A104" s="78"/>
      <c r="B104" s="99"/>
      <c r="C104" s="85"/>
      <c r="D104" s="99"/>
      <c r="E104" s="99"/>
      <c r="F104" s="99"/>
      <c r="G104" s="99"/>
      <c r="H104" s="99"/>
      <c r="I104" s="99"/>
      <c r="J104" s="99"/>
      <c r="K104" s="99"/>
      <c r="L104" s="99"/>
      <c r="M104" s="99"/>
      <c r="N104" s="99"/>
      <c r="O104" s="99"/>
      <c r="P104" s="99"/>
      <c r="Q104" s="99"/>
      <c r="R104" s="99"/>
      <c r="S104" s="99"/>
      <c r="T104" s="99"/>
    </row>
    <row r="105">
      <c r="A105" s="78"/>
      <c r="B105" s="99"/>
      <c r="C105" s="85"/>
      <c r="D105" s="99"/>
      <c r="E105" s="99"/>
      <c r="F105" s="99"/>
      <c r="G105" s="99"/>
      <c r="H105" s="99"/>
      <c r="I105" s="99"/>
      <c r="J105" s="99"/>
      <c r="K105" s="99"/>
      <c r="L105" s="99"/>
      <c r="M105" s="99"/>
      <c r="N105" s="99"/>
      <c r="O105" s="99"/>
      <c r="P105" s="99"/>
      <c r="Q105" s="99"/>
      <c r="R105" s="99"/>
      <c r="S105" s="99"/>
      <c r="T105" s="99"/>
    </row>
    <row r="106">
      <c r="A106" s="78"/>
      <c r="B106" s="99"/>
      <c r="C106" s="85"/>
      <c r="D106" s="99"/>
      <c r="E106" s="99"/>
      <c r="F106" s="99"/>
      <c r="G106" s="99"/>
      <c r="H106" s="99"/>
      <c r="I106" s="99"/>
      <c r="J106" s="99"/>
      <c r="K106" s="99"/>
      <c r="L106" s="99"/>
      <c r="M106" s="99"/>
      <c r="N106" s="99"/>
      <c r="O106" s="99"/>
      <c r="P106" s="99"/>
      <c r="Q106" s="99"/>
      <c r="R106" s="99"/>
      <c r="S106" s="99"/>
      <c r="T106" s="99"/>
    </row>
    <row r="107">
      <c r="A107" s="78"/>
      <c r="B107" s="99"/>
      <c r="C107" s="85"/>
      <c r="D107" s="99"/>
      <c r="E107" s="99"/>
      <c r="F107" s="99"/>
      <c r="G107" s="99"/>
      <c r="H107" s="99"/>
      <c r="I107" s="99"/>
      <c r="J107" s="99"/>
      <c r="K107" s="99"/>
      <c r="L107" s="99"/>
      <c r="M107" s="99"/>
      <c r="N107" s="99"/>
      <c r="O107" s="99"/>
      <c r="P107" s="99"/>
      <c r="Q107" s="99"/>
      <c r="R107" s="99"/>
      <c r="S107" s="99"/>
      <c r="T107" s="99"/>
    </row>
    <row r="108">
      <c r="A108" s="78"/>
      <c r="B108" s="99"/>
      <c r="C108" s="85"/>
      <c r="D108" s="99"/>
      <c r="E108" s="99"/>
      <c r="F108" s="99"/>
      <c r="G108" s="99"/>
      <c r="H108" s="99"/>
      <c r="I108" s="99"/>
      <c r="J108" s="99"/>
      <c r="K108" s="99"/>
      <c r="L108" s="99"/>
      <c r="M108" s="99"/>
      <c r="N108" s="99"/>
      <c r="O108" s="99"/>
      <c r="P108" s="99"/>
      <c r="Q108" s="99"/>
      <c r="R108" s="99"/>
      <c r="S108" s="99"/>
      <c r="T108" s="99"/>
    </row>
    <row r="109">
      <c r="A109" s="78"/>
      <c r="B109" s="99"/>
      <c r="C109" s="85"/>
      <c r="D109" s="99"/>
      <c r="E109" s="99"/>
      <c r="F109" s="99"/>
      <c r="G109" s="99"/>
      <c r="H109" s="99"/>
      <c r="I109" s="99"/>
      <c r="J109" s="99"/>
      <c r="K109" s="99"/>
      <c r="L109" s="99"/>
      <c r="M109" s="99"/>
      <c r="N109" s="99"/>
      <c r="O109" s="99"/>
      <c r="P109" s="99"/>
      <c r="Q109" s="99"/>
      <c r="R109" s="99"/>
      <c r="S109" s="99"/>
      <c r="T109" s="99"/>
    </row>
    <row r="110">
      <c r="A110" s="78"/>
      <c r="B110" s="99"/>
      <c r="C110" s="85"/>
      <c r="D110" s="99"/>
      <c r="E110" s="99"/>
      <c r="F110" s="99"/>
      <c r="G110" s="99"/>
      <c r="H110" s="99"/>
      <c r="I110" s="99"/>
      <c r="J110" s="99"/>
      <c r="K110" s="99"/>
      <c r="L110" s="99"/>
      <c r="M110" s="99"/>
      <c r="N110" s="99"/>
      <c r="O110" s="99"/>
      <c r="P110" s="99"/>
      <c r="Q110" s="99"/>
      <c r="R110" s="99"/>
      <c r="S110" s="99"/>
      <c r="T110" s="99"/>
    </row>
    <row r="111">
      <c r="A111" s="78"/>
      <c r="B111" s="99"/>
      <c r="C111" s="85"/>
      <c r="D111" s="99"/>
      <c r="E111" s="99"/>
      <c r="F111" s="99"/>
      <c r="G111" s="99"/>
      <c r="H111" s="99"/>
      <c r="I111" s="99"/>
      <c r="J111" s="99"/>
      <c r="K111" s="99"/>
      <c r="L111" s="99"/>
      <c r="M111" s="99"/>
      <c r="N111" s="99"/>
      <c r="O111" s="99"/>
      <c r="P111" s="99"/>
      <c r="Q111" s="99"/>
      <c r="R111" s="99"/>
      <c r="S111" s="99"/>
      <c r="T111" s="99"/>
    </row>
    <row r="112">
      <c r="A112" s="78"/>
      <c r="B112" s="99"/>
      <c r="C112" s="85"/>
      <c r="D112" s="99"/>
      <c r="E112" s="99"/>
      <c r="F112" s="99"/>
      <c r="G112" s="99"/>
      <c r="H112" s="99"/>
      <c r="I112" s="99"/>
      <c r="J112" s="99"/>
      <c r="K112" s="99"/>
      <c r="L112" s="99"/>
      <c r="M112" s="99"/>
      <c r="N112" s="99"/>
      <c r="O112" s="99"/>
      <c r="P112" s="99"/>
      <c r="Q112" s="99"/>
      <c r="R112" s="99"/>
      <c r="S112" s="99"/>
      <c r="T112" s="99"/>
    </row>
    <row r="113">
      <c r="A113" s="78"/>
      <c r="B113" s="99"/>
      <c r="C113" s="85"/>
      <c r="D113" s="99"/>
      <c r="E113" s="99"/>
      <c r="F113" s="99"/>
      <c r="G113" s="99"/>
      <c r="H113" s="99"/>
      <c r="I113" s="99"/>
      <c r="J113" s="99"/>
      <c r="K113" s="99"/>
      <c r="L113" s="99"/>
      <c r="M113" s="99"/>
      <c r="N113" s="99"/>
      <c r="O113" s="99"/>
      <c r="P113" s="99"/>
      <c r="Q113" s="99"/>
      <c r="R113" s="99"/>
      <c r="S113" s="99"/>
      <c r="T113" s="99"/>
    </row>
    <row r="114">
      <c r="A114" s="78"/>
      <c r="B114" s="99"/>
      <c r="C114" s="85"/>
      <c r="D114" s="99"/>
      <c r="E114" s="99"/>
      <c r="F114" s="99"/>
      <c r="G114" s="99"/>
      <c r="H114" s="99"/>
      <c r="I114" s="99"/>
      <c r="J114" s="99"/>
      <c r="K114" s="99"/>
      <c r="L114" s="99"/>
      <c r="M114" s="99"/>
      <c r="N114" s="99"/>
      <c r="O114" s="99"/>
      <c r="P114" s="99"/>
      <c r="Q114" s="99"/>
      <c r="R114" s="99"/>
      <c r="S114" s="99"/>
      <c r="T114" s="99"/>
    </row>
    <row r="115">
      <c r="A115" s="78"/>
      <c r="B115" s="99"/>
      <c r="C115" s="85"/>
      <c r="D115" s="99"/>
      <c r="E115" s="99"/>
      <c r="F115" s="99"/>
      <c r="G115" s="99"/>
      <c r="H115" s="99"/>
      <c r="I115" s="99"/>
      <c r="J115" s="99"/>
      <c r="K115" s="99"/>
      <c r="L115" s="99"/>
      <c r="M115" s="99"/>
      <c r="N115" s="99"/>
      <c r="O115" s="99"/>
      <c r="P115" s="99"/>
      <c r="Q115" s="99"/>
      <c r="R115" s="99"/>
      <c r="S115" s="99"/>
      <c r="T115" s="99"/>
    </row>
    <row r="116">
      <c r="A116" s="78"/>
      <c r="B116" s="99"/>
      <c r="C116" s="85"/>
      <c r="D116" s="99"/>
      <c r="E116" s="99"/>
      <c r="F116" s="99"/>
      <c r="G116" s="99"/>
      <c r="H116" s="99"/>
      <c r="I116" s="99"/>
      <c r="J116" s="99"/>
      <c r="K116" s="99"/>
      <c r="L116" s="99"/>
      <c r="M116" s="99"/>
      <c r="N116" s="99"/>
      <c r="O116" s="99"/>
      <c r="P116" s="99"/>
      <c r="Q116" s="99"/>
      <c r="R116" s="99"/>
      <c r="S116" s="99"/>
      <c r="T116" s="99"/>
    </row>
    <row r="117">
      <c r="A117" s="78"/>
      <c r="B117" s="99"/>
      <c r="C117" s="85"/>
      <c r="D117" s="99"/>
      <c r="E117" s="99"/>
      <c r="F117" s="99"/>
      <c r="G117" s="99"/>
      <c r="H117" s="99"/>
      <c r="I117" s="99"/>
      <c r="J117" s="99"/>
      <c r="K117" s="99"/>
      <c r="L117" s="99"/>
      <c r="M117" s="99"/>
      <c r="N117" s="99"/>
      <c r="O117" s="99"/>
      <c r="P117" s="99"/>
      <c r="Q117" s="99"/>
      <c r="R117" s="99"/>
      <c r="S117" s="99"/>
      <c r="T117" s="99"/>
    </row>
    <row r="118">
      <c r="A118" s="78"/>
      <c r="B118" s="99"/>
      <c r="C118" s="85"/>
      <c r="D118" s="99"/>
      <c r="E118" s="99"/>
      <c r="F118" s="99"/>
      <c r="G118" s="99"/>
      <c r="H118" s="99"/>
      <c r="I118" s="99"/>
      <c r="J118" s="99"/>
      <c r="K118" s="99"/>
      <c r="L118" s="99"/>
      <c r="M118" s="99"/>
      <c r="N118" s="99"/>
      <c r="O118" s="99"/>
      <c r="P118" s="99"/>
      <c r="Q118" s="99"/>
      <c r="R118" s="99"/>
      <c r="S118" s="99"/>
      <c r="T118" s="99"/>
    </row>
    <row r="119">
      <c r="A119" s="78"/>
      <c r="B119" s="99"/>
      <c r="C119" s="85"/>
      <c r="D119" s="99"/>
      <c r="E119" s="99"/>
      <c r="F119" s="99"/>
      <c r="G119" s="99"/>
      <c r="H119" s="99"/>
      <c r="I119" s="99"/>
      <c r="J119" s="99"/>
      <c r="K119" s="99"/>
      <c r="L119" s="99"/>
      <c r="M119" s="99"/>
      <c r="N119" s="99"/>
      <c r="O119" s="99"/>
      <c r="P119" s="99"/>
      <c r="Q119" s="99"/>
      <c r="R119" s="99"/>
      <c r="S119" s="99"/>
      <c r="T119" s="99"/>
    </row>
    <row r="120">
      <c r="A120" s="78"/>
      <c r="B120" s="99"/>
      <c r="C120" s="85"/>
      <c r="D120" s="99"/>
      <c r="E120" s="99"/>
      <c r="F120" s="99"/>
      <c r="G120" s="99"/>
      <c r="H120" s="99"/>
      <c r="I120" s="99"/>
      <c r="J120" s="99"/>
      <c r="K120" s="99"/>
      <c r="L120" s="99"/>
      <c r="M120" s="99"/>
      <c r="N120" s="99"/>
      <c r="O120" s="99"/>
      <c r="P120" s="99"/>
      <c r="Q120" s="99"/>
      <c r="R120" s="99"/>
      <c r="S120" s="99"/>
      <c r="T120" s="99"/>
    </row>
    <row r="121">
      <c r="A121" s="78"/>
      <c r="B121" s="99"/>
      <c r="C121" s="85"/>
      <c r="D121" s="99"/>
      <c r="E121" s="99"/>
      <c r="F121" s="99"/>
      <c r="G121" s="99"/>
      <c r="H121" s="99"/>
      <c r="I121" s="99"/>
      <c r="J121" s="99"/>
      <c r="K121" s="99"/>
      <c r="L121" s="99"/>
      <c r="M121" s="99"/>
      <c r="N121" s="99"/>
      <c r="O121" s="99"/>
      <c r="P121" s="99"/>
      <c r="Q121" s="99"/>
      <c r="R121" s="99"/>
      <c r="S121" s="99"/>
      <c r="T121" s="99"/>
    </row>
    <row r="122">
      <c r="A122" s="78"/>
      <c r="B122" s="99"/>
      <c r="C122" s="85"/>
      <c r="D122" s="99"/>
      <c r="E122" s="99"/>
      <c r="F122" s="99"/>
      <c r="G122" s="99"/>
      <c r="H122" s="99"/>
      <c r="I122" s="99"/>
      <c r="J122" s="99"/>
      <c r="K122" s="99"/>
      <c r="L122" s="99"/>
      <c r="M122" s="99"/>
      <c r="N122" s="99"/>
      <c r="O122" s="99"/>
      <c r="P122" s="99"/>
      <c r="Q122" s="99"/>
      <c r="R122" s="99"/>
      <c r="S122" s="99"/>
      <c r="T122" s="99"/>
    </row>
    <row r="123">
      <c r="A123" s="78"/>
      <c r="B123" s="99"/>
      <c r="C123" s="85"/>
      <c r="D123" s="99"/>
      <c r="E123" s="99"/>
      <c r="F123" s="99"/>
      <c r="G123" s="99"/>
      <c r="H123" s="99"/>
      <c r="I123" s="99"/>
      <c r="J123" s="99"/>
      <c r="K123" s="99"/>
      <c r="L123" s="99"/>
      <c r="M123" s="99"/>
      <c r="N123" s="99"/>
      <c r="O123" s="99"/>
      <c r="P123" s="99"/>
      <c r="Q123" s="99"/>
      <c r="R123" s="99"/>
      <c r="S123" s="99"/>
      <c r="T123" s="99"/>
    </row>
    <row r="124">
      <c r="A124" s="78"/>
      <c r="B124" s="99"/>
      <c r="C124" s="85"/>
      <c r="D124" s="99"/>
      <c r="E124" s="99"/>
      <c r="F124" s="99"/>
      <c r="G124" s="99"/>
      <c r="H124" s="99"/>
      <c r="I124" s="99"/>
      <c r="J124" s="99"/>
      <c r="K124" s="99"/>
      <c r="L124" s="99"/>
      <c r="M124" s="99"/>
      <c r="N124" s="99"/>
      <c r="O124" s="99"/>
      <c r="P124" s="99"/>
      <c r="Q124" s="99"/>
      <c r="R124" s="99"/>
      <c r="S124" s="99"/>
      <c r="T124" s="99"/>
    </row>
    <row r="125">
      <c r="A125" s="78"/>
      <c r="B125" s="99"/>
      <c r="C125" s="85"/>
      <c r="D125" s="99"/>
      <c r="E125" s="99"/>
      <c r="F125" s="99"/>
      <c r="G125" s="99"/>
      <c r="H125" s="99"/>
      <c r="I125" s="99"/>
      <c r="J125" s="99"/>
      <c r="K125" s="99"/>
      <c r="L125" s="99"/>
      <c r="M125" s="99"/>
      <c r="N125" s="99"/>
      <c r="O125" s="99"/>
      <c r="P125" s="99"/>
      <c r="Q125" s="99"/>
      <c r="R125" s="99"/>
      <c r="S125" s="99"/>
      <c r="T125" s="99"/>
    </row>
    <row r="126">
      <c r="A126" s="78"/>
      <c r="B126" s="99"/>
      <c r="C126" s="85"/>
      <c r="D126" s="99"/>
      <c r="E126" s="99"/>
      <c r="F126" s="99"/>
      <c r="G126" s="99"/>
      <c r="H126" s="99"/>
      <c r="I126" s="99"/>
      <c r="J126" s="99"/>
      <c r="K126" s="99"/>
      <c r="L126" s="99"/>
      <c r="M126" s="99"/>
      <c r="N126" s="99"/>
      <c r="O126" s="99"/>
      <c r="P126" s="99"/>
      <c r="Q126" s="99"/>
      <c r="R126" s="99"/>
      <c r="S126" s="99"/>
      <c r="T126" s="99"/>
    </row>
    <row r="127">
      <c r="A127" s="78"/>
      <c r="B127" s="99"/>
      <c r="C127" s="85"/>
      <c r="D127" s="99"/>
      <c r="E127" s="99"/>
      <c r="F127" s="99"/>
      <c r="G127" s="99"/>
      <c r="H127" s="99"/>
      <c r="I127" s="99"/>
      <c r="J127" s="99"/>
      <c r="K127" s="99"/>
      <c r="L127" s="99"/>
      <c r="M127" s="99"/>
      <c r="N127" s="99"/>
      <c r="O127" s="99"/>
      <c r="P127" s="99"/>
      <c r="Q127" s="99"/>
      <c r="R127" s="99"/>
      <c r="S127" s="99"/>
      <c r="T127" s="99"/>
    </row>
    <row r="128">
      <c r="A128" s="78"/>
      <c r="B128" s="99"/>
      <c r="C128" s="85"/>
      <c r="D128" s="99"/>
      <c r="E128" s="99"/>
      <c r="F128" s="99"/>
      <c r="G128" s="99"/>
      <c r="H128" s="99"/>
      <c r="I128" s="99"/>
      <c r="J128" s="99"/>
      <c r="K128" s="99"/>
      <c r="L128" s="99"/>
      <c r="M128" s="99"/>
      <c r="N128" s="99"/>
      <c r="O128" s="99"/>
      <c r="P128" s="99"/>
      <c r="Q128" s="99"/>
      <c r="R128" s="99"/>
      <c r="S128" s="99"/>
      <c r="T128" s="99"/>
    </row>
    <row r="129">
      <c r="A129" s="78"/>
      <c r="B129" s="99"/>
      <c r="C129" s="85"/>
      <c r="D129" s="99"/>
      <c r="E129" s="99"/>
      <c r="F129" s="99"/>
      <c r="G129" s="99"/>
      <c r="H129" s="99"/>
      <c r="I129" s="99"/>
      <c r="J129" s="99"/>
      <c r="K129" s="99"/>
      <c r="L129" s="99"/>
      <c r="M129" s="99"/>
      <c r="N129" s="99"/>
      <c r="O129" s="99"/>
      <c r="P129" s="99"/>
      <c r="Q129" s="99"/>
      <c r="R129" s="99"/>
      <c r="S129" s="99"/>
      <c r="T129" s="99"/>
    </row>
    <row r="130">
      <c r="A130" s="78"/>
      <c r="B130" s="99"/>
      <c r="C130" s="85"/>
      <c r="D130" s="99"/>
      <c r="E130" s="99"/>
      <c r="F130" s="99"/>
      <c r="G130" s="99"/>
      <c r="H130" s="99"/>
      <c r="I130" s="99"/>
      <c r="J130" s="99"/>
      <c r="K130" s="99"/>
      <c r="L130" s="99"/>
      <c r="M130" s="99"/>
      <c r="N130" s="99"/>
      <c r="O130" s="99"/>
      <c r="P130" s="99"/>
      <c r="Q130" s="99"/>
      <c r="R130" s="99"/>
      <c r="S130" s="99"/>
      <c r="T130" s="99"/>
    </row>
    <row r="131">
      <c r="A131" s="78"/>
      <c r="B131" s="99"/>
      <c r="C131" s="85"/>
      <c r="D131" s="99"/>
      <c r="E131" s="99"/>
      <c r="F131" s="99"/>
      <c r="G131" s="99"/>
      <c r="H131" s="99"/>
      <c r="I131" s="99"/>
      <c r="J131" s="99"/>
      <c r="K131" s="99"/>
      <c r="L131" s="99"/>
      <c r="M131" s="99"/>
      <c r="N131" s="99"/>
      <c r="O131" s="99"/>
      <c r="P131" s="99"/>
      <c r="Q131" s="99"/>
      <c r="R131" s="99"/>
      <c r="S131" s="99"/>
      <c r="T131" s="99"/>
    </row>
    <row r="132">
      <c r="A132" s="78"/>
      <c r="B132" s="99"/>
      <c r="C132" s="85"/>
      <c r="D132" s="99"/>
      <c r="E132" s="99"/>
      <c r="F132" s="99"/>
      <c r="G132" s="99"/>
      <c r="H132" s="99"/>
      <c r="I132" s="99"/>
      <c r="J132" s="99"/>
      <c r="K132" s="99"/>
      <c r="L132" s="99"/>
      <c r="M132" s="99"/>
      <c r="N132" s="99"/>
      <c r="O132" s="99"/>
      <c r="P132" s="99"/>
      <c r="Q132" s="99"/>
      <c r="R132" s="99"/>
      <c r="S132" s="99"/>
      <c r="T132" s="99"/>
    </row>
    <row r="133">
      <c r="A133" s="78"/>
      <c r="B133" s="99"/>
      <c r="C133" s="85"/>
      <c r="D133" s="99"/>
      <c r="E133" s="99"/>
      <c r="F133" s="99"/>
      <c r="G133" s="99"/>
      <c r="H133" s="99"/>
      <c r="I133" s="99"/>
      <c r="J133" s="99"/>
      <c r="K133" s="99"/>
      <c r="L133" s="99"/>
      <c r="M133" s="99"/>
      <c r="N133" s="99"/>
      <c r="O133" s="99"/>
      <c r="P133" s="99"/>
      <c r="Q133" s="99"/>
      <c r="R133" s="99"/>
      <c r="S133" s="99"/>
      <c r="T133" s="99"/>
    </row>
    <row r="134">
      <c r="A134" s="78"/>
      <c r="B134" s="99"/>
      <c r="C134" s="85"/>
      <c r="D134" s="99"/>
      <c r="E134" s="99"/>
      <c r="F134" s="99"/>
      <c r="G134" s="99"/>
      <c r="H134" s="99"/>
      <c r="I134" s="99"/>
      <c r="J134" s="99"/>
      <c r="K134" s="99"/>
      <c r="L134" s="99"/>
      <c r="M134" s="99"/>
      <c r="N134" s="99"/>
      <c r="O134" s="99"/>
      <c r="P134" s="99"/>
      <c r="Q134" s="99"/>
      <c r="R134" s="99"/>
      <c r="S134" s="99"/>
      <c r="T134" s="99"/>
    </row>
    <row r="135">
      <c r="A135" s="78"/>
      <c r="B135" s="99"/>
      <c r="C135" s="85"/>
      <c r="D135" s="99"/>
      <c r="E135" s="99"/>
      <c r="F135" s="99"/>
      <c r="G135" s="99"/>
      <c r="H135" s="99"/>
      <c r="I135" s="99"/>
      <c r="J135" s="99"/>
      <c r="K135" s="99"/>
      <c r="L135" s="99"/>
      <c r="M135" s="99"/>
      <c r="N135" s="99"/>
      <c r="O135" s="99"/>
      <c r="P135" s="99"/>
      <c r="Q135" s="99"/>
      <c r="R135" s="99"/>
      <c r="S135" s="99"/>
      <c r="T135" s="99"/>
    </row>
    <row r="136">
      <c r="A136" s="78"/>
      <c r="B136" s="99"/>
      <c r="C136" s="85"/>
      <c r="D136" s="99"/>
      <c r="E136" s="99"/>
      <c r="F136" s="99"/>
      <c r="G136" s="99"/>
      <c r="H136" s="99"/>
      <c r="I136" s="99"/>
      <c r="J136" s="99"/>
      <c r="K136" s="99"/>
      <c r="L136" s="99"/>
      <c r="M136" s="99"/>
      <c r="N136" s="99"/>
      <c r="O136" s="99"/>
      <c r="P136" s="99"/>
      <c r="Q136" s="99"/>
      <c r="R136" s="99"/>
      <c r="S136" s="99"/>
      <c r="T136" s="99"/>
    </row>
    <row r="137">
      <c r="A137" s="78"/>
      <c r="B137" s="99"/>
      <c r="C137" s="85"/>
      <c r="D137" s="99"/>
      <c r="E137" s="99"/>
      <c r="F137" s="99"/>
      <c r="G137" s="99"/>
      <c r="H137" s="99"/>
      <c r="I137" s="99"/>
      <c r="J137" s="99"/>
      <c r="K137" s="99"/>
      <c r="L137" s="99"/>
      <c r="M137" s="99"/>
      <c r="N137" s="99"/>
      <c r="O137" s="99"/>
      <c r="P137" s="99"/>
      <c r="Q137" s="99"/>
      <c r="R137" s="99"/>
      <c r="S137" s="99"/>
      <c r="T137" s="99"/>
    </row>
    <row r="138">
      <c r="A138" s="78"/>
      <c r="B138" s="99"/>
      <c r="C138" s="85"/>
      <c r="D138" s="99"/>
      <c r="E138" s="99"/>
      <c r="F138" s="99"/>
      <c r="G138" s="99"/>
      <c r="H138" s="99"/>
      <c r="I138" s="99"/>
      <c r="J138" s="99"/>
      <c r="K138" s="99"/>
      <c r="L138" s="99"/>
      <c r="M138" s="99"/>
      <c r="N138" s="99"/>
      <c r="O138" s="99"/>
      <c r="P138" s="99"/>
      <c r="Q138" s="99"/>
      <c r="R138" s="99"/>
      <c r="S138" s="99"/>
      <c r="T138" s="99"/>
    </row>
    <row r="139">
      <c r="A139" s="78"/>
      <c r="B139" s="99"/>
      <c r="C139" s="85"/>
      <c r="D139" s="99"/>
      <c r="E139" s="99"/>
      <c r="F139" s="99"/>
      <c r="G139" s="99"/>
      <c r="H139" s="99"/>
      <c r="I139" s="99"/>
      <c r="J139" s="99"/>
      <c r="K139" s="99"/>
      <c r="L139" s="99"/>
      <c r="M139" s="99"/>
      <c r="N139" s="99"/>
      <c r="O139" s="99"/>
      <c r="P139" s="99"/>
      <c r="Q139" s="99"/>
      <c r="R139" s="99"/>
      <c r="S139" s="99"/>
      <c r="T139" s="99"/>
    </row>
    <row r="140">
      <c r="A140" s="78"/>
      <c r="B140" s="99"/>
      <c r="C140" s="85"/>
      <c r="D140" s="99"/>
      <c r="E140" s="99"/>
      <c r="F140" s="99"/>
      <c r="G140" s="99"/>
      <c r="H140" s="99"/>
      <c r="I140" s="99"/>
      <c r="J140" s="99"/>
      <c r="K140" s="99"/>
      <c r="L140" s="99"/>
      <c r="M140" s="99"/>
      <c r="N140" s="99"/>
      <c r="O140" s="99"/>
      <c r="P140" s="99"/>
      <c r="Q140" s="99"/>
      <c r="R140" s="99"/>
      <c r="S140" s="99"/>
      <c r="T140" s="99"/>
    </row>
    <row r="141">
      <c r="A141" s="78"/>
      <c r="B141" s="99"/>
      <c r="C141" s="85"/>
      <c r="D141" s="99"/>
      <c r="E141" s="99"/>
      <c r="F141" s="99"/>
      <c r="G141" s="99"/>
      <c r="H141" s="99"/>
      <c r="I141" s="99"/>
      <c r="J141" s="99"/>
      <c r="K141" s="99"/>
      <c r="L141" s="99"/>
      <c r="M141" s="99"/>
      <c r="N141" s="99"/>
      <c r="O141" s="99"/>
      <c r="P141" s="99"/>
      <c r="Q141" s="99"/>
      <c r="R141" s="99"/>
      <c r="S141" s="99"/>
      <c r="T141" s="99"/>
    </row>
    <row r="142">
      <c r="A142" s="78"/>
      <c r="B142" s="99"/>
      <c r="C142" s="85"/>
      <c r="D142" s="99"/>
      <c r="E142" s="99"/>
      <c r="F142" s="99"/>
      <c r="G142" s="99"/>
      <c r="H142" s="99"/>
      <c r="I142" s="99"/>
      <c r="J142" s="99"/>
      <c r="K142" s="99"/>
      <c r="L142" s="99"/>
      <c r="M142" s="99"/>
      <c r="N142" s="99"/>
      <c r="O142" s="99"/>
      <c r="P142" s="99"/>
      <c r="Q142" s="99"/>
      <c r="R142" s="99"/>
      <c r="S142" s="99"/>
      <c r="T142" s="99"/>
    </row>
    <row r="143">
      <c r="A143" s="78"/>
      <c r="B143" s="99"/>
      <c r="C143" s="85"/>
      <c r="D143" s="99"/>
      <c r="E143" s="99"/>
      <c r="F143" s="99"/>
      <c r="G143" s="99"/>
      <c r="H143" s="99"/>
      <c r="I143" s="99"/>
      <c r="J143" s="99"/>
      <c r="K143" s="99"/>
      <c r="L143" s="99"/>
      <c r="M143" s="99"/>
      <c r="N143" s="99"/>
      <c r="O143" s="99"/>
      <c r="P143" s="99"/>
      <c r="Q143" s="99"/>
      <c r="R143" s="99"/>
      <c r="S143" s="99"/>
      <c r="T143" s="99"/>
    </row>
    <row r="144">
      <c r="A144" s="78"/>
      <c r="B144" s="99"/>
      <c r="C144" s="85"/>
      <c r="D144" s="99"/>
      <c r="E144" s="99"/>
      <c r="F144" s="99"/>
      <c r="G144" s="99"/>
      <c r="H144" s="99"/>
      <c r="I144" s="99"/>
      <c r="J144" s="99"/>
      <c r="K144" s="99"/>
      <c r="L144" s="99"/>
      <c r="M144" s="99"/>
      <c r="N144" s="99"/>
      <c r="O144" s="99"/>
      <c r="P144" s="99"/>
      <c r="Q144" s="99"/>
      <c r="R144" s="99"/>
      <c r="S144" s="99"/>
      <c r="T144" s="99"/>
    </row>
    <row r="145">
      <c r="A145" s="78"/>
      <c r="B145" s="99"/>
      <c r="C145" s="85"/>
      <c r="D145" s="99"/>
      <c r="E145" s="99"/>
      <c r="F145" s="99"/>
      <c r="G145" s="99"/>
      <c r="H145" s="99"/>
      <c r="I145" s="99"/>
      <c r="J145" s="99"/>
      <c r="K145" s="99"/>
      <c r="L145" s="99"/>
      <c r="M145" s="99"/>
      <c r="N145" s="99"/>
      <c r="O145" s="99"/>
      <c r="P145" s="99"/>
      <c r="Q145" s="99"/>
      <c r="R145" s="99"/>
      <c r="S145" s="99"/>
      <c r="T145" s="99"/>
    </row>
    <row r="146">
      <c r="A146" s="78"/>
      <c r="B146" s="99"/>
      <c r="C146" s="85"/>
      <c r="D146" s="99"/>
      <c r="E146" s="99"/>
      <c r="F146" s="99"/>
      <c r="G146" s="99"/>
      <c r="H146" s="99"/>
      <c r="I146" s="99"/>
      <c r="J146" s="99"/>
      <c r="K146" s="99"/>
      <c r="L146" s="99"/>
      <c r="M146" s="99"/>
      <c r="N146" s="99"/>
      <c r="O146" s="99"/>
      <c r="P146" s="99"/>
      <c r="Q146" s="99"/>
      <c r="R146" s="99"/>
      <c r="S146" s="99"/>
      <c r="T146" s="99"/>
    </row>
    <row r="147">
      <c r="A147" s="78"/>
      <c r="B147" s="99"/>
      <c r="C147" s="85"/>
      <c r="D147" s="99"/>
      <c r="E147" s="99"/>
      <c r="F147" s="99"/>
      <c r="G147" s="99"/>
      <c r="H147" s="99"/>
      <c r="I147" s="99"/>
      <c r="J147" s="99"/>
      <c r="K147" s="99"/>
      <c r="L147" s="99"/>
      <c r="M147" s="99"/>
      <c r="N147" s="99"/>
      <c r="O147" s="99"/>
      <c r="P147" s="99"/>
      <c r="Q147" s="99"/>
      <c r="R147" s="99"/>
      <c r="S147" s="99"/>
      <c r="T147" s="99"/>
    </row>
    <row r="148">
      <c r="A148" s="78"/>
      <c r="B148" s="99"/>
      <c r="C148" s="85"/>
      <c r="D148" s="99"/>
      <c r="E148" s="99"/>
      <c r="F148" s="99"/>
      <c r="G148" s="99"/>
      <c r="H148" s="99"/>
      <c r="I148" s="99"/>
      <c r="J148" s="99"/>
      <c r="K148" s="99"/>
      <c r="L148" s="99"/>
      <c r="M148" s="99"/>
      <c r="N148" s="99"/>
      <c r="O148" s="99"/>
      <c r="P148" s="99"/>
      <c r="Q148" s="99"/>
      <c r="R148" s="99"/>
      <c r="S148" s="99"/>
      <c r="T148" s="99"/>
    </row>
    <row r="149">
      <c r="A149" s="78"/>
      <c r="B149" s="99"/>
      <c r="C149" s="85"/>
      <c r="D149" s="99"/>
      <c r="E149" s="99"/>
      <c r="F149" s="99"/>
      <c r="G149" s="99"/>
      <c r="H149" s="99"/>
      <c r="I149" s="99"/>
      <c r="J149" s="99"/>
      <c r="K149" s="99"/>
      <c r="L149" s="99"/>
      <c r="M149" s="99"/>
      <c r="N149" s="99"/>
      <c r="O149" s="99"/>
      <c r="P149" s="99"/>
      <c r="Q149" s="99"/>
      <c r="R149" s="99"/>
      <c r="S149" s="99"/>
      <c r="T149" s="99"/>
    </row>
    <row r="150">
      <c r="A150" s="78"/>
      <c r="B150" s="99"/>
      <c r="C150" s="85"/>
      <c r="D150" s="99"/>
      <c r="E150" s="99"/>
      <c r="F150" s="99"/>
      <c r="G150" s="99"/>
      <c r="H150" s="99"/>
      <c r="I150" s="99"/>
      <c r="J150" s="99"/>
      <c r="K150" s="99"/>
      <c r="L150" s="99"/>
      <c r="M150" s="99"/>
      <c r="N150" s="99"/>
      <c r="O150" s="99"/>
      <c r="P150" s="99"/>
      <c r="Q150" s="99"/>
      <c r="R150" s="99"/>
      <c r="S150" s="99"/>
      <c r="T150" s="99"/>
    </row>
    <row r="151">
      <c r="A151" s="78"/>
      <c r="B151" s="99"/>
      <c r="C151" s="85"/>
      <c r="D151" s="99"/>
      <c r="E151" s="99"/>
      <c r="F151" s="99"/>
      <c r="G151" s="99"/>
      <c r="H151" s="99"/>
      <c r="I151" s="99"/>
      <c r="J151" s="99"/>
      <c r="K151" s="99"/>
      <c r="L151" s="99"/>
      <c r="M151" s="99"/>
      <c r="N151" s="99"/>
      <c r="O151" s="99"/>
      <c r="P151" s="99"/>
      <c r="Q151" s="99"/>
      <c r="R151" s="99"/>
      <c r="S151" s="99"/>
      <c r="T151" s="99"/>
    </row>
    <row r="152">
      <c r="A152" s="78"/>
      <c r="B152" s="99"/>
      <c r="C152" s="85"/>
      <c r="D152" s="99"/>
      <c r="E152" s="99"/>
      <c r="F152" s="99"/>
      <c r="G152" s="99"/>
      <c r="H152" s="99"/>
      <c r="I152" s="99"/>
      <c r="J152" s="99"/>
      <c r="K152" s="99"/>
      <c r="L152" s="99"/>
      <c r="M152" s="99"/>
      <c r="N152" s="99"/>
      <c r="O152" s="99"/>
      <c r="P152" s="99"/>
      <c r="Q152" s="99"/>
      <c r="R152" s="99"/>
      <c r="S152" s="99"/>
      <c r="T152" s="99"/>
    </row>
    <row r="153">
      <c r="A153" s="78"/>
      <c r="B153" s="99"/>
      <c r="C153" s="85"/>
      <c r="D153" s="99"/>
      <c r="E153" s="99"/>
      <c r="F153" s="99"/>
      <c r="G153" s="99"/>
      <c r="H153" s="99"/>
      <c r="I153" s="99"/>
      <c r="J153" s="99"/>
      <c r="K153" s="99"/>
      <c r="L153" s="99"/>
      <c r="M153" s="99"/>
      <c r="N153" s="99"/>
      <c r="O153" s="99"/>
      <c r="P153" s="99"/>
      <c r="Q153" s="99"/>
      <c r="R153" s="99"/>
      <c r="S153" s="99"/>
      <c r="T153" s="99"/>
    </row>
    <row r="154">
      <c r="A154" s="78"/>
      <c r="B154" s="99"/>
      <c r="C154" s="85"/>
      <c r="D154" s="99"/>
      <c r="E154" s="99"/>
      <c r="F154" s="99"/>
      <c r="G154" s="99"/>
      <c r="H154" s="99"/>
      <c r="I154" s="99"/>
      <c r="J154" s="99"/>
      <c r="K154" s="99"/>
      <c r="L154" s="99"/>
      <c r="M154" s="99"/>
      <c r="N154" s="99"/>
      <c r="O154" s="99"/>
      <c r="P154" s="99"/>
      <c r="Q154" s="99"/>
      <c r="R154" s="99"/>
      <c r="S154" s="99"/>
      <c r="T154" s="99"/>
    </row>
    <row r="155">
      <c r="A155" s="78"/>
      <c r="B155" s="99"/>
      <c r="C155" s="85"/>
      <c r="D155" s="99"/>
      <c r="E155" s="99"/>
      <c r="F155" s="99"/>
      <c r="G155" s="99"/>
      <c r="H155" s="99"/>
      <c r="I155" s="99"/>
      <c r="J155" s="99"/>
      <c r="K155" s="99"/>
      <c r="L155" s="99"/>
      <c r="M155" s="99"/>
      <c r="N155" s="99"/>
      <c r="O155" s="99"/>
      <c r="P155" s="99"/>
      <c r="Q155" s="99"/>
      <c r="R155" s="99"/>
      <c r="S155" s="99"/>
      <c r="T155" s="99"/>
    </row>
    <row r="156">
      <c r="A156" s="78"/>
      <c r="B156" s="99"/>
      <c r="C156" s="85"/>
      <c r="D156" s="99"/>
      <c r="E156" s="99"/>
      <c r="F156" s="99"/>
      <c r="G156" s="99"/>
      <c r="H156" s="99"/>
      <c r="I156" s="99"/>
      <c r="J156" s="99"/>
      <c r="K156" s="99"/>
      <c r="L156" s="99"/>
      <c r="M156" s="99"/>
      <c r="N156" s="99"/>
      <c r="O156" s="99"/>
      <c r="P156" s="99"/>
      <c r="Q156" s="99"/>
      <c r="R156" s="99"/>
      <c r="S156" s="99"/>
      <c r="T156" s="99"/>
    </row>
    <row r="157">
      <c r="A157" s="78"/>
      <c r="B157" s="99"/>
      <c r="C157" s="85"/>
      <c r="D157" s="99"/>
      <c r="E157" s="99"/>
      <c r="F157" s="99"/>
      <c r="G157" s="99"/>
      <c r="H157" s="99"/>
      <c r="I157" s="99"/>
      <c r="J157" s="99"/>
      <c r="K157" s="99"/>
      <c r="L157" s="99"/>
      <c r="M157" s="99"/>
      <c r="N157" s="99"/>
      <c r="O157" s="99"/>
      <c r="P157" s="99"/>
      <c r="Q157" s="99"/>
      <c r="R157" s="99"/>
      <c r="S157" s="99"/>
      <c r="T157" s="99"/>
    </row>
    <row r="158">
      <c r="A158" s="78"/>
      <c r="B158" s="99"/>
      <c r="C158" s="85"/>
      <c r="D158" s="99"/>
      <c r="E158" s="99"/>
      <c r="F158" s="99"/>
      <c r="G158" s="99"/>
      <c r="H158" s="99"/>
      <c r="I158" s="99"/>
      <c r="J158" s="99"/>
      <c r="K158" s="99"/>
      <c r="L158" s="99"/>
      <c r="M158" s="99"/>
      <c r="N158" s="99"/>
      <c r="O158" s="99"/>
      <c r="P158" s="99"/>
      <c r="Q158" s="99"/>
      <c r="R158" s="99"/>
      <c r="S158" s="99"/>
      <c r="T158" s="99"/>
    </row>
    <row r="159">
      <c r="A159" s="78"/>
      <c r="B159" s="99"/>
      <c r="C159" s="85"/>
      <c r="D159" s="99"/>
      <c r="E159" s="99"/>
      <c r="F159" s="99"/>
      <c r="G159" s="99"/>
      <c r="H159" s="99"/>
      <c r="I159" s="99"/>
      <c r="J159" s="99"/>
      <c r="K159" s="99"/>
      <c r="L159" s="99"/>
      <c r="M159" s="99"/>
      <c r="N159" s="99"/>
      <c r="O159" s="99"/>
      <c r="P159" s="99"/>
      <c r="Q159" s="99"/>
      <c r="R159" s="99"/>
      <c r="S159" s="99"/>
      <c r="T159" s="99"/>
    </row>
    <row r="160">
      <c r="A160" s="78"/>
      <c r="B160" s="99"/>
      <c r="C160" s="85"/>
      <c r="D160" s="99"/>
      <c r="E160" s="99"/>
      <c r="F160" s="99"/>
      <c r="G160" s="99"/>
      <c r="H160" s="99"/>
      <c r="I160" s="99"/>
      <c r="J160" s="99"/>
      <c r="K160" s="99"/>
      <c r="L160" s="99"/>
      <c r="M160" s="99"/>
      <c r="N160" s="99"/>
      <c r="O160" s="99"/>
      <c r="P160" s="99"/>
      <c r="Q160" s="99"/>
      <c r="R160" s="99"/>
      <c r="S160" s="99"/>
      <c r="T160" s="99"/>
    </row>
    <row r="161">
      <c r="A161" s="78"/>
      <c r="B161" s="99"/>
      <c r="C161" s="85"/>
      <c r="D161" s="99"/>
      <c r="E161" s="99"/>
      <c r="F161" s="99"/>
      <c r="G161" s="99"/>
      <c r="H161" s="99"/>
      <c r="I161" s="99"/>
      <c r="J161" s="99"/>
      <c r="K161" s="99"/>
      <c r="L161" s="99"/>
      <c r="M161" s="99"/>
      <c r="N161" s="99"/>
      <c r="O161" s="99"/>
      <c r="P161" s="99"/>
      <c r="Q161" s="99"/>
      <c r="R161" s="99"/>
      <c r="S161" s="99"/>
      <c r="T161" s="99"/>
    </row>
    <row r="162">
      <c r="A162" s="78"/>
      <c r="B162" s="99"/>
      <c r="C162" s="85"/>
      <c r="D162" s="99"/>
      <c r="E162" s="99"/>
      <c r="F162" s="99"/>
      <c r="G162" s="99"/>
      <c r="H162" s="99"/>
      <c r="I162" s="99"/>
      <c r="J162" s="99"/>
      <c r="K162" s="99"/>
      <c r="L162" s="99"/>
      <c r="M162" s="99"/>
      <c r="N162" s="99"/>
      <c r="O162" s="99"/>
      <c r="P162" s="99"/>
      <c r="Q162" s="99"/>
      <c r="R162" s="99"/>
      <c r="S162" s="99"/>
      <c r="T162" s="99"/>
    </row>
    <row r="163">
      <c r="A163" s="78"/>
      <c r="B163" s="99"/>
      <c r="C163" s="85"/>
      <c r="D163" s="99"/>
      <c r="E163" s="99"/>
      <c r="F163" s="99"/>
      <c r="G163" s="99"/>
      <c r="H163" s="99"/>
      <c r="I163" s="99"/>
      <c r="J163" s="99"/>
      <c r="K163" s="99"/>
      <c r="L163" s="99"/>
      <c r="M163" s="99"/>
      <c r="N163" s="99"/>
      <c r="O163" s="99"/>
      <c r="P163" s="99"/>
      <c r="Q163" s="99"/>
      <c r="R163" s="99"/>
      <c r="S163" s="99"/>
      <c r="T163" s="99"/>
    </row>
    <row r="164">
      <c r="A164" s="78"/>
      <c r="B164" s="99"/>
      <c r="C164" s="85"/>
      <c r="D164" s="99"/>
      <c r="E164" s="99"/>
      <c r="F164" s="99"/>
      <c r="G164" s="99"/>
      <c r="H164" s="99"/>
      <c r="I164" s="99"/>
      <c r="J164" s="99"/>
      <c r="K164" s="99"/>
      <c r="L164" s="99"/>
      <c r="M164" s="99"/>
      <c r="N164" s="99"/>
      <c r="O164" s="99"/>
      <c r="P164" s="99"/>
      <c r="Q164" s="99"/>
      <c r="R164" s="99"/>
      <c r="S164" s="99"/>
      <c r="T164" s="99"/>
    </row>
    <row r="165">
      <c r="A165" s="78"/>
      <c r="B165" s="99"/>
      <c r="C165" s="85"/>
      <c r="D165" s="99"/>
      <c r="E165" s="99"/>
      <c r="F165" s="99"/>
      <c r="G165" s="99"/>
      <c r="H165" s="99"/>
      <c r="I165" s="99"/>
      <c r="J165" s="99"/>
      <c r="K165" s="99"/>
      <c r="L165" s="99"/>
      <c r="M165" s="99"/>
      <c r="N165" s="99"/>
      <c r="O165" s="99"/>
      <c r="P165" s="99"/>
      <c r="Q165" s="99"/>
      <c r="R165" s="99"/>
      <c r="S165" s="99"/>
      <c r="T165" s="99"/>
    </row>
    <row r="166">
      <c r="A166" s="78"/>
      <c r="B166" s="99"/>
      <c r="C166" s="85"/>
      <c r="D166" s="99"/>
      <c r="E166" s="99"/>
      <c r="F166" s="99"/>
      <c r="G166" s="99"/>
      <c r="H166" s="99"/>
      <c r="I166" s="99"/>
      <c r="J166" s="99"/>
      <c r="K166" s="99"/>
      <c r="L166" s="99"/>
      <c r="M166" s="99"/>
      <c r="N166" s="99"/>
      <c r="O166" s="99"/>
      <c r="P166" s="99"/>
      <c r="Q166" s="99"/>
      <c r="R166" s="99"/>
      <c r="S166" s="99"/>
      <c r="T166" s="99"/>
    </row>
    <row r="167">
      <c r="A167" s="78"/>
      <c r="B167" s="99"/>
      <c r="C167" s="85"/>
      <c r="D167" s="99"/>
      <c r="E167" s="99"/>
      <c r="F167" s="99"/>
      <c r="G167" s="99"/>
      <c r="H167" s="99"/>
      <c r="I167" s="99"/>
      <c r="J167" s="99"/>
      <c r="K167" s="99"/>
      <c r="L167" s="99"/>
      <c r="M167" s="99"/>
      <c r="N167" s="99"/>
      <c r="O167" s="99"/>
      <c r="P167" s="99"/>
      <c r="Q167" s="99"/>
      <c r="R167" s="99"/>
      <c r="S167" s="99"/>
      <c r="T167" s="99"/>
    </row>
    <row r="168">
      <c r="A168" s="78"/>
      <c r="B168" s="99"/>
      <c r="C168" s="85"/>
      <c r="D168" s="99"/>
      <c r="E168" s="99"/>
      <c r="F168" s="99"/>
      <c r="G168" s="99"/>
      <c r="H168" s="99"/>
      <c r="I168" s="99"/>
      <c r="J168" s="99"/>
      <c r="K168" s="99"/>
      <c r="L168" s="99"/>
      <c r="M168" s="99"/>
      <c r="N168" s="99"/>
      <c r="O168" s="99"/>
      <c r="P168" s="99"/>
      <c r="Q168" s="99"/>
      <c r="R168" s="99"/>
      <c r="S168" s="99"/>
      <c r="T168" s="99"/>
    </row>
    <row r="169">
      <c r="A169" s="78"/>
      <c r="B169" s="99"/>
      <c r="C169" s="85"/>
      <c r="D169" s="99"/>
      <c r="E169" s="99"/>
      <c r="F169" s="99"/>
      <c r="G169" s="99"/>
      <c r="H169" s="99"/>
      <c r="I169" s="99"/>
      <c r="J169" s="99"/>
      <c r="K169" s="99"/>
      <c r="L169" s="99"/>
      <c r="M169" s="99"/>
      <c r="N169" s="99"/>
      <c r="O169" s="99"/>
      <c r="P169" s="99"/>
      <c r="Q169" s="99"/>
      <c r="R169" s="99"/>
      <c r="S169" s="99"/>
      <c r="T169" s="99"/>
    </row>
    <row r="170">
      <c r="A170" s="78"/>
      <c r="B170" s="99"/>
      <c r="C170" s="85"/>
      <c r="D170" s="99"/>
      <c r="E170" s="99"/>
      <c r="F170" s="99"/>
      <c r="G170" s="99"/>
      <c r="H170" s="99"/>
      <c r="I170" s="99"/>
      <c r="J170" s="99"/>
      <c r="K170" s="99"/>
      <c r="L170" s="99"/>
      <c r="M170" s="99"/>
      <c r="N170" s="99"/>
      <c r="O170" s="99"/>
      <c r="P170" s="99"/>
      <c r="Q170" s="99"/>
      <c r="R170" s="99"/>
      <c r="S170" s="99"/>
      <c r="T170" s="99"/>
    </row>
    <row r="171">
      <c r="A171" s="78"/>
      <c r="B171" s="99"/>
      <c r="C171" s="85"/>
      <c r="D171" s="99"/>
      <c r="E171" s="99"/>
      <c r="F171" s="99"/>
      <c r="G171" s="99"/>
      <c r="H171" s="99"/>
      <c r="I171" s="99"/>
      <c r="J171" s="99"/>
      <c r="K171" s="99"/>
      <c r="L171" s="99"/>
      <c r="M171" s="99"/>
      <c r="N171" s="99"/>
      <c r="O171" s="99"/>
      <c r="P171" s="99"/>
      <c r="Q171" s="99"/>
      <c r="R171" s="99"/>
      <c r="S171" s="99"/>
      <c r="T171" s="99"/>
    </row>
    <row r="172">
      <c r="A172" s="78"/>
      <c r="B172" s="99"/>
      <c r="C172" s="85"/>
      <c r="D172" s="99"/>
      <c r="E172" s="99"/>
      <c r="F172" s="99"/>
      <c r="G172" s="99"/>
      <c r="H172" s="99"/>
      <c r="I172" s="99"/>
      <c r="J172" s="99"/>
      <c r="K172" s="99"/>
      <c r="L172" s="99"/>
      <c r="M172" s="99"/>
      <c r="N172" s="99"/>
      <c r="O172" s="99"/>
      <c r="P172" s="99"/>
      <c r="Q172" s="99"/>
      <c r="R172" s="99"/>
      <c r="S172" s="99"/>
      <c r="T172" s="99"/>
    </row>
    <row r="173">
      <c r="A173" s="78"/>
      <c r="B173" s="99"/>
      <c r="C173" s="85"/>
      <c r="D173" s="99"/>
      <c r="E173" s="99"/>
      <c r="F173" s="99"/>
      <c r="G173" s="99"/>
      <c r="H173" s="99"/>
      <c r="I173" s="99"/>
      <c r="J173" s="99"/>
      <c r="K173" s="99"/>
      <c r="L173" s="99"/>
      <c r="M173" s="99"/>
      <c r="N173" s="99"/>
      <c r="O173" s="99"/>
      <c r="P173" s="99"/>
      <c r="Q173" s="99"/>
      <c r="R173" s="99"/>
      <c r="S173" s="99"/>
      <c r="T173" s="99"/>
    </row>
    <row r="174">
      <c r="A174" s="78"/>
      <c r="B174" s="99"/>
      <c r="C174" s="85"/>
      <c r="D174" s="99"/>
      <c r="E174" s="99"/>
      <c r="F174" s="99"/>
      <c r="G174" s="99"/>
      <c r="H174" s="99"/>
      <c r="I174" s="99"/>
      <c r="J174" s="99"/>
      <c r="K174" s="99"/>
      <c r="L174" s="99"/>
      <c r="M174" s="99"/>
      <c r="N174" s="99"/>
      <c r="O174" s="99"/>
      <c r="P174" s="99"/>
      <c r="Q174" s="99"/>
      <c r="R174" s="99"/>
      <c r="S174" s="99"/>
      <c r="T174" s="99"/>
    </row>
    <row r="175">
      <c r="A175" s="78"/>
      <c r="B175" s="99"/>
      <c r="C175" s="85"/>
      <c r="D175" s="99"/>
      <c r="E175" s="99"/>
      <c r="F175" s="99"/>
      <c r="G175" s="99"/>
      <c r="H175" s="99"/>
      <c r="I175" s="99"/>
      <c r="J175" s="99"/>
      <c r="K175" s="99"/>
      <c r="L175" s="99"/>
      <c r="M175" s="99"/>
      <c r="N175" s="99"/>
      <c r="O175" s="99"/>
      <c r="P175" s="99"/>
      <c r="Q175" s="99"/>
      <c r="R175" s="99"/>
      <c r="S175" s="99"/>
      <c r="T175" s="99"/>
    </row>
    <row r="176">
      <c r="A176" s="78"/>
      <c r="B176" s="99"/>
      <c r="C176" s="85"/>
      <c r="D176" s="99"/>
      <c r="E176" s="99"/>
      <c r="F176" s="99"/>
      <c r="G176" s="99"/>
      <c r="H176" s="99"/>
      <c r="I176" s="99"/>
      <c r="J176" s="99"/>
      <c r="K176" s="99"/>
      <c r="L176" s="99"/>
      <c r="M176" s="99"/>
      <c r="N176" s="99"/>
      <c r="O176" s="99"/>
      <c r="P176" s="99"/>
      <c r="Q176" s="99"/>
      <c r="R176" s="99"/>
      <c r="S176" s="99"/>
      <c r="T176" s="99"/>
    </row>
    <row r="177">
      <c r="A177" s="78"/>
      <c r="B177" s="99"/>
      <c r="C177" s="85"/>
      <c r="D177" s="99"/>
      <c r="E177" s="99"/>
      <c r="F177" s="99"/>
      <c r="G177" s="99"/>
      <c r="H177" s="99"/>
      <c r="I177" s="99"/>
      <c r="J177" s="99"/>
      <c r="K177" s="99"/>
      <c r="L177" s="99"/>
      <c r="M177" s="99"/>
      <c r="N177" s="99"/>
      <c r="O177" s="99"/>
      <c r="P177" s="99"/>
      <c r="Q177" s="99"/>
      <c r="R177" s="99"/>
      <c r="S177" s="99"/>
      <c r="T177" s="99"/>
    </row>
    <row r="178">
      <c r="A178" s="78"/>
      <c r="B178" s="99"/>
      <c r="C178" s="85"/>
      <c r="D178" s="99"/>
      <c r="E178" s="99"/>
      <c r="F178" s="99"/>
      <c r="G178" s="99"/>
      <c r="H178" s="99"/>
      <c r="I178" s="99"/>
      <c r="J178" s="99"/>
      <c r="K178" s="99"/>
      <c r="L178" s="99"/>
      <c r="M178" s="99"/>
      <c r="N178" s="99"/>
      <c r="O178" s="99"/>
      <c r="P178" s="99"/>
      <c r="Q178" s="99"/>
      <c r="R178" s="99"/>
      <c r="S178" s="99"/>
      <c r="T178" s="99"/>
    </row>
    <row r="179">
      <c r="A179" s="78"/>
      <c r="B179" s="99"/>
      <c r="C179" s="85"/>
      <c r="D179" s="99"/>
      <c r="E179" s="99"/>
      <c r="F179" s="99"/>
      <c r="G179" s="99"/>
      <c r="H179" s="99"/>
      <c r="I179" s="99"/>
      <c r="J179" s="99"/>
      <c r="K179" s="99"/>
      <c r="L179" s="99"/>
      <c r="M179" s="99"/>
      <c r="N179" s="99"/>
      <c r="O179" s="99"/>
      <c r="P179" s="99"/>
      <c r="Q179" s="99"/>
      <c r="R179" s="99"/>
      <c r="S179" s="99"/>
      <c r="T179" s="99"/>
    </row>
    <row r="180">
      <c r="A180" s="78"/>
      <c r="B180" s="99"/>
      <c r="C180" s="85"/>
      <c r="D180" s="99"/>
      <c r="E180" s="99"/>
      <c r="F180" s="99"/>
      <c r="G180" s="99"/>
      <c r="H180" s="99"/>
      <c r="I180" s="99"/>
      <c r="J180" s="99"/>
      <c r="K180" s="99"/>
      <c r="L180" s="99"/>
      <c r="M180" s="99"/>
      <c r="N180" s="99"/>
      <c r="O180" s="99"/>
      <c r="P180" s="99"/>
      <c r="Q180" s="99"/>
      <c r="R180" s="99"/>
      <c r="S180" s="99"/>
      <c r="T180" s="99"/>
    </row>
    <row r="181">
      <c r="A181" s="78"/>
      <c r="B181" s="99"/>
      <c r="C181" s="85"/>
      <c r="D181" s="99"/>
      <c r="E181" s="99"/>
      <c r="F181" s="99"/>
      <c r="G181" s="99"/>
      <c r="H181" s="99"/>
      <c r="I181" s="99"/>
      <c r="J181" s="99"/>
      <c r="K181" s="99"/>
      <c r="L181" s="99"/>
      <c r="M181" s="99"/>
      <c r="N181" s="99"/>
      <c r="O181" s="99"/>
      <c r="P181" s="99"/>
      <c r="Q181" s="99"/>
      <c r="R181" s="99"/>
      <c r="S181" s="99"/>
      <c r="T181" s="99"/>
    </row>
    <row r="182">
      <c r="A182" s="78"/>
      <c r="B182" s="99"/>
      <c r="C182" s="85"/>
      <c r="D182" s="99"/>
      <c r="E182" s="99"/>
      <c r="F182" s="99"/>
      <c r="G182" s="99"/>
      <c r="H182" s="99"/>
      <c r="I182" s="99"/>
      <c r="J182" s="99"/>
      <c r="K182" s="99"/>
      <c r="L182" s="99"/>
      <c r="M182" s="99"/>
      <c r="N182" s="99"/>
      <c r="O182" s="99"/>
      <c r="P182" s="99"/>
      <c r="Q182" s="99"/>
      <c r="R182" s="99"/>
      <c r="S182" s="99"/>
      <c r="T182" s="99"/>
    </row>
    <row r="183">
      <c r="A183" s="78"/>
      <c r="B183" s="99"/>
      <c r="C183" s="85"/>
      <c r="D183" s="99"/>
      <c r="E183" s="99"/>
      <c r="F183" s="99"/>
      <c r="G183" s="99"/>
      <c r="H183" s="99"/>
      <c r="I183" s="99"/>
      <c r="J183" s="99"/>
      <c r="K183" s="99"/>
      <c r="L183" s="99"/>
      <c r="M183" s="99"/>
      <c r="N183" s="99"/>
      <c r="O183" s="99"/>
      <c r="P183" s="99"/>
      <c r="Q183" s="99"/>
      <c r="R183" s="99"/>
      <c r="S183" s="99"/>
      <c r="T183" s="99"/>
    </row>
    <row r="184">
      <c r="A184" s="78"/>
      <c r="B184" s="99"/>
      <c r="C184" s="85"/>
      <c r="D184" s="99"/>
      <c r="E184" s="99"/>
      <c r="F184" s="99"/>
      <c r="G184" s="99"/>
      <c r="H184" s="99"/>
      <c r="I184" s="99"/>
      <c r="J184" s="99"/>
      <c r="K184" s="99"/>
      <c r="L184" s="99"/>
      <c r="M184" s="99"/>
      <c r="N184" s="99"/>
      <c r="O184" s="99"/>
      <c r="P184" s="99"/>
      <c r="Q184" s="99"/>
      <c r="R184" s="99"/>
      <c r="S184" s="99"/>
      <c r="T184" s="99"/>
    </row>
    <row r="185">
      <c r="A185" s="78"/>
      <c r="B185" s="99"/>
      <c r="C185" s="85"/>
      <c r="D185" s="99"/>
      <c r="E185" s="99"/>
      <c r="F185" s="99"/>
      <c r="G185" s="99"/>
      <c r="H185" s="99"/>
      <c r="I185" s="99"/>
      <c r="J185" s="99"/>
      <c r="K185" s="99"/>
      <c r="L185" s="99"/>
      <c r="M185" s="99"/>
      <c r="N185" s="99"/>
      <c r="O185" s="99"/>
      <c r="P185" s="99"/>
      <c r="Q185" s="99"/>
      <c r="R185" s="99"/>
      <c r="S185" s="99"/>
      <c r="T185" s="99"/>
    </row>
    <row r="186">
      <c r="A186" s="78"/>
      <c r="B186" s="99"/>
      <c r="C186" s="85"/>
      <c r="D186" s="99"/>
      <c r="E186" s="99"/>
      <c r="F186" s="99"/>
      <c r="G186" s="99"/>
      <c r="H186" s="99"/>
      <c r="I186" s="99"/>
      <c r="J186" s="99"/>
      <c r="K186" s="99"/>
      <c r="L186" s="99"/>
      <c r="M186" s="99"/>
      <c r="N186" s="99"/>
      <c r="O186" s="99"/>
      <c r="P186" s="99"/>
      <c r="Q186" s="99"/>
      <c r="R186" s="99"/>
      <c r="S186" s="99"/>
      <c r="T186" s="99"/>
    </row>
    <row r="187">
      <c r="A187" s="78"/>
      <c r="B187" s="99"/>
      <c r="C187" s="85"/>
      <c r="D187" s="99"/>
      <c r="E187" s="99"/>
      <c r="F187" s="99"/>
      <c r="G187" s="99"/>
      <c r="H187" s="99"/>
      <c r="I187" s="99"/>
      <c r="J187" s="99"/>
      <c r="K187" s="99"/>
      <c r="L187" s="99"/>
      <c r="M187" s="99"/>
      <c r="N187" s="99"/>
      <c r="O187" s="99"/>
      <c r="P187" s="99"/>
      <c r="Q187" s="99"/>
      <c r="R187" s="99"/>
      <c r="S187" s="99"/>
      <c r="T187" s="99"/>
    </row>
    <row r="188">
      <c r="A188" s="78"/>
      <c r="B188" s="99"/>
      <c r="C188" s="85"/>
      <c r="D188" s="99"/>
      <c r="E188" s="99"/>
      <c r="F188" s="99"/>
      <c r="G188" s="99"/>
      <c r="H188" s="99"/>
      <c r="I188" s="99"/>
      <c r="J188" s="99"/>
      <c r="K188" s="99"/>
      <c r="L188" s="99"/>
      <c r="M188" s="99"/>
      <c r="N188" s="99"/>
      <c r="O188" s="99"/>
      <c r="P188" s="99"/>
      <c r="Q188" s="99"/>
      <c r="R188" s="99"/>
      <c r="S188" s="99"/>
      <c r="T188" s="99"/>
    </row>
    <row r="189">
      <c r="A189" s="78"/>
      <c r="B189" s="99"/>
      <c r="C189" s="85"/>
      <c r="D189" s="99"/>
      <c r="E189" s="99"/>
      <c r="F189" s="99"/>
      <c r="G189" s="99"/>
      <c r="H189" s="99"/>
      <c r="I189" s="99"/>
      <c r="J189" s="99"/>
      <c r="K189" s="99"/>
      <c r="L189" s="99"/>
      <c r="M189" s="99"/>
      <c r="N189" s="99"/>
      <c r="O189" s="99"/>
      <c r="P189" s="99"/>
      <c r="Q189" s="99"/>
      <c r="R189" s="99"/>
      <c r="S189" s="99"/>
      <c r="T189" s="99"/>
    </row>
    <row r="190">
      <c r="A190" s="78"/>
      <c r="B190" s="99"/>
      <c r="C190" s="85"/>
      <c r="D190" s="99"/>
      <c r="E190" s="99"/>
      <c r="F190" s="99"/>
      <c r="G190" s="99"/>
      <c r="H190" s="99"/>
      <c r="I190" s="99"/>
      <c r="J190" s="99"/>
      <c r="K190" s="99"/>
      <c r="L190" s="99"/>
      <c r="M190" s="99"/>
      <c r="N190" s="99"/>
      <c r="O190" s="99"/>
      <c r="P190" s="99"/>
      <c r="Q190" s="99"/>
      <c r="R190" s="99"/>
      <c r="S190" s="99"/>
      <c r="T190" s="99"/>
    </row>
    <row r="191">
      <c r="A191" s="78"/>
      <c r="B191" s="99"/>
      <c r="C191" s="85"/>
      <c r="D191" s="99"/>
      <c r="E191" s="99"/>
      <c r="F191" s="99"/>
      <c r="G191" s="99"/>
      <c r="H191" s="99"/>
      <c r="I191" s="99"/>
      <c r="J191" s="99"/>
      <c r="K191" s="99"/>
      <c r="L191" s="99"/>
      <c r="M191" s="99"/>
      <c r="N191" s="99"/>
      <c r="O191" s="99"/>
      <c r="P191" s="99"/>
      <c r="Q191" s="99"/>
      <c r="R191" s="99"/>
      <c r="S191" s="99"/>
      <c r="T191" s="99"/>
    </row>
    <row r="192">
      <c r="A192" s="78"/>
      <c r="B192" s="99"/>
      <c r="C192" s="85"/>
      <c r="D192" s="99"/>
      <c r="E192" s="99"/>
      <c r="F192" s="99"/>
      <c r="G192" s="99"/>
      <c r="H192" s="99"/>
      <c r="I192" s="99"/>
      <c r="J192" s="99"/>
      <c r="K192" s="99"/>
      <c r="L192" s="99"/>
      <c r="M192" s="99"/>
      <c r="N192" s="99"/>
      <c r="O192" s="99"/>
      <c r="P192" s="99"/>
      <c r="Q192" s="99"/>
      <c r="R192" s="99"/>
      <c r="S192" s="99"/>
      <c r="T192" s="99"/>
    </row>
    <row r="193">
      <c r="A193" s="78"/>
      <c r="B193" s="99"/>
      <c r="C193" s="85"/>
      <c r="D193" s="99"/>
      <c r="E193" s="99"/>
      <c r="F193" s="99"/>
      <c r="G193" s="99"/>
      <c r="H193" s="99"/>
      <c r="I193" s="99"/>
      <c r="J193" s="99"/>
      <c r="K193" s="99"/>
      <c r="L193" s="99"/>
      <c r="M193" s="99"/>
      <c r="N193" s="99"/>
      <c r="O193" s="99"/>
      <c r="P193" s="99"/>
      <c r="Q193" s="99"/>
      <c r="R193" s="99"/>
      <c r="S193" s="99"/>
      <c r="T193" s="99"/>
    </row>
    <row r="194">
      <c r="A194" s="78"/>
      <c r="B194" s="99"/>
      <c r="C194" s="85"/>
      <c r="D194" s="99"/>
      <c r="E194" s="99"/>
      <c r="F194" s="99"/>
      <c r="G194" s="99"/>
      <c r="H194" s="99"/>
      <c r="I194" s="99"/>
      <c r="J194" s="99"/>
      <c r="K194" s="99"/>
      <c r="L194" s="99"/>
      <c r="M194" s="99"/>
      <c r="N194" s="99"/>
      <c r="O194" s="99"/>
      <c r="P194" s="99"/>
      <c r="Q194" s="99"/>
      <c r="R194" s="99"/>
      <c r="S194" s="99"/>
      <c r="T194" s="99"/>
    </row>
    <row r="195">
      <c r="A195" s="78"/>
      <c r="B195" s="99"/>
      <c r="C195" s="85"/>
      <c r="D195" s="99"/>
      <c r="E195" s="99"/>
      <c r="F195" s="99"/>
      <c r="G195" s="99"/>
      <c r="H195" s="99"/>
      <c r="I195" s="99"/>
      <c r="J195" s="99"/>
      <c r="K195" s="99"/>
      <c r="L195" s="99"/>
      <c r="M195" s="99"/>
      <c r="N195" s="99"/>
      <c r="O195" s="99"/>
      <c r="P195" s="99"/>
      <c r="Q195" s="99"/>
      <c r="R195" s="99"/>
      <c r="S195" s="99"/>
      <c r="T195" s="99"/>
    </row>
    <row r="196">
      <c r="A196" s="78"/>
      <c r="B196" s="99"/>
      <c r="C196" s="85"/>
      <c r="D196" s="99"/>
      <c r="E196" s="99"/>
      <c r="F196" s="99"/>
      <c r="G196" s="99"/>
      <c r="H196" s="99"/>
      <c r="I196" s="99"/>
      <c r="J196" s="99"/>
      <c r="K196" s="99"/>
      <c r="L196" s="99"/>
      <c r="M196" s="99"/>
      <c r="N196" s="99"/>
      <c r="O196" s="99"/>
      <c r="P196" s="99"/>
      <c r="Q196" s="99"/>
      <c r="R196" s="99"/>
      <c r="S196" s="99"/>
      <c r="T196" s="99"/>
    </row>
    <row r="197">
      <c r="A197" s="78"/>
      <c r="B197" s="99"/>
      <c r="C197" s="85"/>
      <c r="D197" s="99"/>
      <c r="E197" s="99"/>
      <c r="F197" s="99"/>
      <c r="G197" s="99"/>
      <c r="H197" s="99"/>
      <c r="I197" s="99"/>
      <c r="J197" s="99"/>
      <c r="K197" s="99"/>
      <c r="L197" s="99"/>
      <c r="M197" s="99"/>
      <c r="N197" s="99"/>
      <c r="O197" s="99"/>
      <c r="P197" s="99"/>
      <c r="Q197" s="99"/>
      <c r="R197" s="99"/>
      <c r="S197" s="99"/>
      <c r="T197" s="99"/>
    </row>
    <row r="198">
      <c r="A198" s="78"/>
      <c r="B198" s="99"/>
      <c r="C198" s="85"/>
      <c r="D198" s="99"/>
      <c r="E198" s="99"/>
      <c r="F198" s="99"/>
      <c r="G198" s="99"/>
      <c r="H198" s="99"/>
      <c r="I198" s="99"/>
      <c r="J198" s="99"/>
      <c r="K198" s="99"/>
      <c r="L198" s="99"/>
      <c r="M198" s="99"/>
      <c r="N198" s="99"/>
      <c r="O198" s="99"/>
      <c r="P198" s="99"/>
      <c r="Q198" s="99"/>
      <c r="R198" s="99"/>
      <c r="S198" s="99"/>
      <c r="T198" s="99"/>
    </row>
    <row r="199">
      <c r="A199" s="78"/>
      <c r="B199" s="99"/>
      <c r="C199" s="85"/>
      <c r="D199" s="99"/>
      <c r="E199" s="99"/>
      <c r="F199" s="99"/>
      <c r="G199" s="99"/>
      <c r="H199" s="99"/>
      <c r="I199" s="99"/>
      <c r="J199" s="99"/>
      <c r="K199" s="99"/>
      <c r="L199" s="99"/>
      <c r="M199" s="99"/>
      <c r="N199" s="99"/>
      <c r="O199" s="99"/>
      <c r="P199" s="99"/>
      <c r="Q199" s="99"/>
      <c r="R199" s="99"/>
      <c r="S199" s="99"/>
      <c r="T199" s="99"/>
    </row>
    <row r="200">
      <c r="A200" s="78"/>
      <c r="B200" s="99"/>
      <c r="C200" s="85"/>
      <c r="D200" s="99"/>
      <c r="E200" s="99"/>
      <c r="F200" s="99"/>
      <c r="G200" s="99"/>
      <c r="H200" s="99"/>
      <c r="I200" s="99"/>
      <c r="J200" s="99"/>
      <c r="K200" s="99"/>
      <c r="L200" s="99"/>
      <c r="M200" s="99"/>
      <c r="N200" s="99"/>
      <c r="O200" s="99"/>
      <c r="P200" s="99"/>
      <c r="Q200" s="99"/>
      <c r="R200" s="99"/>
      <c r="S200" s="99"/>
      <c r="T200" s="99"/>
    </row>
    <row r="201">
      <c r="A201" s="78"/>
      <c r="B201" s="99"/>
      <c r="C201" s="85"/>
      <c r="D201" s="99"/>
      <c r="E201" s="99"/>
      <c r="F201" s="99"/>
      <c r="G201" s="99"/>
      <c r="H201" s="99"/>
      <c r="I201" s="99"/>
      <c r="J201" s="99"/>
      <c r="K201" s="99"/>
      <c r="L201" s="99"/>
      <c r="M201" s="99"/>
      <c r="N201" s="99"/>
      <c r="O201" s="99"/>
      <c r="P201" s="99"/>
      <c r="Q201" s="99"/>
      <c r="R201" s="99"/>
      <c r="S201" s="99"/>
      <c r="T201" s="99"/>
    </row>
    <row r="202">
      <c r="A202" s="78"/>
      <c r="B202" s="99"/>
      <c r="C202" s="85"/>
      <c r="D202" s="99"/>
      <c r="E202" s="99"/>
      <c r="F202" s="99"/>
      <c r="G202" s="99"/>
      <c r="H202" s="99"/>
      <c r="I202" s="99"/>
      <c r="J202" s="99"/>
      <c r="K202" s="99"/>
      <c r="L202" s="99"/>
      <c r="M202" s="99"/>
      <c r="N202" s="99"/>
      <c r="O202" s="99"/>
      <c r="P202" s="99"/>
      <c r="Q202" s="99"/>
      <c r="R202" s="99"/>
      <c r="S202" s="99"/>
      <c r="T202" s="99"/>
    </row>
    <row r="203">
      <c r="A203" s="78"/>
      <c r="B203" s="99"/>
      <c r="C203" s="85"/>
      <c r="D203" s="99"/>
      <c r="E203" s="99"/>
      <c r="F203" s="99"/>
      <c r="G203" s="99"/>
      <c r="H203" s="99"/>
      <c r="I203" s="99"/>
      <c r="J203" s="99"/>
      <c r="K203" s="99"/>
      <c r="L203" s="99"/>
      <c r="M203" s="99"/>
      <c r="N203" s="99"/>
      <c r="O203" s="99"/>
      <c r="P203" s="99"/>
      <c r="Q203" s="99"/>
      <c r="R203" s="99"/>
      <c r="S203" s="99"/>
      <c r="T203" s="99"/>
    </row>
    <row r="204">
      <c r="A204" s="78"/>
      <c r="B204" s="99"/>
      <c r="C204" s="85"/>
      <c r="D204" s="99"/>
      <c r="E204" s="99"/>
      <c r="F204" s="99"/>
      <c r="G204" s="99"/>
      <c r="H204" s="99"/>
      <c r="I204" s="99"/>
      <c r="J204" s="99"/>
      <c r="K204" s="99"/>
      <c r="L204" s="99"/>
      <c r="M204" s="99"/>
      <c r="N204" s="99"/>
      <c r="O204" s="99"/>
      <c r="P204" s="99"/>
      <c r="Q204" s="99"/>
      <c r="R204" s="99"/>
      <c r="S204" s="99"/>
      <c r="T204" s="99"/>
    </row>
    <row r="205">
      <c r="A205" s="78"/>
      <c r="B205" s="99"/>
      <c r="C205" s="85"/>
      <c r="D205" s="99"/>
      <c r="E205" s="99"/>
      <c r="F205" s="99"/>
      <c r="G205" s="99"/>
      <c r="H205" s="99"/>
      <c r="I205" s="99"/>
      <c r="J205" s="99"/>
      <c r="K205" s="99"/>
      <c r="L205" s="99"/>
      <c r="M205" s="99"/>
      <c r="N205" s="99"/>
      <c r="O205" s="99"/>
      <c r="P205" s="99"/>
      <c r="Q205" s="99"/>
      <c r="R205" s="99"/>
      <c r="S205" s="99"/>
      <c r="T205" s="99"/>
    </row>
    <row r="206">
      <c r="A206" s="78"/>
      <c r="B206" s="99"/>
      <c r="C206" s="85"/>
      <c r="D206" s="99"/>
      <c r="E206" s="99"/>
      <c r="F206" s="99"/>
      <c r="G206" s="99"/>
      <c r="H206" s="99"/>
      <c r="I206" s="99"/>
      <c r="J206" s="99"/>
      <c r="K206" s="99"/>
      <c r="L206" s="99"/>
      <c r="M206" s="99"/>
      <c r="N206" s="99"/>
      <c r="O206" s="99"/>
      <c r="P206" s="99"/>
      <c r="Q206" s="99"/>
      <c r="R206" s="99"/>
      <c r="S206" s="99"/>
      <c r="T206" s="99"/>
    </row>
    <row r="207">
      <c r="A207" s="78"/>
      <c r="B207" s="99"/>
      <c r="C207" s="85"/>
      <c r="D207" s="99"/>
      <c r="E207" s="99"/>
      <c r="F207" s="99"/>
      <c r="G207" s="99"/>
      <c r="H207" s="99"/>
      <c r="I207" s="99"/>
      <c r="J207" s="99"/>
      <c r="K207" s="99"/>
      <c r="L207" s="99"/>
      <c r="M207" s="99"/>
      <c r="N207" s="99"/>
      <c r="O207" s="99"/>
      <c r="P207" s="99"/>
      <c r="Q207" s="99"/>
      <c r="R207" s="99"/>
      <c r="S207" s="99"/>
      <c r="T207" s="99"/>
    </row>
    <row r="208">
      <c r="A208" s="78"/>
      <c r="B208" s="99"/>
      <c r="C208" s="85"/>
      <c r="D208" s="99"/>
      <c r="E208" s="99"/>
      <c r="F208" s="99"/>
      <c r="G208" s="99"/>
      <c r="H208" s="99"/>
      <c r="I208" s="99"/>
      <c r="J208" s="99"/>
      <c r="K208" s="99"/>
      <c r="L208" s="99"/>
      <c r="M208" s="99"/>
      <c r="N208" s="99"/>
      <c r="O208" s="99"/>
      <c r="P208" s="99"/>
      <c r="Q208" s="99"/>
      <c r="R208" s="99"/>
      <c r="S208" s="99"/>
      <c r="T208" s="99"/>
    </row>
    <row r="209">
      <c r="A209" s="78"/>
      <c r="B209" s="99"/>
      <c r="C209" s="85"/>
      <c r="D209" s="99"/>
      <c r="E209" s="99"/>
      <c r="F209" s="99"/>
      <c r="G209" s="99"/>
      <c r="H209" s="99"/>
      <c r="I209" s="99"/>
      <c r="J209" s="99"/>
      <c r="K209" s="99"/>
      <c r="L209" s="99"/>
      <c r="M209" s="99"/>
      <c r="N209" s="99"/>
      <c r="O209" s="99"/>
      <c r="P209" s="99"/>
      <c r="Q209" s="99"/>
      <c r="R209" s="99"/>
      <c r="S209" s="99"/>
      <c r="T209" s="99"/>
    </row>
    <row r="210">
      <c r="A210" s="78"/>
      <c r="B210" s="99"/>
      <c r="C210" s="85"/>
      <c r="D210" s="99"/>
      <c r="E210" s="99"/>
      <c r="F210" s="99"/>
      <c r="G210" s="99"/>
      <c r="H210" s="99"/>
      <c r="I210" s="99"/>
      <c r="J210" s="99"/>
      <c r="K210" s="99"/>
      <c r="L210" s="99"/>
      <c r="M210" s="99"/>
      <c r="N210" s="99"/>
      <c r="O210" s="99"/>
      <c r="P210" s="99"/>
      <c r="Q210" s="99"/>
      <c r="R210" s="99"/>
      <c r="S210" s="99"/>
      <c r="T210" s="99"/>
    </row>
    <row r="211">
      <c r="A211" s="78"/>
      <c r="B211" s="99"/>
      <c r="C211" s="85"/>
      <c r="D211" s="99"/>
      <c r="E211" s="99"/>
      <c r="F211" s="99"/>
      <c r="G211" s="99"/>
      <c r="H211" s="99"/>
      <c r="I211" s="99"/>
      <c r="J211" s="99"/>
      <c r="K211" s="99"/>
      <c r="L211" s="99"/>
      <c r="M211" s="99"/>
      <c r="N211" s="99"/>
      <c r="O211" s="99"/>
      <c r="P211" s="99"/>
      <c r="Q211" s="99"/>
      <c r="R211" s="99"/>
      <c r="S211" s="99"/>
      <c r="T211" s="99"/>
    </row>
    <row r="212">
      <c r="A212" s="78"/>
      <c r="B212" s="99"/>
      <c r="C212" s="85"/>
      <c r="D212" s="99"/>
      <c r="E212" s="99"/>
      <c r="F212" s="99"/>
      <c r="G212" s="99"/>
      <c r="H212" s="99"/>
      <c r="I212" s="99"/>
      <c r="J212" s="99"/>
      <c r="K212" s="99"/>
      <c r="L212" s="99"/>
      <c r="M212" s="99"/>
      <c r="N212" s="99"/>
      <c r="O212" s="99"/>
      <c r="P212" s="99"/>
      <c r="Q212" s="99"/>
      <c r="R212" s="99"/>
      <c r="S212" s="99"/>
      <c r="T212" s="99"/>
    </row>
    <row r="213">
      <c r="A213" s="78"/>
      <c r="B213" s="99"/>
      <c r="C213" s="85"/>
      <c r="D213" s="99"/>
      <c r="E213" s="99"/>
      <c r="F213" s="99"/>
      <c r="G213" s="99"/>
      <c r="H213" s="99"/>
      <c r="I213" s="99"/>
      <c r="J213" s="99"/>
      <c r="K213" s="99"/>
      <c r="L213" s="99"/>
      <c r="M213" s="99"/>
      <c r="N213" s="99"/>
      <c r="O213" s="99"/>
      <c r="P213" s="99"/>
      <c r="Q213" s="99"/>
      <c r="R213" s="99"/>
      <c r="S213" s="99"/>
      <c r="T213" s="99"/>
    </row>
    <row r="214">
      <c r="A214" s="78"/>
      <c r="B214" s="99"/>
      <c r="C214" s="85"/>
      <c r="D214" s="99"/>
      <c r="E214" s="99"/>
      <c r="F214" s="99"/>
      <c r="G214" s="99"/>
      <c r="H214" s="99"/>
      <c r="I214" s="99"/>
      <c r="J214" s="99"/>
      <c r="K214" s="99"/>
      <c r="L214" s="99"/>
      <c r="M214" s="99"/>
      <c r="N214" s="99"/>
      <c r="O214" s="99"/>
      <c r="P214" s="99"/>
      <c r="Q214" s="99"/>
      <c r="R214" s="99"/>
      <c r="S214" s="99"/>
      <c r="T214" s="99"/>
    </row>
    <row r="215">
      <c r="A215" s="78"/>
      <c r="B215" s="99"/>
      <c r="C215" s="85"/>
      <c r="D215" s="99"/>
      <c r="E215" s="99"/>
      <c r="F215" s="99"/>
      <c r="G215" s="99"/>
      <c r="H215" s="99"/>
      <c r="I215" s="99"/>
      <c r="J215" s="99"/>
      <c r="K215" s="99"/>
      <c r="L215" s="99"/>
      <c r="M215" s="99"/>
      <c r="N215" s="99"/>
      <c r="O215" s="99"/>
      <c r="P215" s="99"/>
      <c r="Q215" s="99"/>
      <c r="R215" s="99"/>
      <c r="S215" s="99"/>
      <c r="T215" s="99"/>
    </row>
    <row r="216">
      <c r="A216" s="78"/>
      <c r="B216" s="99"/>
      <c r="C216" s="85"/>
      <c r="D216" s="99"/>
      <c r="E216" s="99"/>
      <c r="F216" s="99"/>
      <c r="G216" s="99"/>
      <c r="H216" s="99"/>
      <c r="I216" s="99"/>
      <c r="J216" s="99"/>
      <c r="K216" s="99"/>
      <c r="L216" s="99"/>
      <c r="M216" s="99"/>
      <c r="N216" s="99"/>
      <c r="O216" s="99"/>
      <c r="P216" s="99"/>
      <c r="Q216" s="99"/>
      <c r="R216" s="99"/>
      <c r="S216" s="99"/>
      <c r="T216" s="99"/>
    </row>
    <row r="217">
      <c r="A217" s="78"/>
      <c r="B217" s="99"/>
      <c r="C217" s="85"/>
      <c r="D217" s="99"/>
      <c r="E217" s="99"/>
      <c r="F217" s="99"/>
      <c r="G217" s="99"/>
      <c r="H217" s="99"/>
      <c r="I217" s="99"/>
      <c r="J217" s="99"/>
      <c r="K217" s="99"/>
      <c r="L217" s="99"/>
      <c r="M217" s="99"/>
      <c r="N217" s="99"/>
      <c r="O217" s="99"/>
      <c r="P217" s="99"/>
      <c r="Q217" s="99"/>
      <c r="R217" s="99"/>
      <c r="S217" s="99"/>
      <c r="T217" s="99"/>
    </row>
    <row r="218">
      <c r="A218" s="78"/>
      <c r="B218" s="99"/>
      <c r="C218" s="85"/>
      <c r="D218" s="99"/>
      <c r="E218" s="99"/>
      <c r="F218" s="99"/>
      <c r="G218" s="99"/>
      <c r="H218" s="99"/>
      <c r="I218" s="99"/>
      <c r="J218" s="99"/>
      <c r="K218" s="99"/>
      <c r="L218" s="99"/>
      <c r="M218" s="99"/>
      <c r="N218" s="99"/>
      <c r="O218" s="99"/>
      <c r="P218" s="99"/>
      <c r="Q218" s="99"/>
      <c r="R218" s="99"/>
      <c r="S218" s="99"/>
      <c r="T218" s="99"/>
    </row>
    <row r="219">
      <c r="A219" s="78"/>
      <c r="B219" s="99"/>
      <c r="C219" s="85"/>
      <c r="D219" s="99"/>
      <c r="E219" s="99"/>
      <c r="F219" s="99"/>
      <c r="G219" s="99"/>
      <c r="H219" s="99"/>
      <c r="I219" s="99"/>
      <c r="J219" s="99"/>
      <c r="K219" s="99"/>
      <c r="L219" s="99"/>
      <c r="M219" s="99"/>
      <c r="N219" s="99"/>
      <c r="O219" s="99"/>
      <c r="P219" s="99"/>
      <c r="Q219" s="99"/>
      <c r="R219" s="99"/>
      <c r="S219" s="99"/>
      <c r="T219" s="99"/>
    </row>
    <row r="220">
      <c r="A220" s="78"/>
      <c r="B220" s="99"/>
      <c r="C220" s="85"/>
      <c r="D220" s="99"/>
      <c r="E220" s="99"/>
      <c r="F220" s="99"/>
      <c r="G220" s="99"/>
      <c r="H220" s="99"/>
      <c r="I220" s="99"/>
      <c r="J220" s="99"/>
      <c r="K220" s="99"/>
      <c r="L220" s="99"/>
      <c r="M220" s="99"/>
      <c r="N220" s="99"/>
      <c r="O220" s="99"/>
      <c r="P220" s="99"/>
      <c r="Q220" s="99"/>
      <c r="R220" s="99"/>
      <c r="S220" s="99"/>
      <c r="T220" s="99"/>
    </row>
    <row r="221">
      <c r="A221" s="78"/>
      <c r="B221" s="99"/>
      <c r="C221" s="85"/>
      <c r="D221" s="99"/>
      <c r="E221" s="99"/>
      <c r="F221" s="99"/>
      <c r="G221" s="99"/>
      <c r="H221" s="99"/>
      <c r="I221" s="99"/>
      <c r="J221" s="99"/>
      <c r="K221" s="99"/>
      <c r="L221" s="99"/>
      <c r="M221" s="99"/>
      <c r="N221" s="99"/>
      <c r="O221" s="99"/>
      <c r="P221" s="99"/>
      <c r="Q221" s="99"/>
      <c r="R221" s="99"/>
      <c r="S221" s="99"/>
      <c r="T221" s="99"/>
    </row>
    <row r="222">
      <c r="A222" s="78"/>
      <c r="B222" s="99"/>
      <c r="C222" s="85"/>
      <c r="D222" s="99"/>
      <c r="E222" s="99"/>
      <c r="F222" s="99"/>
      <c r="G222" s="99"/>
      <c r="H222" s="99"/>
      <c r="I222" s="99"/>
      <c r="J222" s="99"/>
      <c r="K222" s="99"/>
      <c r="L222" s="99"/>
      <c r="M222" s="99"/>
      <c r="N222" s="99"/>
      <c r="O222" s="99"/>
      <c r="P222" s="99"/>
      <c r="Q222" s="99"/>
      <c r="R222" s="99"/>
      <c r="S222" s="99"/>
      <c r="T222" s="99"/>
    </row>
    <row r="223">
      <c r="A223" s="78"/>
      <c r="B223" s="99"/>
      <c r="C223" s="85"/>
      <c r="D223" s="99"/>
      <c r="E223" s="99"/>
      <c r="F223" s="99"/>
      <c r="G223" s="99"/>
      <c r="H223" s="99"/>
      <c r="I223" s="99"/>
      <c r="J223" s="99"/>
      <c r="K223" s="99"/>
      <c r="L223" s="99"/>
      <c r="M223" s="99"/>
      <c r="N223" s="99"/>
      <c r="O223" s="99"/>
      <c r="P223" s="99"/>
      <c r="Q223" s="99"/>
      <c r="R223" s="99"/>
      <c r="S223" s="99"/>
      <c r="T223" s="99"/>
    </row>
    <row r="224">
      <c r="A224" s="78"/>
      <c r="B224" s="99"/>
      <c r="C224" s="85"/>
      <c r="D224" s="99"/>
      <c r="E224" s="99"/>
      <c r="F224" s="99"/>
      <c r="G224" s="99"/>
      <c r="H224" s="99"/>
      <c r="I224" s="99"/>
      <c r="J224" s="99"/>
      <c r="K224" s="99"/>
      <c r="L224" s="99"/>
      <c r="M224" s="99"/>
      <c r="N224" s="99"/>
      <c r="O224" s="99"/>
      <c r="P224" s="99"/>
      <c r="Q224" s="99"/>
      <c r="R224" s="99"/>
      <c r="S224" s="99"/>
      <c r="T224" s="99"/>
    </row>
    <row r="225">
      <c r="A225" s="78"/>
      <c r="B225" s="99"/>
      <c r="C225" s="85"/>
      <c r="D225" s="99"/>
      <c r="E225" s="99"/>
      <c r="F225" s="99"/>
      <c r="G225" s="99"/>
      <c r="H225" s="99"/>
      <c r="I225" s="99"/>
      <c r="J225" s="99"/>
      <c r="K225" s="99"/>
      <c r="L225" s="99"/>
      <c r="M225" s="99"/>
      <c r="N225" s="99"/>
      <c r="O225" s="99"/>
      <c r="P225" s="99"/>
      <c r="Q225" s="99"/>
      <c r="R225" s="99"/>
      <c r="S225" s="99"/>
      <c r="T225" s="99"/>
    </row>
    <row r="226">
      <c r="A226" s="78"/>
      <c r="B226" s="99"/>
      <c r="C226" s="85"/>
      <c r="D226" s="99"/>
      <c r="E226" s="99"/>
      <c r="F226" s="99"/>
      <c r="G226" s="99"/>
      <c r="H226" s="99"/>
      <c r="I226" s="99"/>
      <c r="J226" s="99"/>
      <c r="K226" s="99"/>
      <c r="L226" s="99"/>
      <c r="M226" s="99"/>
      <c r="N226" s="99"/>
      <c r="O226" s="99"/>
      <c r="P226" s="99"/>
      <c r="Q226" s="99"/>
      <c r="R226" s="99"/>
      <c r="S226" s="99"/>
      <c r="T226" s="99"/>
    </row>
    <row r="227">
      <c r="A227" s="78"/>
      <c r="B227" s="99"/>
      <c r="C227" s="85"/>
      <c r="D227" s="99"/>
      <c r="E227" s="99"/>
      <c r="F227" s="99"/>
      <c r="G227" s="99"/>
      <c r="H227" s="99"/>
      <c r="I227" s="99"/>
      <c r="J227" s="99"/>
      <c r="K227" s="99"/>
      <c r="L227" s="99"/>
      <c r="M227" s="99"/>
      <c r="N227" s="99"/>
      <c r="O227" s="99"/>
      <c r="P227" s="99"/>
      <c r="Q227" s="99"/>
      <c r="R227" s="99"/>
      <c r="S227" s="99"/>
      <c r="T227" s="99"/>
    </row>
    <row r="228">
      <c r="A228" s="78"/>
      <c r="B228" s="99"/>
      <c r="C228" s="85"/>
      <c r="D228" s="99"/>
      <c r="E228" s="99"/>
      <c r="F228" s="99"/>
      <c r="G228" s="99"/>
      <c r="H228" s="99"/>
      <c r="I228" s="99"/>
      <c r="J228" s="99"/>
      <c r="K228" s="99"/>
      <c r="L228" s="99"/>
      <c r="M228" s="99"/>
      <c r="N228" s="99"/>
      <c r="O228" s="99"/>
      <c r="P228" s="99"/>
      <c r="Q228" s="99"/>
      <c r="R228" s="99"/>
      <c r="S228" s="99"/>
      <c r="T228" s="99"/>
    </row>
    <row r="229">
      <c r="A229" s="78"/>
      <c r="B229" s="99"/>
      <c r="C229" s="85"/>
      <c r="D229" s="99"/>
      <c r="E229" s="99"/>
      <c r="F229" s="99"/>
      <c r="G229" s="99"/>
      <c r="H229" s="99"/>
      <c r="I229" s="99"/>
      <c r="J229" s="99"/>
      <c r="K229" s="99"/>
      <c r="L229" s="99"/>
      <c r="M229" s="99"/>
      <c r="N229" s="99"/>
      <c r="O229" s="99"/>
      <c r="P229" s="99"/>
      <c r="Q229" s="99"/>
      <c r="R229" s="99"/>
      <c r="S229" s="99"/>
      <c r="T229" s="99"/>
    </row>
    <row r="230">
      <c r="A230" s="78"/>
      <c r="B230" s="99"/>
      <c r="C230" s="85"/>
      <c r="D230" s="99"/>
      <c r="E230" s="99"/>
      <c r="F230" s="99"/>
      <c r="G230" s="99"/>
      <c r="H230" s="99"/>
      <c r="I230" s="99"/>
      <c r="J230" s="99"/>
      <c r="K230" s="99"/>
      <c r="L230" s="99"/>
      <c r="M230" s="99"/>
      <c r="N230" s="99"/>
      <c r="O230" s="99"/>
      <c r="P230" s="99"/>
      <c r="Q230" s="99"/>
      <c r="R230" s="99"/>
      <c r="S230" s="99"/>
      <c r="T230" s="99"/>
    </row>
    <row r="231">
      <c r="A231" s="78"/>
      <c r="B231" s="99"/>
      <c r="C231" s="85"/>
      <c r="D231" s="99"/>
      <c r="E231" s="99"/>
      <c r="F231" s="99"/>
      <c r="G231" s="99"/>
      <c r="H231" s="99"/>
      <c r="I231" s="99"/>
      <c r="J231" s="99"/>
      <c r="K231" s="99"/>
      <c r="L231" s="99"/>
      <c r="M231" s="99"/>
      <c r="N231" s="99"/>
      <c r="O231" s="99"/>
      <c r="P231" s="99"/>
      <c r="Q231" s="99"/>
      <c r="R231" s="99"/>
      <c r="S231" s="99"/>
      <c r="T231" s="99"/>
    </row>
    <row r="232">
      <c r="A232" s="78"/>
      <c r="B232" s="99"/>
      <c r="C232" s="85"/>
      <c r="D232" s="99"/>
      <c r="E232" s="99"/>
      <c r="F232" s="99"/>
      <c r="G232" s="99"/>
      <c r="H232" s="99"/>
      <c r="I232" s="99"/>
      <c r="J232" s="99"/>
      <c r="K232" s="99"/>
      <c r="L232" s="99"/>
      <c r="M232" s="99"/>
      <c r="N232" s="99"/>
      <c r="O232" s="99"/>
      <c r="P232" s="99"/>
      <c r="Q232" s="99"/>
      <c r="R232" s="99"/>
      <c r="S232" s="99"/>
      <c r="T232" s="99"/>
    </row>
    <row r="233">
      <c r="A233" s="78"/>
      <c r="B233" s="99"/>
      <c r="C233" s="85"/>
      <c r="D233" s="99"/>
      <c r="E233" s="99"/>
      <c r="F233" s="99"/>
      <c r="G233" s="99"/>
      <c r="H233" s="99"/>
      <c r="I233" s="99"/>
      <c r="J233" s="99"/>
      <c r="K233" s="99"/>
      <c r="L233" s="99"/>
      <c r="M233" s="99"/>
      <c r="N233" s="99"/>
      <c r="O233" s="99"/>
      <c r="P233" s="99"/>
      <c r="Q233" s="99"/>
      <c r="R233" s="99"/>
      <c r="S233" s="99"/>
      <c r="T233" s="99"/>
    </row>
    <row r="234">
      <c r="A234" s="78"/>
      <c r="B234" s="99"/>
      <c r="C234" s="85"/>
      <c r="D234" s="99"/>
      <c r="E234" s="99"/>
      <c r="F234" s="99"/>
      <c r="G234" s="99"/>
      <c r="H234" s="99"/>
      <c r="I234" s="99"/>
      <c r="J234" s="99"/>
      <c r="K234" s="99"/>
      <c r="L234" s="99"/>
      <c r="M234" s="99"/>
      <c r="N234" s="99"/>
      <c r="O234" s="99"/>
      <c r="P234" s="99"/>
      <c r="Q234" s="99"/>
      <c r="R234" s="99"/>
      <c r="S234" s="99"/>
      <c r="T234" s="99"/>
    </row>
    <row r="235">
      <c r="A235" s="78"/>
      <c r="B235" s="99"/>
      <c r="C235" s="85"/>
      <c r="D235" s="99"/>
      <c r="E235" s="99"/>
      <c r="F235" s="99"/>
      <c r="G235" s="99"/>
      <c r="H235" s="99"/>
      <c r="I235" s="99"/>
      <c r="J235" s="99"/>
      <c r="K235" s="99"/>
      <c r="L235" s="99"/>
      <c r="M235" s="99"/>
      <c r="N235" s="99"/>
      <c r="O235" s="99"/>
      <c r="P235" s="99"/>
      <c r="Q235" s="99"/>
      <c r="R235" s="99"/>
      <c r="S235" s="99"/>
      <c r="T235" s="99"/>
    </row>
    <row r="236">
      <c r="A236" s="78"/>
      <c r="B236" s="99"/>
      <c r="C236" s="85"/>
      <c r="D236" s="99"/>
      <c r="E236" s="99"/>
      <c r="F236" s="99"/>
      <c r="G236" s="99"/>
      <c r="H236" s="99"/>
      <c r="I236" s="99"/>
      <c r="J236" s="99"/>
      <c r="K236" s="99"/>
      <c r="L236" s="99"/>
      <c r="M236" s="99"/>
      <c r="N236" s="99"/>
      <c r="O236" s="99"/>
      <c r="P236" s="99"/>
      <c r="Q236" s="99"/>
      <c r="R236" s="99"/>
      <c r="S236" s="99"/>
      <c r="T236" s="99"/>
    </row>
    <row r="237">
      <c r="A237" s="78"/>
      <c r="B237" s="99"/>
      <c r="C237" s="85"/>
      <c r="D237" s="99"/>
      <c r="E237" s="99"/>
      <c r="F237" s="99"/>
      <c r="G237" s="99"/>
      <c r="H237" s="99"/>
      <c r="I237" s="99"/>
      <c r="J237" s="99"/>
      <c r="K237" s="99"/>
      <c r="L237" s="99"/>
      <c r="M237" s="99"/>
      <c r="N237" s="99"/>
      <c r="O237" s="99"/>
      <c r="P237" s="99"/>
      <c r="Q237" s="99"/>
      <c r="R237" s="99"/>
      <c r="S237" s="99"/>
      <c r="T237" s="99"/>
    </row>
    <row r="238">
      <c r="A238" s="78"/>
      <c r="B238" s="99"/>
      <c r="C238" s="85"/>
      <c r="D238" s="99"/>
      <c r="E238" s="99"/>
      <c r="F238" s="99"/>
      <c r="G238" s="99"/>
      <c r="H238" s="99"/>
      <c r="I238" s="99"/>
      <c r="J238" s="99"/>
      <c r="K238" s="99"/>
      <c r="L238" s="99"/>
      <c r="M238" s="99"/>
      <c r="N238" s="99"/>
      <c r="O238" s="99"/>
      <c r="P238" s="99"/>
      <c r="Q238" s="99"/>
      <c r="R238" s="99"/>
      <c r="S238" s="99"/>
      <c r="T238" s="99"/>
    </row>
    <row r="239">
      <c r="A239" s="78"/>
      <c r="B239" s="99"/>
      <c r="C239" s="85"/>
      <c r="D239" s="99"/>
      <c r="E239" s="99"/>
      <c r="F239" s="99"/>
      <c r="G239" s="99"/>
      <c r="H239" s="99"/>
      <c r="I239" s="99"/>
      <c r="J239" s="99"/>
      <c r="K239" s="99"/>
      <c r="L239" s="99"/>
      <c r="M239" s="99"/>
      <c r="N239" s="99"/>
      <c r="O239" s="99"/>
      <c r="P239" s="99"/>
      <c r="Q239" s="99"/>
      <c r="R239" s="99"/>
      <c r="S239" s="99"/>
      <c r="T239" s="99"/>
    </row>
    <row r="240">
      <c r="A240" s="78"/>
      <c r="B240" s="99"/>
      <c r="C240" s="85"/>
      <c r="D240" s="99"/>
      <c r="E240" s="99"/>
      <c r="F240" s="99"/>
      <c r="G240" s="99"/>
      <c r="H240" s="99"/>
      <c r="I240" s="99"/>
      <c r="J240" s="99"/>
      <c r="K240" s="99"/>
      <c r="L240" s="99"/>
      <c r="M240" s="99"/>
      <c r="N240" s="99"/>
      <c r="O240" s="99"/>
      <c r="P240" s="99"/>
      <c r="Q240" s="99"/>
      <c r="R240" s="99"/>
      <c r="S240" s="99"/>
      <c r="T240" s="99"/>
    </row>
    <row r="241">
      <c r="A241" s="78"/>
      <c r="B241" s="99"/>
      <c r="C241" s="85"/>
      <c r="D241" s="99"/>
      <c r="E241" s="99"/>
      <c r="F241" s="99"/>
      <c r="G241" s="99"/>
      <c r="H241" s="99"/>
      <c r="I241" s="99"/>
      <c r="J241" s="99"/>
      <c r="K241" s="99"/>
      <c r="L241" s="99"/>
      <c r="M241" s="99"/>
      <c r="N241" s="99"/>
      <c r="O241" s="99"/>
      <c r="P241" s="99"/>
      <c r="Q241" s="99"/>
      <c r="R241" s="99"/>
      <c r="S241" s="99"/>
      <c r="T241" s="99"/>
    </row>
    <row r="242">
      <c r="A242" s="78"/>
      <c r="B242" s="99"/>
      <c r="C242" s="85"/>
      <c r="D242" s="99"/>
      <c r="E242" s="99"/>
      <c r="F242" s="99"/>
      <c r="G242" s="99"/>
      <c r="H242" s="99"/>
      <c r="I242" s="99"/>
      <c r="J242" s="99"/>
      <c r="K242" s="99"/>
      <c r="L242" s="99"/>
      <c r="M242" s="99"/>
      <c r="N242" s="99"/>
      <c r="O242" s="99"/>
      <c r="P242" s="99"/>
      <c r="Q242" s="99"/>
      <c r="R242" s="99"/>
      <c r="S242" s="99"/>
      <c r="T242" s="99"/>
    </row>
    <row r="243">
      <c r="A243" s="78"/>
      <c r="B243" s="99"/>
      <c r="C243" s="85"/>
      <c r="D243" s="99"/>
      <c r="E243" s="99"/>
      <c r="F243" s="99"/>
      <c r="G243" s="99"/>
      <c r="H243" s="99"/>
      <c r="I243" s="99"/>
      <c r="J243" s="99"/>
      <c r="K243" s="99"/>
      <c r="L243" s="99"/>
      <c r="M243" s="99"/>
      <c r="N243" s="99"/>
      <c r="O243" s="99"/>
      <c r="P243" s="99"/>
      <c r="Q243" s="99"/>
      <c r="R243" s="99"/>
      <c r="S243" s="99"/>
      <c r="T243" s="99"/>
    </row>
    <row r="244">
      <c r="A244" s="78"/>
      <c r="B244" s="99"/>
      <c r="C244" s="85"/>
      <c r="D244" s="99"/>
      <c r="E244" s="99"/>
      <c r="F244" s="99"/>
      <c r="G244" s="99"/>
      <c r="H244" s="99"/>
      <c r="I244" s="99"/>
      <c r="J244" s="99"/>
      <c r="K244" s="99"/>
      <c r="L244" s="99"/>
      <c r="M244" s="99"/>
      <c r="N244" s="99"/>
      <c r="O244" s="99"/>
      <c r="P244" s="99"/>
      <c r="Q244" s="99"/>
      <c r="R244" s="99"/>
      <c r="S244" s="99"/>
      <c r="T244" s="99"/>
    </row>
    <row r="245">
      <c r="A245" s="78"/>
      <c r="B245" s="99"/>
      <c r="C245" s="85"/>
      <c r="D245" s="99"/>
      <c r="E245" s="99"/>
      <c r="F245" s="99"/>
      <c r="G245" s="99"/>
      <c r="H245" s="99"/>
      <c r="I245" s="99"/>
      <c r="J245" s="99"/>
      <c r="K245" s="99"/>
      <c r="L245" s="99"/>
      <c r="M245" s="99"/>
      <c r="N245" s="99"/>
      <c r="O245" s="99"/>
      <c r="P245" s="99"/>
      <c r="Q245" s="99"/>
      <c r="R245" s="99"/>
      <c r="S245" s="99"/>
      <c r="T245" s="99"/>
    </row>
    <row r="246">
      <c r="A246" s="78"/>
      <c r="B246" s="99"/>
      <c r="C246" s="85"/>
      <c r="D246" s="99"/>
      <c r="E246" s="99"/>
      <c r="F246" s="99"/>
      <c r="G246" s="99"/>
      <c r="H246" s="99"/>
      <c r="I246" s="99"/>
      <c r="J246" s="99"/>
      <c r="K246" s="99"/>
      <c r="L246" s="99"/>
      <c r="M246" s="99"/>
      <c r="N246" s="99"/>
      <c r="O246" s="99"/>
      <c r="P246" s="99"/>
      <c r="Q246" s="99"/>
      <c r="R246" s="99"/>
      <c r="S246" s="99"/>
      <c r="T246" s="99"/>
    </row>
    <row r="247">
      <c r="A247" s="78"/>
      <c r="B247" s="99"/>
      <c r="C247" s="85"/>
      <c r="D247" s="99"/>
      <c r="E247" s="99"/>
      <c r="F247" s="99"/>
      <c r="G247" s="99"/>
      <c r="H247" s="99"/>
      <c r="I247" s="99"/>
      <c r="J247" s="99"/>
      <c r="K247" s="99"/>
      <c r="L247" s="99"/>
      <c r="M247" s="99"/>
      <c r="N247" s="99"/>
      <c r="O247" s="99"/>
      <c r="P247" s="99"/>
      <c r="Q247" s="99"/>
      <c r="R247" s="99"/>
      <c r="S247" s="99"/>
      <c r="T247" s="99"/>
    </row>
    <row r="248">
      <c r="A248" s="78"/>
      <c r="B248" s="99"/>
      <c r="C248" s="85"/>
      <c r="D248" s="99"/>
      <c r="E248" s="99"/>
      <c r="F248" s="99"/>
      <c r="G248" s="99"/>
      <c r="H248" s="99"/>
      <c r="I248" s="99"/>
      <c r="J248" s="99"/>
      <c r="K248" s="99"/>
      <c r="L248" s="99"/>
      <c r="M248" s="99"/>
      <c r="N248" s="99"/>
      <c r="O248" s="99"/>
      <c r="P248" s="99"/>
      <c r="Q248" s="99"/>
      <c r="R248" s="99"/>
      <c r="S248" s="99"/>
      <c r="T248" s="99"/>
    </row>
    <row r="249">
      <c r="A249" s="78"/>
      <c r="B249" s="99"/>
      <c r="C249" s="85"/>
      <c r="D249" s="99"/>
      <c r="E249" s="99"/>
      <c r="F249" s="99"/>
      <c r="G249" s="99"/>
      <c r="H249" s="99"/>
      <c r="I249" s="99"/>
      <c r="J249" s="99"/>
      <c r="K249" s="99"/>
      <c r="L249" s="99"/>
      <c r="M249" s="99"/>
      <c r="N249" s="99"/>
      <c r="O249" s="99"/>
      <c r="P249" s="99"/>
      <c r="Q249" s="99"/>
      <c r="R249" s="99"/>
      <c r="S249" s="99"/>
      <c r="T249" s="99"/>
    </row>
    <row r="250">
      <c r="A250" s="78"/>
      <c r="B250" s="99"/>
      <c r="C250" s="85"/>
      <c r="D250" s="99"/>
      <c r="E250" s="99"/>
      <c r="F250" s="99"/>
      <c r="G250" s="99"/>
      <c r="H250" s="99"/>
      <c r="I250" s="99"/>
      <c r="J250" s="99"/>
      <c r="K250" s="99"/>
      <c r="L250" s="99"/>
      <c r="M250" s="99"/>
      <c r="N250" s="99"/>
      <c r="O250" s="99"/>
      <c r="P250" s="99"/>
      <c r="Q250" s="99"/>
      <c r="R250" s="99"/>
      <c r="S250" s="99"/>
      <c r="T250" s="99"/>
    </row>
    <row r="251">
      <c r="A251" s="78"/>
      <c r="B251" s="99"/>
      <c r="C251" s="85"/>
      <c r="D251" s="99"/>
      <c r="E251" s="99"/>
      <c r="F251" s="99"/>
      <c r="G251" s="99"/>
      <c r="H251" s="99"/>
      <c r="I251" s="99"/>
      <c r="J251" s="99"/>
      <c r="K251" s="99"/>
      <c r="L251" s="99"/>
      <c r="M251" s="99"/>
      <c r="N251" s="99"/>
      <c r="O251" s="99"/>
      <c r="P251" s="99"/>
      <c r="Q251" s="99"/>
      <c r="R251" s="99"/>
      <c r="S251" s="99"/>
      <c r="T251" s="99"/>
    </row>
    <row r="252">
      <c r="A252" s="78"/>
      <c r="B252" s="99"/>
      <c r="C252" s="85"/>
      <c r="D252" s="99"/>
      <c r="E252" s="99"/>
      <c r="F252" s="99"/>
      <c r="G252" s="99"/>
      <c r="H252" s="99"/>
      <c r="I252" s="99"/>
      <c r="J252" s="99"/>
      <c r="K252" s="99"/>
      <c r="L252" s="99"/>
      <c r="M252" s="99"/>
      <c r="N252" s="99"/>
      <c r="O252" s="99"/>
      <c r="P252" s="99"/>
      <c r="Q252" s="99"/>
      <c r="R252" s="99"/>
      <c r="S252" s="99"/>
      <c r="T252" s="99"/>
    </row>
    <row r="253">
      <c r="A253" s="78"/>
      <c r="B253" s="99"/>
      <c r="C253" s="85"/>
      <c r="D253" s="99"/>
      <c r="E253" s="99"/>
      <c r="F253" s="99"/>
      <c r="G253" s="99"/>
      <c r="H253" s="99"/>
      <c r="I253" s="99"/>
      <c r="J253" s="99"/>
      <c r="K253" s="99"/>
      <c r="L253" s="99"/>
      <c r="M253" s="99"/>
      <c r="N253" s="99"/>
      <c r="O253" s="99"/>
      <c r="P253" s="99"/>
      <c r="Q253" s="99"/>
      <c r="R253" s="99"/>
      <c r="S253" s="99"/>
      <c r="T253" s="99"/>
    </row>
    <row r="254">
      <c r="A254" s="78"/>
      <c r="B254" s="99"/>
      <c r="C254" s="85"/>
      <c r="D254" s="99"/>
      <c r="E254" s="99"/>
      <c r="F254" s="99"/>
      <c r="G254" s="99"/>
      <c r="H254" s="99"/>
      <c r="I254" s="99"/>
      <c r="J254" s="99"/>
      <c r="K254" s="99"/>
      <c r="L254" s="99"/>
      <c r="M254" s="99"/>
      <c r="N254" s="99"/>
      <c r="O254" s="99"/>
      <c r="P254" s="99"/>
      <c r="Q254" s="99"/>
      <c r="R254" s="99"/>
      <c r="S254" s="99"/>
      <c r="T254" s="99"/>
    </row>
    <row r="255">
      <c r="A255" s="78"/>
      <c r="B255" s="99"/>
      <c r="C255" s="85"/>
      <c r="D255" s="99"/>
      <c r="E255" s="99"/>
      <c r="F255" s="99"/>
      <c r="G255" s="99"/>
      <c r="H255" s="99"/>
      <c r="I255" s="99"/>
      <c r="J255" s="99"/>
      <c r="K255" s="99"/>
      <c r="L255" s="99"/>
      <c r="M255" s="99"/>
      <c r="N255" s="99"/>
      <c r="O255" s="99"/>
      <c r="P255" s="99"/>
      <c r="Q255" s="99"/>
      <c r="R255" s="99"/>
      <c r="S255" s="99"/>
      <c r="T255" s="99"/>
    </row>
    <row r="256">
      <c r="A256" s="78"/>
      <c r="B256" s="99"/>
      <c r="C256" s="85"/>
      <c r="D256" s="99"/>
      <c r="E256" s="99"/>
      <c r="F256" s="99"/>
      <c r="G256" s="99"/>
      <c r="H256" s="99"/>
      <c r="I256" s="99"/>
      <c r="J256" s="99"/>
      <c r="K256" s="99"/>
      <c r="L256" s="99"/>
      <c r="M256" s="99"/>
      <c r="N256" s="99"/>
      <c r="O256" s="99"/>
      <c r="P256" s="99"/>
      <c r="Q256" s="99"/>
      <c r="R256" s="99"/>
      <c r="S256" s="99"/>
      <c r="T256" s="99"/>
    </row>
    <row r="257">
      <c r="A257" s="78"/>
      <c r="B257" s="99"/>
      <c r="C257" s="85"/>
      <c r="D257" s="99"/>
      <c r="E257" s="99"/>
      <c r="F257" s="99"/>
      <c r="G257" s="99"/>
      <c r="H257" s="99"/>
      <c r="I257" s="99"/>
      <c r="J257" s="99"/>
      <c r="K257" s="99"/>
      <c r="L257" s="99"/>
      <c r="M257" s="99"/>
      <c r="N257" s="99"/>
      <c r="O257" s="99"/>
      <c r="P257" s="99"/>
      <c r="Q257" s="99"/>
      <c r="R257" s="99"/>
      <c r="S257" s="99"/>
      <c r="T257" s="99"/>
    </row>
    <row r="258">
      <c r="A258" s="78"/>
      <c r="B258" s="99"/>
      <c r="C258" s="85"/>
      <c r="D258" s="99"/>
      <c r="E258" s="99"/>
      <c r="F258" s="99"/>
      <c r="G258" s="99"/>
      <c r="H258" s="99"/>
      <c r="I258" s="99"/>
      <c r="J258" s="99"/>
      <c r="K258" s="99"/>
      <c r="L258" s="99"/>
      <c r="M258" s="99"/>
      <c r="N258" s="99"/>
      <c r="O258" s="99"/>
      <c r="P258" s="99"/>
      <c r="Q258" s="99"/>
      <c r="R258" s="99"/>
      <c r="S258" s="99"/>
      <c r="T258" s="99"/>
    </row>
    <row r="259">
      <c r="A259" s="78"/>
      <c r="B259" s="99"/>
      <c r="C259" s="85"/>
      <c r="D259" s="99"/>
      <c r="E259" s="99"/>
      <c r="F259" s="99"/>
      <c r="G259" s="99"/>
      <c r="H259" s="99"/>
      <c r="I259" s="99"/>
      <c r="J259" s="99"/>
      <c r="K259" s="99"/>
      <c r="L259" s="99"/>
      <c r="M259" s="99"/>
      <c r="N259" s="99"/>
      <c r="O259" s="99"/>
      <c r="P259" s="99"/>
      <c r="Q259" s="99"/>
      <c r="R259" s="99"/>
      <c r="S259" s="99"/>
      <c r="T259" s="99"/>
    </row>
    <row r="260">
      <c r="A260" s="78"/>
      <c r="B260" s="99"/>
      <c r="C260" s="85"/>
      <c r="D260" s="99"/>
      <c r="E260" s="99"/>
      <c r="F260" s="99"/>
      <c r="G260" s="99"/>
      <c r="H260" s="99"/>
      <c r="I260" s="99"/>
      <c r="J260" s="99"/>
      <c r="K260" s="99"/>
      <c r="L260" s="99"/>
      <c r="M260" s="99"/>
      <c r="N260" s="99"/>
      <c r="O260" s="99"/>
      <c r="P260" s="99"/>
      <c r="Q260" s="99"/>
      <c r="R260" s="99"/>
      <c r="S260" s="99"/>
      <c r="T260" s="99"/>
    </row>
    <row r="261">
      <c r="A261" s="78"/>
      <c r="B261" s="99"/>
      <c r="C261" s="85"/>
      <c r="D261" s="99"/>
      <c r="E261" s="99"/>
      <c r="F261" s="99"/>
      <c r="G261" s="99"/>
      <c r="H261" s="99"/>
      <c r="I261" s="99"/>
      <c r="J261" s="99"/>
      <c r="K261" s="99"/>
      <c r="L261" s="99"/>
      <c r="M261" s="99"/>
      <c r="N261" s="99"/>
      <c r="O261" s="99"/>
      <c r="P261" s="99"/>
      <c r="Q261" s="99"/>
      <c r="R261" s="99"/>
      <c r="S261" s="99"/>
      <c r="T261" s="99"/>
    </row>
    <row r="262">
      <c r="A262" s="78"/>
      <c r="B262" s="99"/>
      <c r="C262" s="85"/>
      <c r="D262" s="99"/>
      <c r="E262" s="99"/>
      <c r="F262" s="99"/>
      <c r="G262" s="99"/>
      <c r="H262" s="99"/>
      <c r="I262" s="99"/>
      <c r="J262" s="99"/>
      <c r="K262" s="99"/>
      <c r="L262" s="99"/>
      <c r="M262" s="99"/>
      <c r="N262" s="99"/>
      <c r="O262" s="99"/>
      <c r="P262" s="99"/>
      <c r="Q262" s="99"/>
      <c r="R262" s="99"/>
      <c r="S262" s="99"/>
      <c r="T262" s="99"/>
    </row>
    <row r="263">
      <c r="A263" s="78"/>
      <c r="B263" s="99"/>
      <c r="C263" s="85"/>
      <c r="D263" s="99"/>
      <c r="E263" s="99"/>
      <c r="F263" s="99"/>
      <c r="G263" s="99"/>
      <c r="H263" s="99"/>
      <c r="I263" s="99"/>
      <c r="J263" s="99"/>
      <c r="K263" s="99"/>
      <c r="L263" s="99"/>
      <c r="M263" s="99"/>
      <c r="N263" s="99"/>
      <c r="O263" s="99"/>
      <c r="P263" s="99"/>
      <c r="Q263" s="99"/>
      <c r="R263" s="99"/>
      <c r="S263" s="99"/>
      <c r="T263" s="99"/>
    </row>
    <row r="264">
      <c r="A264" s="78"/>
      <c r="B264" s="99"/>
      <c r="C264" s="85"/>
      <c r="D264" s="99"/>
      <c r="E264" s="99"/>
      <c r="F264" s="99"/>
      <c r="G264" s="99"/>
      <c r="H264" s="99"/>
      <c r="I264" s="99"/>
      <c r="J264" s="99"/>
      <c r="K264" s="99"/>
      <c r="L264" s="99"/>
      <c r="M264" s="99"/>
      <c r="N264" s="99"/>
      <c r="O264" s="99"/>
      <c r="P264" s="99"/>
      <c r="Q264" s="99"/>
      <c r="R264" s="99"/>
      <c r="S264" s="99"/>
      <c r="T264" s="99"/>
    </row>
    <row r="265">
      <c r="A265" s="78"/>
      <c r="B265" s="99"/>
      <c r="C265" s="85"/>
      <c r="D265" s="99"/>
      <c r="E265" s="99"/>
      <c r="F265" s="99"/>
      <c r="G265" s="99"/>
      <c r="H265" s="99"/>
      <c r="I265" s="99"/>
      <c r="J265" s="99"/>
      <c r="K265" s="99"/>
      <c r="L265" s="99"/>
      <c r="M265" s="99"/>
      <c r="N265" s="99"/>
      <c r="O265" s="99"/>
      <c r="P265" s="99"/>
      <c r="Q265" s="99"/>
      <c r="R265" s="99"/>
      <c r="S265" s="99"/>
      <c r="T265" s="99"/>
    </row>
    <row r="266">
      <c r="A266" s="78"/>
      <c r="B266" s="99"/>
      <c r="C266" s="85"/>
      <c r="D266" s="99"/>
      <c r="E266" s="99"/>
      <c r="F266" s="99"/>
      <c r="G266" s="99"/>
      <c r="H266" s="99"/>
      <c r="I266" s="99"/>
      <c r="J266" s="99"/>
      <c r="K266" s="99"/>
      <c r="L266" s="99"/>
      <c r="M266" s="99"/>
      <c r="N266" s="99"/>
      <c r="O266" s="99"/>
      <c r="P266" s="99"/>
      <c r="Q266" s="99"/>
      <c r="R266" s="99"/>
      <c r="S266" s="99"/>
      <c r="T266" s="99"/>
    </row>
    <row r="267">
      <c r="A267" s="78"/>
      <c r="B267" s="99"/>
      <c r="C267" s="85"/>
      <c r="D267" s="99"/>
      <c r="E267" s="99"/>
      <c r="F267" s="99"/>
      <c r="G267" s="99"/>
      <c r="H267" s="99"/>
      <c r="I267" s="99"/>
      <c r="J267" s="99"/>
      <c r="K267" s="99"/>
      <c r="L267" s="99"/>
      <c r="M267" s="99"/>
      <c r="N267" s="99"/>
      <c r="O267" s="99"/>
      <c r="P267" s="99"/>
      <c r="Q267" s="99"/>
      <c r="R267" s="99"/>
      <c r="S267" s="99"/>
      <c r="T267" s="99"/>
    </row>
    <row r="268">
      <c r="A268" s="78"/>
      <c r="B268" s="99"/>
      <c r="C268" s="85"/>
      <c r="D268" s="99"/>
      <c r="E268" s="99"/>
      <c r="F268" s="99"/>
      <c r="G268" s="99"/>
      <c r="H268" s="99"/>
      <c r="I268" s="99"/>
      <c r="J268" s="99"/>
      <c r="K268" s="99"/>
      <c r="L268" s="99"/>
      <c r="M268" s="99"/>
      <c r="N268" s="99"/>
      <c r="O268" s="99"/>
      <c r="P268" s="99"/>
      <c r="Q268" s="99"/>
      <c r="R268" s="99"/>
      <c r="S268" s="99"/>
      <c r="T268" s="99"/>
    </row>
    <row r="269">
      <c r="A269" s="78"/>
      <c r="B269" s="99"/>
      <c r="C269" s="85"/>
      <c r="D269" s="99"/>
      <c r="E269" s="99"/>
      <c r="F269" s="99"/>
      <c r="G269" s="99"/>
      <c r="H269" s="99"/>
      <c r="I269" s="99"/>
      <c r="J269" s="99"/>
      <c r="K269" s="99"/>
      <c r="L269" s="99"/>
      <c r="M269" s="99"/>
      <c r="N269" s="99"/>
      <c r="O269" s="99"/>
      <c r="P269" s="99"/>
      <c r="Q269" s="99"/>
      <c r="R269" s="99"/>
      <c r="S269" s="99"/>
      <c r="T269" s="99"/>
    </row>
    <row r="270">
      <c r="A270" s="78"/>
      <c r="B270" s="99"/>
      <c r="C270" s="85"/>
      <c r="D270" s="99"/>
      <c r="E270" s="99"/>
      <c r="F270" s="99"/>
      <c r="G270" s="99"/>
      <c r="H270" s="99"/>
      <c r="I270" s="99"/>
      <c r="J270" s="99"/>
      <c r="K270" s="99"/>
      <c r="L270" s="99"/>
      <c r="M270" s="99"/>
      <c r="N270" s="99"/>
      <c r="O270" s="99"/>
      <c r="P270" s="99"/>
      <c r="Q270" s="99"/>
      <c r="R270" s="99"/>
      <c r="S270" s="99"/>
      <c r="T270" s="99"/>
    </row>
    <row r="271">
      <c r="A271" s="78"/>
      <c r="B271" s="99"/>
      <c r="C271" s="85"/>
      <c r="D271" s="99"/>
      <c r="E271" s="99"/>
      <c r="F271" s="99"/>
      <c r="G271" s="99"/>
      <c r="H271" s="99"/>
      <c r="I271" s="99"/>
      <c r="J271" s="99"/>
      <c r="K271" s="99"/>
      <c r="L271" s="99"/>
      <c r="M271" s="99"/>
      <c r="N271" s="99"/>
      <c r="O271" s="99"/>
      <c r="P271" s="99"/>
      <c r="Q271" s="99"/>
      <c r="R271" s="99"/>
      <c r="S271" s="99"/>
      <c r="T271" s="99"/>
    </row>
    <row r="272">
      <c r="A272" s="78"/>
      <c r="B272" s="99"/>
      <c r="C272" s="85"/>
      <c r="D272" s="99"/>
      <c r="E272" s="99"/>
      <c r="F272" s="99"/>
      <c r="G272" s="99"/>
      <c r="H272" s="99"/>
      <c r="I272" s="99"/>
      <c r="J272" s="99"/>
      <c r="K272" s="99"/>
      <c r="L272" s="99"/>
      <c r="M272" s="99"/>
      <c r="N272" s="99"/>
      <c r="O272" s="99"/>
      <c r="P272" s="99"/>
      <c r="Q272" s="99"/>
      <c r="R272" s="99"/>
      <c r="S272" s="99"/>
      <c r="T272" s="99"/>
    </row>
    <row r="273">
      <c r="A273" s="78"/>
      <c r="B273" s="99"/>
      <c r="C273" s="85"/>
      <c r="D273" s="99"/>
      <c r="E273" s="99"/>
      <c r="F273" s="99"/>
      <c r="G273" s="99"/>
      <c r="H273" s="99"/>
      <c r="I273" s="99"/>
      <c r="J273" s="99"/>
      <c r="K273" s="99"/>
      <c r="L273" s="99"/>
      <c r="M273" s="99"/>
      <c r="N273" s="99"/>
      <c r="O273" s="99"/>
      <c r="P273" s="99"/>
      <c r="Q273" s="99"/>
      <c r="R273" s="99"/>
      <c r="S273" s="99"/>
      <c r="T273" s="99"/>
    </row>
    <row r="274">
      <c r="A274" s="78"/>
      <c r="B274" s="99"/>
      <c r="C274" s="85"/>
      <c r="D274" s="99"/>
      <c r="E274" s="99"/>
      <c r="F274" s="99"/>
      <c r="G274" s="99"/>
      <c r="H274" s="99"/>
      <c r="I274" s="99"/>
      <c r="J274" s="99"/>
      <c r="K274" s="99"/>
      <c r="L274" s="99"/>
      <c r="M274" s="99"/>
      <c r="N274" s="99"/>
      <c r="O274" s="99"/>
      <c r="P274" s="99"/>
      <c r="Q274" s="99"/>
      <c r="R274" s="99"/>
      <c r="S274" s="99"/>
      <c r="T274" s="99"/>
    </row>
    <row r="275">
      <c r="A275" s="78"/>
      <c r="B275" s="99"/>
      <c r="C275" s="85"/>
      <c r="D275" s="99"/>
      <c r="E275" s="99"/>
      <c r="F275" s="99"/>
      <c r="G275" s="99"/>
      <c r="H275" s="99"/>
      <c r="I275" s="99"/>
      <c r="J275" s="99"/>
      <c r="K275" s="99"/>
      <c r="L275" s="99"/>
      <c r="M275" s="99"/>
      <c r="N275" s="99"/>
      <c r="O275" s="99"/>
      <c r="P275" s="99"/>
      <c r="Q275" s="99"/>
      <c r="R275" s="99"/>
      <c r="S275" s="99"/>
      <c r="T275" s="99"/>
    </row>
    <row r="276">
      <c r="A276" s="78"/>
      <c r="B276" s="99"/>
      <c r="C276" s="85"/>
      <c r="D276" s="99"/>
      <c r="E276" s="99"/>
      <c r="F276" s="99"/>
      <c r="G276" s="99"/>
      <c r="H276" s="99"/>
      <c r="I276" s="99"/>
      <c r="J276" s="99"/>
      <c r="K276" s="99"/>
      <c r="L276" s="99"/>
      <c r="M276" s="99"/>
      <c r="N276" s="99"/>
      <c r="O276" s="99"/>
      <c r="P276" s="99"/>
      <c r="Q276" s="99"/>
      <c r="R276" s="99"/>
      <c r="S276" s="99"/>
      <c r="T276" s="99"/>
    </row>
    <row r="277">
      <c r="A277" s="78"/>
      <c r="B277" s="99"/>
      <c r="C277" s="85"/>
      <c r="D277" s="99"/>
      <c r="E277" s="99"/>
      <c r="F277" s="99"/>
      <c r="G277" s="99"/>
      <c r="H277" s="99"/>
      <c r="I277" s="99"/>
      <c r="J277" s="99"/>
      <c r="K277" s="99"/>
      <c r="L277" s="99"/>
      <c r="M277" s="99"/>
      <c r="N277" s="99"/>
      <c r="O277" s="99"/>
      <c r="P277" s="99"/>
      <c r="Q277" s="99"/>
      <c r="R277" s="99"/>
      <c r="S277" s="99"/>
      <c r="T277" s="99"/>
    </row>
    <row r="278">
      <c r="A278" s="78"/>
      <c r="B278" s="99"/>
      <c r="C278" s="85"/>
      <c r="D278" s="99"/>
      <c r="E278" s="99"/>
      <c r="F278" s="99"/>
      <c r="G278" s="99"/>
      <c r="H278" s="99"/>
      <c r="I278" s="99"/>
      <c r="J278" s="99"/>
      <c r="K278" s="99"/>
      <c r="L278" s="99"/>
      <c r="M278" s="99"/>
      <c r="N278" s="99"/>
      <c r="O278" s="99"/>
      <c r="P278" s="99"/>
      <c r="Q278" s="99"/>
      <c r="R278" s="99"/>
      <c r="S278" s="99"/>
      <c r="T278" s="99"/>
    </row>
    <row r="279">
      <c r="A279" s="78"/>
      <c r="B279" s="99"/>
      <c r="C279" s="85"/>
      <c r="D279" s="99"/>
      <c r="E279" s="99"/>
      <c r="F279" s="99"/>
      <c r="G279" s="99"/>
      <c r="H279" s="99"/>
      <c r="I279" s="99"/>
      <c r="J279" s="99"/>
      <c r="K279" s="99"/>
      <c r="L279" s="99"/>
      <c r="M279" s="99"/>
      <c r="N279" s="99"/>
      <c r="O279" s="99"/>
      <c r="P279" s="99"/>
      <c r="Q279" s="99"/>
      <c r="R279" s="99"/>
      <c r="S279" s="99"/>
      <c r="T279" s="99"/>
    </row>
    <row r="280">
      <c r="A280" s="78"/>
      <c r="B280" s="99"/>
      <c r="C280" s="85"/>
      <c r="D280" s="99"/>
      <c r="E280" s="99"/>
      <c r="F280" s="99"/>
      <c r="G280" s="99"/>
      <c r="H280" s="99"/>
      <c r="I280" s="99"/>
      <c r="J280" s="99"/>
      <c r="K280" s="99"/>
      <c r="L280" s="99"/>
      <c r="M280" s="99"/>
      <c r="N280" s="99"/>
      <c r="O280" s="99"/>
      <c r="P280" s="99"/>
      <c r="Q280" s="99"/>
      <c r="R280" s="99"/>
      <c r="S280" s="99"/>
      <c r="T280" s="99"/>
    </row>
    <row r="281">
      <c r="A281" s="78"/>
      <c r="B281" s="99"/>
      <c r="C281" s="85"/>
      <c r="D281" s="99"/>
      <c r="E281" s="99"/>
      <c r="F281" s="99"/>
      <c r="G281" s="99"/>
      <c r="H281" s="99"/>
      <c r="I281" s="99"/>
      <c r="J281" s="99"/>
      <c r="K281" s="99"/>
      <c r="L281" s="99"/>
      <c r="M281" s="99"/>
      <c r="N281" s="99"/>
      <c r="O281" s="99"/>
      <c r="P281" s="99"/>
      <c r="Q281" s="99"/>
      <c r="R281" s="99"/>
      <c r="S281" s="99"/>
      <c r="T281" s="99"/>
    </row>
    <row r="282">
      <c r="A282" s="78"/>
      <c r="B282" s="99"/>
      <c r="C282" s="85"/>
      <c r="D282" s="99"/>
      <c r="E282" s="99"/>
      <c r="F282" s="99"/>
      <c r="G282" s="99"/>
      <c r="H282" s="99"/>
      <c r="I282" s="99"/>
      <c r="J282" s="99"/>
      <c r="K282" s="99"/>
      <c r="L282" s="99"/>
      <c r="M282" s="99"/>
      <c r="N282" s="99"/>
      <c r="O282" s="99"/>
      <c r="P282" s="99"/>
      <c r="Q282" s="99"/>
      <c r="R282" s="99"/>
      <c r="S282" s="99"/>
      <c r="T282" s="99"/>
    </row>
    <row r="283">
      <c r="A283" s="78"/>
      <c r="B283" s="99"/>
      <c r="C283" s="85"/>
      <c r="D283" s="99"/>
      <c r="E283" s="99"/>
      <c r="F283" s="99"/>
      <c r="G283" s="99"/>
      <c r="H283" s="99"/>
      <c r="I283" s="99"/>
      <c r="J283" s="99"/>
      <c r="K283" s="99"/>
      <c r="L283" s="99"/>
      <c r="M283" s="99"/>
      <c r="N283" s="99"/>
      <c r="O283" s="99"/>
      <c r="P283" s="99"/>
      <c r="Q283" s="99"/>
      <c r="R283" s="99"/>
      <c r="S283" s="99"/>
      <c r="T283" s="99"/>
    </row>
    <row r="284">
      <c r="A284" s="78"/>
      <c r="B284" s="99"/>
      <c r="C284" s="85"/>
      <c r="D284" s="99"/>
      <c r="E284" s="99"/>
      <c r="F284" s="99"/>
      <c r="G284" s="99"/>
      <c r="H284" s="99"/>
      <c r="I284" s="99"/>
      <c r="J284" s="99"/>
      <c r="K284" s="99"/>
      <c r="L284" s="99"/>
      <c r="M284" s="99"/>
      <c r="N284" s="99"/>
      <c r="O284" s="99"/>
      <c r="P284" s="99"/>
      <c r="Q284" s="99"/>
      <c r="R284" s="99"/>
      <c r="S284" s="99"/>
      <c r="T284" s="99"/>
    </row>
    <row r="285">
      <c r="A285" s="78"/>
      <c r="B285" s="99"/>
      <c r="C285" s="85"/>
      <c r="D285" s="99"/>
      <c r="E285" s="99"/>
      <c r="F285" s="99"/>
      <c r="G285" s="99"/>
      <c r="H285" s="99"/>
      <c r="I285" s="99"/>
      <c r="J285" s="99"/>
      <c r="K285" s="99"/>
      <c r="L285" s="99"/>
      <c r="M285" s="99"/>
      <c r="N285" s="99"/>
      <c r="O285" s="99"/>
      <c r="P285" s="99"/>
      <c r="Q285" s="99"/>
      <c r="R285" s="99"/>
      <c r="S285" s="99"/>
      <c r="T285" s="99"/>
    </row>
    <row r="286">
      <c r="A286" s="78"/>
      <c r="B286" s="99"/>
      <c r="C286" s="85"/>
      <c r="D286" s="99"/>
      <c r="E286" s="99"/>
      <c r="F286" s="99"/>
      <c r="G286" s="99"/>
      <c r="H286" s="99"/>
      <c r="I286" s="99"/>
      <c r="J286" s="99"/>
      <c r="K286" s="99"/>
      <c r="L286" s="99"/>
      <c r="M286" s="99"/>
      <c r="N286" s="99"/>
      <c r="O286" s="99"/>
      <c r="P286" s="99"/>
      <c r="Q286" s="99"/>
      <c r="R286" s="99"/>
      <c r="S286" s="99"/>
      <c r="T286" s="99"/>
    </row>
    <row r="287">
      <c r="A287" s="78"/>
      <c r="B287" s="99"/>
      <c r="C287" s="85"/>
      <c r="D287" s="99"/>
      <c r="E287" s="99"/>
      <c r="F287" s="99"/>
      <c r="G287" s="99"/>
      <c r="H287" s="99"/>
      <c r="I287" s="99"/>
      <c r="J287" s="99"/>
      <c r="K287" s="99"/>
      <c r="L287" s="99"/>
      <c r="M287" s="99"/>
      <c r="N287" s="99"/>
      <c r="O287" s="99"/>
      <c r="P287" s="99"/>
      <c r="Q287" s="99"/>
      <c r="R287" s="99"/>
      <c r="S287" s="99"/>
      <c r="T287" s="99"/>
    </row>
    <row r="288">
      <c r="A288" s="78"/>
      <c r="B288" s="99"/>
      <c r="C288" s="85"/>
      <c r="D288" s="99"/>
      <c r="E288" s="99"/>
      <c r="F288" s="99"/>
      <c r="G288" s="99"/>
      <c r="H288" s="99"/>
      <c r="I288" s="99"/>
      <c r="J288" s="99"/>
      <c r="K288" s="99"/>
      <c r="L288" s="99"/>
      <c r="M288" s="99"/>
      <c r="N288" s="99"/>
      <c r="O288" s="99"/>
      <c r="P288" s="99"/>
      <c r="Q288" s="99"/>
      <c r="R288" s="99"/>
      <c r="S288" s="99"/>
      <c r="T288" s="99"/>
    </row>
    <row r="289">
      <c r="A289" s="78"/>
      <c r="B289" s="99"/>
      <c r="C289" s="85"/>
      <c r="D289" s="99"/>
      <c r="E289" s="99"/>
      <c r="F289" s="99"/>
      <c r="G289" s="99"/>
      <c r="H289" s="99"/>
      <c r="I289" s="99"/>
      <c r="J289" s="99"/>
      <c r="K289" s="99"/>
      <c r="L289" s="99"/>
      <c r="M289" s="99"/>
      <c r="N289" s="99"/>
      <c r="O289" s="99"/>
      <c r="P289" s="99"/>
      <c r="Q289" s="99"/>
      <c r="R289" s="99"/>
      <c r="S289" s="99"/>
      <c r="T289" s="99"/>
    </row>
    <row r="290">
      <c r="A290" s="78"/>
      <c r="B290" s="99"/>
      <c r="C290" s="85"/>
      <c r="D290" s="99"/>
      <c r="E290" s="99"/>
      <c r="F290" s="99"/>
      <c r="G290" s="99"/>
      <c r="H290" s="99"/>
      <c r="I290" s="99"/>
      <c r="J290" s="99"/>
      <c r="K290" s="99"/>
      <c r="L290" s="99"/>
      <c r="M290" s="99"/>
      <c r="N290" s="99"/>
      <c r="O290" s="99"/>
      <c r="P290" s="99"/>
      <c r="Q290" s="99"/>
      <c r="R290" s="99"/>
      <c r="S290" s="99"/>
      <c r="T290" s="99"/>
    </row>
    <row r="291">
      <c r="A291" s="78"/>
      <c r="B291" s="99"/>
      <c r="C291" s="85"/>
      <c r="D291" s="99"/>
      <c r="E291" s="99"/>
      <c r="F291" s="99"/>
      <c r="G291" s="99"/>
      <c r="H291" s="99"/>
      <c r="I291" s="99"/>
      <c r="J291" s="99"/>
      <c r="K291" s="99"/>
      <c r="L291" s="99"/>
      <c r="M291" s="99"/>
      <c r="N291" s="99"/>
      <c r="O291" s="99"/>
      <c r="P291" s="99"/>
      <c r="Q291" s="99"/>
      <c r="R291" s="99"/>
      <c r="S291" s="99"/>
      <c r="T291" s="99"/>
    </row>
    <row r="292">
      <c r="A292" s="78"/>
      <c r="B292" s="99"/>
      <c r="C292" s="85"/>
      <c r="D292" s="99"/>
      <c r="E292" s="99"/>
      <c r="F292" s="99"/>
      <c r="G292" s="99"/>
      <c r="H292" s="99"/>
      <c r="I292" s="99"/>
      <c r="J292" s="99"/>
      <c r="K292" s="99"/>
      <c r="L292" s="99"/>
      <c r="M292" s="99"/>
      <c r="N292" s="99"/>
      <c r="O292" s="99"/>
      <c r="P292" s="99"/>
      <c r="Q292" s="99"/>
      <c r="R292" s="99"/>
      <c r="S292" s="99"/>
      <c r="T292" s="99"/>
    </row>
    <row r="293">
      <c r="A293" s="78"/>
      <c r="B293" s="99"/>
      <c r="C293" s="85"/>
      <c r="D293" s="99"/>
      <c r="E293" s="99"/>
      <c r="F293" s="99"/>
      <c r="G293" s="99"/>
      <c r="H293" s="99"/>
      <c r="I293" s="99"/>
      <c r="J293" s="99"/>
      <c r="K293" s="99"/>
      <c r="L293" s="99"/>
      <c r="M293" s="99"/>
      <c r="N293" s="99"/>
      <c r="O293" s="99"/>
      <c r="P293" s="99"/>
      <c r="Q293" s="99"/>
      <c r="R293" s="99"/>
      <c r="S293" s="99"/>
      <c r="T293" s="99"/>
    </row>
    <row r="294">
      <c r="A294" s="78"/>
      <c r="B294" s="99"/>
      <c r="C294" s="85"/>
      <c r="D294" s="99"/>
      <c r="E294" s="99"/>
      <c r="F294" s="99"/>
      <c r="G294" s="99"/>
      <c r="H294" s="99"/>
      <c r="I294" s="99"/>
      <c r="J294" s="99"/>
      <c r="K294" s="99"/>
      <c r="L294" s="99"/>
      <c r="M294" s="99"/>
      <c r="N294" s="99"/>
      <c r="O294" s="99"/>
      <c r="P294" s="99"/>
      <c r="Q294" s="99"/>
      <c r="R294" s="99"/>
      <c r="S294" s="99"/>
      <c r="T294" s="99"/>
    </row>
    <row r="295">
      <c r="A295" s="78"/>
      <c r="B295" s="99"/>
      <c r="C295" s="85"/>
      <c r="D295" s="99"/>
      <c r="E295" s="99"/>
      <c r="F295" s="99"/>
      <c r="G295" s="99"/>
      <c r="H295" s="99"/>
      <c r="I295" s="99"/>
      <c r="J295" s="99"/>
      <c r="K295" s="99"/>
      <c r="L295" s="99"/>
      <c r="M295" s="99"/>
      <c r="N295" s="99"/>
      <c r="O295" s="99"/>
      <c r="P295" s="99"/>
      <c r="Q295" s="99"/>
      <c r="R295" s="99"/>
      <c r="S295" s="99"/>
      <c r="T295" s="99"/>
    </row>
    <row r="296">
      <c r="A296" s="78"/>
      <c r="B296" s="99"/>
      <c r="C296" s="85"/>
      <c r="D296" s="99"/>
      <c r="E296" s="99"/>
      <c r="F296" s="99"/>
      <c r="G296" s="99"/>
      <c r="H296" s="99"/>
      <c r="I296" s="99"/>
      <c r="J296" s="99"/>
      <c r="K296" s="99"/>
      <c r="L296" s="99"/>
      <c r="M296" s="99"/>
      <c r="N296" s="99"/>
      <c r="O296" s="99"/>
      <c r="P296" s="99"/>
      <c r="Q296" s="99"/>
      <c r="R296" s="99"/>
      <c r="S296" s="99"/>
      <c r="T296" s="99"/>
    </row>
    <row r="297">
      <c r="A297" s="78"/>
      <c r="B297" s="99"/>
      <c r="C297" s="85"/>
      <c r="D297" s="99"/>
      <c r="E297" s="99"/>
      <c r="F297" s="99"/>
      <c r="G297" s="99"/>
      <c r="H297" s="99"/>
      <c r="I297" s="99"/>
      <c r="J297" s="99"/>
      <c r="K297" s="99"/>
      <c r="L297" s="99"/>
      <c r="M297" s="99"/>
      <c r="N297" s="99"/>
      <c r="O297" s="99"/>
      <c r="P297" s="99"/>
      <c r="Q297" s="99"/>
      <c r="R297" s="99"/>
      <c r="S297" s="99"/>
      <c r="T297" s="99"/>
    </row>
    <row r="298">
      <c r="A298" s="78"/>
      <c r="B298" s="99"/>
      <c r="C298" s="85"/>
      <c r="D298" s="99"/>
      <c r="E298" s="99"/>
      <c r="F298" s="99"/>
      <c r="G298" s="99"/>
      <c r="H298" s="99"/>
      <c r="I298" s="99"/>
      <c r="J298" s="99"/>
      <c r="K298" s="99"/>
      <c r="L298" s="99"/>
      <c r="M298" s="99"/>
      <c r="N298" s="99"/>
      <c r="O298" s="99"/>
      <c r="P298" s="99"/>
      <c r="Q298" s="99"/>
      <c r="R298" s="99"/>
      <c r="S298" s="99"/>
      <c r="T298" s="99"/>
    </row>
    <row r="299">
      <c r="A299" s="78"/>
      <c r="B299" s="99"/>
      <c r="C299" s="85"/>
      <c r="D299" s="99"/>
      <c r="E299" s="99"/>
      <c r="F299" s="99"/>
      <c r="G299" s="99"/>
      <c r="H299" s="99"/>
      <c r="I299" s="99"/>
      <c r="J299" s="99"/>
      <c r="K299" s="99"/>
      <c r="L299" s="99"/>
      <c r="M299" s="99"/>
      <c r="N299" s="99"/>
      <c r="O299" s="99"/>
      <c r="P299" s="99"/>
      <c r="Q299" s="99"/>
      <c r="R299" s="99"/>
      <c r="S299" s="99"/>
      <c r="T299" s="99"/>
    </row>
    <row r="300">
      <c r="A300" s="78"/>
      <c r="B300" s="99"/>
      <c r="C300" s="85"/>
      <c r="D300" s="99"/>
      <c r="E300" s="99"/>
      <c r="F300" s="99"/>
      <c r="G300" s="99"/>
      <c r="H300" s="99"/>
      <c r="I300" s="99"/>
      <c r="J300" s="99"/>
      <c r="K300" s="99"/>
      <c r="L300" s="99"/>
      <c r="M300" s="99"/>
      <c r="N300" s="99"/>
      <c r="O300" s="99"/>
      <c r="P300" s="99"/>
      <c r="Q300" s="99"/>
      <c r="R300" s="99"/>
      <c r="S300" s="99"/>
      <c r="T300" s="99"/>
    </row>
    <row r="301">
      <c r="A301" s="78"/>
      <c r="B301" s="99"/>
      <c r="C301" s="85"/>
      <c r="D301" s="99"/>
      <c r="E301" s="99"/>
      <c r="F301" s="99"/>
      <c r="G301" s="99"/>
      <c r="H301" s="99"/>
      <c r="I301" s="99"/>
      <c r="J301" s="99"/>
      <c r="K301" s="99"/>
      <c r="L301" s="99"/>
      <c r="M301" s="99"/>
      <c r="N301" s="99"/>
      <c r="O301" s="99"/>
      <c r="P301" s="99"/>
      <c r="Q301" s="99"/>
      <c r="R301" s="99"/>
      <c r="S301" s="99"/>
      <c r="T301" s="99"/>
    </row>
    <row r="302">
      <c r="A302" s="78"/>
      <c r="B302" s="99"/>
      <c r="C302" s="85"/>
      <c r="D302" s="99"/>
      <c r="E302" s="99"/>
      <c r="F302" s="99"/>
      <c r="G302" s="99"/>
      <c r="H302" s="99"/>
      <c r="I302" s="99"/>
      <c r="J302" s="99"/>
      <c r="K302" s="99"/>
      <c r="L302" s="99"/>
      <c r="M302" s="99"/>
      <c r="N302" s="99"/>
      <c r="O302" s="99"/>
      <c r="P302" s="99"/>
      <c r="Q302" s="99"/>
      <c r="R302" s="99"/>
      <c r="S302" s="99"/>
      <c r="T302" s="99"/>
    </row>
    <row r="303">
      <c r="A303" s="78"/>
      <c r="B303" s="99"/>
      <c r="C303" s="85"/>
      <c r="D303" s="99"/>
      <c r="E303" s="99"/>
      <c r="F303" s="99"/>
      <c r="G303" s="99"/>
      <c r="H303" s="99"/>
      <c r="I303" s="99"/>
      <c r="J303" s="99"/>
      <c r="K303" s="99"/>
      <c r="L303" s="99"/>
      <c r="M303" s="99"/>
      <c r="N303" s="99"/>
      <c r="O303" s="99"/>
      <c r="P303" s="99"/>
      <c r="Q303" s="99"/>
      <c r="R303" s="99"/>
      <c r="S303" s="99"/>
      <c r="T303" s="99"/>
    </row>
    <row r="304">
      <c r="A304" s="78"/>
      <c r="B304" s="99"/>
      <c r="C304" s="85"/>
      <c r="D304" s="99"/>
      <c r="E304" s="99"/>
      <c r="F304" s="99"/>
      <c r="G304" s="99"/>
      <c r="H304" s="99"/>
      <c r="I304" s="99"/>
      <c r="J304" s="99"/>
      <c r="K304" s="99"/>
      <c r="L304" s="99"/>
      <c r="M304" s="99"/>
      <c r="N304" s="99"/>
      <c r="O304" s="99"/>
      <c r="P304" s="99"/>
      <c r="Q304" s="99"/>
      <c r="R304" s="99"/>
      <c r="S304" s="99"/>
      <c r="T304" s="99"/>
    </row>
    <row r="305">
      <c r="A305" s="78"/>
      <c r="B305" s="99"/>
      <c r="C305" s="85"/>
      <c r="D305" s="99"/>
      <c r="E305" s="99"/>
      <c r="F305" s="99"/>
      <c r="G305" s="99"/>
      <c r="H305" s="99"/>
      <c r="I305" s="99"/>
      <c r="J305" s="99"/>
      <c r="K305" s="99"/>
      <c r="L305" s="99"/>
      <c r="M305" s="99"/>
      <c r="N305" s="99"/>
      <c r="O305" s="99"/>
      <c r="P305" s="99"/>
      <c r="Q305" s="99"/>
      <c r="R305" s="99"/>
      <c r="S305" s="99"/>
      <c r="T305" s="99"/>
    </row>
    <row r="306">
      <c r="A306" s="78"/>
      <c r="B306" s="99"/>
      <c r="C306" s="85"/>
      <c r="D306" s="99"/>
      <c r="E306" s="99"/>
      <c r="F306" s="99"/>
      <c r="G306" s="99"/>
      <c r="H306" s="99"/>
      <c r="I306" s="99"/>
      <c r="J306" s="99"/>
      <c r="K306" s="99"/>
      <c r="L306" s="99"/>
      <c r="M306" s="99"/>
      <c r="N306" s="99"/>
      <c r="O306" s="99"/>
      <c r="P306" s="99"/>
      <c r="Q306" s="99"/>
      <c r="R306" s="99"/>
      <c r="S306" s="99"/>
      <c r="T306" s="99"/>
    </row>
    <row r="307">
      <c r="A307" s="78"/>
      <c r="B307" s="99"/>
      <c r="C307" s="85"/>
      <c r="D307" s="99"/>
      <c r="E307" s="99"/>
      <c r="F307" s="99"/>
      <c r="G307" s="99"/>
      <c r="H307" s="99"/>
      <c r="I307" s="99"/>
      <c r="J307" s="99"/>
      <c r="K307" s="99"/>
      <c r="L307" s="99"/>
      <c r="M307" s="99"/>
      <c r="N307" s="99"/>
      <c r="O307" s="99"/>
      <c r="P307" s="99"/>
      <c r="Q307" s="99"/>
      <c r="R307" s="99"/>
      <c r="S307" s="99"/>
      <c r="T307" s="99"/>
    </row>
    <row r="308">
      <c r="A308" s="78"/>
      <c r="B308" s="99"/>
      <c r="C308" s="85"/>
      <c r="D308" s="99"/>
      <c r="E308" s="99"/>
      <c r="F308" s="99"/>
      <c r="G308" s="99"/>
      <c r="H308" s="99"/>
      <c r="I308" s="99"/>
      <c r="J308" s="99"/>
      <c r="K308" s="99"/>
      <c r="L308" s="99"/>
      <c r="M308" s="99"/>
      <c r="N308" s="99"/>
      <c r="O308" s="99"/>
      <c r="P308" s="99"/>
      <c r="Q308" s="99"/>
      <c r="R308" s="99"/>
      <c r="S308" s="99"/>
      <c r="T308" s="99"/>
    </row>
    <row r="309">
      <c r="A309" s="78"/>
      <c r="B309" s="99"/>
      <c r="C309" s="85"/>
      <c r="D309" s="99"/>
      <c r="E309" s="99"/>
      <c r="F309" s="99"/>
      <c r="G309" s="99"/>
      <c r="H309" s="99"/>
      <c r="I309" s="99"/>
      <c r="J309" s="99"/>
      <c r="K309" s="99"/>
      <c r="L309" s="99"/>
      <c r="M309" s="99"/>
      <c r="N309" s="99"/>
      <c r="O309" s="99"/>
      <c r="P309" s="99"/>
      <c r="Q309" s="99"/>
      <c r="R309" s="99"/>
      <c r="S309" s="99"/>
      <c r="T309" s="99"/>
    </row>
    <row r="310">
      <c r="A310" s="78"/>
      <c r="B310" s="99"/>
      <c r="C310" s="85"/>
      <c r="D310" s="99"/>
      <c r="E310" s="99"/>
      <c r="F310" s="99"/>
      <c r="G310" s="99"/>
      <c r="H310" s="99"/>
      <c r="I310" s="99"/>
      <c r="J310" s="99"/>
      <c r="K310" s="99"/>
      <c r="L310" s="99"/>
      <c r="M310" s="99"/>
      <c r="N310" s="99"/>
      <c r="O310" s="99"/>
      <c r="P310" s="99"/>
      <c r="Q310" s="99"/>
      <c r="R310" s="99"/>
      <c r="S310" s="99"/>
      <c r="T310" s="99"/>
    </row>
    <row r="311">
      <c r="A311" s="78"/>
      <c r="B311" s="99"/>
      <c r="C311" s="85"/>
      <c r="D311" s="99"/>
      <c r="E311" s="99"/>
      <c r="F311" s="99"/>
      <c r="G311" s="99"/>
      <c r="H311" s="99"/>
      <c r="I311" s="99"/>
      <c r="J311" s="99"/>
      <c r="K311" s="99"/>
      <c r="L311" s="99"/>
      <c r="M311" s="99"/>
      <c r="N311" s="99"/>
      <c r="O311" s="99"/>
      <c r="P311" s="99"/>
      <c r="Q311" s="99"/>
      <c r="R311" s="99"/>
      <c r="S311" s="99"/>
      <c r="T311" s="99"/>
    </row>
    <row r="312">
      <c r="A312" s="78"/>
      <c r="B312" s="99"/>
      <c r="C312" s="85"/>
      <c r="D312" s="99"/>
      <c r="E312" s="99"/>
      <c r="F312" s="99"/>
      <c r="G312" s="99"/>
      <c r="H312" s="99"/>
      <c r="I312" s="99"/>
      <c r="J312" s="99"/>
      <c r="K312" s="99"/>
      <c r="L312" s="99"/>
      <c r="M312" s="99"/>
      <c r="N312" s="99"/>
      <c r="O312" s="99"/>
      <c r="P312" s="99"/>
      <c r="Q312" s="99"/>
      <c r="R312" s="99"/>
      <c r="S312" s="99"/>
      <c r="T312" s="99"/>
    </row>
    <row r="313">
      <c r="A313" s="78"/>
      <c r="B313" s="99"/>
      <c r="C313" s="85"/>
      <c r="D313" s="99"/>
      <c r="E313" s="99"/>
      <c r="F313" s="99"/>
      <c r="G313" s="99"/>
      <c r="H313" s="99"/>
      <c r="I313" s="99"/>
      <c r="J313" s="99"/>
      <c r="K313" s="99"/>
      <c r="L313" s="99"/>
      <c r="M313" s="99"/>
      <c r="N313" s="99"/>
      <c r="O313" s="99"/>
      <c r="P313" s="99"/>
      <c r="Q313" s="99"/>
      <c r="R313" s="99"/>
      <c r="S313" s="99"/>
      <c r="T313" s="99"/>
    </row>
    <row r="314">
      <c r="A314" s="78"/>
      <c r="B314" s="99"/>
      <c r="C314" s="85"/>
      <c r="D314" s="99"/>
      <c r="E314" s="99"/>
      <c r="F314" s="99"/>
      <c r="G314" s="99"/>
      <c r="H314" s="99"/>
      <c r="I314" s="99"/>
      <c r="J314" s="99"/>
      <c r="K314" s="99"/>
      <c r="L314" s="99"/>
      <c r="M314" s="99"/>
      <c r="N314" s="99"/>
      <c r="O314" s="99"/>
      <c r="P314" s="99"/>
      <c r="Q314" s="99"/>
      <c r="R314" s="99"/>
      <c r="S314" s="99"/>
      <c r="T314" s="99"/>
    </row>
    <row r="315">
      <c r="A315" s="78"/>
      <c r="B315" s="99"/>
      <c r="C315" s="85"/>
      <c r="D315" s="99"/>
      <c r="E315" s="99"/>
      <c r="F315" s="99"/>
      <c r="G315" s="99"/>
      <c r="H315" s="99"/>
      <c r="I315" s="99"/>
      <c r="J315" s="99"/>
      <c r="K315" s="99"/>
      <c r="L315" s="99"/>
      <c r="M315" s="99"/>
      <c r="N315" s="99"/>
      <c r="O315" s="99"/>
      <c r="P315" s="99"/>
      <c r="Q315" s="99"/>
      <c r="R315" s="99"/>
      <c r="S315" s="99"/>
      <c r="T315" s="99"/>
    </row>
    <row r="316">
      <c r="A316" s="78"/>
      <c r="B316" s="99"/>
      <c r="C316" s="85"/>
      <c r="D316" s="99"/>
      <c r="E316" s="99"/>
      <c r="F316" s="99"/>
      <c r="G316" s="99"/>
      <c r="H316" s="99"/>
      <c r="I316" s="99"/>
      <c r="J316" s="99"/>
      <c r="K316" s="99"/>
      <c r="L316" s="99"/>
      <c r="M316" s="99"/>
      <c r="N316" s="99"/>
      <c r="O316" s="99"/>
      <c r="P316" s="99"/>
      <c r="Q316" s="99"/>
      <c r="R316" s="99"/>
      <c r="S316" s="99"/>
      <c r="T316" s="99"/>
    </row>
    <row r="317">
      <c r="A317" s="78"/>
      <c r="B317" s="99"/>
      <c r="C317" s="85"/>
      <c r="D317" s="99"/>
      <c r="E317" s="99"/>
      <c r="F317" s="99"/>
      <c r="G317" s="99"/>
      <c r="H317" s="99"/>
      <c r="I317" s="99"/>
      <c r="J317" s="99"/>
      <c r="K317" s="99"/>
      <c r="L317" s="99"/>
      <c r="M317" s="99"/>
      <c r="N317" s="99"/>
      <c r="O317" s="99"/>
      <c r="P317" s="99"/>
      <c r="Q317" s="99"/>
      <c r="R317" s="99"/>
      <c r="S317" s="99"/>
      <c r="T317" s="99"/>
    </row>
    <row r="318">
      <c r="A318" s="78"/>
      <c r="B318" s="99"/>
      <c r="C318" s="85"/>
      <c r="D318" s="99"/>
      <c r="E318" s="99"/>
      <c r="F318" s="99"/>
      <c r="G318" s="99"/>
      <c r="H318" s="99"/>
      <c r="I318" s="99"/>
      <c r="J318" s="99"/>
      <c r="K318" s="99"/>
      <c r="L318" s="99"/>
      <c r="M318" s="99"/>
      <c r="N318" s="99"/>
      <c r="O318" s="99"/>
      <c r="P318" s="99"/>
      <c r="Q318" s="99"/>
      <c r="R318" s="99"/>
      <c r="S318" s="99"/>
      <c r="T318" s="99"/>
    </row>
    <row r="319">
      <c r="A319" s="78"/>
      <c r="B319" s="99"/>
      <c r="C319" s="85"/>
      <c r="D319" s="99"/>
      <c r="E319" s="99"/>
      <c r="F319" s="99"/>
      <c r="G319" s="99"/>
      <c r="H319" s="99"/>
      <c r="I319" s="99"/>
      <c r="J319" s="99"/>
      <c r="K319" s="99"/>
      <c r="L319" s="99"/>
      <c r="M319" s="99"/>
      <c r="N319" s="99"/>
      <c r="O319" s="99"/>
      <c r="P319" s="99"/>
      <c r="Q319" s="99"/>
      <c r="R319" s="99"/>
      <c r="S319" s="99"/>
      <c r="T319" s="99"/>
    </row>
    <row r="320">
      <c r="A320" s="78"/>
      <c r="B320" s="99"/>
      <c r="C320" s="85"/>
      <c r="D320" s="99"/>
      <c r="E320" s="99"/>
      <c r="F320" s="99"/>
      <c r="G320" s="99"/>
      <c r="H320" s="99"/>
      <c r="I320" s="99"/>
      <c r="J320" s="99"/>
      <c r="K320" s="99"/>
      <c r="L320" s="99"/>
      <c r="M320" s="99"/>
      <c r="N320" s="99"/>
      <c r="O320" s="99"/>
      <c r="P320" s="99"/>
      <c r="Q320" s="99"/>
      <c r="R320" s="99"/>
      <c r="S320" s="99"/>
      <c r="T320" s="99"/>
    </row>
    <row r="321">
      <c r="A321" s="78"/>
      <c r="B321" s="99"/>
      <c r="C321" s="85"/>
      <c r="D321" s="99"/>
      <c r="E321" s="99"/>
      <c r="F321" s="99"/>
      <c r="G321" s="99"/>
      <c r="H321" s="99"/>
      <c r="I321" s="99"/>
      <c r="J321" s="99"/>
      <c r="K321" s="99"/>
      <c r="L321" s="99"/>
      <c r="M321" s="99"/>
      <c r="N321" s="99"/>
      <c r="O321" s="99"/>
      <c r="P321" s="99"/>
      <c r="Q321" s="99"/>
      <c r="R321" s="99"/>
      <c r="S321" s="99"/>
      <c r="T321" s="99"/>
    </row>
    <row r="322">
      <c r="A322" s="78"/>
      <c r="B322" s="99"/>
      <c r="C322" s="85"/>
      <c r="D322" s="99"/>
      <c r="E322" s="99"/>
      <c r="F322" s="99"/>
      <c r="G322" s="99"/>
      <c r="H322" s="99"/>
      <c r="I322" s="99"/>
      <c r="J322" s="99"/>
      <c r="K322" s="99"/>
      <c r="L322" s="99"/>
      <c r="M322" s="99"/>
      <c r="N322" s="99"/>
      <c r="O322" s="99"/>
      <c r="P322" s="99"/>
      <c r="Q322" s="99"/>
      <c r="R322" s="99"/>
      <c r="S322" s="99"/>
      <c r="T322" s="99"/>
    </row>
    <row r="323">
      <c r="A323" s="78"/>
      <c r="B323" s="99"/>
      <c r="C323" s="85"/>
      <c r="D323" s="99"/>
      <c r="E323" s="99"/>
      <c r="F323" s="99"/>
      <c r="G323" s="99"/>
      <c r="H323" s="99"/>
      <c r="I323" s="99"/>
      <c r="J323" s="99"/>
      <c r="K323" s="99"/>
      <c r="L323" s="99"/>
      <c r="M323" s="99"/>
      <c r="N323" s="99"/>
      <c r="O323" s="99"/>
      <c r="P323" s="99"/>
      <c r="Q323" s="99"/>
      <c r="R323" s="99"/>
      <c r="S323" s="99"/>
      <c r="T323" s="99"/>
    </row>
    <row r="324">
      <c r="A324" s="78"/>
      <c r="B324" s="99"/>
      <c r="C324" s="85"/>
      <c r="D324" s="99"/>
      <c r="E324" s="99"/>
      <c r="F324" s="99"/>
      <c r="G324" s="99"/>
      <c r="H324" s="99"/>
      <c r="I324" s="99"/>
      <c r="J324" s="99"/>
      <c r="K324" s="99"/>
      <c r="L324" s="99"/>
      <c r="M324" s="99"/>
      <c r="N324" s="99"/>
      <c r="O324" s="99"/>
      <c r="P324" s="99"/>
      <c r="Q324" s="99"/>
      <c r="R324" s="99"/>
      <c r="S324" s="99"/>
      <c r="T324" s="99"/>
    </row>
    <row r="325">
      <c r="A325" s="78"/>
      <c r="B325" s="99"/>
      <c r="C325" s="85"/>
      <c r="D325" s="99"/>
      <c r="E325" s="99"/>
      <c r="F325" s="99"/>
      <c r="G325" s="99"/>
      <c r="H325" s="99"/>
      <c r="I325" s="99"/>
      <c r="J325" s="99"/>
      <c r="K325" s="99"/>
      <c r="L325" s="99"/>
      <c r="M325" s="99"/>
      <c r="N325" s="99"/>
      <c r="O325" s="99"/>
      <c r="P325" s="99"/>
      <c r="Q325" s="99"/>
      <c r="R325" s="99"/>
      <c r="S325" s="99"/>
      <c r="T325" s="99"/>
    </row>
    <row r="326">
      <c r="A326" s="78"/>
      <c r="B326" s="99"/>
      <c r="C326" s="85"/>
      <c r="D326" s="99"/>
      <c r="E326" s="99"/>
      <c r="F326" s="99"/>
      <c r="G326" s="99"/>
      <c r="H326" s="99"/>
      <c r="I326" s="99"/>
      <c r="J326" s="99"/>
      <c r="K326" s="99"/>
      <c r="L326" s="99"/>
      <c r="M326" s="99"/>
      <c r="N326" s="99"/>
      <c r="O326" s="99"/>
      <c r="P326" s="99"/>
      <c r="Q326" s="99"/>
      <c r="R326" s="99"/>
      <c r="S326" s="99"/>
      <c r="T326" s="99"/>
    </row>
    <row r="327">
      <c r="A327" s="78"/>
      <c r="B327" s="99"/>
      <c r="C327" s="85"/>
      <c r="D327" s="99"/>
      <c r="E327" s="99"/>
      <c r="F327" s="99"/>
      <c r="G327" s="99"/>
      <c r="H327" s="99"/>
      <c r="I327" s="99"/>
      <c r="J327" s="99"/>
      <c r="K327" s="99"/>
      <c r="L327" s="99"/>
      <c r="M327" s="99"/>
      <c r="N327" s="99"/>
      <c r="O327" s="99"/>
      <c r="P327" s="99"/>
      <c r="Q327" s="99"/>
      <c r="R327" s="99"/>
      <c r="S327" s="99"/>
      <c r="T327" s="99"/>
    </row>
    <row r="328">
      <c r="A328" s="78"/>
      <c r="B328" s="99"/>
      <c r="C328" s="85"/>
      <c r="D328" s="99"/>
      <c r="E328" s="99"/>
      <c r="F328" s="99"/>
      <c r="G328" s="99"/>
      <c r="H328" s="99"/>
      <c r="I328" s="99"/>
      <c r="J328" s="99"/>
      <c r="K328" s="99"/>
      <c r="L328" s="99"/>
      <c r="M328" s="99"/>
      <c r="N328" s="99"/>
      <c r="O328" s="99"/>
      <c r="P328" s="99"/>
      <c r="Q328" s="99"/>
      <c r="R328" s="99"/>
      <c r="S328" s="99"/>
      <c r="T328" s="99"/>
    </row>
    <row r="329">
      <c r="A329" s="78"/>
      <c r="B329" s="99"/>
      <c r="C329" s="85"/>
      <c r="D329" s="99"/>
      <c r="E329" s="99"/>
      <c r="F329" s="99"/>
      <c r="G329" s="99"/>
      <c r="H329" s="99"/>
      <c r="I329" s="99"/>
      <c r="J329" s="99"/>
      <c r="K329" s="99"/>
      <c r="L329" s="99"/>
      <c r="M329" s="99"/>
      <c r="N329" s="99"/>
      <c r="O329" s="99"/>
      <c r="P329" s="99"/>
      <c r="Q329" s="99"/>
      <c r="R329" s="99"/>
      <c r="S329" s="99"/>
      <c r="T329" s="99"/>
    </row>
    <row r="330">
      <c r="A330" s="78"/>
      <c r="B330" s="99"/>
      <c r="C330" s="85"/>
      <c r="D330" s="99"/>
      <c r="E330" s="99"/>
      <c r="F330" s="99"/>
      <c r="G330" s="99"/>
      <c r="H330" s="99"/>
      <c r="I330" s="99"/>
      <c r="J330" s="99"/>
      <c r="K330" s="99"/>
      <c r="L330" s="99"/>
      <c r="M330" s="99"/>
      <c r="N330" s="99"/>
      <c r="O330" s="99"/>
      <c r="P330" s="99"/>
      <c r="Q330" s="99"/>
      <c r="R330" s="99"/>
      <c r="S330" s="99"/>
      <c r="T330" s="99"/>
    </row>
    <row r="331">
      <c r="A331" s="78"/>
      <c r="B331" s="99"/>
      <c r="C331" s="85"/>
      <c r="D331" s="99"/>
      <c r="E331" s="99"/>
      <c r="F331" s="99"/>
      <c r="G331" s="99"/>
      <c r="H331" s="99"/>
      <c r="I331" s="99"/>
      <c r="J331" s="99"/>
      <c r="K331" s="99"/>
      <c r="L331" s="99"/>
      <c r="M331" s="99"/>
      <c r="N331" s="99"/>
      <c r="O331" s="99"/>
      <c r="P331" s="99"/>
      <c r="Q331" s="99"/>
      <c r="R331" s="99"/>
      <c r="S331" s="99"/>
      <c r="T331" s="99"/>
    </row>
    <row r="332">
      <c r="A332" s="78"/>
      <c r="B332" s="99"/>
      <c r="C332" s="85"/>
      <c r="D332" s="99"/>
      <c r="E332" s="99"/>
      <c r="F332" s="99"/>
      <c r="G332" s="99"/>
      <c r="H332" s="99"/>
      <c r="I332" s="99"/>
      <c r="J332" s="99"/>
      <c r="K332" s="99"/>
      <c r="L332" s="99"/>
      <c r="M332" s="99"/>
      <c r="N332" s="99"/>
      <c r="O332" s="99"/>
      <c r="P332" s="99"/>
      <c r="Q332" s="99"/>
      <c r="R332" s="99"/>
      <c r="S332" s="99"/>
      <c r="T332" s="99"/>
    </row>
    <row r="333">
      <c r="A333" s="78"/>
      <c r="B333" s="99"/>
      <c r="C333" s="85"/>
      <c r="D333" s="99"/>
      <c r="E333" s="99"/>
      <c r="F333" s="99"/>
      <c r="G333" s="99"/>
      <c r="H333" s="99"/>
      <c r="I333" s="99"/>
      <c r="J333" s="99"/>
      <c r="K333" s="99"/>
      <c r="L333" s="99"/>
      <c r="M333" s="99"/>
      <c r="N333" s="99"/>
      <c r="O333" s="99"/>
      <c r="P333" s="99"/>
      <c r="Q333" s="99"/>
      <c r="R333" s="99"/>
      <c r="S333" s="99"/>
      <c r="T333" s="99"/>
    </row>
    <row r="334">
      <c r="A334" s="78"/>
      <c r="B334" s="99"/>
      <c r="C334" s="85"/>
      <c r="D334" s="99"/>
      <c r="E334" s="99"/>
      <c r="F334" s="99"/>
      <c r="G334" s="99"/>
      <c r="H334" s="99"/>
      <c r="I334" s="99"/>
      <c r="J334" s="99"/>
      <c r="K334" s="99"/>
      <c r="L334" s="99"/>
      <c r="M334" s="99"/>
      <c r="N334" s="99"/>
      <c r="O334" s="99"/>
      <c r="P334" s="99"/>
      <c r="Q334" s="99"/>
      <c r="R334" s="99"/>
      <c r="S334" s="99"/>
      <c r="T334" s="99"/>
    </row>
    <row r="335">
      <c r="A335" s="78"/>
      <c r="B335" s="99"/>
      <c r="C335" s="85"/>
      <c r="D335" s="99"/>
      <c r="E335" s="99"/>
      <c r="F335" s="99"/>
      <c r="G335" s="99"/>
      <c r="H335" s="99"/>
      <c r="I335" s="99"/>
      <c r="J335" s="99"/>
      <c r="K335" s="99"/>
      <c r="L335" s="99"/>
      <c r="M335" s="99"/>
      <c r="N335" s="99"/>
      <c r="O335" s="99"/>
      <c r="P335" s="99"/>
      <c r="Q335" s="99"/>
      <c r="R335" s="99"/>
      <c r="S335" s="99"/>
      <c r="T335" s="99"/>
    </row>
    <row r="336">
      <c r="A336" s="78"/>
      <c r="B336" s="99"/>
      <c r="C336" s="85"/>
      <c r="D336" s="99"/>
      <c r="E336" s="99"/>
      <c r="F336" s="99"/>
      <c r="G336" s="99"/>
      <c r="H336" s="99"/>
      <c r="I336" s="99"/>
      <c r="J336" s="99"/>
      <c r="K336" s="99"/>
      <c r="L336" s="99"/>
      <c r="M336" s="99"/>
      <c r="N336" s="99"/>
      <c r="O336" s="99"/>
      <c r="P336" s="99"/>
      <c r="Q336" s="99"/>
      <c r="R336" s="99"/>
      <c r="S336" s="99"/>
      <c r="T336" s="99"/>
    </row>
    <row r="337">
      <c r="A337" s="78"/>
      <c r="B337" s="99"/>
      <c r="C337" s="85"/>
      <c r="D337" s="99"/>
      <c r="E337" s="99"/>
      <c r="F337" s="99"/>
      <c r="G337" s="99"/>
      <c r="H337" s="99"/>
      <c r="I337" s="99"/>
      <c r="J337" s="99"/>
      <c r="K337" s="99"/>
      <c r="L337" s="99"/>
      <c r="M337" s="99"/>
      <c r="N337" s="99"/>
      <c r="O337" s="99"/>
      <c r="P337" s="99"/>
      <c r="Q337" s="99"/>
      <c r="R337" s="99"/>
      <c r="S337" s="99"/>
      <c r="T337" s="99"/>
    </row>
    <row r="338">
      <c r="A338" s="78"/>
      <c r="B338" s="99"/>
      <c r="C338" s="85"/>
      <c r="D338" s="99"/>
      <c r="E338" s="99"/>
      <c r="F338" s="99"/>
      <c r="G338" s="99"/>
      <c r="H338" s="99"/>
      <c r="I338" s="99"/>
      <c r="J338" s="99"/>
      <c r="K338" s="99"/>
      <c r="L338" s="99"/>
      <c r="M338" s="99"/>
      <c r="N338" s="99"/>
      <c r="O338" s="99"/>
      <c r="P338" s="99"/>
      <c r="Q338" s="99"/>
      <c r="R338" s="99"/>
      <c r="S338" s="99"/>
      <c r="T338" s="99"/>
    </row>
    <row r="339">
      <c r="A339" s="78"/>
      <c r="B339" s="99"/>
      <c r="C339" s="85"/>
      <c r="D339" s="99"/>
      <c r="E339" s="99"/>
      <c r="F339" s="99"/>
      <c r="G339" s="99"/>
      <c r="H339" s="99"/>
      <c r="I339" s="99"/>
      <c r="J339" s="99"/>
      <c r="K339" s="99"/>
      <c r="L339" s="99"/>
      <c r="M339" s="99"/>
      <c r="N339" s="99"/>
      <c r="O339" s="99"/>
      <c r="P339" s="99"/>
      <c r="Q339" s="99"/>
      <c r="R339" s="99"/>
      <c r="S339" s="99"/>
      <c r="T339" s="99"/>
    </row>
    <row r="340">
      <c r="A340" s="78"/>
      <c r="B340" s="99"/>
      <c r="C340" s="85"/>
      <c r="D340" s="99"/>
      <c r="E340" s="99"/>
      <c r="F340" s="99"/>
      <c r="G340" s="99"/>
      <c r="H340" s="99"/>
      <c r="I340" s="99"/>
      <c r="J340" s="99"/>
      <c r="K340" s="99"/>
      <c r="L340" s="99"/>
      <c r="M340" s="99"/>
      <c r="N340" s="99"/>
      <c r="O340" s="99"/>
      <c r="P340" s="99"/>
      <c r="Q340" s="99"/>
      <c r="R340" s="99"/>
      <c r="S340" s="99"/>
      <c r="T340" s="99"/>
    </row>
    <row r="341">
      <c r="A341" s="78"/>
      <c r="B341" s="99"/>
      <c r="C341" s="85"/>
      <c r="D341" s="99"/>
      <c r="E341" s="99"/>
      <c r="F341" s="99"/>
      <c r="G341" s="99"/>
      <c r="H341" s="99"/>
      <c r="I341" s="99"/>
      <c r="J341" s="99"/>
      <c r="K341" s="99"/>
      <c r="L341" s="99"/>
      <c r="M341" s="99"/>
      <c r="N341" s="99"/>
      <c r="O341" s="99"/>
      <c r="P341" s="99"/>
      <c r="Q341" s="99"/>
      <c r="R341" s="99"/>
      <c r="S341" s="99"/>
      <c r="T341" s="99"/>
    </row>
    <row r="342">
      <c r="A342" s="78"/>
      <c r="B342" s="99"/>
      <c r="C342" s="85"/>
      <c r="D342" s="99"/>
      <c r="E342" s="99"/>
      <c r="F342" s="99"/>
      <c r="G342" s="99"/>
      <c r="H342" s="99"/>
      <c r="I342" s="99"/>
      <c r="J342" s="99"/>
      <c r="K342" s="99"/>
      <c r="L342" s="99"/>
      <c r="M342" s="99"/>
      <c r="N342" s="99"/>
      <c r="O342" s="99"/>
      <c r="P342" s="99"/>
      <c r="Q342" s="99"/>
      <c r="R342" s="99"/>
      <c r="S342" s="99"/>
      <c r="T342" s="99"/>
    </row>
    <row r="343">
      <c r="A343" s="78"/>
      <c r="B343" s="99"/>
      <c r="C343" s="85"/>
      <c r="D343" s="99"/>
      <c r="E343" s="99"/>
      <c r="F343" s="99"/>
      <c r="G343" s="99"/>
      <c r="H343" s="99"/>
      <c r="I343" s="99"/>
      <c r="J343" s="99"/>
      <c r="K343" s="99"/>
      <c r="L343" s="99"/>
      <c r="M343" s="99"/>
      <c r="N343" s="99"/>
      <c r="O343" s="99"/>
      <c r="P343" s="99"/>
      <c r="Q343" s="99"/>
      <c r="R343" s="99"/>
      <c r="S343" s="99"/>
      <c r="T343" s="99"/>
    </row>
    <row r="344">
      <c r="A344" s="78"/>
      <c r="B344" s="99"/>
      <c r="C344" s="85"/>
      <c r="D344" s="99"/>
      <c r="E344" s="99"/>
      <c r="F344" s="99"/>
      <c r="G344" s="99"/>
      <c r="H344" s="99"/>
      <c r="I344" s="99"/>
      <c r="J344" s="99"/>
      <c r="K344" s="99"/>
      <c r="L344" s="99"/>
      <c r="M344" s="99"/>
      <c r="N344" s="99"/>
      <c r="O344" s="99"/>
      <c r="P344" s="99"/>
      <c r="Q344" s="99"/>
      <c r="R344" s="99"/>
      <c r="S344" s="99"/>
      <c r="T344" s="99"/>
    </row>
    <row r="345">
      <c r="A345" s="78"/>
      <c r="B345" s="99"/>
      <c r="C345" s="85"/>
      <c r="D345" s="99"/>
      <c r="E345" s="99"/>
      <c r="F345" s="99"/>
      <c r="G345" s="99"/>
      <c r="H345" s="99"/>
      <c r="I345" s="99"/>
      <c r="J345" s="99"/>
      <c r="K345" s="99"/>
      <c r="L345" s="99"/>
      <c r="M345" s="99"/>
      <c r="N345" s="99"/>
      <c r="O345" s="99"/>
      <c r="P345" s="99"/>
      <c r="Q345" s="99"/>
      <c r="R345" s="99"/>
      <c r="S345" s="99"/>
      <c r="T345" s="99"/>
    </row>
    <row r="346">
      <c r="A346" s="78"/>
      <c r="B346" s="99"/>
      <c r="C346" s="85"/>
      <c r="D346" s="99"/>
      <c r="E346" s="99"/>
      <c r="F346" s="99"/>
      <c r="G346" s="99"/>
      <c r="H346" s="99"/>
      <c r="I346" s="99"/>
      <c r="J346" s="99"/>
      <c r="K346" s="99"/>
      <c r="L346" s="99"/>
      <c r="M346" s="99"/>
      <c r="N346" s="99"/>
      <c r="O346" s="99"/>
      <c r="P346" s="99"/>
      <c r="Q346" s="99"/>
      <c r="R346" s="99"/>
      <c r="S346" s="99"/>
      <c r="T346" s="99"/>
    </row>
    <row r="347">
      <c r="A347" s="78"/>
      <c r="B347" s="99"/>
      <c r="C347" s="85"/>
      <c r="D347" s="99"/>
      <c r="E347" s="99"/>
      <c r="F347" s="99"/>
      <c r="G347" s="99"/>
      <c r="H347" s="99"/>
      <c r="I347" s="99"/>
      <c r="J347" s="99"/>
      <c r="K347" s="99"/>
      <c r="L347" s="99"/>
      <c r="M347" s="99"/>
      <c r="N347" s="99"/>
      <c r="O347" s="99"/>
      <c r="P347" s="99"/>
      <c r="Q347" s="99"/>
      <c r="R347" s="99"/>
      <c r="S347" s="99"/>
      <c r="T347" s="99"/>
    </row>
    <row r="348">
      <c r="A348" s="78"/>
      <c r="B348" s="99"/>
      <c r="C348" s="85"/>
      <c r="D348" s="99"/>
      <c r="E348" s="99"/>
      <c r="F348" s="99"/>
      <c r="G348" s="99"/>
      <c r="H348" s="99"/>
      <c r="I348" s="99"/>
      <c r="J348" s="99"/>
      <c r="K348" s="99"/>
      <c r="L348" s="99"/>
      <c r="M348" s="99"/>
      <c r="N348" s="99"/>
      <c r="O348" s="99"/>
      <c r="P348" s="99"/>
      <c r="Q348" s="99"/>
      <c r="R348" s="99"/>
      <c r="S348" s="99"/>
      <c r="T348" s="99"/>
    </row>
    <row r="349">
      <c r="A349" s="78"/>
      <c r="B349" s="99"/>
      <c r="C349" s="85"/>
      <c r="D349" s="99"/>
      <c r="E349" s="99"/>
      <c r="F349" s="99"/>
      <c r="G349" s="99"/>
      <c r="H349" s="99"/>
      <c r="I349" s="99"/>
      <c r="J349" s="99"/>
      <c r="K349" s="99"/>
      <c r="L349" s="99"/>
      <c r="M349" s="99"/>
      <c r="N349" s="99"/>
      <c r="O349" s="99"/>
      <c r="P349" s="99"/>
      <c r="Q349" s="99"/>
      <c r="R349" s="99"/>
      <c r="S349" s="99"/>
      <c r="T349" s="99"/>
    </row>
    <row r="350">
      <c r="A350" s="78"/>
      <c r="B350" s="99"/>
      <c r="C350" s="85"/>
      <c r="D350" s="99"/>
      <c r="E350" s="99"/>
      <c r="F350" s="99"/>
      <c r="G350" s="99"/>
      <c r="H350" s="99"/>
      <c r="I350" s="99"/>
      <c r="J350" s="99"/>
      <c r="K350" s="99"/>
      <c r="L350" s="99"/>
      <c r="M350" s="99"/>
      <c r="N350" s="99"/>
      <c r="O350" s="99"/>
      <c r="P350" s="99"/>
      <c r="Q350" s="99"/>
      <c r="R350" s="99"/>
      <c r="S350" s="99"/>
      <c r="T350" s="99"/>
    </row>
    <row r="351">
      <c r="A351" s="78"/>
      <c r="B351" s="99"/>
      <c r="C351" s="85"/>
      <c r="D351" s="99"/>
      <c r="E351" s="99"/>
      <c r="F351" s="99"/>
      <c r="G351" s="99"/>
      <c r="H351" s="99"/>
      <c r="I351" s="99"/>
      <c r="J351" s="99"/>
      <c r="K351" s="99"/>
      <c r="L351" s="99"/>
      <c r="M351" s="99"/>
      <c r="N351" s="99"/>
      <c r="O351" s="99"/>
      <c r="P351" s="99"/>
      <c r="Q351" s="99"/>
      <c r="R351" s="99"/>
      <c r="S351" s="99"/>
      <c r="T351" s="99"/>
    </row>
    <row r="352">
      <c r="A352" s="78"/>
      <c r="B352" s="99"/>
      <c r="C352" s="85"/>
      <c r="D352" s="99"/>
      <c r="E352" s="99"/>
      <c r="F352" s="99"/>
      <c r="G352" s="99"/>
      <c r="H352" s="99"/>
      <c r="I352" s="99"/>
      <c r="J352" s="99"/>
      <c r="K352" s="99"/>
      <c r="L352" s="99"/>
      <c r="M352" s="99"/>
      <c r="N352" s="99"/>
      <c r="O352" s="99"/>
      <c r="P352" s="99"/>
      <c r="Q352" s="99"/>
      <c r="R352" s="99"/>
      <c r="S352" s="99"/>
      <c r="T352" s="99"/>
    </row>
    <row r="353">
      <c r="A353" s="78"/>
      <c r="B353" s="99"/>
      <c r="C353" s="85"/>
      <c r="D353" s="99"/>
      <c r="E353" s="99"/>
      <c r="F353" s="99"/>
      <c r="G353" s="99"/>
      <c r="H353" s="99"/>
      <c r="I353" s="99"/>
      <c r="J353" s="99"/>
      <c r="K353" s="99"/>
      <c r="L353" s="99"/>
      <c r="M353" s="99"/>
      <c r="N353" s="99"/>
      <c r="O353" s="99"/>
      <c r="P353" s="99"/>
      <c r="Q353" s="99"/>
      <c r="R353" s="99"/>
      <c r="S353" s="99"/>
      <c r="T353" s="99"/>
    </row>
    <row r="354">
      <c r="A354" s="78"/>
      <c r="B354" s="99"/>
      <c r="C354" s="85"/>
      <c r="D354" s="99"/>
      <c r="E354" s="99"/>
      <c r="F354" s="99"/>
      <c r="G354" s="99"/>
      <c r="H354" s="99"/>
      <c r="I354" s="99"/>
      <c r="J354" s="99"/>
      <c r="K354" s="99"/>
      <c r="L354" s="99"/>
      <c r="M354" s="99"/>
      <c r="N354" s="99"/>
      <c r="O354" s="99"/>
      <c r="P354" s="99"/>
      <c r="Q354" s="99"/>
      <c r="R354" s="99"/>
      <c r="S354" s="99"/>
      <c r="T354" s="99"/>
    </row>
    <row r="355">
      <c r="A355" s="78"/>
      <c r="B355" s="99"/>
      <c r="C355" s="85"/>
      <c r="D355" s="99"/>
      <c r="E355" s="99"/>
      <c r="F355" s="99"/>
      <c r="G355" s="99"/>
      <c r="H355" s="99"/>
      <c r="I355" s="99"/>
      <c r="J355" s="99"/>
      <c r="K355" s="99"/>
      <c r="L355" s="99"/>
      <c r="M355" s="99"/>
      <c r="N355" s="99"/>
      <c r="O355" s="99"/>
      <c r="P355" s="99"/>
      <c r="Q355" s="99"/>
      <c r="R355" s="99"/>
      <c r="S355" s="99"/>
      <c r="T355" s="99"/>
    </row>
    <row r="356">
      <c r="A356" s="78"/>
      <c r="B356" s="99"/>
      <c r="C356" s="85"/>
      <c r="D356" s="99"/>
      <c r="E356" s="99"/>
      <c r="F356" s="99"/>
      <c r="G356" s="99"/>
      <c r="H356" s="99"/>
      <c r="I356" s="99"/>
      <c r="J356" s="99"/>
      <c r="K356" s="99"/>
      <c r="L356" s="99"/>
      <c r="M356" s="99"/>
      <c r="N356" s="99"/>
      <c r="O356" s="99"/>
      <c r="P356" s="99"/>
      <c r="Q356" s="99"/>
      <c r="R356" s="99"/>
      <c r="S356" s="99"/>
      <c r="T356" s="99"/>
    </row>
    <row r="357">
      <c r="A357" s="78"/>
      <c r="B357" s="99"/>
      <c r="C357" s="85"/>
      <c r="D357" s="99"/>
      <c r="E357" s="99"/>
      <c r="F357" s="99"/>
      <c r="G357" s="99"/>
      <c r="H357" s="99"/>
      <c r="I357" s="99"/>
      <c r="J357" s="99"/>
      <c r="K357" s="99"/>
      <c r="L357" s="99"/>
      <c r="M357" s="99"/>
      <c r="N357" s="99"/>
      <c r="O357" s="99"/>
      <c r="P357" s="99"/>
      <c r="Q357" s="99"/>
      <c r="R357" s="99"/>
      <c r="S357" s="99"/>
      <c r="T357" s="99"/>
    </row>
    <row r="358">
      <c r="A358" s="78"/>
      <c r="B358" s="99"/>
      <c r="C358" s="85"/>
      <c r="D358" s="99"/>
      <c r="E358" s="99"/>
      <c r="F358" s="99"/>
      <c r="G358" s="99"/>
      <c r="H358" s="99"/>
      <c r="I358" s="99"/>
      <c r="J358" s="99"/>
      <c r="K358" s="99"/>
      <c r="L358" s="99"/>
      <c r="M358" s="99"/>
      <c r="N358" s="99"/>
      <c r="O358" s="99"/>
      <c r="P358" s="99"/>
      <c r="Q358" s="99"/>
      <c r="R358" s="99"/>
      <c r="S358" s="99"/>
      <c r="T358" s="99"/>
    </row>
    <row r="359">
      <c r="A359" s="78"/>
      <c r="B359" s="99"/>
      <c r="C359" s="85"/>
      <c r="D359" s="99"/>
      <c r="E359" s="99"/>
      <c r="F359" s="99"/>
      <c r="G359" s="99"/>
      <c r="H359" s="99"/>
      <c r="I359" s="99"/>
      <c r="J359" s="99"/>
      <c r="K359" s="99"/>
      <c r="L359" s="99"/>
      <c r="M359" s="99"/>
      <c r="N359" s="99"/>
      <c r="O359" s="99"/>
      <c r="P359" s="99"/>
      <c r="Q359" s="99"/>
      <c r="R359" s="99"/>
      <c r="S359" s="99"/>
      <c r="T359" s="99"/>
    </row>
    <row r="360">
      <c r="A360" s="78"/>
      <c r="B360" s="99"/>
      <c r="C360" s="85"/>
      <c r="D360" s="99"/>
      <c r="E360" s="99"/>
      <c r="F360" s="99"/>
      <c r="G360" s="99"/>
      <c r="H360" s="99"/>
      <c r="I360" s="99"/>
      <c r="J360" s="99"/>
      <c r="K360" s="99"/>
      <c r="L360" s="99"/>
      <c r="M360" s="99"/>
      <c r="N360" s="99"/>
      <c r="O360" s="99"/>
      <c r="P360" s="99"/>
      <c r="Q360" s="99"/>
      <c r="R360" s="99"/>
      <c r="S360" s="99"/>
      <c r="T360" s="99"/>
    </row>
    <row r="361">
      <c r="A361" s="78"/>
      <c r="B361" s="99"/>
      <c r="C361" s="85"/>
      <c r="D361" s="99"/>
      <c r="E361" s="99"/>
      <c r="F361" s="99"/>
      <c r="G361" s="99"/>
      <c r="H361" s="99"/>
      <c r="I361" s="99"/>
      <c r="J361" s="99"/>
      <c r="K361" s="99"/>
      <c r="L361" s="99"/>
      <c r="M361" s="99"/>
      <c r="N361" s="99"/>
      <c r="O361" s="99"/>
      <c r="P361" s="99"/>
      <c r="Q361" s="99"/>
      <c r="R361" s="99"/>
      <c r="S361" s="99"/>
      <c r="T361" s="99"/>
    </row>
    <row r="362">
      <c r="A362" s="78"/>
      <c r="B362" s="99"/>
      <c r="C362" s="85"/>
      <c r="D362" s="99"/>
      <c r="E362" s="99"/>
      <c r="F362" s="99"/>
      <c r="G362" s="99"/>
      <c r="H362" s="99"/>
      <c r="I362" s="99"/>
      <c r="J362" s="99"/>
      <c r="K362" s="99"/>
      <c r="L362" s="99"/>
      <c r="M362" s="99"/>
      <c r="N362" s="99"/>
      <c r="O362" s="99"/>
      <c r="P362" s="99"/>
      <c r="Q362" s="99"/>
      <c r="R362" s="99"/>
      <c r="S362" s="99"/>
      <c r="T362" s="99"/>
    </row>
    <row r="363">
      <c r="A363" s="78"/>
      <c r="B363" s="99"/>
      <c r="C363" s="85"/>
      <c r="D363" s="99"/>
      <c r="E363" s="99"/>
      <c r="F363" s="99"/>
      <c r="G363" s="99"/>
      <c r="H363" s="99"/>
      <c r="I363" s="99"/>
      <c r="J363" s="99"/>
      <c r="K363" s="99"/>
      <c r="L363" s="99"/>
      <c r="M363" s="99"/>
      <c r="N363" s="99"/>
      <c r="O363" s="99"/>
      <c r="P363" s="99"/>
      <c r="Q363" s="99"/>
      <c r="R363" s="99"/>
      <c r="S363" s="99"/>
      <c r="T363" s="99"/>
    </row>
    <row r="364">
      <c r="A364" s="78"/>
      <c r="B364" s="99"/>
      <c r="C364" s="85"/>
      <c r="D364" s="99"/>
      <c r="E364" s="99"/>
      <c r="F364" s="99"/>
      <c r="G364" s="99"/>
      <c r="H364" s="99"/>
      <c r="I364" s="99"/>
      <c r="J364" s="99"/>
      <c r="K364" s="99"/>
      <c r="L364" s="99"/>
      <c r="M364" s="99"/>
      <c r="N364" s="99"/>
      <c r="O364" s="99"/>
      <c r="P364" s="99"/>
      <c r="Q364" s="99"/>
      <c r="R364" s="99"/>
      <c r="S364" s="99"/>
      <c r="T364" s="99"/>
    </row>
    <row r="365">
      <c r="A365" s="78"/>
      <c r="B365" s="99"/>
      <c r="C365" s="85"/>
      <c r="D365" s="99"/>
      <c r="E365" s="99"/>
      <c r="F365" s="99"/>
      <c r="G365" s="99"/>
      <c r="H365" s="99"/>
      <c r="I365" s="99"/>
      <c r="J365" s="99"/>
      <c r="K365" s="99"/>
      <c r="L365" s="99"/>
      <c r="M365" s="99"/>
      <c r="N365" s="99"/>
      <c r="O365" s="99"/>
      <c r="P365" s="99"/>
      <c r="Q365" s="99"/>
      <c r="R365" s="99"/>
      <c r="S365" s="99"/>
      <c r="T365" s="99"/>
    </row>
    <row r="366">
      <c r="A366" s="78"/>
      <c r="B366" s="99"/>
      <c r="C366" s="85"/>
      <c r="D366" s="99"/>
      <c r="E366" s="99"/>
      <c r="F366" s="99"/>
      <c r="G366" s="99"/>
      <c r="H366" s="99"/>
      <c r="I366" s="99"/>
      <c r="J366" s="99"/>
      <c r="K366" s="99"/>
      <c r="L366" s="99"/>
      <c r="M366" s="99"/>
      <c r="N366" s="99"/>
      <c r="O366" s="99"/>
      <c r="P366" s="99"/>
      <c r="Q366" s="99"/>
      <c r="R366" s="99"/>
      <c r="S366" s="99"/>
      <c r="T366" s="99"/>
    </row>
    <row r="367">
      <c r="A367" s="78"/>
      <c r="B367" s="99"/>
      <c r="C367" s="85"/>
      <c r="D367" s="99"/>
      <c r="E367" s="99"/>
      <c r="F367" s="99"/>
      <c r="G367" s="99"/>
      <c r="H367" s="99"/>
      <c r="I367" s="99"/>
      <c r="J367" s="99"/>
      <c r="K367" s="99"/>
      <c r="L367" s="99"/>
      <c r="M367" s="99"/>
      <c r="N367" s="99"/>
      <c r="O367" s="99"/>
      <c r="P367" s="99"/>
      <c r="Q367" s="99"/>
      <c r="R367" s="99"/>
      <c r="S367" s="99"/>
      <c r="T367" s="99"/>
    </row>
    <row r="368">
      <c r="A368" s="78"/>
      <c r="B368" s="99"/>
      <c r="C368" s="85"/>
      <c r="D368" s="99"/>
      <c r="E368" s="99"/>
      <c r="F368" s="99"/>
      <c r="G368" s="99"/>
      <c r="H368" s="99"/>
      <c r="I368" s="99"/>
      <c r="J368" s="99"/>
      <c r="K368" s="99"/>
      <c r="L368" s="99"/>
      <c r="M368" s="99"/>
      <c r="N368" s="99"/>
      <c r="O368" s="99"/>
      <c r="P368" s="99"/>
      <c r="Q368" s="99"/>
      <c r="R368" s="99"/>
      <c r="S368" s="99"/>
      <c r="T368" s="99"/>
    </row>
    <row r="369">
      <c r="A369" s="78"/>
      <c r="B369" s="99"/>
      <c r="C369" s="85"/>
      <c r="D369" s="99"/>
      <c r="E369" s="99"/>
      <c r="F369" s="99"/>
      <c r="G369" s="99"/>
      <c r="H369" s="99"/>
      <c r="I369" s="99"/>
      <c r="J369" s="99"/>
      <c r="K369" s="99"/>
      <c r="L369" s="99"/>
      <c r="M369" s="99"/>
      <c r="N369" s="99"/>
      <c r="O369" s="99"/>
      <c r="P369" s="99"/>
      <c r="Q369" s="99"/>
      <c r="R369" s="99"/>
      <c r="S369" s="99"/>
      <c r="T369" s="99"/>
    </row>
    <row r="370">
      <c r="A370" s="78"/>
      <c r="B370" s="99"/>
      <c r="C370" s="85"/>
      <c r="D370" s="99"/>
      <c r="E370" s="99"/>
      <c r="F370" s="99"/>
      <c r="G370" s="99"/>
      <c r="H370" s="99"/>
      <c r="I370" s="99"/>
      <c r="J370" s="99"/>
      <c r="K370" s="99"/>
      <c r="L370" s="99"/>
      <c r="M370" s="99"/>
      <c r="N370" s="99"/>
      <c r="O370" s="99"/>
      <c r="P370" s="99"/>
      <c r="Q370" s="99"/>
      <c r="R370" s="99"/>
      <c r="S370" s="99"/>
      <c r="T370" s="99"/>
    </row>
    <row r="371">
      <c r="A371" s="78"/>
      <c r="B371" s="99"/>
      <c r="C371" s="85"/>
      <c r="D371" s="99"/>
      <c r="E371" s="99"/>
      <c r="F371" s="99"/>
      <c r="G371" s="99"/>
      <c r="H371" s="99"/>
      <c r="I371" s="99"/>
      <c r="J371" s="99"/>
      <c r="K371" s="99"/>
      <c r="L371" s="99"/>
      <c r="M371" s="99"/>
      <c r="N371" s="99"/>
      <c r="O371" s="99"/>
      <c r="P371" s="99"/>
      <c r="Q371" s="99"/>
      <c r="R371" s="99"/>
      <c r="S371" s="99"/>
      <c r="T371" s="99"/>
    </row>
    <row r="372">
      <c r="A372" s="78"/>
      <c r="B372" s="99"/>
      <c r="C372" s="85"/>
      <c r="D372" s="99"/>
      <c r="E372" s="99"/>
      <c r="F372" s="99"/>
      <c r="G372" s="99"/>
      <c r="H372" s="99"/>
      <c r="I372" s="99"/>
      <c r="J372" s="99"/>
      <c r="K372" s="99"/>
      <c r="L372" s="99"/>
      <c r="M372" s="99"/>
      <c r="N372" s="99"/>
      <c r="O372" s="99"/>
      <c r="P372" s="99"/>
      <c r="Q372" s="99"/>
      <c r="R372" s="99"/>
      <c r="S372" s="99"/>
      <c r="T372" s="99"/>
    </row>
    <row r="373">
      <c r="A373" s="78"/>
      <c r="B373" s="99"/>
      <c r="C373" s="85"/>
      <c r="D373" s="99"/>
      <c r="E373" s="99"/>
      <c r="F373" s="99"/>
      <c r="G373" s="99"/>
      <c r="H373" s="99"/>
      <c r="I373" s="99"/>
      <c r="J373" s="99"/>
      <c r="K373" s="99"/>
      <c r="L373" s="99"/>
      <c r="M373" s="99"/>
      <c r="N373" s="99"/>
      <c r="O373" s="99"/>
      <c r="P373" s="99"/>
      <c r="Q373" s="99"/>
      <c r="R373" s="99"/>
      <c r="S373" s="99"/>
      <c r="T373" s="99"/>
    </row>
    <row r="374">
      <c r="A374" s="78"/>
      <c r="B374" s="99"/>
      <c r="C374" s="85"/>
      <c r="D374" s="99"/>
      <c r="E374" s="99"/>
      <c r="F374" s="99"/>
      <c r="G374" s="99"/>
      <c r="H374" s="99"/>
      <c r="I374" s="99"/>
      <c r="J374" s="99"/>
      <c r="K374" s="99"/>
      <c r="L374" s="99"/>
      <c r="M374" s="99"/>
      <c r="N374" s="99"/>
      <c r="O374" s="99"/>
      <c r="P374" s="99"/>
      <c r="Q374" s="99"/>
      <c r="R374" s="99"/>
      <c r="S374" s="99"/>
      <c r="T374" s="99"/>
    </row>
    <row r="375">
      <c r="A375" s="78"/>
      <c r="B375" s="99"/>
      <c r="C375" s="85"/>
      <c r="D375" s="99"/>
      <c r="E375" s="99"/>
      <c r="F375" s="99"/>
      <c r="G375" s="99"/>
      <c r="H375" s="99"/>
      <c r="I375" s="99"/>
      <c r="J375" s="99"/>
      <c r="K375" s="99"/>
      <c r="L375" s="99"/>
      <c r="M375" s="99"/>
      <c r="N375" s="99"/>
      <c r="O375" s="99"/>
      <c r="P375" s="99"/>
      <c r="Q375" s="99"/>
      <c r="R375" s="99"/>
      <c r="S375" s="99"/>
      <c r="T375" s="99"/>
    </row>
    <row r="376">
      <c r="A376" s="78"/>
      <c r="B376" s="99"/>
      <c r="C376" s="85"/>
      <c r="D376" s="99"/>
      <c r="E376" s="99"/>
      <c r="F376" s="99"/>
      <c r="G376" s="99"/>
      <c r="H376" s="99"/>
      <c r="I376" s="99"/>
      <c r="J376" s="99"/>
      <c r="K376" s="99"/>
      <c r="L376" s="99"/>
      <c r="M376" s="99"/>
      <c r="N376" s="99"/>
      <c r="O376" s="99"/>
      <c r="P376" s="99"/>
      <c r="Q376" s="99"/>
      <c r="R376" s="99"/>
      <c r="S376" s="99"/>
      <c r="T376" s="99"/>
    </row>
    <row r="377">
      <c r="A377" s="78"/>
      <c r="B377" s="99"/>
      <c r="C377" s="85"/>
      <c r="D377" s="99"/>
      <c r="E377" s="99"/>
      <c r="F377" s="99"/>
      <c r="G377" s="99"/>
      <c r="H377" s="99"/>
      <c r="I377" s="99"/>
      <c r="J377" s="99"/>
      <c r="K377" s="99"/>
      <c r="L377" s="99"/>
      <c r="M377" s="99"/>
      <c r="N377" s="99"/>
      <c r="O377" s="99"/>
      <c r="P377" s="99"/>
      <c r="Q377" s="99"/>
      <c r="R377" s="99"/>
      <c r="S377" s="99"/>
      <c r="T377" s="99"/>
    </row>
    <row r="378">
      <c r="A378" s="78"/>
      <c r="B378" s="99"/>
      <c r="C378" s="85"/>
      <c r="D378" s="99"/>
      <c r="E378" s="99"/>
      <c r="F378" s="99"/>
      <c r="G378" s="99"/>
      <c r="H378" s="99"/>
      <c r="I378" s="99"/>
      <c r="J378" s="99"/>
      <c r="K378" s="99"/>
      <c r="L378" s="99"/>
      <c r="M378" s="99"/>
      <c r="N378" s="99"/>
      <c r="O378" s="99"/>
      <c r="P378" s="99"/>
      <c r="Q378" s="99"/>
      <c r="R378" s="99"/>
      <c r="S378" s="99"/>
      <c r="T378" s="99"/>
    </row>
    <row r="379">
      <c r="A379" s="78"/>
      <c r="B379" s="99"/>
      <c r="C379" s="85"/>
      <c r="D379" s="99"/>
      <c r="E379" s="99"/>
      <c r="F379" s="99"/>
      <c r="G379" s="99"/>
      <c r="H379" s="99"/>
      <c r="I379" s="99"/>
      <c r="J379" s="99"/>
      <c r="K379" s="99"/>
      <c r="L379" s="99"/>
      <c r="M379" s="99"/>
      <c r="N379" s="99"/>
      <c r="O379" s="99"/>
      <c r="P379" s="99"/>
      <c r="Q379" s="99"/>
      <c r="R379" s="99"/>
      <c r="S379" s="99"/>
      <c r="T379" s="99"/>
    </row>
    <row r="380">
      <c r="A380" s="78"/>
      <c r="B380" s="99"/>
      <c r="C380" s="85"/>
      <c r="D380" s="99"/>
      <c r="E380" s="99"/>
      <c r="F380" s="99"/>
      <c r="G380" s="99"/>
      <c r="H380" s="99"/>
      <c r="I380" s="99"/>
      <c r="J380" s="99"/>
      <c r="K380" s="99"/>
      <c r="L380" s="99"/>
      <c r="M380" s="99"/>
      <c r="N380" s="99"/>
      <c r="O380" s="99"/>
      <c r="P380" s="99"/>
      <c r="Q380" s="99"/>
      <c r="R380" s="99"/>
      <c r="S380" s="99"/>
      <c r="T380" s="99"/>
    </row>
    <row r="381">
      <c r="A381" s="78"/>
      <c r="B381" s="99"/>
      <c r="C381" s="85"/>
      <c r="D381" s="99"/>
      <c r="E381" s="99"/>
      <c r="F381" s="99"/>
      <c r="G381" s="99"/>
      <c r="H381" s="99"/>
      <c r="I381" s="99"/>
      <c r="J381" s="99"/>
      <c r="K381" s="99"/>
      <c r="L381" s="99"/>
      <c r="M381" s="99"/>
      <c r="N381" s="99"/>
      <c r="O381" s="99"/>
      <c r="P381" s="99"/>
      <c r="Q381" s="99"/>
      <c r="R381" s="99"/>
      <c r="S381" s="99"/>
      <c r="T381" s="99"/>
    </row>
    <row r="382">
      <c r="A382" s="78"/>
      <c r="B382" s="99"/>
      <c r="C382" s="85"/>
      <c r="D382" s="99"/>
      <c r="E382" s="99"/>
      <c r="F382" s="99"/>
      <c r="G382" s="99"/>
      <c r="H382" s="99"/>
      <c r="I382" s="99"/>
      <c r="J382" s="99"/>
      <c r="K382" s="99"/>
      <c r="L382" s="99"/>
      <c r="M382" s="99"/>
      <c r="N382" s="99"/>
      <c r="O382" s="99"/>
      <c r="P382" s="99"/>
      <c r="Q382" s="99"/>
      <c r="R382" s="99"/>
      <c r="S382" s="99"/>
      <c r="T382" s="99"/>
    </row>
    <row r="383">
      <c r="A383" s="78"/>
      <c r="B383" s="99"/>
      <c r="C383" s="85"/>
      <c r="D383" s="99"/>
      <c r="E383" s="99"/>
      <c r="F383" s="99"/>
      <c r="G383" s="99"/>
      <c r="H383" s="99"/>
      <c r="I383" s="99"/>
      <c r="J383" s="99"/>
      <c r="K383" s="99"/>
      <c r="L383" s="99"/>
      <c r="M383" s="99"/>
      <c r="N383" s="99"/>
      <c r="O383" s="99"/>
      <c r="P383" s="99"/>
      <c r="Q383" s="99"/>
      <c r="R383" s="99"/>
      <c r="S383" s="99"/>
      <c r="T383" s="99"/>
    </row>
    <row r="384">
      <c r="A384" s="78"/>
      <c r="B384" s="99"/>
      <c r="C384" s="85"/>
      <c r="D384" s="99"/>
      <c r="E384" s="99"/>
      <c r="F384" s="99"/>
      <c r="G384" s="99"/>
      <c r="H384" s="99"/>
      <c r="I384" s="99"/>
      <c r="J384" s="99"/>
      <c r="K384" s="99"/>
      <c r="L384" s="99"/>
      <c r="M384" s="99"/>
      <c r="N384" s="99"/>
      <c r="O384" s="99"/>
      <c r="P384" s="99"/>
      <c r="Q384" s="99"/>
      <c r="R384" s="99"/>
      <c r="S384" s="99"/>
      <c r="T384" s="99"/>
    </row>
    <row r="385">
      <c r="A385" s="78"/>
      <c r="B385" s="99"/>
      <c r="C385" s="85"/>
      <c r="D385" s="99"/>
      <c r="E385" s="99"/>
      <c r="F385" s="99"/>
      <c r="G385" s="99"/>
      <c r="H385" s="99"/>
      <c r="I385" s="99"/>
      <c r="J385" s="99"/>
      <c r="K385" s="99"/>
      <c r="L385" s="99"/>
      <c r="M385" s="99"/>
      <c r="N385" s="99"/>
      <c r="O385" s="99"/>
      <c r="P385" s="99"/>
      <c r="Q385" s="99"/>
      <c r="R385" s="99"/>
      <c r="S385" s="99"/>
      <c r="T385" s="99"/>
    </row>
    <row r="386">
      <c r="A386" s="78"/>
      <c r="B386" s="99"/>
      <c r="C386" s="85"/>
      <c r="D386" s="99"/>
      <c r="E386" s="99"/>
      <c r="F386" s="99"/>
      <c r="G386" s="99"/>
      <c r="H386" s="99"/>
      <c r="I386" s="99"/>
      <c r="J386" s="99"/>
      <c r="K386" s="99"/>
      <c r="L386" s="99"/>
      <c r="M386" s="99"/>
      <c r="N386" s="99"/>
      <c r="O386" s="99"/>
      <c r="P386" s="99"/>
      <c r="Q386" s="99"/>
      <c r="R386" s="99"/>
      <c r="S386" s="99"/>
      <c r="T386" s="99"/>
    </row>
    <row r="387">
      <c r="A387" s="78"/>
      <c r="B387" s="99"/>
      <c r="C387" s="85"/>
      <c r="D387" s="99"/>
      <c r="E387" s="99"/>
      <c r="F387" s="99"/>
      <c r="G387" s="99"/>
      <c r="H387" s="99"/>
      <c r="I387" s="99"/>
      <c r="J387" s="99"/>
      <c r="K387" s="99"/>
      <c r="L387" s="99"/>
      <c r="M387" s="99"/>
      <c r="N387" s="99"/>
      <c r="O387" s="99"/>
      <c r="P387" s="99"/>
      <c r="Q387" s="99"/>
      <c r="R387" s="99"/>
      <c r="S387" s="99"/>
      <c r="T387" s="99"/>
    </row>
    <row r="388">
      <c r="A388" s="78"/>
      <c r="B388" s="99"/>
      <c r="C388" s="85"/>
      <c r="D388" s="99"/>
      <c r="E388" s="99"/>
      <c r="F388" s="99"/>
      <c r="G388" s="99"/>
      <c r="H388" s="99"/>
      <c r="I388" s="99"/>
      <c r="J388" s="99"/>
      <c r="K388" s="99"/>
      <c r="L388" s="99"/>
      <c r="M388" s="99"/>
      <c r="N388" s="99"/>
      <c r="O388" s="99"/>
      <c r="P388" s="99"/>
      <c r="Q388" s="99"/>
      <c r="R388" s="99"/>
      <c r="S388" s="99"/>
      <c r="T388" s="99"/>
    </row>
    <row r="389">
      <c r="A389" s="78"/>
      <c r="B389" s="99"/>
      <c r="C389" s="85"/>
      <c r="D389" s="99"/>
      <c r="E389" s="99"/>
      <c r="F389" s="99"/>
      <c r="G389" s="99"/>
      <c r="H389" s="99"/>
      <c r="I389" s="99"/>
      <c r="J389" s="99"/>
      <c r="K389" s="99"/>
      <c r="L389" s="99"/>
      <c r="M389" s="99"/>
      <c r="N389" s="99"/>
      <c r="O389" s="99"/>
      <c r="P389" s="99"/>
      <c r="Q389" s="99"/>
      <c r="R389" s="99"/>
      <c r="S389" s="99"/>
      <c r="T389" s="99"/>
    </row>
    <row r="390">
      <c r="A390" s="78"/>
      <c r="B390" s="99"/>
      <c r="C390" s="85"/>
      <c r="D390" s="99"/>
      <c r="E390" s="99"/>
      <c r="F390" s="99"/>
      <c r="G390" s="99"/>
      <c r="H390" s="99"/>
      <c r="I390" s="99"/>
      <c r="J390" s="99"/>
      <c r="K390" s="99"/>
      <c r="L390" s="99"/>
      <c r="M390" s="99"/>
      <c r="N390" s="99"/>
      <c r="O390" s="99"/>
      <c r="P390" s="99"/>
      <c r="Q390" s="99"/>
      <c r="R390" s="99"/>
      <c r="S390" s="99"/>
      <c r="T390" s="99"/>
    </row>
    <row r="391">
      <c r="A391" s="78"/>
      <c r="B391" s="99"/>
      <c r="C391" s="85"/>
      <c r="D391" s="99"/>
      <c r="E391" s="99"/>
      <c r="F391" s="99"/>
      <c r="G391" s="99"/>
      <c r="H391" s="99"/>
      <c r="I391" s="99"/>
      <c r="J391" s="99"/>
      <c r="K391" s="99"/>
      <c r="L391" s="99"/>
      <c r="M391" s="99"/>
      <c r="N391" s="99"/>
      <c r="O391" s="99"/>
      <c r="P391" s="99"/>
      <c r="Q391" s="99"/>
      <c r="R391" s="99"/>
      <c r="S391" s="99"/>
      <c r="T391" s="99"/>
    </row>
    <row r="392">
      <c r="A392" s="78"/>
      <c r="B392" s="99"/>
      <c r="C392" s="85"/>
      <c r="D392" s="99"/>
      <c r="E392" s="99"/>
      <c r="F392" s="99"/>
      <c r="G392" s="99"/>
      <c r="H392" s="99"/>
      <c r="I392" s="99"/>
      <c r="J392" s="99"/>
      <c r="K392" s="99"/>
      <c r="L392" s="99"/>
      <c r="M392" s="99"/>
      <c r="N392" s="99"/>
      <c r="O392" s="99"/>
      <c r="P392" s="99"/>
      <c r="Q392" s="99"/>
      <c r="R392" s="99"/>
      <c r="S392" s="99"/>
      <c r="T392" s="99"/>
    </row>
    <row r="393">
      <c r="A393" s="78"/>
      <c r="B393" s="99"/>
      <c r="C393" s="85"/>
      <c r="D393" s="99"/>
      <c r="E393" s="99"/>
      <c r="F393" s="99"/>
      <c r="G393" s="99"/>
      <c r="H393" s="99"/>
      <c r="I393" s="99"/>
      <c r="J393" s="99"/>
      <c r="K393" s="99"/>
      <c r="L393" s="99"/>
      <c r="M393" s="99"/>
      <c r="N393" s="99"/>
      <c r="O393" s="99"/>
      <c r="P393" s="99"/>
      <c r="Q393" s="99"/>
      <c r="R393" s="99"/>
      <c r="S393" s="99"/>
      <c r="T393" s="99"/>
    </row>
    <row r="394">
      <c r="A394" s="78"/>
      <c r="B394" s="99"/>
      <c r="C394" s="85"/>
      <c r="D394" s="99"/>
      <c r="E394" s="99"/>
      <c r="F394" s="99"/>
      <c r="G394" s="99"/>
      <c r="H394" s="99"/>
      <c r="I394" s="99"/>
      <c r="J394" s="99"/>
      <c r="K394" s="99"/>
      <c r="L394" s="99"/>
      <c r="M394" s="99"/>
      <c r="N394" s="99"/>
      <c r="O394" s="99"/>
      <c r="P394" s="99"/>
      <c r="Q394" s="99"/>
      <c r="R394" s="99"/>
      <c r="S394" s="99"/>
      <c r="T394" s="99"/>
    </row>
    <row r="395">
      <c r="A395" s="78"/>
      <c r="B395" s="99"/>
      <c r="C395" s="85"/>
      <c r="D395" s="99"/>
      <c r="E395" s="99"/>
      <c r="F395" s="99"/>
      <c r="G395" s="99"/>
      <c r="H395" s="99"/>
      <c r="I395" s="99"/>
      <c r="J395" s="99"/>
      <c r="K395" s="99"/>
      <c r="L395" s="99"/>
      <c r="M395" s="99"/>
      <c r="N395" s="99"/>
      <c r="O395" s="99"/>
      <c r="P395" s="99"/>
      <c r="Q395" s="99"/>
      <c r="R395" s="99"/>
      <c r="S395" s="99"/>
      <c r="T395" s="99"/>
    </row>
    <row r="396">
      <c r="A396" s="78"/>
      <c r="B396" s="99"/>
      <c r="C396" s="85"/>
      <c r="D396" s="99"/>
      <c r="E396" s="99"/>
      <c r="F396" s="99"/>
      <c r="G396" s="99"/>
      <c r="H396" s="99"/>
      <c r="I396" s="99"/>
      <c r="J396" s="99"/>
      <c r="K396" s="99"/>
      <c r="L396" s="99"/>
      <c r="M396" s="99"/>
      <c r="N396" s="99"/>
      <c r="O396" s="99"/>
      <c r="P396" s="99"/>
      <c r="Q396" s="99"/>
      <c r="R396" s="99"/>
      <c r="S396" s="99"/>
      <c r="T396" s="99"/>
    </row>
    <row r="397">
      <c r="A397" s="78"/>
      <c r="B397" s="99"/>
      <c r="C397" s="85"/>
      <c r="D397" s="99"/>
      <c r="E397" s="99"/>
      <c r="F397" s="99"/>
      <c r="G397" s="99"/>
      <c r="H397" s="99"/>
      <c r="I397" s="99"/>
      <c r="J397" s="99"/>
      <c r="K397" s="99"/>
      <c r="L397" s="99"/>
      <c r="M397" s="99"/>
      <c r="N397" s="99"/>
      <c r="O397" s="99"/>
      <c r="P397" s="99"/>
      <c r="Q397" s="99"/>
      <c r="R397" s="99"/>
      <c r="S397" s="99"/>
      <c r="T397" s="99"/>
    </row>
    <row r="398">
      <c r="A398" s="78"/>
      <c r="B398" s="99"/>
      <c r="C398" s="85"/>
      <c r="D398" s="99"/>
      <c r="E398" s="99"/>
      <c r="F398" s="99"/>
      <c r="G398" s="99"/>
      <c r="H398" s="99"/>
      <c r="I398" s="99"/>
      <c r="J398" s="99"/>
      <c r="K398" s="99"/>
      <c r="L398" s="99"/>
      <c r="M398" s="99"/>
      <c r="N398" s="99"/>
      <c r="O398" s="99"/>
      <c r="P398" s="99"/>
      <c r="Q398" s="99"/>
      <c r="R398" s="99"/>
      <c r="S398" s="99"/>
      <c r="T398" s="99"/>
    </row>
    <row r="399">
      <c r="A399" s="78"/>
      <c r="B399" s="99"/>
      <c r="C399" s="85"/>
      <c r="D399" s="99"/>
      <c r="E399" s="99"/>
      <c r="F399" s="99"/>
      <c r="G399" s="99"/>
      <c r="H399" s="99"/>
      <c r="I399" s="99"/>
      <c r="J399" s="99"/>
      <c r="K399" s="99"/>
      <c r="L399" s="99"/>
      <c r="M399" s="99"/>
      <c r="N399" s="99"/>
      <c r="O399" s="99"/>
      <c r="P399" s="99"/>
      <c r="Q399" s="99"/>
      <c r="R399" s="99"/>
      <c r="S399" s="99"/>
      <c r="T399" s="99"/>
    </row>
    <row r="400">
      <c r="A400" s="78"/>
      <c r="B400" s="99"/>
      <c r="C400" s="85"/>
      <c r="D400" s="99"/>
      <c r="E400" s="99"/>
      <c r="F400" s="99"/>
      <c r="G400" s="99"/>
      <c r="H400" s="99"/>
      <c r="I400" s="99"/>
      <c r="J400" s="99"/>
      <c r="K400" s="99"/>
      <c r="L400" s="99"/>
      <c r="M400" s="99"/>
      <c r="N400" s="99"/>
      <c r="O400" s="99"/>
      <c r="P400" s="99"/>
      <c r="Q400" s="99"/>
      <c r="R400" s="99"/>
      <c r="S400" s="99"/>
      <c r="T400" s="99"/>
    </row>
    <row r="401">
      <c r="A401" s="78"/>
      <c r="B401" s="99"/>
      <c r="C401" s="85"/>
      <c r="D401" s="99"/>
      <c r="E401" s="99"/>
      <c r="F401" s="99"/>
      <c r="G401" s="99"/>
      <c r="H401" s="99"/>
      <c r="I401" s="99"/>
      <c r="J401" s="99"/>
      <c r="K401" s="99"/>
      <c r="L401" s="99"/>
      <c r="M401" s="99"/>
      <c r="N401" s="99"/>
      <c r="O401" s="99"/>
      <c r="P401" s="99"/>
      <c r="Q401" s="99"/>
      <c r="R401" s="99"/>
      <c r="S401" s="99"/>
      <c r="T401" s="99"/>
    </row>
    <row r="402">
      <c r="A402" s="78"/>
      <c r="B402" s="99"/>
      <c r="C402" s="85"/>
      <c r="D402" s="99"/>
      <c r="E402" s="99"/>
      <c r="F402" s="99"/>
      <c r="G402" s="99"/>
      <c r="H402" s="99"/>
      <c r="I402" s="99"/>
      <c r="J402" s="99"/>
      <c r="K402" s="99"/>
      <c r="L402" s="99"/>
      <c r="M402" s="99"/>
      <c r="N402" s="99"/>
      <c r="O402" s="99"/>
      <c r="P402" s="99"/>
      <c r="Q402" s="99"/>
      <c r="R402" s="99"/>
      <c r="S402" s="99"/>
      <c r="T402" s="99"/>
    </row>
    <row r="403">
      <c r="A403" s="78"/>
      <c r="B403" s="99"/>
      <c r="C403" s="85"/>
      <c r="D403" s="99"/>
      <c r="E403" s="99"/>
      <c r="F403" s="99"/>
      <c r="G403" s="99"/>
      <c r="H403" s="99"/>
      <c r="I403" s="99"/>
      <c r="J403" s="99"/>
      <c r="K403" s="99"/>
      <c r="L403" s="99"/>
      <c r="M403" s="99"/>
      <c r="N403" s="99"/>
      <c r="O403" s="99"/>
      <c r="P403" s="99"/>
      <c r="Q403" s="99"/>
      <c r="R403" s="99"/>
      <c r="S403" s="99"/>
      <c r="T403" s="99"/>
    </row>
    <row r="404">
      <c r="A404" s="78"/>
      <c r="B404" s="99"/>
      <c r="C404" s="85"/>
      <c r="D404" s="99"/>
      <c r="E404" s="99"/>
      <c r="F404" s="99"/>
      <c r="G404" s="99"/>
      <c r="H404" s="99"/>
      <c r="I404" s="99"/>
      <c r="J404" s="99"/>
      <c r="K404" s="99"/>
      <c r="L404" s="99"/>
      <c r="M404" s="99"/>
      <c r="N404" s="99"/>
      <c r="O404" s="99"/>
      <c r="P404" s="99"/>
      <c r="Q404" s="99"/>
      <c r="R404" s="99"/>
      <c r="S404" s="99"/>
      <c r="T404" s="99"/>
    </row>
    <row r="405">
      <c r="A405" s="78"/>
      <c r="B405" s="99"/>
      <c r="C405" s="85"/>
      <c r="D405" s="99"/>
      <c r="E405" s="99"/>
      <c r="F405" s="99"/>
      <c r="G405" s="99"/>
      <c r="H405" s="99"/>
      <c r="I405" s="99"/>
      <c r="J405" s="99"/>
      <c r="K405" s="99"/>
      <c r="L405" s="99"/>
      <c r="M405" s="99"/>
      <c r="N405" s="99"/>
      <c r="O405" s="99"/>
      <c r="P405" s="99"/>
      <c r="Q405" s="99"/>
      <c r="R405" s="99"/>
      <c r="S405" s="99"/>
      <c r="T405" s="99"/>
    </row>
    <row r="406">
      <c r="A406" s="78"/>
      <c r="B406" s="99"/>
      <c r="C406" s="85"/>
      <c r="D406" s="99"/>
      <c r="E406" s="99"/>
      <c r="F406" s="99"/>
      <c r="G406" s="99"/>
      <c r="H406" s="99"/>
      <c r="I406" s="99"/>
      <c r="J406" s="99"/>
      <c r="K406" s="99"/>
      <c r="L406" s="99"/>
      <c r="M406" s="99"/>
      <c r="N406" s="99"/>
      <c r="O406" s="99"/>
      <c r="P406" s="99"/>
      <c r="Q406" s="99"/>
      <c r="R406" s="99"/>
      <c r="S406" s="99"/>
      <c r="T406" s="99"/>
    </row>
    <row r="407">
      <c r="A407" s="78"/>
      <c r="B407" s="99"/>
      <c r="C407" s="85"/>
      <c r="D407" s="99"/>
      <c r="E407" s="99"/>
      <c r="F407" s="99"/>
      <c r="G407" s="99"/>
      <c r="H407" s="99"/>
      <c r="I407" s="99"/>
      <c r="J407" s="99"/>
      <c r="K407" s="99"/>
      <c r="L407" s="99"/>
      <c r="M407" s="99"/>
      <c r="N407" s="99"/>
      <c r="O407" s="99"/>
      <c r="P407" s="99"/>
      <c r="Q407" s="99"/>
      <c r="R407" s="99"/>
      <c r="S407" s="99"/>
      <c r="T407" s="99"/>
    </row>
    <row r="408">
      <c r="A408" s="78"/>
      <c r="B408" s="99"/>
      <c r="C408" s="85"/>
      <c r="D408" s="99"/>
      <c r="E408" s="99"/>
      <c r="F408" s="99"/>
      <c r="G408" s="99"/>
      <c r="H408" s="99"/>
      <c r="I408" s="99"/>
      <c r="J408" s="99"/>
      <c r="K408" s="99"/>
      <c r="L408" s="99"/>
      <c r="M408" s="99"/>
      <c r="N408" s="99"/>
      <c r="O408" s="99"/>
      <c r="P408" s="99"/>
      <c r="Q408" s="99"/>
      <c r="R408" s="99"/>
      <c r="S408" s="99"/>
      <c r="T408" s="99"/>
    </row>
    <row r="409">
      <c r="A409" s="78"/>
      <c r="B409" s="99"/>
      <c r="C409" s="85"/>
      <c r="D409" s="99"/>
      <c r="E409" s="99"/>
      <c r="F409" s="99"/>
      <c r="G409" s="99"/>
      <c r="H409" s="99"/>
      <c r="I409" s="99"/>
      <c r="J409" s="99"/>
      <c r="K409" s="99"/>
      <c r="L409" s="99"/>
      <c r="M409" s="99"/>
      <c r="N409" s="99"/>
      <c r="O409" s="99"/>
      <c r="P409" s="99"/>
      <c r="Q409" s="99"/>
      <c r="R409" s="99"/>
      <c r="S409" s="99"/>
      <c r="T409" s="99"/>
    </row>
    <row r="410">
      <c r="A410" s="78"/>
      <c r="B410" s="99"/>
      <c r="C410" s="85"/>
      <c r="D410" s="99"/>
      <c r="E410" s="99"/>
      <c r="F410" s="99"/>
      <c r="G410" s="99"/>
      <c r="H410" s="99"/>
      <c r="I410" s="99"/>
      <c r="J410" s="99"/>
      <c r="K410" s="99"/>
      <c r="L410" s="99"/>
      <c r="M410" s="99"/>
      <c r="N410" s="99"/>
      <c r="O410" s="99"/>
      <c r="P410" s="99"/>
      <c r="Q410" s="99"/>
      <c r="R410" s="99"/>
      <c r="S410" s="99"/>
      <c r="T410" s="99"/>
    </row>
    <row r="411">
      <c r="A411" s="78"/>
      <c r="B411" s="99"/>
      <c r="C411" s="85"/>
      <c r="D411" s="99"/>
      <c r="E411" s="99"/>
      <c r="F411" s="99"/>
      <c r="G411" s="99"/>
      <c r="H411" s="99"/>
      <c r="I411" s="99"/>
      <c r="J411" s="99"/>
      <c r="K411" s="99"/>
      <c r="L411" s="99"/>
      <c r="M411" s="99"/>
      <c r="N411" s="99"/>
      <c r="O411" s="99"/>
      <c r="P411" s="99"/>
      <c r="Q411" s="99"/>
      <c r="R411" s="99"/>
      <c r="S411" s="99"/>
      <c r="T411" s="99"/>
    </row>
    <row r="412">
      <c r="A412" s="78"/>
      <c r="B412" s="99"/>
      <c r="C412" s="85"/>
      <c r="D412" s="99"/>
      <c r="E412" s="99"/>
      <c r="F412" s="99"/>
      <c r="G412" s="99"/>
      <c r="H412" s="99"/>
      <c r="I412" s="99"/>
      <c r="J412" s="99"/>
      <c r="K412" s="99"/>
      <c r="L412" s="99"/>
      <c r="M412" s="99"/>
      <c r="N412" s="99"/>
      <c r="O412" s="99"/>
      <c r="P412" s="99"/>
      <c r="Q412" s="99"/>
      <c r="R412" s="99"/>
      <c r="S412" s="99"/>
      <c r="T412" s="99"/>
    </row>
    <row r="413">
      <c r="A413" s="78"/>
      <c r="B413" s="99"/>
      <c r="C413" s="85"/>
      <c r="D413" s="99"/>
      <c r="E413" s="99"/>
      <c r="F413" s="99"/>
      <c r="G413" s="99"/>
      <c r="H413" s="99"/>
      <c r="I413" s="99"/>
      <c r="J413" s="99"/>
      <c r="K413" s="99"/>
      <c r="L413" s="99"/>
      <c r="M413" s="99"/>
      <c r="N413" s="99"/>
      <c r="O413" s="99"/>
      <c r="P413" s="99"/>
      <c r="Q413" s="99"/>
      <c r="R413" s="99"/>
      <c r="S413" s="99"/>
      <c r="T413" s="99"/>
    </row>
    <row r="414">
      <c r="A414" s="78"/>
      <c r="B414" s="99"/>
      <c r="C414" s="85"/>
      <c r="D414" s="99"/>
      <c r="E414" s="99"/>
      <c r="F414" s="99"/>
      <c r="G414" s="99"/>
      <c r="H414" s="99"/>
      <c r="I414" s="99"/>
      <c r="J414" s="99"/>
      <c r="K414" s="99"/>
      <c r="L414" s="99"/>
      <c r="M414" s="99"/>
      <c r="N414" s="99"/>
      <c r="O414" s="99"/>
      <c r="P414" s="99"/>
      <c r="Q414" s="99"/>
      <c r="R414" s="99"/>
      <c r="S414" s="99"/>
      <c r="T414" s="99"/>
    </row>
    <row r="415">
      <c r="A415" s="78"/>
      <c r="B415" s="99"/>
      <c r="C415" s="85"/>
      <c r="D415" s="99"/>
      <c r="E415" s="99"/>
      <c r="F415" s="99"/>
      <c r="G415" s="99"/>
      <c r="H415" s="99"/>
      <c r="I415" s="99"/>
      <c r="J415" s="99"/>
      <c r="K415" s="99"/>
      <c r="L415" s="99"/>
      <c r="M415" s="99"/>
      <c r="N415" s="99"/>
      <c r="O415" s="99"/>
      <c r="P415" s="99"/>
      <c r="Q415" s="99"/>
      <c r="R415" s="99"/>
      <c r="S415" s="99"/>
      <c r="T415" s="99"/>
    </row>
    <row r="416">
      <c r="A416" s="78"/>
      <c r="B416" s="99"/>
      <c r="C416" s="85"/>
      <c r="D416" s="99"/>
      <c r="E416" s="99"/>
      <c r="F416" s="99"/>
      <c r="G416" s="99"/>
      <c r="H416" s="99"/>
      <c r="I416" s="99"/>
      <c r="J416" s="99"/>
      <c r="K416" s="99"/>
      <c r="L416" s="99"/>
      <c r="M416" s="99"/>
      <c r="N416" s="99"/>
      <c r="O416" s="99"/>
      <c r="P416" s="99"/>
      <c r="Q416" s="99"/>
      <c r="R416" s="99"/>
      <c r="S416" s="99"/>
      <c r="T416" s="99"/>
    </row>
    <row r="417">
      <c r="A417" s="78"/>
      <c r="B417" s="99"/>
      <c r="C417" s="85"/>
      <c r="D417" s="99"/>
      <c r="E417" s="99"/>
      <c r="F417" s="99"/>
      <c r="G417" s="99"/>
      <c r="H417" s="99"/>
      <c r="I417" s="99"/>
      <c r="J417" s="99"/>
      <c r="K417" s="99"/>
      <c r="L417" s="99"/>
      <c r="M417" s="99"/>
      <c r="N417" s="99"/>
      <c r="O417" s="99"/>
      <c r="P417" s="99"/>
      <c r="Q417" s="99"/>
      <c r="R417" s="99"/>
      <c r="S417" s="99"/>
      <c r="T417" s="99"/>
    </row>
    <row r="418">
      <c r="A418" s="78"/>
      <c r="B418" s="99"/>
      <c r="C418" s="85"/>
      <c r="D418" s="99"/>
      <c r="E418" s="99"/>
      <c r="F418" s="99"/>
      <c r="G418" s="99"/>
      <c r="H418" s="99"/>
      <c r="I418" s="99"/>
      <c r="J418" s="99"/>
      <c r="K418" s="99"/>
      <c r="L418" s="99"/>
      <c r="M418" s="99"/>
      <c r="N418" s="99"/>
      <c r="O418" s="99"/>
      <c r="P418" s="99"/>
      <c r="Q418" s="99"/>
      <c r="R418" s="99"/>
      <c r="S418" s="99"/>
      <c r="T418" s="99"/>
    </row>
    <row r="419">
      <c r="A419" s="78"/>
      <c r="B419" s="99"/>
      <c r="C419" s="85"/>
      <c r="D419" s="99"/>
      <c r="E419" s="99"/>
      <c r="F419" s="99"/>
      <c r="G419" s="99"/>
      <c r="H419" s="99"/>
      <c r="I419" s="99"/>
      <c r="J419" s="99"/>
      <c r="K419" s="99"/>
      <c r="L419" s="99"/>
      <c r="M419" s="99"/>
      <c r="N419" s="99"/>
      <c r="O419" s="99"/>
      <c r="P419" s="99"/>
      <c r="Q419" s="99"/>
      <c r="R419" s="99"/>
      <c r="S419" s="99"/>
      <c r="T419" s="99"/>
    </row>
    <row r="420">
      <c r="A420" s="78"/>
      <c r="B420" s="99"/>
      <c r="C420" s="85"/>
      <c r="D420" s="99"/>
      <c r="E420" s="99"/>
      <c r="F420" s="99"/>
      <c r="G420" s="99"/>
      <c r="H420" s="99"/>
      <c r="I420" s="99"/>
      <c r="J420" s="99"/>
      <c r="K420" s="99"/>
      <c r="L420" s="99"/>
      <c r="M420" s="99"/>
      <c r="N420" s="99"/>
      <c r="O420" s="99"/>
      <c r="P420" s="99"/>
      <c r="Q420" s="99"/>
      <c r="R420" s="99"/>
      <c r="S420" s="99"/>
      <c r="T420" s="99"/>
    </row>
    <row r="421">
      <c r="A421" s="78"/>
      <c r="B421" s="99"/>
      <c r="C421" s="85"/>
      <c r="D421" s="99"/>
      <c r="E421" s="99"/>
      <c r="F421" s="99"/>
      <c r="G421" s="99"/>
      <c r="H421" s="99"/>
      <c r="I421" s="99"/>
      <c r="J421" s="99"/>
      <c r="K421" s="99"/>
      <c r="L421" s="99"/>
      <c r="M421" s="99"/>
      <c r="N421" s="99"/>
      <c r="O421" s="99"/>
      <c r="P421" s="99"/>
      <c r="Q421" s="99"/>
      <c r="R421" s="99"/>
      <c r="S421" s="99"/>
      <c r="T421" s="99"/>
    </row>
    <row r="422">
      <c r="A422" s="78"/>
      <c r="B422" s="99"/>
      <c r="C422" s="85"/>
      <c r="D422" s="99"/>
      <c r="E422" s="99"/>
      <c r="F422" s="99"/>
      <c r="G422" s="99"/>
      <c r="H422" s="99"/>
      <c r="I422" s="99"/>
      <c r="J422" s="99"/>
      <c r="K422" s="99"/>
      <c r="L422" s="99"/>
      <c r="M422" s="99"/>
      <c r="N422" s="99"/>
      <c r="O422" s="99"/>
      <c r="P422" s="99"/>
      <c r="Q422" s="99"/>
      <c r="R422" s="99"/>
      <c r="S422" s="99"/>
      <c r="T422" s="99"/>
    </row>
    <row r="423">
      <c r="A423" s="78"/>
      <c r="B423" s="99"/>
      <c r="C423" s="85"/>
      <c r="D423" s="99"/>
      <c r="E423" s="99"/>
      <c r="F423" s="99"/>
      <c r="G423" s="99"/>
      <c r="H423" s="99"/>
      <c r="I423" s="99"/>
      <c r="J423" s="99"/>
      <c r="K423" s="99"/>
      <c r="L423" s="99"/>
      <c r="M423" s="99"/>
      <c r="N423" s="99"/>
      <c r="O423" s="99"/>
      <c r="P423" s="99"/>
      <c r="Q423" s="99"/>
      <c r="R423" s="99"/>
      <c r="S423" s="99"/>
      <c r="T423" s="99"/>
    </row>
    <row r="424">
      <c r="A424" s="78"/>
      <c r="B424" s="99"/>
      <c r="C424" s="85"/>
      <c r="D424" s="99"/>
      <c r="E424" s="99"/>
      <c r="F424" s="99"/>
      <c r="G424" s="99"/>
      <c r="H424" s="99"/>
      <c r="I424" s="99"/>
      <c r="J424" s="99"/>
      <c r="K424" s="99"/>
      <c r="L424" s="99"/>
      <c r="M424" s="99"/>
      <c r="N424" s="99"/>
      <c r="O424" s="99"/>
      <c r="P424" s="99"/>
      <c r="Q424" s="99"/>
      <c r="R424" s="99"/>
      <c r="S424" s="99"/>
      <c r="T424" s="99"/>
    </row>
    <row r="425">
      <c r="A425" s="78"/>
      <c r="B425" s="99"/>
      <c r="C425" s="85"/>
      <c r="D425" s="99"/>
      <c r="E425" s="99"/>
      <c r="F425" s="99"/>
      <c r="G425" s="99"/>
      <c r="H425" s="99"/>
      <c r="I425" s="99"/>
      <c r="J425" s="99"/>
      <c r="K425" s="99"/>
      <c r="L425" s="99"/>
      <c r="M425" s="99"/>
      <c r="N425" s="99"/>
      <c r="O425" s="99"/>
      <c r="P425" s="99"/>
      <c r="Q425" s="99"/>
      <c r="R425" s="99"/>
      <c r="S425" s="99"/>
      <c r="T425" s="99"/>
    </row>
    <row r="426">
      <c r="A426" s="78"/>
      <c r="B426" s="99"/>
      <c r="C426" s="85"/>
      <c r="D426" s="99"/>
      <c r="E426" s="99"/>
      <c r="F426" s="99"/>
      <c r="G426" s="99"/>
      <c r="H426" s="99"/>
      <c r="I426" s="99"/>
      <c r="J426" s="99"/>
      <c r="K426" s="99"/>
      <c r="L426" s="99"/>
      <c r="M426" s="99"/>
      <c r="N426" s="99"/>
      <c r="O426" s="99"/>
      <c r="P426" s="99"/>
      <c r="Q426" s="99"/>
      <c r="R426" s="99"/>
      <c r="S426" s="99"/>
      <c r="T426" s="99"/>
    </row>
    <row r="427">
      <c r="A427" s="78"/>
      <c r="B427" s="99"/>
      <c r="C427" s="85"/>
      <c r="D427" s="99"/>
      <c r="E427" s="99"/>
      <c r="F427" s="99"/>
      <c r="G427" s="99"/>
      <c r="H427" s="99"/>
      <c r="I427" s="99"/>
      <c r="J427" s="99"/>
      <c r="K427" s="99"/>
      <c r="L427" s="99"/>
      <c r="M427" s="99"/>
      <c r="N427" s="99"/>
      <c r="O427" s="99"/>
      <c r="P427" s="99"/>
      <c r="Q427" s="99"/>
      <c r="R427" s="99"/>
      <c r="S427" s="99"/>
      <c r="T427" s="99"/>
    </row>
    <row r="428">
      <c r="A428" s="78"/>
      <c r="B428" s="99"/>
      <c r="C428" s="85"/>
      <c r="D428" s="99"/>
      <c r="E428" s="99"/>
      <c r="F428" s="99"/>
      <c r="G428" s="99"/>
      <c r="H428" s="99"/>
      <c r="I428" s="99"/>
      <c r="J428" s="99"/>
      <c r="K428" s="99"/>
      <c r="L428" s="99"/>
      <c r="M428" s="99"/>
      <c r="N428" s="99"/>
      <c r="O428" s="99"/>
      <c r="P428" s="99"/>
      <c r="Q428" s="99"/>
      <c r="R428" s="99"/>
      <c r="S428" s="99"/>
      <c r="T428" s="99"/>
    </row>
    <row r="429">
      <c r="A429" s="78"/>
      <c r="B429" s="99"/>
      <c r="C429" s="85"/>
      <c r="D429" s="99"/>
      <c r="E429" s="99"/>
      <c r="F429" s="99"/>
      <c r="G429" s="99"/>
      <c r="H429" s="99"/>
      <c r="I429" s="99"/>
      <c r="J429" s="99"/>
      <c r="K429" s="99"/>
      <c r="L429" s="99"/>
      <c r="M429" s="99"/>
      <c r="N429" s="99"/>
      <c r="O429" s="99"/>
      <c r="P429" s="99"/>
      <c r="Q429" s="99"/>
      <c r="R429" s="99"/>
      <c r="S429" s="99"/>
      <c r="T429" s="99"/>
    </row>
    <row r="430">
      <c r="A430" s="78"/>
      <c r="B430" s="99"/>
      <c r="C430" s="85"/>
      <c r="D430" s="99"/>
      <c r="E430" s="99"/>
      <c r="F430" s="99"/>
      <c r="G430" s="99"/>
      <c r="H430" s="99"/>
      <c r="I430" s="99"/>
      <c r="J430" s="99"/>
      <c r="K430" s="99"/>
      <c r="L430" s="99"/>
      <c r="M430" s="99"/>
      <c r="N430" s="99"/>
      <c r="O430" s="99"/>
      <c r="P430" s="99"/>
      <c r="Q430" s="99"/>
      <c r="R430" s="99"/>
      <c r="S430" s="99"/>
      <c r="T430" s="99"/>
    </row>
    <row r="431">
      <c r="A431" s="78"/>
      <c r="B431" s="99"/>
      <c r="C431" s="85"/>
      <c r="D431" s="99"/>
      <c r="E431" s="99"/>
      <c r="F431" s="99"/>
      <c r="G431" s="99"/>
      <c r="H431" s="99"/>
      <c r="I431" s="99"/>
      <c r="J431" s="99"/>
      <c r="K431" s="99"/>
      <c r="L431" s="99"/>
      <c r="M431" s="99"/>
      <c r="N431" s="99"/>
      <c r="O431" s="99"/>
      <c r="P431" s="99"/>
      <c r="Q431" s="99"/>
      <c r="R431" s="99"/>
      <c r="S431" s="99"/>
      <c r="T431" s="99"/>
    </row>
    <row r="432">
      <c r="A432" s="78"/>
      <c r="B432" s="99"/>
      <c r="C432" s="85"/>
      <c r="D432" s="99"/>
      <c r="E432" s="99"/>
      <c r="F432" s="99"/>
      <c r="G432" s="99"/>
      <c r="H432" s="99"/>
      <c r="I432" s="99"/>
      <c r="J432" s="99"/>
      <c r="K432" s="99"/>
      <c r="L432" s="99"/>
      <c r="M432" s="99"/>
      <c r="N432" s="99"/>
      <c r="O432" s="99"/>
      <c r="P432" s="99"/>
      <c r="Q432" s="99"/>
      <c r="R432" s="99"/>
      <c r="S432" s="99"/>
      <c r="T432" s="99"/>
    </row>
    <row r="433">
      <c r="A433" s="78"/>
      <c r="B433" s="99"/>
      <c r="C433" s="85"/>
      <c r="D433" s="99"/>
      <c r="E433" s="99"/>
      <c r="F433" s="99"/>
      <c r="G433" s="99"/>
      <c r="H433" s="99"/>
      <c r="I433" s="99"/>
      <c r="J433" s="99"/>
      <c r="K433" s="99"/>
      <c r="L433" s="99"/>
      <c r="M433" s="99"/>
      <c r="N433" s="99"/>
      <c r="O433" s="99"/>
      <c r="P433" s="99"/>
      <c r="Q433" s="99"/>
      <c r="R433" s="99"/>
      <c r="S433" s="99"/>
      <c r="T433" s="99"/>
    </row>
    <row r="434">
      <c r="A434" s="78"/>
      <c r="B434" s="99"/>
      <c r="C434" s="85"/>
      <c r="D434" s="99"/>
      <c r="E434" s="99"/>
      <c r="F434" s="99"/>
      <c r="G434" s="99"/>
      <c r="H434" s="99"/>
      <c r="I434" s="99"/>
      <c r="J434" s="99"/>
      <c r="K434" s="99"/>
      <c r="L434" s="99"/>
      <c r="M434" s="99"/>
      <c r="N434" s="99"/>
      <c r="O434" s="99"/>
      <c r="P434" s="99"/>
      <c r="Q434" s="99"/>
      <c r="R434" s="99"/>
      <c r="S434" s="99"/>
      <c r="T434" s="99"/>
    </row>
    <row r="435">
      <c r="A435" s="78"/>
      <c r="B435" s="99"/>
      <c r="C435" s="85"/>
      <c r="D435" s="99"/>
      <c r="E435" s="99"/>
      <c r="F435" s="99"/>
      <c r="G435" s="99"/>
      <c r="H435" s="99"/>
      <c r="I435" s="99"/>
      <c r="J435" s="99"/>
      <c r="K435" s="99"/>
      <c r="L435" s="99"/>
      <c r="M435" s="99"/>
      <c r="N435" s="99"/>
      <c r="O435" s="99"/>
      <c r="P435" s="99"/>
      <c r="Q435" s="99"/>
      <c r="R435" s="99"/>
      <c r="S435" s="99"/>
      <c r="T435" s="99"/>
    </row>
    <row r="436">
      <c r="A436" s="78"/>
      <c r="B436" s="99"/>
      <c r="C436" s="85"/>
      <c r="D436" s="99"/>
      <c r="E436" s="99"/>
      <c r="F436" s="99"/>
      <c r="G436" s="99"/>
      <c r="H436" s="99"/>
      <c r="I436" s="99"/>
      <c r="J436" s="99"/>
      <c r="K436" s="99"/>
      <c r="L436" s="99"/>
      <c r="M436" s="99"/>
      <c r="N436" s="99"/>
      <c r="O436" s="99"/>
      <c r="P436" s="99"/>
      <c r="Q436" s="99"/>
      <c r="R436" s="99"/>
      <c r="S436" s="99"/>
      <c r="T436" s="99"/>
    </row>
    <row r="437">
      <c r="A437" s="78"/>
      <c r="B437" s="99"/>
      <c r="C437" s="85"/>
      <c r="D437" s="99"/>
      <c r="E437" s="99"/>
      <c r="F437" s="99"/>
      <c r="G437" s="99"/>
      <c r="H437" s="99"/>
      <c r="I437" s="99"/>
      <c r="J437" s="99"/>
      <c r="K437" s="99"/>
      <c r="L437" s="99"/>
      <c r="M437" s="99"/>
      <c r="N437" s="99"/>
      <c r="O437" s="99"/>
      <c r="P437" s="99"/>
      <c r="Q437" s="99"/>
      <c r="R437" s="99"/>
      <c r="S437" s="99"/>
      <c r="T437" s="99"/>
    </row>
    <row r="438">
      <c r="A438" s="78"/>
      <c r="B438" s="99"/>
      <c r="C438" s="85"/>
      <c r="D438" s="99"/>
      <c r="E438" s="99"/>
      <c r="F438" s="99"/>
      <c r="G438" s="99"/>
      <c r="H438" s="99"/>
      <c r="I438" s="99"/>
      <c r="J438" s="99"/>
      <c r="K438" s="99"/>
      <c r="L438" s="99"/>
      <c r="M438" s="99"/>
      <c r="N438" s="99"/>
      <c r="O438" s="99"/>
      <c r="P438" s="99"/>
      <c r="Q438" s="99"/>
      <c r="R438" s="99"/>
      <c r="S438" s="99"/>
      <c r="T438" s="99"/>
    </row>
    <row r="439">
      <c r="A439" s="78"/>
      <c r="B439" s="99"/>
      <c r="C439" s="85"/>
      <c r="D439" s="99"/>
      <c r="E439" s="99"/>
      <c r="F439" s="99"/>
      <c r="G439" s="99"/>
      <c r="H439" s="99"/>
      <c r="I439" s="99"/>
      <c r="J439" s="99"/>
      <c r="K439" s="99"/>
      <c r="L439" s="99"/>
      <c r="M439" s="99"/>
      <c r="N439" s="99"/>
      <c r="O439" s="99"/>
      <c r="P439" s="99"/>
      <c r="Q439" s="99"/>
      <c r="R439" s="99"/>
      <c r="S439" s="99"/>
      <c r="T439" s="99"/>
    </row>
    <row r="440">
      <c r="A440" s="78"/>
      <c r="B440" s="99"/>
      <c r="C440" s="85"/>
      <c r="D440" s="99"/>
      <c r="E440" s="99"/>
      <c r="F440" s="99"/>
      <c r="G440" s="99"/>
      <c r="H440" s="99"/>
      <c r="I440" s="99"/>
      <c r="J440" s="99"/>
      <c r="K440" s="99"/>
      <c r="L440" s="99"/>
      <c r="M440" s="99"/>
      <c r="N440" s="99"/>
      <c r="O440" s="99"/>
      <c r="P440" s="99"/>
      <c r="Q440" s="99"/>
      <c r="R440" s="99"/>
      <c r="S440" s="99"/>
      <c r="T440" s="99"/>
    </row>
    <row r="441">
      <c r="A441" s="78"/>
      <c r="B441" s="99"/>
      <c r="C441" s="85"/>
      <c r="D441" s="99"/>
      <c r="E441" s="99"/>
      <c r="F441" s="99"/>
      <c r="G441" s="99"/>
      <c r="H441" s="99"/>
      <c r="I441" s="99"/>
      <c r="J441" s="99"/>
      <c r="K441" s="99"/>
      <c r="L441" s="99"/>
      <c r="M441" s="99"/>
      <c r="N441" s="99"/>
      <c r="O441" s="99"/>
      <c r="P441" s="99"/>
      <c r="Q441" s="99"/>
      <c r="R441" s="99"/>
      <c r="S441" s="99"/>
      <c r="T441" s="99"/>
    </row>
    <row r="442">
      <c r="A442" s="78"/>
      <c r="B442" s="99"/>
      <c r="C442" s="85"/>
      <c r="D442" s="99"/>
      <c r="E442" s="99"/>
      <c r="F442" s="99"/>
      <c r="G442" s="99"/>
      <c r="H442" s="99"/>
      <c r="I442" s="99"/>
      <c r="J442" s="99"/>
      <c r="K442" s="99"/>
      <c r="L442" s="99"/>
      <c r="M442" s="99"/>
      <c r="N442" s="99"/>
      <c r="O442" s="99"/>
      <c r="P442" s="99"/>
      <c r="Q442" s="99"/>
      <c r="R442" s="99"/>
      <c r="S442" s="99"/>
      <c r="T442" s="99"/>
    </row>
    <row r="443">
      <c r="A443" s="78"/>
      <c r="B443" s="99"/>
      <c r="C443" s="85"/>
      <c r="D443" s="99"/>
      <c r="E443" s="99"/>
      <c r="F443" s="99"/>
      <c r="G443" s="99"/>
      <c r="H443" s="99"/>
      <c r="I443" s="99"/>
      <c r="J443" s="99"/>
      <c r="K443" s="99"/>
      <c r="L443" s="99"/>
      <c r="M443" s="99"/>
      <c r="N443" s="99"/>
      <c r="O443" s="99"/>
      <c r="P443" s="99"/>
      <c r="Q443" s="99"/>
      <c r="R443" s="99"/>
      <c r="S443" s="99"/>
      <c r="T443" s="99"/>
    </row>
    <row r="444">
      <c r="A444" s="78"/>
      <c r="B444" s="99"/>
      <c r="C444" s="85"/>
      <c r="D444" s="99"/>
      <c r="E444" s="99"/>
      <c r="F444" s="99"/>
      <c r="G444" s="99"/>
      <c r="H444" s="99"/>
      <c r="I444" s="99"/>
      <c r="J444" s="99"/>
      <c r="K444" s="99"/>
      <c r="L444" s="99"/>
      <c r="M444" s="99"/>
      <c r="N444" s="99"/>
      <c r="O444" s="99"/>
      <c r="P444" s="99"/>
      <c r="Q444" s="99"/>
      <c r="R444" s="99"/>
      <c r="S444" s="99"/>
      <c r="T444" s="99"/>
    </row>
    <row r="445">
      <c r="A445" s="78"/>
      <c r="B445" s="99"/>
      <c r="C445" s="85"/>
      <c r="D445" s="99"/>
      <c r="E445" s="99"/>
      <c r="F445" s="99"/>
      <c r="G445" s="99"/>
      <c r="H445" s="99"/>
      <c r="I445" s="99"/>
      <c r="J445" s="99"/>
      <c r="K445" s="99"/>
      <c r="L445" s="99"/>
      <c r="M445" s="99"/>
      <c r="N445" s="99"/>
      <c r="O445" s="99"/>
      <c r="P445" s="99"/>
      <c r="Q445" s="99"/>
      <c r="R445" s="99"/>
      <c r="S445" s="99"/>
      <c r="T445" s="99"/>
    </row>
    <row r="446">
      <c r="A446" s="78"/>
      <c r="B446" s="99"/>
      <c r="C446" s="85"/>
      <c r="D446" s="99"/>
      <c r="E446" s="99"/>
      <c r="F446" s="99"/>
      <c r="G446" s="99"/>
      <c r="H446" s="99"/>
      <c r="I446" s="99"/>
      <c r="J446" s="99"/>
      <c r="K446" s="99"/>
      <c r="L446" s="99"/>
      <c r="M446" s="99"/>
      <c r="N446" s="99"/>
      <c r="O446" s="99"/>
      <c r="P446" s="99"/>
      <c r="Q446" s="99"/>
      <c r="R446" s="99"/>
      <c r="S446" s="99"/>
      <c r="T446" s="99"/>
    </row>
    <row r="447">
      <c r="A447" s="78"/>
      <c r="B447" s="99"/>
      <c r="C447" s="85"/>
      <c r="D447" s="99"/>
      <c r="E447" s="99"/>
      <c r="F447" s="99"/>
      <c r="G447" s="99"/>
      <c r="H447" s="99"/>
      <c r="I447" s="99"/>
      <c r="J447" s="99"/>
      <c r="K447" s="99"/>
      <c r="L447" s="99"/>
      <c r="M447" s="99"/>
      <c r="N447" s="99"/>
      <c r="O447" s="99"/>
      <c r="P447" s="99"/>
      <c r="Q447" s="99"/>
      <c r="R447" s="99"/>
      <c r="S447" s="99"/>
      <c r="T447" s="99"/>
    </row>
    <row r="448">
      <c r="A448" s="78"/>
      <c r="B448" s="99"/>
      <c r="C448" s="85"/>
      <c r="D448" s="99"/>
      <c r="E448" s="99"/>
      <c r="F448" s="99"/>
      <c r="G448" s="99"/>
      <c r="H448" s="99"/>
      <c r="I448" s="99"/>
      <c r="J448" s="99"/>
      <c r="K448" s="99"/>
      <c r="L448" s="99"/>
      <c r="M448" s="99"/>
      <c r="N448" s="99"/>
      <c r="O448" s="99"/>
      <c r="P448" s="99"/>
      <c r="Q448" s="99"/>
      <c r="R448" s="99"/>
      <c r="S448" s="99"/>
      <c r="T448" s="99"/>
    </row>
    <row r="449">
      <c r="A449" s="78"/>
      <c r="B449" s="99"/>
      <c r="C449" s="85"/>
      <c r="D449" s="99"/>
      <c r="E449" s="99"/>
      <c r="F449" s="99"/>
      <c r="G449" s="99"/>
      <c r="H449" s="99"/>
      <c r="I449" s="99"/>
      <c r="J449" s="99"/>
      <c r="K449" s="99"/>
      <c r="L449" s="99"/>
      <c r="M449" s="99"/>
      <c r="N449" s="99"/>
      <c r="O449" s="99"/>
      <c r="P449" s="99"/>
      <c r="Q449" s="99"/>
      <c r="R449" s="99"/>
      <c r="S449" s="99"/>
      <c r="T449" s="99"/>
    </row>
    <row r="450">
      <c r="A450" s="78"/>
      <c r="B450" s="99"/>
      <c r="C450" s="85"/>
      <c r="D450" s="99"/>
      <c r="E450" s="99"/>
      <c r="F450" s="99"/>
      <c r="G450" s="99"/>
      <c r="H450" s="99"/>
      <c r="I450" s="99"/>
      <c r="J450" s="99"/>
      <c r="K450" s="99"/>
      <c r="L450" s="99"/>
      <c r="M450" s="99"/>
      <c r="N450" s="99"/>
      <c r="O450" s="99"/>
      <c r="P450" s="99"/>
      <c r="Q450" s="99"/>
      <c r="R450" s="99"/>
      <c r="S450" s="99"/>
      <c r="T450" s="99"/>
    </row>
    <row r="451">
      <c r="A451" s="78"/>
      <c r="B451" s="99"/>
      <c r="C451" s="85"/>
      <c r="D451" s="99"/>
      <c r="E451" s="99"/>
      <c r="F451" s="99"/>
      <c r="G451" s="99"/>
      <c r="H451" s="99"/>
      <c r="I451" s="99"/>
      <c r="J451" s="99"/>
      <c r="K451" s="99"/>
      <c r="L451" s="99"/>
      <c r="M451" s="99"/>
      <c r="N451" s="99"/>
      <c r="O451" s="99"/>
      <c r="P451" s="99"/>
      <c r="Q451" s="99"/>
      <c r="R451" s="99"/>
      <c r="S451" s="99"/>
      <c r="T451" s="99"/>
    </row>
    <row r="452">
      <c r="A452" s="78"/>
      <c r="B452" s="99"/>
      <c r="C452" s="85"/>
      <c r="D452" s="99"/>
      <c r="E452" s="99"/>
      <c r="F452" s="99"/>
      <c r="G452" s="99"/>
      <c r="H452" s="99"/>
      <c r="I452" s="99"/>
      <c r="J452" s="99"/>
      <c r="K452" s="99"/>
      <c r="L452" s="99"/>
      <c r="M452" s="99"/>
      <c r="N452" s="99"/>
      <c r="O452" s="99"/>
      <c r="P452" s="99"/>
      <c r="Q452" s="99"/>
      <c r="R452" s="99"/>
      <c r="S452" s="99"/>
      <c r="T452" s="99"/>
    </row>
    <row r="453">
      <c r="A453" s="78"/>
      <c r="B453" s="99"/>
      <c r="C453" s="85"/>
      <c r="D453" s="99"/>
      <c r="E453" s="99"/>
      <c r="F453" s="99"/>
      <c r="G453" s="99"/>
      <c r="H453" s="99"/>
      <c r="I453" s="99"/>
      <c r="J453" s="99"/>
      <c r="K453" s="99"/>
      <c r="L453" s="99"/>
      <c r="M453" s="99"/>
      <c r="N453" s="99"/>
      <c r="O453" s="99"/>
      <c r="P453" s="99"/>
      <c r="Q453" s="99"/>
      <c r="R453" s="99"/>
      <c r="S453" s="99"/>
      <c r="T453" s="99"/>
    </row>
    <row r="454">
      <c r="A454" s="78"/>
      <c r="B454" s="99"/>
      <c r="C454" s="85"/>
      <c r="D454" s="99"/>
      <c r="E454" s="99"/>
      <c r="F454" s="99"/>
      <c r="G454" s="99"/>
      <c r="H454" s="99"/>
      <c r="I454" s="99"/>
      <c r="J454" s="99"/>
      <c r="K454" s="99"/>
      <c r="L454" s="99"/>
      <c r="M454" s="99"/>
      <c r="N454" s="99"/>
      <c r="O454" s="99"/>
      <c r="P454" s="99"/>
      <c r="Q454" s="99"/>
      <c r="R454" s="99"/>
      <c r="S454" s="99"/>
      <c r="T454" s="99"/>
    </row>
    <row r="455">
      <c r="A455" s="78"/>
      <c r="B455" s="99"/>
      <c r="C455" s="85"/>
      <c r="D455" s="99"/>
      <c r="E455" s="99"/>
      <c r="F455" s="99"/>
      <c r="G455" s="99"/>
      <c r="H455" s="99"/>
      <c r="I455" s="99"/>
      <c r="J455" s="99"/>
      <c r="K455" s="99"/>
      <c r="L455" s="99"/>
      <c r="M455" s="99"/>
      <c r="N455" s="99"/>
      <c r="O455" s="99"/>
      <c r="P455" s="99"/>
      <c r="Q455" s="99"/>
      <c r="R455" s="99"/>
      <c r="S455" s="99"/>
      <c r="T455" s="99"/>
    </row>
    <row r="456">
      <c r="A456" s="78"/>
      <c r="B456" s="99"/>
      <c r="C456" s="85"/>
      <c r="D456" s="99"/>
      <c r="E456" s="99"/>
      <c r="F456" s="99"/>
      <c r="G456" s="99"/>
      <c r="H456" s="99"/>
      <c r="I456" s="99"/>
      <c r="J456" s="99"/>
      <c r="K456" s="99"/>
      <c r="L456" s="99"/>
      <c r="M456" s="99"/>
      <c r="N456" s="99"/>
      <c r="O456" s="99"/>
      <c r="P456" s="99"/>
      <c r="Q456" s="99"/>
      <c r="R456" s="99"/>
      <c r="S456" s="99"/>
      <c r="T456" s="99"/>
    </row>
    <row r="457">
      <c r="A457" s="78"/>
      <c r="B457" s="99"/>
      <c r="C457" s="85"/>
      <c r="D457" s="99"/>
      <c r="E457" s="99"/>
      <c r="F457" s="99"/>
      <c r="G457" s="99"/>
      <c r="H457" s="99"/>
      <c r="I457" s="99"/>
      <c r="J457" s="99"/>
      <c r="K457" s="99"/>
      <c r="L457" s="99"/>
      <c r="M457" s="99"/>
      <c r="N457" s="99"/>
      <c r="O457" s="99"/>
      <c r="P457" s="99"/>
      <c r="Q457" s="99"/>
      <c r="R457" s="99"/>
      <c r="S457" s="99"/>
      <c r="T457" s="99"/>
    </row>
    <row r="458">
      <c r="A458" s="78"/>
      <c r="B458" s="99"/>
      <c r="C458" s="85"/>
      <c r="D458" s="99"/>
      <c r="E458" s="99"/>
      <c r="F458" s="99"/>
      <c r="G458" s="99"/>
      <c r="H458" s="99"/>
      <c r="I458" s="99"/>
      <c r="J458" s="99"/>
      <c r="K458" s="99"/>
      <c r="L458" s="99"/>
      <c r="M458" s="99"/>
      <c r="N458" s="99"/>
      <c r="O458" s="99"/>
      <c r="P458" s="99"/>
      <c r="Q458" s="99"/>
      <c r="R458" s="99"/>
      <c r="S458" s="99"/>
      <c r="T458" s="99"/>
    </row>
    <row r="459">
      <c r="A459" s="78"/>
      <c r="B459" s="99"/>
      <c r="C459" s="85"/>
      <c r="D459" s="99"/>
      <c r="E459" s="99"/>
      <c r="F459" s="99"/>
      <c r="G459" s="99"/>
      <c r="H459" s="99"/>
      <c r="I459" s="99"/>
      <c r="J459" s="99"/>
      <c r="K459" s="99"/>
      <c r="L459" s="99"/>
      <c r="M459" s="99"/>
      <c r="N459" s="99"/>
      <c r="O459" s="99"/>
      <c r="P459" s="99"/>
      <c r="Q459" s="99"/>
      <c r="R459" s="99"/>
      <c r="S459" s="99"/>
      <c r="T459" s="99"/>
    </row>
    <row r="460">
      <c r="A460" s="78"/>
      <c r="B460" s="99"/>
      <c r="C460" s="85"/>
      <c r="D460" s="99"/>
      <c r="E460" s="99"/>
      <c r="F460" s="99"/>
      <c r="G460" s="99"/>
      <c r="H460" s="99"/>
      <c r="I460" s="99"/>
      <c r="J460" s="99"/>
      <c r="K460" s="99"/>
      <c r="L460" s="99"/>
      <c r="M460" s="99"/>
      <c r="N460" s="99"/>
      <c r="O460" s="99"/>
      <c r="P460" s="99"/>
      <c r="Q460" s="99"/>
      <c r="R460" s="99"/>
      <c r="S460" s="99"/>
      <c r="T460" s="99"/>
    </row>
    <row r="461">
      <c r="A461" s="78"/>
      <c r="B461" s="99"/>
      <c r="C461" s="85"/>
      <c r="D461" s="99"/>
      <c r="E461" s="99"/>
      <c r="F461" s="99"/>
      <c r="G461" s="99"/>
      <c r="H461" s="99"/>
      <c r="I461" s="99"/>
      <c r="J461" s="99"/>
      <c r="K461" s="99"/>
      <c r="L461" s="99"/>
      <c r="M461" s="99"/>
      <c r="N461" s="99"/>
      <c r="O461" s="99"/>
      <c r="P461" s="99"/>
      <c r="Q461" s="99"/>
      <c r="R461" s="99"/>
      <c r="S461" s="99"/>
      <c r="T461" s="99"/>
    </row>
    <row r="462">
      <c r="A462" s="78"/>
      <c r="B462" s="99"/>
      <c r="C462" s="85"/>
      <c r="D462" s="99"/>
      <c r="E462" s="99"/>
      <c r="F462" s="99"/>
      <c r="G462" s="99"/>
      <c r="H462" s="99"/>
      <c r="I462" s="99"/>
      <c r="J462" s="99"/>
      <c r="K462" s="99"/>
      <c r="L462" s="99"/>
      <c r="M462" s="99"/>
      <c r="N462" s="99"/>
      <c r="O462" s="99"/>
      <c r="P462" s="99"/>
      <c r="Q462" s="99"/>
      <c r="R462" s="99"/>
      <c r="S462" s="99"/>
      <c r="T462" s="99"/>
    </row>
    <row r="463">
      <c r="A463" s="78"/>
      <c r="B463" s="99"/>
      <c r="C463" s="85"/>
      <c r="D463" s="99"/>
      <c r="E463" s="99"/>
      <c r="F463" s="99"/>
      <c r="G463" s="99"/>
      <c r="H463" s="99"/>
      <c r="I463" s="99"/>
      <c r="J463" s="99"/>
      <c r="K463" s="99"/>
      <c r="L463" s="99"/>
      <c r="M463" s="99"/>
      <c r="N463" s="99"/>
      <c r="O463" s="99"/>
      <c r="P463" s="99"/>
      <c r="Q463" s="99"/>
      <c r="R463" s="99"/>
      <c r="S463" s="99"/>
      <c r="T463" s="99"/>
    </row>
    <row r="464">
      <c r="A464" s="78"/>
      <c r="B464" s="99"/>
      <c r="C464" s="85"/>
      <c r="D464" s="99"/>
      <c r="E464" s="99"/>
      <c r="F464" s="99"/>
      <c r="G464" s="99"/>
      <c r="H464" s="99"/>
      <c r="I464" s="99"/>
      <c r="J464" s="99"/>
      <c r="K464" s="99"/>
      <c r="L464" s="99"/>
      <c r="M464" s="99"/>
      <c r="N464" s="99"/>
      <c r="O464" s="99"/>
      <c r="P464" s="99"/>
      <c r="Q464" s="99"/>
      <c r="R464" s="99"/>
      <c r="S464" s="99"/>
      <c r="T464" s="99"/>
    </row>
    <row r="465">
      <c r="A465" s="78"/>
      <c r="B465" s="99"/>
      <c r="C465" s="85"/>
      <c r="D465" s="99"/>
      <c r="E465" s="99"/>
      <c r="F465" s="99"/>
      <c r="G465" s="99"/>
      <c r="H465" s="99"/>
      <c r="I465" s="99"/>
      <c r="J465" s="99"/>
      <c r="K465" s="99"/>
      <c r="L465" s="99"/>
      <c r="M465" s="99"/>
      <c r="N465" s="99"/>
      <c r="O465" s="99"/>
      <c r="P465" s="99"/>
      <c r="Q465" s="99"/>
      <c r="R465" s="99"/>
      <c r="S465" s="99"/>
      <c r="T465" s="99"/>
    </row>
    <row r="466">
      <c r="A466" s="78"/>
      <c r="B466" s="99"/>
      <c r="C466" s="85"/>
      <c r="D466" s="99"/>
      <c r="E466" s="99"/>
      <c r="F466" s="99"/>
      <c r="G466" s="99"/>
      <c r="H466" s="99"/>
      <c r="I466" s="99"/>
      <c r="J466" s="99"/>
      <c r="K466" s="99"/>
      <c r="L466" s="99"/>
      <c r="M466" s="99"/>
      <c r="N466" s="99"/>
      <c r="O466" s="99"/>
      <c r="P466" s="99"/>
      <c r="Q466" s="99"/>
      <c r="R466" s="99"/>
      <c r="S466" s="99"/>
      <c r="T466" s="99"/>
    </row>
    <row r="467">
      <c r="A467" s="78"/>
      <c r="B467" s="99"/>
      <c r="C467" s="85"/>
      <c r="D467" s="99"/>
      <c r="E467" s="99"/>
      <c r="F467" s="99"/>
      <c r="G467" s="99"/>
      <c r="H467" s="99"/>
      <c r="I467" s="99"/>
      <c r="J467" s="99"/>
      <c r="K467" s="99"/>
      <c r="L467" s="99"/>
      <c r="M467" s="99"/>
      <c r="N467" s="99"/>
      <c r="O467" s="99"/>
      <c r="P467" s="99"/>
      <c r="Q467" s="99"/>
      <c r="R467" s="99"/>
      <c r="S467" s="99"/>
      <c r="T467" s="99"/>
    </row>
    <row r="468">
      <c r="A468" s="78"/>
      <c r="B468" s="99"/>
      <c r="C468" s="85"/>
      <c r="D468" s="99"/>
      <c r="E468" s="99"/>
      <c r="F468" s="99"/>
      <c r="G468" s="99"/>
      <c r="H468" s="99"/>
      <c r="I468" s="99"/>
      <c r="J468" s="99"/>
      <c r="K468" s="99"/>
      <c r="L468" s="99"/>
      <c r="M468" s="99"/>
      <c r="N468" s="99"/>
      <c r="O468" s="99"/>
      <c r="P468" s="99"/>
      <c r="Q468" s="99"/>
      <c r="R468" s="99"/>
      <c r="S468" s="99"/>
      <c r="T468" s="99"/>
    </row>
    <row r="469">
      <c r="A469" s="78"/>
      <c r="B469" s="99"/>
      <c r="C469" s="85"/>
      <c r="D469" s="99"/>
      <c r="E469" s="99"/>
      <c r="F469" s="99"/>
      <c r="G469" s="99"/>
      <c r="H469" s="99"/>
      <c r="I469" s="99"/>
      <c r="J469" s="99"/>
      <c r="K469" s="99"/>
      <c r="L469" s="99"/>
      <c r="M469" s="99"/>
      <c r="N469" s="99"/>
      <c r="O469" s="99"/>
      <c r="P469" s="99"/>
      <c r="Q469" s="99"/>
      <c r="R469" s="99"/>
      <c r="S469" s="99"/>
      <c r="T469" s="99"/>
    </row>
    <row r="470">
      <c r="A470" s="78"/>
      <c r="B470" s="99"/>
      <c r="C470" s="85"/>
      <c r="D470" s="99"/>
      <c r="E470" s="99"/>
      <c r="F470" s="99"/>
      <c r="G470" s="99"/>
      <c r="H470" s="99"/>
      <c r="I470" s="99"/>
      <c r="J470" s="99"/>
      <c r="K470" s="99"/>
      <c r="L470" s="99"/>
      <c r="M470" s="99"/>
      <c r="N470" s="99"/>
      <c r="O470" s="99"/>
      <c r="P470" s="99"/>
      <c r="Q470" s="99"/>
      <c r="R470" s="99"/>
      <c r="S470" s="99"/>
      <c r="T470" s="99"/>
    </row>
    <row r="471">
      <c r="A471" s="78"/>
      <c r="B471" s="99"/>
      <c r="C471" s="85"/>
      <c r="D471" s="99"/>
      <c r="E471" s="99"/>
      <c r="F471" s="99"/>
      <c r="G471" s="99"/>
      <c r="H471" s="99"/>
      <c r="I471" s="99"/>
      <c r="J471" s="99"/>
      <c r="K471" s="99"/>
      <c r="L471" s="99"/>
      <c r="M471" s="99"/>
      <c r="N471" s="99"/>
      <c r="O471" s="99"/>
      <c r="P471" s="99"/>
      <c r="Q471" s="99"/>
      <c r="R471" s="99"/>
      <c r="S471" s="99"/>
      <c r="T471" s="99"/>
    </row>
    <row r="472">
      <c r="A472" s="78"/>
      <c r="B472" s="99"/>
      <c r="C472" s="85"/>
      <c r="D472" s="99"/>
      <c r="E472" s="99"/>
      <c r="F472" s="99"/>
      <c r="G472" s="99"/>
      <c r="H472" s="99"/>
      <c r="I472" s="99"/>
      <c r="J472" s="99"/>
      <c r="K472" s="99"/>
      <c r="L472" s="99"/>
      <c r="M472" s="99"/>
      <c r="N472" s="99"/>
      <c r="O472" s="99"/>
      <c r="P472" s="99"/>
      <c r="Q472" s="99"/>
      <c r="R472" s="99"/>
      <c r="S472" s="99"/>
      <c r="T472" s="99"/>
    </row>
    <row r="473">
      <c r="A473" s="78"/>
      <c r="B473" s="99"/>
      <c r="C473" s="85"/>
      <c r="D473" s="99"/>
      <c r="E473" s="99"/>
      <c r="F473" s="99"/>
      <c r="G473" s="99"/>
      <c r="H473" s="99"/>
      <c r="I473" s="99"/>
      <c r="J473" s="99"/>
      <c r="K473" s="99"/>
      <c r="L473" s="99"/>
      <c r="M473" s="99"/>
      <c r="N473" s="99"/>
      <c r="O473" s="99"/>
      <c r="P473" s="99"/>
      <c r="Q473" s="99"/>
      <c r="R473" s="99"/>
      <c r="S473" s="99"/>
      <c r="T473" s="99"/>
    </row>
    <row r="474">
      <c r="A474" s="78"/>
      <c r="B474" s="99"/>
      <c r="C474" s="85"/>
      <c r="D474" s="99"/>
      <c r="E474" s="99"/>
      <c r="F474" s="99"/>
      <c r="G474" s="99"/>
      <c r="H474" s="99"/>
      <c r="I474" s="99"/>
      <c r="J474" s="99"/>
      <c r="K474" s="99"/>
      <c r="L474" s="99"/>
      <c r="M474" s="99"/>
      <c r="N474" s="99"/>
      <c r="O474" s="99"/>
      <c r="P474" s="99"/>
      <c r="Q474" s="99"/>
      <c r="R474" s="99"/>
      <c r="S474" s="99"/>
      <c r="T474" s="99"/>
    </row>
    <row r="475">
      <c r="A475" s="78"/>
      <c r="B475" s="99"/>
      <c r="C475" s="85"/>
      <c r="D475" s="99"/>
      <c r="E475" s="99"/>
      <c r="F475" s="99"/>
      <c r="G475" s="99"/>
      <c r="H475" s="99"/>
      <c r="I475" s="99"/>
      <c r="J475" s="99"/>
      <c r="K475" s="99"/>
      <c r="L475" s="99"/>
      <c r="M475" s="99"/>
      <c r="N475" s="99"/>
      <c r="O475" s="99"/>
      <c r="P475" s="99"/>
      <c r="Q475" s="99"/>
      <c r="R475" s="99"/>
      <c r="S475" s="99"/>
      <c r="T475" s="99"/>
    </row>
    <row r="476">
      <c r="A476" s="78"/>
      <c r="B476" s="99"/>
      <c r="C476" s="85"/>
      <c r="D476" s="99"/>
      <c r="E476" s="99"/>
      <c r="F476" s="99"/>
      <c r="G476" s="99"/>
      <c r="H476" s="99"/>
      <c r="I476" s="99"/>
      <c r="J476" s="99"/>
      <c r="K476" s="99"/>
      <c r="L476" s="99"/>
      <c r="M476" s="99"/>
      <c r="N476" s="99"/>
      <c r="O476" s="99"/>
      <c r="P476" s="99"/>
      <c r="Q476" s="99"/>
      <c r="R476" s="99"/>
      <c r="S476" s="99"/>
      <c r="T476" s="99"/>
    </row>
    <row r="477">
      <c r="A477" s="78"/>
      <c r="B477" s="99"/>
      <c r="C477" s="85"/>
      <c r="D477" s="99"/>
      <c r="E477" s="99"/>
      <c r="F477" s="99"/>
      <c r="G477" s="99"/>
      <c r="H477" s="99"/>
      <c r="I477" s="99"/>
      <c r="J477" s="99"/>
      <c r="K477" s="99"/>
      <c r="L477" s="99"/>
      <c r="M477" s="99"/>
      <c r="N477" s="99"/>
      <c r="O477" s="99"/>
      <c r="P477" s="99"/>
      <c r="Q477" s="99"/>
      <c r="R477" s="99"/>
      <c r="S477" s="99"/>
      <c r="T477" s="99"/>
    </row>
    <row r="478">
      <c r="A478" s="78"/>
      <c r="B478" s="99"/>
      <c r="C478" s="85"/>
      <c r="D478" s="99"/>
      <c r="E478" s="99"/>
      <c r="F478" s="99"/>
      <c r="G478" s="99"/>
      <c r="H478" s="99"/>
      <c r="I478" s="99"/>
      <c r="J478" s="99"/>
      <c r="K478" s="99"/>
      <c r="L478" s="99"/>
      <c r="M478" s="99"/>
      <c r="N478" s="99"/>
      <c r="O478" s="99"/>
      <c r="P478" s="99"/>
      <c r="Q478" s="99"/>
      <c r="R478" s="99"/>
      <c r="S478" s="99"/>
      <c r="T478" s="99"/>
    </row>
    <row r="479">
      <c r="A479" s="78"/>
      <c r="B479" s="99"/>
      <c r="C479" s="85"/>
      <c r="D479" s="99"/>
      <c r="E479" s="99"/>
      <c r="F479" s="99"/>
      <c r="G479" s="99"/>
      <c r="H479" s="99"/>
      <c r="I479" s="99"/>
      <c r="J479" s="99"/>
      <c r="K479" s="99"/>
      <c r="L479" s="99"/>
      <c r="M479" s="99"/>
      <c r="N479" s="99"/>
      <c r="O479" s="99"/>
      <c r="P479" s="99"/>
      <c r="Q479" s="99"/>
      <c r="R479" s="99"/>
      <c r="S479" s="99"/>
      <c r="T479" s="99"/>
    </row>
    <row r="480">
      <c r="A480" s="78"/>
      <c r="B480" s="99"/>
      <c r="C480" s="85"/>
      <c r="D480" s="99"/>
      <c r="E480" s="99"/>
      <c r="F480" s="99"/>
      <c r="G480" s="99"/>
      <c r="H480" s="99"/>
      <c r="I480" s="99"/>
      <c r="J480" s="99"/>
      <c r="K480" s="99"/>
      <c r="L480" s="99"/>
      <c r="M480" s="99"/>
      <c r="N480" s="99"/>
      <c r="O480" s="99"/>
      <c r="P480" s="99"/>
      <c r="Q480" s="99"/>
      <c r="R480" s="99"/>
      <c r="S480" s="99"/>
      <c r="T480" s="99"/>
    </row>
    <row r="481">
      <c r="A481" s="78"/>
      <c r="B481" s="99"/>
      <c r="C481" s="85"/>
      <c r="D481" s="99"/>
      <c r="E481" s="99"/>
      <c r="F481" s="99"/>
      <c r="G481" s="99"/>
      <c r="H481" s="99"/>
      <c r="I481" s="99"/>
      <c r="J481" s="99"/>
      <c r="K481" s="99"/>
      <c r="L481" s="99"/>
      <c r="M481" s="99"/>
      <c r="N481" s="99"/>
      <c r="O481" s="99"/>
      <c r="P481" s="99"/>
      <c r="Q481" s="99"/>
      <c r="R481" s="99"/>
      <c r="S481" s="99"/>
      <c r="T481" s="99"/>
    </row>
    <row r="482">
      <c r="A482" s="78"/>
      <c r="B482" s="99"/>
      <c r="C482" s="85"/>
      <c r="D482" s="99"/>
      <c r="E482" s="99"/>
      <c r="F482" s="99"/>
      <c r="G482" s="99"/>
      <c r="H482" s="99"/>
      <c r="I482" s="99"/>
      <c r="J482" s="99"/>
      <c r="K482" s="99"/>
      <c r="L482" s="99"/>
      <c r="M482" s="99"/>
      <c r="N482" s="99"/>
      <c r="O482" s="99"/>
      <c r="P482" s="99"/>
      <c r="Q482" s="99"/>
      <c r="R482" s="99"/>
      <c r="S482" s="99"/>
      <c r="T482" s="99"/>
    </row>
    <row r="483">
      <c r="A483" s="78"/>
      <c r="B483" s="99"/>
      <c r="C483" s="85"/>
      <c r="D483" s="99"/>
      <c r="E483" s="99"/>
      <c r="F483" s="99"/>
      <c r="G483" s="99"/>
      <c r="H483" s="99"/>
      <c r="I483" s="99"/>
      <c r="J483" s="99"/>
      <c r="K483" s="99"/>
      <c r="L483" s="99"/>
      <c r="M483" s="99"/>
      <c r="N483" s="99"/>
      <c r="O483" s="99"/>
      <c r="P483" s="99"/>
      <c r="Q483" s="99"/>
      <c r="R483" s="99"/>
      <c r="S483" s="99"/>
      <c r="T483" s="99"/>
    </row>
    <row r="484">
      <c r="A484" s="78"/>
      <c r="B484" s="99"/>
      <c r="C484" s="85"/>
      <c r="D484" s="99"/>
      <c r="E484" s="99"/>
      <c r="F484" s="99"/>
      <c r="G484" s="99"/>
      <c r="H484" s="99"/>
      <c r="I484" s="99"/>
      <c r="J484" s="99"/>
      <c r="K484" s="99"/>
      <c r="L484" s="99"/>
      <c r="M484" s="99"/>
      <c r="N484" s="99"/>
      <c r="O484" s="99"/>
      <c r="P484" s="99"/>
      <c r="Q484" s="99"/>
      <c r="R484" s="99"/>
      <c r="S484" s="99"/>
      <c r="T484" s="99"/>
    </row>
    <row r="485">
      <c r="A485" s="78"/>
      <c r="B485" s="99"/>
      <c r="C485" s="85"/>
      <c r="D485" s="99"/>
      <c r="E485" s="99"/>
      <c r="F485" s="99"/>
      <c r="G485" s="99"/>
      <c r="H485" s="99"/>
      <c r="I485" s="99"/>
      <c r="J485" s="99"/>
      <c r="K485" s="99"/>
      <c r="L485" s="99"/>
      <c r="M485" s="99"/>
      <c r="N485" s="99"/>
      <c r="O485" s="99"/>
      <c r="P485" s="99"/>
      <c r="Q485" s="99"/>
      <c r="R485" s="99"/>
      <c r="S485" s="99"/>
      <c r="T485" s="99"/>
    </row>
    <row r="486">
      <c r="A486" s="78"/>
      <c r="B486" s="99"/>
      <c r="C486" s="85"/>
      <c r="D486" s="99"/>
      <c r="E486" s="99"/>
      <c r="F486" s="99"/>
      <c r="G486" s="99"/>
      <c r="H486" s="99"/>
      <c r="I486" s="99"/>
      <c r="J486" s="99"/>
      <c r="K486" s="99"/>
      <c r="L486" s="99"/>
      <c r="M486" s="99"/>
      <c r="N486" s="99"/>
      <c r="O486" s="99"/>
      <c r="P486" s="99"/>
      <c r="Q486" s="99"/>
      <c r="R486" s="99"/>
      <c r="S486" s="99"/>
      <c r="T486" s="99"/>
    </row>
    <row r="487">
      <c r="A487" s="78"/>
      <c r="B487" s="99"/>
      <c r="C487" s="85"/>
      <c r="D487" s="99"/>
      <c r="E487" s="99"/>
      <c r="F487" s="99"/>
      <c r="G487" s="99"/>
      <c r="H487" s="99"/>
      <c r="I487" s="99"/>
      <c r="J487" s="99"/>
      <c r="K487" s="99"/>
      <c r="L487" s="99"/>
      <c r="M487" s="99"/>
      <c r="N487" s="99"/>
      <c r="O487" s="99"/>
      <c r="P487" s="99"/>
      <c r="Q487" s="99"/>
      <c r="R487" s="99"/>
      <c r="S487" s="99"/>
      <c r="T487" s="99"/>
    </row>
    <row r="488">
      <c r="A488" s="78"/>
      <c r="B488" s="99"/>
      <c r="C488" s="85"/>
      <c r="D488" s="99"/>
      <c r="E488" s="99"/>
      <c r="F488" s="99"/>
      <c r="G488" s="99"/>
      <c r="H488" s="99"/>
      <c r="I488" s="99"/>
      <c r="J488" s="99"/>
      <c r="K488" s="99"/>
      <c r="L488" s="99"/>
      <c r="M488" s="99"/>
      <c r="N488" s="99"/>
      <c r="O488" s="99"/>
      <c r="P488" s="99"/>
      <c r="Q488" s="99"/>
      <c r="R488" s="99"/>
      <c r="S488" s="99"/>
      <c r="T488" s="99"/>
    </row>
    <row r="489">
      <c r="A489" s="78"/>
      <c r="B489" s="99"/>
      <c r="C489" s="85"/>
      <c r="D489" s="99"/>
      <c r="E489" s="99"/>
      <c r="F489" s="99"/>
      <c r="G489" s="99"/>
      <c r="H489" s="99"/>
      <c r="I489" s="99"/>
      <c r="J489" s="99"/>
      <c r="K489" s="99"/>
      <c r="L489" s="99"/>
      <c r="M489" s="99"/>
      <c r="N489" s="99"/>
      <c r="O489" s="99"/>
      <c r="P489" s="99"/>
      <c r="Q489" s="99"/>
      <c r="R489" s="99"/>
      <c r="S489" s="99"/>
      <c r="T489" s="99"/>
    </row>
    <row r="490">
      <c r="A490" s="78"/>
      <c r="B490" s="99"/>
      <c r="C490" s="85"/>
      <c r="D490" s="99"/>
      <c r="E490" s="99"/>
      <c r="F490" s="99"/>
      <c r="G490" s="99"/>
      <c r="H490" s="99"/>
      <c r="I490" s="99"/>
      <c r="J490" s="99"/>
      <c r="K490" s="99"/>
      <c r="L490" s="99"/>
      <c r="M490" s="99"/>
      <c r="N490" s="99"/>
      <c r="O490" s="99"/>
      <c r="P490" s="99"/>
      <c r="Q490" s="99"/>
      <c r="R490" s="99"/>
      <c r="S490" s="99"/>
      <c r="T490" s="99"/>
    </row>
    <row r="491">
      <c r="A491" s="78"/>
      <c r="B491" s="99"/>
      <c r="C491" s="85"/>
      <c r="D491" s="99"/>
      <c r="E491" s="99"/>
      <c r="F491" s="99"/>
      <c r="G491" s="99"/>
      <c r="H491" s="99"/>
      <c r="I491" s="99"/>
      <c r="J491" s="99"/>
      <c r="K491" s="99"/>
      <c r="L491" s="99"/>
      <c r="M491" s="99"/>
      <c r="N491" s="99"/>
      <c r="O491" s="99"/>
      <c r="P491" s="99"/>
      <c r="Q491" s="99"/>
      <c r="R491" s="99"/>
      <c r="S491" s="99"/>
      <c r="T491" s="99"/>
    </row>
    <row r="492">
      <c r="A492" s="78"/>
      <c r="B492" s="99"/>
      <c r="C492" s="85"/>
      <c r="D492" s="99"/>
      <c r="E492" s="99"/>
      <c r="F492" s="99"/>
      <c r="G492" s="99"/>
      <c r="H492" s="99"/>
      <c r="I492" s="99"/>
      <c r="J492" s="99"/>
      <c r="K492" s="99"/>
      <c r="L492" s="99"/>
      <c r="M492" s="99"/>
      <c r="N492" s="99"/>
      <c r="O492" s="99"/>
      <c r="P492" s="99"/>
      <c r="Q492" s="99"/>
      <c r="R492" s="99"/>
      <c r="S492" s="99"/>
      <c r="T492" s="99"/>
    </row>
    <row r="493">
      <c r="A493" s="78"/>
      <c r="B493" s="99"/>
      <c r="C493" s="85"/>
      <c r="D493" s="99"/>
      <c r="E493" s="99"/>
      <c r="F493" s="99"/>
      <c r="G493" s="99"/>
      <c r="H493" s="99"/>
      <c r="I493" s="99"/>
      <c r="J493" s="99"/>
      <c r="K493" s="99"/>
      <c r="L493" s="99"/>
      <c r="M493" s="99"/>
      <c r="N493" s="99"/>
      <c r="O493" s="99"/>
      <c r="P493" s="99"/>
      <c r="Q493" s="99"/>
      <c r="R493" s="99"/>
      <c r="S493" s="99"/>
      <c r="T493" s="99"/>
    </row>
    <row r="494">
      <c r="A494" s="78"/>
      <c r="B494" s="99"/>
      <c r="C494" s="85"/>
      <c r="D494" s="99"/>
      <c r="E494" s="99"/>
      <c r="F494" s="99"/>
      <c r="G494" s="99"/>
      <c r="H494" s="99"/>
      <c r="I494" s="99"/>
      <c r="J494" s="99"/>
      <c r="K494" s="99"/>
      <c r="L494" s="99"/>
      <c r="M494" s="99"/>
      <c r="N494" s="99"/>
      <c r="O494" s="99"/>
      <c r="P494" s="99"/>
      <c r="Q494" s="99"/>
      <c r="R494" s="99"/>
      <c r="S494" s="99"/>
      <c r="T494" s="99"/>
    </row>
    <row r="495">
      <c r="A495" s="78"/>
      <c r="B495" s="99"/>
      <c r="C495" s="85"/>
      <c r="D495" s="99"/>
      <c r="E495" s="99"/>
      <c r="F495" s="99"/>
      <c r="G495" s="99"/>
      <c r="H495" s="99"/>
      <c r="I495" s="99"/>
      <c r="J495" s="99"/>
      <c r="K495" s="99"/>
      <c r="L495" s="99"/>
      <c r="M495" s="99"/>
      <c r="N495" s="99"/>
      <c r="O495" s="99"/>
      <c r="P495" s="99"/>
      <c r="Q495" s="99"/>
      <c r="R495" s="99"/>
      <c r="S495" s="99"/>
      <c r="T495" s="99"/>
    </row>
    <row r="496">
      <c r="A496" s="78"/>
      <c r="B496" s="99"/>
      <c r="C496" s="85"/>
      <c r="D496" s="99"/>
      <c r="E496" s="99"/>
      <c r="F496" s="99"/>
      <c r="G496" s="99"/>
      <c r="H496" s="99"/>
      <c r="I496" s="99"/>
      <c r="J496" s="99"/>
      <c r="K496" s="99"/>
      <c r="L496" s="99"/>
      <c r="M496" s="99"/>
      <c r="N496" s="99"/>
      <c r="O496" s="99"/>
      <c r="P496" s="99"/>
      <c r="Q496" s="99"/>
      <c r="R496" s="99"/>
      <c r="S496" s="99"/>
      <c r="T496" s="99"/>
    </row>
    <row r="497">
      <c r="A497" s="78"/>
      <c r="B497" s="99"/>
      <c r="C497" s="85"/>
      <c r="D497" s="99"/>
      <c r="E497" s="99"/>
      <c r="F497" s="99"/>
      <c r="G497" s="99"/>
      <c r="H497" s="99"/>
      <c r="I497" s="99"/>
      <c r="J497" s="99"/>
      <c r="K497" s="99"/>
      <c r="L497" s="99"/>
      <c r="M497" s="99"/>
      <c r="N497" s="99"/>
      <c r="O497" s="99"/>
      <c r="P497" s="99"/>
      <c r="Q497" s="99"/>
      <c r="R497" s="99"/>
      <c r="S497" s="99"/>
      <c r="T497" s="99"/>
    </row>
    <row r="498">
      <c r="A498" s="78"/>
      <c r="B498" s="99"/>
      <c r="C498" s="85"/>
      <c r="D498" s="99"/>
      <c r="E498" s="99"/>
      <c r="F498" s="99"/>
      <c r="G498" s="99"/>
      <c r="H498" s="99"/>
      <c r="I498" s="99"/>
      <c r="J498" s="99"/>
      <c r="K498" s="99"/>
      <c r="L498" s="99"/>
      <c r="M498" s="99"/>
      <c r="N498" s="99"/>
      <c r="O498" s="99"/>
      <c r="P498" s="99"/>
      <c r="Q498" s="99"/>
      <c r="R498" s="99"/>
      <c r="S498" s="99"/>
      <c r="T498" s="99"/>
    </row>
    <row r="499">
      <c r="A499" s="78"/>
      <c r="B499" s="99"/>
      <c r="C499" s="85"/>
      <c r="D499" s="99"/>
      <c r="E499" s="99"/>
      <c r="F499" s="99"/>
      <c r="G499" s="99"/>
      <c r="H499" s="99"/>
      <c r="I499" s="99"/>
      <c r="J499" s="99"/>
      <c r="K499" s="99"/>
      <c r="L499" s="99"/>
      <c r="M499" s="99"/>
      <c r="N499" s="99"/>
      <c r="O499" s="99"/>
      <c r="P499" s="99"/>
      <c r="Q499" s="99"/>
      <c r="R499" s="99"/>
      <c r="S499" s="99"/>
      <c r="T499" s="99"/>
    </row>
    <row r="500">
      <c r="A500" s="78"/>
      <c r="B500" s="99"/>
      <c r="C500" s="85"/>
      <c r="D500" s="99"/>
      <c r="E500" s="99"/>
      <c r="F500" s="99"/>
      <c r="G500" s="99"/>
      <c r="H500" s="99"/>
      <c r="I500" s="99"/>
      <c r="J500" s="99"/>
      <c r="K500" s="99"/>
      <c r="L500" s="99"/>
      <c r="M500" s="99"/>
      <c r="N500" s="99"/>
      <c r="O500" s="99"/>
      <c r="P500" s="99"/>
      <c r="Q500" s="99"/>
      <c r="R500" s="99"/>
      <c r="S500" s="99"/>
      <c r="T500" s="99"/>
    </row>
    <row r="501">
      <c r="A501" s="78"/>
      <c r="B501" s="99"/>
      <c r="C501" s="85"/>
      <c r="D501" s="99"/>
      <c r="E501" s="99"/>
      <c r="F501" s="99"/>
      <c r="G501" s="99"/>
      <c r="H501" s="99"/>
      <c r="I501" s="99"/>
      <c r="J501" s="99"/>
      <c r="K501" s="99"/>
      <c r="L501" s="99"/>
      <c r="M501" s="99"/>
      <c r="N501" s="99"/>
      <c r="O501" s="99"/>
      <c r="P501" s="99"/>
      <c r="Q501" s="99"/>
      <c r="R501" s="99"/>
      <c r="S501" s="99"/>
      <c r="T501" s="99"/>
    </row>
    <row r="502">
      <c r="A502" s="78"/>
      <c r="B502" s="99"/>
      <c r="C502" s="85"/>
      <c r="D502" s="99"/>
      <c r="E502" s="99"/>
      <c r="F502" s="99"/>
      <c r="G502" s="99"/>
      <c r="H502" s="99"/>
      <c r="I502" s="99"/>
      <c r="J502" s="99"/>
      <c r="K502" s="99"/>
      <c r="L502" s="99"/>
      <c r="M502" s="99"/>
      <c r="N502" s="99"/>
      <c r="O502" s="99"/>
      <c r="P502" s="99"/>
      <c r="Q502" s="99"/>
      <c r="R502" s="99"/>
      <c r="S502" s="99"/>
      <c r="T502" s="99"/>
    </row>
    <row r="503">
      <c r="A503" s="78"/>
      <c r="B503" s="99"/>
      <c r="C503" s="85"/>
      <c r="D503" s="99"/>
      <c r="E503" s="99"/>
      <c r="F503" s="99"/>
      <c r="G503" s="99"/>
      <c r="H503" s="99"/>
      <c r="I503" s="99"/>
      <c r="J503" s="99"/>
      <c r="K503" s="99"/>
      <c r="L503" s="99"/>
      <c r="M503" s="99"/>
      <c r="N503" s="99"/>
      <c r="O503" s="99"/>
      <c r="P503" s="99"/>
      <c r="Q503" s="99"/>
      <c r="R503" s="99"/>
      <c r="S503" s="99"/>
      <c r="T503" s="99"/>
    </row>
    <row r="504">
      <c r="A504" s="78"/>
      <c r="B504" s="99"/>
      <c r="C504" s="85"/>
      <c r="D504" s="99"/>
      <c r="E504" s="99"/>
      <c r="F504" s="99"/>
      <c r="G504" s="99"/>
      <c r="H504" s="99"/>
      <c r="I504" s="99"/>
      <c r="J504" s="99"/>
      <c r="K504" s="99"/>
      <c r="L504" s="99"/>
      <c r="M504" s="99"/>
      <c r="N504" s="99"/>
      <c r="O504" s="99"/>
      <c r="P504" s="99"/>
      <c r="Q504" s="99"/>
      <c r="R504" s="99"/>
      <c r="S504" s="99"/>
      <c r="T504" s="99"/>
    </row>
    <row r="505">
      <c r="A505" s="78"/>
      <c r="B505" s="99"/>
      <c r="C505" s="85"/>
      <c r="D505" s="99"/>
      <c r="E505" s="99"/>
      <c r="F505" s="99"/>
      <c r="G505" s="99"/>
      <c r="H505" s="99"/>
      <c r="I505" s="99"/>
      <c r="J505" s="99"/>
      <c r="K505" s="99"/>
      <c r="L505" s="99"/>
      <c r="M505" s="99"/>
      <c r="N505" s="99"/>
      <c r="O505" s="99"/>
      <c r="P505" s="99"/>
      <c r="Q505" s="99"/>
      <c r="R505" s="99"/>
      <c r="S505" s="99"/>
      <c r="T505" s="99"/>
    </row>
    <row r="506">
      <c r="A506" s="78"/>
      <c r="B506" s="99"/>
      <c r="C506" s="85"/>
      <c r="D506" s="99"/>
      <c r="E506" s="99"/>
      <c r="F506" s="99"/>
      <c r="G506" s="99"/>
      <c r="H506" s="99"/>
      <c r="I506" s="99"/>
      <c r="J506" s="99"/>
      <c r="K506" s="99"/>
      <c r="L506" s="99"/>
      <c r="M506" s="99"/>
      <c r="N506" s="99"/>
      <c r="O506" s="99"/>
      <c r="P506" s="99"/>
      <c r="Q506" s="99"/>
      <c r="R506" s="99"/>
      <c r="S506" s="99"/>
      <c r="T506" s="99"/>
    </row>
    <row r="507">
      <c r="A507" s="78"/>
      <c r="B507" s="99"/>
      <c r="C507" s="85"/>
      <c r="D507" s="99"/>
      <c r="E507" s="99"/>
      <c r="F507" s="99"/>
      <c r="G507" s="99"/>
      <c r="H507" s="99"/>
      <c r="I507" s="99"/>
      <c r="J507" s="99"/>
      <c r="K507" s="99"/>
      <c r="L507" s="99"/>
      <c r="M507" s="99"/>
      <c r="N507" s="99"/>
      <c r="O507" s="99"/>
      <c r="P507" s="99"/>
      <c r="Q507" s="99"/>
      <c r="R507" s="99"/>
      <c r="S507" s="99"/>
      <c r="T507" s="99"/>
    </row>
    <row r="508">
      <c r="A508" s="78"/>
      <c r="B508" s="99"/>
      <c r="C508" s="85"/>
      <c r="D508" s="99"/>
      <c r="E508" s="99"/>
      <c r="F508" s="99"/>
      <c r="G508" s="99"/>
      <c r="H508" s="99"/>
      <c r="I508" s="99"/>
      <c r="J508" s="99"/>
      <c r="K508" s="99"/>
      <c r="L508" s="99"/>
      <c r="M508" s="99"/>
      <c r="N508" s="99"/>
      <c r="O508" s="99"/>
      <c r="P508" s="99"/>
      <c r="Q508" s="99"/>
      <c r="R508" s="99"/>
      <c r="S508" s="99"/>
      <c r="T508" s="99"/>
    </row>
    <row r="509">
      <c r="A509" s="78"/>
      <c r="B509" s="99"/>
      <c r="C509" s="85"/>
      <c r="D509" s="99"/>
      <c r="E509" s="99"/>
      <c r="F509" s="99"/>
      <c r="G509" s="99"/>
      <c r="H509" s="99"/>
      <c r="I509" s="99"/>
      <c r="J509" s="99"/>
      <c r="K509" s="99"/>
      <c r="L509" s="99"/>
      <c r="M509" s="99"/>
      <c r="N509" s="99"/>
      <c r="O509" s="99"/>
      <c r="P509" s="99"/>
      <c r="Q509" s="99"/>
      <c r="R509" s="99"/>
      <c r="S509" s="99"/>
      <c r="T509" s="99"/>
    </row>
    <row r="510">
      <c r="A510" s="78"/>
      <c r="B510" s="99"/>
      <c r="C510" s="85"/>
      <c r="D510" s="99"/>
      <c r="E510" s="99"/>
      <c r="F510" s="99"/>
      <c r="G510" s="99"/>
      <c r="H510" s="99"/>
      <c r="I510" s="99"/>
      <c r="J510" s="99"/>
      <c r="K510" s="99"/>
      <c r="L510" s="99"/>
      <c r="M510" s="99"/>
      <c r="N510" s="99"/>
      <c r="O510" s="99"/>
      <c r="P510" s="99"/>
      <c r="Q510" s="99"/>
      <c r="R510" s="99"/>
      <c r="S510" s="99"/>
      <c r="T510" s="99"/>
    </row>
    <row r="511">
      <c r="A511" s="78"/>
      <c r="B511" s="99"/>
      <c r="C511" s="85"/>
      <c r="D511" s="99"/>
      <c r="E511" s="99"/>
      <c r="F511" s="99"/>
      <c r="G511" s="99"/>
      <c r="H511" s="99"/>
      <c r="I511" s="99"/>
      <c r="J511" s="99"/>
      <c r="K511" s="99"/>
      <c r="L511" s="99"/>
      <c r="M511" s="99"/>
      <c r="N511" s="99"/>
      <c r="O511" s="99"/>
      <c r="P511" s="99"/>
      <c r="Q511" s="99"/>
      <c r="R511" s="99"/>
      <c r="S511" s="99"/>
      <c r="T511" s="99"/>
    </row>
    <row r="512">
      <c r="A512" s="78"/>
      <c r="B512" s="99"/>
      <c r="C512" s="85"/>
      <c r="D512" s="99"/>
      <c r="E512" s="99"/>
      <c r="F512" s="99"/>
      <c r="G512" s="99"/>
      <c r="H512" s="99"/>
      <c r="I512" s="99"/>
      <c r="J512" s="99"/>
      <c r="K512" s="99"/>
      <c r="L512" s="99"/>
      <c r="M512" s="99"/>
      <c r="N512" s="99"/>
      <c r="O512" s="99"/>
      <c r="P512" s="99"/>
      <c r="Q512" s="99"/>
      <c r="R512" s="99"/>
      <c r="S512" s="99"/>
      <c r="T512" s="99"/>
    </row>
    <row r="513">
      <c r="A513" s="78"/>
      <c r="B513" s="99"/>
      <c r="C513" s="85"/>
      <c r="D513" s="99"/>
      <c r="E513" s="99"/>
      <c r="F513" s="99"/>
      <c r="G513" s="99"/>
      <c r="H513" s="99"/>
      <c r="I513" s="99"/>
      <c r="J513" s="99"/>
      <c r="K513" s="99"/>
      <c r="L513" s="99"/>
      <c r="M513" s="99"/>
      <c r="N513" s="99"/>
      <c r="O513" s="99"/>
      <c r="P513" s="99"/>
      <c r="Q513" s="99"/>
      <c r="R513" s="99"/>
      <c r="S513" s="99"/>
      <c r="T513" s="99"/>
    </row>
    <row r="514">
      <c r="A514" s="78"/>
      <c r="B514" s="99"/>
      <c r="C514" s="85"/>
      <c r="D514" s="99"/>
      <c r="E514" s="99"/>
      <c r="F514" s="99"/>
      <c r="G514" s="99"/>
      <c r="H514" s="99"/>
      <c r="I514" s="99"/>
      <c r="J514" s="99"/>
      <c r="K514" s="99"/>
      <c r="L514" s="99"/>
      <c r="M514" s="99"/>
      <c r="N514" s="99"/>
      <c r="O514" s="99"/>
      <c r="P514" s="99"/>
      <c r="Q514" s="99"/>
      <c r="R514" s="99"/>
      <c r="S514" s="99"/>
      <c r="T514" s="99"/>
    </row>
    <row r="515">
      <c r="A515" s="78"/>
      <c r="B515" s="99"/>
      <c r="C515" s="85"/>
      <c r="D515" s="99"/>
      <c r="E515" s="99"/>
      <c r="F515" s="99"/>
      <c r="G515" s="99"/>
      <c r="H515" s="99"/>
      <c r="I515" s="99"/>
      <c r="J515" s="99"/>
      <c r="K515" s="99"/>
      <c r="L515" s="99"/>
      <c r="M515" s="99"/>
      <c r="N515" s="99"/>
      <c r="O515" s="99"/>
      <c r="P515" s="99"/>
      <c r="Q515" s="99"/>
      <c r="R515" s="99"/>
      <c r="S515" s="99"/>
      <c r="T515" s="99"/>
    </row>
    <row r="516">
      <c r="A516" s="78"/>
      <c r="B516" s="99"/>
      <c r="C516" s="85"/>
      <c r="D516" s="99"/>
      <c r="E516" s="99"/>
      <c r="F516" s="99"/>
      <c r="G516" s="99"/>
      <c r="H516" s="99"/>
      <c r="I516" s="99"/>
      <c r="J516" s="99"/>
      <c r="K516" s="99"/>
      <c r="L516" s="99"/>
      <c r="M516" s="99"/>
      <c r="N516" s="99"/>
      <c r="O516" s="99"/>
      <c r="P516" s="99"/>
      <c r="Q516" s="99"/>
      <c r="R516" s="99"/>
      <c r="S516" s="99"/>
      <c r="T516" s="99"/>
    </row>
    <row r="517">
      <c r="A517" s="78"/>
      <c r="B517" s="99"/>
      <c r="C517" s="85"/>
      <c r="D517" s="99"/>
      <c r="E517" s="99"/>
      <c r="F517" s="99"/>
      <c r="G517" s="99"/>
      <c r="H517" s="99"/>
      <c r="I517" s="99"/>
      <c r="J517" s="99"/>
      <c r="K517" s="99"/>
      <c r="L517" s="99"/>
      <c r="M517" s="99"/>
      <c r="N517" s="99"/>
      <c r="O517" s="99"/>
      <c r="P517" s="99"/>
      <c r="Q517" s="99"/>
      <c r="R517" s="99"/>
      <c r="S517" s="99"/>
      <c r="T517" s="99"/>
    </row>
    <row r="518">
      <c r="A518" s="78"/>
      <c r="B518" s="99"/>
      <c r="C518" s="85"/>
      <c r="D518" s="99"/>
      <c r="E518" s="99"/>
      <c r="F518" s="99"/>
      <c r="G518" s="99"/>
      <c r="H518" s="99"/>
      <c r="I518" s="99"/>
      <c r="J518" s="99"/>
      <c r="K518" s="99"/>
      <c r="L518" s="99"/>
      <c r="M518" s="99"/>
      <c r="N518" s="99"/>
      <c r="O518" s="99"/>
      <c r="P518" s="99"/>
      <c r="Q518" s="99"/>
      <c r="R518" s="99"/>
      <c r="S518" s="99"/>
      <c r="T518" s="99"/>
    </row>
    <row r="519">
      <c r="A519" s="78"/>
      <c r="B519" s="99"/>
      <c r="C519" s="85"/>
      <c r="D519" s="99"/>
      <c r="E519" s="99"/>
      <c r="F519" s="99"/>
      <c r="G519" s="99"/>
      <c r="H519" s="99"/>
      <c r="I519" s="99"/>
      <c r="J519" s="99"/>
      <c r="K519" s="99"/>
      <c r="L519" s="99"/>
      <c r="M519" s="99"/>
      <c r="N519" s="99"/>
      <c r="O519" s="99"/>
      <c r="P519" s="99"/>
      <c r="Q519" s="99"/>
      <c r="R519" s="99"/>
      <c r="S519" s="99"/>
      <c r="T519" s="99"/>
    </row>
    <row r="520">
      <c r="A520" s="78"/>
      <c r="B520" s="99"/>
      <c r="C520" s="85"/>
      <c r="D520" s="99"/>
      <c r="E520" s="99"/>
      <c r="F520" s="99"/>
      <c r="G520" s="99"/>
      <c r="H520" s="99"/>
      <c r="I520" s="99"/>
      <c r="J520" s="99"/>
      <c r="K520" s="99"/>
      <c r="L520" s="99"/>
      <c r="M520" s="99"/>
      <c r="N520" s="99"/>
      <c r="O520" s="99"/>
      <c r="P520" s="99"/>
      <c r="Q520" s="99"/>
      <c r="R520" s="99"/>
      <c r="S520" s="99"/>
      <c r="T520" s="99"/>
    </row>
    <row r="521">
      <c r="A521" s="78"/>
      <c r="B521" s="99"/>
      <c r="C521" s="85"/>
      <c r="D521" s="99"/>
      <c r="E521" s="99"/>
      <c r="F521" s="99"/>
      <c r="G521" s="99"/>
      <c r="H521" s="99"/>
      <c r="I521" s="99"/>
      <c r="J521" s="99"/>
      <c r="K521" s="99"/>
      <c r="L521" s="99"/>
      <c r="M521" s="99"/>
      <c r="N521" s="99"/>
      <c r="O521" s="99"/>
      <c r="P521" s="99"/>
      <c r="Q521" s="99"/>
      <c r="R521" s="99"/>
      <c r="S521" s="99"/>
      <c r="T521" s="99"/>
    </row>
    <row r="522">
      <c r="A522" s="78"/>
      <c r="B522" s="99"/>
      <c r="C522" s="85"/>
      <c r="D522" s="99"/>
      <c r="E522" s="99"/>
      <c r="F522" s="99"/>
      <c r="G522" s="99"/>
      <c r="H522" s="99"/>
      <c r="I522" s="99"/>
      <c r="J522" s="99"/>
      <c r="K522" s="99"/>
      <c r="L522" s="99"/>
      <c r="M522" s="99"/>
      <c r="N522" s="99"/>
      <c r="O522" s="99"/>
      <c r="P522" s="99"/>
      <c r="Q522" s="99"/>
      <c r="R522" s="99"/>
      <c r="S522" s="99"/>
      <c r="T522" s="99"/>
    </row>
    <row r="523">
      <c r="A523" s="78"/>
      <c r="B523" s="99"/>
      <c r="C523" s="85"/>
      <c r="D523" s="99"/>
      <c r="E523" s="99"/>
      <c r="F523" s="99"/>
      <c r="G523" s="99"/>
      <c r="H523" s="99"/>
      <c r="I523" s="99"/>
      <c r="J523" s="99"/>
      <c r="K523" s="99"/>
      <c r="L523" s="99"/>
      <c r="M523" s="99"/>
      <c r="N523" s="99"/>
      <c r="O523" s="99"/>
      <c r="P523" s="99"/>
      <c r="Q523" s="99"/>
      <c r="R523" s="99"/>
      <c r="S523" s="99"/>
      <c r="T523" s="99"/>
    </row>
    <row r="524">
      <c r="A524" s="78"/>
      <c r="B524" s="99"/>
      <c r="C524" s="85"/>
      <c r="D524" s="99"/>
      <c r="E524" s="99"/>
      <c r="F524" s="99"/>
      <c r="G524" s="99"/>
      <c r="H524" s="99"/>
      <c r="I524" s="99"/>
      <c r="J524" s="99"/>
      <c r="K524" s="99"/>
      <c r="L524" s="99"/>
      <c r="M524" s="99"/>
      <c r="N524" s="99"/>
      <c r="O524" s="99"/>
      <c r="P524" s="99"/>
      <c r="Q524" s="99"/>
      <c r="R524" s="99"/>
      <c r="S524" s="99"/>
      <c r="T524" s="99"/>
    </row>
    <row r="525">
      <c r="A525" s="78"/>
      <c r="B525" s="99"/>
      <c r="C525" s="85"/>
      <c r="D525" s="99"/>
      <c r="E525" s="99"/>
      <c r="F525" s="99"/>
      <c r="G525" s="99"/>
      <c r="H525" s="99"/>
      <c r="I525" s="99"/>
      <c r="J525" s="99"/>
      <c r="K525" s="99"/>
      <c r="L525" s="99"/>
      <c r="M525" s="99"/>
      <c r="N525" s="99"/>
      <c r="O525" s="99"/>
      <c r="P525" s="99"/>
      <c r="Q525" s="99"/>
      <c r="R525" s="99"/>
      <c r="S525" s="99"/>
      <c r="T525" s="99"/>
    </row>
    <row r="526">
      <c r="A526" s="78"/>
      <c r="B526" s="99"/>
      <c r="C526" s="85"/>
      <c r="D526" s="99"/>
      <c r="E526" s="99"/>
      <c r="F526" s="99"/>
      <c r="G526" s="99"/>
      <c r="H526" s="99"/>
      <c r="I526" s="99"/>
      <c r="J526" s="99"/>
      <c r="K526" s="99"/>
      <c r="L526" s="99"/>
      <c r="M526" s="99"/>
      <c r="N526" s="99"/>
      <c r="O526" s="99"/>
      <c r="P526" s="99"/>
      <c r="Q526" s="99"/>
      <c r="R526" s="99"/>
      <c r="S526" s="99"/>
      <c r="T526" s="99"/>
    </row>
    <row r="527">
      <c r="A527" s="78"/>
      <c r="B527" s="99"/>
      <c r="C527" s="85"/>
      <c r="D527" s="99"/>
      <c r="E527" s="99"/>
      <c r="F527" s="99"/>
      <c r="G527" s="99"/>
      <c r="H527" s="99"/>
      <c r="I527" s="99"/>
      <c r="J527" s="99"/>
      <c r="K527" s="99"/>
      <c r="L527" s="99"/>
      <c r="M527" s="99"/>
      <c r="N527" s="99"/>
      <c r="O527" s="99"/>
      <c r="P527" s="99"/>
      <c r="Q527" s="99"/>
      <c r="R527" s="99"/>
      <c r="S527" s="99"/>
      <c r="T527" s="99"/>
    </row>
    <row r="528">
      <c r="A528" s="78"/>
      <c r="B528" s="99"/>
      <c r="C528" s="85"/>
      <c r="D528" s="99"/>
      <c r="E528" s="99"/>
      <c r="F528" s="99"/>
      <c r="G528" s="99"/>
      <c r="H528" s="99"/>
      <c r="I528" s="99"/>
      <c r="J528" s="99"/>
      <c r="K528" s="99"/>
      <c r="L528" s="99"/>
      <c r="M528" s="99"/>
      <c r="N528" s="99"/>
      <c r="O528" s="99"/>
      <c r="P528" s="99"/>
      <c r="Q528" s="99"/>
      <c r="R528" s="99"/>
      <c r="S528" s="99"/>
      <c r="T528" s="99"/>
    </row>
    <row r="529">
      <c r="A529" s="78"/>
      <c r="B529" s="99"/>
      <c r="C529" s="85"/>
      <c r="D529" s="99"/>
      <c r="E529" s="99"/>
      <c r="F529" s="99"/>
      <c r="G529" s="99"/>
      <c r="H529" s="99"/>
      <c r="I529" s="99"/>
      <c r="J529" s="99"/>
      <c r="K529" s="99"/>
      <c r="L529" s="99"/>
      <c r="M529" s="99"/>
      <c r="N529" s="99"/>
      <c r="O529" s="99"/>
      <c r="P529" s="99"/>
      <c r="Q529" s="99"/>
      <c r="R529" s="99"/>
      <c r="S529" s="99"/>
      <c r="T529" s="99"/>
    </row>
    <row r="530">
      <c r="A530" s="78"/>
      <c r="B530" s="99"/>
      <c r="C530" s="85"/>
      <c r="D530" s="99"/>
      <c r="E530" s="99"/>
      <c r="F530" s="99"/>
      <c r="G530" s="99"/>
      <c r="H530" s="99"/>
      <c r="I530" s="99"/>
      <c r="J530" s="99"/>
      <c r="K530" s="99"/>
      <c r="L530" s="99"/>
      <c r="M530" s="99"/>
      <c r="N530" s="99"/>
      <c r="O530" s="99"/>
      <c r="P530" s="99"/>
      <c r="Q530" s="99"/>
      <c r="R530" s="99"/>
      <c r="S530" s="99"/>
      <c r="T530" s="99"/>
    </row>
    <row r="531">
      <c r="A531" s="78"/>
      <c r="B531" s="99"/>
      <c r="C531" s="85"/>
      <c r="D531" s="99"/>
      <c r="E531" s="99"/>
      <c r="F531" s="99"/>
      <c r="G531" s="99"/>
      <c r="H531" s="99"/>
      <c r="I531" s="99"/>
      <c r="J531" s="99"/>
      <c r="K531" s="99"/>
      <c r="L531" s="99"/>
      <c r="M531" s="99"/>
      <c r="N531" s="99"/>
      <c r="O531" s="99"/>
      <c r="P531" s="99"/>
      <c r="Q531" s="99"/>
      <c r="R531" s="99"/>
      <c r="S531" s="99"/>
      <c r="T531" s="99"/>
    </row>
    <row r="532">
      <c r="A532" s="78"/>
      <c r="B532" s="99"/>
      <c r="C532" s="85"/>
      <c r="D532" s="99"/>
      <c r="E532" s="99"/>
      <c r="F532" s="99"/>
      <c r="G532" s="99"/>
      <c r="H532" s="99"/>
      <c r="I532" s="99"/>
      <c r="J532" s="99"/>
      <c r="K532" s="99"/>
      <c r="L532" s="99"/>
      <c r="M532" s="99"/>
      <c r="N532" s="99"/>
      <c r="O532" s="99"/>
      <c r="P532" s="99"/>
      <c r="Q532" s="99"/>
      <c r="R532" s="99"/>
      <c r="S532" s="99"/>
      <c r="T532" s="99"/>
    </row>
    <row r="533">
      <c r="A533" s="78"/>
      <c r="B533" s="99"/>
      <c r="C533" s="85"/>
      <c r="D533" s="99"/>
      <c r="E533" s="99"/>
      <c r="F533" s="99"/>
      <c r="G533" s="99"/>
      <c r="H533" s="99"/>
      <c r="I533" s="99"/>
      <c r="J533" s="99"/>
      <c r="K533" s="99"/>
      <c r="L533" s="99"/>
      <c r="M533" s="99"/>
      <c r="N533" s="99"/>
      <c r="O533" s="99"/>
      <c r="P533" s="99"/>
      <c r="Q533" s="99"/>
      <c r="R533" s="99"/>
      <c r="S533" s="99"/>
      <c r="T533" s="99"/>
    </row>
    <row r="534">
      <c r="A534" s="78"/>
      <c r="B534" s="99"/>
      <c r="C534" s="85"/>
      <c r="D534" s="99"/>
      <c r="E534" s="99"/>
      <c r="F534" s="99"/>
      <c r="G534" s="99"/>
      <c r="H534" s="99"/>
      <c r="I534" s="99"/>
      <c r="J534" s="99"/>
      <c r="K534" s="99"/>
      <c r="L534" s="99"/>
      <c r="M534" s="99"/>
      <c r="N534" s="99"/>
      <c r="O534" s="99"/>
      <c r="P534" s="99"/>
      <c r="Q534" s="99"/>
      <c r="R534" s="99"/>
      <c r="S534" s="99"/>
      <c r="T534" s="99"/>
    </row>
    <row r="535">
      <c r="A535" s="78"/>
      <c r="B535" s="99"/>
      <c r="C535" s="85"/>
      <c r="D535" s="99"/>
      <c r="E535" s="99"/>
      <c r="F535" s="99"/>
      <c r="G535" s="99"/>
      <c r="H535" s="99"/>
      <c r="I535" s="99"/>
      <c r="J535" s="99"/>
      <c r="K535" s="99"/>
      <c r="L535" s="99"/>
      <c r="M535" s="99"/>
      <c r="N535" s="99"/>
      <c r="O535" s="99"/>
      <c r="P535" s="99"/>
      <c r="Q535" s="99"/>
      <c r="R535" s="99"/>
      <c r="S535" s="99"/>
      <c r="T535" s="99"/>
    </row>
    <row r="536">
      <c r="A536" s="78"/>
      <c r="B536" s="99"/>
      <c r="C536" s="85"/>
      <c r="D536" s="99"/>
      <c r="E536" s="99"/>
      <c r="F536" s="99"/>
      <c r="G536" s="99"/>
      <c r="H536" s="99"/>
      <c r="I536" s="99"/>
      <c r="J536" s="99"/>
      <c r="K536" s="99"/>
      <c r="L536" s="99"/>
      <c r="M536" s="99"/>
      <c r="N536" s="99"/>
      <c r="O536" s="99"/>
      <c r="P536" s="99"/>
      <c r="Q536" s="99"/>
      <c r="R536" s="99"/>
      <c r="S536" s="99"/>
      <c r="T536" s="99"/>
    </row>
    <row r="537">
      <c r="A537" s="78"/>
      <c r="B537" s="99"/>
      <c r="C537" s="85"/>
      <c r="D537" s="99"/>
      <c r="E537" s="99"/>
      <c r="F537" s="99"/>
      <c r="G537" s="99"/>
      <c r="H537" s="99"/>
      <c r="I537" s="99"/>
      <c r="J537" s="99"/>
      <c r="K537" s="99"/>
      <c r="L537" s="99"/>
      <c r="M537" s="99"/>
      <c r="N537" s="99"/>
      <c r="O537" s="99"/>
      <c r="P537" s="99"/>
      <c r="Q537" s="99"/>
      <c r="R537" s="99"/>
      <c r="S537" s="99"/>
      <c r="T537" s="99"/>
    </row>
    <row r="538">
      <c r="A538" s="78"/>
      <c r="B538" s="99"/>
      <c r="C538" s="85"/>
      <c r="D538" s="99"/>
      <c r="E538" s="99"/>
      <c r="F538" s="99"/>
      <c r="G538" s="99"/>
      <c r="H538" s="99"/>
      <c r="I538" s="99"/>
      <c r="J538" s="99"/>
      <c r="K538" s="99"/>
      <c r="L538" s="99"/>
      <c r="M538" s="99"/>
      <c r="N538" s="99"/>
      <c r="O538" s="99"/>
      <c r="P538" s="99"/>
      <c r="Q538" s="99"/>
      <c r="R538" s="99"/>
      <c r="S538" s="99"/>
      <c r="T538" s="99"/>
    </row>
    <row r="539">
      <c r="A539" s="78"/>
      <c r="B539" s="99"/>
      <c r="C539" s="85"/>
      <c r="D539" s="99"/>
      <c r="E539" s="99"/>
      <c r="F539" s="99"/>
      <c r="G539" s="99"/>
      <c r="H539" s="99"/>
      <c r="I539" s="99"/>
      <c r="J539" s="99"/>
      <c r="K539" s="99"/>
      <c r="L539" s="99"/>
      <c r="M539" s="99"/>
      <c r="N539" s="99"/>
      <c r="O539" s="99"/>
      <c r="P539" s="99"/>
      <c r="Q539" s="99"/>
      <c r="R539" s="99"/>
      <c r="S539" s="99"/>
      <c r="T539" s="99"/>
    </row>
    <row r="540">
      <c r="A540" s="78"/>
      <c r="B540" s="99"/>
      <c r="C540" s="85"/>
      <c r="D540" s="99"/>
      <c r="E540" s="99"/>
      <c r="F540" s="99"/>
      <c r="G540" s="99"/>
      <c r="H540" s="99"/>
      <c r="I540" s="99"/>
      <c r="J540" s="99"/>
      <c r="K540" s="99"/>
      <c r="L540" s="99"/>
      <c r="M540" s="99"/>
      <c r="N540" s="99"/>
      <c r="O540" s="99"/>
      <c r="P540" s="99"/>
      <c r="Q540" s="99"/>
      <c r="R540" s="99"/>
      <c r="S540" s="99"/>
      <c r="T540" s="99"/>
    </row>
    <row r="541">
      <c r="A541" s="78"/>
      <c r="B541" s="99"/>
      <c r="C541" s="85"/>
      <c r="D541" s="99"/>
      <c r="E541" s="99"/>
      <c r="F541" s="99"/>
      <c r="G541" s="99"/>
      <c r="H541" s="99"/>
      <c r="I541" s="99"/>
      <c r="J541" s="99"/>
      <c r="K541" s="99"/>
      <c r="L541" s="99"/>
      <c r="M541" s="99"/>
      <c r="N541" s="99"/>
      <c r="O541" s="99"/>
      <c r="P541" s="99"/>
      <c r="Q541" s="99"/>
      <c r="R541" s="99"/>
      <c r="S541" s="99"/>
      <c r="T541" s="99"/>
    </row>
    <row r="542">
      <c r="A542" s="78"/>
      <c r="B542" s="99"/>
      <c r="C542" s="85"/>
      <c r="D542" s="99"/>
      <c r="E542" s="99"/>
      <c r="F542" s="99"/>
      <c r="G542" s="99"/>
      <c r="H542" s="99"/>
      <c r="I542" s="99"/>
      <c r="J542" s="99"/>
      <c r="K542" s="99"/>
      <c r="L542" s="99"/>
      <c r="M542" s="99"/>
      <c r="N542" s="99"/>
      <c r="O542" s="99"/>
      <c r="P542" s="99"/>
      <c r="Q542" s="99"/>
      <c r="R542" s="99"/>
      <c r="S542" s="99"/>
      <c r="T542" s="99"/>
    </row>
    <row r="543">
      <c r="A543" s="78"/>
      <c r="B543" s="99"/>
      <c r="C543" s="85"/>
      <c r="D543" s="99"/>
      <c r="E543" s="99"/>
      <c r="F543" s="99"/>
      <c r="G543" s="99"/>
      <c r="H543" s="99"/>
      <c r="I543" s="99"/>
      <c r="J543" s="99"/>
      <c r="K543" s="99"/>
      <c r="L543" s="99"/>
      <c r="M543" s="99"/>
      <c r="N543" s="99"/>
      <c r="O543" s="99"/>
      <c r="P543" s="99"/>
      <c r="Q543" s="99"/>
      <c r="R543" s="99"/>
      <c r="S543" s="99"/>
      <c r="T543" s="99"/>
    </row>
    <row r="544">
      <c r="A544" s="78"/>
      <c r="B544" s="99"/>
      <c r="C544" s="85"/>
      <c r="D544" s="99"/>
      <c r="E544" s="99"/>
      <c r="F544" s="99"/>
      <c r="G544" s="99"/>
      <c r="H544" s="99"/>
      <c r="I544" s="99"/>
      <c r="J544" s="99"/>
      <c r="K544" s="99"/>
      <c r="L544" s="99"/>
      <c r="M544" s="99"/>
      <c r="N544" s="99"/>
      <c r="O544" s="99"/>
      <c r="P544" s="99"/>
      <c r="Q544" s="99"/>
      <c r="R544" s="99"/>
      <c r="S544" s="99"/>
      <c r="T544" s="99"/>
    </row>
    <row r="545">
      <c r="A545" s="78"/>
      <c r="B545" s="99"/>
      <c r="C545" s="85"/>
      <c r="D545" s="99"/>
      <c r="E545" s="99"/>
      <c r="F545" s="99"/>
      <c r="G545" s="99"/>
      <c r="H545" s="99"/>
      <c r="I545" s="99"/>
      <c r="J545" s="99"/>
      <c r="K545" s="99"/>
      <c r="L545" s="99"/>
      <c r="M545" s="99"/>
      <c r="N545" s="99"/>
      <c r="O545" s="99"/>
      <c r="P545" s="99"/>
      <c r="Q545" s="99"/>
      <c r="R545" s="99"/>
      <c r="S545" s="99"/>
      <c r="T545" s="99"/>
    </row>
    <row r="546">
      <c r="A546" s="78"/>
      <c r="B546" s="99"/>
      <c r="C546" s="85"/>
      <c r="D546" s="99"/>
      <c r="E546" s="99"/>
      <c r="F546" s="99"/>
      <c r="G546" s="99"/>
      <c r="H546" s="99"/>
      <c r="I546" s="99"/>
      <c r="J546" s="99"/>
      <c r="K546" s="99"/>
      <c r="L546" s="99"/>
      <c r="M546" s="99"/>
      <c r="N546" s="99"/>
      <c r="O546" s="99"/>
      <c r="P546" s="99"/>
      <c r="Q546" s="99"/>
      <c r="R546" s="99"/>
      <c r="S546" s="99"/>
      <c r="T546" s="99"/>
    </row>
    <row r="547">
      <c r="A547" s="78"/>
      <c r="B547" s="99"/>
      <c r="C547" s="85"/>
      <c r="D547" s="99"/>
      <c r="E547" s="99"/>
      <c r="F547" s="99"/>
      <c r="G547" s="99"/>
      <c r="H547" s="99"/>
      <c r="I547" s="99"/>
      <c r="J547" s="99"/>
      <c r="K547" s="99"/>
      <c r="L547" s="99"/>
      <c r="M547" s="99"/>
      <c r="N547" s="99"/>
      <c r="O547" s="99"/>
      <c r="P547" s="99"/>
      <c r="Q547" s="99"/>
      <c r="R547" s="99"/>
      <c r="S547" s="99"/>
      <c r="T547" s="99"/>
    </row>
    <row r="548">
      <c r="A548" s="78"/>
      <c r="B548" s="99"/>
      <c r="C548" s="85"/>
      <c r="D548" s="99"/>
      <c r="E548" s="99"/>
      <c r="F548" s="99"/>
      <c r="G548" s="99"/>
      <c r="H548" s="99"/>
      <c r="I548" s="99"/>
      <c r="J548" s="99"/>
      <c r="K548" s="99"/>
      <c r="L548" s="99"/>
      <c r="M548" s="99"/>
      <c r="N548" s="99"/>
      <c r="O548" s="99"/>
      <c r="P548" s="99"/>
      <c r="Q548" s="99"/>
      <c r="R548" s="99"/>
      <c r="S548" s="99"/>
      <c r="T548" s="99"/>
    </row>
    <row r="549">
      <c r="A549" s="78"/>
      <c r="B549" s="99"/>
      <c r="C549" s="85"/>
      <c r="D549" s="99"/>
      <c r="E549" s="99"/>
      <c r="F549" s="99"/>
      <c r="G549" s="99"/>
      <c r="H549" s="99"/>
      <c r="I549" s="99"/>
      <c r="J549" s="99"/>
      <c r="K549" s="99"/>
      <c r="L549" s="99"/>
      <c r="M549" s="99"/>
      <c r="N549" s="99"/>
      <c r="O549" s="99"/>
      <c r="P549" s="99"/>
      <c r="Q549" s="99"/>
      <c r="R549" s="99"/>
      <c r="S549" s="99"/>
      <c r="T549" s="99"/>
    </row>
    <row r="550">
      <c r="A550" s="78"/>
      <c r="B550" s="99"/>
      <c r="C550" s="85"/>
      <c r="D550" s="99"/>
      <c r="E550" s="99"/>
      <c r="F550" s="99"/>
      <c r="G550" s="99"/>
      <c r="H550" s="99"/>
      <c r="I550" s="99"/>
      <c r="J550" s="99"/>
      <c r="K550" s="99"/>
      <c r="L550" s="99"/>
      <c r="M550" s="99"/>
      <c r="N550" s="99"/>
      <c r="O550" s="99"/>
      <c r="P550" s="99"/>
      <c r="Q550" s="99"/>
      <c r="R550" s="99"/>
      <c r="S550" s="99"/>
      <c r="T550" s="99"/>
    </row>
    <row r="551">
      <c r="A551" s="78"/>
      <c r="B551" s="99"/>
      <c r="C551" s="85"/>
      <c r="D551" s="99"/>
      <c r="E551" s="99"/>
      <c r="F551" s="99"/>
      <c r="G551" s="99"/>
      <c r="H551" s="99"/>
      <c r="I551" s="99"/>
      <c r="J551" s="99"/>
      <c r="K551" s="99"/>
      <c r="L551" s="99"/>
      <c r="M551" s="99"/>
      <c r="N551" s="99"/>
      <c r="O551" s="99"/>
      <c r="P551" s="99"/>
      <c r="Q551" s="99"/>
      <c r="R551" s="99"/>
      <c r="S551" s="99"/>
      <c r="T551" s="99"/>
    </row>
    <row r="552">
      <c r="A552" s="78"/>
      <c r="B552" s="99"/>
      <c r="C552" s="85"/>
      <c r="D552" s="99"/>
      <c r="E552" s="99"/>
      <c r="F552" s="99"/>
      <c r="G552" s="99"/>
      <c r="H552" s="99"/>
      <c r="I552" s="99"/>
      <c r="J552" s="99"/>
      <c r="K552" s="99"/>
      <c r="L552" s="99"/>
      <c r="M552" s="99"/>
      <c r="N552" s="99"/>
      <c r="O552" s="99"/>
      <c r="P552" s="99"/>
      <c r="Q552" s="99"/>
      <c r="R552" s="99"/>
      <c r="S552" s="99"/>
      <c r="T552" s="99"/>
    </row>
    <row r="553">
      <c r="A553" s="78"/>
      <c r="B553" s="99"/>
      <c r="C553" s="85"/>
      <c r="D553" s="99"/>
      <c r="E553" s="99"/>
      <c r="F553" s="99"/>
      <c r="G553" s="99"/>
      <c r="H553" s="99"/>
      <c r="I553" s="99"/>
      <c r="J553" s="99"/>
      <c r="K553" s="99"/>
      <c r="L553" s="99"/>
      <c r="M553" s="99"/>
      <c r="N553" s="99"/>
      <c r="O553" s="99"/>
      <c r="P553" s="99"/>
      <c r="Q553" s="99"/>
      <c r="R553" s="99"/>
      <c r="S553" s="99"/>
      <c r="T553" s="99"/>
    </row>
    <row r="554">
      <c r="A554" s="78"/>
      <c r="B554" s="99"/>
      <c r="C554" s="85"/>
      <c r="D554" s="99"/>
      <c r="E554" s="99"/>
      <c r="F554" s="99"/>
      <c r="G554" s="99"/>
      <c r="H554" s="99"/>
      <c r="I554" s="99"/>
      <c r="J554" s="99"/>
      <c r="K554" s="99"/>
      <c r="L554" s="99"/>
      <c r="M554" s="99"/>
      <c r="N554" s="99"/>
      <c r="O554" s="99"/>
      <c r="P554" s="99"/>
      <c r="Q554" s="99"/>
      <c r="R554" s="99"/>
      <c r="S554" s="99"/>
      <c r="T554" s="99"/>
    </row>
    <row r="555">
      <c r="A555" s="78"/>
      <c r="B555" s="99"/>
      <c r="C555" s="85"/>
      <c r="D555" s="99"/>
      <c r="E555" s="99"/>
      <c r="F555" s="99"/>
      <c r="G555" s="99"/>
      <c r="H555" s="99"/>
      <c r="I555" s="99"/>
      <c r="J555" s="99"/>
      <c r="K555" s="99"/>
      <c r="L555" s="99"/>
      <c r="M555" s="99"/>
      <c r="N555" s="99"/>
      <c r="O555" s="99"/>
      <c r="P555" s="99"/>
      <c r="Q555" s="99"/>
      <c r="R555" s="99"/>
      <c r="S555" s="99"/>
      <c r="T555" s="99"/>
    </row>
    <row r="556">
      <c r="A556" s="78"/>
      <c r="B556" s="99"/>
      <c r="C556" s="85"/>
      <c r="D556" s="99"/>
      <c r="E556" s="99"/>
      <c r="F556" s="99"/>
      <c r="G556" s="99"/>
      <c r="H556" s="99"/>
      <c r="I556" s="99"/>
      <c r="J556" s="99"/>
      <c r="K556" s="99"/>
      <c r="L556" s="99"/>
      <c r="M556" s="99"/>
      <c r="N556" s="99"/>
      <c r="O556" s="99"/>
      <c r="P556" s="99"/>
      <c r="Q556" s="99"/>
      <c r="R556" s="99"/>
      <c r="S556" s="99"/>
      <c r="T556" s="99"/>
    </row>
    <row r="557">
      <c r="A557" s="78"/>
      <c r="B557" s="99"/>
      <c r="C557" s="85"/>
      <c r="D557" s="99"/>
      <c r="E557" s="99"/>
      <c r="F557" s="99"/>
      <c r="G557" s="99"/>
      <c r="H557" s="99"/>
      <c r="I557" s="99"/>
      <c r="J557" s="99"/>
      <c r="K557" s="99"/>
      <c r="L557" s="99"/>
      <c r="M557" s="99"/>
      <c r="N557" s="99"/>
      <c r="O557" s="99"/>
      <c r="P557" s="99"/>
      <c r="Q557" s="99"/>
      <c r="R557" s="99"/>
      <c r="S557" s="99"/>
      <c r="T557" s="99"/>
    </row>
    <row r="558">
      <c r="A558" s="78"/>
      <c r="B558" s="99"/>
      <c r="C558" s="85"/>
      <c r="D558" s="99"/>
      <c r="E558" s="99"/>
      <c r="F558" s="99"/>
      <c r="G558" s="99"/>
      <c r="H558" s="99"/>
      <c r="I558" s="99"/>
      <c r="J558" s="99"/>
      <c r="K558" s="99"/>
      <c r="L558" s="99"/>
      <c r="M558" s="99"/>
      <c r="N558" s="99"/>
      <c r="O558" s="99"/>
      <c r="P558" s="99"/>
      <c r="Q558" s="99"/>
      <c r="R558" s="99"/>
      <c r="S558" s="99"/>
      <c r="T558" s="99"/>
    </row>
    <row r="559">
      <c r="A559" s="78"/>
      <c r="B559" s="99"/>
      <c r="C559" s="85"/>
      <c r="D559" s="99"/>
      <c r="E559" s="99"/>
      <c r="F559" s="99"/>
      <c r="G559" s="99"/>
      <c r="H559" s="99"/>
      <c r="I559" s="99"/>
      <c r="J559" s="99"/>
      <c r="K559" s="99"/>
      <c r="L559" s="99"/>
      <c r="M559" s="99"/>
      <c r="N559" s="99"/>
      <c r="O559" s="99"/>
      <c r="P559" s="99"/>
      <c r="Q559" s="99"/>
      <c r="R559" s="99"/>
      <c r="S559" s="99"/>
      <c r="T559" s="99"/>
    </row>
    <row r="560">
      <c r="A560" s="78"/>
      <c r="B560" s="99"/>
      <c r="C560" s="85"/>
      <c r="D560" s="99"/>
      <c r="E560" s="99"/>
      <c r="F560" s="99"/>
      <c r="G560" s="99"/>
      <c r="H560" s="99"/>
      <c r="I560" s="99"/>
      <c r="J560" s="99"/>
      <c r="K560" s="99"/>
      <c r="L560" s="99"/>
      <c r="M560" s="99"/>
      <c r="N560" s="99"/>
      <c r="O560" s="99"/>
      <c r="P560" s="99"/>
      <c r="Q560" s="99"/>
      <c r="R560" s="99"/>
      <c r="S560" s="99"/>
      <c r="T560" s="99"/>
    </row>
    <row r="561">
      <c r="A561" s="78"/>
      <c r="B561" s="99"/>
      <c r="C561" s="85"/>
      <c r="D561" s="99"/>
      <c r="E561" s="99"/>
      <c r="F561" s="99"/>
      <c r="G561" s="99"/>
      <c r="H561" s="99"/>
      <c r="I561" s="99"/>
      <c r="J561" s="99"/>
      <c r="K561" s="99"/>
      <c r="L561" s="99"/>
      <c r="M561" s="99"/>
      <c r="N561" s="99"/>
      <c r="O561" s="99"/>
      <c r="P561" s="99"/>
      <c r="Q561" s="99"/>
      <c r="R561" s="99"/>
      <c r="S561" s="99"/>
      <c r="T561" s="99"/>
    </row>
    <row r="562">
      <c r="A562" s="78"/>
      <c r="B562" s="99"/>
      <c r="C562" s="85"/>
      <c r="D562" s="99"/>
      <c r="E562" s="99"/>
      <c r="F562" s="99"/>
      <c r="G562" s="99"/>
      <c r="H562" s="99"/>
      <c r="I562" s="99"/>
      <c r="J562" s="99"/>
      <c r="K562" s="99"/>
      <c r="L562" s="99"/>
      <c r="M562" s="99"/>
      <c r="N562" s="99"/>
      <c r="O562" s="99"/>
      <c r="P562" s="99"/>
      <c r="Q562" s="99"/>
      <c r="R562" s="99"/>
      <c r="S562" s="99"/>
      <c r="T562" s="99"/>
    </row>
    <row r="563">
      <c r="A563" s="78"/>
      <c r="B563" s="99"/>
      <c r="C563" s="85"/>
      <c r="D563" s="99"/>
      <c r="E563" s="99"/>
      <c r="F563" s="99"/>
      <c r="G563" s="99"/>
      <c r="H563" s="99"/>
      <c r="I563" s="99"/>
      <c r="J563" s="99"/>
      <c r="K563" s="99"/>
      <c r="L563" s="99"/>
      <c r="M563" s="99"/>
      <c r="N563" s="99"/>
      <c r="O563" s="99"/>
      <c r="P563" s="99"/>
      <c r="Q563" s="99"/>
      <c r="R563" s="99"/>
      <c r="S563" s="99"/>
      <c r="T563" s="99"/>
    </row>
    <row r="564">
      <c r="A564" s="78"/>
      <c r="B564" s="99"/>
      <c r="C564" s="85"/>
      <c r="D564" s="99"/>
      <c r="E564" s="99"/>
      <c r="F564" s="99"/>
      <c r="G564" s="99"/>
      <c r="H564" s="99"/>
      <c r="I564" s="99"/>
      <c r="J564" s="99"/>
      <c r="K564" s="99"/>
      <c r="L564" s="99"/>
      <c r="M564" s="99"/>
      <c r="N564" s="99"/>
      <c r="O564" s="99"/>
      <c r="P564" s="99"/>
      <c r="Q564" s="99"/>
      <c r="R564" s="99"/>
      <c r="S564" s="99"/>
      <c r="T564" s="99"/>
    </row>
    <row r="565">
      <c r="A565" s="78"/>
      <c r="B565" s="99"/>
      <c r="C565" s="85"/>
      <c r="D565" s="99"/>
      <c r="E565" s="99"/>
      <c r="F565" s="99"/>
      <c r="G565" s="99"/>
      <c r="H565" s="99"/>
      <c r="I565" s="99"/>
      <c r="J565" s="99"/>
      <c r="K565" s="99"/>
      <c r="L565" s="99"/>
      <c r="M565" s="99"/>
      <c r="N565" s="99"/>
      <c r="O565" s="99"/>
      <c r="P565" s="99"/>
      <c r="Q565" s="99"/>
      <c r="R565" s="99"/>
      <c r="S565" s="99"/>
      <c r="T565" s="99"/>
    </row>
    <row r="566">
      <c r="A566" s="78"/>
      <c r="B566" s="99"/>
      <c r="C566" s="85"/>
      <c r="D566" s="99"/>
      <c r="E566" s="99"/>
      <c r="F566" s="99"/>
      <c r="G566" s="99"/>
      <c r="H566" s="99"/>
      <c r="I566" s="99"/>
      <c r="J566" s="99"/>
      <c r="K566" s="99"/>
      <c r="L566" s="99"/>
      <c r="M566" s="99"/>
      <c r="N566" s="99"/>
      <c r="O566" s="99"/>
      <c r="P566" s="99"/>
      <c r="Q566" s="99"/>
      <c r="R566" s="99"/>
      <c r="S566" s="99"/>
      <c r="T566" s="99"/>
    </row>
    <row r="567">
      <c r="A567" s="78"/>
      <c r="B567" s="99"/>
      <c r="C567" s="85"/>
      <c r="D567" s="99"/>
      <c r="E567" s="99"/>
      <c r="F567" s="99"/>
      <c r="G567" s="99"/>
      <c r="H567" s="99"/>
      <c r="I567" s="99"/>
      <c r="J567" s="99"/>
      <c r="K567" s="99"/>
      <c r="L567" s="99"/>
      <c r="M567" s="99"/>
      <c r="N567" s="99"/>
      <c r="O567" s="99"/>
      <c r="P567" s="99"/>
      <c r="Q567" s="99"/>
      <c r="R567" s="99"/>
      <c r="S567" s="99"/>
      <c r="T567" s="99"/>
    </row>
    <row r="568">
      <c r="A568" s="78"/>
      <c r="B568" s="99"/>
      <c r="C568" s="85"/>
      <c r="D568" s="99"/>
      <c r="E568" s="99"/>
      <c r="F568" s="99"/>
      <c r="G568" s="99"/>
      <c r="H568" s="99"/>
      <c r="I568" s="99"/>
      <c r="J568" s="99"/>
      <c r="K568" s="99"/>
      <c r="L568" s="99"/>
      <c r="M568" s="99"/>
      <c r="N568" s="99"/>
      <c r="O568" s="99"/>
      <c r="P568" s="99"/>
      <c r="Q568" s="99"/>
      <c r="R568" s="99"/>
      <c r="S568" s="99"/>
      <c r="T568" s="99"/>
    </row>
    <row r="569">
      <c r="A569" s="78"/>
      <c r="B569" s="99"/>
      <c r="C569" s="85"/>
      <c r="D569" s="99"/>
      <c r="E569" s="99"/>
      <c r="F569" s="99"/>
      <c r="G569" s="99"/>
      <c r="H569" s="99"/>
      <c r="I569" s="99"/>
      <c r="J569" s="99"/>
      <c r="K569" s="99"/>
      <c r="L569" s="99"/>
      <c r="M569" s="99"/>
      <c r="N569" s="99"/>
      <c r="O569" s="99"/>
      <c r="P569" s="99"/>
      <c r="Q569" s="99"/>
      <c r="R569" s="99"/>
      <c r="S569" s="99"/>
      <c r="T569" s="99"/>
    </row>
    <row r="570">
      <c r="A570" s="78"/>
      <c r="B570" s="99"/>
      <c r="C570" s="85"/>
      <c r="D570" s="99"/>
      <c r="E570" s="99"/>
      <c r="F570" s="99"/>
      <c r="G570" s="99"/>
      <c r="H570" s="99"/>
      <c r="I570" s="99"/>
      <c r="J570" s="99"/>
      <c r="K570" s="99"/>
      <c r="L570" s="99"/>
      <c r="M570" s="99"/>
      <c r="N570" s="99"/>
      <c r="O570" s="99"/>
      <c r="P570" s="99"/>
      <c r="Q570" s="99"/>
      <c r="R570" s="99"/>
      <c r="S570" s="99"/>
      <c r="T570" s="99"/>
    </row>
    <row r="571">
      <c r="A571" s="78"/>
      <c r="B571" s="99"/>
      <c r="C571" s="85"/>
      <c r="D571" s="99"/>
      <c r="E571" s="99"/>
      <c r="F571" s="99"/>
      <c r="G571" s="99"/>
      <c r="H571" s="99"/>
      <c r="I571" s="99"/>
      <c r="J571" s="99"/>
      <c r="K571" s="99"/>
      <c r="L571" s="99"/>
      <c r="M571" s="99"/>
      <c r="N571" s="99"/>
      <c r="O571" s="99"/>
      <c r="P571" s="99"/>
      <c r="Q571" s="99"/>
      <c r="R571" s="99"/>
      <c r="S571" s="99"/>
      <c r="T571" s="99"/>
    </row>
    <row r="572">
      <c r="A572" s="78"/>
      <c r="B572" s="99"/>
      <c r="C572" s="85"/>
      <c r="D572" s="99"/>
      <c r="E572" s="99"/>
      <c r="F572" s="99"/>
      <c r="G572" s="99"/>
      <c r="H572" s="99"/>
      <c r="I572" s="99"/>
      <c r="J572" s="99"/>
      <c r="K572" s="99"/>
      <c r="L572" s="99"/>
      <c r="M572" s="99"/>
      <c r="N572" s="99"/>
      <c r="O572" s="99"/>
      <c r="P572" s="99"/>
      <c r="Q572" s="99"/>
      <c r="R572" s="99"/>
      <c r="S572" s="99"/>
      <c r="T572" s="99"/>
    </row>
    <row r="573">
      <c r="A573" s="78"/>
      <c r="B573" s="99"/>
      <c r="C573" s="85"/>
      <c r="D573" s="99"/>
      <c r="E573" s="99"/>
      <c r="F573" s="99"/>
      <c r="G573" s="99"/>
      <c r="H573" s="99"/>
      <c r="I573" s="99"/>
      <c r="J573" s="99"/>
      <c r="K573" s="99"/>
      <c r="L573" s="99"/>
      <c r="M573" s="99"/>
      <c r="N573" s="99"/>
      <c r="O573" s="99"/>
      <c r="P573" s="99"/>
      <c r="Q573" s="99"/>
      <c r="R573" s="99"/>
      <c r="S573" s="99"/>
      <c r="T573" s="99"/>
    </row>
    <row r="574">
      <c r="A574" s="78"/>
      <c r="B574" s="99"/>
      <c r="C574" s="85"/>
      <c r="D574" s="99"/>
      <c r="E574" s="99"/>
      <c r="F574" s="99"/>
      <c r="G574" s="99"/>
      <c r="H574" s="99"/>
      <c r="I574" s="99"/>
      <c r="J574" s="99"/>
      <c r="K574" s="99"/>
      <c r="L574" s="99"/>
      <c r="M574" s="99"/>
      <c r="N574" s="99"/>
      <c r="O574" s="99"/>
      <c r="P574" s="99"/>
      <c r="Q574" s="99"/>
      <c r="R574" s="99"/>
      <c r="S574" s="99"/>
      <c r="T574" s="99"/>
    </row>
    <row r="575">
      <c r="A575" s="78"/>
      <c r="B575" s="99"/>
      <c r="C575" s="85"/>
      <c r="D575" s="99"/>
      <c r="E575" s="99"/>
      <c r="F575" s="99"/>
      <c r="G575" s="99"/>
      <c r="H575" s="99"/>
      <c r="I575" s="99"/>
      <c r="J575" s="99"/>
      <c r="K575" s="99"/>
      <c r="L575" s="99"/>
      <c r="M575" s="99"/>
      <c r="N575" s="99"/>
      <c r="O575" s="99"/>
      <c r="P575" s="99"/>
      <c r="Q575" s="99"/>
      <c r="R575" s="99"/>
      <c r="S575" s="99"/>
      <c r="T575" s="99"/>
    </row>
    <row r="576">
      <c r="A576" s="78"/>
      <c r="B576" s="99"/>
      <c r="C576" s="85"/>
      <c r="D576" s="99"/>
      <c r="E576" s="99"/>
      <c r="F576" s="99"/>
      <c r="G576" s="99"/>
      <c r="H576" s="99"/>
      <c r="I576" s="99"/>
      <c r="J576" s="99"/>
      <c r="K576" s="99"/>
      <c r="L576" s="99"/>
      <c r="M576" s="99"/>
      <c r="N576" s="99"/>
      <c r="O576" s="99"/>
      <c r="P576" s="99"/>
      <c r="Q576" s="99"/>
      <c r="R576" s="99"/>
      <c r="S576" s="99"/>
      <c r="T576" s="99"/>
    </row>
    <row r="577">
      <c r="A577" s="78"/>
      <c r="B577" s="99"/>
      <c r="C577" s="85"/>
      <c r="D577" s="99"/>
      <c r="E577" s="99"/>
      <c r="F577" s="99"/>
      <c r="G577" s="99"/>
      <c r="H577" s="99"/>
      <c r="I577" s="99"/>
      <c r="J577" s="99"/>
      <c r="K577" s="99"/>
      <c r="L577" s="99"/>
      <c r="M577" s="99"/>
      <c r="N577" s="99"/>
      <c r="O577" s="99"/>
      <c r="P577" s="99"/>
      <c r="Q577" s="99"/>
      <c r="R577" s="99"/>
      <c r="S577" s="99"/>
      <c r="T577" s="99"/>
    </row>
    <row r="578">
      <c r="A578" s="78"/>
      <c r="B578" s="99"/>
      <c r="C578" s="85"/>
      <c r="D578" s="99"/>
      <c r="E578" s="99"/>
      <c r="F578" s="99"/>
      <c r="G578" s="99"/>
      <c r="H578" s="99"/>
      <c r="I578" s="99"/>
      <c r="J578" s="99"/>
      <c r="K578" s="99"/>
      <c r="L578" s="99"/>
      <c r="M578" s="99"/>
      <c r="N578" s="99"/>
      <c r="O578" s="99"/>
      <c r="P578" s="99"/>
      <c r="Q578" s="99"/>
      <c r="R578" s="99"/>
      <c r="S578" s="99"/>
      <c r="T578" s="99"/>
    </row>
    <row r="579">
      <c r="A579" s="78"/>
      <c r="B579" s="99"/>
      <c r="C579" s="85"/>
      <c r="D579" s="99"/>
      <c r="E579" s="99"/>
      <c r="F579" s="99"/>
      <c r="G579" s="99"/>
      <c r="H579" s="99"/>
      <c r="I579" s="99"/>
      <c r="J579" s="99"/>
      <c r="K579" s="99"/>
      <c r="L579" s="99"/>
      <c r="M579" s="99"/>
      <c r="N579" s="99"/>
      <c r="O579" s="99"/>
      <c r="P579" s="99"/>
      <c r="Q579" s="99"/>
      <c r="R579" s="99"/>
      <c r="S579" s="99"/>
      <c r="T579" s="99"/>
    </row>
    <row r="580">
      <c r="A580" s="78"/>
      <c r="B580" s="99"/>
      <c r="C580" s="85"/>
      <c r="D580" s="99"/>
      <c r="E580" s="99"/>
      <c r="F580" s="99"/>
      <c r="G580" s="99"/>
      <c r="H580" s="99"/>
      <c r="I580" s="99"/>
      <c r="J580" s="99"/>
      <c r="K580" s="99"/>
      <c r="L580" s="99"/>
      <c r="M580" s="99"/>
      <c r="N580" s="99"/>
      <c r="O580" s="99"/>
      <c r="P580" s="99"/>
      <c r="Q580" s="99"/>
      <c r="R580" s="99"/>
      <c r="S580" s="99"/>
      <c r="T580" s="99"/>
    </row>
    <row r="581">
      <c r="A581" s="78"/>
      <c r="B581" s="99"/>
      <c r="C581" s="85"/>
      <c r="D581" s="99"/>
      <c r="E581" s="99"/>
      <c r="F581" s="99"/>
      <c r="G581" s="99"/>
      <c r="H581" s="99"/>
      <c r="I581" s="99"/>
      <c r="J581" s="99"/>
      <c r="K581" s="99"/>
      <c r="L581" s="99"/>
      <c r="M581" s="99"/>
      <c r="N581" s="99"/>
      <c r="O581" s="99"/>
      <c r="P581" s="99"/>
      <c r="Q581" s="99"/>
      <c r="R581" s="99"/>
      <c r="S581" s="99"/>
      <c r="T581" s="99"/>
    </row>
    <row r="582">
      <c r="A582" s="78"/>
      <c r="B582" s="99"/>
      <c r="C582" s="85"/>
      <c r="D582" s="99"/>
      <c r="E582" s="99"/>
      <c r="F582" s="99"/>
      <c r="G582" s="99"/>
      <c r="H582" s="99"/>
      <c r="I582" s="99"/>
      <c r="J582" s="99"/>
      <c r="K582" s="99"/>
      <c r="L582" s="99"/>
      <c r="M582" s="99"/>
      <c r="N582" s="99"/>
      <c r="O582" s="99"/>
      <c r="P582" s="99"/>
      <c r="Q582" s="99"/>
      <c r="R582" s="99"/>
      <c r="S582" s="99"/>
      <c r="T582" s="99"/>
    </row>
    <row r="583">
      <c r="A583" s="78"/>
      <c r="B583" s="99"/>
      <c r="C583" s="85"/>
      <c r="D583" s="99"/>
      <c r="E583" s="99"/>
      <c r="F583" s="99"/>
      <c r="G583" s="99"/>
      <c r="H583" s="99"/>
      <c r="I583" s="99"/>
      <c r="J583" s="99"/>
      <c r="K583" s="99"/>
      <c r="L583" s="99"/>
      <c r="M583" s="99"/>
      <c r="N583" s="99"/>
      <c r="O583" s="99"/>
      <c r="P583" s="99"/>
      <c r="Q583" s="99"/>
      <c r="R583" s="99"/>
      <c r="S583" s="99"/>
      <c r="T583" s="99"/>
    </row>
    <row r="584">
      <c r="A584" s="78"/>
      <c r="B584" s="99"/>
      <c r="C584" s="85"/>
      <c r="D584" s="99"/>
      <c r="E584" s="99"/>
      <c r="F584" s="99"/>
      <c r="G584" s="99"/>
      <c r="H584" s="99"/>
      <c r="I584" s="99"/>
      <c r="J584" s="99"/>
      <c r="K584" s="99"/>
      <c r="L584" s="99"/>
      <c r="M584" s="99"/>
      <c r="N584" s="99"/>
      <c r="O584" s="99"/>
      <c r="P584" s="99"/>
      <c r="Q584" s="99"/>
      <c r="R584" s="99"/>
      <c r="S584" s="99"/>
      <c r="T584" s="99"/>
    </row>
    <row r="585">
      <c r="A585" s="78"/>
      <c r="B585" s="99"/>
      <c r="C585" s="85"/>
      <c r="D585" s="99"/>
      <c r="E585" s="99"/>
      <c r="F585" s="99"/>
      <c r="G585" s="99"/>
      <c r="H585" s="99"/>
      <c r="I585" s="99"/>
      <c r="J585" s="99"/>
      <c r="K585" s="99"/>
      <c r="L585" s="99"/>
      <c r="M585" s="99"/>
      <c r="N585" s="99"/>
      <c r="O585" s="99"/>
      <c r="P585" s="99"/>
      <c r="Q585" s="99"/>
      <c r="R585" s="99"/>
      <c r="S585" s="99"/>
      <c r="T585" s="99"/>
    </row>
    <row r="586">
      <c r="A586" s="78"/>
      <c r="B586" s="99"/>
      <c r="C586" s="85"/>
      <c r="D586" s="99"/>
      <c r="E586" s="99"/>
      <c r="F586" s="99"/>
      <c r="G586" s="99"/>
      <c r="H586" s="99"/>
      <c r="I586" s="99"/>
      <c r="J586" s="99"/>
      <c r="K586" s="99"/>
      <c r="L586" s="99"/>
      <c r="M586" s="99"/>
      <c r="N586" s="99"/>
      <c r="O586" s="99"/>
      <c r="P586" s="99"/>
      <c r="Q586" s="99"/>
      <c r="R586" s="99"/>
      <c r="S586" s="99"/>
      <c r="T586" s="99"/>
    </row>
    <row r="587">
      <c r="A587" s="78"/>
      <c r="B587" s="99"/>
      <c r="C587" s="85"/>
      <c r="D587" s="99"/>
      <c r="E587" s="99"/>
      <c r="F587" s="99"/>
      <c r="G587" s="99"/>
      <c r="H587" s="99"/>
      <c r="I587" s="99"/>
      <c r="J587" s="99"/>
      <c r="K587" s="99"/>
      <c r="L587" s="99"/>
      <c r="M587" s="99"/>
      <c r="N587" s="99"/>
      <c r="O587" s="99"/>
      <c r="P587" s="99"/>
      <c r="Q587" s="99"/>
      <c r="R587" s="99"/>
      <c r="S587" s="99"/>
      <c r="T587" s="99"/>
    </row>
    <row r="588">
      <c r="A588" s="78"/>
      <c r="B588" s="99"/>
      <c r="C588" s="85"/>
      <c r="D588" s="99"/>
      <c r="E588" s="99"/>
      <c r="F588" s="99"/>
      <c r="G588" s="99"/>
      <c r="H588" s="99"/>
      <c r="I588" s="99"/>
      <c r="J588" s="99"/>
      <c r="K588" s="99"/>
      <c r="L588" s="99"/>
      <c r="M588" s="99"/>
      <c r="N588" s="99"/>
      <c r="O588" s="99"/>
      <c r="P588" s="99"/>
      <c r="Q588" s="99"/>
      <c r="R588" s="99"/>
      <c r="S588" s="99"/>
      <c r="T588" s="99"/>
    </row>
    <row r="589">
      <c r="A589" s="78"/>
      <c r="B589" s="99"/>
      <c r="C589" s="85"/>
      <c r="D589" s="99"/>
      <c r="E589" s="99"/>
      <c r="F589" s="99"/>
      <c r="G589" s="99"/>
      <c r="H589" s="99"/>
      <c r="I589" s="99"/>
      <c r="J589" s="99"/>
      <c r="K589" s="99"/>
      <c r="L589" s="99"/>
      <c r="M589" s="99"/>
      <c r="N589" s="99"/>
      <c r="O589" s="99"/>
      <c r="P589" s="99"/>
      <c r="Q589" s="99"/>
      <c r="R589" s="99"/>
      <c r="S589" s="99"/>
      <c r="T589" s="99"/>
    </row>
    <row r="590">
      <c r="A590" s="78"/>
      <c r="B590" s="99"/>
      <c r="C590" s="85"/>
      <c r="D590" s="99"/>
      <c r="E590" s="99"/>
      <c r="F590" s="99"/>
      <c r="G590" s="99"/>
      <c r="H590" s="99"/>
      <c r="I590" s="99"/>
      <c r="J590" s="99"/>
      <c r="K590" s="99"/>
      <c r="L590" s="99"/>
      <c r="M590" s="99"/>
      <c r="N590" s="99"/>
      <c r="O590" s="99"/>
      <c r="P590" s="99"/>
      <c r="Q590" s="99"/>
      <c r="R590" s="99"/>
      <c r="S590" s="99"/>
      <c r="T590" s="99"/>
    </row>
    <row r="591">
      <c r="A591" s="78"/>
      <c r="B591" s="99"/>
      <c r="C591" s="85"/>
      <c r="D591" s="99"/>
      <c r="E591" s="99"/>
      <c r="F591" s="99"/>
      <c r="G591" s="99"/>
      <c r="H591" s="99"/>
      <c r="I591" s="99"/>
      <c r="J591" s="99"/>
      <c r="K591" s="99"/>
      <c r="L591" s="99"/>
      <c r="M591" s="99"/>
      <c r="N591" s="99"/>
      <c r="O591" s="99"/>
      <c r="P591" s="99"/>
      <c r="Q591" s="99"/>
      <c r="R591" s="99"/>
      <c r="S591" s="99"/>
      <c r="T591" s="99"/>
    </row>
    <row r="592">
      <c r="A592" s="78"/>
      <c r="B592" s="99"/>
      <c r="C592" s="85"/>
      <c r="D592" s="99"/>
      <c r="E592" s="99"/>
      <c r="F592" s="99"/>
      <c r="G592" s="99"/>
      <c r="H592" s="99"/>
      <c r="I592" s="99"/>
      <c r="J592" s="99"/>
      <c r="K592" s="99"/>
      <c r="L592" s="99"/>
      <c r="M592" s="99"/>
      <c r="N592" s="99"/>
      <c r="O592" s="99"/>
      <c r="P592" s="99"/>
      <c r="Q592" s="99"/>
      <c r="R592" s="99"/>
      <c r="S592" s="99"/>
      <c r="T592" s="99"/>
    </row>
    <row r="593">
      <c r="A593" s="78"/>
      <c r="B593" s="99"/>
      <c r="C593" s="85"/>
      <c r="D593" s="99"/>
      <c r="E593" s="99"/>
      <c r="F593" s="99"/>
      <c r="G593" s="99"/>
      <c r="H593" s="99"/>
      <c r="I593" s="99"/>
      <c r="J593" s="99"/>
      <c r="K593" s="99"/>
      <c r="L593" s="99"/>
      <c r="M593" s="99"/>
      <c r="N593" s="99"/>
      <c r="O593" s="99"/>
      <c r="P593" s="99"/>
      <c r="Q593" s="99"/>
      <c r="R593" s="99"/>
      <c r="S593" s="99"/>
      <c r="T593" s="99"/>
    </row>
    <row r="594">
      <c r="A594" s="78"/>
      <c r="B594" s="99"/>
      <c r="C594" s="85"/>
      <c r="D594" s="99"/>
      <c r="E594" s="99"/>
      <c r="F594" s="99"/>
      <c r="G594" s="99"/>
      <c r="H594" s="99"/>
      <c r="I594" s="99"/>
      <c r="J594" s="99"/>
      <c r="K594" s="99"/>
      <c r="L594" s="99"/>
      <c r="M594" s="99"/>
      <c r="N594" s="99"/>
      <c r="O594" s="99"/>
      <c r="P594" s="99"/>
      <c r="Q594" s="99"/>
      <c r="R594" s="99"/>
      <c r="S594" s="99"/>
      <c r="T594" s="99"/>
    </row>
    <row r="595">
      <c r="A595" s="78"/>
      <c r="B595" s="99"/>
      <c r="C595" s="85"/>
      <c r="D595" s="99"/>
      <c r="E595" s="99"/>
      <c r="F595" s="99"/>
      <c r="G595" s="99"/>
      <c r="H595" s="99"/>
      <c r="I595" s="99"/>
      <c r="J595" s="99"/>
      <c r="K595" s="99"/>
      <c r="L595" s="99"/>
      <c r="M595" s="99"/>
      <c r="N595" s="99"/>
      <c r="O595" s="99"/>
      <c r="P595" s="99"/>
      <c r="Q595" s="99"/>
      <c r="R595" s="99"/>
      <c r="S595" s="99"/>
      <c r="T595" s="99"/>
    </row>
    <row r="596">
      <c r="A596" s="78"/>
      <c r="B596" s="99"/>
      <c r="C596" s="85"/>
      <c r="D596" s="99"/>
      <c r="E596" s="99"/>
      <c r="F596" s="99"/>
      <c r="G596" s="99"/>
      <c r="H596" s="99"/>
      <c r="I596" s="99"/>
      <c r="J596" s="99"/>
      <c r="K596" s="99"/>
      <c r="L596" s="99"/>
      <c r="M596" s="99"/>
      <c r="N596" s="99"/>
      <c r="O596" s="99"/>
      <c r="P596" s="99"/>
      <c r="Q596" s="99"/>
      <c r="R596" s="99"/>
      <c r="S596" s="99"/>
      <c r="T596" s="99"/>
    </row>
    <row r="597">
      <c r="A597" s="78"/>
      <c r="B597" s="99"/>
      <c r="C597" s="85"/>
      <c r="D597" s="99"/>
      <c r="E597" s="99"/>
      <c r="F597" s="99"/>
      <c r="G597" s="99"/>
      <c r="H597" s="99"/>
      <c r="I597" s="99"/>
      <c r="J597" s="99"/>
      <c r="K597" s="99"/>
      <c r="L597" s="99"/>
      <c r="M597" s="99"/>
      <c r="N597" s="99"/>
      <c r="O597" s="99"/>
      <c r="P597" s="99"/>
      <c r="Q597" s="99"/>
      <c r="R597" s="99"/>
      <c r="S597" s="99"/>
      <c r="T597" s="99"/>
    </row>
    <row r="598">
      <c r="A598" s="78"/>
      <c r="B598" s="99"/>
      <c r="C598" s="85"/>
      <c r="D598" s="99"/>
      <c r="E598" s="99"/>
      <c r="F598" s="99"/>
      <c r="G598" s="99"/>
      <c r="H598" s="99"/>
      <c r="I598" s="99"/>
      <c r="J598" s="99"/>
      <c r="K598" s="99"/>
      <c r="L598" s="99"/>
      <c r="M598" s="99"/>
      <c r="N598" s="99"/>
      <c r="O598" s="99"/>
      <c r="P598" s="99"/>
      <c r="Q598" s="99"/>
      <c r="R598" s="99"/>
      <c r="S598" s="99"/>
      <c r="T598" s="99"/>
    </row>
    <row r="599">
      <c r="A599" s="78"/>
      <c r="B599" s="99"/>
      <c r="C599" s="85"/>
      <c r="D599" s="99"/>
      <c r="E599" s="99"/>
      <c r="F599" s="99"/>
      <c r="G599" s="99"/>
      <c r="H599" s="99"/>
      <c r="I599" s="99"/>
      <c r="J599" s="99"/>
      <c r="K599" s="99"/>
      <c r="L599" s="99"/>
      <c r="M599" s="99"/>
      <c r="N599" s="99"/>
      <c r="O599" s="99"/>
      <c r="P599" s="99"/>
      <c r="Q599" s="99"/>
      <c r="R599" s="99"/>
      <c r="S599" s="99"/>
      <c r="T599" s="99"/>
    </row>
    <row r="600">
      <c r="A600" s="78"/>
      <c r="B600" s="99"/>
      <c r="C600" s="85"/>
      <c r="D600" s="99"/>
      <c r="E600" s="99"/>
      <c r="F600" s="99"/>
      <c r="G600" s="99"/>
      <c r="H600" s="99"/>
      <c r="I600" s="99"/>
      <c r="J600" s="99"/>
      <c r="K600" s="99"/>
      <c r="L600" s="99"/>
      <c r="M600" s="99"/>
      <c r="N600" s="99"/>
      <c r="O600" s="99"/>
      <c r="P600" s="99"/>
      <c r="Q600" s="99"/>
      <c r="R600" s="99"/>
      <c r="S600" s="99"/>
      <c r="T600" s="99"/>
    </row>
    <row r="601">
      <c r="A601" s="78"/>
      <c r="B601" s="99"/>
      <c r="C601" s="85"/>
      <c r="D601" s="99"/>
      <c r="E601" s="99"/>
      <c r="F601" s="99"/>
      <c r="G601" s="99"/>
      <c r="H601" s="99"/>
      <c r="I601" s="99"/>
      <c r="J601" s="99"/>
      <c r="K601" s="99"/>
      <c r="L601" s="99"/>
      <c r="M601" s="99"/>
      <c r="N601" s="99"/>
      <c r="O601" s="99"/>
      <c r="P601" s="99"/>
      <c r="Q601" s="99"/>
      <c r="R601" s="99"/>
      <c r="S601" s="99"/>
      <c r="T601" s="99"/>
    </row>
    <row r="602">
      <c r="A602" s="78"/>
      <c r="B602" s="99"/>
      <c r="C602" s="85"/>
      <c r="D602" s="99"/>
      <c r="E602" s="99"/>
      <c r="F602" s="99"/>
      <c r="G602" s="99"/>
      <c r="H602" s="99"/>
      <c r="I602" s="99"/>
      <c r="J602" s="99"/>
      <c r="K602" s="99"/>
      <c r="L602" s="99"/>
      <c r="M602" s="99"/>
      <c r="N602" s="99"/>
      <c r="O602" s="99"/>
      <c r="P602" s="99"/>
      <c r="Q602" s="99"/>
      <c r="R602" s="99"/>
      <c r="S602" s="99"/>
      <c r="T602" s="99"/>
    </row>
    <row r="603">
      <c r="A603" s="78"/>
      <c r="B603" s="99"/>
      <c r="C603" s="85"/>
      <c r="D603" s="99"/>
      <c r="E603" s="99"/>
      <c r="F603" s="99"/>
      <c r="G603" s="99"/>
      <c r="H603" s="99"/>
      <c r="I603" s="99"/>
      <c r="J603" s="99"/>
      <c r="K603" s="99"/>
      <c r="L603" s="99"/>
      <c r="M603" s="99"/>
      <c r="N603" s="99"/>
      <c r="O603" s="99"/>
      <c r="P603" s="99"/>
      <c r="Q603" s="99"/>
      <c r="R603" s="99"/>
      <c r="S603" s="99"/>
      <c r="T603" s="99"/>
    </row>
    <row r="604">
      <c r="A604" s="78"/>
      <c r="B604" s="99"/>
      <c r="C604" s="85"/>
      <c r="D604" s="99"/>
      <c r="E604" s="99"/>
      <c r="F604" s="99"/>
      <c r="G604" s="99"/>
      <c r="H604" s="99"/>
      <c r="I604" s="99"/>
      <c r="J604" s="99"/>
      <c r="K604" s="99"/>
      <c r="L604" s="99"/>
      <c r="M604" s="99"/>
      <c r="N604" s="99"/>
      <c r="O604" s="99"/>
      <c r="P604" s="99"/>
      <c r="Q604" s="99"/>
      <c r="R604" s="99"/>
      <c r="S604" s="99"/>
      <c r="T604" s="99"/>
    </row>
    <row r="605">
      <c r="A605" s="78"/>
      <c r="B605" s="99"/>
      <c r="C605" s="85"/>
      <c r="D605" s="99"/>
      <c r="E605" s="99"/>
      <c r="F605" s="99"/>
      <c r="G605" s="99"/>
      <c r="H605" s="99"/>
      <c r="I605" s="99"/>
      <c r="J605" s="99"/>
      <c r="K605" s="99"/>
      <c r="L605" s="99"/>
      <c r="M605" s="99"/>
      <c r="N605" s="99"/>
      <c r="O605" s="99"/>
      <c r="P605" s="99"/>
      <c r="Q605" s="99"/>
      <c r="R605" s="99"/>
      <c r="S605" s="99"/>
      <c r="T605" s="99"/>
    </row>
    <row r="606">
      <c r="A606" s="78"/>
      <c r="B606" s="99"/>
      <c r="C606" s="85"/>
      <c r="D606" s="99"/>
      <c r="E606" s="99"/>
      <c r="F606" s="99"/>
      <c r="G606" s="99"/>
      <c r="H606" s="99"/>
      <c r="I606" s="99"/>
      <c r="J606" s="99"/>
      <c r="K606" s="99"/>
      <c r="L606" s="99"/>
      <c r="M606" s="99"/>
      <c r="N606" s="99"/>
      <c r="O606" s="99"/>
      <c r="P606" s="99"/>
      <c r="Q606" s="99"/>
      <c r="R606" s="99"/>
      <c r="S606" s="99"/>
      <c r="T606" s="99"/>
    </row>
    <row r="607">
      <c r="A607" s="78"/>
      <c r="B607" s="99"/>
      <c r="C607" s="85"/>
      <c r="D607" s="99"/>
      <c r="E607" s="99"/>
      <c r="F607" s="99"/>
      <c r="G607" s="99"/>
      <c r="H607" s="99"/>
      <c r="I607" s="99"/>
      <c r="J607" s="99"/>
      <c r="K607" s="99"/>
      <c r="L607" s="99"/>
      <c r="M607" s="99"/>
      <c r="N607" s="99"/>
      <c r="O607" s="99"/>
      <c r="P607" s="99"/>
      <c r="Q607" s="99"/>
      <c r="R607" s="99"/>
      <c r="S607" s="99"/>
      <c r="T607" s="99"/>
    </row>
    <row r="608">
      <c r="A608" s="78"/>
      <c r="B608" s="99"/>
      <c r="C608" s="85"/>
      <c r="D608" s="99"/>
      <c r="E608" s="99"/>
      <c r="F608" s="99"/>
      <c r="G608" s="99"/>
      <c r="H608" s="99"/>
      <c r="I608" s="99"/>
      <c r="J608" s="99"/>
      <c r="K608" s="99"/>
      <c r="L608" s="99"/>
      <c r="M608" s="99"/>
      <c r="N608" s="99"/>
      <c r="O608" s="99"/>
      <c r="P608" s="99"/>
      <c r="Q608" s="99"/>
      <c r="R608" s="99"/>
      <c r="S608" s="99"/>
      <c r="T608" s="99"/>
    </row>
    <row r="609">
      <c r="A609" s="78"/>
      <c r="B609" s="99"/>
      <c r="C609" s="85"/>
      <c r="D609" s="99"/>
      <c r="E609" s="99"/>
      <c r="F609" s="99"/>
      <c r="G609" s="99"/>
      <c r="H609" s="99"/>
      <c r="I609" s="99"/>
      <c r="J609" s="99"/>
      <c r="K609" s="99"/>
      <c r="L609" s="99"/>
      <c r="M609" s="99"/>
      <c r="N609" s="99"/>
      <c r="O609" s="99"/>
      <c r="P609" s="99"/>
      <c r="Q609" s="99"/>
      <c r="R609" s="99"/>
      <c r="S609" s="99"/>
      <c r="T609" s="99"/>
    </row>
    <row r="610">
      <c r="A610" s="78"/>
      <c r="B610" s="99"/>
      <c r="C610" s="85"/>
      <c r="D610" s="99"/>
      <c r="E610" s="99"/>
      <c r="F610" s="99"/>
      <c r="G610" s="99"/>
      <c r="H610" s="99"/>
      <c r="I610" s="99"/>
      <c r="J610" s="99"/>
      <c r="K610" s="99"/>
      <c r="L610" s="99"/>
      <c r="M610" s="99"/>
      <c r="N610" s="99"/>
      <c r="O610" s="99"/>
      <c r="P610" s="99"/>
      <c r="Q610" s="99"/>
      <c r="R610" s="99"/>
      <c r="S610" s="99"/>
      <c r="T610" s="99"/>
    </row>
    <row r="611">
      <c r="A611" s="78"/>
      <c r="B611" s="99"/>
      <c r="C611" s="85"/>
      <c r="D611" s="99"/>
      <c r="E611" s="99"/>
      <c r="F611" s="99"/>
      <c r="G611" s="99"/>
      <c r="H611" s="99"/>
      <c r="I611" s="99"/>
      <c r="J611" s="99"/>
      <c r="K611" s="99"/>
      <c r="L611" s="99"/>
      <c r="M611" s="99"/>
      <c r="N611" s="99"/>
      <c r="O611" s="99"/>
      <c r="P611" s="99"/>
      <c r="Q611" s="99"/>
      <c r="R611" s="99"/>
      <c r="S611" s="99"/>
      <c r="T611" s="99"/>
    </row>
    <row r="612">
      <c r="A612" s="78"/>
      <c r="B612" s="99"/>
      <c r="C612" s="85"/>
      <c r="D612" s="99"/>
      <c r="E612" s="99"/>
      <c r="F612" s="99"/>
      <c r="G612" s="99"/>
      <c r="H612" s="99"/>
      <c r="I612" s="99"/>
      <c r="J612" s="99"/>
      <c r="K612" s="99"/>
      <c r="L612" s="99"/>
      <c r="M612" s="99"/>
      <c r="N612" s="99"/>
      <c r="O612" s="99"/>
      <c r="P612" s="99"/>
      <c r="Q612" s="99"/>
      <c r="R612" s="99"/>
      <c r="S612" s="99"/>
      <c r="T612" s="99"/>
    </row>
    <row r="613">
      <c r="A613" s="78"/>
      <c r="B613" s="99"/>
      <c r="C613" s="85"/>
      <c r="D613" s="99"/>
      <c r="E613" s="99"/>
      <c r="F613" s="99"/>
      <c r="G613" s="99"/>
      <c r="H613" s="99"/>
      <c r="I613" s="99"/>
      <c r="J613" s="99"/>
      <c r="K613" s="99"/>
      <c r="L613" s="99"/>
      <c r="M613" s="99"/>
      <c r="N613" s="99"/>
      <c r="O613" s="99"/>
      <c r="P613" s="99"/>
      <c r="Q613" s="99"/>
      <c r="R613" s="99"/>
      <c r="S613" s="99"/>
      <c r="T613" s="99"/>
    </row>
    <row r="614">
      <c r="A614" s="78"/>
      <c r="B614" s="99"/>
      <c r="C614" s="85"/>
      <c r="D614" s="99"/>
      <c r="E614" s="99"/>
      <c r="F614" s="99"/>
      <c r="G614" s="99"/>
      <c r="H614" s="99"/>
      <c r="I614" s="99"/>
      <c r="J614" s="99"/>
      <c r="K614" s="99"/>
      <c r="L614" s="99"/>
      <c r="M614" s="99"/>
      <c r="N614" s="99"/>
      <c r="O614" s="99"/>
      <c r="P614" s="99"/>
      <c r="Q614" s="99"/>
      <c r="R614" s="99"/>
      <c r="S614" s="99"/>
      <c r="T614" s="99"/>
    </row>
    <row r="615">
      <c r="A615" s="78"/>
      <c r="B615" s="99"/>
      <c r="C615" s="85"/>
      <c r="D615" s="99"/>
      <c r="E615" s="99"/>
      <c r="F615" s="99"/>
      <c r="G615" s="99"/>
      <c r="H615" s="99"/>
      <c r="I615" s="99"/>
      <c r="J615" s="99"/>
      <c r="K615" s="99"/>
      <c r="L615" s="99"/>
      <c r="M615" s="99"/>
      <c r="N615" s="99"/>
      <c r="O615" s="99"/>
      <c r="P615" s="99"/>
      <c r="Q615" s="99"/>
      <c r="R615" s="99"/>
      <c r="S615" s="99"/>
      <c r="T615" s="99"/>
    </row>
    <row r="616">
      <c r="A616" s="78"/>
      <c r="B616" s="99"/>
      <c r="C616" s="85"/>
      <c r="D616" s="99"/>
      <c r="E616" s="99"/>
      <c r="F616" s="99"/>
      <c r="G616" s="99"/>
      <c r="H616" s="99"/>
      <c r="I616" s="99"/>
      <c r="J616" s="99"/>
      <c r="K616" s="99"/>
      <c r="L616" s="99"/>
      <c r="M616" s="99"/>
      <c r="N616" s="99"/>
      <c r="O616" s="99"/>
      <c r="P616" s="99"/>
      <c r="Q616" s="99"/>
      <c r="R616" s="99"/>
      <c r="S616" s="99"/>
      <c r="T616" s="99"/>
    </row>
    <row r="617">
      <c r="A617" s="78"/>
      <c r="B617" s="99"/>
      <c r="C617" s="85"/>
      <c r="D617" s="99"/>
      <c r="E617" s="99"/>
      <c r="F617" s="99"/>
      <c r="G617" s="99"/>
      <c r="H617" s="99"/>
      <c r="I617" s="99"/>
      <c r="J617" s="99"/>
      <c r="K617" s="99"/>
      <c r="L617" s="99"/>
      <c r="M617" s="99"/>
      <c r="N617" s="99"/>
      <c r="O617" s="99"/>
      <c r="P617" s="99"/>
      <c r="Q617" s="99"/>
      <c r="R617" s="99"/>
      <c r="S617" s="99"/>
      <c r="T617" s="99"/>
    </row>
    <row r="618">
      <c r="A618" s="78"/>
      <c r="B618" s="99"/>
      <c r="C618" s="85"/>
      <c r="D618" s="99"/>
      <c r="E618" s="99"/>
      <c r="F618" s="99"/>
      <c r="G618" s="99"/>
      <c r="H618" s="99"/>
      <c r="I618" s="99"/>
      <c r="J618" s="99"/>
      <c r="K618" s="99"/>
      <c r="L618" s="99"/>
      <c r="M618" s="99"/>
      <c r="N618" s="99"/>
      <c r="O618" s="99"/>
      <c r="P618" s="99"/>
      <c r="Q618" s="99"/>
      <c r="R618" s="99"/>
      <c r="S618" s="99"/>
      <c r="T618" s="99"/>
    </row>
    <row r="619">
      <c r="A619" s="78"/>
      <c r="B619" s="99"/>
      <c r="C619" s="85"/>
      <c r="D619" s="99"/>
      <c r="E619" s="99"/>
      <c r="F619" s="99"/>
      <c r="G619" s="99"/>
      <c r="H619" s="99"/>
      <c r="I619" s="99"/>
      <c r="J619" s="99"/>
      <c r="K619" s="99"/>
      <c r="L619" s="99"/>
      <c r="M619" s="99"/>
      <c r="N619" s="99"/>
      <c r="O619" s="99"/>
      <c r="P619" s="99"/>
      <c r="Q619" s="99"/>
      <c r="R619" s="99"/>
      <c r="S619" s="99"/>
      <c r="T619" s="99"/>
    </row>
    <row r="620">
      <c r="A620" s="78"/>
      <c r="B620" s="99"/>
      <c r="C620" s="85"/>
      <c r="D620" s="99"/>
      <c r="E620" s="99"/>
      <c r="F620" s="99"/>
      <c r="G620" s="99"/>
      <c r="H620" s="99"/>
      <c r="I620" s="99"/>
      <c r="J620" s="99"/>
      <c r="K620" s="99"/>
      <c r="L620" s="99"/>
      <c r="M620" s="99"/>
      <c r="N620" s="99"/>
      <c r="O620" s="99"/>
      <c r="P620" s="99"/>
      <c r="Q620" s="99"/>
      <c r="R620" s="99"/>
      <c r="S620" s="99"/>
      <c r="T620" s="99"/>
    </row>
    <row r="621">
      <c r="A621" s="78"/>
      <c r="B621" s="99"/>
      <c r="C621" s="85"/>
      <c r="D621" s="99"/>
      <c r="E621" s="99"/>
      <c r="F621" s="99"/>
      <c r="G621" s="99"/>
      <c r="H621" s="99"/>
      <c r="I621" s="99"/>
      <c r="J621" s="99"/>
      <c r="K621" s="99"/>
      <c r="L621" s="99"/>
      <c r="M621" s="99"/>
      <c r="N621" s="99"/>
      <c r="O621" s="99"/>
      <c r="P621" s="99"/>
      <c r="Q621" s="99"/>
      <c r="R621" s="99"/>
      <c r="S621" s="99"/>
      <c r="T621" s="99"/>
    </row>
    <row r="622">
      <c r="A622" s="78"/>
      <c r="B622" s="99"/>
      <c r="C622" s="85"/>
      <c r="D622" s="99"/>
      <c r="E622" s="99"/>
      <c r="F622" s="99"/>
      <c r="G622" s="99"/>
      <c r="H622" s="99"/>
      <c r="I622" s="99"/>
      <c r="J622" s="99"/>
      <c r="K622" s="99"/>
      <c r="L622" s="99"/>
      <c r="M622" s="99"/>
      <c r="N622" s="99"/>
      <c r="O622" s="99"/>
      <c r="P622" s="99"/>
      <c r="Q622" s="99"/>
      <c r="R622" s="99"/>
      <c r="S622" s="99"/>
      <c r="T622" s="99"/>
    </row>
    <row r="623">
      <c r="A623" s="78"/>
      <c r="B623" s="99"/>
      <c r="C623" s="85"/>
      <c r="D623" s="99"/>
      <c r="E623" s="99"/>
      <c r="F623" s="99"/>
      <c r="G623" s="99"/>
      <c r="H623" s="99"/>
      <c r="I623" s="99"/>
      <c r="J623" s="99"/>
      <c r="K623" s="99"/>
      <c r="L623" s="99"/>
      <c r="M623" s="99"/>
      <c r="N623" s="99"/>
      <c r="O623" s="99"/>
      <c r="P623" s="99"/>
      <c r="Q623" s="99"/>
      <c r="R623" s="99"/>
      <c r="S623" s="99"/>
      <c r="T623" s="99"/>
    </row>
    <row r="624">
      <c r="A624" s="78"/>
      <c r="B624" s="99"/>
      <c r="C624" s="85"/>
      <c r="D624" s="99"/>
      <c r="E624" s="99"/>
      <c r="F624" s="99"/>
      <c r="G624" s="99"/>
      <c r="H624" s="99"/>
      <c r="I624" s="99"/>
      <c r="J624" s="99"/>
      <c r="K624" s="99"/>
      <c r="L624" s="99"/>
      <c r="M624" s="99"/>
      <c r="N624" s="99"/>
      <c r="O624" s="99"/>
      <c r="P624" s="99"/>
      <c r="Q624" s="99"/>
      <c r="R624" s="99"/>
      <c r="S624" s="99"/>
      <c r="T624" s="99"/>
    </row>
    <row r="625">
      <c r="A625" s="78"/>
      <c r="B625" s="99"/>
      <c r="C625" s="85"/>
      <c r="D625" s="99"/>
      <c r="E625" s="99"/>
      <c r="F625" s="99"/>
      <c r="G625" s="99"/>
      <c r="H625" s="99"/>
      <c r="I625" s="99"/>
      <c r="J625" s="99"/>
      <c r="K625" s="99"/>
      <c r="L625" s="99"/>
      <c r="M625" s="99"/>
      <c r="N625" s="99"/>
      <c r="O625" s="99"/>
      <c r="P625" s="99"/>
      <c r="Q625" s="99"/>
      <c r="R625" s="99"/>
      <c r="S625" s="99"/>
      <c r="T625" s="99"/>
    </row>
    <row r="626">
      <c r="A626" s="78"/>
      <c r="B626" s="99"/>
      <c r="C626" s="85"/>
      <c r="D626" s="99"/>
      <c r="E626" s="99"/>
      <c r="F626" s="99"/>
      <c r="G626" s="99"/>
      <c r="H626" s="99"/>
      <c r="I626" s="99"/>
      <c r="J626" s="99"/>
      <c r="K626" s="99"/>
      <c r="L626" s="99"/>
      <c r="M626" s="99"/>
      <c r="N626" s="99"/>
      <c r="O626" s="99"/>
      <c r="P626" s="99"/>
      <c r="Q626" s="99"/>
      <c r="R626" s="99"/>
      <c r="S626" s="99"/>
      <c r="T626" s="99"/>
    </row>
    <row r="627">
      <c r="A627" s="78"/>
      <c r="B627" s="99"/>
      <c r="C627" s="85"/>
      <c r="D627" s="99"/>
      <c r="E627" s="99"/>
      <c r="F627" s="99"/>
      <c r="G627" s="99"/>
      <c r="H627" s="99"/>
      <c r="I627" s="99"/>
      <c r="J627" s="99"/>
      <c r="K627" s="99"/>
      <c r="L627" s="99"/>
      <c r="M627" s="99"/>
      <c r="N627" s="99"/>
      <c r="O627" s="99"/>
      <c r="P627" s="99"/>
      <c r="Q627" s="99"/>
      <c r="R627" s="99"/>
      <c r="S627" s="99"/>
      <c r="T627" s="99"/>
    </row>
    <row r="628">
      <c r="A628" s="78"/>
      <c r="B628" s="99"/>
      <c r="C628" s="85"/>
      <c r="D628" s="99"/>
      <c r="E628" s="99"/>
      <c r="F628" s="99"/>
      <c r="G628" s="99"/>
      <c r="H628" s="99"/>
      <c r="I628" s="99"/>
      <c r="J628" s="99"/>
      <c r="K628" s="99"/>
      <c r="L628" s="99"/>
      <c r="M628" s="99"/>
      <c r="N628" s="99"/>
      <c r="O628" s="99"/>
      <c r="P628" s="99"/>
      <c r="Q628" s="99"/>
      <c r="R628" s="99"/>
      <c r="S628" s="99"/>
      <c r="T628" s="99"/>
    </row>
    <row r="629">
      <c r="A629" s="78"/>
      <c r="B629" s="99"/>
      <c r="C629" s="85"/>
      <c r="D629" s="99"/>
      <c r="E629" s="99"/>
      <c r="F629" s="99"/>
      <c r="G629" s="99"/>
      <c r="H629" s="99"/>
      <c r="I629" s="99"/>
      <c r="J629" s="99"/>
      <c r="K629" s="99"/>
      <c r="L629" s="99"/>
      <c r="M629" s="99"/>
      <c r="N629" s="99"/>
      <c r="O629" s="99"/>
      <c r="P629" s="99"/>
      <c r="Q629" s="99"/>
      <c r="R629" s="99"/>
      <c r="S629" s="99"/>
      <c r="T629" s="99"/>
    </row>
    <row r="630">
      <c r="A630" s="78"/>
      <c r="B630" s="99"/>
      <c r="C630" s="85"/>
      <c r="D630" s="99"/>
      <c r="E630" s="99"/>
      <c r="F630" s="99"/>
      <c r="G630" s="99"/>
      <c r="H630" s="99"/>
      <c r="I630" s="99"/>
      <c r="J630" s="99"/>
      <c r="K630" s="99"/>
      <c r="L630" s="99"/>
      <c r="M630" s="99"/>
      <c r="N630" s="99"/>
      <c r="O630" s="99"/>
      <c r="P630" s="99"/>
      <c r="Q630" s="99"/>
      <c r="R630" s="99"/>
      <c r="S630" s="99"/>
      <c r="T630" s="99"/>
    </row>
    <row r="631">
      <c r="A631" s="78"/>
      <c r="B631" s="99"/>
      <c r="C631" s="85"/>
      <c r="D631" s="99"/>
      <c r="E631" s="99"/>
      <c r="F631" s="99"/>
      <c r="G631" s="99"/>
      <c r="H631" s="99"/>
      <c r="I631" s="99"/>
      <c r="J631" s="99"/>
      <c r="K631" s="99"/>
      <c r="L631" s="99"/>
      <c r="M631" s="99"/>
      <c r="N631" s="99"/>
      <c r="O631" s="99"/>
      <c r="P631" s="99"/>
      <c r="Q631" s="99"/>
      <c r="R631" s="99"/>
      <c r="S631" s="99"/>
      <c r="T631" s="99"/>
    </row>
    <row r="632">
      <c r="A632" s="78"/>
      <c r="B632" s="99"/>
      <c r="C632" s="85"/>
      <c r="D632" s="99"/>
      <c r="E632" s="99"/>
      <c r="F632" s="99"/>
      <c r="G632" s="99"/>
      <c r="H632" s="99"/>
      <c r="I632" s="99"/>
      <c r="J632" s="99"/>
      <c r="K632" s="99"/>
      <c r="L632" s="99"/>
      <c r="M632" s="99"/>
      <c r="N632" s="99"/>
      <c r="O632" s="99"/>
      <c r="P632" s="99"/>
      <c r="Q632" s="99"/>
      <c r="R632" s="99"/>
      <c r="S632" s="99"/>
      <c r="T632" s="99"/>
    </row>
    <row r="633">
      <c r="A633" s="78"/>
      <c r="B633" s="99"/>
      <c r="C633" s="85"/>
      <c r="D633" s="99"/>
      <c r="E633" s="99"/>
      <c r="F633" s="99"/>
      <c r="G633" s="99"/>
      <c r="H633" s="99"/>
      <c r="I633" s="99"/>
      <c r="J633" s="99"/>
      <c r="K633" s="99"/>
      <c r="L633" s="99"/>
      <c r="M633" s="99"/>
      <c r="N633" s="99"/>
      <c r="O633" s="99"/>
      <c r="P633" s="99"/>
      <c r="Q633" s="99"/>
      <c r="R633" s="99"/>
      <c r="S633" s="99"/>
      <c r="T633" s="99"/>
    </row>
    <row r="634">
      <c r="A634" s="78"/>
      <c r="B634" s="99"/>
      <c r="C634" s="85"/>
      <c r="D634" s="99"/>
      <c r="E634" s="99"/>
      <c r="F634" s="99"/>
      <c r="G634" s="99"/>
      <c r="H634" s="99"/>
      <c r="I634" s="99"/>
      <c r="J634" s="99"/>
      <c r="K634" s="99"/>
      <c r="L634" s="99"/>
      <c r="M634" s="99"/>
      <c r="N634" s="99"/>
      <c r="O634" s="99"/>
      <c r="P634" s="99"/>
      <c r="Q634" s="99"/>
      <c r="R634" s="99"/>
      <c r="S634" s="99"/>
      <c r="T634" s="99"/>
    </row>
    <row r="635">
      <c r="A635" s="78"/>
      <c r="B635" s="99"/>
      <c r="C635" s="85"/>
      <c r="D635" s="99"/>
      <c r="E635" s="99"/>
      <c r="F635" s="99"/>
      <c r="G635" s="99"/>
      <c r="H635" s="99"/>
      <c r="I635" s="99"/>
      <c r="J635" s="99"/>
      <c r="K635" s="99"/>
      <c r="L635" s="99"/>
      <c r="M635" s="99"/>
      <c r="N635" s="99"/>
      <c r="O635" s="99"/>
      <c r="P635" s="99"/>
      <c r="Q635" s="99"/>
      <c r="R635" s="99"/>
      <c r="S635" s="99"/>
      <c r="T635" s="99"/>
    </row>
    <row r="636">
      <c r="A636" s="78"/>
      <c r="B636" s="99"/>
      <c r="C636" s="85"/>
      <c r="D636" s="99"/>
      <c r="E636" s="99"/>
      <c r="F636" s="99"/>
      <c r="G636" s="99"/>
      <c r="H636" s="99"/>
      <c r="I636" s="99"/>
      <c r="J636" s="99"/>
      <c r="K636" s="99"/>
      <c r="L636" s="99"/>
      <c r="M636" s="99"/>
      <c r="N636" s="99"/>
      <c r="O636" s="99"/>
      <c r="P636" s="99"/>
      <c r="Q636" s="99"/>
      <c r="R636" s="99"/>
      <c r="S636" s="99"/>
      <c r="T636" s="99"/>
    </row>
    <row r="637">
      <c r="A637" s="78"/>
      <c r="B637" s="99"/>
      <c r="C637" s="85"/>
      <c r="D637" s="99"/>
      <c r="E637" s="99"/>
      <c r="F637" s="99"/>
      <c r="G637" s="99"/>
      <c r="H637" s="99"/>
      <c r="I637" s="99"/>
      <c r="J637" s="99"/>
      <c r="K637" s="99"/>
      <c r="L637" s="99"/>
      <c r="M637" s="99"/>
      <c r="N637" s="99"/>
      <c r="O637" s="99"/>
      <c r="P637" s="99"/>
      <c r="Q637" s="99"/>
      <c r="R637" s="99"/>
      <c r="S637" s="99"/>
      <c r="T637" s="99"/>
    </row>
    <row r="638">
      <c r="A638" s="78"/>
      <c r="B638" s="99"/>
      <c r="C638" s="85"/>
      <c r="D638" s="99"/>
      <c r="E638" s="99"/>
      <c r="F638" s="99"/>
      <c r="G638" s="99"/>
      <c r="H638" s="99"/>
      <c r="I638" s="99"/>
      <c r="J638" s="99"/>
      <c r="K638" s="99"/>
      <c r="L638" s="99"/>
      <c r="M638" s="99"/>
      <c r="N638" s="99"/>
      <c r="O638" s="99"/>
      <c r="P638" s="99"/>
      <c r="Q638" s="99"/>
      <c r="R638" s="99"/>
      <c r="S638" s="99"/>
      <c r="T638" s="99"/>
    </row>
    <row r="639">
      <c r="A639" s="78"/>
      <c r="B639" s="99"/>
      <c r="C639" s="85"/>
      <c r="D639" s="99"/>
      <c r="E639" s="99"/>
      <c r="F639" s="99"/>
      <c r="G639" s="99"/>
      <c r="H639" s="99"/>
      <c r="I639" s="99"/>
      <c r="J639" s="99"/>
      <c r="K639" s="99"/>
      <c r="L639" s="99"/>
      <c r="M639" s="99"/>
      <c r="N639" s="99"/>
      <c r="O639" s="99"/>
      <c r="P639" s="99"/>
      <c r="Q639" s="99"/>
      <c r="R639" s="99"/>
      <c r="S639" s="99"/>
      <c r="T639" s="99"/>
    </row>
    <row r="640">
      <c r="A640" s="78"/>
      <c r="B640" s="99"/>
      <c r="C640" s="85"/>
      <c r="D640" s="99"/>
      <c r="E640" s="99"/>
      <c r="F640" s="99"/>
      <c r="G640" s="99"/>
      <c r="H640" s="99"/>
      <c r="I640" s="99"/>
      <c r="J640" s="99"/>
      <c r="K640" s="99"/>
      <c r="L640" s="99"/>
      <c r="M640" s="99"/>
      <c r="N640" s="99"/>
      <c r="O640" s="99"/>
      <c r="P640" s="99"/>
      <c r="Q640" s="99"/>
      <c r="R640" s="99"/>
      <c r="S640" s="99"/>
      <c r="T640" s="99"/>
    </row>
    <row r="641">
      <c r="A641" s="78"/>
      <c r="B641" s="99"/>
      <c r="C641" s="85"/>
      <c r="D641" s="99"/>
      <c r="E641" s="99"/>
      <c r="F641" s="99"/>
      <c r="G641" s="99"/>
      <c r="H641" s="99"/>
      <c r="I641" s="99"/>
      <c r="J641" s="99"/>
      <c r="K641" s="99"/>
      <c r="L641" s="99"/>
      <c r="M641" s="99"/>
      <c r="N641" s="99"/>
      <c r="O641" s="99"/>
      <c r="P641" s="99"/>
      <c r="Q641" s="99"/>
      <c r="R641" s="99"/>
      <c r="S641" s="99"/>
      <c r="T641" s="99"/>
    </row>
    <row r="642">
      <c r="A642" s="78"/>
      <c r="B642" s="99"/>
      <c r="C642" s="85"/>
      <c r="D642" s="99"/>
      <c r="E642" s="99"/>
      <c r="F642" s="99"/>
      <c r="G642" s="99"/>
      <c r="H642" s="99"/>
      <c r="I642" s="99"/>
      <c r="J642" s="99"/>
      <c r="K642" s="99"/>
      <c r="L642" s="99"/>
      <c r="M642" s="99"/>
      <c r="N642" s="99"/>
      <c r="O642" s="99"/>
      <c r="P642" s="99"/>
      <c r="Q642" s="99"/>
      <c r="R642" s="99"/>
      <c r="S642" s="99"/>
      <c r="T642" s="99"/>
    </row>
    <row r="643">
      <c r="A643" s="78"/>
      <c r="B643" s="99"/>
      <c r="C643" s="85"/>
      <c r="D643" s="99"/>
      <c r="E643" s="99"/>
      <c r="F643" s="99"/>
      <c r="G643" s="99"/>
      <c r="H643" s="99"/>
      <c r="I643" s="99"/>
      <c r="J643" s="99"/>
      <c r="K643" s="99"/>
      <c r="L643" s="99"/>
      <c r="M643" s="99"/>
      <c r="N643" s="99"/>
      <c r="O643" s="99"/>
      <c r="P643" s="99"/>
      <c r="Q643" s="99"/>
      <c r="R643" s="99"/>
      <c r="S643" s="99"/>
      <c r="T643" s="99"/>
    </row>
    <row r="644">
      <c r="A644" s="78"/>
      <c r="B644" s="99"/>
      <c r="C644" s="85"/>
      <c r="D644" s="99"/>
      <c r="E644" s="99"/>
      <c r="F644" s="99"/>
      <c r="G644" s="99"/>
      <c r="H644" s="99"/>
      <c r="I644" s="99"/>
      <c r="J644" s="99"/>
      <c r="K644" s="99"/>
      <c r="L644" s="99"/>
      <c r="M644" s="99"/>
      <c r="N644" s="99"/>
      <c r="O644" s="99"/>
      <c r="P644" s="99"/>
      <c r="Q644" s="99"/>
      <c r="R644" s="99"/>
      <c r="S644" s="99"/>
      <c r="T644" s="99"/>
    </row>
    <row r="645">
      <c r="A645" s="78"/>
      <c r="B645" s="99"/>
      <c r="C645" s="85"/>
      <c r="D645" s="99"/>
      <c r="E645" s="99"/>
      <c r="F645" s="99"/>
      <c r="G645" s="99"/>
      <c r="H645" s="99"/>
      <c r="I645" s="99"/>
      <c r="J645" s="99"/>
      <c r="K645" s="99"/>
      <c r="L645" s="99"/>
      <c r="M645" s="99"/>
      <c r="N645" s="99"/>
      <c r="O645" s="99"/>
      <c r="P645" s="99"/>
      <c r="Q645" s="99"/>
      <c r="R645" s="99"/>
      <c r="S645" s="99"/>
      <c r="T645" s="99"/>
    </row>
    <row r="646">
      <c r="A646" s="78"/>
      <c r="B646" s="99"/>
      <c r="C646" s="85"/>
      <c r="D646" s="99"/>
      <c r="E646" s="99"/>
      <c r="F646" s="99"/>
      <c r="G646" s="99"/>
      <c r="H646" s="99"/>
      <c r="I646" s="99"/>
      <c r="J646" s="99"/>
      <c r="K646" s="99"/>
      <c r="L646" s="99"/>
      <c r="M646" s="99"/>
      <c r="N646" s="99"/>
      <c r="O646" s="99"/>
      <c r="P646" s="99"/>
      <c r="Q646" s="99"/>
      <c r="R646" s="99"/>
      <c r="S646" s="99"/>
      <c r="T646" s="99"/>
    </row>
    <row r="647">
      <c r="A647" s="78"/>
      <c r="B647" s="99"/>
      <c r="C647" s="85"/>
      <c r="D647" s="99"/>
      <c r="E647" s="99"/>
      <c r="F647" s="99"/>
      <c r="G647" s="99"/>
      <c r="H647" s="99"/>
      <c r="I647" s="99"/>
      <c r="J647" s="99"/>
      <c r="K647" s="99"/>
      <c r="L647" s="99"/>
      <c r="M647" s="99"/>
      <c r="N647" s="99"/>
      <c r="O647" s="99"/>
      <c r="P647" s="99"/>
      <c r="Q647" s="99"/>
      <c r="R647" s="99"/>
      <c r="S647" s="99"/>
      <c r="T647" s="99"/>
    </row>
    <row r="648">
      <c r="A648" s="78"/>
      <c r="B648" s="99"/>
      <c r="C648" s="85"/>
      <c r="D648" s="99"/>
      <c r="E648" s="99"/>
      <c r="F648" s="99"/>
      <c r="G648" s="99"/>
      <c r="H648" s="99"/>
      <c r="I648" s="99"/>
      <c r="J648" s="99"/>
      <c r="K648" s="99"/>
      <c r="L648" s="99"/>
      <c r="M648" s="99"/>
      <c r="N648" s="99"/>
      <c r="O648" s="99"/>
      <c r="P648" s="99"/>
      <c r="Q648" s="99"/>
      <c r="R648" s="99"/>
      <c r="S648" s="99"/>
      <c r="T648" s="99"/>
    </row>
    <row r="649">
      <c r="A649" s="78"/>
      <c r="B649" s="99"/>
      <c r="C649" s="85"/>
      <c r="D649" s="99"/>
      <c r="E649" s="99"/>
      <c r="F649" s="99"/>
      <c r="G649" s="99"/>
      <c r="H649" s="99"/>
      <c r="I649" s="99"/>
      <c r="J649" s="99"/>
      <c r="K649" s="99"/>
      <c r="L649" s="99"/>
      <c r="M649" s="99"/>
      <c r="N649" s="99"/>
      <c r="O649" s="99"/>
      <c r="P649" s="99"/>
      <c r="Q649" s="99"/>
      <c r="R649" s="99"/>
      <c r="S649" s="99"/>
      <c r="T649" s="99"/>
    </row>
    <row r="650">
      <c r="A650" s="78"/>
      <c r="B650" s="99"/>
      <c r="C650" s="85"/>
      <c r="D650" s="99"/>
      <c r="E650" s="99"/>
      <c r="F650" s="99"/>
      <c r="G650" s="99"/>
      <c r="H650" s="99"/>
      <c r="I650" s="99"/>
      <c r="J650" s="99"/>
      <c r="K650" s="99"/>
      <c r="L650" s="99"/>
      <c r="M650" s="99"/>
      <c r="N650" s="99"/>
      <c r="O650" s="99"/>
      <c r="P650" s="99"/>
      <c r="Q650" s="99"/>
      <c r="R650" s="99"/>
      <c r="S650" s="99"/>
      <c r="T650" s="99"/>
    </row>
    <row r="651">
      <c r="A651" s="78"/>
      <c r="B651" s="99"/>
      <c r="C651" s="85"/>
      <c r="D651" s="99"/>
      <c r="E651" s="99"/>
      <c r="F651" s="99"/>
      <c r="G651" s="99"/>
      <c r="H651" s="99"/>
      <c r="I651" s="99"/>
      <c r="J651" s="99"/>
      <c r="K651" s="99"/>
      <c r="L651" s="99"/>
      <c r="M651" s="99"/>
      <c r="N651" s="99"/>
      <c r="O651" s="99"/>
      <c r="P651" s="99"/>
      <c r="Q651" s="99"/>
      <c r="R651" s="99"/>
      <c r="S651" s="99"/>
      <c r="T651" s="99"/>
    </row>
    <row r="652">
      <c r="A652" s="78"/>
      <c r="B652" s="99"/>
      <c r="C652" s="85"/>
      <c r="D652" s="99"/>
      <c r="E652" s="99"/>
      <c r="F652" s="99"/>
      <c r="G652" s="99"/>
      <c r="H652" s="99"/>
      <c r="I652" s="99"/>
      <c r="J652" s="99"/>
      <c r="K652" s="99"/>
      <c r="L652" s="99"/>
      <c r="M652" s="99"/>
      <c r="N652" s="99"/>
      <c r="O652" s="99"/>
      <c r="P652" s="99"/>
      <c r="Q652" s="99"/>
      <c r="R652" s="99"/>
      <c r="S652" s="99"/>
      <c r="T652" s="99"/>
    </row>
    <row r="653">
      <c r="A653" s="78"/>
      <c r="B653" s="99"/>
      <c r="C653" s="85"/>
      <c r="D653" s="99"/>
      <c r="E653" s="99"/>
      <c r="F653" s="99"/>
      <c r="G653" s="99"/>
      <c r="H653" s="99"/>
      <c r="I653" s="99"/>
      <c r="J653" s="99"/>
      <c r="K653" s="99"/>
      <c r="L653" s="99"/>
      <c r="M653" s="99"/>
      <c r="N653" s="99"/>
      <c r="O653" s="99"/>
      <c r="P653" s="99"/>
      <c r="Q653" s="99"/>
      <c r="R653" s="99"/>
      <c r="S653" s="99"/>
      <c r="T653" s="99"/>
    </row>
    <row r="654">
      <c r="A654" s="78"/>
      <c r="B654" s="99"/>
      <c r="C654" s="85"/>
      <c r="D654" s="99"/>
      <c r="E654" s="99"/>
      <c r="F654" s="99"/>
      <c r="G654" s="99"/>
      <c r="H654" s="99"/>
      <c r="I654" s="99"/>
      <c r="J654" s="99"/>
      <c r="K654" s="99"/>
      <c r="L654" s="99"/>
      <c r="M654" s="99"/>
      <c r="N654" s="99"/>
      <c r="O654" s="99"/>
      <c r="P654" s="99"/>
      <c r="Q654" s="99"/>
      <c r="R654" s="99"/>
      <c r="S654" s="99"/>
      <c r="T654" s="99"/>
    </row>
    <row r="655">
      <c r="A655" s="78"/>
      <c r="B655" s="99"/>
      <c r="C655" s="85"/>
      <c r="D655" s="99"/>
      <c r="E655" s="99"/>
      <c r="F655" s="99"/>
      <c r="G655" s="99"/>
      <c r="H655" s="99"/>
      <c r="I655" s="99"/>
      <c r="J655" s="99"/>
      <c r="K655" s="99"/>
      <c r="L655" s="99"/>
      <c r="M655" s="99"/>
      <c r="N655" s="99"/>
      <c r="O655" s="99"/>
      <c r="P655" s="99"/>
      <c r="Q655" s="99"/>
      <c r="R655" s="99"/>
      <c r="S655" s="99"/>
      <c r="T655" s="99"/>
    </row>
    <row r="656">
      <c r="A656" s="78"/>
      <c r="B656" s="99"/>
      <c r="C656" s="85"/>
      <c r="D656" s="99"/>
      <c r="E656" s="99"/>
      <c r="F656" s="99"/>
      <c r="G656" s="99"/>
      <c r="H656" s="99"/>
      <c r="I656" s="99"/>
      <c r="J656" s="99"/>
      <c r="K656" s="99"/>
      <c r="L656" s="99"/>
      <c r="M656" s="99"/>
      <c r="N656" s="99"/>
      <c r="O656" s="99"/>
      <c r="P656" s="99"/>
      <c r="Q656" s="99"/>
      <c r="R656" s="99"/>
      <c r="S656" s="99"/>
      <c r="T656" s="99"/>
    </row>
    <row r="657">
      <c r="A657" s="78"/>
      <c r="B657" s="99"/>
      <c r="C657" s="85"/>
      <c r="D657" s="99"/>
      <c r="E657" s="99"/>
      <c r="F657" s="99"/>
      <c r="G657" s="99"/>
      <c r="H657" s="99"/>
      <c r="I657" s="99"/>
      <c r="J657" s="99"/>
      <c r="K657" s="99"/>
      <c r="L657" s="99"/>
      <c r="M657" s="99"/>
      <c r="N657" s="99"/>
      <c r="O657" s="99"/>
      <c r="P657" s="99"/>
      <c r="Q657" s="99"/>
      <c r="R657" s="99"/>
      <c r="S657" s="99"/>
      <c r="T657" s="99"/>
    </row>
    <row r="658">
      <c r="A658" s="78"/>
      <c r="B658" s="99"/>
      <c r="C658" s="85"/>
      <c r="D658" s="99"/>
      <c r="E658" s="99"/>
      <c r="F658" s="99"/>
      <c r="G658" s="99"/>
      <c r="H658" s="99"/>
      <c r="I658" s="99"/>
      <c r="J658" s="99"/>
      <c r="K658" s="99"/>
      <c r="L658" s="99"/>
      <c r="M658" s="99"/>
      <c r="N658" s="99"/>
      <c r="O658" s="99"/>
      <c r="P658" s="99"/>
      <c r="Q658" s="99"/>
      <c r="R658" s="99"/>
      <c r="S658" s="99"/>
      <c r="T658" s="99"/>
    </row>
    <row r="659">
      <c r="A659" s="78"/>
      <c r="B659" s="99"/>
      <c r="C659" s="85"/>
      <c r="D659" s="99"/>
      <c r="E659" s="99"/>
      <c r="F659" s="99"/>
      <c r="G659" s="99"/>
      <c r="H659" s="99"/>
      <c r="I659" s="99"/>
      <c r="J659" s="99"/>
      <c r="K659" s="99"/>
      <c r="L659" s="99"/>
      <c r="M659" s="99"/>
      <c r="N659" s="99"/>
      <c r="O659" s="99"/>
      <c r="P659" s="99"/>
      <c r="Q659" s="99"/>
      <c r="R659" s="99"/>
      <c r="S659" s="99"/>
      <c r="T659" s="99"/>
    </row>
    <row r="660">
      <c r="A660" s="78"/>
      <c r="B660" s="99"/>
      <c r="C660" s="85"/>
      <c r="D660" s="99"/>
      <c r="E660" s="99"/>
      <c r="F660" s="99"/>
      <c r="G660" s="99"/>
      <c r="H660" s="99"/>
      <c r="I660" s="99"/>
      <c r="J660" s="99"/>
      <c r="K660" s="99"/>
      <c r="L660" s="99"/>
      <c r="M660" s="99"/>
      <c r="N660" s="99"/>
      <c r="O660" s="99"/>
      <c r="P660" s="99"/>
      <c r="Q660" s="99"/>
      <c r="R660" s="99"/>
      <c r="S660" s="99"/>
      <c r="T660" s="99"/>
    </row>
    <row r="661">
      <c r="A661" s="78"/>
      <c r="B661" s="99"/>
      <c r="C661" s="85"/>
      <c r="D661" s="99"/>
      <c r="E661" s="99"/>
      <c r="F661" s="99"/>
      <c r="G661" s="99"/>
      <c r="H661" s="99"/>
      <c r="I661" s="99"/>
      <c r="J661" s="99"/>
      <c r="K661" s="99"/>
      <c r="L661" s="99"/>
      <c r="M661" s="99"/>
      <c r="N661" s="99"/>
      <c r="O661" s="99"/>
      <c r="P661" s="99"/>
      <c r="Q661" s="99"/>
      <c r="R661" s="99"/>
      <c r="S661" s="99"/>
      <c r="T661" s="99"/>
    </row>
    <row r="662">
      <c r="A662" s="78"/>
      <c r="B662" s="99"/>
      <c r="C662" s="85"/>
      <c r="D662" s="99"/>
      <c r="E662" s="99"/>
      <c r="F662" s="99"/>
      <c r="G662" s="99"/>
      <c r="H662" s="99"/>
      <c r="I662" s="99"/>
      <c r="J662" s="99"/>
      <c r="K662" s="99"/>
      <c r="L662" s="99"/>
      <c r="M662" s="99"/>
      <c r="N662" s="99"/>
      <c r="O662" s="99"/>
      <c r="P662" s="99"/>
      <c r="Q662" s="99"/>
      <c r="R662" s="99"/>
      <c r="S662" s="99"/>
      <c r="T662" s="99"/>
    </row>
    <row r="663">
      <c r="A663" s="78"/>
      <c r="B663" s="99"/>
      <c r="C663" s="85"/>
      <c r="D663" s="99"/>
      <c r="E663" s="99"/>
      <c r="F663" s="99"/>
      <c r="G663" s="99"/>
      <c r="H663" s="99"/>
      <c r="I663" s="99"/>
      <c r="J663" s="99"/>
      <c r="K663" s="99"/>
      <c r="L663" s="99"/>
      <c r="M663" s="99"/>
      <c r="N663" s="99"/>
      <c r="O663" s="99"/>
      <c r="P663" s="99"/>
      <c r="Q663" s="99"/>
      <c r="R663" s="99"/>
      <c r="S663" s="99"/>
      <c r="T663" s="99"/>
    </row>
    <row r="664">
      <c r="A664" s="78"/>
      <c r="B664" s="99"/>
      <c r="C664" s="85"/>
      <c r="D664" s="99"/>
      <c r="E664" s="99"/>
      <c r="F664" s="99"/>
      <c r="G664" s="99"/>
      <c r="H664" s="99"/>
      <c r="I664" s="99"/>
      <c r="J664" s="99"/>
      <c r="K664" s="99"/>
      <c r="L664" s="99"/>
      <c r="M664" s="99"/>
      <c r="N664" s="99"/>
      <c r="O664" s="99"/>
      <c r="P664" s="99"/>
      <c r="Q664" s="99"/>
      <c r="R664" s="99"/>
      <c r="S664" s="99"/>
      <c r="T664" s="99"/>
    </row>
    <row r="665">
      <c r="A665" s="78"/>
      <c r="B665" s="99"/>
      <c r="C665" s="85"/>
      <c r="D665" s="99"/>
      <c r="E665" s="99"/>
      <c r="F665" s="99"/>
      <c r="G665" s="99"/>
      <c r="H665" s="99"/>
      <c r="I665" s="99"/>
      <c r="J665" s="99"/>
      <c r="K665" s="99"/>
      <c r="L665" s="99"/>
      <c r="M665" s="99"/>
      <c r="N665" s="99"/>
      <c r="O665" s="99"/>
      <c r="P665" s="99"/>
      <c r="Q665" s="99"/>
      <c r="R665" s="99"/>
      <c r="S665" s="99"/>
      <c r="T665" s="99"/>
    </row>
    <row r="666">
      <c r="A666" s="78"/>
      <c r="B666" s="99"/>
      <c r="C666" s="85"/>
      <c r="D666" s="99"/>
      <c r="E666" s="99"/>
      <c r="F666" s="99"/>
      <c r="G666" s="99"/>
      <c r="H666" s="99"/>
      <c r="I666" s="99"/>
      <c r="J666" s="99"/>
      <c r="K666" s="99"/>
      <c r="L666" s="99"/>
      <c r="M666" s="99"/>
      <c r="N666" s="99"/>
      <c r="O666" s="99"/>
      <c r="P666" s="99"/>
      <c r="Q666" s="99"/>
      <c r="R666" s="99"/>
      <c r="S666" s="99"/>
      <c r="T666" s="99"/>
    </row>
    <row r="667">
      <c r="A667" s="78"/>
      <c r="B667" s="99"/>
      <c r="C667" s="85"/>
      <c r="D667" s="99"/>
      <c r="E667" s="99"/>
      <c r="F667" s="99"/>
      <c r="G667" s="99"/>
      <c r="H667" s="99"/>
      <c r="I667" s="99"/>
      <c r="J667" s="99"/>
      <c r="K667" s="99"/>
      <c r="L667" s="99"/>
      <c r="M667" s="99"/>
      <c r="N667" s="99"/>
      <c r="O667" s="99"/>
      <c r="P667" s="99"/>
      <c r="Q667" s="99"/>
      <c r="R667" s="99"/>
      <c r="S667" s="99"/>
      <c r="T667" s="99"/>
    </row>
    <row r="668">
      <c r="A668" s="78"/>
      <c r="B668" s="99"/>
      <c r="C668" s="85"/>
      <c r="D668" s="99"/>
      <c r="E668" s="99"/>
      <c r="F668" s="99"/>
      <c r="G668" s="99"/>
      <c r="H668" s="99"/>
      <c r="I668" s="99"/>
      <c r="J668" s="99"/>
      <c r="K668" s="99"/>
      <c r="L668" s="99"/>
      <c r="M668" s="99"/>
      <c r="N668" s="99"/>
      <c r="O668" s="99"/>
      <c r="P668" s="99"/>
      <c r="Q668" s="99"/>
      <c r="R668" s="99"/>
      <c r="S668" s="99"/>
      <c r="T668" s="99"/>
    </row>
    <row r="669">
      <c r="A669" s="78"/>
      <c r="B669" s="99"/>
      <c r="C669" s="85"/>
      <c r="D669" s="99"/>
      <c r="E669" s="99"/>
      <c r="F669" s="99"/>
      <c r="G669" s="99"/>
      <c r="H669" s="99"/>
      <c r="I669" s="99"/>
      <c r="J669" s="99"/>
      <c r="K669" s="99"/>
      <c r="L669" s="99"/>
      <c r="M669" s="99"/>
      <c r="N669" s="99"/>
      <c r="O669" s="99"/>
      <c r="P669" s="99"/>
      <c r="Q669" s="99"/>
      <c r="R669" s="99"/>
      <c r="S669" s="99"/>
      <c r="T669" s="99"/>
    </row>
    <row r="670">
      <c r="A670" s="78"/>
      <c r="B670" s="99"/>
      <c r="C670" s="85"/>
      <c r="D670" s="99"/>
      <c r="E670" s="99"/>
      <c r="F670" s="99"/>
      <c r="G670" s="99"/>
      <c r="H670" s="99"/>
      <c r="I670" s="99"/>
      <c r="J670" s="99"/>
      <c r="K670" s="99"/>
      <c r="L670" s="99"/>
      <c r="M670" s="99"/>
      <c r="N670" s="99"/>
      <c r="O670" s="99"/>
      <c r="P670" s="99"/>
      <c r="Q670" s="99"/>
      <c r="R670" s="99"/>
      <c r="S670" s="99"/>
      <c r="T670" s="99"/>
    </row>
    <row r="671">
      <c r="A671" s="78"/>
      <c r="B671" s="99"/>
      <c r="C671" s="85"/>
      <c r="D671" s="99"/>
      <c r="E671" s="99"/>
      <c r="F671" s="99"/>
      <c r="G671" s="99"/>
      <c r="H671" s="99"/>
      <c r="I671" s="99"/>
      <c r="J671" s="99"/>
      <c r="K671" s="99"/>
      <c r="L671" s="99"/>
      <c r="M671" s="99"/>
      <c r="N671" s="99"/>
      <c r="O671" s="99"/>
      <c r="P671" s="99"/>
      <c r="Q671" s="99"/>
      <c r="R671" s="99"/>
      <c r="S671" s="99"/>
      <c r="T671" s="99"/>
    </row>
    <row r="672">
      <c r="A672" s="78"/>
      <c r="B672" s="99"/>
      <c r="C672" s="85"/>
      <c r="D672" s="99"/>
      <c r="E672" s="99"/>
      <c r="F672" s="99"/>
      <c r="G672" s="99"/>
      <c r="H672" s="99"/>
      <c r="I672" s="99"/>
      <c r="J672" s="99"/>
      <c r="K672" s="99"/>
      <c r="L672" s="99"/>
      <c r="M672" s="99"/>
      <c r="N672" s="99"/>
      <c r="O672" s="99"/>
      <c r="P672" s="99"/>
      <c r="Q672" s="99"/>
      <c r="R672" s="99"/>
      <c r="S672" s="99"/>
      <c r="T672" s="99"/>
    </row>
    <row r="673">
      <c r="A673" s="78"/>
      <c r="B673" s="99"/>
      <c r="C673" s="85"/>
      <c r="D673" s="99"/>
      <c r="E673" s="99"/>
      <c r="F673" s="99"/>
      <c r="G673" s="99"/>
      <c r="H673" s="99"/>
      <c r="I673" s="99"/>
      <c r="J673" s="99"/>
      <c r="K673" s="99"/>
      <c r="L673" s="99"/>
      <c r="M673" s="99"/>
      <c r="N673" s="99"/>
      <c r="O673" s="99"/>
      <c r="P673" s="99"/>
      <c r="Q673" s="99"/>
      <c r="R673" s="99"/>
      <c r="S673" s="99"/>
      <c r="T673" s="99"/>
    </row>
    <row r="674">
      <c r="A674" s="78"/>
      <c r="B674" s="99"/>
      <c r="C674" s="85"/>
      <c r="D674" s="99"/>
      <c r="E674" s="99"/>
      <c r="F674" s="99"/>
      <c r="G674" s="99"/>
      <c r="H674" s="99"/>
      <c r="I674" s="99"/>
      <c r="J674" s="99"/>
      <c r="K674" s="99"/>
      <c r="L674" s="99"/>
      <c r="M674" s="99"/>
      <c r="N674" s="99"/>
      <c r="O674" s="99"/>
      <c r="P674" s="99"/>
      <c r="Q674" s="99"/>
      <c r="R674" s="99"/>
      <c r="S674" s="99"/>
      <c r="T674" s="99"/>
    </row>
    <row r="675">
      <c r="A675" s="78"/>
      <c r="B675" s="99"/>
      <c r="C675" s="85"/>
      <c r="D675" s="99"/>
      <c r="E675" s="99"/>
      <c r="F675" s="99"/>
      <c r="G675" s="99"/>
      <c r="H675" s="99"/>
      <c r="I675" s="99"/>
      <c r="J675" s="99"/>
      <c r="K675" s="99"/>
      <c r="L675" s="99"/>
      <c r="M675" s="99"/>
      <c r="N675" s="99"/>
      <c r="O675" s="99"/>
      <c r="P675" s="99"/>
      <c r="Q675" s="99"/>
      <c r="R675" s="99"/>
      <c r="S675" s="99"/>
      <c r="T675" s="99"/>
    </row>
    <row r="676">
      <c r="A676" s="78"/>
      <c r="B676" s="99"/>
      <c r="C676" s="85"/>
      <c r="D676" s="99"/>
      <c r="E676" s="99"/>
      <c r="F676" s="99"/>
      <c r="G676" s="99"/>
      <c r="H676" s="99"/>
      <c r="I676" s="99"/>
      <c r="J676" s="99"/>
      <c r="K676" s="99"/>
      <c r="L676" s="99"/>
      <c r="M676" s="99"/>
      <c r="N676" s="99"/>
      <c r="O676" s="99"/>
      <c r="P676" s="99"/>
      <c r="Q676" s="99"/>
      <c r="R676" s="99"/>
      <c r="S676" s="99"/>
      <c r="T676" s="99"/>
    </row>
    <row r="677">
      <c r="A677" s="78"/>
      <c r="B677" s="99"/>
      <c r="C677" s="85"/>
      <c r="D677" s="99"/>
      <c r="E677" s="99"/>
      <c r="F677" s="99"/>
      <c r="G677" s="99"/>
      <c r="H677" s="99"/>
      <c r="I677" s="99"/>
      <c r="J677" s="99"/>
      <c r="K677" s="99"/>
      <c r="L677" s="99"/>
      <c r="M677" s="99"/>
      <c r="N677" s="99"/>
      <c r="O677" s="99"/>
      <c r="P677" s="99"/>
      <c r="Q677" s="99"/>
      <c r="R677" s="99"/>
      <c r="S677" s="99"/>
      <c r="T677" s="99"/>
    </row>
    <row r="678">
      <c r="A678" s="78"/>
      <c r="B678" s="99"/>
      <c r="C678" s="85"/>
      <c r="D678" s="99"/>
      <c r="E678" s="99"/>
      <c r="F678" s="99"/>
      <c r="G678" s="99"/>
      <c r="H678" s="99"/>
      <c r="I678" s="99"/>
      <c r="J678" s="99"/>
      <c r="K678" s="99"/>
      <c r="L678" s="99"/>
      <c r="M678" s="99"/>
      <c r="N678" s="99"/>
      <c r="O678" s="99"/>
      <c r="P678" s="99"/>
      <c r="Q678" s="99"/>
      <c r="R678" s="99"/>
      <c r="S678" s="99"/>
      <c r="T678" s="99"/>
    </row>
    <row r="679">
      <c r="A679" s="78"/>
      <c r="B679" s="99"/>
      <c r="C679" s="85"/>
      <c r="D679" s="99"/>
      <c r="E679" s="99"/>
      <c r="F679" s="99"/>
      <c r="G679" s="99"/>
      <c r="H679" s="99"/>
      <c r="I679" s="99"/>
      <c r="J679" s="99"/>
      <c r="K679" s="99"/>
      <c r="L679" s="99"/>
      <c r="M679" s="99"/>
      <c r="N679" s="99"/>
      <c r="O679" s="99"/>
      <c r="P679" s="99"/>
      <c r="Q679" s="99"/>
      <c r="R679" s="99"/>
      <c r="S679" s="99"/>
      <c r="T679" s="99"/>
    </row>
    <row r="680">
      <c r="A680" s="78"/>
      <c r="B680" s="99"/>
      <c r="C680" s="85"/>
      <c r="D680" s="99"/>
      <c r="E680" s="99"/>
      <c r="F680" s="99"/>
      <c r="G680" s="99"/>
      <c r="H680" s="99"/>
      <c r="I680" s="99"/>
      <c r="J680" s="99"/>
      <c r="K680" s="99"/>
      <c r="L680" s="99"/>
      <c r="M680" s="99"/>
      <c r="N680" s="99"/>
      <c r="O680" s="99"/>
      <c r="P680" s="99"/>
      <c r="Q680" s="99"/>
      <c r="R680" s="99"/>
      <c r="S680" s="99"/>
      <c r="T680" s="99"/>
    </row>
    <row r="681">
      <c r="A681" s="78"/>
      <c r="B681" s="99"/>
      <c r="C681" s="85"/>
      <c r="D681" s="99"/>
      <c r="E681" s="99"/>
      <c r="F681" s="99"/>
      <c r="G681" s="99"/>
      <c r="H681" s="99"/>
      <c r="I681" s="99"/>
      <c r="J681" s="99"/>
      <c r="K681" s="99"/>
      <c r="L681" s="99"/>
      <c r="M681" s="99"/>
      <c r="N681" s="99"/>
      <c r="O681" s="99"/>
      <c r="P681" s="99"/>
      <c r="Q681" s="99"/>
      <c r="R681" s="99"/>
      <c r="S681" s="99"/>
      <c r="T681" s="99"/>
    </row>
    <row r="682">
      <c r="A682" s="78"/>
      <c r="B682" s="99"/>
      <c r="C682" s="85"/>
      <c r="D682" s="99"/>
      <c r="E682" s="99"/>
      <c r="F682" s="99"/>
      <c r="G682" s="99"/>
      <c r="H682" s="99"/>
      <c r="I682" s="99"/>
      <c r="J682" s="99"/>
      <c r="K682" s="99"/>
      <c r="L682" s="99"/>
      <c r="M682" s="99"/>
      <c r="N682" s="99"/>
      <c r="O682" s="99"/>
      <c r="P682" s="99"/>
      <c r="Q682" s="99"/>
      <c r="R682" s="99"/>
      <c r="S682" s="99"/>
      <c r="T682" s="99"/>
    </row>
    <row r="683">
      <c r="A683" s="78"/>
      <c r="B683" s="99"/>
      <c r="C683" s="85"/>
      <c r="D683" s="99"/>
      <c r="E683" s="99"/>
      <c r="F683" s="99"/>
      <c r="G683" s="99"/>
      <c r="H683" s="99"/>
      <c r="I683" s="99"/>
      <c r="J683" s="99"/>
      <c r="K683" s="99"/>
      <c r="L683" s="99"/>
      <c r="M683" s="99"/>
      <c r="N683" s="99"/>
      <c r="O683" s="99"/>
      <c r="P683" s="99"/>
      <c r="Q683" s="99"/>
      <c r="R683" s="99"/>
      <c r="S683" s="99"/>
      <c r="T683" s="99"/>
    </row>
    <row r="684">
      <c r="A684" s="78"/>
      <c r="B684" s="99"/>
      <c r="C684" s="85"/>
      <c r="D684" s="99"/>
      <c r="E684" s="99"/>
      <c r="F684" s="99"/>
      <c r="G684" s="99"/>
      <c r="H684" s="99"/>
      <c r="I684" s="99"/>
      <c r="J684" s="99"/>
      <c r="K684" s="99"/>
      <c r="L684" s="99"/>
      <c r="M684" s="99"/>
      <c r="N684" s="99"/>
      <c r="O684" s="99"/>
      <c r="P684" s="99"/>
      <c r="Q684" s="99"/>
      <c r="R684" s="99"/>
      <c r="S684" s="99"/>
      <c r="T684" s="99"/>
    </row>
    <row r="685">
      <c r="A685" s="78"/>
      <c r="B685" s="99"/>
      <c r="C685" s="85"/>
      <c r="D685" s="99"/>
      <c r="E685" s="99"/>
      <c r="F685" s="99"/>
      <c r="G685" s="99"/>
      <c r="H685" s="99"/>
      <c r="I685" s="99"/>
      <c r="J685" s="99"/>
      <c r="K685" s="99"/>
      <c r="L685" s="99"/>
      <c r="M685" s="99"/>
      <c r="N685" s="99"/>
      <c r="O685" s="99"/>
      <c r="P685" s="99"/>
      <c r="Q685" s="99"/>
      <c r="R685" s="99"/>
      <c r="S685" s="99"/>
      <c r="T685" s="99"/>
    </row>
    <row r="686">
      <c r="A686" s="78"/>
      <c r="B686" s="99"/>
      <c r="C686" s="85"/>
      <c r="D686" s="99"/>
      <c r="E686" s="99"/>
      <c r="F686" s="99"/>
      <c r="G686" s="99"/>
      <c r="H686" s="99"/>
      <c r="I686" s="99"/>
      <c r="J686" s="99"/>
      <c r="K686" s="99"/>
      <c r="L686" s="99"/>
      <c r="M686" s="99"/>
      <c r="N686" s="99"/>
      <c r="O686" s="99"/>
      <c r="P686" s="99"/>
      <c r="Q686" s="99"/>
      <c r="R686" s="99"/>
      <c r="S686" s="99"/>
      <c r="T686" s="99"/>
    </row>
    <row r="687">
      <c r="A687" s="78"/>
      <c r="B687" s="99"/>
      <c r="C687" s="85"/>
      <c r="D687" s="99"/>
      <c r="E687" s="99"/>
      <c r="F687" s="99"/>
      <c r="G687" s="99"/>
      <c r="H687" s="99"/>
      <c r="I687" s="99"/>
      <c r="J687" s="99"/>
      <c r="K687" s="99"/>
      <c r="L687" s="99"/>
      <c r="M687" s="99"/>
      <c r="N687" s="99"/>
      <c r="O687" s="99"/>
      <c r="P687" s="99"/>
      <c r="Q687" s="99"/>
      <c r="R687" s="99"/>
      <c r="S687" s="99"/>
      <c r="T687" s="99"/>
    </row>
    <row r="688">
      <c r="A688" s="78"/>
      <c r="B688" s="99"/>
      <c r="C688" s="85"/>
      <c r="D688" s="99"/>
      <c r="E688" s="99"/>
      <c r="F688" s="99"/>
      <c r="G688" s="99"/>
      <c r="H688" s="99"/>
      <c r="I688" s="99"/>
      <c r="J688" s="99"/>
      <c r="K688" s="99"/>
      <c r="L688" s="99"/>
      <c r="M688" s="99"/>
      <c r="N688" s="99"/>
      <c r="O688" s="99"/>
      <c r="P688" s="99"/>
      <c r="Q688" s="99"/>
      <c r="R688" s="99"/>
      <c r="S688" s="99"/>
      <c r="T688" s="99"/>
    </row>
    <row r="689">
      <c r="A689" s="78"/>
      <c r="B689" s="99"/>
      <c r="C689" s="85"/>
      <c r="D689" s="99"/>
      <c r="E689" s="99"/>
      <c r="F689" s="99"/>
      <c r="G689" s="99"/>
      <c r="H689" s="99"/>
      <c r="I689" s="99"/>
      <c r="J689" s="99"/>
      <c r="K689" s="99"/>
      <c r="L689" s="99"/>
      <c r="M689" s="99"/>
      <c r="N689" s="99"/>
      <c r="O689" s="99"/>
      <c r="P689" s="99"/>
      <c r="Q689" s="99"/>
      <c r="R689" s="99"/>
      <c r="S689" s="99"/>
      <c r="T689" s="99"/>
    </row>
    <row r="690">
      <c r="A690" s="78"/>
      <c r="B690" s="99"/>
      <c r="C690" s="85"/>
      <c r="D690" s="99"/>
      <c r="E690" s="99"/>
      <c r="F690" s="99"/>
      <c r="G690" s="99"/>
      <c r="H690" s="99"/>
      <c r="I690" s="99"/>
      <c r="J690" s="99"/>
      <c r="K690" s="99"/>
      <c r="L690" s="99"/>
      <c r="M690" s="99"/>
      <c r="N690" s="99"/>
      <c r="O690" s="99"/>
      <c r="P690" s="99"/>
      <c r="Q690" s="99"/>
      <c r="R690" s="99"/>
      <c r="S690" s="99"/>
      <c r="T690" s="99"/>
    </row>
    <row r="691">
      <c r="A691" s="78"/>
      <c r="B691" s="99"/>
      <c r="C691" s="85"/>
      <c r="D691" s="99"/>
      <c r="E691" s="99"/>
      <c r="F691" s="99"/>
      <c r="G691" s="99"/>
      <c r="H691" s="99"/>
      <c r="I691" s="99"/>
      <c r="J691" s="99"/>
      <c r="K691" s="99"/>
      <c r="L691" s="99"/>
      <c r="M691" s="99"/>
      <c r="N691" s="99"/>
      <c r="O691" s="99"/>
      <c r="P691" s="99"/>
      <c r="Q691" s="99"/>
      <c r="R691" s="99"/>
      <c r="S691" s="99"/>
      <c r="T691" s="99"/>
    </row>
    <row r="692">
      <c r="A692" s="78"/>
      <c r="B692" s="99"/>
      <c r="C692" s="85"/>
      <c r="D692" s="99"/>
      <c r="E692" s="99"/>
      <c r="F692" s="99"/>
      <c r="G692" s="99"/>
      <c r="H692" s="99"/>
      <c r="I692" s="99"/>
      <c r="J692" s="99"/>
      <c r="K692" s="99"/>
      <c r="L692" s="99"/>
      <c r="M692" s="99"/>
      <c r="N692" s="99"/>
      <c r="O692" s="99"/>
      <c r="P692" s="99"/>
      <c r="Q692" s="99"/>
      <c r="R692" s="99"/>
      <c r="S692" s="99"/>
      <c r="T692" s="99"/>
    </row>
    <row r="693">
      <c r="A693" s="78"/>
      <c r="B693" s="99"/>
      <c r="C693" s="85"/>
      <c r="D693" s="99"/>
      <c r="E693" s="99"/>
      <c r="F693" s="99"/>
      <c r="G693" s="99"/>
      <c r="H693" s="99"/>
      <c r="I693" s="99"/>
      <c r="J693" s="99"/>
      <c r="K693" s="99"/>
      <c r="L693" s="99"/>
      <c r="M693" s="99"/>
      <c r="N693" s="99"/>
      <c r="O693" s="99"/>
      <c r="P693" s="99"/>
      <c r="Q693" s="99"/>
      <c r="R693" s="99"/>
      <c r="S693" s="99"/>
      <c r="T693" s="99"/>
    </row>
    <row r="694">
      <c r="A694" s="78"/>
      <c r="B694" s="99"/>
      <c r="C694" s="85"/>
      <c r="D694" s="99"/>
      <c r="E694" s="99"/>
      <c r="F694" s="99"/>
      <c r="G694" s="99"/>
      <c r="H694" s="99"/>
      <c r="I694" s="99"/>
      <c r="J694" s="99"/>
      <c r="K694" s="99"/>
      <c r="L694" s="99"/>
      <c r="M694" s="99"/>
      <c r="N694" s="99"/>
      <c r="O694" s="99"/>
      <c r="P694" s="99"/>
      <c r="Q694" s="99"/>
      <c r="R694" s="99"/>
      <c r="S694" s="99"/>
      <c r="T694" s="99"/>
    </row>
    <row r="695">
      <c r="A695" s="78"/>
      <c r="B695" s="99"/>
      <c r="C695" s="85"/>
      <c r="D695" s="99"/>
      <c r="E695" s="99"/>
      <c r="F695" s="99"/>
      <c r="G695" s="99"/>
      <c r="H695" s="99"/>
      <c r="I695" s="99"/>
      <c r="J695" s="99"/>
      <c r="K695" s="99"/>
      <c r="L695" s="99"/>
      <c r="M695" s="99"/>
      <c r="N695" s="99"/>
      <c r="O695" s="99"/>
      <c r="P695" s="99"/>
      <c r="Q695" s="99"/>
      <c r="R695" s="99"/>
      <c r="S695" s="99"/>
      <c r="T695" s="99"/>
    </row>
    <row r="696">
      <c r="A696" s="78"/>
      <c r="B696" s="99"/>
      <c r="C696" s="85"/>
      <c r="D696" s="99"/>
      <c r="E696" s="99"/>
      <c r="F696" s="99"/>
      <c r="G696" s="99"/>
      <c r="H696" s="99"/>
      <c r="I696" s="99"/>
      <c r="J696" s="99"/>
      <c r="K696" s="99"/>
      <c r="L696" s="99"/>
      <c r="M696" s="99"/>
      <c r="N696" s="99"/>
      <c r="O696" s="99"/>
      <c r="P696" s="99"/>
      <c r="Q696" s="99"/>
      <c r="R696" s="99"/>
      <c r="S696" s="99"/>
      <c r="T696" s="99"/>
    </row>
    <row r="697">
      <c r="A697" s="78"/>
      <c r="B697" s="99"/>
      <c r="C697" s="85"/>
      <c r="D697" s="99"/>
      <c r="E697" s="99"/>
      <c r="F697" s="99"/>
      <c r="G697" s="99"/>
      <c r="H697" s="99"/>
      <c r="I697" s="99"/>
      <c r="J697" s="99"/>
      <c r="K697" s="99"/>
      <c r="L697" s="99"/>
      <c r="M697" s="99"/>
      <c r="N697" s="99"/>
      <c r="O697" s="99"/>
      <c r="P697" s="99"/>
      <c r="Q697" s="99"/>
      <c r="R697" s="99"/>
      <c r="S697" s="99"/>
      <c r="T697" s="99"/>
    </row>
    <row r="698">
      <c r="A698" s="78"/>
      <c r="B698" s="99"/>
      <c r="C698" s="85"/>
      <c r="D698" s="99"/>
      <c r="E698" s="99"/>
      <c r="F698" s="99"/>
      <c r="G698" s="99"/>
      <c r="H698" s="99"/>
      <c r="I698" s="99"/>
      <c r="J698" s="99"/>
      <c r="K698" s="99"/>
      <c r="L698" s="99"/>
      <c r="M698" s="99"/>
      <c r="N698" s="99"/>
      <c r="O698" s="99"/>
      <c r="P698" s="99"/>
      <c r="Q698" s="99"/>
      <c r="R698" s="99"/>
      <c r="S698" s="99"/>
      <c r="T698" s="99"/>
    </row>
    <row r="699">
      <c r="A699" s="78"/>
      <c r="B699" s="99"/>
      <c r="C699" s="85"/>
      <c r="D699" s="99"/>
      <c r="E699" s="99"/>
      <c r="F699" s="99"/>
      <c r="G699" s="99"/>
      <c r="H699" s="99"/>
      <c r="I699" s="99"/>
      <c r="J699" s="99"/>
      <c r="K699" s="99"/>
      <c r="L699" s="99"/>
      <c r="M699" s="99"/>
      <c r="N699" s="99"/>
      <c r="O699" s="99"/>
      <c r="P699" s="99"/>
      <c r="Q699" s="99"/>
      <c r="R699" s="99"/>
      <c r="S699" s="99"/>
      <c r="T699" s="99"/>
    </row>
    <row r="700">
      <c r="A700" s="78"/>
      <c r="B700" s="99"/>
      <c r="C700" s="85"/>
      <c r="D700" s="99"/>
      <c r="E700" s="99"/>
      <c r="F700" s="99"/>
      <c r="G700" s="99"/>
      <c r="H700" s="99"/>
      <c r="I700" s="99"/>
      <c r="J700" s="99"/>
      <c r="K700" s="99"/>
      <c r="L700" s="99"/>
      <c r="M700" s="99"/>
      <c r="N700" s="99"/>
      <c r="O700" s="99"/>
      <c r="P700" s="99"/>
      <c r="Q700" s="99"/>
      <c r="R700" s="99"/>
      <c r="S700" s="99"/>
      <c r="T700" s="99"/>
    </row>
    <row r="701">
      <c r="A701" s="78"/>
      <c r="B701" s="99"/>
      <c r="C701" s="85"/>
      <c r="D701" s="99"/>
      <c r="E701" s="99"/>
      <c r="F701" s="99"/>
      <c r="G701" s="99"/>
      <c r="H701" s="99"/>
      <c r="I701" s="99"/>
      <c r="J701" s="99"/>
      <c r="K701" s="99"/>
      <c r="L701" s="99"/>
      <c r="M701" s="99"/>
      <c r="N701" s="99"/>
      <c r="O701" s="99"/>
      <c r="P701" s="99"/>
      <c r="Q701" s="99"/>
      <c r="R701" s="99"/>
      <c r="S701" s="99"/>
      <c r="T701" s="99"/>
    </row>
    <row r="702">
      <c r="A702" s="78"/>
      <c r="B702" s="99"/>
      <c r="C702" s="85"/>
      <c r="D702" s="99"/>
      <c r="E702" s="99"/>
      <c r="F702" s="99"/>
      <c r="G702" s="99"/>
      <c r="H702" s="99"/>
      <c r="I702" s="99"/>
      <c r="J702" s="99"/>
      <c r="K702" s="99"/>
      <c r="L702" s="99"/>
      <c r="M702" s="99"/>
      <c r="N702" s="99"/>
      <c r="O702" s="99"/>
      <c r="P702" s="99"/>
      <c r="Q702" s="99"/>
      <c r="R702" s="99"/>
      <c r="S702" s="99"/>
      <c r="T702" s="99"/>
    </row>
    <row r="703">
      <c r="A703" s="78"/>
      <c r="B703" s="99"/>
      <c r="C703" s="85"/>
      <c r="D703" s="99"/>
      <c r="E703" s="99"/>
      <c r="F703" s="99"/>
      <c r="G703" s="99"/>
      <c r="H703" s="99"/>
      <c r="I703" s="99"/>
      <c r="J703" s="99"/>
      <c r="K703" s="99"/>
      <c r="L703" s="99"/>
      <c r="M703" s="99"/>
      <c r="N703" s="99"/>
      <c r="O703" s="99"/>
      <c r="P703" s="99"/>
      <c r="Q703" s="99"/>
      <c r="R703" s="99"/>
      <c r="S703" s="99"/>
      <c r="T703" s="99"/>
    </row>
    <row r="704">
      <c r="A704" s="78"/>
      <c r="B704" s="99"/>
      <c r="C704" s="85"/>
      <c r="D704" s="99"/>
      <c r="E704" s="99"/>
      <c r="F704" s="99"/>
      <c r="G704" s="99"/>
      <c r="H704" s="99"/>
      <c r="I704" s="99"/>
      <c r="J704" s="99"/>
      <c r="K704" s="99"/>
      <c r="L704" s="99"/>
      <c r="M704" s="99"/>
      <c r="N704" s="99"/>
      <c r="O704" s="99"/>
      <c r="P704" s="99"/>
      <c r="Q704" s="99"/>
      <c r="R704" s="99"/>
      <c r="S704" s="99"/>
      <c r="T704" s="99"/>
    </row>
    <row r="705">
      <c r="A705" s="78"/>
      <c r="B705" s="99"/>
      <c r="C705" s="85"/>
      <c r="D705" s="99"/>
      <c r="E705" s="99"/>
      <c r="F705" s="99"/>
      <c r="G705" s="99"/>
      <c r="H705" s="99"/>
      <c r="I705" s="99"/>
      <c r="J705" s="99"/>
      <c r="K705" s="99"/>
      <c r="L705" s="99"/>
      <c r="M705" s="99"/>
      <c r="N705" s="99"/>
      <c r="O705" s="99"/>
      <c r="P705" s="99"/>
      <c r="Q705" s="99"/>
      <c r="R705" s="99"/>
      <c r="S705" s="99"/>
      <c r="T705" s="99"/>
    </row>
    <row r="706">
      <c r="A706" s="78"/>
      <c r="B706" s="99"/>
      <c r="C706" s="85"/>
      <c r="D706" s="99"/>
      <c r="E706" s="99"/>
      <c r="F706" s="99"/>
      <c r="G706" s="99"/>
      <c r="H706" s="99"/>
      <c r="I706" s="99"/>
      <c r="J706" s="99"/>
      <c r="K706" s="99"/>
      <c r="L706" s="99"/>
      <c r="M706" s="99"/>
      <c r="N706" s="99"/>
      <c r="O706" s="99"/>
      <c r="P706" s="99"/>
      <c r="Q706" s="99"/>
      <c r="R706" s="99"/>
      <c r="S706" s="99"/>
      <c r="T706" s="99"/>
    </row>
    <row r="707">
      <c r="A707" s="78"/>
      <c r="B707" s="99"/>
      <c r="C707" s="85"/>
      <c r="D707" s="99"/>
      <c r="E707" s="99"/>
      <c r="F707" s="99"/>
      <c r="G707" s="99"/>
      <c r="H707" s="99"/>
      <c r="I707" s="99"/>
      <c r="J707" s="99"/>
      <c r="K707" s="99"/>
      <c r="L707" s="99"/>
      <c r="M707" s="99"/>
      <c r="N707" s="99"/>
      <c r="O707" s="99"/>
      <c r="P707" s="99"/>
      <c r="Q707" s="99"/>
      <c r="R707" s="99"/>
      <c r="S707" s="99"/>
      <c r="T707" s="99"/>
    </row>
    <row r="708">
      <c r="A708" s="78"/>
      <c r="B708" s="99"/>
      <c r="C708" s="85"/>
      <c r="D708" s="99"/>
      <c r="E708" s="99"/>
      <c r="F708" s="99"/>
      <c r="G708" s="99"/>
      <c r="H708" s="99"/>
      <c r="I708" s="99"/>
      <c r="J708" s="99"/>
      <c r="K708" s="99"/>
      <c r="L708" s="99"/>
      <c r="M708" s="99"/>
      <c r="N708" s="99"/>
      <c r="O708" s="99"/>
      <c r="P708" s="99"/>
      <c r="Q708" s="99"/>
      <c r="R708" s="99"/>
      <c r="S708" s="99"/>
      <c r="T708" s="99"/>
    </row>
    <row r="709">
      <c r="A709" s="78"/>
      <c r="B709" s="99"/>
      <c r="C709" s="85"/>
      <c r="D709" s="99"/>
      <c r="E709" s="99"/>
      <c r="F709" s="99"/>
      <c r="G709" s="99"/>
      <c r="H709" s="99"/>
      <c r="I709" s="99"/>
      <c r="J709" s="99"/>
      <c r="K709" s="99"/>
      <c r="L709" s="99"/>
      <c r="M709" s="99"/>
      <c r="N709" s="99"/>
      <c r="O709" s="99"/>
      <c r="P709" s="99"/>
      <c r="Q709" s="99"/>
      <c r="R709" s="99"/>
      <c r="S709" s="99"/>
      <c r="T709" s="99"/>
    </row>
    <row r="710">
      <c r="A710" s="78"/>
      <c r="B710" s="99"/>
      <c r="C710" s="85"/>
      <c r="D710" s="99"/>
      <c r="E710" s="99"/>
      <c r="F710" s="99"/>
      <c r="G710" s="99"/>
      <c r="H710" s="99"/>
      <c r="I710" s="99"/>
      <c r="J710" s="99"/>
      <c r="K710" s="99"/>
      <c r="L710" s="99"/>
      <c r="M710" s="99"/>
      <c r="N710" s="99"/>
      <c r="O710" s="99"/>
      <c r="P710" s="99"/>
      <c r="Q710" s="99"/>
      <c r="R710" s="99"/>
      <c r="S710" s="99"/>
      <c r="T710" s="99"/>
    </row>
    <row r="711">
      <c r="A711" s="78"/>
      <c r="B711" s="99"/>
      <c r="C711" s="85"/>
      <c r="D711" s="99"/>
      <c r="E711" s="99"/>
      <c r="F711" s="99"/>
      <c r="G711" s="99"/>
      <c r="H711" s="99"/>
      <c r="I711" s="99"/>
      <c r="J711" s="99"/>
      <c r="K711" s="99"/>
      <c r="L711" s="99"/>
      <c r="M711" s="99"/>
      <c r="N711" s="99"/>
      <c r="O711" s="99"/>
      <c r="P711" s="99"/>
      <c r="Q711" s="99"/>
      <c r="R711" s="99"/>
      <c r="S711" s="99"/>
      <c r="T711" s="99"/>
    </row>
    <row r="712">
      <c r="A712" s="78"/>
      <c r="B712" s="99"/>
      <c r="C712" s="85"/>
      <c r="D712" s="99"/>
      <c r="E712" s="99"/>
      <c r="F712" s="99"/>
      <c r="G712" s="99"/>
      <c r="H712" s="99"/>
      <c r="I712" s="99"/>
      <c r="J712" s="99"/>
      <c r="K712" s="99"/>
      <c r="L712" s="99"/>
      <c r="M712" s="99"/>
      <c r="N712" s="99"/>
      <c r="O712" s="99"/>
      <c r="P712" s="99"/>
      <c r="Q712" s="99"/>
      <c r="R712" s="99"/>
      <c r="S712" s="99"/>
      <c r="T712" s="99"/>
    </row>
    <row r="713">
      <c r="A713" s="78"/>
      <c r="B713" s="99"/>
      <c r="C713" s="85"/>
      <c r="D713" s="99"/>
      <c r="E713" s="99"/>
      <c r="F713" s="99"/>
      <c r="G713" s="99"/>
      <c r="H713" s="99"/>
      <c r="I713" s="99"/>
      <c r="J713" s="99"/>
      <c r="K713" s="99"/>
      <c r="L713" s="99"/>
      <c r="M713" s="99"/>
      <c r="N713" s="99"/>
      <c r="O713" s="99"/>
      <c r="P713" s="99"/>
      <c r="Q713" s="99"/>
      <c r="R713" s="99"/>
      <c r="S713" s="99"/>
      <c r="T713" s="99"/>
    </row>
    <row r="714">
      <c r="A714" s="78"/>
      <c r="B714" s="99"/>
      <c r="C714" s="85"/>
      <c r="D714" s="99"/>
      <c r="E714" s="99"/>
      <c r="F714" s="99"/>
      <c r="G714" s="99"/>
      <c r="H714" s="99"/>
      <c r="I714" s="99"/>
      <c r="J714" s="99"/>
      <c r="K714" s="99"/>
      <c r="L714" s="99"/>
      <c r="M714" s="99"/>
      <c r="N714" s="99"/>
      <c r="O714" s="99"/>
      <c r="P714" s="99"/>
      <c r="Q714" s="99"/>
      <c r="R714" s="99"/>
      <c r="S714" s="99"/>
      <c r="T714" s="99"/>
    </row>
    <row r="715">
      <c r="A715" s="78"/>
      <c r="B715" s="99"/>
      <c r="C715" s="85"/>
      <c r="D715" s="99"/>
      <c r="E715" s="99"/>
      <c r="F715" s="99"/>
      <c r="G715" s="99"/>
      <c r="H715" s="99"/>
      <c r="I715" s="99"/>
      <c r="J715" s="99"/>
      <c r="K715" s="99"/>
      <c r="L715" s="99"/>
      <c r="M715" s="99"/>
      <c r="N715" s="99"/>
      <c r="O715" s="99"/>
      <c r="P715" s="99"/>
      <c r="Q715" s="99"/>
      <c r="R715" s="99"/>
      <c r="S715" s="99"/>
      <c r="T715" s="99"/>
    </row>
    <row r="716">
      <c r="A716" s="78"/>
      <c r="B716" s="99"/>
      <c r="C716" s="85"/>
      <c r="D716" s="99"/>
      <c r="E716" s="99"/>
      <c r="F716" s="99"/>
      <c r="G716" s="99"/>
      <c r="H716" s="99"/>
      <c r="I716" s="99"/>
      <c r="J716" s="99"/>
      <c r="K716" s="99"/>
      <c r="L716" s="99"/>
      <c r="M716" s="99"/>
      <c r="N716" s="99"/>
      <c r="O716" s="99"/>
      <c r="P716" s="99"/>
      <c r="Q716" s="99"/>
      <c r="R716" s="99"/>
      <c r="S716" s="99"/>
      <c r="T716" s="99"/>
    </row>
    <row r="717">
      <c r="A717" s="78"/>
      <c r="B717" s="99"/>
      <c r="C717" s="85"/>
      <c r="D717" s="99"/>
      <c r="E717" s="99"/>
      <c r="F717" s="99"/>
      <c r="G717" s="99"/>
      <c r="H717" s="99"/>
      <c r="I717" s="99"/>
      <c r="J717" s="99"/>
      <c r="K717" s="99"/>
      <c r="L717" s="99"/>
      <c r="M717" s="99"/>
      <c r="N717" s="99"/>
      <c r="O717" s="99"/>
      <c r="P717" s="99"/>
      <c r="Q717" s="99"/>
      <c r="R717" s="99"/>
      <c r="S717" s="99"/>
      <c r="T717" s="99"/>
    </row>
    <row r="718">
      <c r="A718" s="78"/>
      <c r="B718" s="99"/>
      <c r="C718" s="85"/>
      <c r="D718" s="99"/>
      <c r="E718" s="99"/>
      <c r="F718" s="99"/>
      <c r="G718" s="99"/>
      <c r="H718" s="99"/>
      <c r="I718" s="99"/>
      <c r="J718" s="99"/>
      <c r="K718" s="99"/>
      <c r="L718" s="99"/>
      <c r="M718" s="99"/>
      <c r="N718" s="99"/>
      <c r="O718" s="99"/>
      <c r="P718" s="99"/>
      <c r="Q718" s="99"/>
      <c r="R718" s="99"/>
      <c r="S718" s="99"/>
      <c r="T718" s="99"/>
    </row>
    <row r="719">
      <c r="A719" s="78"/>
      <c r="B719" s="99"/>
      <c r="C719" s="85"/>
      <c r="D719" s="99"/>
      <c r="E719" s="99"/>
      <c r="F719" s="99"/>
      <c r="G719" s="99"/>
      <c r="H719" s="99"/>
      <c r="I719" s="99"/>
      <c r="J719" s="99"/>
      <c r="K719" s="99"/>
      <c r="L719" s="99"/>
      <c r="M719" s="99"/>
      <c r="N719" s="99"/>
      <c r="O719" s="99"/>
      <c r="P719" s="99"/>
      <c r="Q719" s="99"/>
      <c r="R719" s="99"/>
      <c r="S719" s="99"/>
      <c r="T719" s="99"/>
    </row>
    <row r="720">
      <c r="A720" s="78"/>
      <c r="B720" s="99"/>
      <c r="C720" s="85"/>
      <c r="D720" s="99"/>
      <c r="E720" s="99"/>
      <c r="F720" s="99"/>
      <c r="G720" s="99"/>
      <c r="H720" s="99"/>
      <c r="I720" s="99"/>
      <c r="J720" s="99"/>
      <c r="K720" s="99"/>
      <c r="L720" s="99"/>
      <c r="M720" s="99"/>
      <c r="N720" s="99"/>
      <c r="O720" s="99"/>
      <c r="P720" s="99"/>
      <c r="Q720" s="99"/>
      <c r="R720" s="99"/>
      <c r="S720" s="99"/>
      <c r="T720" s="99"/>
    </row>
    <row r="721">
      <c r="A721" s="78"/>
      <c r="B721" s="99"/>
      <c r="C721" s="85"/>
      <c r="D721" s="99"/>
      <c r="E721" s="99"/>
      <c r="F721" s="99"/>
      <c r="G721" s="99"/>
      <c r="H721" s="99"/>
      <c r="I721" s="99"/>
      <c r="J721" s="99"/>
      <c r="K721" s="99"/>
      <c r="L721" s="99"/>
      <c r="M721" s="99"/>
      <c r="N721" s="99"/>
      <c r="O721" s="99"/>
      <c r="P721" s="99"/>
      <c r="Q721" s="99"/>
      <c r="R721" s="99"/>
      <c r="S721" s="99"/>
      <c r="T721" s="99"/>
    </row>
    <row r="722">
      <c r="A722" s="78"/>
      <c r="B722" s="99"/>
      <c r="C722" s="85"/>
      <c r="D722" s="99"/>
      <c r="E722" s="99"/>
      <c r="F722" s="99"/>
      <c r="G722" s="99"/>
      <c r="H722" s="99"/>
      <c r="I722" s="99"/>
      <c r="J722" s="99"/>
      <c r="K722" s="99"/>
      <c r="L722" s="99"/>
      <c r="M722" s="99"/>
      <c r="N722" s="99"/>
      <c r="O722" s="99"/>
      <c r="P722" s="99"/>
      <c r="Q722" s="99"/>
      <c r="R722" s="99"/>
      <c r="S722" s="99"/>
      <c r="T722" s="99"/>
    </row>
    <row r="723">
      <c r="A723" s="78"/>
      <c r="B723" s="99"/>
      <c r="C723" s="85"/>
      <c r="D723" s="99"/>
      <c r="E723" s="99"/>
      <c r="F723" s="99"/>
      <c r="G723" s="99"/>
      <c r="H723" s="99"/>
      <c r="I723" s="99"/>
      <c r="J723" s="99"/>
      <c r="K723" s="99"/>
      <c r="L723" s="99"/>
      <c r="M723" s="99"/>
      <c r="N723" s="99"/>
      <c r="O723" s="99"/>
      <c r="P723" s="99"/>
      <c r="Q723" s="99"/>
      <c r="R723" s="99"/>
      <c r="S723" s="99"/>
      <c r="T723" s="99"/>
    </row>
    <row r="724">
      <c r="A724" s="78"/>
      <c r="B724" s="99"/>
      <c r="C724" s="85"/>
      <c r="D724" s="99"/>
      <c r="E724" s="99"/>
      <c r="F724" s="99"/>
      <c r="G724" s="99"/>
      <c r="H724" s="99"/>
      <c r="I724" s="99"/>
      <c r="J724" s="99"/>
      <c r="K724" s="99"/>
      <c r="L724" s="99"/>
      <c r="M724" s="99"/>
      <c r="N724" s="99"/>
      <c r="O724" s="99"/>
      <c r="P724" s="99"/>
      <c r="Q724" s="99"/>
      <c r="R724" s="99"/>
      <c r="S724" s="99"/>
      <c r="T724" s="99"/>
    </row>
    <row r="725">
      <c r="A725" s="78"/>
      <c r="B725" s="99"/>
      <c r="C725" s="85"/>
      <c r="D725" s="99"/>
      <c r="E725" s="99"/>
      <c r="F725" s="99"/>
      <c r="G725" s="99"/>
      <c r="H725" s="99"/>
      <c r="I725" s="99"/>
      <c r="J725" s="99"/>
      <c r="K725" s="99"/>
      <c r="L725" s="99"/>
      <c r="M725" s="99"/>
      <c r="N725" s="99"/>
      <c r="O725" s="99"/>
      <c r="P725" s="99"/>
      <c r="Q725" s="99"/>
      <c r="R725" s="99"/>
      <c r="S725" s="99"/>
      <c r="T725" s="99"/>
    </row>
    <row r="726">
      <c r="A726" s="78"/>
      <c r="B726" s="99"/>
      <c r="C726" s="85"/>
      <c r="D726" s="99"/>
      <c r="E726" s="99"/>
      <c r="F726" s="99"/>
      <c r="G726" s="99"/>
      <c r="H726" s="99"/>
      <c r="I726" s="99"/>
      <c r="J726" s="99"/>
      <c r="K726" s="99"/>
      <c r="L726" s="99"/>
      <c r="M726" s="99"/>
      <c r="N726" s="99"/>
      <c r="O726" s="99"/>
      <c r="P726" s="99"/>
      <c r="Q726" s="99"/>
      <c r="R726" s="99"/>
      <c r="S726" s="99"/>
      <c r="T726" s="99"/>
    </row>
    <row r="727">
      <c r="A727" s="78"/>
      <c r="B727" s="99"/>
      <c r="C727" s="85"/>
      <c r="D727" s="99"/>
      <c r="E727" s="99"/>
      <c r="F727" s="99"/>
      <c r="G727" s="99"/>
      <c r="H727" s="99"/>
      <c r="I727" s="99"/>
      <c r="J727" s="99"/>
      <c r="K727" s="99"/>
      <c r="L727" s="99"/>
      <c r="M727" s="99"/>
      <c r="N727" s="99"/>
      <c r="O727" s="99"/>
      <c r="P727" s="99"/>
      <c r="Q727" s="99"/>
      <c r="R727" s="99"/>
      <c r="S727" s="99"/>
      <c r="T727" s="99"/>
    </row>
    <row r="728">
      <c r="A728" s="78"/>
      <c r="B728" s="99"/>
      <c r="C728" s="85"/>
      <c r="D728" s="99"/>
      <c r="E728" s="99"/>
      <c r="F728" s="99"/>
      <c r="G728" s="99"/>
      <c r="H728" s="99"/>
      <c r="I728" s="99"/>
      <c r="J728" s="99"/>
      <c r="K728" s="99"/>
      <c r="L728" s="99"/>
      <c r="M728" s="99"/>
      <c r="N728" s="99"/>
      <c r="O728" s="99"/>
      <c r="P728" s="99"/>
      <c r="Q728" s="99"/>
      <c r="R728" s="99"/>
      <c r="S728" s="99"/>
      <c r="T728" s="99"/>
    </row>
    <row r="729">
      <c r="A729" s="78"/>
      <c r="B729" s="99"/>
      <c r="C729" s="85"/>
      <c r="D729" s="99"/>
      <c r="E729" s="99"/>
      <c r="F729" s="99"/>
      <c r="G729" s="99"/>
      <c r="H729" s="99"/>
      <c r="I729" s="99"/>
      <c r="J729" s="99"/>
      <c r="K729" s="99"/>
      <c r="L729" s="99"/>
      <c r="M729" s="99"/>
      <c r="N729" s="99"/>
      <c r="O729" s="99"/>
      <c r="P729" s="99"/>
      <c r="Q729" s="99"/>
      <c r="R729" s="99"/>
      <c r="S729" s="99"/>
      <c r="T729" s="99"/>
    </row>
    <row r="730">
      <c r="A730" s="78"/>
      <c r="B730" s="99"/>
      <c r="C730" s="85"/>
      <c r="D730" s="99"/>
      <c r="E730" s="99"/>
      <c r="F730" s="99"/>
      <c r="G730" s="99"/>
      <c r="H730" s="99"/>
      <c r="I730" s="99"/>
      <c r="J730" s="99"/>
      <c r="K730" s="99"/>
      <c r="L730" s="99"/>
      <c r="M730" s="99"/>
      <c r="N730" s="99"/>
      <c r="O730" s="99"/>
      <c r="P730" s="99"/>
      <c r="Q730" s="99"/>
      <c r="R730" s="99"/>
      <c r="S730" s="99"/>
      <c r="T730" s="99"/>
    </row>
    <row r="731">
      <c r="A731" s="78"/>
      <c r="B731" s="99"/>
      <c r="C731" s="85"/>
      <c r="D731" s="99"/>
      <c r="E731" s="99"/>
      <c r="F731" s="99"/>
      <c r="G731" s="99"/>
      <c r="H731" s="99"/>
      <c r="I731" s="99"/>
      <c r="J731" s="99"/>
      <c r="K731" s="99"/>
      <c r="L731" s="99"/>
      <c r="M731" s="99"/>
      <c r="N731" s="99"/>
      <c r="O731" s="99"/>
      <c r="P731" s="99"/>
      <c r="Q731" s="99"/>
      <c r="R731" s="99"/>
      <c r="S731" s="99"/>
      <c r="T731" s="99"/>
    </row>
    <row r="732">
      <c r="A732" s="78"/>
      <c r="B732" s="99"/>
      <c r="C732" s="85"/>
      <c r="D732" s="99"/>
      <c r="E732" s="99"/>
      <c r="F732" s="99"/>
      <c r="G732" s="99"/>
      <c r="H732" s="99"/>
      <c r="I732" s="99"/>
      <c r="J732" s="99"/>
      <c r="K732" s="99"/>
      <c r="L732" s="99"/>
      <c r="M732" s="99"/>
      <c r="N732" s="99"/>
      <c r="O732" s="99"/>
      <c r="P732" s="99"/>
      <c r="Q732" s="99"/>
      <c r="R732" s="99"/>
      <c r="S732" s="99"/>
      <c r="T732" s="99"/>
    </row>
    <row r="733">
      <c r="A733" s="78"/>
      <c r="B733" s="99"/>
      <c r="C733" s="85"/>
      <c r="D733" s="99"/>
      <c r="E733" s="99"/>
      <c r="F733" s="99"/>
      <c r="G733" s="99"/>
      <c r="H733" s="99"/>
      <c r="I733" s="99"/>
      <c r="J733" s="99"/>
      <c r="K733" s="99"/>
      <c r="L733" s="99"/>
      <c r="M733" s="99"/>
      <c r="N733" s="99"/>
      <c r="O733" s="99"/>
      <c r="P733" s="99"/>
      <c r="Q733" s="99"/>
      <c r="R733" s="99"/>
      <c r="S733" s="99"/>
      <c r="T733" s="99"/>
    </row>
    <row r="734">
      <c r="A734" s="78"/>
      <c r="B734" s="99"/>
      <c r="C734" s="85"/>
      <c r="D734" s="99"/>
      <c r="E734" s="99"/>
      <c r="F734" s="99"/>
      <c r="G734" s="99"/>
      <c r="H734" s="99"/>
      <c r="I734" s="99"/>
      <c r="J734" s="99"/>
      <c r="K734" s="99"/>
      <c r="L734" s="99"/>
      <c r="M734" s="99"/>
      <c r="N734" s="99"/>
      <c r="O734" s="99"/>
      <c r="P734" s="99"/>
      <c r="Q734" s="99"/>
      <c r="R734" s="99"/>
      <c r="S734" s="99"/>
      <c r="T734" s="99"/>
    </row>
    <row r="735">
      <c r="A735" s="78"/>
      <c r="B735" s="99"/>
      <c r="C735" s="85"/>
      <c r="D735" s="99"/>
      <c r="E735" s="99"/>
      <c r="F735" s="99"/>
      <c r="G735" s="99"/>
      <c r="H735" s="99"/>
      <c r="I735" s="99"/>
      <c r="J735" s="99"/>
      <c r="K735" s="99"/>
      <c r="L735" s="99"/>
      <c r="M735" s="99"/>
      <c r="N735" s="99"/>
      <c r="O735" s="99"/>
      <c r="P735" s="99"/>
      <c r="Q735" s="99"/>
      <c r="R735" s="99"/>
      <c r="S735" s="99"/>
      <c r="T735" s="99"/>
    </row>
    <row r="736">
      <c r="A736" s="78"/>
      <c r="B736" s="99"/>
      <c r="C736" s="85"/>
      <c r="D736" s="99"/>
      <c r="E736" s="99"/>
      <c r="F736" s="99"/>
      <c r="G736" s="99"/>
      <c r="H736" s="99"/>
      <c r="I736" s="99"/>
      <c r="J736" s="99"/>
      <c r="K736" s="99"/>
      <c r="L736" s="99"/>
      <c r="M736" s="99"/>
      <c r="N736" s="99"/>
      <c r="O736" s="99"/>
      <c r="P736" s="99"/>
      <c r="Q736" s="99"/>
      <c r="R736" s="99"/>
      <c r="S736" s="99"/>
      <c r="T736" s="99"/>
    </row>
    <row r="737">
      <c r="A737" s="78"/>
      <c r="B737" s="99"/>
      <c r="C737" s="85"/>
      <c r="D737" s="99"/>
      <c r="E737" s="99"/>
      <c r="F737" s="99"/>
      <c r="G737" s="99"/>
      <c r="H737" s="99"/>
      <c r="I737" s="99"/>
      <c r="J737" s="99"/>
      <c r="K737" s="99"/>
      <c r="L737" s="99"/>
      <c r="M737" s="99"/>
      <c r="N737" s="99"/>
      <c r="O737" s="99"/>
      <c r="P737" s="99"/>
      <c r="Q737" s="99"/>
      <c r="R737" s="99"/>
      <c r="S737" s="99"/>
      <c r="T737" s="99"/>
    </row>
    <row r="738">
      <c r="A738" s="78"/>
      <c r="B738" s="99"/>
      <c r="C738" s="85"/>
      <c r="D738" s="99"/>
      <c r="E738" s="99"/>
      <c r="F738" s="99"/>
      <c r="G738" s="99"/>
      <c r="H738" s="99"/>
      <c r="I738" s="99"/>
      <c r="J738" s="99"/>
      <c r="K738" s="99"/>
      <c r="L738" s="99"/>
      <c r="M738" s="99"/>
      <c r="N738" s="99"/>
      <c r="O738" s="99"/>
      <c r="P738" s="99"/>
      <c r="Q738" s="99"/>
      <c r="R738" s="99"/>
      <c r="S738" s="99"/>
      <c r="T738" s="99"/>
    </row>
    <row r="739">
      <c r="A739" s="78"/>
      <c r="B739" s="99"/>
      <c r="C739" s="85"/>
      <c r="D739" s="99"/>
      <c r="E739" s="99"/>
      <c r="F739" s="99"/>
      <c r="G739" s="99"/>
      <c r="H739" s="99"/>
      <c r="I739" s="99"/>
      <c r="J739" s="99"/>
      <c r="K739" s="99"/>
      <c r="L739" s="99"/>
      <c r="M739" s="99"/>
      <c r="N739" s="99"/>
      <c r="O739" s="99"/>
      <c r="P739" s="99"/>
      <c r="Q739" s="99"/>
      <c r="R739" s="99"/>
      <c r="S739" s="99"/>
      <c r="T739" s="99"/>
    </row>
    <row r="740">
      <c r="A740" s="78"/>
      <c r="B740" s="99"/>
      <c r="C740" s="85"/>
      <c r="D740" s="99"/>
      <c r="E740" s="99"/>
      <c r="F740" s="99"/>
      <c r="G740" s="99"/>
      <c r="H740" s="99"/>
      <c r="I740" s="99"/>
      <c r="J740" s="99"/>
      <c r="K740" s="99"/>
      <c r="L740" s="99"/>
      <c r="M740" s="99"/>
      <c r="N740" s="99"/>
      <c r="O740" s="99"/>
      <c r="P740" s="99"/>
      <c r="Q740" s="99"/>
      <c r="R740" s="99"/>
      <c r="S740" s="99"/>
      <c r="T740" s="99"/>
    </row>
    <row r="741">
      <c r="A741" s="78"/>
      <c r="B741" s="99"/>
      <c r="C741" s="85"/>
      <c r="D741" s="99"/>
      <c r="E741" s="99"/>
      <c r="F741" s="99"/>
      <c r="G741" s="99"/>
      <c r="H741" s="99"/>
      <c r="I741" s="99"/>
      <c r="J741" s="99"/>
      <c r="K741" s="99"/>
      <c r="L741" s="99"/>
      <c r="M741" s="99"/>
      <c r="N741" s="99"/>
      <c r="O741" s="99"/>
      <c r="P741" s="99"/>
      <c r="Q741" s="99"/>
      <c r="R741" s="99"/>
      <c r="S741" s="99"/>
      <c r="T741" s="99"/>
    </row>
    <row r="742">
      <c r="A742" s="78"/>
      <c r="B742" s="99"/>
      <c r="C742" s="85"/>
      <c r="D742" s="99"/>
      <c r="E742" s="99"/>
      <c r="F742" s="99"/>
      <c r="G742" s="99"/>
      <c r="H742" s="99"/>
      <c r="I742" s="99"/>
      <c r="J742" s="99"/>
      <c r="K742" s="99"/>
      <c r="L742" s="99"/>
      <c r="M742" s="99"/>
      <c r="N742" s="99"/>
      <c r="O742" s="99"/>
      <c r="P742" s="99"/>
      <c r="Q742" s="99"/>
      <c r="R742" s="99"/>
      <c r="S742" s="99"/>
      <c r="T742" s="99"/>
    </row>
    <row r="743">
      <c r="A743" s="78"/>
      <c r="B743" s="99"/>
      <c r="C743" s="85"/>
      <c r="D743" s="99"/>
      <c r="E743" s="99"/>
      <c r="F743" s="99"/>
      <c r="G743" s="99"/>
      <c r="H743" s="99"/>
      <c r="I743" s="99"/>
      <c r="J743" s="99"/>
      <c r="K743" s="99"/>
      <c r="L743" s="99"/>
      <c r="M743" s="99"/>
      <c r="N743" s="99"/>
      <c r="O743" s="99"/>
      <c r="P743" s="99"/>
      <c r="Q743" s="99"/>
      <c r="R743" s="99"/>
      <c r="S743" s="99"/>
      <c r="T743" s="99"/>
    </row>
    <row r="744">
      <c r="A744" s="78"/>
      <c r="B744" s="99"/>
      <c r="C744" s="85"/>
      <c r="D744" s="99"/>
      <c r="E744" s="99"/>
      <c r="F744" s="99"/>
      <c r="G744" s="99"/>
      <c r="H744" s="99"/>
      <c r="I744" s="99"/>
      <c r="J744" s="99"/>
      <c r="K744" s="99"/>
      <c r="L744" s="99"/>
      <c r="M744" s="99"/>
      <c r="N744" s="99"/>
      <c r="O744" s="99"/>
      <c r="P744" s="99"/>
      <c r="Q744" s="99"/>
      <c r="R744" s="99"/>
      <c r="S744" s="99"/>
      <c r="T744" s="99"/>
    </row>
    <row r="745">
      <c r="A745" s="78"/>
      <c r="B745" s="99"/>
      <c r="C745" s="85"/>
      <c r="D745" s="99"/>
      <c r="E745" s="99"/>
      <c r="F745" s="99"/>
      <c r="G745" s="99"/>
      <c r="H745" s="99"/>
      <c r="I745" s="99"/>
      <c r="J745" s="99"/>
      <c r="K745" s="99"/>
      <c r="L745" s="99"/>
      <c r="M745" s="99"/>
      <c r="N745" s="99"/>
      <c r="O745" s="99"/>
      <c r="P745" s="99"/>
      <c r="Q745" s="99"/>
      <c r="R745" s="99"/>
      <c r="S745" s="99"/>
      <c r="T745" s="99"/>
    </row>
    <row r="746">
      <c r="A746" s="78"/>
      <c r="B746" s="99"/>
      <c r="C746" s="85"/>
      <c r="D746" s="99"/>
      <c r="E746" s="99"/>
      <c r="F746" s="99"/>
      <c r="G746" s="99"/>
      <c r="H746" s="99"/>
      <c r="I746" s="99"/>
      <c r="J746" s="99"/>
      <c r="K746" s="99"/>
      <c r="L746" s="99"/>
      <c r="M746" s="99"/>
      <c r="N746" s="99"/>
      <c r="O746" s="99"/>
      <c r="P746" s="99"/>
      <c r="Q746" s="99"/>
      <c r="R746" s="99"/>
      <c r="S746" s="99"/>
      <c r="T746" s="99"/>
    </row>
    <row r="747">
      <c r="A747" s="78"/>
      <c r="B747" s="99"/>
      <c r="C747" s="85"/>
      <c r="D747" s="99"/>
      <c r="E747" s="99"/>
      <c r="F747" s="99"/>
      <c r="G747" s="99"/>
      <c r="H747" s="99"/>
      <c r="I747" s="99"/>
      <c r="J747" s="99"/>
      <c r="K747" s="99"/>
      <c r="L747" s="99"/>
      <c r="M747" s="99"/>
      <c r="N747" s="99"/>
      <c r="O747" s="99"/>
      <c r="P747" s="99"/>
      <c r="Q747" s="99"/>
      <c r="R747" s="99"/>
      <c r="S747" s="99"/>
      <c r="T747" s="99"/>
    </row>
    <row r="748">
      <c r="A748" s="78"/>
      <c r="B748" s="99"/>
      <c r="C748" s="85"/>
      <c r="D748" s="99"/>
      <c r="E748" s="99"/>
      <c r="F748" s="99"/>
      <c r="G748" s="99"/>
      <c r="H748" s="99"/>
      <c r="I748" s="99"/>
      <c r="J748" s="99"/>
      <c r="K748" s="99"/>
      <c r="L748" s="99"/>
      <c r="M748" s="99"/>
      <c r="N748" s="99"/>
      <c r="O748" s="99"/>
      <c r="P748" s="99"/>
      <c r="Q748" s="99"/>
      <c r="R748" s="99"/>
      <c r="S748" s="99"/>
      <c r="T748" s="99"/>
    </row>
    <row r="749">
      <c r="A749" s="78"/>
      <c r="B749" s="99"/>
      <c r="C749" s="85"/>
      <c r="D749" s="99"/>
      <c r="E749" s="99"/>
      <c r="F749" s="99"/>
      <c r="G749" s="99"/>
      <c r="H749" s="99"/>
      <c r="I749" s="99"/>
      <c r="J749" s="99"/>
      <c r="K749" s="99"/>
      <c r="L749" s="99"/>
      <c r="M749" s="99"/>
      <c r="N749" s="99"/>
      <c r="O749" s="99"/>
      <c r="P749" s="99"/>
      <c r="Q749" s="99"/>
      <c r="R749" s="99"/>
      <c r="S749" s="99"/>
      <c r="T749" s="99"/>
    </row>
    <row r="750">
      <c r="A750" s="78"/>
      <c r="B750" s="99"/>
      <c r="C750" s="85"/>
      <c r="D750" s="99"/>
      <c r="E750" s="99"/>
      <c r="F750" s="99"/>
      <c r="G750" s="99"/>
      <c r="H750" s="99"/>
      <c r="I750" s="99"/>
      <c r="J750" s="99"/>
      <c r="K750" s="99"/>
      <c r="L750" s="99"/>
      <c r="M750" s="99"/>
      <c r="N750" s="99"/>
      <c r="O750" s="99"/>
      <c r="P750" s="99"/>
      <c r="Q750" s="99"/>
      <c r="R750" s="99"/>
      <c r="S750" s="99"/>
      <c r="T750" s="99"/>
    </row>
    <row r="751">
      <c r="A751" s="78"/>
      <c r="B751" s="99"/>
      <c r="C751" s="85"/>
      <c r="D751" s="99"/>
      <c r="E751" s="99"/>
      <c r="F751" s="99"/>
      <c r="G751" s="99"/>
      <c r="H751" s="99"/>
      <c r="I751" s="99"/>
      <c r="J751" s="99"/>
      <c r="K751" s="99"/>
      <c r="L751" s="99"/>
      <c r="M751" s="99"/>
      <c r="N751" s="99"/>
      <c r="O751" s="99"/>
      <c r="P751" s="99"/>
      <c r="Q751" s="99"/>
      <c r="R751" s="99"/>
      <c r="S751" s="99"/>
      <c r="T751" s="99"/>
    </row>
    <row r="752">
      <c r="A752" s="78"/>
      <c r="B752" s="99"/>
      <c r="C752" s="85"/>
      <c r="D752" s="99"/>
      <c r="E752" s="99"/>
      <c r="F752" s="99"/>
      <c r="G752" s="99"/>
      <c r="H752" s="99"/>
      <c r="I752" s="99"/>
      <c r="J752" s="99"/>
      <c r="K752" s="99"/>
      <c r="L752" s="99"/>
      <c r="M752" s="99"/>
      <c r="N752" s="99"/>
      <c r="O752" s="99"/>
      <c r="P752" s="99"/>
      <c r="Q752" s="99"/>
      <c r="R752" s="99"/>
      <c r="S752" s="99"/>
      <c r="T752" s="99"/>
    </row>
    <row r="753">
      <c r="A753" s="78"/>
      <c r="B753" s="99"/>
      <c r="C753" s="85"/>
      <c r="D753" s="99"/>
      <c r="E753" s="99"/>
      <c r="F753" s="99"/>
      <c r="G753" s="99"/>
      <c r="H753" s="99"/>
      <c r="I753" s="99"/>
      <c r="J753" s="99"/>
      <c r="K753" s="99"/>
      <c r="L753" s="99"/>
      <c r="M753" s="99"/>
      <c r="N753" s="99"/>
      <c r="O753" s="99"/>
      <c r="P753" s="99"/>
      <c r="Q753" s="99"/>
      <c r="R753" s="99"/>
      <c r="S753" s="99"/>
      <c r="T753" s="99"/>
    </row>
    <row r="754">
      <c r="A754" s="78"/>
      <c r="B754" s="99"/>
      <c r="C754" s="85"/>
      <c r="D754" s="99"/>
      <c r="E754" s="99"/>
      <c r="F754" s="99"/>
      <c r="G754" s="99"/>
      <c r="H754" s="99"/>
      <c r="I754" s="99"/>
      <c r="J754" s="99"/>
      <c r="K754" s="99"/>
      <c r="L754" s="99"/>
      <c r="M754" s="99"/>
      <c r="N754" s="99"/>
      <c r="O754" s="99"/>
      <c r="P754" s="99"/>
      <c r="Q754" s="99"/>
      <c r="R754" s="99"/>
      <c r="S754" s="99"/>
      <c r="T754" s="99"/>
    </row>
    <row r="755">
      <c r="A755" s="78"/>
      <c r="B755" s="99"/>
      <c r="C755" s="85"/>
      <c r="D755" s="99"/>
      <c r="E755" s="99"/>
      <c r="F755" s="99"/>
      <c r="G755" s="99"/>
      <c r="H755" s="99"/>
      <c r="I755" s="99"/>
      <c r="J755" s="99"/>
      <c r="K755" s="99"/>
      <c r="L755" s="99"/>
      <c r="M755" s="99"/>
      <c r="N755" s="99"/>
      <c r="O755" s="99"/>
      <c r="P755" s="99"/>
      <c r="Q755" s="99"/>
      <c r="R755" s="99"/>
      <c r="S755" s="99"/>
      <c r="T755" s="99"/>
    </row>
    <row r="756">
      <c r="A756" s="78"/>
      <c r="B756" s="99"/>
      <c r="C756" s="85"/>
      <c r="D756" s="99"/>
      <c r="E756" s="99"/>
      <c r="F756" s="99"/>
      <c r="G756" s="99"/>
      <c r="H756" s="99"/>
      <c r="I756" s="99"/>
      <c r="J756" s="99"/>
      <c r="K756" s="99"/>
      <c r="L756" s="99"/>
      <c r="M756" s="99"/>
      <c r="N756" s="99"/>
      <c r="O756" s="99"/>
      <c r="P756" s="99"/>
      <c r="Q756" s="99"/>
      <c r="R756" s="99"/>
      <c r="S756" s="99"/>
      <c r="T756" s="99"/>
    </row>
    <row r="757">
      <c r="A757" s="78"/>
      <c r="B757" s="99"/>
      <c r="C757" s="85"/>
      <c r="D757" s="99"/>
      <c r="E757" s="99"/>
      <c r="F757" s="99"/>
      <c r="G757" s="99"/>
      <c r="H757" s="99"/>
      <c r="I757" s="99"/>
      <c r="J757" s="99"/>
      <c r="K757" s="99"/>
      <c r="L757" s="99"/>
      <c r="M757" s="99"/>
      <c r="N757" s="99"/>
      <c r="O757" s="99"/>
      <c r="P757" s="99"/>
      <c r="Q757" s="99"/>
      <c r="R757" s="99"/>
      <c r="S757" s="99"/>
      <c r="T757" s="99"/>
    </row>
    <row r="758">
      <c r="A758" s="78"/>
      <c r="B758" s="99"/>
      <c r="C758" s="85"/>
      <c r="D758" s="99"/>
      <c r="E758" s="99"/>
      <c r="F758" s="99"/>
      <c r="G758" s="99"/>
      <c r="H758" s="99"/>
      <c r="I758" s="99"/>
      <c r="J758" s="99"/>
      <c r="K758" s="99"/>
      <c r="L758" s="99"/>
      <c r="M758" s="99"/>
      <c r="N758" s="99"/>
      <c r="O758" s="99"/>
      <c r="P758" s="99"/>
      <c r="Q758" s="99"/>
      <c r="R758" s="99"/>
      <c r="S758" s="99"/>
      <c r="T758" s="99"/>
    </row>
    <row r="759">
      <c r="A759" s="78"/>
      <c r="B759" s="99"/>
      <c r="C759" s="85"/>
      <c r="D759" s="99"/>
      <c r="E759" s="99"/>
      <c r="F759" s="99"/>
      <c r="G759" s="99"/>
      <c r="H759" s="99"/>
      <c r="I759" s="99"/>
      <c r="J759" s="99"/>
      <c r="K759" s="99"/>
      <c r="L759" s="99"/>
      <c r="M759" s="99"/>
      <c r="N759" s="99"/>
      <c r="O759" s="99"/>
      <c r="P759" s="99"/>
      <c r="Q759" s="99"/>
      <c r="R759" s="99"/>
      <c r="S759" s="99"/>
      <c r="T759" s="99"/>
    </row>
    <row r="760">
      <c r="A760" s="78"/>
      <c r="B760" s="99"/>
      <c r="C760" s="85"/>
      <c r="D760" s="99"/>
      <c r="E760" s="99"/>
      <c r="F760" s="99"/>
      <c r="G760" s="99"/>
      <c r="H760" s="99"/>
      <c r="I760" s="99"/>
      <c r="J760" s="99"/>
      <c r="K760" s="99"/>
      <c r="L760" s="99"/>
      <c r="M760" s="99"/>
      <c r="N760" s="99"/>
      <c r="O760" s="99"/>
      <c r="P760" s="99"/>
      <c r="Q760" s="99"/>
      <c r="R760" s="99"/>
      <c r="S760" s="99"/>
      <c r="T760" s="99"/>
    </row>
    <row r="761">
      <c r="A761" s="78"/>
      <c r="B761" s="99"/>
      <c r="C761" s="85"/>
      <c r="D761" s="99"/>
      <c r="E761" s="99"/>
      <c r="F761" s="99"/>
      <c r="G761" s="99"/>
      <c r="H761" s="99"/>
      <c r="I761" s="99"/>
      <c r="J761" s="99"/>
      <c r="K761" s="99"/>
      <c r="L761" s="99"/>
      <c r="M761" s="99"/>
      <c r="N761" s="99"/>
      <c r="O761" s="99"/>
      <c r="P761" s="99"/>
      <c r="Q761" s="99"/>
      <c r="R761" s="99"/>
      <c r="S761" s="99"/>
      <c r="T761" s="99"/>
    </row>
    <row r="762">
      <c r="A762" s="78"/>
      <c r="B762" s="99"/>
      <c r="C762" s="85"/>
      <c r="D762" s="99"/>
      <c r="E762" s="99"/>
      <c r="F762" s="99"/>
      <c r="G762" s="99"/>
      <c r="H762" s="99"/>
      <c r="I762" s="99"/>
      <c r="J762" s="99"/>
      <c r="K762" s="99"/>
      <c r="L762" s="99"/>
      <c r="M762" s="99"/>
      <c r="N762" s="99"/>
      <c r="O762" s="99"/>
      <c r="P762" s="99"/>
      <c r="Q762" s="99"/>
      <c r="R762" s="99"/>
      <c r="S762" s="99"/>
      <c r="T762" s="99"/>
    </row>
    <row r="763">
      <c r="A763" s="78"/>
      <c r="B763" s="99"/>
      <c r="C763" s="85"/>
      <c r="D763" s="99"/>
      <c r="E763" s="99"/>
      <c r="F763" s="99"/>
      <c r="G763" s="99"/>
      <c r="H763" s="99"/>
      <c r="I763" s="99"/>
      <c r="J763" s="99"/>
      <c r="K763" s="99"/>
      <c r="L763" s="99"/>
      <c r="M763" s="99"/>
      <c r="N763" s="99"/>
      <c r="O763" s="99"/>
      <c r="P763" s="99"/>
      <c r="Q763" s="99"/>
      <c r="R763" s="99"/>
      <c r="S763" s="99"/>
      <c r="T763" s="99"/>
    </row>
    <row r="764">
      <c r="A764" s="78"/>
      <c r="B764" s="99"/>
      <c r="C764" s="85"/>
      <c r="D764" s="99"/>
      <c r="E764" s="99"/>
      <c r="F764" s="99"/>
      <c r="G764" s="99"/>
      <c r="H764" s="99"/>
      <c r="I764" s="99"/>
      <c r="J764" s="99"/>
      <c r="K764" s="99"/>
      <c r="L764" s="99"/>
      <c r="M764" s="99"/>
      <c r="N764" s="99"/>
      <c r="O764" s="99"/>
      <c r="P764" s="99"/>
      <c r="Q764" s="99"/>
      <c r="R764" s="99"/>
      <c r="S764" s="99"/>
      <c r="T764" s="99"/>
    </row>
    <row r="765">
      <c r="A765" s="78"/>
      <c r="B765" s="99"/>
      <c r="C765" s="85"/>
      <c r="D765" s="99"/>
      <c r="E765" s="99"/>
      <c r="F765" s="99"/>
      <c r="G765" s="99"/>
      <c r="H765" s="99"/>
      <c r="I765" s="99"/>
      <c r="J765" s="99"/>
      <c r="K765" s="99"/>
      <c r="L765" s="99"/>
      <c r="M765" s="99"/>
      <c r="N765" s="99"/>
      <c r="O765" s="99"/>
      <c r="P765" s="99"/>
      <c r="Q765" s="99"/>
      <c r="R765" s="99"/>
      <c r="S765" s="99"/>
      <c r="T765" s="99"/>
    </row>
    <row r="766">
      <c r="A766" s="78"/>
      <c r="B766" s="99"/>
      <c r="C766" s="85"/>
      <c r="D766" s="99"/>
      <c r="E766" s="99"/>
      <c r="F766" s="99"/>
      <c r="G766" s="99"/>
      <c r="H766" s="99"/>
      <c r="I766" s="99"/>
      <c r="J766" s="99"/>
      <c r="K766" s="99"/>
      <c r="L766" s="99"/>
      <c r="M766" s="99"/>
      <c r="N766" s="99"/>
      <c r="O766" s="99"/>
      <c r="P766" s="99"/>
      <c r="Q766" s="99"/>
      <c r="R766" s="99"/>
      <c r="S766" s="99"/>
      <c r="T766" s="99"/>
    </row>
    <row r="767">
      <c r="A767" s="78"/>
      <c r="B767" s="99"/>
      <c r="C767" s="85"/>
      <c r="D767" s="99"/>
      <c r="E767" s="99"/>
      <c r="F767" s="99"/>
      <c r="G767" s="99"/>
      <c r="H767" s="99"/>
      <c r="I767" s="99"/>
      <c r="J767" s="99"/>
      <c r="K767" s="99"/>
      <c r="L767" s="99"/>
      <c r="M767" s="99"/>
      <c r="N767" s="99"/>
      <c r="O767" s="99"/>
      <c r="P767" s="99"/>
      <c r="Q767" s="99"/>
      <c r="R767" s="99"/>
      <c r="S767" s="99"/>
      <c r="T767" s="99"/>
    </row>
    <row r="768">
      <c r="A768" s="78"/>
      <c r="B768" s="99"/>
      <c r="C768" s="85"/>
      <c r="D768" s="99"/>
      <c r="E768" s="99"/>
      <c r="F768" s="99"/>
      <c r="G768" s="99"/>
      <c r="H768" s="99"/>
      <c r="I768" s="99"/>
      <c r="J768" s="99"/>
      <c r="K768" s="99"/>
      <c r="L768" s="99"/>
      <c r="M768" s="99"/>
      <c r="N768" s="99"/>
      <c r="O768" s="99"/>
      <c r="P768" s="99"/>
      <c r="Q768" s="99"/>
      <c r="R768" s="99"/>
      <c r="S768" s="99"/>
      <c r="T768" s="99"/>
    </row>
    <row r="769">
      <c r="A769" s="78"/>
      <c r="B769" s="99"/>
      <c r="C769" s="85"/>
      <c r="D769" s="99"/>
      <c r="E769" s="99"/>
      <c r="F769" s="99"/>
      <c r="G769" s="99"/>
      <c r="H769" s="99"/>
      <c r="I769" s="99"/>
      <c r="J769" s="99"/>
      <c r="K769" s="99"/>
      <c r="L769" s="99"/>
      <c r="M769" s="99"/>
      <c r="N769" s="99"/>
      <c r="O769" s="99"/>
      <c r="P769" s="99"/>
      <c r="Q769" s="99"/>
      <c r="R769" s="99"/>
      <c r="S769" s="99"/>
      <c r="T769" s="99"/>
    </row>
    <row r="770">
      <c r="A770" s="78"/>
      <c r="B770" s="99"/>
      <c r="C770" s="85"/>
      <c r="D770" s="99"/>
      <c r="E770" s="99"/>
      <c r="F770" s="99"/>
      <c r="G770" s="99"/>
      <c r="H770" s="99"/>
      <c r="I770" s="99"/>
      <c r="J770" s="99"/>
      <c r="K770" s="99"/>
      <c r="L770" s="99"/>
      <c r="M770" s="99"/>
      <c r="N770" s="99"/>
      <c r="O770" s="99"/>
      <c r="P770" s="99"/>
      <c r="Q770" s="99"/>
      <c r="R770" s="99"/>
      <c r="S770" s="99"/>
      <c r="T770" s="99"/>
    </row>
    <row r="771">
      <c r="A771" s="78"/>
      <c r="B771" s="99"/>
      <c r="C771" s="85"/>
      <c r="D771" s="99"/>
      <c r="E771" s="99"/>
      <c r="F771" s="99"/>
      <c r="G771" s="99"/>
      <c r="H771" s="99"/>
      <c r="I771" s="99"/>
      <c r="J771" s="99"/>
      <c r="K771" s="99"/>
      <c r="L771" s="99"/>
      <c r="M771" s="99"/>
      <c r="N771" s="99"/>
      <c r="O771" s="99"/>
      <c r="P771" s="99"/>
      <c r="Q771" s="99"/>
      <c r="R771" s="99"/>
      <c r="S771" s="99"/>
      <c r="T771" s="99"/>
    </row>
    <row r="772">
      <c r="A772" s="78"/>
      <c r="B772" s="99"/>
      <c r="C772" s="85"/>
      <c r="D772" s="99"/>
      <c r="E772" s="99"/>
      <c r="F772" s="99"/>
      <c r="G772" s="99"/>
      <c r="H772" s="99"/>
      <c r="I772" s="99"/>
      <c r="J772" s="99"/>
      <c r="K772" s="99"/>
      <c r="L772" s="99"/>
      <c r="M772" s="99"/>
      <c r="N772" s="99"/>
      <c r="O772" s="99"/>
      <c r="P772" s="99"/>
      <c r="Q772" s="99"/>
      <c r="R772" s="99"/>
      <c r="S772" s="99"/>
      <c r="T772" s="99"/>
    </row>
    <row r="773">
      <c r="A773" s="78"/>
      <c r="B773" s="99"/>
      <c r="C773" s="85"/>
      <c r="D773" s="99"/>
      <c r="E773" s="99"/>
      <c r="F773" s="99"/>
      <c r="G773" s="99"/>
      <c r="H773" s="99"/>
      <c r="I773" s="99"/>
      <c r="J773" s="99"/>
      <c r="K773" s="99"/>
      <c r="L773" s="99"/>
      <c r="M773" s="99"/>
      <c r="N773" s="99"/>
      <c r="O773" s="99"/>
      <c r="P773" s="99"/>
      <c r="Q773" s="99"/>
      <c r="R773" s="99"/>
      <c r="S773" s="99"/>
      <c r="T773" s="99"/>
    </row>
    <row r="774">
      <c r="A774" s="78"/>
      <c r="B774" s="99"/>
      <c r="C774" s="85"/>
      <c r="D774" s="99"/>
      <c r="E774" s="99"/>
      <c r="F774" s="99"/>
      <c r="G774" s="99"/>
      <c r="H774" s="99"/>
      <c r="I774" s="99"/>
      <c r="J774" s="99"/>
      <c r="K774" s="99"/>
      <c r="L774" s="99"/>
      <c r="M774" s="99"/>
      <c r="N774" s="99"/>
      <c r="O774" s="99"/>
      <c r="P774" s="99"/>
      <c r="Q774" s="99"/>
      <c r="R774" s="99"/>
      <c r="S774" s="99"/>
      <c r="T774" s="99"/>
    </row>
    <row r="775">
      <c r="A775" s="78"/>
      <c r="B775" s="99"/>
      <c r="C775" s="85"/>
      <c r="D775" s="99"/>
      <c r="E775" s="99"/>
      <c r="F775" s="99"/>
      <c r="G775" s="99"/>
      <c r="H775" s="99"/>
      <c r="I775" s="99"/>
      <c r="J775" s="99"/>
      <c r="K775" s="99"/>
      <c r="L775" s="99"/>
      <c r="M775" s="99"/>
      <c r="N775" s="99"/>
      <c r="O775" s="99"/>
      <c r="P775" s="99"/>
      <c r="Q775" s="99"/>
      <c r="R775" s="99"/>
      <c r="S775" s="99"/>
      <c r="T775" s="99"/>
    </row>
    <row r="776">
      <c r="A776" s="78"/>
      <c r="B776" s="99"/>
      <c r="C776" s="85"/>
      <c r="D776" s="99"/>
      <c r="E776" s="99"/>
      <c r="F776" s="99"/>
      <c r="G776" s="99"/>
      <c r="H776" s="99"/>
      <c r="I776" s="99"/>
      <c r="J776" s="99"/>
      <c r="K776" s="99"/>
      <c r="L776" s="99"/>
      <c r="M776" s="99"/>
      <c r="N776" s="99"/>
      <c r="O776" s="99"/>
      <c r="P776" s="99"/>
      <c r="Q776" s="99"/>
      <c r="R776" s="99"/>
      <c r="S776" s="99"/>
      <c r="T776" s="99"/>
    </row>
    <row r="777">
      <c r="A777" s="78"/>
      <c r="B777" s="99"/>
      <c r="C777" s="85"/>
      <c r="D777" s="99"/>
      <c r="E777" s="99"/>
      <c r="F777" s="99"/>
      <c r="G777" s="99"/>
      <c r="H777" s="99"/>
      <c r="I777" s="99"/>
      <c r="J777" s="99"/>
      <c r="K777" s="99"/>
      <c r="L777" s="99"/>
      <c r="M777" s="99"/>
      <c r="N777" s="99"/>
      <c r="O777" s="99"/>
      <c r="P777" s="99"/>
      <c r="Q777" s="99"/>
      <c r="R777" s="99"/>
      <c r="S777" s="99"/>
      <c r="T777" s="99"/>
    </row>
    <row r="778">
      <c r="A778" s="78"/>
      <c r="B778" s="99"/>
      <c r="C778" s="85"/>
      <c r="D778" s="99"/>
      <c r="E778" s="99"/>
      <c r="F778" s="99"/>
      <c r="G778" s="99"/>
      <c r="H778" s="99"/>
      <c r="I778" s="99"/>
      <c r="J778" s="99"/>
      <c r="K778" s="99"/>
      <c r="L778" s="99"/>
      <c r="M778" s="99"/>
      <c r="N778" s="99"/>
      <c r="O778" s="99"/>
      <c r="P778" s="99"/>
      <c r="Q778" s="99"/>
      <c r="R778" s="99"/>
      <c r="S778" s="99"/>
      <c r="T778" s="99"/>
    </row>
    <row r="779">
      <c r="A779" s="78"/>
      <c r="B779" s="99"/>
      <c r="C779" s="85"/>
      <c r="D779" s="99"/>
      <c r="E779" s="99"/>
      <c r="F779" s="99"/>
      <c r="G779" s="99"/>
      <c r="H779" s="99"/>
      <c r="I779" s="99"/>
      <c r="J779" s="99"/>
      <c r="K779" s="99"/>
      <c r="L779" s="99"/>
      <c r="M779" s="99"/>
      <c r="N779" s="99"/>
      <c r="O779" s="99"/>
      <c r="P779" s="99"/>
      <c r="Q779" s="99"/>
      <c r="R779" s="99"/>
      <c r="S779" s="99"/>
      <c r="T779" s="99"/>
    </row>
    <row r="780">
      <c r="A780" s="78"/>
      <c r="B780" s="99"/>
      <c r="C780" s="85"/>
      <c r="D780" s="99"/>
      <c r="E780" s="99"/>
      <c r="F780" s="99"/>
      <c r="G780" s="99"/>
      <c r="H780" s="99"/>
      <c r="I780" s="99"/>
      <c r="J780" s="99"/>
      <c r="K780" s="99"/>
      <c r="L780" s="99"/>
      <c r="M780" s="99"/>
      <c r="N780" s="99"/>
      <c r="O780" s="99"/>
      <c r="P780" s="99"/>
      <c r="Q780" s="99"/>
      <c r="R780" s="99"/>
      <c r="S780" s="99"/>
      <c r="T780" s="99"/>
    </row>
    <row r="781">
      <c r="A781" s="78"/>
      <c r="B781" s="99"/>
      <c r="C781" s="85"/>
      <c r="D781" s="99"/>
      <c r="E781" s="99"/>
      <c r="F781" s="99"/>
      <c r="G781" s="99"/>
      <c r="H781" s="99"/>
      <c r="I781" s="99"/>
      <c r="J781" s="99"/>
      <c r="K781" s="99"/>
      <c r="L781" s="99"/>
      <c r="M781" s="99"/>
      <c r="N781" s="99"/>
      <c r="O781" s="99"/>
      <c r="P781" s="99"/>
      <c r="Q781" s="99"/>
      <c r="R781" s="99"/>
      <c r="S781" s="99"/>
      <c r="T781" s="99"/>
    </row>
    <row r="782">
      <c r="A782" s="78"/>
      <c r="B782" s="99"/>
      <c r="C782" s="85"/>
      <c r="D782" s="99"/>
      <c r="E782" s="99"/>
      <c r="F782" s="99"/>
      <c r="G782" s="99"/>
      <c r="H782" s="99"/>
      <c r="I782" s="99"/>
      <c r="J782" s="99"/>
      <c r="K782" s="99"/>
      <c r="L782" s="99"/>
      <c r="M782" s="99"/>
      <c r="N782" s="99"/>
      <c r="O782" s="99"/>
      <c r="P782" s="99"/>
      <c r="Q782" s="99"/>
      <c r="R782" s="99"/>
      <c r="S782" s="99"/>
      <c r="T782" s="99"/>
    </row>
    <row r="783">
      <c r="A783" s="78"/>
      <c r="B783" s="99"/>
      <c r="C783" s="85"/>
      <c r="D783" s="99"/>
      <c r="E783" s="99"/>
      <c r="F783" s="99"/>
      <c r="G783" s="99"/>
      <c r="H783" s="99"/>
      <c r="I783" s="99"/>
      <c r="J783" s="99"/>
      <c r="K783" s="99"/>
      <c r="L783" s="99"/>
      <c r="M783" s="99"/>
      <c r="N783" s="99"/>
      <c r="O783" s="99"/>
      <c r="P783" s="99"/>
      <c r="Q783" s="99"/>
      <c r="R783" s="99"/>
      <c r="S783" s="99"/>
      <c r="T783" s="99"/>
    </row>
    <row r="784">
      <c r="A784" s="78"/>
      <c r="B784" s="99"/>
      <c r="C784" s="85"/>
      <c r="D784" s="99"/>
      <c r="E784" s="99"/>
      <c r="F784" s="99"/>
      <c r="G784" s="99"/>
      <c r="H784" s="99"/>
      <c r="I784" s="99"/>
      <c r="J784" s="99"/>
      <c r="K784" s="99"/>
      <c r="L784" s="99"/>
      <c r="M784" s="99"/>
      <c r="N784" s="99"/>
      <c r="O784" s="99"/>
      <c r="P784" s="99"/>
      <c r="Q784" s="99"/>
      <c r="R784" s="99"/>
      <c r="S784" s="99"/>
      <c r="T784" s="99"/>
    </row>
    <row r="785">
      <c r="A785" s="78"/>
      <c r="B785" s="99"/>
      <c r="C785" s="85"/>
      <c r="D785" s="99"/>
      <c r="E785" s="99"/>
      <c r="F785" s="99"/>
      <c r="G785" s="99"/>
      <c r="H785" s="99"/>
      <c r="I785" s="99"/>
      <c r="J785" s="99"/>
      <c r="K785" s="99"/>
      <c r="L785" s="99"/>
      <c r="M785" s="99"/>
      <c r="N785" s="99"/>
      <c r="O785" s="99"/>
      <c r="P785" s="99"/>
      <c r="Q785" s="99"/>
      <c r="R785" s="99"/>
      <c r="S785" s="99"/>
      <c r="T785" s="99"/>
    </row>
    <row r="786">
      <c r="A786" s="78"/>
      <c r="B786" s="99"/>
      <c r="C786" s="85"/>
      <c r="D786" s="99"/>
      <c r="E786" s="99"/>
      <c r="F786" s="99"/>
      <c r="G786" s="99"/>
      <c r="H786" s="99"/>
      <c r="I786" s="99"/>
      <c r="J786" s="99"/>
      <c r="K786" s="99"/>
      <c r="L786" s="99"/>
      <c r="M786" s="99"/>
      <c r="N786" s="99"/>
      <c r="O786" s="99"/>
      <c r="P786" s="99"/>
      <c r="Q786" s="99"/>
      <c r="R786" s="99"/>
      <c r="S786" s="99"/>
      <c r="T786" s="99"/>
    </row>
    <row r="787">
      <c r="A787" s="78"/>
      <c r="B787" s="99"/>
      <c r="C787" s="85"/>
      <c r="D787" s="99"/>
      <c r="E787" s="99"/>
      <c r="F787" s="99"/>
      <c r="G787" s="99"/>
      <c r="H787" s="99"/>
      <c r="I787" s="99"/>
      <c r="J787" s="99"/>
      <c r="K787" s="99"/>
      <c r="L787" s="99"/>
      <c r="M787" s="99"/>
      <c r="N787" s="99"/>
      <c r="O787" s="99"/>
      <c r="P787" s="99"/>
      <c r="Q787" s="99"/>
      <c r="R787" s="99"/>
      <c r="S787" s="99"/>
      <c r="T787" s="99"/>
    </row>
    <row r="788">
      <c r="A788" s="78"/>
      <c r="B788" s="99"/>
      <c r="C788" s="85"/>
      <c r="D788" s="99"/>
      <c r="E788" s="99"/>
      <c r="F788" s="99"/>
      <c r="G788" s="99"/>
      <c r="H788" s="99"/>
      <c r="I788" s="99"/>
      <c r="J788" s="99"/>
      <c r="K788" s="99"/>
      <c r="L788" s="99"/>
      <c r="M788" s="99"/>
      <c r="N788" s="99"/>
      <c r="O788" s="99"/>
      <c r="P788" s="99"/>
      <c r="Q788" s="99"/>
      <c r="R788" s="99"/>
      <c r="S788" s="99"/>
      <c r="T788" s="99"/>
    </row>
    <row r="789">
      <c r="A789" s="78"/>
      <c r="B789" s="99"/>
      <c r="C789" s="85"/>
      <c r="D789" s="99"/>
      <c r="E789" s="99"/>
      <c r="F789" s="99"/>
      <c r="G789" s="99"/>
      <c r="H789" s="99"/>
      <c r="I789" s="99"/>
      <c r="J789" s="99"/>
      <c r="K789" s="99"/>
      <c r="L789" s="99"/>
      <c r="M789" s="99"/>
      <c r="N789" s="99"/>
      <c r="O789" s="99"/>
      <c r="P789" s="99"/>
      <c r="Q789" s="99"/>
      <c r="R789" s="99"/>
      <c r="S789" s="99"/>
      <c r="T789" s="99"/>
    </row>
    <row r="790">
      <c r="A790" s="78"/>
      <c r="B790" s="99"/>
      <c r="C790" s="85"/>
      <c r="D790" s="99"/>
      <c r="E790" s="99"/>
      <c r="F790" s="99"/>
      <c r="G790" s="99"/>
      <c r="H790" s="99"/>
      <c r="I790" s="99"/>
      <c r="J790" s="99"/>
      <c r="K790" s="99"/>
      <c r="L790" s="99"/>
      <c r="M790" s="99"/>
      <c r="N790" s="99"/>
      <c r="O790" s="99"/>
      <c r="P790" s="99"/>
      <c r="Q790" s="99"/>
      <c r="R790" s="99"/>
      <c r="S790" s="99"/>
      <c r="T790" s="99"/>
    </row>
    <row r="791">
      <c r="A791" s="78"/>
      <c r="B791" s="99"/>
      <c r="C791" s="85"/>
      <c r="D791" s="99"/>
      <c r="E791" s="99"/>
      <c r="F791" s="99"/>
      <c r="G791" s="99"/>
      <c r="H791" s="99"/>
      <c r="I791" s="99"/>
      <c r="J791" s="99"/>
      <c r="K791" s="99"/>
      <c r="L791" s="99"/>
      <c r="M791" s="99"/>
      <c r="N791" s="99"/>
      <c r="O791" s="99"/>
      <c r="P791" s="99"/>
      <c r="Q791" s="99"/>
      <c r="R791" s="99"/>
      <c r="S791" s="99"/>
      <c r="T791" s="99"/>
    </row>
    <row r="792">
      <c r="A792" s="78"/>
      <c r="B792" s="99"/>
      <c r="C792" s="85"/>
      <c r="D792" s="99"/>
      <c r="E792" s="99"/>
      <c r="F792" s="99"/>
      <c r="G792" s="99"/>
      <c r="H792" s="99"/>
      <c r="I792" s="99"/>
      <c r="J792" s="99"/>
      <c r="K792" s="99"/>
      <c r="L792" s="99"/>
      <c r="M792" s="99"/>
      <c r="N792" s="99"/>
      <c r="O792" s="99"/>
      <c r="P792" s="99"/>
      <c r="Q792" s="99"/>
      <c r="R792" s="99"/>
      <c r="S792" s="99"/>
      <c r="T792" s="99"/>
    </row>
    <row r="793">
      <c r="A793" s="78"/>
      <c r="B793" s="99"/>
      <c r="C793" s="85"/>
      <c r="D793" s="99"/>
      <c r="E793" s="99"/>
      <c r="F793" s="99"/>
      <c r="G793" s="99"/>
      <c r="H793" s="99"/>
      <c r="I793" s="99"/>
      <c r="J793" s="99"/>
      <c r="K793" s="99"/>
      <c r="L793" s="99"/>
      <c r="M793" s="99"/>
      <c r="N793" s="99"/>
      <c r="O793" s="99"/>
      <c r="P793" s="99"/>
      <c r="Q793" s="99"/>
      <c r="R793" s="99"/>
      <c r="S793" s="99"/>
      <c r="T793" s="99"/>
    </row>
    <row r="794">
      <c r="A794" s="78"/>
      <c r="B794" s="99"/>
      <c r="C794" s="85"/>
      <c r="D794" s="99"/>
      <c r="E794" s="99"/>
      <c r="F794" s="99"/>
      <c r="G794" s="99"/>
      <c r="H794" s="99"/>
      <c r="I794" s="99"/>
      <c r="J794" s="99"/>
      <c r="K794" s="99"/>
      <c r="L794" s="99"/>
      <c r="M794" s="99"/>
      <c r="N794" s="99"/>
      <c r="O794" s="99"/>
      <c r="P794" s="99"/>
      <c r="Q794" s="99"/>
      <c r="R794" s="99"/>
      <c r="S794" s="99"/>
      <c r="T794" s="99"/>
    </row>
    <row r="795">
      <c r="A795" s="78"/>
      <c r="B795" s="99"/>
      <c r="C795" s="85"/>
      <c r="D795" s="99"/>
      <c r="E795" s="99"/>
      <c r="F795" s="99"/>
      <c r="G795" s="99"/>
      <c r="H795" s="99"/>
      <c r="I795" s="99"/>
      <c r="J795" s="99"/>
      <c r="K795" s="99"/>
      <c r="L795" s="99"/>
      <c r="M795" s="99"/>
      <c r="N795" s="99"/>
      <c r="O795" s="99"/>
      <c r="P795" s="99"/>
      <c r="Q795" s="99"/>
      <c r="R795" s="99"/>
      <c r="S795" s="99"/>
      <c r="T795" s="99"/>
    </row>
    <row r="796">
      <c r="A796" s="78"/>
      <c r="B796" s="99"/>
      <c r="C796" s="85"/>
      <c r="D796" s="99"/>
      <c r="E796" s="99"/>
      <c r="F796" s="99"/>
      <c r="G796" s="99"/>
      <c r="H796" s="99"/>
      <c r="I796" s="99"/>
      <c r="J796" s="99"/>
      <c r="K796" s="99"/>
      <c r="L796" s="99"/>
      <c r="M796" s="99"/>
      <c r="N796" s="99"/>
      <c r="O796" s="99"/>
      <c r="P796" s="99"/>
      <c r="Q796" s="99"/>
      <c r="R796" s="99"/>
      <c r="S796" s="99"/>
      <c r="T796" s="99"/>
    </row>
    <row r="797">
      <c r="A797" s="78"/>
      <c r="B797" s="99"/>
      <c r="C797" s="85"/>
      <c r="D797" s="99"/>
      <c r="E797" s="99"/>
      <c r="F797" s="99"/>
      <c r="G797" s="99"/>
      <c r="H797" s="99"/>
      <c r="I797" s="99"/>
      <c r="J797" s="99"/>
      <c r="K797" s="99"/>
      <c r="L797" s="99"/>
      <c r="M797" s="99"/>
      <c r="N797" s="99"/>
      <c r="O797" s="99"/>
      <c r="P797" s="99"/>
      <c r="Q797" s="99"/>
      <c r="R797" s="99"/>
      <c r="S797" s="99"/>
      <c r="T797" s="99"/>
    </row>
    <row r="798">
      <c r="A798" s="78"/>
      <c r="B798" s="99"/>
      <c r="C798" s="85"/>
      <c r="D798" s="99"/>
      <c r="E798" s="99"/>
      <c r="F798" s="99"/>
      <c r="G798" s="99"/>
      <c r="H798" s="99"/>
      <c r="I798" s="99"/>
      <c r="J798" s="99"/>
      <c r="K798" s="99"/>
      <c r="L798" s="99"/>
      <c r="M798" s="99"/>
      <c r="N798" s="99"/>
      <c r="O798" s="99"/>
      <c r="P798" s="99"/>
      <c r="Q798" s="99"/>
      <c r="R798" s="99"/>
      <c r="S798" s="99"/>
      <c r="T798" s="99"/>
    </row>
    <row r="799">
      <c r="A799" s="78"/>
      <c r="B799" s="99"/>
      <c r="C799" s="85"/>
      <c r="D799" s="99"/>
      <c r="E799" s="99"/>
      <c r="F799" s="99"/>
      <c r="G799" s="99"/>
      <c r="H799" s="99"/>
      <c r="I799" s="99"/>
      <c r="J799" s="99"/>
      <c r="K799" s="99"/>
      <c r="L799" s="99"/>
      <c r="M799" s="99"/>
      <c r="N799" s="99"/>
      <c r="O799" s="99"/>
      <c r="P799" s="99"/>
      <c r="Q799" s="99"/>
      <c r="R799" s="99"/>
      <c r="S799" s="99"/>
      <c r="T799" s="99"/>
    </row>
    <row r="800">
      <c r="A800" s="78"/>
      <c r="B800" s="99"/>
      <c r="C800" s="85"/>
      <c r="D800" s="99"/>
      <c r="E800" s="99"/>
      <c r="F800" s="99"/>
      <c r="G800" s="99"/>
      <c r="H800" s="99"/>
      <c r="I800" s="99"/>
      <c r="J800" s="99"/>
      <c r="K800" s="99"/>
      <c r="L800" s="99"/>
      <c r="M800" s="99"/>
      <c r="N800" s="99"/>
      <c r="O800" s="99"/>
      <c r="P800" s="99"/>
      <c r="Q800" s="99"/>
      <c r="R800" s="99"/>
      <c r="S800" s="99"/>
      <c r="T800" s="99"/>
    </row>
    <row r="801">
      <c r="A801" s="78"/>
      <c r="B801" s="99"/>
      <c r="C801" s="85"/>
      <c r="D801" s="99"/>
      <c r="E801" s="99"/>
      <c r="F801" s="99"/>
      <c r="G801" s="99"/>
      <c r="H801" s="99"/>
      <c r="I801" s="99"/>
      <c r="J801" s="99"/>
      <c r="K801" s="99"/>
      <c r="L801" s="99"/>
      <c r="M801" s="99"/>
      <c r="N801" s="99"/>
      <c r="O801" s="99"/>
      <c r="P801" s="99"/>
      <c r="Q801" s="99"/>
      <c r="R801" s="99"/>
      <c r="S801" s="99"/>
      <c r="T801" s="99"/>
    </row>
    <row r="802">
      <c r="A802" s="78"/>
      <c r="B802" s="99"/>
      <c r="C802" s="85"/>
      <c r="D802" s="99"/>
      <c r="E802" s="99"/>
      <c r="F802" s="99"/>
      <c r="G802" s="99"/>
      <c r="H802" s="99"/>
      <c r="I802" s="99"/>
      <c r="J802" s="99"/>
      <c r="K802" s="99"/>
      <c r="L802" s="99"/>
      <c r="M802" s="99"/>
      <c r="N802" s="99"/>
      <c r="O802" s="99"/>
      <c r="P802" s="99"/>
      <c r="Q802" s="99"/>
      <c r="R802" s="99"/>
      <c r="S802" s="99"/>
      <c r="T802" s="99"/>
    </row>
    <row r="803">
      <c r="A803" s="78"/>
      <c r="B803" s="99"/>
      <c r="C803" s="85"/>
      <c r="D803" s="99"/>
      <c r="E803" s="99"/>
      <c r="F803" s="99"/>
      <c r="G803" s="99"/>
      <c r="H803" s="99"/>
      <c r="I803" s="99"/>
      <c r="J803" s="99"/>
      <c r="K803" s="99"/>
      <c r="L803" s="99"/>
      <c r="M803" s="99"/>
      <c r="N803" s="99"/>
      <c r="O803" s="99"/>
      <c r="P803" s="99"/>
      <c r="Q803" s="99"/>
      <c r="R803" s="99"/>
      <c r="S803" s="99"/>
      <c r="T803" s="99"/>
    </row>
    <row r="804">
      <c r="A804" s="78"/>
      <c r="B804" s="99"/>
      <c r="C804" s="85"/>
      <c r="D804" s="99"/>
      <c r="E804" s="99"/>
      <c r="F804" s="99"/>
      <c r="G804" s="99"/>
      <c r="H804" s="99"/>
      <c r="I804" s="99"/>
      <c r="J804" s="99"/>
      <c r="K804" s="99"/>
      <c r="L804" s="99"/>
      <c r="M804" s="99"/>
      <c r="N804" s="99"/>
      <c r="O804" s="99"/>
      <c r="P804" s="99"/>
      <c r="Q804" s="99"/>
      <c r="R804" s="99"/>
      <c r="S804" s="99"/>
      <c r="T804" s="99"/>
    </row>
    <row r="805">
      <c r="A805" s="78"/>
      <c r="B805" s="99"/>
      <c r="C805" s="85"/>
      <c r="D805" s="99"/>
      <c r="E805" s="99"/>
      <c r="F805" s="99"/>
      <c r="G805" s="99"/>
      <c r="H805" s="99"/>
      <c r="I805" s="99"/>
      <c r="J805" s="99"/>
      <c r="K805" s="99"/>
      <c r="L805" s="99"/>
      <c r="M805" s="99"/>
      <c r="N805" s="99"/>
      <c r="O805" s="99"/>
      <c r="P805" s="99"/>
      <c r="Q805" s="99"/>
      <c r="R805" s="99"/>
      <c r="S805" s="99"/>
      <c r="T805" s="99"/>
    </row>
    <row r="806">
      <c r="A806" s="78"/>
      <c r="B806" s="99"/>
      <c r="C806" s="85"/>
      <c r="D806" s="99"/>
      <c r="E806" s="99"/>
      <c r="F806" s="99"/>
      <c r="G806" s="99"/>
      <c r="H806" s="99"/>
      <c r="I806" s="99"/>
      <c r="J806" s="99"/>
      <c r="K806" s="99"/>
      <c r="L806" s="99"/>
      <c r="M806" s="99"/>
      <c r="N806" s="99"/>
      <c r="O806" s="99"/>
      <c r="P806" s="99"/>
      <c r="Q806" s="99"/>
      <c r="R806" s="99"/>
      <c r="S806" s="99"/>
      <c r="T806" s="99"/>
    </row>
    <row r="807">
      <c r="A807" s="78"/>
      <c r="B807" s="99"/>
      <c r="C807" s="85"/>
      <c r="D807" s="99"/>
      <c r="E807" s="99"/>
      <c r="F807" s="99"/>
      <c r="G807" s="99"/>
      <c r="H807" s="99"/>
      <c r="I807" s="99"/>
      <c r="J807" s="99"/>
      <c r="K807" s="99"/>
      <c r="L807" s="99"/>
      <c r="M807" s="99"/>
      <c r="N807" s="99"/>
      <c r="O807" s="99"/>
      <c r="P807" s="99"/>
      <c r="Q807" s="99"/>
      <c r="R807" s="99"/>
      <c r="S807" s="99"/>
      <c r="T807" s="99"/>
    </row>
    <row r="808">
      <c r="A808" s="78"/>
      <c r="B808" s="99"/>
      <c r="C808" s="85"/>
      <c r="D808" s="99"/>
      <c r="E808" s="99"/>
      <c r="F808" s="99"/>
      <c r="G808" s="99"/>
      <c r="H808" s="99"/>
      <c r="I808" s="99"/>
      <c r="J808" s="99"/>
      <c r="K808" s="99"/>
      <c r="L808" s="99"/>
      <c r="M808" s="99"/>
      <c r="N808" s="99"/>
      <c r="O808" s="99"/>
      <c r="P808" s="99"/>
      <c r="Q808" s="99"/>
      <c r="R808" s="99"/>
      <c r="S808" s="99"/>
      <c r="T808" s="99"/>
    </row>
    <row r="809">
      <c r="A809" s="78"/>
      <c r="B809" s="99"/>
      <c r="C809" s="85"/>
      <c r="D809" s="99"/>
      <c r="E809" s="99"/>
      <c r="F809" s="99"/>
      <c r="G809" s="99"/>
      <c r="H809" s="99"/>
      <c r="I809" s="99"/>
      <c r="J809" s="99"/>
      <c r="K809" s="99"/>
      <c r="L809" s="99"/>
      <c r="M809" s="99"/>
      <c r="N809" s="99"/>
      <c r="O809" s="99"/>
      <c r="P809" s="99"/>
      <c r="Q809" s="99"/>
      <c r="R809" s="99"/>
      <c r="S809" s="99"/>
      <c r="T809" s="99"/>
    </row>
    <row r="810">
      <c r="A810" s="78"/>
      <c r="B810" s="99"/>
      <c r="C810" s="85"/>
      <c r="D810" s="99"/>
      <c r="E810" s="99"/>
      <c r="F810" s="99"/>
      <c r="G810" s="99"/>
      <c r="H810" s="99"/>
      <c r="I810" s="99"/>
      <c r="J810" s="99"/>
      <c r="K810" s="99"/>
      <c r="L810" s="99"/>
      <c r="M810" s="99"/>
      <c r="N810" s="99"/>
      <c r="O810" s="99"/>
      <c r="P810" s="99"/>
      <c r="Q810" s="99"/>
      <c r="R810" s="99"/>
      <c r="S810" s="99"/>
      <c r="T810" s="99"/>
    </row>
    <row r="811">
      <c r="A811" s="78"/>
      <c r="B811" s="99"/>
      <c r="C811" s="85"/>
      <c r="D811" s="99"/>
      <c r="E811" s="99"/>
      <c r="F811" s="99"/>
      <c r="G811" s="99"/>
      <c r="H811" s="99"/>
      <c r="I811" s="99"/>
      <c r="J811" s="99"/>
      <c r="K811" s="99"/>
      <c r="L811" s="99"/>
      <c r="M811" s="99"/>
      <c r="N811" s="99"/>
      <c r="O811" s="99"/>
      <c r="P811" s="99"/>
      <c r="Q811" s="99"/>
      <c r="R811" s="99"/>
      <c r="S811" s="99"/>
      <c r="T811" s="99"/>
    </row>
    <row r="812">
      <c r="A812" s="78"/>
      <c r="B812" s="99"/>
      <c r="C812" s="85"/>
      <c r="D812" s="99"/>
      <c r="E812" s="99"/>
      <c r="F812" s="99"/>
      <c r="G812" s="99"/>
      <c r="H812" s="99"/>
      <c r="I812" s="99"/>
      <c r="J812" s="99"/>
      <c r="K812" s="99"/>
      <c r="L812" s="99"/>
      <c r="M812" s="99"/>
      <c r="N812" s="99"/>
      <c r="O812" s="99"/>
      <c r="P812" s="99"/>
      <c r="Q812" s="99"/>
      <c r="R812" s="99"/>
      <c r="S812" s="99"/>
      <c r="T812" s="99"/>
    </row>
    <row r="813">
      <c r="A813" s="78"/>
      <c r="B813" s="99"/>
      <c r="C813" s="85"/>
      <c r="D813" s="99"/>
      <c r="E813" s="99"/>
      <c r="F813" s="99"/>
      <c r="G813" s="99"/>
      <c r="H813" s="99"/>
      <c r="I813" s="99"/>
      <c r="J813" s="99"/>
      <c r="K813" s="99"/>
      <c r="L813" s="99"/>
      <c r="M813" s="99"/>
      <c r="N813" s="99"/>
      <c r="O813" s="99"/>
      <c r="P813" s="99"/>
      <c r="Q813" s="99"/>
      <c r="R813" s="99"/>
      <c r="S813" s="99"/>
      <c r="T813" s="99"/>
    </row>
    <row r="814">
      <c r="A814" s="78"/>
      <c r="B814" s="99"/>
      <c r="C814" s="85"/>
      <c r="D814" s="99"/>
      <c r="E814" s="99"/>
      <c r="F814" s="99"/>
      <c r="G814" s="99"/>
      <c r="H814" s="99"/>
      <c r="I814" s="99"/>
      <c r="J814" s="99"/>
      <c r="K814" s="99"/>
      <c r="L814" s="99"/>
      <c r="M814" s="99"/>
      <c r="N814" s="99"/>
      <c r="O814" s="99"/>
      <c r="P814" s="99"/>
      <c r="Q814" s="99"/>
      <c r="R814" s="99"/>
      <c r="S814" s="99"/>
      <c r="T814" s="99"/>
    </row>
    <row r="815">
      <c r="A815" s="78"/>
      <c r="B815" s="99"/>
      <c r="C815" s="85"/>
      <c r="D815" s="99"/>
      <c r="E815" s="99"/>
      <c r="F815" s="99"/>
      <c r="G815" s="99"/>
      <c r="H815" s="99"/>
      <c r="I815" s="99"/>
      <c r="J815" s="99"/>
      <c r="K815" s="99"/>
      <c r="L815" s="99"/>
      <c r="M815" s="99"/>
      <c r="N815" s="99"/>
      <c r="O815" s="99"/>
      <c r="P815" s="99"/>
      <c r="Q815" s="99"/>
      <c r="R815" s="99"/>
      <c r="S815" s="99"/>
      <c r="T815" s="99"/>
    </row>
    <row r="816">
      <c r="A816" s="78"/>
      <c r="B816" s="99"/>
      <c r="C816" s="85"/>
      <c r="D816" s="99"/>
      <c r="E816" s="99"/>
      <c r="F816" s="99"/>
      <c r="G816" s="99"/>
      <c r="H816" s="99"/>
      <c r="I816" s="99"/>
      <c r="J816" s="99"/>
      <c r="K816" s="99"/>
      <c r="L816" s="99"/>
      <c r="M816" s="99"/>
      <c r="N816" s="99"/>
      <c r="O816" s="99"/>
      <c r="P816" s="99"/>
      <c r="Q816" s="99"/>
      <c r="R816" s="99"/>
      <c r="S816" s="99"/>
      <c r="T816" s="99"/>
    </row>
    <row r="817">
      <c r="A817" s="78"/>
      <c r="B817" s="99"/>
      <c r="C817" s="85"/>
      <c r="D817" s="99"/>
      <c r="E817" s="99"/>
      <c r="F817" s="99"/>
      <c r="G817" s="99"/>
      <c r="H817" s="99"/>
      <c r="I817" s="99"/>
      <c r="J817" s="99"/>
      <c r="K817" s="99"/>
      <c r="L817" s="99"/>
      <c r="M817" s="99"/>
      <c r="N817" s="99"/>
      <c r="O817" s="99"/>
      <c r="P817" s="99"/>
      <c r="Q817" s="99"/>
      <c r="R817" s="99"/>
      <c r="S817" s="99"/>
      <c r="T817" s="99"/>
    </row>
    <row r="818">
      <c r="A818" s="78"/>
      <c r="B818" s="99"/>
      <c r="C818" s="85"/>
      <c r="D818" s="99"/>
      <c r="E818" s="99"/>
      <c r="F818" s="99"/>
      <c r="G818" s="99"/>
      <c r="H818" s="99"/>
      <c r="I818" s="99"/>
      <c r="J818" s="99"/>
      <c r="K818" s="99"/>
      <c r="L818" s="99"/>
      <c r="M818" s="99"/>
      <c r="N818" s="99"/>
      <c r="O818" s="99"/>
      <c r="P818" s="99"/>
      <c r="Q818" s="99"/>
      <c r="R818" s="99"/>
      <c r="S818" s="99"/>
      <c r="T818" s="99"/>
    </row>
    <row r="819">
      <c r="A819" s="78"/>
      <c r="B819" s="99"/>
      <c r="C819" s="85"/>
      <c r="D819" s="99"/>
      <c r="E819" s="99"/>
      <c r="F819" s="99"/>
      <c r="G819" s="99"/>
      <c r="H819" s="99"/>
      <c r="I819" s="99"/>
      <c r="J819" s="99"/>
      <c r="K819" s="99"/>
      <c r="L819" s="99"/>
      <c r="M819" s="99"/>
      <c r="N819" s="99"/>
      <c r="O819" s="99"/>
      <c r="P819" s="99"/>
      <c r="Q819" s="99"/>
      <c r="R819" s="99"/>
      <c r="S819" s="99"/>
      <c r="T819" s="99"/>
    </row>
    <row r="820">
      <c r="A820" s="78"/>
      <c r="B820" s="99"/>
      <c r="C820" s="85"/>
      <c r="D820" s="99"/>
      <c r="E820" s="99"/>
      <c r="F820" s="99"/>
      <c r="G820" s="99"/>
      <c r="H820" s="99"/>
      <c r="I820" s="99"/>
      <c r="J820" s="99"/>
      <c r="K820" s="99"/>
      <c r="L820" s="99"/>
      <c r="M820" s="99"/>
      <c r="N820" s="99"/>
      <c r="O820" s="99"/>
      <c r="P820" s="99"/>
      <c r="Q820" s="99"/>
      <c r="R820" s="99"/>
      <c r="S820" s="99"/>
      <c r="T820" s="99"/>
    </row>
    <row r="821">
      <c r="A821" s="78"/>
      <c r="B821" s="99"/>
      <c r="C821" s="85"/>
      <c r="D821" s="99"/>
      <c r="E821" s="99"/>
      <c r="F821" s="99"/>
      <c r="G821" s="99"/>
      <c r="H821" s="99"/>
      <c r="I821" s="99"/>
      <c r="J821" s="99"/>
      <c r="K821" s="99"/>
      <c r="L821" s="99"/>
      <c r="M821" s="99"/>
      <c r="N821" s="99"/>
      <c r="O821" s="99"/>
      <c r="P821" s="99"/>
      <c r="Q821" s="99"/>
      <c r="R821" s="99"/>
      <c r="S821" s="99"/>
      <c r="T821" s="99"/>
    </row>
    <row r="822">
      <c r="A822" s="78"/>
      <c r="B822" s="99"/>
      <c r="C822" s="85"/>
      <c r="D822" s="99"/>
      <c r="E822" s="99"/>
      <c r="F822" s="99"/>
      <c r="G822" s="99"/>
      <c r="H822" s="99"/>
      <c r="I822" s="99"/>
      <c r="J822" s="99"/>
      <c r="K822" s="99"/>
      <c r="L822" s="99"/>
      <c r="M822" s="99"/>
      <c r="N822" s="99"/>
      <c r="O822" s="99"/>
      <c r="P822" s="99"/>
      <c r="Q822" s="99"/>
      <c r="R822" s="99"/>
      <c r="S822" s="99"/>
      <c r="T822" s="99"/>
    </row>
    <row r="823">
      <c r="A823" s="78"/>
      <c r="B823" s="99"/>
      <c r="C823" s="85"/>
      <c r="D823" s="99"/>
      <c r="E823" s="99"/>
      <c r="F823" s="99"/>
      <c r="G823" s="99"/>
      <c r="H823" s="99"/>
      <c r="I823" s="99"/>
      <c r="J823" s="99"/>
      <c r="K823" s="99"/>
      <c r="L823" s="99"/>
      <c r="M823" s="99"/>
      <c r="N823" s="99"/>
      <c r="O823" s="99"/>
      <c r="P823" s="99"/>
      <c r="Q823" s="99"/>
      <c r="R823" s="99"/>
      <c r="S823" s="99"/>
      <c r="T823" s="99"/>
    </row>
    <row r="824">
      <c r="A824" s="78"/>
      <c r="B824" s="99"/>
      <c r="C824" s="85"/>
      <c r="D824" s="99"/>
      <c r="E824" s="99"/>
      <c r="F824" s="99"/>
      <c r="G824" s="99"/>
      <c r="H824" s="99"/>
      <c r="I824" s="99"/>
      <c r="J824" s="99"/>
      <c r="K824" s="99"/>
      <c r="L824" s="99"/>
      <c r="M824" s="99"/>
      <c r="N824" s="99"/>
      <c r="O824" s="99"/>
      <c r="P824" s="99"/>
      <c r="Q824" s="99"/>
      <c r="R824" s="99"/>
      <c r="S824" s="99"/>
      <c r="T824" s="99"/>
    </row>
    <row r="825">
      <c r="A825" s="78"/>
      <c r="B825" s="99"/>
      <c r="C825" s="85"/>
      <c r="D825" s="99"/>
      <c r="E825" s="99"/>
      <c r="F825" s="99"/>
      <c r="G825" s="99"/>
      <c r="H825" s="99"/>
      <c r="I825" s="99"/>
      <c r="J825" s="99"/>
      <c r="K825" s="99"/>
      <c r="L825" s="99"/>
      <c r="M825" s="99"/>
      <c r="N825" s="99"/>
      <c r="O825" s="99"/>
      <c r="P825" s="99"/>
      <c r="Q825" s="99"/>
      <c r="R825" s="99"/>
      <c r="S825" s="99"/>
      <c r="T825" s="99"/>
    </row>
    <row r="826">
      <c r="A826" s="78"/>
      <c r="B826" s="99"/>
      <c r="C826" s="85"/>
      <c r="D826" s="99"/>
      <c r="E826" s="99"/>
      <c r="F826" s="99"/>
      <c r="G826" s="99"/>
      <c r="H826" s="99"/>
      <c r="I826" s="99"/>
      <c r="J826" s="99"/>
      <c r="K826" s="99"/>
      <c r="L826" s="99"/>
      <c r="M826" s="99"/>
      <c r="N826" s="99"/>
      <c r="O826" s="99"/>
      <c r="P826" s="99"/>
      <c r="Q826" s="99"/>
      <c r="R826" s="99"/>
      <c r="S826" s="99"/>
      <c r="T826" s="99"/>
    </row>
    <row r="827">
      <c r="A827" s="78"/>
      <c r="B827" s="99"/>
      <c r="C827" s="85"/>
      <c r="D827" s="99"/>
      <c r="E827" s="99"/>
      <c r="F827" s="99"/>
      <c r="G827" s="99"/>
      <c r="H827" s="99"/>
      <c r="I827" s="99"/>
      <c r="J827" s="99"/>
      <c r="K827" s="99"/>
      <c r="L827" s="99"/>
      <c r="M827" s="99"/>
      <c r="N827" s="99"/>
      <c r="O827" s="99"/>
      <c r="P827" s="99"/>
      <c r="Q827" s="99"/>
      <c r="R827" s="99"/>
      <c r="S827" s="99"/>
      <c r="T827" s="99"/>
    </row>
    <row r="828">
      <c r="A828" s="78"/>
      <c r="B828" s="99"/>
      <c r="C828" s="85"/>
      <c r="D828" s="99"/>
      <c r="E828" s="99"/>
      <c r="F828" s="99"/>
      <c r="G828" s="99"/>
      <c r="H828" s="99"/>
      <c r="I828" s="99"/>
      <c r="J828" s="99"/>
      <c r="K828" s="99"/>
      <c r="L828" s="99"/>
      <c r="M828" s="99"/>
      <c r="N828" s="99"/>
      <c r="O828" s="99"/>
      <c r="P828" s="99"/>
      <c r="Q828" s="99"/>
      <c r="R828" s="99"/>
      <c r="S828" s="99"/>
      <c r="T828" s="99"/>
    </row>
    <row r="829">
      <c r="A829" s="78"/>
      <c r="B829" s="99"/>
      <c r="C829" s="85"/>
      <c r="D829" s="99"/>
      <c r="E829" s="99"/>
      <c r="F829" s="99"/>
      <c r="G829" s="99"/>
      <c r="H829" s="99"/>
      <c r="I829" s="99"/>
      <c r="J829" s="99"/>
      <c r="K829" s="99"/>
      <c r="L829" s="99"/>
      <c r="M829" s="99"/>
      <c r="N829" s="99"/>
      <c r="O829" s="99"/>
      <c r="P829" s="99"/>
      <c r="Q829" s="99"/>
      <c r="R829" s="99"/>
      <c r="S829" s="99"/>
      <c r="T829" s="99"/>
    </row>
    <row r="830">
      <c r="A830" s="78"/>
      <c r="B830" s="99"/>
      <c r="C830" s="85"/>
      <c r="D830" s="99"/>
      <c r="E830" s="99"/>
      <c r="F830" s="99"/>
      <c r="G830" s="99"/>
      <c r="H830" s="99"/>
      <c r="I830" s="99"/>
      <c r="J830" s="99"/>
      <c r="K830" s="99"/>
      <c r="L830" s="99"/>
      <c r="M830" s="99"/>
      <c r="N830" s="99"/>
      <c r="O830" s="99"/>
      <c r="P830" s="99"/>
      <c r="Q830" s="99"/>
      <c r="R830" s="99"/>
      <c r="S830" s="99"/>
      <c r="T830" s="99"/>
    </row>
    <row r="831">
      <c r="A831" s="78"/>
      <c r="B831" s="99"/>
      <c r="C831" s="85"/>
      <c r="D831" s="99"/>
      <c r="E831" s="99"/>
      <c r="F831" s="99"/>
      <c r="G831" s="99"/>
      <c r="H831" s="99"/>
      <c r="I831" s="99"/>
      <c r="J831" s="99"/>
      <c r="K831" s="99"/>
      <c r="L831" s="99"/>
      <c r="M831" s="99"/>
      <c r="N831" s="99"/>
      <c r="O831" s="99"/>
      <c r="P831" s="99"/>
      <c r="Q831" s="99"/>
      <c r="R831" s="99"/>
      <c r="S831" s="99"/>
      <c r="T831" s="99"/>
    </row>
    <row r="832">
      <c r="A832" s="78"/>
      <c r="B832" s="99"/>
      <c r="C832" s="85"/>
      <c r="D832" s="99"/>
      <c r="E832" s="99"/>
      <c r="F832" s="99"/>
      <c r="G832" s="99"/>
      <c r="H832" s="99"/>
      <c r="I832" s="99"/>
      <c r="J832" s="99"/>
      <c r="K832" s="99"/>
      <c r="L832" s="99"/>
      <c r="M832" s="99"/>
      <c r="N832" s="99"/>
      <c r="O832" s="99"/>
      <c r="P832" s="99"/>
      <c r="Q832" s="99"/>
      <c r="R832" s="99"/>
      <c r="S832" s="99"/>
      <c r="T832" s="99"/>
    </row>
    <row r="833">
      <c r="A833" s="78"/>
      <c r="B833" s="99"/>
      <c r="C833" s="85"/>
      <c r="D833" s="99"/>
      <c r="E833" s="99"/>
      <c r="F833" s="99"/>
      <c r="G833" s="99"/>
      <c r="H833" s="99"/>
      <c r="I833" s="99"/>
      <c r="J833" s="99"/>
      <c r="K833" s="99"/>
      <c r="L833" s="99"/>
      <c r="M833" s="99"/>
      <c r="N833" s="99"/>
      <c r="O833" s="99"/>
      <c r="P833" s="99"/>
      <c r="Q833" s="99"/>
      <c r="R833" s="99"/>
      <c r="S833" s="99"/>
      <c r="T833" s="99"/>
    </row>
    <row r="834">
      <c r="A834" s="78"/>
      <c r="B834" s="99"/>
      <c r="C834" s="85"/>
      <c r="D834" s="99"/>
      <c r="E834" s="99"/>
      <c r="F834" s="99"/>
      <c r="G834" s="99"/>
      <c r="H834" s="99"/>
      <c r="I834" s="99"/>
      <c r="J834" s="99"/>
      <c r="K834" s="99"/>
      <c r="L834" s="99"/>
      <c r="M834" s="99"/>
      <c r="N834" s="99"/>
      <c r="O834" s="99"/>
      <c r="P834" s="99"/>
      <c r="Q834" s="99"/>
      <c r="R834" s="99"/>
      <c r="S834" s="99"/>
      <c r="T834" s="99"/>
    </row>
    <row r="835">
      <c r="A835" s="78"/>
      <c r="B835" s="99"/>
      <c r="C835" s="85"/>
      <c r="D835" s="99"/>
      <c r="E835" s="99"/>
      <c r="F835" s="99"/>
      <c r="G835" s="99"/>
      <c r="H835" s="99"/>
      <c r="I835" s="99"/>
      <c r="J835" s="99"/>
      <c r="K835" s="99"/>
      <c r="L835" s="99"/>
      <c r="M835" s="99"/>
      <c r="N835" s="99"/>
      <c r="O835" s="99"/>
      <c r="P835" s="99"/>
      <c r="Q835" s="99"/>
      <c r="R835" s="99"/>
      <c r="S835" s="99"/>
      <c r="T835" s="99"/>
    </row>
    <row r="836">
      <c r="A836" s="78"/>
      <c r="B836" s="99"/>
      <c r="C836" s="85"/>
      <c r="D836" s="99"/>
      <c r="E836" s="99"/>
      <c r="F836" s="99"/>
      <c r="G836" s="99"/>
      <c r="H836" s="99"/>
      <c r="I836" s="99"/>
      <c r="J836" s="99"/>
      <c r="K836" s="99"/>
      <c r="L836" s="99"/>
      <c r="M836" s="99"/>
      <c r="N836" s="99"/>
      <c r="O836" s="99"/>
      <c r="P836" s="99"/>
      <c r="Q836" s="99"/>
      <c r="R836" s="99"/>
      <c r="S836" s="99"/>
      <c r="T836" s="99"/>
    </row>
    <row r="837">
      <c r="A837" s="78"/>
      <c r="B837" s="99"/>
      <c r="C837" s="85"/>
      <c r="D837" s="99"/>
      <c r="E837" s="99"/>
      <c r="F837" s="99"/>
      <c r="G837" s="99"/>
      <c r="H837" s="99"/>
      <c r="I837" s="99"/>
      <c r="J837" s="99"/>
      <c r="K837" s="99"/>
      <c r="L837" s="99"/>
      <c r="M837" s="99"/>
      <c r="N837" s="99"/>
      <c r="O837" s="99"/>
      <c r="P837" s="99"/>
      <c r="Q837" s="99"/>
      <c r="R837" s="99"/>
      <c r="S837" s="99"/>
      <c r="T837" s="99"/>
    </row>
    <row r="838">
      <c r="A838" s="78"/>
      <c r="B838" s="99"/>
      <c r="C838" s="85"/>
      <c r="D838" s="99"/>
      <c r="E838" s="99"/>
      <c r="F838" s="99"/>
      <c r="G838" s="99"/>
      <c r="H838" s="99"/>
      <c r="I838" s="99"/>
      <c r="J838" s="99"/>
      <c r="K838" s="99"/>
      <c r="L838" s="99"/>
      <c r="M838" s="99"/>
      <c r="N838" s="99"/>
      <c r="O838" s="99"/>
      <c r="P838" s="99"/>
      <c r="Q838" s="99"/>
      <c r="R838" s="99"/>
      <c r="S838" s="99"/>
      <c r="T838" s="99"/>
    </row>
    <row r="839">
      <c r="A839" s="78"/>
      <c r="B839" s="99"/>
      <c r="C839" s="85"/>
      <c r="D839" s="99"/>
      <c r="E839" s="99"/>
      <c r="F839" s="99"/>
      <c r="G839" s="99"/>
      <c r="H839" s="99"/>
      <c r="I839" s="99"/>
      <c r="J839" s="99"/>
      <c r="K839" s="99"/>
      <c r="L839" s="99"/>
      <c r="M839" s="99"/>
      <c r="N839" s="99"/>
      <c r="O839" s="99"/>
      <c r="P839" s="99"/>
      <c r="Q839" s="99"/>
      <c r="R839" s="99"/>
      <c r="S839" s="99"/>
      <c r="T839" s="99"/>
    </row>
    <row r="840">
      <c r="A840" s="78"/>
      <c r="B840" s="99"/>
      <c r="C840" s="85"/>
      <c r="D840" s="99"/>
      <c r="E840" s="99"/>
      <c r="F840" s="99"/>
      <c r="G840" s="99"/>
      <c r="H840" s="99"/>
      <c r="I840" s="99"/>
      <c r="J840" s="99"/>
      <c r="K840" s="99"/>
      <c r="L840" s="99"/>
      <c r="M840" s="99"/>
      <c r="N840" s="99"/>
      <c r="O840" s="99"/>
      <c r="P840" s="99"/>
      <c r="Q840" s="99"/>
      <c r="R840" s="99"/>
      <c r="S840" s="99"/>
      <c r="T840" s="99"/>
    </row>
    <row r="841">
      <c r="A841" s="78"/>
      <c r="B841" s="99"/>
      <c r="C841" s="85"/>
      <c r="D841" s="99"/>
      <c r="E841" s="99"/>
      <c r="F841" s="99"/>
      <c r="G841" s="99"/>
      <c r="H841" s="99"/>
      <c r="I841" s="99"/>
      <c r="J841" s="99"/>
      <c r="K841" s="99"/>
      <c r="L841" s="99"/>
      <c r="M841" s="99"/>
      <c r="N841" s="99"/>
      <c r="O841" s="99"/>
      <c r="P841" s="99"/>
      <c r="Q841" s="99"/>
      <c r="R841" s="99"/>
      <c r="S841" s="99"/>
      <c r="T841" s="99"/>
    </row>
    <row r="842">
      <c r="A842" s="78"/>
      <c r="B842" s="99"/>
      <c r="C842" s="85"/>
      <c r="D842" s="99"/>
      <c r="E842" s="99"/>
      <c r="F842" s="99"/>
      <c r="G842" s="99"/>
      <c r="H842" s="99"/>
      <c r="I842" s="99"/>
      <c r="J842" s="99"/>
      <c r="K842" s="99"/>
      <c r="L842" s="99"/>
      <c r="M842" s="99"/>
      <c r="N842" s="99"/>
      <c r="O842" s="99"/>
      <c r="P842" s="99"/>
      <c r="Q842" s="99"/>
      <c r="R842" s="99"/>
      <c r="S842" s="99"/>
      <c r="T842" s="99"/>
    </row>
    <row r="843">
      <c r="A843" s="78"/>
      <c r="B843" s="99"/>
      <c r="C843" s="85"/>
      <c r="D843" s="99"/>
      <c r="E843" s="99"/>
      <c r="F843" s="99"/>
      <c r="G843" s="99"/>
      <c r="H843" s="99"/>
      <c r="I843" s="99"/>
      <c r="J843" s="99"/>
      <c r="K843" s="99"/>
      <c r="L843" s="99"/>
      <c r="M843" s="99"/>
      <c r="N843" s="99"/>
      <c r="O843" s="99"/>
      <c r="P843" s="99"/>
      <c r="Q843" s="99"/>
      <c r="R843" s="99"/>
      <c r="S843" s="99"/>
      <c r="T843" s="99"/>
    </row>
    <row r="844">
      <c r="A844" s="78"/>
      <c r="B844" s="99"/>
      <c r="C844" s="85"/>
      <c r="D844" s="99"/>
      <c r="E844" s="99"/>
      <c r="F844" s="99"/>
      <c r="G844" s="99"/>
      <c r="H844" s="99"/>
      <c r="I844" s="99"/>
      <c r="J844" s="99"/>
      <c r="K844" s="99"/>
      <c r="L844" s="99"/>
      <c r="M844" s="99"/>
      <c r="N844" s="99"/>
      <c r="O844" s="99"/>
      <c r="P844" s="99"/>
      <c r="Q844" s="99"/>
      <c r="R844" s="99"/>
      <c r="S844" s="99"/>
      <c r="T844" s="99"/>
    </row>
    <row r="845">
      <c r="A845" s="78"/>
      <c r="B845" s="99"/>
      <c r="C845" s="85"/>
      <c r="D845" s="99"/>
      <c r="E845" s="99"/>
      <c r="F845" s="99"/>
      <c r="G845" s="99"/>
      <c r="H845" s="99"/>
      <c r="I845" s="99"/>
      <c r="J845" s="99"/>
      <c r="K845" s="99"/>
      <c r="L845" s="99"/>
      <c r="M845" s="99"/>
      <c r="N845" s="99"/>
      <c r="O845" s="99"/>
      <c r="P845" s="99"/>
      <c r="Q845" s="99"/>
      <c r="R845" s="99"/>
      <c r="S845" s="99"/>
      <c r="T845" s="99"/>
    </row>
    <row r="846">
      <c r="A846" s="78"/>
      <c r="B846" s="99"/>
      <c r="C846" s="85"/>
      <c r="D846" s="99"/>
      <c r="E846" s="99"/>
      <c r="F846" s="99"/>
      <c r="G846" s="99"/>
      <c r="H846" s="99"/>
      <c r="I846" s="99"/>
      <c r="J846" s="99"/>
      <c r="K846" s="99"/>
      <c r="L846" s="99"/>
      <c r="M846" s="99"/>
      <c r="N846" s="99"/>
      <c r="O846" s="99"/>
      <c r="P846" s="99"/>
      <c r="Q846" s="99"/>
      <c r="R846" s="99"/>
      <c r="S846" s="99"/>
      <c r="T846" s="99"/>
    </row>
    <row r="847">
      <c r="A847" s="78"/>
      <c r="B847" s="99"/>
      <c r="C847" s="85"/>
      <c r="D847" s="99"/>
      <c r="E847" s="99"/>
      <c r="F847" s="99"/>
      <c r="G847" s="99"/>
      <c r="H847" s="99"/>
      <c r="I847" s="99"/>
      <c r="J847" s="99"/>
      <c r="K847" s="99"/>
      <c r="L847" s="99"/>
      <c r="M847" s="99"/>
      <c r="N847" s="99"/>
      <c r="O847" s="99"/>
      <c r="P847" s="99"/>
      <c r="Q847" s="99"/>
      <c r="R847" s="99"/>
      <c r="S847" s="99"/>
      <c r="T847" s="99"/>
    </row>
    <row r="848">
      <c r="A848" s="78"/>
      <c r="B848" s="99"/>
      <c r="C848" s="85"/>
      <c r="D848" s="99"/>
      <c r="E848" s="99"/>
      <c r="F848" s="99"/>
      <c r="G848" s="99"/>
      <c r="H848" s="99"/>
      <c r="I848" s="99"/>
      <c r="J848" s="99"/>
      <c r="K848" s="99"/>
      <c r="L848" s="99"/>
      <c r="M848" s="99"/>
      <c r="N848" s="99"/>
      <c r="O848" s="99"/>
      <c r="P848" s="99"/>
      <c r="Q848" s="99"/>
      <c r="R848" s="99"/>
      <c r="S848" s="99"/>
      <c r="T848" s="99"/>
    </row>
    <row r="849">
      <c r="A849" s="78"/>
      <c r="B849" s="99"/>
      <c r="C849" s="85"/>
      <c r="D849" s="99"/>
      <c r="E849" s="99"/>
      <c r="F849" s="99"/>
      <c r="G849" s="99"/>
      <c r="H849" s="99"/>
      <c r="I849" s="99"/>
      <c r="J849" s="99"/>
      <c r="K849" s="99"/>
      <c r="L849" s="99"/>
      <c r="M849" s="99"/>
      <c r="N849" s="99"/>
      <c r="O849" s="99"/>
      <c r="P849" s="99"/>
      <c r="Q849" s="99"/>
      <c r="R849" s="99"/>
      <c r="S849" s="99"/>
      <c r="T849" s="99"/>
    </row>
    <row r="850">
      <c r="A850" s="78"/>
      <c r="B850" s="99"/>
      <c r="C850" s="85"/>
      <c r="D850" s="99"/>
      <c r="E850" s="99"/>
      <c r="F850" s="99"/>
      <c r="G850" s="99"/>
      <c r="H850" s="99"/>
      <c r="I850" s="99"/>
      <c r="J850" s="99"/>
      <c r="K850" s="99"/>
      <c r="L850" s="99"/>
      <c r="M850" s="99"/>
      <c r="N850" s="99"/>
      <c r="O850" s="99"/>
      <c r="P850" s="99"/>
      <c r="Q850" s="99"/>
      <c r="R850" s="99"/>
      <c r="S850" s="99"/>
      <c r="T850" s="99"/>
    </row>
    <row r="851">
      <c r="A851" s="78"/>
      <c r="B851" s="99"/>
      <c r="C851" s="85"/>
      <c r="D851" s="99"/>
      <c r="E851" s="99"/>
      <c r="F851" s="99"/>
      <c r="G851" s="99"/>
      <c r="H851" s="99"/>
      <c r="I851" s="99"/>
      <c r="J851" s="99"/>
      <c r="K851" s="99"/>
      <c r="L851" s="99"/>
      <c r="M851" s="99"/>
      <c r="N851" s="99"/>
      <c r="O851" s="99"/>
      <c r="P851" s="99"/>
      <c r="Q851" s="99"/>
      <c r="R851" s="99"/>
      <c r="S851" s="99"/>
      <c r="T851" s="99"/>
    </row>
    <row r="852">
      <c r="A852" s="78"/>
      <c r="B852" s="99"/>
      <c r="C852" s="85"/>
      <c r="D852" s="99"/>
      <c r="E852" s="99"/>
      <c r="F852" s="99"/>
      <c r="G852" s="99"/>
      <c r="H852" s="99"/>
      <c r="I852" s="99"/>
      <c r="J852" s="99"/>
      <c r="K852" s="99"/>
      <c r="L852" s="99"/>
      <c r="M852" s="99"/>
      <c r="N852" s="99"/>
      <c r="O852" s="99"/>
      <c r="P852" s="99"/>
      <c r="Q852" s="99"/>
      <c r="R852" s="99"/>
      <c r="S852" s="99"/>
      <c r="T852" s="99"/>
    </row>
    <row r="853">
      <c r="A853" s="78"/>
      <c r="B853" s="99"/>
      <c r="C853" s="85"/>
      <c r="D853" s="99"/>
      <c r="E853" s="99"/>
      <c r="F853" s="99"/>
      <c r="G853" s="99"/>
      <c r="H853" s="99"/>
      <c r="I853" s="99"/>
      <c r="J853" s="99"/>
      <c r="K853" s="99"/>
      <c r="L853" s="99"/>
      <c r="M853" s="99"/>
      <c r="N853" s="99"/>
      <c r="O853" s="99"/>
      <c r="P853" s="99"/>
      <c r="Q853" s="99"/>
      <c r="R853" s="99"/>
      <c r="S853" s="99"/>
      <c r="T853" s="99"/>
    </row>
    <row r="854">
      <c r="A854" s="78"/>
      <c r="B854" s="99"/>
      <c r="C854" s="85"/>
      <c r="D854" s="99"/>
      <c r="E854" s="99"/>
      <c r="F854" s="99"/>
      <c r="G854" s="99"/>
      <c r="H854" s="99"/>
      <c r="I854" s="99"/>
      <c r="J854" s="99"/>
      <c r="K854" s="99"/>
      <c r="L854" s="99"/>
      <c r="M854" s="99"/>
      <c r="N854" s="99"/>
      <c r="O854" s="99"/>
      <c r="P854" s="99"/>
      <c r="Q854" s="99"/>
      <c r="R854" s="99"/>
      <c r="S854" s="99"/>
      <c r="T854" s="99"/>
    </row>
    <row r="855">
      <c r="A855" s="78"/>
      <c r="B855" s="99"/>
      <c r="C855" s="85"/>
      <c r="D855" s="99"/>
      <c r="E855" s="99"/>
      <c r="F855" s="99"/>
      <c r="G855" s="99"/>
      <c r="H855" s="99"/>
      <c r="I855" s="99"/>
      <c r="J855" s="99"/>
      <c r="K855" s="99"/>
      <c r="L855" s="99"/>
      <c r="M855" s="99"/>
      <c r="N855" s="99"/>
      <c r="O855" s="99"/>
      <c r="P855" s="99"/>
      <c r="Q855" s="99"/>
      <c r="R855" s="99"/>
      <c r="S855" s="99"/>
      <c r="T855" s="99"/>
    </row>
    <row r="856">
      <c r="A856" s="78"/>
      <c r="B856" s="99"/>
      <c r="C856" s="85"/>
      <c r="D856" s="99"/>
      <c r="E856" s="99"/>
      <c r="F856" s="99"/>
      <c r="G856" s="99"/>
      <c r="H856" s="99"/>
      <c r="I856" s="99"/>
      <c r="J856" s="99"/>
      <c r="K856" s="99"/>
      <c r="L856" s="99"/>
      <c r="M856" s="99"/>
      <c r="N856" s="99"/>
      <c r="O856" s="99"/>
      <c r="P856" s="99"/>
      <c r="Q856" s="99"/>
      <c r="R856" s="99"/>
      <c r="S856" s="99"/>
      <c r="T856" s="99"/>
    </row>
    <row r="857">
      <c r="A857" s="78"/>
      <c r="B857" s="99"/>
      <c r="C857" s="85"/>
      <c r="D857" s="99"/>
      <c r="E857" s="99"/>
      <c r="F857" s="99"/>
      <c r="G857" s="99"/>
      <c r="H857" s="99"/>
      <c r="I857" s="99"/>
      <c r="J857" s="99"/>
      <c r="K857" s="99"/>
      <c r="L857" s="99"/>
      <c r="M857" s="99"/>
      <c r="N857" s="99"/>
      <c r="O857" s="99"/>
      <c r="P857" s="99"/>
      <c r="Q857" s="99"/>
      <c r="R857" s="99"/>
      <c r="S857" s="99"/>
      <c r="T857" s="99"/>
    </row>
    <row r="858">
      <c r="A858" s="78"/>
      <c r="B858" s="99"/>
      <c r="C858" s="85"/>
      <c r="D858" s="99"/>
      <c r="E858" s="99"/>
      <c r="F858" s="99"/>
      <c r="G858" s="99"/>
      <c r="H858" s="99"/>
      <c r="I858" s="99"/>
      <c r="J858" s="99"/>
      <c r="K858" s="99"/>
      <c r="L858" s="99"/>
      <c r="M858" s="99"/>
      <c r="N858" s="99"/>
      <c r="O858" s="99"/>
      <c r="P858" s="99"/>
      <c r="Q858" s="99"/>
      <c r="R858" s="99"/>
      <c r="S858" s="99"/>
      <c r="T858" s="99"/>
    </row>
    <row r="859">
      <c r="A859" s="78"/>
      <c r="B859" s="99"/>
      <c r="C859" s="85"/>
      <c r="D859" s="99"/>
      <c r="E859" s="99"/>
      <c r="F859" s="99"/>
      <c r="G859" s="99"/>
      <c r="H859" s="99"/>
      <c r="I859" s="99"/>
      <c r="J859" s="99"/>
      <c r="K859" s="99"/>
      <c r="L859" s="99"/>
      <c r="M859" s="99"/>
      <c r="N859" s="99"/>
      <c r="O859" s="99"/>
      <c r="P859" s="99"/>
      <c r="Q859" s="99"/>
      <c r="R859" s="99"/>
      <c r="S859" s="99"/>
      <c r="T859" s="99"/>
    </row>
    <row r="860">
      <c r="A860" s="78"/>
      <c r="B860" s="99"/>
      <c r="C860" s="85"/>
      <c r="D860" s="99"/>
      <c r="E860" s="99"/>
      <c r="F860" s="99"/>
      <c r="G860" s="99"/>
      <c r="H860" s="99"/>
      <c r="I860" s="99"/>
      <c r="J860" s="99"/>
      <c r="K860" s="99"/>
      <c r="L860" s="99"/>
      <c r="M860" s="99"/>
      <c r="N860" s="99"/>
      <c r="O860" s="99"/>
      <c r="P860" s="99"/>
      <c r="Q860" s="99"/>
      <c r="R860" s="99"/>
      <c r="S860" s="99"/>
      <c r="T860" s="99"/>
    </row>
    <row r="861">
      <c r="A861" s="78"/>
      <c r="B861" s="99"/>
      <c r="C861" s="85"/>
      <c r="D861" s="99"/>
      <c r="E861" s="99"/>
      <c r="F861" s="99"/>
      <c r="G861" s="99"/>
      <c r="H861" s="99"/>
      <c r="I861" s="99"/>
      <c r="J861" s="99"/>
      <c r="K861" s="99"/>
      <c r="L861" s="99"/>
      <c r="M861" s="99"/>
      <c r="N861" s="99"/>
      <c r="O861" s="99"/>
      <c r="P861" s="99"/>
      <c r="Q861" s="99"/>
      <c r="R861" s="99"/>
      <c r="S861" s="99"/>
      <c r="T861" s="99"/>
    </row>
    <row r="862">
      <c r="A862" s="78"/>
      <c r="B862" s="99"/>
      <c r="C862" s="85"/>
      <c r="D862" s="99"/>
      <c r="E862" s="99"/>
      <c r="F862" s="99"/>
      <c r="G862" s="99"/>
      <c r="H862" s="99"/>
      <c r="I862" s="99"/>
      <c r="J862" s="99"/>
      <c r="K862" s="99"/>
      <c r="L862" s="99"/>
      <c r="M862" s="99"/>
      <c r="N862" s="99"/>
      <c r="O862" s="99"/>
      <c r="P862" s="99"/>
      <c r="Q862" s="99"/>
      <c r="R862" s="99"/>
      <c r="S862" s="99"/>
      <c r="T862" s="99"/>
    </row>
    <row r="863">
      <c r="A863" s="78"/>
      <c r="B863" s="99"/>
      <c r="C863" s="85"/>
      <c r="D863" s="99"/>
      <c r="E863" s="99"/>
      <c r="F863" s="99"/>
      <c r="G863" s="99"/>
      <c r="H863" s="99"/>
      <c r="I863" s="99"/>
      <c r="J863" s="99"/>
      <c r="K863" s="99"/>
      <c r="L863" s="99"/>
      <c r="M863" s="99"/>
      <c r="N863" s="99"/>
      <c r="O863" s="99"/>
      <c r="P863" s="99"/>
      <c r="Q863" s="99"/>
      <c r="R863" s="99"/>
      <c r="S863" s="99"/>
      <c r="T863" s="99"/>
    </row>
    <row r="864">
      <c r="A864" s="78"/>
      <c r="B864" s="99"/>
      <c r="C864" s="85"/>
      <c r="D864" s="99"/>
      <c r="E864" s="99"/>
      <c r="F864" s="99"/>
      <c r="G864" s="99"/>
      <c r="H864" s="99"/>
      <c r="I864" s="99"/>
      <c r="J864" s="99"/>
      <c r="K864" s="99"/>
      <c r="L864" s="99"/>
      <c r="M864" s="99"/>
      <c r="N864" s="99"/>
      <c r="O864" s="99"/>
      <c r="P864" s="99"/>
      <c r="Q864" s="99"/>
      <c r="R864" s="99"/>
      <c r="S864" s="99"/>
      <c r="T864" s="99"/>
    </row>
    <row r="865">
      <c r="A865" s="78"/>
      <c r="B865" s="99"/>
      <c r="C865" s="85"/>
      <c r="D865" s="99"/>
      <c r="E865" s="99"/>
      <c r="F865" s="99"/>
      <c r="G865" s="99"/>
      <c r="H865" s="99"/>
      <c r="I865" s="99"/>
      <c r="J865" s="99"/>
      <c r="K865" s="99"/>
      <c r="L865" s="99"/>
      <c r="M865" s="99"/>
      <c r="N865" s="99"/>
      <c r="O865" s="99"/>
      <c r="P865" s="99"/>
      <c r="Q865" s="99"/>
      <c r="R865" s="99"/>
      <c r="S865" s="99"/>
      <c r="T865" s="99"/>
    </row>
    <row r="866">
      <c r="A866" s="78"/>
      <c r="B866" s="99"/>
      <c r="C866" s="85"/>
      <c r="D866" s="99"/>
      <c r="E866" s="99"/>
      <c r="F866" s="99"/>
      <c r="G866" s="99"/>
      <c r="H866" s="99"/>
      <c r="I866" s="99"/>
      <c r="J866" s="99"/>
      <c r="K866" s="99"/>
      <c r="L866" s="99"/>
      <c r="M866" s="99"/>
      <c r="N866" s="99"/>
      <c r="O866" s="99"/>
      <c r="P866" s="99"/>
      <c r="Q866" s="99"/>
      <c r="R866" s="99"/>
      <c r="S866" s="99"/>
      <c r="T866" s="99"/>
    </row>
    <row r="867">
      <c r="A867" s="78"/>
      <c r="B867" s="99"/>
      <c r="C867" s="85"/>
      <c r="D867" s="99"/>
      <c r="E867" s="99"/>
      <c r="F867" s="99"/>
      <c r="G867" s="99"/>
      <c r="H867" s="99"/>
      <c r="I867" s="99"/>
      <c r="J867" s="99"/>
      <c r="K867" s="99"/>
      <c r="L867" s="99"/>
      <c r="M867" s="99"/>
      <c r="N867" s="99"/>
      <c r="O867" s="99"/>
      <c r="P867" s="99"/>
      <c r="Q867" s="99"/>
      <c r="R867" s="99"/>
      <c r="S867" s="99"/>
      <c r="T867" s="99"/>
    </row>
    <row r="868">
      <c r="A868" s="78"/>
      <c r="B868" s="99"/>
      <c r="C868" s="85"/>
      <c r="D868" s="99"/>
      <c r="E868" s="99"/>
      <c r="F868" s="99"/>
      <c r="G868" s="99"/>
      <c r="H868" s="99"/>
      <c r="I868" s="99"/>
      <c r="J868" s="99"/>
      <c r="K868" s="99"/>
      <c r="L868" s="99"/>
      <c r="M868" s="99"/>
      <c r="N868" s="99"/>
      <c r="O868" s="99"/>
      <c r="P868" s="99"/>
      <c r="Q868" s="99"/>
      <c r="R868" s="99"/>
      <c r="S868" s="99"/>
      <c r="T868" s="99"/>
    </row>
    <row r="869">
      <c r="A869" s="78"/>
      <c r="B869" s="99"/>
      <c r="C869" s="85"/>
      <c r="D869" s="99"/>
      <c r="E869" s="99"/>
      <c r="F869" s="99"/>
      <c r="G869" s="99"/>
      <c r="H869" s="99"/>
      <c r="I869" s="99"/>
      <c r="J869" s="99"/>
      <c r="K869" s="99"/>
      <c r="L869" s="99"/>
      <c r="M869" s="99"/>
      <c r="N869" s="99"/>
      <c r="O869" s="99"/>
      <c r="P869" s="99"/>
      <c r="Q869" s="99"/>
      <c r="R869" s="99"/>
      <c r="S869" s="99"/>
      <c r="T869" s="99"/>
    </row>
    <row r="870">
      <c r="A870" s="78"/>
      <c r="B870" s="99"/>
      <c r="C870" s="85"/>
      <c r="D870" s="99"/>
      <c r="E870" s="99"/>
      <c r="F870" s="99"/>
      <c r="G870" s="99"/>
      <c r="H870" s="99"/>
      <c r="I870" s="99"/>
      <c r="J870" s="99"/>
      <c r="K870" s="99"/>
      <c r="L870" s="99"/>
      <c r="M870" s="99"/>
      <c r="N870" s="99"/>
      <c r="O870" s="99"/>
      <c r="P870" s="99"/>
      <c r="Q870" s="99"/>
      <c r="R870" s="99"/>
      <c r="S870" s="99"/>
      <c r="T870" s="99"/>
    </row>
    <row r="871">
      <c r="A871" s="78"/>
      <c r="B871" s="99"/>
      <c r="C871" s="85"/>
      <c r="D871" s="99"/>
      <c r="E871" s="99"/>
      <c r="F871" s="99"/>
      <c r="G871" s="99"/>
      <c r="H871" s="99"/>
      <c r="I871" s="99"/>
      <c r="J871" s="99"/>
      <c r="K871" s="99"/>
      <c r="L871" s="99"/>
      <c r="M871" s="99"/>
      <c r="N871" s="99"/>
      <c r="O871" s="99"/>
      <c r="P871" s="99"/>
      <c r="Q871" s="99"/>
      <c r="R871" s="99"/>
      <c r="S871" s="99"/>
      <c r="T871" s="99"/>
    </row>
    <row r="872">
      <c r="A872" s="78"/>
      <c r="B872" s="99"/>
      <c r="C872" s="85"/>
      <c r="D872" s="99"/>
      <c r="E872" s="99"/>
      <c r="F872" s="99"/>
      <c r="G872" s="99"/>
      <c r="H872" s="99"/>
      <c r="I872" s="99"/>
      <c r="J872" s="99"/>
      <c r="K872" s="99"/>
      <c r="L872" s="99"/>
      <c r="M872" s="99"/>
      <c r="N872" s="99"/>
      <c r="O872" s="99"/>
      <c r="P872" s="99"/>
      <c r="Q872" s="99"/>
      <c r="R872" s="99"/>
      <c r="S872" s="99"/>
      <c r="T872" s="99"/>
    </row>
    <row r="873">
      <c r="A873" s="78"/>
      <c r="B873" s="99"/>
      <c r="C873" s="85"/>
      <c r="D873" s="99"/>
      <c r="E873" s="99"/>
      <c r="F873" s="99"/>
      <c r="G873" s="99"/>
      <c r="H873" s="99"/>
      <c r="I873" s="99"/>
      <c r="J873" s="99"/>
      <c r="K873" s="99"/>
      <c r="L873" s="99"/>
      <c r="M873" s="99"/>
      <c r="N873" s="99"/>
      <c r="O873" s="99"/>
      <c r="P873" s="99"/>
      <c r="Q873" s="99"/>
      <c r="R873" s="99"/>
      <c r="S873" s="99"/>
      <c r="T873" s="99"/>
    </row>
    <row r="874">
      <c r="A874" s="78"/>
      <c r="B874" s="99"/>
      <c r="C874" s="85"/>
      <c r="D874" s="99"/>
      <c r="E874" s="99"/>
      <c r="F874" s="99"/>
      <c r="G874" s="99"/>
      <c r="H874" s="99"/>
      <c r="I874" s="99"/>
      <c r="J874" s="99"/>
      <c r="K874" s="99"/>
      <c r="L874" s="99"/>
      <c r="M874" s="99"/>
      <c r="N874" s="99"/>
      <c r="O874" s="99"/>
      <c r="P874" s="99"/>
      <c r="Q874" s="99"/>
      <c r="R874" s="99"/>
      <c r="S874" s="99"/>
      <c r="T874" s="99"/>
    </row>
    <row r="875">
      <c r="A875" s="78"/>
      <c r="B875" s="99"/>
      <c r="C875" s="85"/>
      <c r="D875" s="99"/>
      <c r="E875" s="99"/>
      <c r="F875" s="99"/>
      <c r="G875" s="99"/>
      <c r="H875" s="99"/>
      <c r="I875" s="99"/>
      <c r="J875" s="99"/>
      <c r="K875" s="99"/>
      <c r="L875" s="99"/>
      <c r="M875" s="99"/>
      <c r="N875" s="99"/>
      <c r="O875" s="99"/>
      <c r="P875" s="99"/>
      <c r="Q875" s="99"/>
      <c r="R875" s="99"/>
      <c r="S875" s="99"/>
      <c r="T875" s="99"/>
    </row>
    <row r="876">
      <c r="A876" s="78"/>
      <c r="B876" s="99"/>
      <c r="C876" s="85"/>
      <c r="D876" s="99"/>
      <c r="E876" s="99"/>
      <c r="F876" s="99"/>
      <c r="G876" s="99"/>
      <c r="H876" s="99"/>
      <c r="I876" s="99"/>
      <c r="J876" s="99"/>
      <c r="K876" s="99"/>
      <c r="L876" s="99"/>
      <c r="M876" s="99"/>
      <c r="N876" s="99"/>
      <c r="O876" s="99"/>
      <c r="P876" s="99"/>
      <c r="Q876" s="99"/>
      <c r="R876" s="99"/>
      <c r="S876" s="99"/>
      <c r="T876" s="99"/>
    </row>
    <row r="877">
      <c r="A877" s="78"/>
      <c r="B877" s="99"/>
      <c r="C877" s="85"/>
      <c r="D877" s="99"/>
      <c r="E877" s="99"/>
      <c r="F877" s="99"/>
      <c r="G877" s="99"/>
      <c r="H877" s="99"/>
      <c r="I877" s="99"/>
      <c r="J877" s="99"/>
      <c r="K877" s="99"/>
      <c r="L877" s="99"/>
      <c r="M877" s="99"/>
      <c r="N877" s="99"/>
      <c r="O877" s="99"/>
      <c r="P877" s="99"/>
      <c r="Q877" s="99"/>
      <c r="R877" s="99"/>
      <c r="S877" s="99"/>
      <c r="T877" s="99"/>
    </row>
    <row r="878">
      <c r="A878" s="78"/>
      <c r="B878" s="99"/>
      <c r="C878" s="85"/>
      <c r="D878" s="99"/>
      <c r="E878" s="99"/>
      <c r="F878" s="99"/>
      <c r="G878" s="99"/>
      <c r="H878" s="99"/>
      <c r="I878" s="99"/>
      <c r="J878" s="99"/>
      <c r="K878" s="99"/>
      <c r="L878" s="99"/>
      <c r="M878" s="99"/>
      <c r="N878" s="99"/>
      <c r="O878" s="99"/>
      <c r="P878" s="99"/>
      <c r="Q878" s="99"/>
      <c r="R878" s="99"/>
      <c r="S878" s="99"/>
      <c r="T878" s="99"/>
    </row>
    <row r="879">
      <c r="A879" s="78"/>
      <c r="B879" s="99"/>
      <c r="C879" s="85"/>
      <c r="D879" s="99"/>
      <c r="E879" s="99"/>
      <c r="F879" s="99"/>
      <c r="G879" s="99"/>
      <c r="H879" s="99"/>
      <c r="I879" s="99"/>
      <c r="J879" s="99"/>
      <c r="K879" s="99"/>
      <c r="L879" s="99"/>
      <c r="M879" s="99"/>
      <c r="N879" s="99"/>
      <c r="O879" s="99"/>
      <c r="P879" s="99"/>
      <c r="Q879" s="99"/>
      <c r="R879" s="99"/>
      <c r="S879" s="99"/>
      <c r="T879" s="99"/>
    </row>
    <row r="880">
      <c r="A880" s="78"/>
      <c r="B880" s="99"/>
      <c r="C880" s="85"/>
      <c r="D880" s="99"/>
      <c r="E880" s="99"/>
      <c r="F880" s="99"/>
      <c r="G880" s="99"/>
      <c r="H880" s="99"/>
      <c r="I880" s="99"/>
      <c r="J880" s="99"/>
      <c r="K880" s="99"/>
      <c r="L880" s="99"/>
      <c r="M880" s="99"/>
      <c r="N880" s="99"/>
      <c r="O880" s="99"/>
      <c r="P880" s="99"/>
      <c r="Q880" s="99"/>
      <c r="R880" s="99"/>
      <c r="S880" s="99"/>
      <c r="T880" s="99"/>
    </row>
    <row r="881">
      <c r="A881" s="78"/>
      <c r="B881" s="99"/>
      <c r="C881" s="85"/>
      <c r="D881" s="99"/>
      <c r="E881" s="99"/>
      <c r="F881" s="99"/>
      <c r="G881" s="99"/>
      <c r="H881" s="99"/>
      <c r="I881" s="99"/>
      <c r="J881" s="99"/>
      <c r="K881" s="99"/>
      <c r="L881" s="99"/>
      <c r="M881" s="99"/>
      <c r="N881" s="99"/>
      <c r="O881" s="99"/>
      <c r="P881" s="99"/>
      <c r="Q881" s="99"/>
      <c r="R881" s="99"/>
      <c r="S881" s="99"/>
      <c r="T881" s="99"/>
    </row>
    <row r="882">
      <c r="A882" s="78"/>
      <c r="B882" s="99"/>
      <c r="C882" s="85"/>
      <c r="D882" s="99"/>
      <c r="E882" s="99"/>
      <c r="F882" s="99"/>
      <c r="G882" s="99"/>
      <c r="H882" s="99"/>
      <c r="I882" s="99"/>
      <c r="J882" s="99"/>
      <c r="K882" s="99"/>
      <c r="L882" s="99"/>
      <c r="M882" s="99"/>
      <c r="N882" s="99"/>
      <c r="O882" s="99"/>
      <c r="P882" s="99"/>
      <c r="Q882" s="99"/>
      <c r="R882" s="99"/>
      <c r="S882" s="99"/>
      <c r="T882" s="99"/>
    </row>
    <row r="883">
      <c r="A883" s="78"/>
      <c r="B883" s="99"/>
      <c r="C883" s="85"/>
      <c r="D883" s="99"/>
      <c r="E883" s="99"/>
      <c r="F883" s="99"/>
      <c r="G883" s="99"/>
      <c r="H883" s="99"/>
      <c r="I883" s="99"/>
      <c r="J883" s="99"/>
      <c r="K883" s="99"/>
      <c r="L883" s="99"/>
      <c r="M883" s="99"/>
      <c r="N883" s="99"/>
      <c r="O883" s="99"/>
      <c r="P883" s="99"/>
      <c r="Q883" s="99"/>
      <c r="R883" s="99"/>
      <c r="S883" s="99"/>
      <c r="T883" s="99"/>
    </row>
    <row r="884">
      <c r="A884" s="78"/>
      <c r="B884" s="99"/>
      <c r="C884" s="85"/>
      <c r="D884" s="99"/>
      <c r="E884" s="99"/>
      <c r="F884" s="99"/>
      <c r="G884" s="99"/>
      <c r="H884" s="99"/>
      <c r="I884" s="99"/>
      <c r="J884" s="99"/>
      <c r="K884" s="99"/>
      <c r="L884" s="99"/>
      <c r="M884" s="99"/>
      <c r="N884" s="99"/>
      <c r="O884" s="99"/>
      <c r="P884" s="99"/>
      <c r="Q884" s="99"/>
      <c r="R884" s="99"/>
      <c r="S884" s="99"/>
      <c r="T884" s="99"/>
    </row>
    <row r="885">
      <c r="A885" s="78"/>
      <c r="B885" s="99"/>
      <c r="C885" s="85"/>
      <c r="D885" s="99"/>
      <c r="E885" s="99"/>
      <c r="F885" s="99"/>
      <c r="G885" s="99"/>
      <c r="H885" s="99"/>
      <c r="I885" s="99"/>
      <c r="J885" s="99"/>
      <c r="K885" s="99"/>
      <c r="L885" s="99"/>
      <c r="M885" s="99"/>
      <c r="N885" s="99"/>
      <c r="O885" s="99"/>
      <c r="P885" s="99"/>
      <c r="Q885" s="99"/>
      <c r="R885" s="99"/>
      <c r="S885" s="99"/>
      <c r="T885" s="99"/>
    </row>
    <row r="886">
      <c r="A886" s="78"/>
      <c r="B886" s="99"/>
      <c r="C886" s="85"/>
      <c r="D886" s="99"/>
      <c r="E886" s="99"/>
      <c r="F886" s="99"/>
      <c r="G886" s="99"/>
      <c r="H886" s="99"/>
      <c r="I886" s="99"/>
      <c r="J886" s="99"/>
      <c r="K886" s="99"/>
      <c r="L886" s="99"/>
      <c r="M886" s="99"/>
      <c r="N886" s="99"/>
      <c r="O886" s="99"/>
      <c r="P886" s="99"/>
      <c r="Q886" s="99"/>
      <c r="R886" s="99"/>
      <c r="S886" s="99"/>
      <c r="T886" s="99"/>
    </row>
    <row r="887">
      <c r="A887" s="78"/>
      <c r="B887" s="99"/>
      <c r="C887" s="85"/>
      <c r="D887" s="99"/>
      <c r="E887" s="99"/>
      <c r="F887" s="99"/>
      <c r="G887" s="99"/>
      <c r="H887" s="99"/>
      <c r="I887" s="99"/>
      <c r="J887" s="99"/>
      <c r="K887" s="99"/>
      <c r="L887" s="99"/>
      <c r="M887" s="99"/>
      <c r="N887" s="99"/>
      <c r="O887" s="99"/>
      <c r="P887" s="99"/>
      <c r="Q887" s="99"/>
      <c r="R887" s="99"/>
      <c r="S887" s="99"/>
      <c r="T887" s="99"/>
    </row>
    <row r="888">
      <c r="A888" s="78"/>
      <c r="B888" s="99"/>
      <c r="C888" s="85"/>
      <c r="D888" s="99"/>
      <c r="E888" s="99"/>
      <c r="F888" s="99"/>
      <c r="G888" s="99"/>
      <c r="H888" s="99"/>
      <c r="I888" s="99"/>
      <c r="J888" s="99"/>
      <c r="K888" s="99"/>
      <c r="L888" s="99"/>
      <c r="M888" s="99"/>
      <c r="N888" s="99"/>
      <c r="O888" s="99"/>
      <c r="P888" s="99"/>
      <c r="Q888" s="99"/>
      <c r="R888" s="99"/>
      <c r="S888" s="99"/>
      <c r="T888" s="99"/>
    </row>
    <row r="889">
      <c r="A889" s="78"/>
      <c r="B889" s="99"/>
      <c r="C889" s="85"/>
      <c r="D889" s="99"/>
      <c r="E889" s="99"/>
      <c r="F889" s="99"/>
      <c r="G889" s="99"/>
      <c r="H889" s="99"/>
      <c r="I889" s="99"/>
      <c r="J889" s="99"/>
      <c r="K889" s="99"/>
      <c r="L889" s="99"/>
      <c r="M889" s="99"/>
      <c r="N889" s="99"/>
      <c r="O889" s="99"/>
      <c r="P889" s="99"/>
      <c r="Q889" s="99"/>
      <c r="R889" s="99"/>
      <c r="S889" s="99"/>
      <c r="T889" s="99"/>
    </row>
    <row r="890">
      <c r="A890" s="78"/>
      <c r="B890" s="99"/>
      <c r="C890" s="85"/>
      <c r="D890" s="99"/>
      <c r="E890" s="99"/>
      <c r="F890" s="99"/>
      <c r="G890" s="99"/>
      <c r="H890" s="99"/>
      <c r="I890" s="99"/>
      <c r="J890" s="99"/>
      <c r="K890" s="99"/>
      <c r="L890" s="99"/>
      <c r="M890" s="99"/>
      <c r="N890" s="99"/>
      <c r="O890" s="99"/>
      <c r="P890" s="99"/>
      <c r="Q890" s="99"/>
      <c r="R890" s="99"/>
      <c r="S890" s="99"/>
      <c r="T890" s="99"/>
    </row>
    <row r="891">
      <c r="A891" s="78"/>
      <c r="B891" s="99"/>
      <c r="C891" s="85"/>
      <c r="D891" s="99"/>
      <c r="E891" s="99"/>
      <c r="F891" s="99"/>
      <c r="G891" s="99"/>
      <c r="H891" s="99"/>
      <c r="I891" s="99"/>
      <c r="J891" s="99"/>
      <c r="K891" s="99"/>
      <c r="L891" s="99"/>
      <c r="M891" s="99"/>
      <c r="N891" s="99"/>
      <c r="O891" s="99"/>
      <c r="P891" s="99"/>
      <c r="Q891" s="99"/>
      <c r="R891" s="99"/>
      <c r="S891" s="99"/>
      <c r="T891" s="99"/>
    </row>
    <row r="892">
      <c r="A892" s="78"/>
      <c r="B892" s="99"/>
      <c r="C892" s="85"/>
      <c r="D892" s="99"/>
      <c r="E892" s="99"/>
      <c r="F892" s="99"/>
      <c r="G892" s="99"/>
      <c r="H892" s="99"/>
      <c r="I892" s="99"/>
      <c r="J892" s="99"/>
      <c r="K892" s="99"/>
      <c r="L892" s="99"/>
      <c r="M892" s="99"/>
      <c r="N892" s="99"/>
      <c r="O892" s="99"/>
      <c r="P892" s="99"/>
      <c r="Q892" s="99"/>
      <c r="R892" s="99"/>
      <c r="S892" s="99"/>
      <c r="T892" s="99"/>
    </row>
    <row r="893">
      <c r="A893" s="78"/>
      <c r="B893" s="99"/>
      <c r="C893" s="85"/>
      <c r="D893" s="99"/>
      <c r="E893" s="99"/>
      <c r="F893" s="99"/>
      <c r="G893" s="99"/>
      <c r="H893" s="99"/>
      <c r="I893" s="99"/>
      <c r="J893" s="99"/>
      <c r="K893" s="99"/>
      <c r="L893" s="99"/>
      <c r="M893" s="99"/>
      <c r="N893" s="99"/>
      <c r="O893" s="99"/>
      <c r="P893" s="99"/>
      <c r="Q893" s="99"/>
      <c r="R893" s="99"/>
      <c r="S893" s="99"/>
      <c r="T893" s="99"/>
    </row>
    <row r="894">
      <c r="A894" s="78"/>
      <c r="B894" s="99"/>
      <c r="C894" s="85"/>
      <c r="D894" s="99"/>
      <c r="E894" s="99"/>
      <c r="F894" s="99"/>
      <c r="G894" s="99"/>
      <c r="H894" s="99"/>
      <c r="I894" s="99"/>
      <c r="J894" s="99"/>
      <c r="K894" s="99"/>
      <c r="L894" s="99"/>
      <c r="M894" s="99"/>
      <c r="N894" s="99"/>
      <c r="O894" s="99"/>
      <c r="P894" s="99"/>
      <c r="Q894" s="99"/>
      <c r="R894" s="99"/>
      <c r="S894" s="99"/>
      <c r="T894" s="99"/>
    </row>
    <row r="895">
      <c r="A895" s="78"/>
      <c r="B895" s="99"/>
      <c r="C895" s="85"/>
      <c r="D895" s="99"/>
      <c r="E895" s="99"/>
      <c r="F895" s="99"/>
      <c r="G895" s="99"/>
      <c r="H895" s="99"/>
      <c r="I895" s="99"/>
      <c r="J895" s="99"/>
      <c r="K895" s="99"/>
      <c r="L895" s="99"/>
      <c r="M895" s="99"/>
      <c r="N895" s="99"/>
      <c r="O895" s="99"/>
      <c r="P895" s="99"/>
      <c r="Q895" s="99"/>
      <c r="R895" s="99"/>
      <c r="S895" s="99"/>
      <c r="T895" s="99"/>
    </row>
    <row r="896">
      <c r="A896" s="78"/>
      <c r="B896" s="99"/>
      <c r="C896" s="85"/>
      <c r="D896" s="99"/>
      <c r="E896" s="99"/>
      <c r="F896" s="99"/>
      <c r="G896" s="99"/>
      <c r="H896" s="99"/>
      <c r="I896" s="99"/>
      <c r="J896" s="99"/>
      <c r="K896" s="99"/>
      <c r="L896" s="99"/>
      <c r="M896" s="99"/>
      <c r="N896" s="99"/>
      <c r="O896" s="99"/>
      <c r="P896" s="99"/>
      <c r="Q896" s="99"/>
      <c r="R896" s="99"/>
      <c r="S896" s="99"/>
      <c r="T896" s="99"/>
    </row>
    <row r="897">
      <c r="A897" s="78"/>
      <c r="B897" s="99"/>
      <c r="C897" s="85"/>
      <c r="D897" s="99"/>
      <c r="E897" s="99"/>
      <c r="F897" s="99"/>
      <c r="G897" s="99"/>
      <c r="H897" s="99"/>
      <c r="I897" s="99"/>
      <c r="J897" s="99"/>
      <c r="K897" s="99"/>
      <c r="L897" s="99"/>
      <c r="M897" s="99"/>
      <c r="N897" s="99"/>
      <c r="O897" s="99"/>
      <c r="P897" s="99"/>
      <c r="Q897" s="99"/>
      <c r="R897" s="99"/>
      <c r="S897" s="99"/>
      <c r="T897" s="99"/>
    </row>
    <row r="898">
      <c r="A898" s="78"/>
      <c r="B898" s="99"/>
      <c r="C898" s="85"/>
      <c r="D898" s="99"/>
      <c r="E898" s="99"/>
      <c r="F898" s="99"/>
      <c r="G898" s="99"/>
      <c r="H898" s="99"/>
      <c r="I898" s="99"/>
      <c r="J898" s="99"/>
      <c r="K898" s="99"/>
      <c r="L898" s="99"/>
      <c r="M898" s="99"/>
      <c r="N898" s="99"/>
      <c r="O898" s="99"/>
      <c r="P898" s="99"/>
      <c r="Q898" s="99"/>
      <c r="R898" s="99"/>
      <c r="S898" s="99"/>
      <c r="T898" s="99"/>
    </row>
    <row r="899">
      <c r="A899" s="78"/>
      <c r="B899" s="99"/>
      <c r="C899" s="85"/>
      <c r="D899" s="99"/>
      <c r="E899" s="99"/>
      <c r="F899" s="99"/>
      <c r="G899" s="99"/>
      <c r="H899" s="99"/>
      <c r="I899" s="99"/>
      <c r="J899" s="99"/>
      <c r="K899" s="99"/>
      <c r="L899" s="99"/>
      <c r="M899" s="99"/>
      <c r="N899" s="99"/>
      <c r="O899" s="99"/>
      <c r="P899" s="99"/>
      <c r="Q899" s="99"/>
      <c r="R899" s="99"/>
      <c r="S899" s="99"/>
      <c r="T899" s="99"/>
    </row>
    <row r="900">
      <c r="A900" s="78"/>
      <c r="B900" s="99"/>
      <c r="C900" s="85"/>
      <c r="D900" s="99"/>
      <c r="E900" s="99"/>
      <c r="F900" s="99"/>
      <c r="G900" s="99"/>
      <c r="H900" s="99"/>
      <c r="I900" s="99"/>
      <c r="J900" s="99"/>
      <c r="K900" s="99"/>
      <c r="L900" s="99"/>
      <c r="M900" s="99"/>
      <c r="N900" s="99"/>
      <c r="O900" s="99"/>
      <c r="P900" s="99"/>
      <c r="Q900" s="99"/>
      <c r="R900" s="99"/>
      <c r="S900" s="99"/>
      <c r="T900" s="99"/>
    </row>
    <row r="901">
      <c r="A901" s="78"/>
      <c r="B901" s="99"/>
      <c r="C901" s="85"/>
      <c r="D901" s="99"/>
      <c r="E901" s="99"/>
      <c r="F901" s="99"/>
      <c r="G901" s="99"/>
      <c r="H901" s="99"/>
      <c r="I901" s="99"/>
      <c r="J901" s="99"/>
      <c r="K901" s="99"/>
      <c r="L901" s="99"/>
      <c r="M901" s="99"/>
      <c r="N901" s="99"/>
      <c r="O901" s="99"/>
      <c r="P901" s="99"/>
      <c r="Q901" s="99"/>
      <c r="R901" s="99"/>
      <c r="S901" s="99"/>
      <c r="T901" s="99"/>
    </row>
    <row r="902">
      <c r="A902" s="78"/>
      <c r="B902" s="99"/>
      <c r="C902" s="85"/>
      <c r="D902" s="99"/>
      <c r="E902" s="99"/>
      <c r="F902" s="99"/>
      <c r="G902" s="99"/>
      <c r="H902" s="99"/>
      <c r="I902" s="99"/>
      <c r="J902" s="99"/>
      <c r="K902" s="99"/>
      <c r="L902" s="99"/>
      <c r="M902" s="99"/>
      <c r="N902" s="99"/>
      <c r="O902" s="99"/>
      <c r="P902" s="99"/>
      <c r="Q902" s="99"/>
      <c r="R902" s="99"/>
      <c r="S902" s="99"/>
      <c r="T902" s="99"/>
    </row>
    <row r="903">
      <c r="A903" s="78"/>
      <c r="B903" s="99"/>
      <c r="C903" s="85"/>
      <c r="D903" s="99"/>
      <c r="E903" s="99"/>
      <c r="F903" s="99"/>
      <c r="G903" s="99"/>
      <c r="H903" s="99"/>
      <c r="I903" s="99"/>
      <c r="J903" s="99"/>
      <c r="K903" s="99"/>
      <c r="L903" s="99"/>
      <c r="M903" s="99"/>
      <c r="N903" s="99"/>
      <c r="O903" s="99"/>
      <c r="P903" s="99"/>
      <c r="Q903" s="99"/>
      <c r="R903" s="99"/>
      <c r="S903" s="99"/>
      <c r="T903" s="99"/>
    </row>
    <row r="904">
      <c r="A904" s="78"/>
      <c r="B904" s="99"/>
      <c r="C904" s="85"/>
      <c r="D904" s="99"/>
      <c r="E904" s="99"/>
      <c r="F904" s="99"/>
      <c r="G904" s="99"/>
      <c r="H904" s="99"/>
      <c r="I904" s="99"/>
      <c r="J904" s="99"/>
      <c r="K904" s="99"/>
      <c r="L904" s="99"/>
      <c r="M904" s="99"/>
      <c r="N904" s="99"/>
      <c r="O904" s="99"/>
      <c r="P904" s="99"/>
      <c r="Q904" s="99"/>
      <c r="R904" s="99"/>
      <c r="S904" s="99"/>
      <c r="T904" s="99"/>
    </row>
    <row r="905">
      <c r="A905" s="78"/>
      <c r="B905" s="99"/>
      <c r="C905" s="85"/>
      <c r="D905" s="99"/>
      <c r="E905" s="99"/>
      <c r="F905" s="99"/>
      <c r="G905" s="99"/>
      <c r="H905" s="99"/>
      <c r="I905" s="99"/>
      <c r="J905" s="99"/>
      <c r="K905" s="99"/>
      <c r="L905" s="99"/>
      <c r="M905" s="99"/>
      <c r="N905" s="99"/>
      <c r="O905" s="99"/>
      <c r="P905" s="99"/>
      <c r="Q905" s="99"/>
      <c r="R905" s="99"/>
      <c r="S905" s="99"/>
      <c r="T905" s="99"/>
    </row>
    <row r="906">
      <c r="A906" s="78"/>
      <c r="B906" s="99"/>
      <c r="C906" s="85"/>
      <c r="D906" s="99"/>
      <c r="E906" s="99"/>
      <c r="F906" s="99"/>
      <c r="G906" s="99"/>
      <c r="H906" s="99"/>
      <c r="I906" s="99"/>
      <c r="J906" s="99"/>
      <c r="K906" s="99"/>
      <c r="L906" s="99"/>
      <c r="M906" s="99"/>
      <c r="N906" s="99"/>
      <c r="O906" s="99"/>
      <c r="P906" s="99"/>
      <c r="Q906" s="99"/>
      <c r="R906" s="99"/>
      <c r="S906" s="99"/>
      <c r="T906" s="99"/>
    </row>
    <row r="907">
      <c r="A907" s="78"/>
      <c r="B907" s="99"/>
      <c r="C907" s="85"/>
      <c r="D907" s="99"/>
      <c r="E907" s="99"/>
      <c r="F907" s="99"/>
      <c r="G907" s="99"/>
      <c r="H907" s="99"/>
      <c r="I907" s="99"/>
      <c r="J907" s="99"/>
      <c r="K907" s="99"/>
      <c r="L907" s="99"/>
      <c r="M907" s="99"/>
      <c r="N907" s="99"/>
      <c r="O907" s="99"/>
      <c r="P907" s="99"/>
      <c r="Q907" s="99"/>
      <c r="R907" s="99"/>
      <c r="S907" s="99"/>
      <c r="T907" s="99"/>
    </row>
    <row r="908">
      <c r="A908" s="78"/>
      <c r="B908" s="99"/>
      <c r="C908" s="85"/>
      <c r="D908" s="99"/>
      <c r="E908" s="99"/>
      <c r="F908" s="99"/>
      <c r="G908" s="99"/>
      <c r="H908" s="99"/>
      <c r="I908" s="99"/>
      <c r="J908" s="99"/>
      <c r="K908" s="99"/>
      <c r="L908" s="99"/>
      <c r="M908" s="99"/>
      <c r="N908" s="99"/>
      <c r="O908" s="99"/>
      <c r="P908" s="99"/>
      <c r="Q908" s="99"/>
      <c r="R908" s="99"/>
      <c r="S908" s="99"/>
      <c r="T908" s="99"/>
    </row>
    <row r="909">
      <c r="A909" s="78"/>
      <c r="B909" s="99"/>
      <c r="C909" s="85"/>
      <c r="D909" s="99"/>
      <c r="E909" s="99"/>
      <c r="F909" s="99"/>
      <c r="G909" s="99"/>
      <c r="H909" s="99"/>
      <c r="I909" s="99"/>
      <c r="J909" s="99"/>
      <c r="K909" s="99"/>
      <c r="L909" s="99"/>
      <c r="M909" s="99"/>
      <c r="N909" s="99"/>
      <c r="O909" s="99"/>
      <c r="P909" s="99"/>
      <c r="Q909" s="99"/>
      <c r="R909" s="99"/>
      <c r="S909" s="99"/>
      <c r="T909" s="99"/>
    </row>
    <row r="910">
      <c r="A910" s="78"/>
      <c r="B910" s="99"/>
      <c r="C910" s="85"/>
      <c r="D910" s="99"/>
      <c r="E910" s="99"/>
      <c r="F910" s="99"/>
      <c r="G910" s="99"/>
      <c r="H910" s="99"/>
      <c r="I910" s="99"/>
      <c r="J910" s="99"/>
      <c r="K910" s="99"/>
      <c r="L910" s="99"/>
      <c r="M910" s="99"/>
      <c r="N910" s="99"/>
      <c r="O910" s="99"/>
      <c r="P910" s="99"/>
      <c r="Q910" s="99"/>
      <c r="R910" s="99"/>
      <c r="S910" s="99"/>
      <c r="T910" s="99"/>
    </row>
    <row r="911">
      <c r="A911" s="78"/>
      <c r="B911" s="99"/>
      <c r="C911" s="85"/>
      <c r="D911" s="99"/>
      <c r="E911" s="99"/>
      <c r="F911" s="99"/>
      <c r="G911" s="99"/>
      <c r="H911" s="99"/>
      <c r="I911" s="99"/>
      <c r="J911" s="99"/>
      <c r="K911" s="99"/>
      <c r="L911" s="99"/>
      <c r="M911" s="99"/>
      <c r="N911" s="99"/>
      <c r="O911" s="99"/>
      <c r="P911" s="99"/>
      <c r="Q911" s="99"/>
      <c r="R911" s="99"/>
      <c r="S911" s="99"/>
      <c r="T911" s="99"/>
    </row>
    <row r="912">
      <c r="A912" s="78"/>
      <c r="B912" s="99"/>
      <c r="C912" s="85"/>
      <c r="D912" s="99"/>
      <c r="E912" s="99"/>
      <c r="F912" s="99"/>
      <c r="G912" s="99"/>
      <c r="H912" s="99"/>
      <c r="I912" s="99"/>
      <c r="J912" s="99"/>
      <c r="K912" s="99"/>
      <c r="L912" s="99"/>
      <c r="M912" s="99"/>
      <c r="N912" s="99"/>
      <c r="O912" s="99"/>
      <c r="P912" s="99"/>
      <c r="Q912" s="99"/>
      <c r="R912" s="99"/>
      <c r="S912" s="99"/>
      <c r="T912" s="99"/>
    </row>
    <row r="913">
      <c r="A913" s="78"/>
      <c r="B913" s="99"/>
      <c r="C913" s="85"/>
      <c r="D913" s="99"/>
      <c r="E913" s="99"/>
      <c r="F913" s="99"/>
      <c r="G913" s="99"/>
      <c r="H913" s="99"/>
      <c r="I913" s="99"/>
      <c r="J913" s="99"/>
      <c r="K913" s="99"/>
      <c r="L913" s="99"/>
      <c r="M913" s="99"/>
      <c r="N913" s="99"/>
      <c r="O913" s="99"/>
      <c r="P913" s="99"/>
      <c r="Q913" s="99"/>
      <c r="R913" s="99"/>
      <c r="S913" s="99"/>
      <c r="T913" s="99"/>
    </row>
    <row r="914">
      <c r="A914" s="78"/>
      <c r="B914" s="99"/>
      <c r="C914" s="85"/>
      <c r="D914" s="99"/>
      <c r="E914" s="99"/>
      <c r="F914" s="99"/>
      <c r="G914" s="99"/>
      <c r="H914" s="99"/>
      <c r="I914" s="99"/>
      <c r="J914" s="99"/>
      <c r="K914" s="99"/>
      <c r="L914" s="99"/>
      <c r="M914" s="99"/>
      <c r="N914" s="99"/>
      <c r="O914" s="99"/>
      <c r="P914" s="99"/>
      <c r="Q914" s="99"/>
      <c r="R914" s="99"/>
      <c r="S914" s="99"/>
      <c r="T914" s="99"/>
    </row>
    <row r="915">
      <c r="A915" s="78"/>
      <c r="B915" s="99"/>
      <c r="C915" s="85"/>
      <c r="D915" s="99"/>
      <c r="E915" s="99"/>
      <c r="F915" s="99"/>
      <c r="G915" s="99"/>
      <c r="H915" s="99"/>
      <c r="I915" s="99"/>
      <c r="J915" s="99"/>
      <c r="K915" s="99"/>
      <c r="L915" s="99"/>
      <c r="M915" s="99"/>
      <c r="N915" s="99"/>
      <c r="O915" s="99"/>
      <c r="P915" s="99"/>
      <c r="Q915" s="99"/>
      <c r="R915" s="99"/>
      <c r="S915" s="99"/>
      <c r="T915" s="99"/>
    </row>
    <row r="916">
      <c r="A916" s="78"/>
      <c r="B916" s="99"/>
      <c r="C916" s="85"/>
      <c r="D916" s="99"/>
      <c r="E916" s="99"/>
      <c r="F916" s="99"/>
      <c r="G916" s="99"/>
      <c r="H916" s="99"/>
      <c r="I916" s="99"/>
      <c r="J916" s="99"/>
      <c r="K916" s="99"/>
      <c r="L916" s="99"/>
      <c r="M916" s="99"/>
      <c r="N916" s="99"/>
      <c r="O916" s="99"/>
      <c r="P916" s="99"/>
      <c r="Q916" s="99"/>
      <c r="R916" s="99"/>
      <c r="S916" s="99"/>
      <c r="T916" s="99"/>
    </row>
    <row r="917">
      <c r="A917" s="78"/>
      <c r="B917" s="99"/>
      <c r="C917" s="85"/>
      <c r="D917" s="99"/>
      <c r="E917" s="99"/>
      <c r="F917" s="99"/>
      <c r="G917" s="99"/>
      <c r="H917" s="99"/>
      <c r="I917" s="99"/>
      <c r="J917" s="99"/>
      <c r="K917" s="99"/>
      <c r="L917" s="99"/>
      <c r="M917" s="99"/>
      <c r="N917" s="99"/>
      <c r="O917" s="99"/>
      <c r="P917" s="99"/>
      <c r="Q917" s="99"/>
      <c r="R917" s="99"/>
      <c r="S917" s="99"/>
      <c r="T917" s="99"/>
    </row>
    <row r="918">
      <c r="A918" s="78"/>
      <c r="B918" s="99"/>
      <c r="C918" s="85"/>
      <c r="D918" s="99"/>
      <c r="E918" s="99"/>
      <c r="F918" s="99"/>
      <c r="G918" s="99"/>
      <c r="H918" s="99"/>
      <c r="I918" s="99"/>
      <c r="J918" s="99"/>
      <c r="K918" s="99"/>
      <c r="L918" s="99"/>
      <c r="M918" s="99"/>
      <c r="N918" s="99"/>
      <c r="O918" s="99"/>
      <c r="P918" s="99"/>
      <c r="Q918" s="99"/>
      <c r="R918" s="99"/>
      <c r="S918" s="99"/>
      <c r="T918" s="99"/>
    </row>
    <row r="919">
      <c r="A919" s="78"/>
      <c r="B919" s="99"/>
      <c r="C919" s="85"/>
      <c r="D919" s="99"/>
      <c r="E919" s="99"/>
      <c r="F919" s="99"/>
      <c r="G919" s="99"/>
      <c r="H919" s="99"/>
      <c r="I919" s="99"/>
      <c r="J919" s="99"/>
      <c r="K919" s="99"/>
      <c r="L919" s="99"/>
      <c r="M919" s="99"/>
      <c r="N919" s="99"/>
      <c r="O919" s="99"/>
      <c r="P919" s="99"/>
      <c r="Q919" s="99"/>
      <c r="R919" s="99"/>
      <c r="S919" s="99"/>
      <c r="T919" s="99"/>
    </row>
    <row r="920">
      <c r="A920" s="78"/>
      <c r="B920" s="99"/>
      <c r="C920" s="85"/>
      <c r="D920" s="99"/>
      <c r="E920" s="99"/>
      <c r="F920" s="99"/>
      <c r="G920" s="99"/>
      <c r="H920" s="99"/>
      <c r="I920" s="99"/>
      <c r="J920" s="99"/>
      <c r="K920" s="99"/>
      <c r="L920" s="99"/>
      <c r="M920" s="99"/>
      <c r="N920" s="99"/>
      <c r="O920" s="99"/>
      <c r="P920" s="99"/>
      <c r="Q920" s="99"/>
      <c r="R920" s="99"/>
      <c r="S920" s="99"/>
      <c r="T920" s="99"/>
    </row>
    <row r="921">
      <c r="A921" s="78"/>
      <c r="B921" s="99"/>
      <c r="C921" s="85"/>
      <c r="D921" s="99"/>
      <c r="E921" s="99"/>
      <c r="F921" s="99"/>
      <c r="G921" s="99"/>
      <c r="H921" s="99"/>
      <c r="I921" s="99"/>
      <c r="J921" s="99"/>
      <c r="K921" s="99"/>
      <c r="L921" s="99"/>
      <c r="M921" s="99"/>
      <c r="N921" s="99"/>
      <c r="O921" s="99"/>
      <c r="P921" s="99"/>
      <c r="Q921" s="99"/>
      <c r="R921" s="99"/>
      <c r="S921" s="99"/>
      <c r="T921" s="99"/>
    </row>
    <row r="922">
      <c r="A922" s="78"/>
      <c r="B922" s="99"/>
      <c r="C922" s="85"/>
      <c r="D922" s="99"/>
      <c r="E922" s="99"/>
      <c r="F922" s="99"/>
      <c r="G922" s="99"/>
      <c r="H922" s="99"/>
      <c r="I922" s="99"/>
      <c r="J922" s="99"/>
      <c r="K922" s="99"/>
      <c r="L922" s="99"/>
      <c r="M922" s="99"/>
      <c r="N922" s="99"/>
      <c r="O922" s="99"/>
      <c r="P922" s="99"/>
      <c r="Q922" s="99"/>
      <c r="R922" s="99"/>
      <c r="S922" s="99"/>
      <c r="T922" s="99"/>
    </row>
    <row r="923">
      <c r="A923" s="78"/>
      <c r="B923" s="99"/>
      <c r="C923" s="85"/>
      <c r="D923" s="99"/>
      <c r="E923" s="99"/>
      <c r="F923" s="99"/>
      <c r="G923" s="99"/>
      <c r="H923" s="99"/>
      <c r="I923" s="99"/>
      <c r="J923" s="99"/>
      <c r="K923" s="99"/>
      <c r="L923" s="99"/>
      <c r="M923" s="99"/>
      <c r="N923" s="99"/>
      <c r="O923" s="99"/>
      <c r="P923" s="99"/>
      <c r="Q923" s="99"/>
      <c r="R923" s="99"/>
      <c r="S923" s="99"/>
      <c r="T923" s="99"/>
    </row>
    <row r="924">
      <c r="A924" s="78"/>
      <c r="B924" s="99"/>
      <c r="C924" s="85"/>
      <c r="D924" s="99"/>
      <c r="E924" s="99"/>
      <c r="F924" s="99"/>
      <c r="G924" s="99"/>
      <c r="H924" s="99"/>
      <c r="I924" s="99"/>
      <c r="J924" s="99"/>
      <c r="K924" s="99"/>
      <c r="L924" s="99"/>
      <c r="M924" s="99"/>
      <c r="N924" s="99"/>
      <c r="O924" s="99"/>
      <c r="P924" s="99"/>
      <c r="Q924" s="99"/>
      <c r="R924" s="99"/>
      <c r="S924" s="99"/>
      <c r="T924" s="99"/>
    </row>
    <row r="925">
      <c r="A925" s="78"/>
      <c r="B925" s="99"/>
      <c r="C925" s="85"/>
      <c r="D925" s="99"/>
      <c r="E925" s="99"/>
      <c r="F925" s="99"/>
      <c r="G925" s="99"/>
      <c r="H925" s="99"/>
      <c r="I925" s="99"/>
      <c r="J925" s="99"/>
      <c r="K925" s="99"/>
      <c r="L925" s="99"/>
      <c r="M925" s="99"/>
      <c r="N925" s="99"/>
      <c r="O925" s="99"/>
      <c r="P925" s="99"/>
      <c r="Q925" s="99"/>
      <c r="R925" s="99"/>
      <c r="S925" s="99"/>
      <c r="T925" s="99"/>
    </row>
    <row r="926">
      <c r="A926" s="78"/>
      <c r="B926" s="99"/>
      <c r="C926" s="85"/>
      <c r="D926" s="99"/>
      <c r="E926" s="99"/>
      <c r="F926" s="99"/>
      <c r="G926" s="99"/>
      <c r="H926" s="99"/>
      <c r="I926" s="99"/>
      <c r="J926" s="99"/>
      <c r="K926" s="99"/>
      <c r="L926" s="99"/>
      <c r="M926" s="99"/>
      <c r="N926" s="99"/>
      <c r="O926" s="99"/>
      <c r="P926" s="99"/>
      <c r="Q926" s="99"/>
      <c r="R926" s="99"/>
      <c r="S926" s="99"/>
      <c r="T926" s="99"/>
    </row>
    <row r="927">
      <c r="A927" s="78"/>
      <c r="B927" s="99"/>
      <c r="C927" s="85"/>
      <c r="D927" s="99"/>
      <c r="E927" s="99"/>
      <c r="F927" s="99"/>
      <c r="G927" s="99"/>
      <c r="H927" s="99"/>
      <c r="I927" s="99"/>
      <c r="J927" s="99"/>
      <c r="K927" s="99"/>
      <c r="L927" s="99"/>
      <c r="M927" s="99"/>
      <c r="N927" s="99"/>
      <c r="O927" s="99"/>
      <c r="P927" s="99"/>
      <c r="Q927" s="99"/>
      <c r="R927" s="99"/>
      <c r="S927" s="99"/>
      <c r="T927" s="99"/>
    </row>
    <row r="928">
      <c r="A928" s="78"/>
      <c r="B928" s="99"/>
      <c r="C928" s="85"/>
      <c r="D928" s="99"/>
      <c r="E928" s="99"/>
      <c r="F928" s="99"/>
      <c r="G928" s="99"/>
      <c r="H928" s="99"/>
      <c r="I928" s="99"/>
      <c r="J928" s="99"/>
      <c r="K928" s="99"/>
      <c r="L928" s="99"/>
      <c r="M928" s="99"/>
      <c r="N928" s="99"/>
      <c r="O928" s="99"/>
      <c r="P928" s="99"/>
      <c r="Q928" s="99"/>
      <c r="R928" s="99"/>
      <c r="S928" s="99"/>
      <c r="T928" s="99"/>
    </row>
    <row r="929">
      <c r="A929" s="78"/>
      <c r="B929" s="99"/>
      <c r="C929" s="85"/>
      <c r="D929" s="99"/>
      <c r="E929" s="99"/>
      <c r="F929" s="99"/>
      <c r="G929" s="99"/>
      <c r="H929" s="99"/>
      <c r="I929" s="99"/>
      <c r="J929" s="99"/>
      <c r="K929" s="99"/>
      <c r="L929" s="99"/>
      <c r="M929" s="99"/>
      <c r="N929" s="99"/>
      <c r="O929" s="99"/>
      <c r="P929" s="99"/>
      <c r="Q929" s="99"/>
      <c r="R929" s="99"/>
      <c r="S929" s="99"/>
      <c r="T929" s="99"/>
    </row>
    <row r="930">
      <c r="A930" s="78"/>
      <c r="B930" s="99"/>
      <c r="C930" s="85"/>
      <c r="D930" s="99"/>
      <c r="E930" s="99"/>
      <c r="F930" s="99"/>
      <c r="G930" s="99"/>
      <c r="H930" s="99"/>
      <c r="I930" s="99"/>
      <c r="J930" s="99"/>
      <c r="K930" s="99"/>
      <c r="L930" s="99"/>
      <c r="M930" s="99"/>
      <c r="N930" s="99"/>
      <c r="O930" s="99"/>
      <c r="P930" s="99"/>
      <c r="Q930" s="99"/>
      <c r="R930" s="99"/>
      <c r="S930" s="99"/>
      <c r="T930" s="99"/>
    </row>
    <row r="931">
      <c r="A931" s="78"/>
      <c r="B931" s="99"/>
      <c r="C931" s="85"/>
      <c r="D931" s="99"/>
      <c r="E931" s="99"/>
      <c r="F931" s="99"/>
      <c r="G931" s="99"/>
      <c r="H931" s="99"/>
      <c r="I931" s="99"/>
      <c r="J931" s="99"/>
      <c r="K931" s="99"/>
      <c r="L931" s="99"/>
      <c r="M931" s="99"/>
      <c r="N931" s="99"/>
      <c r="O931" s="99"/>
      <c r="P931" s="99"/>
      <c r="Q931" s="99"/>
      <c r="R931" s="99"/>
      <c r="S931" s="99"/>
      <c r="T931" s="99"/>
    </row>
    <row r="932">
      <c r="A932" s="78"/>
      <c r="B932" s="99"/>
      <c r="C932" s="85"/>
      <c r="D932" s="99"/>
      <c r="E932" s="99"/>
      <c r="F932" s="99"/>
      <c r="G932" s="99"/>
      <c r="H932" s="99"/>
      <c r="I932" s="99"/>
      <c r="J932" s="99"/>
      <c r="K932" s="99"/>
      <c r="L932" s="99"/>
      <c r="M932" s="99"/>
      <c r="N932" s="99"/>
      <c r="O932" s="99"/>
      <c r="P932" s="99"/>
      <c r="Q932" s="99"/>
      <c r="R932" s="99"/>
      <c r="S932" s="99"/>
      <c r="T932" s="99"/>
    </row>
    <row r="933">
      <c r="A933" s="78"/>
      <c r="B933" s="99"/>
      <c r="C933" s="85"/>
      <c r="D933" s="99"/>
      <c r="E933" s="99"/>
      <c r="F933" s="99"/>
      <c r="G933" s="99"/>
      <c r="H933" s="99"/>
      <c r="I933" s="99"/>
      <c r="J933" s="99"/>
      <c r="K933" s="99"/>
      <c r="L933" s="99"/>
      <c r="M933" s="99"/>
      <c r="N933" s="99"/>
      <c r="O933" s="99"/>
      <c r="P933" s="99"/>
      <c r="Q933" s="99"/>
      <c r="R933" s="99"/>
      <c r="S933" s="99"/>
      <c r="T933" s="99"/>
    </row>
    <row r="934">
      <c r="A934" s="78"/>
      <c r="B934" s="99"/>
      <c r="C934" s="85"/>
      <c r="D934" s="99"/>
      <c r="E934" s="99"/>
      <c r="F934" s="99"/>
      <c r="G934" s="99"/>
      <c r="H934" s="99"/>
      <c r="I934" s="99"/>
      <c r="J934" s="99"/>
      <c r="K934" s="99"/>
      <c r="L934" s="99"/>
      <c r="M934" s="99"/>
      <c r="N934" s="99"/>
      <c r="O934" s="99"/>
      <c r="P934" s="99"/>
      <c r="Q934" s="99"/>
      <c r="R934" s="99"/>
      <c r="S934" s="99"/>
      <c r="T934" s="99"/>
    </row>
    <row r="935">
      <c r="A935" s="78"/>
      <c r="B935" s="99"/>
      <c r="C935" s="85"/>
      <c r="D935" s="99"/>
      <c r="E935" s="99"/>
      <c r="F935" s="99"/>
      <c r="G935" s="99"/>
      <c r="H935" s="99"/>
      <c r="I935" s="99"/>
      <c r="J935" s="99"/>
      <c r="K935" s="99"/>
      <c r="L935" s="99"/>
      <c r="M935" s="99"/>
      <c r="N935" s="99"/>
      <c r="O935" s="99"/>
      <c r="P935" s="99"/>
      <c r="Q935" s="99"/>
      <c r="R935" s="99"/>
      <c r="S935" s="99"/>
      <c r="T935" s="99"/>
    </row>
    <row r="936">
      <c r="A936" s="78"/>
      <c r="B936" s="99"/>
      <c r="C936" s="85"/>
      <c r="D936" s="99"/>
      <c r="E936" s="99"/>
      <c r="F936" s="99"/>
      <c r="G936" s="99"/>
      <c r="H936" s="99"/>
      <c r="I936" s="99"/>
      <c r="J936" s="99"/>
      <c r="K936" s="99"/>
      <c r="L936" s="99"/>
      <c r="M936" s="99"/>
      <c r="N936" s="99"/>
      <c r="O936" s="99"/>
      <c r="P936" s="99"/>
      <c r="Q936" s="99"/>
      <c r="R936" s="99"/>
      <c r="S936" s="99"/>
      <c r="T936" s="99"/>
    </row>
    <row r="937">
      <c r="A937" s="78"/>
      <c r="B937" s="99"/>
      <c r="C937" s="85"/>
      <c r="D937" s="99"/>
      <c r="E937" s="99"/>
      <c r="F937" s="99"/>
      <c r="G937" s="99"/>
      <c r="H937" s="99"/>
      <c r="I937" s="99"/>
      <c r="J937" s="99"/>
      <c r="K937" s="99"/>
      <c r="L937" s="99"/>
      <c r="M937" s="99"/>
      <c r="N937" s="99"/>
      <c r="O937" s="99"/>
      <c r="P937" s="99"/>
      <c r="Q937" s="99"/>
      <c r="R937" s="99"/>
      <c r="S937" s="99"/>
      <c r="T937" s="99"/>
    </row>
    <row r="938">
      <c r="A938" s="78"/>
      <c r="B938" s="99"/>
      <c r="C938" s="85"/>
      <c r="D938" s="99"/>
      <c r="E938" s="99"/>
      <c r="F938" s="99"/>
      <c r="G938" s="99"/>
      <c r="H938" s="99"/>
      <c r="I938" s="99"/>
      <c r="J938" s="99"/>
      <c r="K938" s="99"/>
      <c r="L938" s="99"/>
      <c r="M938" s="99"/>
      <c r="N938" s="99"/>
      <c r="O938" s="99"/>
      <c r="P938" s="99"/>
      <c r="Q938" s="99"/>
      <c r="R938" s="99"/>
      <c r="S938" s="99"/>
      <c r="T938" s="99"/>
    </row>
    <row r="939">
      <c r="A939" s="78"/>
      <c r="B939" s="99"/>
      <c r="C939" s="85"/>
      <c r="D939" s="99"/>
      <c r="E939" s="99"/>
      <c r="F939" s="99"/>
      <c r="G939" s="99"/>
      <c r="H939" s="99"/>
      <c r="I939" s="99"/>
      <c r="J939" s="99"/>
      <c r="K939" s="99"/>
      <c r="L939" s="99"/>
      <c r="M939" s="99"/>
      <c r="N939" s="99"/>
      <c r="O939" s="99"/>
      <c r="P939" s="99"/>
      <c r="Q939" s="99"/>
      <c r="R939" s="99"/>
      <c r="S939" s="99"/>
      <c r="T939" s="99"/>
    </row>
    <row r="940">
      <c r="A940" s="78"/>
      <c r="B940" s="99"/>
      <c r="C940" s="85"/>
      <c r="D940" s="99"/>
      <c r="E940" s="99"/>
      <c r="F940" s="99"/>
      <c r="G940" s="99"/>
      <c r="H940" s="99"/>
      <c r="I940" s="99"/>
      <c r="J940" s="99"/>
      <c r="K940" s="99"/>
      <c r="L940" s="99"/>
      <c r="M940" s="99"/>
      <c r="N940" s="99"/>
      <c r="O940" s="99"/>
      <c r="P940" s="99"/>
      <c r="Q940" s="99"/>
      <c r="R940" s="99"/>
      <c r="S940" s="99"/>
      <c r="T940" s="99"/>
    </row>
    <row r="941">
      <c r="A941" s="78"/>
      <c r="B941" s="99"/>
      <c r="C941" s="85"/>
      <c r="D941" s="99"/>
      <c r="E941" s="99"/>
      <c r="F941" s="99"/>
      <c r="G941" s="99"/>
      <c r="H941" s="99"/>
      <c r="I941" s="99"/>
      <c r="J941" s="99"/>
      <c r="K941" s="99"/>
      <c r="L941" s="99"/>
      <c r="M941" s="99"/>
      <c r="N941" s="99"/>
      <c r="O941" s="99"/>
      <c r="P941" s="99"/>
      <c r="Q941" s="99"/>
      <c r="R941" s="99"/>
      <c r="S941" s="99"/>
      <c r="T941" s="99"/>
    </row>
    <row r="942">
      <c r="A942" s="78"/>
      <c r="B942" s="99"/>
      <c r="C942" s="85"/>
      <c r="D942" s="99"/>
      <c r="E942" s="99"/>
      <c r="F942" s="99"/>
      <c r="G942" s="99"/>
      <c r="H942" s="99"/>
      <c r="I942" s="99"/>
      <c r="J942" s="99"/>
      <c r="K942" s="99"/>
      <c r="L942" s="99"/>
      <c r="M942" s="99"/>
      <c r="N942" s="99"/>
      <c r="O942" s="99"/>
      <c r="P942" s="99"/>
      <c r="Q942" s="99"/>
      <c r="R942" s="99"/>
      <c r="S942" s="99"/>
      <c r="T942" s="99"/>
    </row>
    <row r="943">
      <c r="A943" s="78"/>
      <c r="B943" s="99"/>
      <c r="C943" s="85"/>
      <c r="D943" s="99"/>
      <c r="E943" s="99"/>
      <c r="F943" s="99"/>
      <c r="G943" s="99"/>
      <c r="H943" s="99"/>
      <c r="I943" s="99"/>
      <c r="J943" s="99"/>
      <c r="K943" s="99"/>
      <c r="L943" s="99"/>
      <c r="M943" s="99"/>
      <c r="N943" s="99"/>
      <c r="O943" s="99"/>
      <c r="P943" s="99"/>
      <c r="Q943" s="99"/>
      <c r="R943" s="99"/>
      <c r="S943" s="99"/>
      <c r="T943" s="99"/>
    </row>
    <row r="944">
      <c r="A944" s="78"/>
      <c r="B944" s="99"/>
      <c r="C944" s="85"/>
      <c r="D944" s="99"/>
      <c r="E944" s="99"/>
      <c r="F944" s="99"/>
      <c r="G944" s="99"/>
      <c r="H944" s="99"/>
      <c r="I944" s="99"/>
      <c r="J944" s="99"/>
      <c r="K944" s="99"/>
      <c r="L944" s="99"/>
      <c r="M944" s="99"/>
      <c r="N944" s="99"/>
      <c r="O944" s="99"/>
      <c r="P944" s="99"/>
      <c r="Q944" s="99"/>
      <c r="R944" s="99"/>
      <c r="S944" s="99"/>
      <c r="T944" s="99"/>
    </row>
    <row r="945">
      <c r="A945" s="78"/>
      <c r="B945" s="99"/>
      <c r="C945" s="85"/>
      <c r="D945" s="99"/>
      <c r="E945" s="99"/>
      <c r="F945" s="99"/>
      <c r="G945" s="99"/>
      <c r="H945" s="99"/>
      <c r="I945" s="99"/>
      <c r="J945" s="99"/>
      <c r="K945" s="99"/>
      <c r="L945" s="99"/>
      <c r="M945" s="99"/>
      <c r="N945" s="99"/>
      <c r="O945" s="99"/>
      <c r="P945" s="99"/>
      <c r="Q945" s="99"/>
      <c r="R945" s="99"/>
      <c r="S945" s="99"/>
      <c r="T945" s="99"/>
    </row>
    <row r="946">
      <c r="A946" s="78"/>
      <c r="B946" s="99"/>
      <c r="C946" s="85"/>
      <c r="D946" s="99"/>
      <c r="E946" s="99"/>
      <c r="F946" s="99"/>
      <c r="G946" s="99"/>
      <c r="H946" s="99"/>
      <c r="I946" s="99"/>
      <c r="J946" s="99"/>
      <c r="K946" s="99"/>
      <c r="L946" s="99"/>
      <c r="M946" s="99"/>
      <c r="N946" s="99"/>
      <c r="O946" s="99"/>
      <c r="P946" s="99"/>
      <c r="Q946" s="99"/>
      <c r="R946" s="99"/>
      <c r="S946" s="99"/>
      <c r="T946" s="99"/>
    </row>
    <row r="947">
      <c r="A947" s="78"/>
      <c r="B947" s="99"/>
      <c r="C947" s="85"/>
      <c r="D947" s="99"/>
      <c r="E947" s="99"/>
      <c r="F947" s="99"/>
      <c r="G947" s="99"/>
      <c r="H947" s="99"/>
      <c r="I947" s="99"/>
      <c r="J947" s="99"/>
      <c r="K947" s="99"/>
      <c r="L947" s="99"/>
      <c r="M947" s="99"/>
      <c r="N947" s="99"/>
      <c r="O947" s="99"/>
      <c r="P947" s="99"/>
      <c r="Q947" s="99"/>
      <c r="R947" s="99"/>
      <c r="S947" s="99"/>
      <c r="T947" s="99"/>
    </row>
    <row r="948">
      <c r="A948" s="78"/>
      <c r="B948" s="99"/>
      <c r="C948" s="85"/>
      <c r="D948" s="99"/>
      <c r="E948" s="99"/>
      <c r="F948" s="99"/>
      <c r="G948" s="99"/>
      <c r="H948" s="99"/>
      <c r="I948" s="99"/>
      <c r="J948" s="99"/>
      <c r="K948" s="99"/>
      <c r="L948" s="99"/>
      <c r="M948" s="99"/>
      <c r="N948" s="99"/>
      <c r="O948" s="99"/>
      <c r="P948" s="99"/>
      <c r="Q948" s="99"/>
      <c r="R948" s="99"/>
      <c r="S948" s="99"/>
      <c r="T948" s="99"/>
    </row>
    <row r="949">
      <c r="A949" s="78"/>
      <c r="B949" s="99"/>
      <c r="C949" s="85"/>
      <c r="D949" s="99"/>
      <c r="E949" s="99"/>
      <c r="F949" s="99"/>
      <c r="G949" s="99"/>
      <c r="H949" s="99"/>
      <c r="I949" s="99"/>
      <c r="J949" s="99"/>
      <c r="K949" s="99"/>
      <c r="L949" s="99"/>
      <c r="M949" s="99"/>
      <c r="N949" s="99"/>
      <c r="O949" s="99"/>
      <c r="P949" s="99"/>
      <c r="Q949" s="99"/>
      <c r="R949" s="99"/>
      <c r="S949" s="99"/>
      <c r="T949" s="99"/>
    </row>
    <row r="950">
      <c r="A950" s="78"/>
      <c r="B950" s="99"/>
      <c r="C950" s="85"/>
      <c r="D950" s="99"/>
      <c r="E950" s="99"/>
      <c r="F950" s="99"/>
      <c r="G950" s="99"/>
      <c r="H950" s="99"/>
      <c r="I950" s="99"/>
      <c r="J950" s="99"/>
      <c r="K950" s="99"/>
      <c r="L950" s="99"/>
      <c r="M950" s="99"/>
      <c r="N950" s="99"/>
      <c r="O950" s="99"/>
      <c r="P950" s="99"/>
      <c r="Q950" s="99"/>
      <c r="R950" s="99"/>
      <c r="S950" s="99"/>
      <c r="T950" s="99"/>
    </row>
    <row r="951">
      <c r="A951" s="78"/>
      <c r="B951" s="99"/>
      <c r="C951" s="85"/>
      <c r="D951" s="99"/>
      <c r="E951" s="99"/>
      <c r="F951" s="99"/>
      <c r="G951" s="99"/>
      <c r="H951" s="99"/>
      <c r="I951" s="99"/>
      <c r="J951" s="99"/>
      <c r="K951" s="99"/>
      <c r="L951" s="99"/>
      <c r="M951" s="99"/>
      <c r="N951" s="99"/>
      <c r="O951" s="99"/>
      <c r="P951" s="99"/>
      <c r="Q951" s="99"/>
      <c r="R951" s="99"/>
      <c r="S951" s="99"/>
      <c r="T951" s="99"/>
    </row>
    <row r="952">
      <c r="A952" s="78"/>
      <c r="B952" s="99"/>
      <c r="C952" s="85"/>
      <c r="D952" s="99"/>
      <c r="E952" s="99"/>
      <c r="F952" s="99"/>
      <c r="G952" s="99"/>
      <c r="H952" s="99"/>
      <c r="I952" s="99"/>
      <c r="J952" s="99"/>
      <c r="K952" s="99"/>
      <c r="L952" s="99"/>
      <c r="M952" s="99"/>
      <c r="N952" s="99"/>
      <c r="O952" s="99"/>
      <c r="P952" s="99"/>
      <c r="Q952" s="99"/>
      <c r="R952" s="99"/>
      <c r="S952" s="99"/>
      <c r="T952" s="99"/>
    </row>
    <row r="953">
      <c r="A953" s="78"/>
      <c r="B953" s="99"/>
      <c r="C953" s="85"/>
      <c r="D953" s="99"/>
      <c r="E953" s="99"/>
      <c r="F953" s="99"/>
      <c r="G953" s="99"/>
      <c r="H953" s="99"/>
      <c r="I953" s="99"/>
      <c r="J953" s="99"/>
      <c r="K953" s="99"/>
      <c r="L953" s="99"/>
      <c r="M953" s="99"/>
      <c r="N953" s="99"/>
      <c r="O953" s="99"/>
      <c r="P953" s="99"/>
      <c r="Q953" s="99"/>
      <c r="R953" s="99"/>
      <c r="S953" s="99"/>
      <c r="T953" s="99"/>
    </row>
    <row r="954">
      <c r="A954" s="78"/>
      <c r="B954" s="99"/>
      <c r="C954" s="85"/>
      <c r="D954" s="99"/>
      <c r="E954" s="99"/>
      <c r="F954" s="99"/>
      <c r="G954" s="99"/>
      <c r="H954" s="99"/>
      <c r="I954" s="99"/>
      <c r="J954" s="99"/>
      <c r="K954" s="99"/>
      <c r="L954" s="99"/>
      <c r="M954" s="99"/>
      <c r="N954" s="99"/>
      <c r="O954" s="99"/>
      <c r="P954" s="99"/>
      <c r="Q954" s="99"/>
      <c r="R954" s="99"/>
      <c r="S954" s="99"/>
      <c r="T954" s="99"/>
    </row>
    <row r="955">
      <c r="A955" s="78"/>
      <c r="B955" s="99"/>
      <c r="C955" s="85"/>
      <c r="D955" s="99"/>
      <c r="E955" s="99"/>
      <c r="F955" s="99"/>
      <c r="G955" s="99"/>
      <c r="H955" s="99"/>
      <c r="I955" s="99"/>
      <c r="J955" s="99"/>
      <c r="K955" s="99"/>
      <c r="L955" s="99"/>
      <c r="M955" s="99"/>
      <c r="N955" s="99"/>
      <c r="O955" s="99"/>
      <c r="P955" s="99"/>
      <c r="Q955" s="99"/>
      <c r="R955" s="99"/>
      <c r="S955" s="99"/>
      <c r="T955" s="99"/>
    </row>
    <row r="956">
      <c r="A956" s="78"/>
      <c r="B956" s="99"/>
      <c r="C956" s="85"/>
      <c r="D956" s="99"/>
      <c r="E956" s="99"/>
      <c r="F956" s="99"/>
      <c r="G956" s="99"/>
      <c r="H956" s="99"/>
      <c r="I956" s="99"/>
      <c r="J956" s="99"/>
      <c r="K956" s="99"/>
      <c r="L956" s="99"/>
      <c r="M956" s="99"/>
      <c r="N956" s="99"/>
      <c r="O956" s="99"/>
      <c r="P956" s="99"/>
      <c r="Q956" s="99"/>
      <c r="R956" s="99"/>
      <c r="S956" s="99"/>
      <c r="T956" s="99"/>
    </row>
    <row r="957">
      <c r="A957" s="78"/>
      <c r="B957" s="99"/>
      <c r="C957" s="85"/>
      <c r="D957" s="99"/>
      <c r="E957" s="99"/>
      <c r="F957" s="99"/>
      <c r="G957" s="99"/>
      <c r="H957" s="99"/>
      <c r="I957" s="99"/>
      <c r="J957" s="99"/>
      <c r="K957" s="99"/>
      <c r="L957" s="99"/>
      <c r="M957" s="99"/>
      <c r="N957" s="99"/>
      <c r="O957" s="99"/>
      <c r="P957" s="99"/>
      <c r="Q957" s="99"/>
      <c r="R957" s="99"/>
      <c r="S957" s="99"/>
      <c r="T957" s="99"/>
    </row>
    <row r="958">
      <c r="A958" s="78"/>
      <c r="B958" s="99"/>
      <c r="C958" s="85"/>
      <c r="D958" s="99"/>
      <c r="E958" s="99"/>
      <c r="F958" s="99"/>
      <c r="G958" s="99"/>
      <c r="H958" s="99"/>
      <c r="I958" s="99"/>
      <c r="J958" s="99"/>
      <c r="K958" s="99"/>
      <c r="L958" s="99"/>
      <c r="M958" s="99"/>
      <c r="N958" s="99"/>
      <c r="O958" s="99"/>
      <c r="P958" s="99"/>
      <c r="Q958" s="99"/>
      <c r="R958" s="99"/>
      <c r="S958" s="99"/>
      <c r="T958" s="99"/>
    </row>
    <row r="959">
      <c r="A959" s="78"/>
      <c r="B959" s="99"/>
      <c r="C959" s="85"/>
      <c r="D959" s="99"/>
      <c r="E959" s="99"/>
      <c r="F959" s="99"/>
      <c r="G959" s="99"/>
      <c r="H959" s="99"/>
      <c r="I959" s="99"/>
      <c r="J959" s="99"/>
      <c r="K959" s="99"/>
      <c r="L959" s="99"/>
      <c r="M959" s="99"/>
      <c r="N959" s="99"/>
      <c r="O959" s="99"/>
      <c r="P959" s="99"/>
      <c r="Q959" s="99"/>
      <c r="R959" s="99"/>
      <c r="S959" s="99"/>
      <c r="T959" s="99"/>
    </row>
    <row r="960">
      <c r="A960" s="78"/>
      <c r="B960" s="99"/>
      <c r="C960" s="85"/>
      <c r="D960" s="99"/>
      <c r="E960" s="99"/>
      <c r="F960" s="99"/>
      <c r="G960" s="99"/>
      <c r="H960" s="99"/>
      <c r="I960" s="99"/>
      <c r="J960" s="99"/>
      <c r="K960" s="99"/>
      <c r="L960" s="99"/>
      <c r="M960" s="99"/>
      <c r="N960" s="99"/>
      <c r="O960" s="99"/>
      <c r="P960" s="99"/>
      <c r="Q960" s="99"/>
      <c r="R960" s="99"/>
      <c r="S960" s="99"/>
      <c r="T960" s="99"/>
    </row>
    <row r="961">
      <c r="A961" s="78"/>
      <c r="B961" s="99"/>
      <c r="C961" s="85"/>
      <c r="D961" s="99"/>
      <c r="E961" s="99"/>
      <c r="F961" s="99"/>
      <c r="G961" s="99"/>
      <c r="H961" s="99"/>
      <c r="I961" s="99"/>
      <c r="J961" s="99"/>
      <c r="K961" s="99"/>
      <c r="L961" s="99"/>
      <c r="M961" s="99"/>
      <c r="N961" s="99"/>
      <c r="O961" s="99"/>
      <c r="P961" s="99"/>
      <c r="Q961" s="99"/>
      <c r="R961" s="99"/>
      <c r="S961" s="99"/>
      <c r="T961" s="99"/>
    </row>
    <row r="962">
      <c r="A962" s="78"/>
      <c r="B962" s="99"/>
      <c r="C962" s="85"/>
      <c r="D962" s="99"/>
      <c r="E962" s="99"/>
      <c r="F962" s="99"/>
      <c r="G962" s="99"/>
      <c r="H962" s="99"/>
      <c r="I962" s="99"/>
      <c r="J962" s="99"/>
      <c r="K962" s="99"/>
      <c r="L962" s="99"/>
      <c r="M962" s="99"/>
      <c r="N962" s="99"/>
      <c r="O962" s="99"/>
      <c r="P962" s="99"/>
      <c r="Q962" s="99"/>
      <c r="R962" s="99"/>
      <c r="S962" s="99"/>
      <c r="T962" s="99"/>
    </row>
    <row r="963">
      <c r="A963" s="78"/>
      <c r="B963" s="99"/>
      <c r="C963" s="85"/>
      <c r="D963" s="99"/>
      <c r="E963" s="99"/>
      <c r="F963" s="99"/>
      <c r="G963" s="99"/>
      <c r="H963" s="99"/>
      <c r="I963" s="99"/>
      <c r="J963" s="99"/>
      <c r="K963" s="99"/>
      <c r="L963" s="99"/>
      <c r="M963" s="99"/>
      <c r="N963" s="99"/>
      <c r="O963" s="99"/>
      <c r="P963" s="99"/>
      <c r="Q963" s="99"/>
      <c r="R963" s="99"/>
      <c r="S963" s="99"/>
      <c r="T963" s="99"/>
    </row>
    <row r="964">
      <c r="A964" s="78"/>
      <c r="B964" s="99"/>
      <c r="C964" s="85"/>
      <c r="D964" s="99"/>
      <c r="E964" s="99"/>
      <c r="F964" s="99"/>
      <c r="G964" s="99"/>
      <c r="H964" s="99"/>
      <c r="I964" s="99"/>
      <c r="J964" s="99"/>
      <c r="K964" s="99"/>
      <c r="L964" s="99"/>
      <c r="M964" s="99"/>
      <c r="N964" s="99"/>
      <c r="O964" s="99"/>
      <c r="P964" s="99"/>
      <c r="Q964" s="99"/>
      <c r="R964" s="99"/>
      <c r="S964" s="99"/>
      <c r="T964" s="99"/>
    </row>
    <row r="965">
      <c r="A965" s="78"/>
      <c r="B965" s="99"/>
      <c r="C965" s="85"/>
      <c r="D965" s="99"/>
      <c r="E965" s="99"/>
      <c r="F965" s="99"/>
      <c r="G965" s="99"/>
      <c r="H965" s="99"/>
      <c r="I965" s="99"/>
      <c r="J965" s="99"/>
      <c r="K965" s="99"/>
      <c r="L965" s="99"/>
      <c r="M965" s="99"/>
      <c r="N965" s="99"/>
      <c r="O965" s="99"/>
      <c r="P965" s="99"/>
      <c r="Q965" s="99"/>
      <c r="R965" s="99"/>
      <c r="S965" s="99"/>
      <c r="T965" s="99"/>
    </row>
    <row r="966">
      <c r="A966" s="78"/>
      <c r="B966" s="99"/>
      <c r="C966" s="85"/>
      <c r="D966" s="99"/>
      <c r="E966" s="99"/>
      <c r="F966" s="99"/>
      <c r="G966" s="99"/>
      <c r="H966" s="99"/>
      <c r="I966" s="99"/>
      <c r="J966" s="99"/>
      <c r="K966" s="99"/>
      <c r="L966" s="99"/>
      <c r="M966" s="99"/>
      <c r="N966" s="99"/>
      <c r="O966" s="99"/>
      <c r="P966" s="99"/>
      <c r="Q966" s="99"/>
      <c r="R966" s="99"/>
      <c r="S966" s="99"/>
      <c r="T966" s="99"/>
    </row>
    <row r="967">
      <c r="A967" s="78"/>
      <c r="B967" s="99"/>
      <c r="C967" s="85"/>
      <c r="D967" s="99"/>
      <c r="E967" s="99"/>
      <c r="F967" s="99"/>
      <c r="G967" s="99"/>
      <c r="H967" s="99"/>
      <c r="I967" s="99"/>
      <c r="J967" s="99"/>
      <c r="K967" s="99"/>
      <c r="L967" s="99"/>
      <c r="M967" s="99"/>
      <c r="N967" s="99"/>
      <c r="O967" s="99"/>
      <c r="P967" s="99"/>
      <c r="Q967" s="99"/>
      <c r="R967" s="99"/>
      <c r="S967" s="99"/>
      <c r="T967" s="99"/>
    </row>
    <row r="968">
      <c r="A968" s="78"/>
      <c r="B968" s="99"/>
      <c r="C968" s="85"/>
      <c r="D968" s="99"/>
      <c r="E968" s="99"/>
      <c r="F968" s="99"/>
      <c r="G968" s="99"/>
      <c r="H968" s="99"/>
      <c r="I968" s="99"/>
      <c r="J968" s="99"/>
      <c r="K968" s="99"/>
      <c r="L968" s="99"/>
      <c r="M968" s="99"/>
      <c r="N968" s="99"/>
      <c r="O968" s="99"/>
      <c r="P968" s="99"/>
      <c r="Q968" s="99"/>
      <c r="R968" s="99"/>
      <c r="S968" s="99"/>
      <c r="T968" s="99"/>
    </row>
    <row r="969">
      <c r="A969" s="78"/>
      <c r="B969" s="99"/>
      <c r="C969" s="85"/>
      <c r="D969" s="99"/>
      <c r="E969" s="99"/>
      <c r="F969" s="99"/>
      <c r="G969" s="99"/>
      <c r="H969" s="99"/>
      <c r="I969" s="99"/>
      <c r="J969" s="99"/>
      <c r="K969" s="99"/>
      <c r="L969" s="99"/>
      <c r="M969" s="99"/>
      <c r="N969" s="99"/>
      <c r="O969" s="99"/>
      <c r="P969" s="99"/>
      <c r="Q969" s="99"/>
      <c r="R969" s="99"/>
      <c r="S969" s="99"/>
      <c r="T969" s="99"/>
    </row>
    <row r="970">
      <c r="A970" s="78"/>
      <c r="B970" s="99"/>
      <c r="C970" s="85"/>
      <c r="D970" s="99"/>
      <c r="E970" s="99"/>
      <c r="F970" s="99"/>
      <c r="G970" s="99"/>
      <c r="H970" s="99"/>
      <c r="I970" s="99"/>
      <c r="J970" s="99"/>
      <c r="K970" s="99"/>
      <c r="L970" s="99"/>
      <c r="M970" s="99"/>
      <c r="N970" s="99"/>
      <c r="O970" s="99"/>
      <c r="P970" s="99"/>
      <c r="Q970" s="99"/>
      <c r="R970" s="99"/>
      <c r="S970" s="99"/>
      <c r="T970" s="99"/>
    </row>
    <row r="971">
      <c r="A971" s="78"/>
      <c r="B971" s="99"/>
      <c r="C971" s="85"/>
      <c r="D971" s="99"/>
      <c r="E971" s="99"/>
      <c r="F971" s="99"/>
      <c r="G971" s="99"/>
      <c r="H971" s="99"/>
      <c r="I971" s="99"/>
      <c r="J971" s="99"/>
      <c r="K971" s="99"/>
      <c r="L971" s="99"/>
      <c r="M971" s="99"/>
      <c r="N971" s="99"/>
      <c r="O971" s="99"/>
      <c r="P971" s="99"/>
      <c r="Q971" s="99"/>
      <c r="R971" s="99"/>
      <c r="S971" s="99"/>
      <c r="T971" s="99"/>
    </row>
    <row r="972">
      <c r="A972" s="78"/>
      <c r="B972" s="99"/>
      <c r="C972" s="85"/>
      <c r="D972" s="99"/>
      <c r="E972" s="99"/>
      <c r="F972" s="99"/>
      <c r="G972" s="99"/>
      <c r="H972" s="99"/>
      <c r="I972" s="99"/>
      <c r="J972" s="99"/>
      <c r="K972" s="99"/>
      <c r="L972" s="99"/>
      <c r="M972" s="99"/>
      <c r="N972" s="99"/>
      <c r="O972" s="99"/>
      <c r="P972" s="99"/>
      <c r="Q972" s="99"/>
      <c r="R972" s="99"/>
      <c r="S972" s="99"/>
      <c r="T972" s="99"/>
    </row>
    <row r="973">
      <c r="A973" s="78"/>
      <c r="B973" s="99"/>
      <c r="C973" s="85"/>
      <c r="D973" s="99"/>
      <c r="E973" s="99"/>
      <c r="F973" s="99"/>
      <c r="G973" s="99"/>
      <c r="H973" s="99"/>
      <c r="I973" s="99"/>
      <c r="J973" s="99"/>
      <c r="K973" s="99"/>
      <c r="L973" s="99"/>
      <c r="M973" s="99"/>
      <c r="N973" s="99"/>
      <c r="O973" s="99"/>
      <c r="P973" s="99"/>
      <c r="Q973" s="99"/>
      <c r="R973" s="99"/>
      <c r="S973" s="99"/>
      <c r="T973" s="99"/>
    </row>
    <row r="974">
      <c r="A974" s="78"/>
      <c r="B974" s="99"/>
      <c r="C974" s="85"/>
      <c r="D974" s="99"/>
      <c r="E974" s="99"/>
      <c r="F974" s="99"/>
      <c r="G974" s="99"/>
      <c r="H974" s="99"/>
      <c r="I974" s="99"/>
      <c r="J974" s="99"/>
      <c r="K974" s="99"/>
      <c r="L974" s="99"/>
      <c r="M974" s="99"/>
      <c r="N974" s="99"/>
      <c r="O974" s="99"/>
      <c r="P974" s="99"/>
      <c r="Q974" s="99"/>
      <c r="R974" s="99"/>
      <c r="S974" s="99"/>
      <c r="T974" s="99"/>
    </row>
    <row r="975">
      <c r="A975" s="78"/>
      <c r="B975" s="99"/>
      <c r="C975" s="85"/>
      <c r="D975" s="99"/>
      <c r="E975" s="99"/>
      <c r="F975" s="99"/>
      <c r="G975" s="99"/>
      <c r="H975" s="99"/>
      <c r="I975" s="99"/>
      <c r="J975" s="99"/>
      <c r="K975" s="99"/>
      <c r="L975" s="99"/>
      <c r="M975" s="99"/>
      <c r="N975" s="99"/>
      <c r="O975" s="99"/>
      <c r="P975" s="99"/>
      <c r="Q975" s="99"/>
      <c r="R975" s="99"/>
      <c r="S975" s="99"/>
      <c r="T975" s="99"/>
    </row>
    <row r="976">
      <c r="A976" s="78"/>
      <c r="B976" s="99"/>
      <c r="C976" s="85"/>
      <c r="D976" s="99"/>
      <c r="E976" s="99"/>
      <c r="F976" s="99"/>
      <c r="G976" s="99"/>
      <c r="H976" s="99"/>
      <c r="I976" s="99"/>
      <c r="J976" s="99"/>
      <c r="K976" s="99"/>
      <c r="L976" s="99"/>
      <c r="M976" s="99"/>
      <c r="N976" s="99"/>
      <c r="O976" s="99"/>
      <c r="P976" s="99"/>
      <c r="Q976" s="99"/>
      <c r="R976" s="99"/>
      <c r="S976" s="99"/>
      <c r="T976" s="99"/>
    </row>
    <row r="977">
      <c r="A977" s="78"/>
      <c r="B977" s="99"/>
      <c r="C977" s="85"/>
      <c r="D977" s="99"/>
      <c r="E977" s="99"/>
      <c r="F977" s="99"/>
      <c r="G977" s="99"/>
      <c r="H977" s="99"/>
      <c r="I977" s="99"/>
      <c r="J977" s="99"/>
      <c r="K977" s="99"/>
      <c r="L977" s="99"/>
      <c r="M977" s="99"/>
      <c r="N977" s="99"/>
      <c r="O977" s="99"/>
      <c r="P977" s="99"/>
      <c r="Q977" s="99"/>
      <c r="R977" s="99"/>
      <c r="S977" s="99"/>
      <c r="T977" s="99"/>
    </row>
    <row r="978">
      <c r="A978" s="78"/>
      <c r="B978" s="99"/>
      <c r="C978" s="85"/>
      <c r="D978" s="99"/>
      <c r="E978" s="99"/>
      <c r="F978" s="99"/>
      <c r="G978" s="99"/>
      <c r="H978" s="99"/>
      <c r="I978" s="99"/>
      <c r="J978" s="99"/>
      <c r="K978" s="99"/>
      <c r="L978" s="99"/>
      <c r="M978" s="99"/>
      <c r="N978" s="99"/>
      <c r="O978" s="99"/>
      <c r="P978" s="99"/>
      <c r="Q978" s="99"/>
      <c r="R978" s="99"/>
      <c r="S978" s="99"/>
      <c r="T978" s="99"/>
    </row>
    <row r="979">
      <c r="A979" s="78"/>
      <c r="B979" s="99"/>
      <c r="C979" s="85"/>
      <c r="D979" s="99"/>
      <c r="E979" s="99"/>
      <c r="F979" s="99"/>
      <c r="G979" s="99"/>
      <c r="H979" s="99"/>
      <c r="I979" s="99"/>
      <c r="J979" s="99"/>
      <c r="K979" s="99"/>
      <c r="L979" s="99"/>
      <c r="M979" s="99"/>
      <c r="N979" s="99"/>
      <c r="O979" s="99"/>
      <c r="P979" s="99"/>
      <c r="Q979" s="99"/>
      <c r="R979" s="99"/>
      <c r="S979" s="99"/>
      <c r="T979" s="99"/>
    </row>
    <row r="980">
      <c r="A980" s="78"/>
      <c r="B980" s="99"/>
      <c r="C980" s="85"/>
      <c r="D980" s="99"/>
      <c r="E980" s="99"/>
      <c r="F980" s="99"/>
      <c r="G980" s="99"/>
      <c r="H980" s="99"/>
      <c r="I980" s="99"/>
      <c r="J980" s="99"/>
      <c r="K980" s="99"/>
      <c r="L980" s="99"/>
      <c r="M980" s="99"/>
      <c r="N980" s="99"/>
      <c r="O980" s="99"/>
      <c r="P980" s="99"/>
      <c r="Q980" s="99"/>
      <c r="R980" s="99"/>
      <c r="S980" s="99"/>
      <c r="T980" s="99"/>
    </row>
    <row r="981">
      <c r="A981" s="78"/>
      <c r="B981" s="99"/>
      <c r="C981" s="85"/>
      <c r="D981" s="99"/>
      <c r="E981" s="99"/>
      <c r="F981" s="99"/>
      <c r="G981" s="99"/>
      <c r="H981" s="99"/>
      <c r="I981" s="99"/>
      <c r="J981" s="99"/>
      <c r="K981" s="99"/>
      <c r="L981" s="99"/>
      <c r="M981" s="99"/>
      <c r="N981" s="99"/>
      <c r="O981" s="99"/>
      <c r="P981" s="99"/>
      <c r="Q981" s="99"/>
      <c r="R981" s="99"/>
      <c r="S981" s="99"/>
      <c r="T981" s="99"/>
    </row>
    <row r="982">
      <c r="A982" s="78"/>
      <c r="B982" s="99"/>
      <c r="C982" s="85"/>
      <c r="D982" s="99"/>
      <c r="E982" s="99"/>
      <c r="F982" s="99"/>
      <c r="G982" s="99"/>
      <c r="H982" s="99"/>
      <c r="I982" s="99"/>
      <c r="J982" s="99"/>
      <c r="K982" s="99"/>
      <c r="L982" s="99"/>
      <c r="M982" s="99"/>
      <c r="N982" s="99"/>
      <c r="O982" s="99"/>
      <c r="P982" s="99"/>
      <c r="Q982" s="99"/>
      <c r="R982" s="99"/>
      <c r="S982" s="99"/>
      <c r="T982" s="99"/>
    </row>
    <row r="983">
      <c r="A983" s="78"/>
      <c r="B983" s="99"/>
      <c r="C983" s="85"/>
      <c r="D983" s="99"/>
      <c r="E983" s="99"/>
      <c r="F983" s="99"/>
      <c r="G983" s="99"/>
      <c r="H983" s="99"/>
      <c r="I983" s="99"/>
      <c r="J983" s="99"/>
      <c r="K983" s="99"/>
      <c r="L983" s="99"/>
      <c r="M983" s="99"/>
      <c r="N983" s="99"/>
      <c r="O983" s="99"/>
      <c r="P983" s="99"/>
      <c r="Q983" s="99"/>
      <c r="R983" s="99"/>
      <c r="S983" s="99"/>
      <c r="T983" s="99"/>
    </row>
    <row r="984">
      <c r="A984" s="78"/>
      <c r="B984" s="99"/>
      <c r="C984" s="85"/>
      <c r="D984" s="99"/>
      <c r="E984" s="99"/>
      <c r="F984" s="99"/>
      <c r="G984" s="99"/>
      <c r="H984" s="99"/>
      <c r="I984" s="99"/>
      <c r="J984" s="99"/>
      <c r="K984" s="99"/>
      <c r="L984" s="99"/>
      <c r="M984" s="99"/>
      <c r="N984" s="99"/>
      <c r="O984" s="99"/>
      <c r="P984" s="99"/>
      <c r="Q984" s="99"/>
      <c r="R984" s="99"/>
      <c r="S984" s="99"/>
      <c r="T984" s="99"/>
    </row>
    <row r="985">
      <c r="A985" s="78"/>
      <c r="B985" s="99"/>
      <c r="C985" s="85"/>
      <c r="D985" s="99"/>
      <c r="E985" s="99"/>
      <c r="F985" s="99"/>
      <c r="G985" s="99"/>
      <c r="H985" s="99"/>
      <c r="I985" s="99"/>
      <c r="J985" s="99"/>
      <c r="K985" s="99"/>
      <c r="L985" s="99"/>
      <c r="M985" s="99"/>
      <c r="N985" s="99"/>
      <c r="O985" s="99"/>
      <c r="P985" s="99"/>
      <c r="Q985" s="99"/>
      <c r="R985" s="99"/>
      <c r="S985" s="99"/>
      <c r="T985" s="99"/>
    </row>
    <row r="986">
      <c r="A986" s="78"/>
      <c r="B986" s="99"/>
      <c r="C986" s="85"/>
      <c r="D986" s="99"/>
      <c r="E986" s="99"/>
      <c r="F986" s="99"/>
      <c r="G986" s="99"/>
      <c r="H986" s="99"/>
      <c r="I986" s="99"/>
      <c r="J986" s="99"/>
      <c r="K986" s="99"/>
      <c r="L986" s="99"/>
      <c r="M986" s="99"/>
      <c r="N986" s="99"/>
      <c r="O986" s="99"/>
      <c r="P986" s="99"/>
      <c r="Q986" s="99"/>
      <c r="R986" s="99"/>
      <c r="S986" s="99"/>
      <c r="T986" s="99"/>
    </row>
    <row r="987">
      <c r="A987" s="78"/>
      <c r="B987" s="99"/>
      <c r="C987" s="85"/>
      <c r="D987" s="99"/>
      <c r="E987" s="99"/>
      <c r="F987" s="99"/>
      <c r="G987" s="99"/>
      <c r="H987" s="99"/>
      <c r="I987" s="99"/>
      <c r="J987" s="99"/>
      <c r="K987" s="99"/>
      <c r="L987" s="99"/>
      <c r="M987" s="99"/>
      <c r="N987" s="99"/>
      <c r="O987" s="99"/>
      <c r="P987" s="99"/>
      <c r="Q987" s="99"/>
      <c r="R987" s="99"/>
      <c r="S987" s="99"/>
      <c r="T987" s="99"/>
    </row>
    <row r="988">
      <c r="A988" s="78"/>
      <c r="B988" s="99"/>
      <c r="C988" s="85"/>
      <c r="D988" s="99"/>
      <c r="E988" s="99"/>
      <c r="F988" s="99"/>
      <c r="G988" s="99"/>
      <c r="H988" s="99"/>
      <c r="I988" s="99"/>
      <c r="J988" s="99"/>
      <c r="K988" s="99"/>
      <c r="L988" s="99"/>
      <c r="M988" s="99"/>
      <c r="N988" s="99"/>
      <c r="O988" s="99"/>
      <c r="P988" s="99"/>
      <c r="Q988" s="99"/>
      <c r="R988" s="99"/>
      <c r="S988" s="99"/>
      <c r="T988" s="99"/>
    </row>
    <row r="989">
      <c r="A989" s="78"/>
      <c r="B989" s="99"/>
      <c r="C989" s="85"/>
      <c r="D989" s="99"/>
      <c r="E989" s="99"/>
      <c r="F989" s="99"/>
      <c r="G989" s="99"/>
      <c r="H989" s="99"/>
      <c r="I989" s="99"/>
      <c r="J989" s="99"/>
      <c r="K989" s="99"/>
      <c r="L989" s="99"/>
      <c r="M989" s="99"/>
      <c r="N989" s="99"/>
      <c r="O989" s="99"/>
      <c r="P989" s="99"/>
      <c r="Q989" s="99"/>
      <c r="R989" s="99"/>
      <c r="S989" s="99"/>
      <c r="T989" s="99"/>
    </row>
    <row r="990">
      <c r="A990" s="78"/>
      <c r="B990" s="99"/>
      <c r="C990" s="85"/>
      <c r="D990" s="99"/>
      <c r="E990" s="99"/>
      <c r="F990" s="99"/>
      <c r="G990" s="99"/>
      <c r="H990" s="99"/>
      <c r="I990" s="99"/>
      <c r="J990" s="99"/>
      <c r="K990" s="99"/>
      <c r="L990" s="99"/>
      <c r="M990" s="99"/>
      <c r="N990" s="99"/>
      <c r="O990" s="99"/>
      <c r="P990" s="99"/>
      <c r="Q990" s="99"/>
      <c r="R990" s="99"/>
      <c r="S990" s="99"/>
      <c r="T990" s="99"/>
    </row>
    <row r="991">
      <c r="A991" s="78"/>
      <c r="B991" s="99"/>
      <c r="C991" s="85"/>
      <c r="D991" s="99"/>
      <c r="E991" s="99"/>
      <c r="F991" s="99"/>
      <c r="G991" s="99"/>
      <c r="H991" s="99"/>
      <c r="I991" s="99"/>
      <c r="J991" s="99"/>
      <c r="K991" s="99"/>
      <c r="L991" s="99"/>
      <c r="M991" s="99"/>
      <c r="N991" s="99"/>
      <c r="O991" s="99"/>
      <c r="P991" s="99"/>
      <c r="Q991" s="99"/>
      <c r="R991" s="99"/>
      <c r="S991" s="99"/>
      <c r="T991" s="99"/>
    </row>
    <row r="992">
      <c r="A992" s="78"/>
      <c r="B992" s="99"/>
      <c r="C992" s="85"/>
      <c r="D992" s="99"/>
      <c r="E992" s="99"/>
      <c r="F992" s="99"/>
      <c r="G992" s="99"/>
      <c r="H992" s="99"/>
      <c r="I992" s="99"/>
      <c r="J992" s="99"/>
      <c r="K992" s="99"/>
      <c r="L992" s="99"/>
      <c r="M992" s="99"/>
      <c r="N992" s="99"/>
      <c r="O992" s="99"/>
      <c r="P992" s="99"/>
      <c r="Q992" s="99"/>
      <c r="R992" s="99"/>
      <c r="S992" s="99"/>
      <c r="T992" s="99"/>
    </row>
    <row r="993">
      <c r="A993" s="78"/>
      <c r="B993" s="99"/>
      <c r="C993" s="85"/>
      <c r="D993" s="99"/>
      <c r="E993" s="99"/>
      <c r="F993" s="99"/>
      <c r="G993" s="99"/>
      <c r="H993" s="99"/>
      <c r="I993" s="99"/>
      <c r="J993" s="99"/>
      <c r="K993" s="99"/>
      <c r="L993" s="99"/>
      <c r="M993" s="99"/>
      <c r="N993" s="99"/>
      <c r="O993" s="99"/>
      <c r="P993" s="99"/>
      <c r="Q993" s="99"/>
      <c r="R993" s="99"/>
      <c r="S993" s="99"/>
      <c r="T993" s="99"/>
    </row>
    <row r="994">
      <c r="A994" s="78"/>
      <c r="B994" s="99"/>
      <c r="C994" s="85"/>
      <c r="D994" s="99"/>
      <c r="E994" s="99"/>
      <c r="F994" s="99"/>
      <c r="G994" s="99"/>
      <c r="H994" s="99"/>
      <c r="I994" s="99"/>
      <c r="J994" s="99"/>
      <c r="K994" s="99"/>
      <c r="L994" s="99"/>
      <c r="M994" s="99"/>
      <c r="N994" s="99"/>
      <c r="O994" s="99"/>
      <c r="P994" s="99"/>
      <c r="Q994" s="99"/>
      <c r="R994" s="99"/>
      <c r="S994" s="99"/>
      <c r="T994" s="99"/>
    </row>
    <row r="995">
      <c r="A995" s="78"/>
      <c r="B995" s="99"/>
      <c r="C995" s="85"/>
      <c r="D995" s="99"/>
      <c r="E995" s="99"/>
      <c r="F995" s="99"/>
      <c r="G995" s="99"/>
      <c r="H995" s="99"/>
      <c r="I995" s="99"/>
      <c r="J995" s="99"/>
      <c r="K995" s="99"/>
      <c r="L995" s="99"/>
      <c r="M995" s="99"/>
      <c r="N995" s="99"/>
      <c r="O995" s="99"/>
      <c r="P995" s="99"/>
      <c r="Q995" s="99"/>
      <c r="R995" s="99"/>
      <c r="S995" s="99"/>
      <c r="T995" s="99"/>
    </row>
    <row r="996">
      <c r="A996" s="78"/>
      <c r="B996" s="99"/>
      <c r="C996" s="85"/>
      <c r="D996" s="99"/>
      <c r="E996" s="99"/>
      <c r="F996" s="99"/>
      <c r="G996" s="99"/>
      <c r="H996" s="99"/>
      <c r="I996" s="99"/>
      <c r="J996" s="99"/>
      <c r="K996" s="99"/>
      <c r="L996" s="99"/>
      <c r="M996" s="99"/>
      <c r="N996" s="99"/>
      <c r="O996" s="99"/>
      <c r="P996" s="99"/>
      <c r="Q996" s="99"/>
      <c r="R996" s="99"/>
      <c r="S996" s="99"/>
      <c r="T996" s="99"/>
    </row>
    <row r="997">
      <c r="A997" s="78"/>
      <c r="B997" s="99"/>
      <c r="C997" s="85"/>
      <c r="D997" s="99"/>
      <c r="E997" s="99"/>
      <c r="F997" s="99"/>
      <c r="G997" s="99"/>
      <c r="H997" s="99"/>
      <c r="I997" s="99"/>
      <c r="J997" s="99"/>
      <c r="K997" s="99"/>
      <c r="L997" s="99"/>
      <c r="M997" s="99"/>
      <c r="N997" s="99"/>
      <c r="O997" s="99"/>
      <c r="P997" s="99"/>
      <c r="Q997" s="99"/>
      <c r="R997" s="99"/>
      <c r="S997" s="99"/>
      <c r="T997" s="99"/>
    </row>
    <row r="998">
      <c r="A998" s="78"/>
      <c r="B998" s="99"/>
      <c r="C998" s="85"/>
      <c r="D998" s="99"/>
      <c r="E998" s="99"/>
      <c r="F998" s="99"/>
      <c r="G998" s="99"/>
      <c r="H998" s="99"/>
      <c r="I998" s="99"/>
      <c r="J998" s="99"/>
      <c r="K998" s="99"/>
      <c r="L998" s="99"/>
      <c r="M998" s="99"/>
      <c r="N998" s="99"/>
      <c r="O998" s="99"/>
      <c r="P998" s="99"/>
      <c r="Q998" s="99"/>
      <c r="R998" s="99"/>
      <c r="S998" s="99"/>
      <c r="T998" s="99"/>
    </row>
    <row r="999">
      <c r="A999" s="78"/>
      <c r="B999" s="99"/>
      <c r="C999" s="85"/>
      <c r="D999" s="99"/>
      <c r="E999" s="99"/>
      <c r="F999" s="99"/>
      <c r="G999" s="99"/>
      <c r="H999" s="99"/>
      <c r="I999" s="99"/>
      <c r="J999" s="99"/>
      <c r="K999" s="99"/>
      <c r="L999" s="99"/>
      <c r="M999" s="99"/>
      <c r="N999" s="99"/>
      <c r="O999" s="99"/>
      <c r="P999" s="99"/>
      <c r="Q999" s="99"/>
      <c r="R999" s="99"/>
      <c r="S999" s="99"/>
      <c r="T999" s="99"/>
    </row>
    <row r="1000">
      <c r="A1000" s="78"/>
      <c r="B1000" s="99"/>
      <c r="C1000" s="85"/>
      <c r="D1000" s="99"/>
      <c r="E1000" s="99"/>
      <c r="F1000" s="99"/>
      <c r="G1000" s="99"/>
      <c r="H1000" s="99"/>
      <c r="I1000" s="99"/>
      <c r="J1000" s="99"/>
      <c r="K1000" s="99"/>
      <c r="L1000" s="99"/>
      <c r="M1000" s="99"/>
      <c r="N1000" s="99"/>
      <c r="O1000" s="99"/>
      <c r="P1000" s="99"/>
      <c r="Q1000" s="99"/>
      <c r="R1000" s="99"/>
      <c r="S1000" s="99"/>
      <c r="T1000" s="99"/>
    </row>
  </sheetData>
  <dataValidations>
    <dataValidation type="list" allowBlank="1" showErrorMessage="1" sqref="C1">
      <formula1>"Pass,Fail,On-hold,NA"</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24.75"/>
    <col customWidth="1" min="2" max="2" width="72.0"/>
    <col customWidth="1" min="3" max="3" width="8.38"/>
    <col customWidth="1" min="4" max="4" width="6.13"/>
    <col customWidth="1" min="5" max="5" width="7.63"/>
  </cols>
  <sheetData>
    <row r="1">
      <c r="A1" s="101" t="s">
        <v>145</v>
      </c>
      <c r="B1" s="102" t="s">
        <v>30</v>
      </c>
      <c r="C1" s="103" t="s">
        <v>146</v>
      </c>
      <c r="D1" s="103" t="s">
        <v>147</v>
      </c>
      <c r="E1" s="103" t="s">
        <v>148</v>
      </c>
      <c r="F1" s="56"/>
      <c r="G1" s="56"/>
      <c r="H1" s="56"/>
      <c r="I1" s="56"/>
      <c r="J1" s="56"/>
      <c r="K1" s="56"/>
      <c r="L1" s="56"/>
      <c r="M1" s="56"/>
      <c r="N1" s="56"/>
      <c r="O1" s="56"/>
      <c r="P1" s="56"/>
      <c r="Q1" s="56"/>
      <c r="R1" s="56"/>
      <c r="S1" s="56"/>
      <c r="T1" s="56"/>
      <c r="U1" s="56"/>
      <c r="V1" s="56"/>
      <c r="W1" s="56"/>
    </row>
    <row r="2">
      <c r="A2" s="104" t="s">
        <v>149</v>
      </c>
      <c r="B2" s="105" t="s">
        <v>150</v>
      </c>
      <c r="C2" s="106" t="s">
        <v>151</v>
      </c>
      <c r="D2" s="107" t="s">
        <v>147</v>
      </c>
      <c r="E2" s="107" t="s">
        <v>148</v>
      </c>
      <c r="F2" s="56"/>
      <c r="G2" s="56"/>
      <c r="H2" s="56"/>
      <c r="I2" s="56"/>
      <c r="J2" s="56"/>
      <c r="K2" s="56"/>
      <c r="L2" s="56"/>
      <c r="M2" s="56"/>
      <c r="N2" s="56"/>
      <c r="O2" s="56"/>
      <c r="P2" s="56"/>
      <c r="Q2" s="56"/>
      <c r="R2" s="56"/>
      <c r="S2" s="56"/>
      <c r="T2" s="56"/>
      <c r="U2" s="56"/>
      <c r="V2" s="56"/>
      <c r="W2" s="56"/>
    </row>
    <row r="3">
      <c r="A3" s="108"/>
      <c r="B3" s="105" t="s">
        <v>152</v>
      </c>
      <c r="C3" s="106" t="s">
        <v>151</v>
      </c>
      <c r="D3" s="107" t="s">
        <v>147</v>
      </c>
      <c r="E3" s="107" t="s">
        <v>148</v>
      </c>
      <c r="F3" s="56"/>
      <c r="G3" s="56"/>
      <c r="H3" s="56"/>
      <c r="I3" s="56"/>
      <c r="J3" s="56"/>
      <c r="K3" s="56"/>
      <c r="L3" s="56"/>
      <c r="M3" s="56"/>
      <c r="N3" s="56"/>
      <c r="O3" s="56"/>
      <c r="P3" s="56"/>
      <c r="Q3" s="56"/>
      <c r="R3" s="56"/>
      <c r="S3" s="56"/>
      <c r="T3" s="56"/>
      <c r="U3" s="56"/>
      <c r="V3" s="56"/>
      <c r="W3" s="56"/>
    </row>
    <row r="4">
      <c r="A4" s="108"/>
      <c r="B4" s="105" t="s">
        <v>153</v>
      </c>
      <c r="C4" s="106" t="s">
        <v>151</v>
      </c>
      <c r="D4" s="107" t="s">
        <v>147</v>
      </c>
      <c r="E4" s="107" t="s">
        <v>148</v>
      </c>
      <c r="F4" s="56"/>
      <c r="G4" s="56"/>
      <c r="H4" s="56"/>
      <c r="I4" s="56"/>
      <c r="J4" s="56"/>
      <c r="K4" s="56"/>
      <c r="L4" s="56"/>
      <c r="M4" s="56"/>
      <c r="N4" s="56"/>
      <c r="O4" s="56"/>
      <c r="P4" s="56"/>
      <c r="Q4" s="56"/>
      <c r="R4" s="56"/>
      <c r="S4" s="56"/>
      <c r="T4" s="56"/>
      <c r="U4" s="56"/>
      <c r="V4" s="56"/>
      <c r="W4" s="56"/>
    </row>
    <row r="5">
      <c r="A5" s="108"/>
      <c r="B5" s="105" t="s">
        <v>154</v>
      </c>
      <c r="C5" s="106" t="s">
        <v>151</v>
      </c>
      <c r="D5" s="107" t="s">
        <v>147</v>
      </c>
      <c r="E5" s="107" t="s">
        <v>148</v>
      </c>
      <c r="F5" s="56"/>
      <c r="G5" s="56"/>
      <c r="H5" s="56"/>
      <c r="I5" s="56"/>
      <c r="J5" s="56"/>
      <c r="K5" s="56"/>
      <c r="L5" s="56"/>
      <c r="M5" s="56"/>
      <c r="N5" s="56"/>
      <c r="O5" s="56"/>
      <c r="P5" s="56"/>
      <c r="Q5" s="56"/>
      <c r="R5" s="56"/>
      <c r="S5" s="56"/>
      <c r="T5" s="56"/>
      <c r="U5" s="56"/>
      <c r="V5" s="56"/>
      <c r="W5" s="56"/>
    </row>
    <row r="6">
      <c r="A6" s="108"/>
      <c r="B6" s="105" t="s">
        <v>155</v>
      </c>
      <c r="C6" s="106" t="s">
        <v>151</v>
      </c>
      <c r="D6" s="107" t="s">
        <v>147</v>
      </c>
      <c r="E6" s="107" t="s">
        <v>148</v>
      </c>
      <c r="F6" s="56"/>
      <c r="G6" s="56"/>
      <c r="H6" s="56"/>
      <c r="I6" s="56"/>
      <c r="J6" s="56"/>
      <c r="K6" s="56"/>
      <c r="L6" s="56"/>
      <c r="M6" s="56"/>
      <c r="N6" s="56"/>
      <c r="O6" s="56"/>
      <c r="P6" s="56"/>
      <c r="Q6" s="56"/>
      <c r="R6" s="56"/>
      <c r="S6" s="56"/>
      <c r="T6" s="56"/>
      <c r="U6" s="56"/>
      <c r="V6" s="56"/>
      <c r="W6" s="56"/>
    </row>
    <row r="7">
      <c r="A7" s="108"/>
      <c r="B7" s="105" t="s">
        <v>156</v>
      </c>
      <c r="C7" s="106" t="s">
        <v>151</v>
      </c>
      <c r="D7" s="107"/>
      <c r="E7" s="107" t="s">
        <v>148</v>
      </c>
      <c r="F7" s="56"/>
      <c r="G7" s="56"/>
      <c r="H7" s="56"/>
      <c r="I7" s="56"/>
      <c r="J7" s="56"/>
      <c r="K7" s="56"/>
      <c r="L7" s="56"/>
      <c r="M7" s="56"/>
      <c r="N7" s="56"/>
      <c r="O7" s="56"/>
      <c r="P7" s="56"/>
      <c r="Q7" s="56"/>
      <c r="R7" s="56"/>
      <c r="S7" s="56"/>
      <c r="T7" s="56"/>
      <c r="U7" s="56"/>
      <c r="V7" s="56"/>
      <c r="W7" s="56"/>
    </row>
    <row r="8">
      <c r="A8" s="108"/>
      <c r="B8" s="105" t="s">
        <v>157</v>
      </c>
      <c r="C8" s="106" t="s">
        <v>151</v>
      </c>
      <c r="D8" s="107" t="s">
        <v>147</v>
      </c>
      <c r="E8" s="107" t="s">
        <v>148</v>
      </c>
      <c r="F8" s="56"/>
      <c r="G8" s="56"/>
      <c r="H8" s="56"/>
      <c r="I8" s="56"/>
      <c r="J8" s="56"/>
      <c r="K8" s="56"/>
      <c r="L8" s="56"/>
      <c r="M8" s="56"/>
      <c r="N8" s="56"/>
      <c r="O8" s="56"/>
      <c r="P8" s="56"/>
      <c r="Q8" s="56"/>
      <c r="R8" s="56"/>
      <c r="S8" s="56"/>
      <c r="T8" s="56"/>
      <c r="U8" s="56"/>
      <c r="V8" s="56"/>
      <c r="W8" s="56"/>
    </row>
    <row r="9">
      <c r="A9" s="108"/>
      <c r="B9" s="105" t="s">
        <v>158</v>
      </c>
      <c r="C9" s="106" t="s">
        <v>151</v>
      </c>
      <c r="D9" s="107" t="s">
        <v>147</v>
      </c>
      <c r="E9" s="107" t="s">
        <v>148</v>
      </c>
      <c r="F9" s="56"/>
      <c r="G9" s="56"/>
      <c r="H9" s="56"/>
      <c r="I9" s="56"/>
      <c r="J9" s="56"/>
      <c r="K9" s="56"/>
      <c r="L9" s="56"/>
      <c r="M9" s="56"/>
      <c r="N9" s="56"/>
      <c r="O9" s="56"/>
      <c r="P9" s="56"/>
      <c r="Q9" s="56"/>
      <c r="R9" s="56"/>
      <c r="S9" s="56"/>
      <c r="T9" s="56"/>
      <c r="U9" s="56"/>
      <c r="V9" s="56"/>
      <c r="W9" s="56"/>
    </row>
    <row r="10">
      <c r="A10" s="108"/>
      <c r="B10" s="105" t="s">
        <v>159</v>
      </c>
      <c r="C10" s="106" t="s">
        <v>151</v>
      </c>
      <c r="D10" s="107" t="s">
        <v>147</v>
      </c>
      <c r="E10" s="107" t="s">
        <v>148</v>
      </c>
      <c r="F10" s="56"/>
      <c r="G10" s="56"/>
      <c r="H10" s="56"/>
      <c r="I10" s="56"/>
      <c r="J10" s="56"/>
      <c r="K10" s="56"/>
      <c r="L10" s="56"/>
      <c r="M10" s="56"/>
      <c r="N10" s="56"/>
      <c r="O10" s="56"/>
      <c r="P10" s="56"/>
      <c r="Q10" s="56"/>
      <c r="R10" s="56"/>
      <c r="S10" s="56"/>
      <c r="T10" s="56"/>
      <c r="U10" s="56"/>
      <c r="V10" s="56"/>
      <c r="W10" s="56"/>
    </row>
    <row r="11">
      <c r="A11" s="108"/>
      <c r="B11" s="105" t="s">
        <v>160</v>
      </c>
      <c r="C11" s="106" t="s">
        <v>151</v>
      </c>
      <c r="D11" s="107"/>
      <c r="E11" s="107" t="s">
        <v>148</v>
      </c>
      <c r="F11" s="56"/>
      <c r="G11" s="56"/>
      <c r="H11" s="56"/>
      <c r="I11" s="56"/>
      <c r="J11" s="56"/>
      <c r="K11" s="56"/>
      <c r="L11" s="56"/>
      <c r="M11" s="56"/>
      <c r="N11" s="56"/>
      <c r="O11" s="56"/>
      <c r="P11" s="56"/>
      <c r="Q11" s="56"/>
      <c r="R11" s="56"/>
      <c r="S11" s="56"/>
      <c r="T11" s="56"/>
      <c r="U11" s="56"/>
      <c r="V11" s="56"/>
      <c r="W11" s="56"/>
    </row>
    <row r="12">
      <c r="A12" s="108"/>
      <c r="B12" s="105" t="s">
        <v>161</v>
      </c>
      <c r="C12" s="106" t="s">
        <v>151</v>
      </c>
      <c r="D12" s="107"/>
      <c r="E12" s="107" t="s">
        <v>148</v>
      </c>
      <c r="F12" s="56"/>
      <c r="G12" s="56"/>
      <c r="H12" s="56"/>
      <c r="I12" s="56"/>
      <c r="J12" s="56"/>
      <c r="K12" s="56"/>
      <c r="L12" s="56"/>
      <c r="M12" s="56"/>
      <c r="N12" s="56"/>
      <c r="O12" s="56"/>
      <c r="P12" s="56"/>
      <c r="Q12" s="56"/>
      <c r="R12" s="56"/>
      <c r="S12" s="56"/>
      <c r="T12" s="56"/>
      <c r="U12" s="56"/>
      <c r="V12" s="56"/>
      <c r="W12" s="56"/>
    </row>
    <row r="13">
      <c r="A13" s="108"/>
      <c r="B13" s="105" t="s">
        <v>162</v>
      </c>
      <c r="C13" s="106" t="s">
        <v>151</v>
      </c>
      <c r="D13" s="107" t="s">
        <v>147</v>
      </c>
      <c r="E13" s="107"/>
      <c r="F13" s="56"/>
      <c r="G13" s="56"/>
      <c r="H13" s="56"/>
      <c r="I13" s="56"/>
      <c r="J13" s="56"/>
      <c r="K13" s="56"/>
      <c r="L13" s="56"/>
      <c r="M13" s="56"/>
      <c r="N13" s="56"/>
      <c r="O13" s="56"/>
      <c r="P13" s="56"/>
      <c r="Q13" s="56"/>
      <c r="R13" s="56"/>
      <c r="S13" s="56"/>
      <c r="T13" s="56"/>
      <c r="U13" s="56"/>
      <c r="V13" s="56"/>
      <c r="W13" s="56"/>
    </row>
    <row r="14">
      <c r="A14" s="108"/>
      <c r="B14" s="105" t="s">
        <v>163</v>
      </c>
      <c r="C14" s="106" t="s">
        <v>151</v>
      </c>
      <c r="D14" s="107" t="s">
        <v>147</v>
      </c>
      <c r="E14" s="107" t="s">
        <v>148</v>
      </c>
      <c r="F14" s="56"/>
      <c r="G14" s="56"/>
      <c r="H14" s="56"/>
      <c r="I14" s="56"/>
      <c r="J14" s="56"/>
      <c r="K14" s="56"/>
      <c r="L14" s="56"/>
      <c r="M14" s="56"/>
      <c r="N14" s="56"/>
      <c r="O14" s="56"/>
      <c r="P14" s="56"/>
      <c r="Q14" s="56"/>
      <c r="R14" s="56"/>
      <c r="S14" s="56"/>
      <c r="T14" s="56"/>
      <c r="U14" s="56"/>
      <c r="V14" s="56"/>
      <c r="W14" s="56"/>
    </row>
    <row r="15">
      <c r="A15" s="108"/>
      <c r="B15" s="105" t="s">
        <v>164</v>
      </c>
      <c r="C15" s="106" t="s">
        <v>151</v>
      </c>
      <c r="D15" s="107"/>
      <c r="E15" s="107" t="s">
        <v>148</v>
      </c>
      <c r="F15" s="56"/>
      <c r="G15" s="56"/>
      <c r="H15" s="56"/>
      <c r="I15" s="56"/>
      <c r="J15" s="56"/>
      <c r="K15" s="56"/>
      <c r="L15" s="56"/>
      <c r="M15" s="56"/>
      <c r="N15" s="56"/>
      <c r="O15" s="56"/>
      <c r="P15" s="56"/>
      <c r="Q15" s="56"/>
      <c r="R15" s="56"/>
      <c r="S15" s="56"/>
      <c r="T15" s="56"/>
      <c r="U15" s="56"/>
      <c r="V15" s="56"/>
      <c r="W15" s="56"/>
    </row>
    <row r="16">
      <c r="A16" s="108"/>
      <c r="B16" s="105" t="s">
        <v>165</v>
      </c>
      <c r="C16" s="106" t="s">
        <v>151</v>
      </c>
      <c r="D16" s="107" t="s">
        <v>147</v>
      </c>
      <c r="E16" s="107"/>
      <c r="F16" s="56"/>
      <c r="G16" s="56"/>
      <c r="H16" s="56"/>
      <c r="I16" s="56"/>
      <c r="J16" s="56"/>
      <c r="K16" s="56"/>
      <c r="L16" s="56"/>
      <c r="M16" s="56"/>
      <c r="N16" s="56"/>
      <c r="O16" s="56"/>
      <c r="P16" s="56"/>
      <c r="Q16" s="56"/>
      <c r="R16" s="56"/>
      <c r="S16" s="56"/>
      <c r="T16" s="56"/>
      <c r="U16" s="56"/>
      <c r="V16" s="56"/>
      <c r="W16" s="56"/>
    </row>
    <row r="17">
      <c r="A17" s="108"/>
      <c r="B17" s="105" t="s">
        <v>166</v>
      </c>
      <c r="C17" s="106" t="s">
        <v>151</v>
      </c>
      <c r="D17" s="107" t="s">
        <v>147</v>
      </c>
      <c r="E17" s="107" t="s">
        <v>148</v>
      </c>
      <c r="F17" s="56"/>
      <c r="G17" s="56"/>
      <c r="H17" s="56"/>
      <c r="I17" s="56"/>
      <c r="J17" s="56"/>
      <c r="K17" s="56"/>
      <c r="L17" s="56"/>
      <c r="M17" s="56"/>
      <c r="N17" s="56"/>
      <c r="O17" s="56"/>
      <c r="P17" s="56"/>
      <c r="Q17" s="56"/>
      <c r="R17" s="56"/>
      <c r="S17" s="56"/>
      <c r="T17" s="56"/>
      <c r="U17" s="56"/>
      <c r="V17" s="56"/>
      <c r="W17" s="56"/>
    </row>
    <row r="18">
      <c r="A18" s="108"/>
      <c r="B18" s="105" t="s">
        <v>167</v>
      </c>
      <c r="C18" s="106" t="s">
        <v>151</v>
      </c>
      <c r="D18" s="107" t="s">
        <v>147</v>
      </c>
      <c r="E18" s="107" t="s">
        <v>148</v>
      </c>
      <c r="F18" s="56"/>
      <c r="G18" s="56"/>
      <c r="H18" s="56"/>
      <c r="I18" s="56"/>
      <c r="J18" s="56"/>
      <c r="K18" s="56"/>
      <c r="L18" s="56"/>
      <c r="M18" s="56"/>
      <c r="N18" s="56"/>
      <c r="O18" s="56"/>
      <c r="P18" s="56"/>
      <c r="Q18" s="56"/>
      <c r="R18" s="56"/>
      <c r="S18" s="56"/>
      <c r="T18" s="56"/>
      <c r="U18" s="56"/>
      <c r="V18" s="56"/>
      <c r="W18" s="56"/>
    </row>
    <row r="19">
      <c r="A19" s="109"/>
      <c r="B19" s="105" t="s">
        <v>168</v>
      </c>
      <c r="C19" s="106" t="s">
        <v>151</v>
      </c>
      <c r="D19" s="107" t="s">
        <v>147</v>
      </c>
      <c r="E19" s="107" t="s">
        <v>148</v>
      </c>
      <c r="F19" s="56"/>
      <c r="G19" s="56"/>
      <c r="H19" s="56"/>
      <c r="I19" s="56"/>
      <c r="J19" s="56"/>
      <c r="K19" s="56"/>
      <c r="L19" s="56"/>
      <c r="M19" s="56"/>
      <c r="N19" s="56"/>
      <c r="O19" s="56"/>
      <c r="P19" s="56"/>
      <c r="Q19" s="56"/>
      <c r="R19" s="56"/>
      <c r="S19" s="56"/>
      <c r="T19" s="56"/>
      <c r="U19" s="56"/>
      <c r="V19" s="56"/>
      <c r="W19" s="56"/>
    </row>
    <row r="20">
      <c r="A20" s="104" t="s">
        <v>169</v>
      </c>
      <c r="B20" s="105" t="s">
        <v>170</v>
      </c>
      <c r="C20" s="106" t="s">
        <v>151</v>
      </c>
      <c r="D20" s="107" t="s">
        <v>147</v>
      </c>
      <c r="E20" s="107" t="s">
        <v>148</v>
      </c>
      <c r="F20" s="56"/>
      <c r="G20" s="56"/>
      <c r="H20" s="56"/>
      <c r="I20" s="56"/>
      <c r="J20" s="56"/>
      <c r="K20" s="56"/>
      <c r="L20" s="56"/>
      <c r="M20" s="56"/>
      <c r="N20" s="56"/>
      <c r="O20" s="56"/>
      <c r="P20" s="56"/>
      <c r="Q20" s="56"/>
      <c r="R20" s="56"/>
      <c r="S20" s="56"/>
      <c r="T20" s="56"/>
      <c r="U20" s="56"/>
      <c r="V20" s="56"/>
      <c r="W20" s="56"/>
    </row>
    <row r="21">
      <c r="A21" s="108"/>
      <c r="B21" s="110" t="s">
        <v>171</v>
      </c>
      <c r="C21" s="106" t="s">
        <v>151</v>
      </c>
      <c r="D21" s="107" t="s">
        <v>147</v>
      </c>
      <c r="E21" s="107" t="s">
        <v>148</v>
      </c>
      <c r="F21" s="56"/>
      <c r="G21" s="56"/>
      <c r="H21" s="56"/>
      <c r="I21" s="56"/>
      <c r="J21" s="56"/>
      <c r="K21" s="56"/>
      <c r="L21" s="56"/>
      <c r="M21" s="56"/>
      <c r="N21" s="56"/>
      <c r="O21" s="56"/>
      <c r="P21" s="56"/>
      <c r="Q21" s="56"/>
      <c r="R21" s="56"/>
      <c r="S21" s="56"/>
      <c r="T21" s="56"/>
      <c r="U21" s="56"/>
      <c r="V21" s="56"/>
      <c r="W21" s="56"/>
    </row>
    <row r="22">
      <c r="A22" s="108"/>
      <c r="B22" s="105" t="s">
        <v>172</v>
      </c>
      <c r="C22" s="106" t="s">
        <v>151</v>
      </c>
      <c r="D22" s="107" t="s">
        <v>147</v>
      </c>
      <c r="E22" s="107" t="s">
        <v>148</v>
      </c>
      <c r="F22" s="56"/>
      <c r="G22" s="56"/>
      <c r="H22" s="56"/>
      <c r="I22" s="56"/>
      <c r="J22" s="56"/>
      <c r="K22" s="56"/>
      <c r="L22" s="56"/>
      <c r="M22" s="56"/>
      <c r="N22" s="56"/>
      <c r="O22" s="56"/>
      <c r="P22" s="56"/>
      <c r="Q22" s="56"/>
      <c r="R22" s="56"/>
      <c r="S22" s="56"/>
      <c r="T22" s="56"/>
      <c r="U22" s="56"/>
      <c r="V22" s="56"/>
      <c r="W22" s="56"/>
    </row>
    <row r="23">
      <c r="A23" s="108"/>
      <c r="B23" s="105" t="s">
        <v>173</v>
      </c>
      <c r="C23" s="106" t="s">
        <v>151</v>
      </c>
      <c r="D23" s="107" t="s">
        <v>147</v>
      </c>
      <c r="E23" s="107" t="s">
        <v>148</v>
      </c>
      <c r="F23" s="56"/>
      <c r="G23" s="56"/>
      <c r="H23" s="56"/>
      <c r="I23" s="56"/>
      <c r="J23" s="56"/>
      <c r="K23" s="56"/>
      <c r="L23" s="56"/>
      <c r="M23" s="56"/>
      <c r="N23" s="56"/>
      <c r="O23" s="56"/>
      <c r="P23" s="56"/>
      <c r="Q23" s="56"/>
      <c r="R23" s="56"/>
      <c r="S23" s="56"/>
      <c r="T23" s="56"/>
      <c r="U23" s="56"/>
      <c r="V23" s="56"/>
      <c r="W23" s="56"/>
    </row>
    <row r="24">
      <c r="A24" s="108"/>
      <c r="B24" s="105" t="s">
        <v>174</v>
      </c>
      <c r="C24" s="106" t="s">
        <v>151</v>
      </c>
      <c r="D24" s="107" t="s">
        <v>147</v>
      </c>
      <c r="E24" s="107" t="s">
        <v>148</v>
      </c>
      <c r="F24" s="56"/>
      <c r="G24" s="56"/>
      <c r="H24" s="56"/>
      <c r="I24" s="56"/>
      <c r="J24" s="56"/>
      <c r="K24" s="56"/>
      <c r="L24" s="56"/>
      <c r="M24" s="56"/>
      <c r="N24" s="56"/>
      <c r="O24" s="56"/>
      <c r="P24" s="56"/>
      <c r="Q24" s="56"/>
      <c r="R24" s="56"/>
      <c r="S24" s="56"/>
      <c r="T24" s="56"/>
      <c r="U24" s="56"/>
      <c r="V24" s="56"/>
      <c r="W24" s="56"/>
    </row>
    <row r="25">
      <c r="A25" s="108"/>
      <c r="B25" s="105" t="s">
        <v>175</v>
      </c>
      <c r="C25" s="106" t="s">
        <v>151</v>
      </c>
      <c r="D25" s="107" t="s">
        <v>147</v>
      </c>
      <c r="E25" s="107" t="s">
        <v>148</v>
      </c>
      <c r="F25" s="56"/>
      <c r="G25" s="56"/>
      <c r="H25" s="56"/>
      <c r="I25" s="56"/>
      <c r="J25" s="56"/>
      <c r="K25" s="56"/>
      <c r="L25" s="56"/>
      <c r="M25" s="56"/>
      <c r="N25" s="56"/>
      <c r="O25" s="56"/>
      <c r="P25" s="56"/>
      <c r="Q25" s="56"/>
      <c r="R25" s="56"/>
      <c r="S25" s="56"/>
      <c r="T25" s="56"/>
      <c r="U25" s="56"/>
      <c r="V25" s="56"/>
      <c r="W25" s="56"/>
    </row>
    <row r="26">
      <c r="A26" s="108"/>
      <c r="B26" s="105" t="s">
        <v>176</v>
      </c>
      <c r="C26" s="106" t="s">
        <v>151</v>
      </c>
      <c r="D26" s="107" t="s">
        <v>147</v>
      </c>
      <c r="E26" s="107" t="s">
        <v>148</v>
      </c>
      <c r="F26" s="56"/>
      <c r="G26" s="56"/>
      <c r="H26" s="56"/>
      <c r="I26" s="56"/>
      <c r="J26" s="56"/>
      <c r="K26" s="56"/>
      <c r="L26" s="56"/>
      <c r="M26" s="56"/>
      <c r="N26" s="56"/>
      <c r="O26" s="56"/>
      <c r="P26" s="56"/>
      <c r="Q26" s="56"/>
      <c r="R26" s="56"/>
      <c r="S26" s="56"/>
      <c r="T26" s="56"/>
      <c r="U26" s="56"/>
      <c r="V26" s="56"/>
      <c r="W26" s="56"/>
    </row>
    <row r="27">
      <c r="A27" s="108"/>
      <c r="B27" s="105" t="s">
        <v>177</v>
      </c>
      <c r="C27" s="106" t="s">
        <v>151</v>
      </c>
      <c r="D27" s="107" t="s">
        <v>147</v>
      </c>
      <c r="E27" s="107" t="s">
        <v>148</v>
      </c>
      <c r="F27" s="56"/>
      <c r="G27" s="56"/>
      <c r="H27" s="56"/>
      <c r="I27" s="56"/>
      <c r="J27" s="56"/>
      <c r="K27" s="56"/>
      <c r="L27" s="56"/>
      <c r="M27" s="56"/>
      <c r="N27" s="56"/>
      <c r="O27" s="56"/>
      <c r="P27" s="56"/>
      <c r="Q27" s="56"/>
      <c r="R27" s="56"/>
      <c r="S27" s="56"/>
      <c r="T27" s="56"/>
      <c r="U27" s="56"/>
      <c r="V27" s="56"/>
      <c r="W27" s="56"/>
    </row>
    <row r="28">
      <c r="A28" s="108"/>
      <c r="B28" s="105" t="s">
        <v>178</v>
      </c>
      <c r="C28" s="106" t="s">
        <v>151</v>
      </c>
      <c r="D28" s="107" t="s">
        <v>147</v>
      </c>
      <c r="E28" s="107" t="s">
        <v>148</v>
      </c>
      <c r="F28" s="56"/>
      <c r="G28" s="56"/>
      <c r="H28" s="56"/>
      <c r="I28" s="56"/>
      <c r="J28" s="56"/>
      <c r="K28" s="56"/>
      <c r="L28" s="56"/>
      <c r="M28" s="56"/>
      <c r="N28" s="56"/>
      <c r="O28" s="56"/>
      <c r="P28" s="56"/>
      <c r="Q28" s="56"/>
      <c r="R28" s="56"/>
      <c r="S28" s="56"/>
      <c r="T28" s="56"/>
      <c r="U28" s="56"/>
      <c r="V28" s="56"/>
      <c r="W28" s="56"/>
    </row>
    <row r="29">
      <c r="A29" s="108"/>
      <c r="B29" s="105" t="s">
        <v>179</v>
      </c>
      <c r="C29" s="106" t="s">
        <v>151</v>
      </c>
      <c r="D29" s="107" t="s">
        <v>147</v>
      </c>
      <c r="E29" s="107" t="s">
        <v>148</v>
      </c>
      <c r="F29" s="56"/>
      <c r="G29" s="56"/>
      <c r="H29" s="56"/>
      <c r="I29" s="56"/>
      <c r="J29" s="56"/>
      <c r="K29" s="56"/>
      <c r="L29" s="56"/>
      <c r="M29" s="56"/>
      <c r="N29" s="56"/>
      <c r="O29" s="56"/>
      <c r="P29" s="56"/>
      <c r="Q29" s="56"/>
      <c r="R29" s="56"/>
      <c r="S29" s="56"/>
      <c r="T29" s="56"/>
      <c r="U29" s="56"/>
      <c r="V29" s="56"/>
      <c r="W29" s="56"/>
    </row>
    <row r="30">
      <c r="A30" s="108"/>
      <c r="B30" s="105" t="s">
        <v>180</v>
      </c>
      <c r="C30" s="106" t="s">
        <v>151</v>
      </c>
      <c r="D30" s="107" t="s">
        <v>147</v>
      </c>
      <c r="E30" s="107" t="s">
        <v>148</v>
      </c>
      <c r="F30" s="56"/>
      <c r="G30" s="56"/>
      <c r="H30" s="56"/>
      <c r="I30" s="56"/>
      <c r="J30" s="56"/>
      <c r="K30" s="56"/>
      <c r="L30" s="56"/>
      <c r="M30" s="56"/>
      <c r="N30" s="56"/>
      <c r="O30" s="56"/>
      <c r="P30" s="56"/>
      <c r="Q30" s="56"/>
      <c r="R30" s="56"/>
      <c r="S30" s="56"/>
      <c r="T30" s="56"/>
      <c r="U30" s="56"/>
      <c r="V30" s="56"/>
      <c r="W30" s="56"/>
    </row>
    <row r="31">
      <c r="A31" s="108"/>
      <c r="B31" s="105" t="s">
        <v>181</v>
      </c>
      <c r="C31" s="106" t="s">
        <v>151</v>
      </c>
      <c r="D31" s="107" t="s">
        <v>147</v>
      </c>
      <c r="E31" s="107"/>
      <c r="F31" s="56"/>
      <c r="G31" s="56"/>
      <c r="H31" s="56"/>
      <c r="I31" s="56"/>
      <c r="J31" s="56"/>
      <c r="K31" s="56"/>
      <c r="L31" s="56"/>
      <c r="M31" s="56"/>
      <c r="N31" s="56"/>
      <c r="O31" s="56"/>
      <c r="P31" s="56"/>
      <c r="Q31" s="56"/>
      <c r="R31" s="56"/>
      <c r="S31" s="56"/>
      <c r="T31" s="56"/>
      <c r="U31" s="56"/>
      <c r="V31" s="56"/>
      <c r="W31" s="56"/>
    </row>
    <row r="32">
      <c r="A32" s="108"/>
      <c r="B32" s="105" t="s">
        <v>182</v>
      </c>
      <c r="C32" s="106" t="s">
        <v>151</v>
      </c>
      <c r="D32" s="107" t="s">
        <v>147</v>
      </c>
      <c r="E32" s="107"/>
      <c r="F32" s="56"/>
      <c r="G32" s="56"/>
      <c r="H32" s="56"/>
      <c r="I32" s="56"/>
      <c r="J32" s="56"/>
      <c r="K32" s="56"/>
      <c r="L32" s="56"/>
      <c r="M32" s="56"/>
      <c r="N32" s="56"/>
      <c r="O32" s="56"/>
      <c r="P32" s="56"/>
      <c r="Q32" s="56"/>
      <c r="R32" s="56"/>
      <c r="S32" s="56"/>
      <c r="T32" s="56"/>
      <c r="U32" s="56"/>
      <c r="V32" s="56"/>
      <c r="W32" s="56"/>
    </row>
    <row r="33">
      <c r="A33" s="108"/>
      <c r="B33" s="105" t="s">
        <v>183</v>
      </c>
      <c r="C33" s="106" t="s">
        <v>151</v>
      </c>
      <c r="D33" s="107"/>
      <c r="E33" s="107" t="s">
        <v>148</v>
      </c>
      <c r="F33" s="56"/>
      <c r="G33" s="56"/>
      <c r="H33" s="56"/>
      <c r="I33" s="56"/>
      <c r="J33" s="56"/>
      <c r="K33" s="56"/>
      <c r="L33" s="56"/>
      <c r="M33" s="56"/>
      <c r="N33" s="56"/>
      <c r="O33" s="56"/>
      <c r="P33" s="56"/>
      <c r="Q33" s="56"/>
      <c r="R33" s="56"/>
      <c r="S33" s="56"/>
      <c r="T33" s="56"/>
      <c r="U33" s="56"/>
      <c r="V33" s="56"/>
      <c r="W33" s="56"/>
    </row>
    <row r="34">
      <c r="A34" s="108"/>
      <c r="B34" s="105" t="s">
        <v>184</v>
      </c>
      <c r="C34" s="106" t="s">
        <v>151</v>
      </c>
      <c r="D34" s="107" t="s">
        <v>147</v>
      </c>
      <c r="E34" s="107"/>
      <c r="F34" s="56"/>
      <c r="G34" s="56"/>
      <c r="H34" s="56"/>
      <c r="I34" s="56"/>
      <c r="J34" s="56"/>
      <c r="K34" s="56"/>
      <c r="L34" s="56"/>
      <c r="M34" s="56"/>
      <c r="N34" s="56"/>
      <c r="O34" s="56"/>
      <c r="P34" s="56"/>
      <c r="Q34" s="56"/>
      <c r="R34" s="56"/>
      <c r="S34" s="56"/>
      <c r="T34" s="56"/>
      <c r="U34" s="56"/>
      <c r="V34" s="56"/>
      <c r="W34" s="56"/>
    </row>
    <row r="35">
      <c r="A35" s="108"/>
      <c r="B35" s="105" t="s">
        <v>185</v>
      </c>
      <c r="C35" s="106" t="s">
        <v>151</v>
      </c>
      <c r="D35" s="107" t="s">
        <v>147</v>
      </c>
      <c r="E35" s="107" t="s">
        <v>148</v>
      </c>
      <c r="F35" s="56"/>
      <c r="G35" s="56"/>
      <c r="H35" s="56"/>
      <c r="I35" s="56"/>
      <c r="J35" s="56"/>
      <c r="K35" s="56"/>
      <c r="L35" s="56"/>
      <c r="M35" s="56"/>
      <c r="N35" s="56"/>
      <c r="O35" s="56"/>
      <c r="P35" s="56"/>
      <c r="Q35" s="56"/>
      <c r="R35" s="56"/>
      <c r="S35" s="56"/>
      <c r="T35" s="56"/>
      <c r="U35" s="56"/>
      <c r="V35" s="56"/>
      <c r="W35" s="56"/>
    </row>
    <row r="36">
      <c r="A36" s="109"/>
      <c r="B36" s="105" t="s">
        <v>186</v>
      </c>
      <c r="C36" s="106" t="s">
        <v>151</v>
      </c>
      <c r="D36" s="107" t="s">
        <v>147</v>
      </c>
      <c r="E36" s="107"/>
      <c r="F36" s="56"/>
      <c r="G36" s="56"/>
      <c r="H36" s="56"/>
      <c r="I36" s="56"/>
      <c r="J36" s="56"/>
      <c r="K36" s="56"/>
      <c r="L36" s="56"/>
      <c r="M36" s="56"/>
      <c r="N36" s="56"/>
      <c r="O36" s="56"/>
      <c r="P36" s="56"/>
      <c r="Q36" s="56"/>
      <c r="R36" s="56"/>
      <c r="S36" s="56"/>
      <c r="T36" s="56"/>
      <c r="U36" s="56"/>
      <c r="V36" s="56"/>
      <c r="W36" s="56"/>
    </row>
    <row r="37">
      <c r="A37" s="104" t="s">
        <v>187</v>
      </c>
      <c r="B37" s="105" t="s">
        <v>188</v>
      </c>
      <c r="C37" s="106" t="s">
        <v>151</v>
      </c>
      <c r="D37" s="107" t="s">
        <v>147</v>
      </c>
      <c r="E37" s="107" t="s">
        <v>148</v>
      </c>
      <c r="F37" s="56"/>
      <c r="G37" s="56"/>
      <c r="H37" s="56"/>
      <c r="I37" s="56"/>
      <c r="J37" s="56"/>
      <c r="K37" s="56"/>
      <c r="L37" s="56"/>
      <c r="M37" s="56"/>
      <c r="N37" s="56"/>
      <c r="O37" s="56"/>
      <c r="P37" s="56"/>
      <c r="Q37" s="56"/>
      <c r="R37" s="56"/>
      <c r="S37" s="56"/>
      <c r="T37" s="56"/>
      <c r="U37" s="56"/>
      <c r="V37" s="56"/>
      <c r="W37" s="56"/>
    </row>
    <row r="38">
      <c r="A38" s="108"/>
      <c r="B38" s="105" t="s">
        <v>189</v>
      </c>
      <c r="C38" s="106" t="s">
        <v>151</v>
      </c>
      <c r="D38" s="107" t="s">
        <v>147</v>
      </c>
      <c r="E38" s="107" t="s">
        <v>148</v>
      </c>
      <c r="F38" s="56"/>
      <c r="G38" s="56"/>
      <c r="H38" s="56"/>
      <c r="I38" s="56"/>
      <c r="J38" s="56"/>
      <c r="K38" s="56"/>
      <c r="L38" s="56"/>
      <c r="M38" s="56"/>
      <c r="N38" s="56"/>
      <c r="O38" s="56"/>
      <c r="P38" s="56"/>
      <c r="Q38" s="56"/>
      <c r="R38" s="56"/>
      <c r="S38" s="56"/>
      <c r="T38" s="56"/>
      <c r="U38" s="56"/>
      <c r="V38" s="56"/>
      <c r="W38" s="56"/>
    </row>
    <row r="39">
      <c r="A39" s="108"/>
      <c r="B39" s="105" t="s">
        <v>190</v>
      </c>
      <c r="C39" s="106" t="s">
        <v>151</v>
      </c>
      <c r="D39" s="107" t="s">
        <v>147</v>
      </c>
      <c r="E39" s="107" t="s">
        <v>148</v>
      </c>
      <c r="F39" s="56"/>
      <c r="G39" s="56"/>
      <c r="H39" s="56"/>
      <c r="I39" s="56"/>
      <c r="J39" s="56"/>
      <c r="K39" s="56"/>
      <c r="L39" s="56"/>
      <c r="M39" s="56"/>
      <c r="N39" s="56"/>
      <c r="O39" s="56"/>
      <c r="P39" s="56"/>
      <c r="Q39" s="56"/>
      <c r="R39" s="56"/>
      <c r="S39" s="56"/>
      <c r="T39" s="56"/>
      <c r="U39" s="56"/>
      <c r="V39" s="56"/>
      <c r="W39" s="56"/>
    </row>
    <row r="40">
      <c r="A40" s="108"/>
      <c r="B40" s="111" t="s">
        <v>191</v>
      </c>
      <c r="C40" s="106" t="s">
        <v>151</v>
      </c>
      <c r="D40" s="107" t="s">
        <v>147</v>
      </c>
      <c r="E40" s="107" t="s">
        <v>148</v>
      </c>
      <c r="F40" s="56"/>
      <c r="G40" s="56"/>
      <c r="H40" s="56"/>
      <c r="I40" s="56"/>
      <c r="J40" s="56"/>
      <c r="K40" s="56"/>
      <c r="L40" s="56"/>
      <c r="M40" s="56"/>
      <c r="N40" s="56"/>
      <c r="O40" s="56"/>
      <c r="P40" s="56"/>
      <c r="Q40" s="56"/>
      <c r="R40" s="56"/>
      <c r="S40" s="56"/>
      <c r="T40" s="56"/>
      <c r="U40" s="56"/>
      <c r="V40" s="56"/>
      <c r="W40" s="56"/>
    </row>
    <row r="41">
      <c r="A41" s="108"/>
      <c r="B41" s="105" t="s">
        <v>192</v>
      </c>
      <c r="C41" s="106" t="s">
        <v>151</v>
      </c>
      <c r="D41" s="107" t="s">
        <v>147</v>
      </c>
      <c r="E41" s="107"/>
      <c r="F41" s="56"/>
      <c r="G41" s="56"/>
      <c r="H41" s="56"/>
      <c r="I41" s="56"/>
      <c r="J41" s="56"/>
      <c r="K41" s="56"/>
      <c r="L41" s="56"/>
      <c r="M41" s="56"/>
      <c r="N41" s="56"/>
      <c r="O41" s="56"/>
      <c r="P41" s="56"/>
      <c r="Q41" s="56"/>
      <c r="R41" s="56"/>
      <c r="S41" s="56"/>
      <c r="T41" s="56"/>
      <c r="U41" s="56"/>
      <c r="V41" s="56"/>
      <c r="W41" s="56"/>
    </row>
    <row r="42">
      <c r="A42" s="108"/>
      <c r="B42" s="110" t="s">
        <v>193</v>
      </c>
      <c r="C42" s="106" t="s">
        <v>151</v>
      </c>
      <c r="D42" s="107" t="s">
        <v>147</v>
      </c>
      <c r="E42" s="107"/>
      <c r="F42" s="56"/>
      <c r="G42" s="56"/>
      <c r="H42" s="56"/>
      <c r="I42" s="56"/>
      <c r="J42" s="56"/>
      <c r="K42" s="56"/>
      <c r="L42" s="56"/>
      <c r="M42" s="56"/>
      <c r="N42" s="56"/>
      <c r="O42" s="56"/>
      <c r="P42" s="56"/>
      <c r="Q42" s="56"/>
      <c r="R42" s="56"/>
      <c r="S42" s="56"/>
      <c r="T42" s="56"/>
      <c r="U42" s="56"/>
      <c r="V42" s="56"/>
      <c r="W42" s="56"/>
    </row>
    <row r="43">
      <c r="A43" s="108"/>
      <c r="B43" s="105" t="s">
        <v>194</v>
      </c>
      <c r="C43" s="106" t="s">
        <v>151</v>
      </c>
      <c r="D43" s="107" t="s">
        <v>147</v>
      </c>
      <c r="E43" s="107" t="s">
        <v>148</v>
      </c>
      <c r="F43" s="56"/>
      <c r="G43" s="56"/>
      <c r="H43" s="56"/>
      <c r="I43" s="56"/>
      <c r="J43" s="56"/>
      <c r="K43" s="56"/>
      <c r="L43" s="56"/>
      <c r="M43" s="56"/>
      <c r="N43" s="56"/>
      <c r="O43" s="56"/>
      <c r="P43" s="56"/>
      <c r="Q43" s="56"/>
      <c r="R43" s="56"/>
      <c r="S43" s="56"/>
      <c r="T43" s="56"/>
      <c r="U43" s="56"/>
      <c r="V43" s="56"/>
      <c r="W43" s="56"/>
    </row>
    <row r="44">
      <c r="A44" s="108"/>
      <c r="B44" s="110" t="s">
        <v>195</v>
      </c>
      <c r="C44" s="106" t="s">
        <v>151</v>
      </c>
      <c r="D44" s="107" t="s">
        <v>147</v>
      </c>
      <c r="E44" s="107" t="s">
        <v>148</v>
      </c>
      <c r="F44" s="56"/>
      <c r="G44" s="56"/>
      <c r="H44" s="56"/>
      <c r="I44" s="56"/>
      <c r="J44" s="56"/>
      <c r="K44" s="56"/>
      <c r="L44" s="56"/>
      <c r="M44" s="56"/>
      <c r="N44" s="56"/>
      <c r="O44" s="56"/>
      <c r="P44" s="56"/>
      <c r="Q44" s="56"/>
      <c r="R44" s="56"/>
      <c r="S44" s="56"/>
      <c r="T44" s="56"/>
      <c r="U44" s="56"/>
      <c r="V44" s="56"/>
      <c r="W44" s="56"/>
    </row>
    <row r="45">
      <c r="A45" s="108"/>
      <c r="B45" s="105" t="s">
        <v>196</v>
      </c>
      <c r="C45" s="106" t="s">
        <v>151</v>
      </c>
      <c r="D45" s="107" t="s">
        <v>147</v>
      </c>
      <c r="E45" s="107" t="s">
        <v>148</v>
      </c>
      <c r="F45" s="56"/>
      <c r="G45" s="56"/>
      <c r="H45" s="56"/>
      <c r="I45" s="56"/>
      <c r="J45" s="56"/>
      <c r="K45" s="56"/>
      <c r="L45" s="56"/>
      <c r="M45" s="56"/>
      <c r="N45" s="56"/>
      <c r="O45" s="56"/>
      <c r="P45" s="56"/>
      <c r="Q45" s="56"/>
      <c r="R45" s="56"/>
      <c r="S45" s="56"/>
      <c r="T45" s="56"/>
      <c r="U45" s="56"/>
      <c r="V45" s="56"/>
      <c r="W45" s="56"/>
    </row>
    <row r="46">
      <c r="A46" s="108"/>
      <c r="B46" s="105" t="s">
        <v>197</v>
      </c>
      <c r="C46" s="106" t="s">
        <v>151</v>
      </c>
      <c r="D46" s="107"/>
      <c r="E46" s="107" t="s">
        <v>148</v>
      </c>
      <c r="F46" s="56"/>
      <c r="G46" s="56"/>
      <c r="H46" s="56"/>
      <c r="I46" s="56"/>
      <c r="J46" s="56"/>
      <c r="K46" s="56"/>
      <c r="L46" s="56"/>
      <c r="M46" s="56"/>
      <c r="N46" s="56"/>
      <c r="O46" s="56"/>
      <c r="P46" s="56"/>
      <c r="Q46" s="56"/>
      <c r="R46" s="56"/>
      <c r="S46" s="56"/>
      <c r="T46" s="56"/>
      <c r="U46" s="56"/>
      <c r="V46" s="56"/>
      <c r="W46" s="56"/>
    </row>
    <row r="47">
      <c r="A47" s="108"/>
      <c r="B47" s="105" t="s">
        <v>198</v>
      </c>
      <c r="C47" s="106" t="s">
        <v>151</v>
      </c>
      <c r="D47" s="107"/>
      <c r="E47" s="107" t="s">
        <v>148</v>
      </c>
      <c r="F47" s="56"/>
      <c r="G47" s="56"/>
      <c r="H47" s="56"/>
      <c r="I47" s="56"/>
      <c r="J47" s="56"/>
      <c r="K47" s="56"/>
      <c r="L47" s="56"/>
      <c r="M47" s="56"/>
      <c r="N47" s="56"/>
      <c r="O47" s="56"/>
      <c r="P47" s="56"/>
      <c r="Q47" s="56"/>
      <c r="R47" s="56"/>
      <c r="S47" s="56"/>
      <c r="T47" s="56"/>
      <c r="U47" s="56"/>
      <c r="V47" s="56"/>
      <c r="W47" s="56"/>
    </row>
    <row r="48">
      <c r="A48" s="108"/>
      <c r="B48" s="111" t="s">
        <v>199</v>
      </c>
      <c r="C48" s="106" t="s">
        <v>151</v>
      </c>
      <c r="D48" s="107"/>
      <c r="E48" s="107" t="s">
        <v>148</v>
      </c>
      <c r="F48" s="56"/>
      <c r="G48" s="56"/>
      <c r="H48" s="56"/>
      <c r="I48" s="56"/>
      <c r="J48" s="56"/>
      <c r="K48" s="56"/>
      <c r="L48" s="56"/>
      <c r="M48" s="56"/>
      <c r="N48" s="56"/>
      <c r="O48" s="56"/>
      <c r="P48" s="56"/>
      <c r="Q48" s="56"/>
      <c r="R48" s="56"/>
      <c r="S48" s="56"/>
      <c r="T48" s="56"/>
      <c r="U48" s="56"/>
      <c r="V48" s="56"/>
      <c r="W48" s="56"/>
    </row>
    <row r="49">
      <c r="A49" s="108"/>
      <c r="B49" s="105" t="s">
        <v>200</v>
      </c>
      <c r="C49" s="106" t="s">
        <v>151</v>
      </c>
      <c r="D49" s="107"/>
      <c r="E49" s="107" t="s">
        <v>148</v>
      </c>
      <c r="F49" s="56"/>
      <c r="G49" s="56"/>
      <c r="H49" s="56"/>
      <c r="I49" s="56"/>
      <c r="J49" s="56"/>
      <c r="K49" s="56"/>
      <c r="L49" s="56"/>
      <c r="M49" s="56"/>
      <c r="N49" s="56"/>
      <c r="O49" s="56"/>
      <c r="P49" s="56"/>
      <c r="Q49" s="56"/>
      <c r="R49" s="56"/>
      <c r="S49" s="56"/>
      <c r="T49" s="56"/>
      <c r="U49" s="56"/>
      <c r="V49" s="56"/>
      <c r="W49" s="56"/>
    </row>
    <row r="50">
      <c r="A50" s="108"/>
      <c r="B50" s="105" t="s">
        <v>201</v>
      </c>
      <c r="C50" s="106" t="s">
        <v>151</v>
      </c>
      <c r="D50" s="107"/>
      <c r="E50" s="107" t="s">
        <v>148</v>
      </c>
      <c r="F50" s="56"/>
      <c r="G50" s="56"/>
      <c r="H50" s="56"/>
      <c r="I50" s="56"/>
      <c r="J50" s="56"/>
      <c r="K50" s="56"/>
      <c r="L50" s="56"/>
      <c r="M50" s="56"/>
      <c r="N50" s="56"/>
      <c r="O50" s="56"/>
      <c r="P50" s="56"/>
      <c r="Q50" s="56"/>
      <c r="R50" s="56"/>
      <c r="S50" s="56"/>
      <c r="T50" s="56"/>
      <c r="U50" s="56"/>
      <c r="V50" s="56"/>
      <c r="W50" s="56"/>
    </row>
    <row r="51">
      <c r="A51" s="108"/>
      <c r="B51" s="105" t="s">
        <v>202</v>
      </c>
      <c r="C51" s="106" t="s">
        <v>151</v>
      </c>
      <c r="D51" s="107"/>
      <c r="E51" s="107" t="s">
        <v>148</v>
      </c>
      <c r="F51" s="56"/>
      <c r="G51" s="56"/>
      <c r="H51" s="56"/>
      <c r="I51" s="56"/>
      <c r="J51" s="56"/>
      <c r="K51" s="56"/>
      <c r="L51" s="56"/>
      <c r="M51" s="56"/>
      <c r="N51" s="56"/>
      <c r="O51" s="56"/>
      <c r="P51" s="56"/>
      <c r="Q51" s="56"/>
      <c r="R51" s="56"/>
      <c r="S51" s="56"/>
      <c r="T51" s="56"/>
      <c r="U51" s="56"/>
      <c r="V51" s="56"/>
      <c r="W51" s="56"/>
    </row>
    <row r="52">
      <c r="A52" s="108"/>
      <c r="B52" s="105" t="s">
        <v>203</v>
      </c>
      <c r="C52" s="106" t="s">
        <v>151</v>
      </c>
      <c r="D52" s="107" t="s">
        <v>147</v>
      </c>
      <c r="E52" s="107" t="s">
        <v>148</v>
      </c>
      <c r="F52" s="56"/>
      <c r="G52" s="56"/>
      <c r="H52" s="56"/>
      <c r="I52" s="56"/>
      <c r="J52" s="56"/>
      <c r="K52" s="56"/>
      <c r="L52" s="56"/>
      <c r="M52" s="56"/>
      <c r="N52" s="56"/>
      <c r="O52" s="56"/>
      <c r="P52" s="56"/>
      <c r="Q52" s="56"/>
      <c r="R52" s="56"/>
      <c r="S52" s="56"/>
      <c r="T52" s="56"/>
      <c r="U52" s="56"/>
      <c r="V52" s="56"/>
      <c r="W52" s="56"/>
    </row>
    <row r="53">
      <c r="A53" s="108"/>
      <c r="B53" s="111" t="s">
        <v>204</v>
      </c>
      <c r="C53" s="106" t="s">
        <v>151</v>
      </c>
      <c r="D53" s="107" t="s">
        <v>147</v>
      </c>
      <c r="E53" s="107" t="s">
        <v>148</v>
      </c>
      <c r="F53" s="56"/>
      <c r="G53" s="56"/>
      <c r="H53" s="56"/>
      <c r="I53" s="56"/>
      <c r="J53" s="56"/>
      <c r="K53" s="56"/>
      <c r="L53" s="56"/>
      <c r="M53" s="56"/>
      <c r="N53" s="56"/>
      <c r="O53" s="56"/>
      <c r="P53" s="56"/>
      <c r="Q53" s="56"/>
      <c r="R53" s="56"/>
      <c r="S53" s="56"/>
      <c r="T53" s="56"/>
      <c r="U53" s="56"/>
      <c r="V53" s="56"/>
      <c r="W53" s="56"/>
    </row>
    <row r="54">
      <c r="A54" s="108"/>
      <c r="B54" s="105" t="s">
        <v>205</v>
      </c>
      <c r="C54" s="106" t="s">
        <v>151</v>
      </c>
      <c r="D54" s="107"/>
      <c r="E54" s="107" t="s">
        <v>148</v>
      </c>
      <c r="F54" s="56"/>
      <c r="G54" s="56"/>
      <c r="H54" s="56"/>
      <c r="I54" s="56"/>
      <c r="J54" s="56"/>
      <c r="K54" s="56"/>
      <c r="L54" s="56"/>
      <c r="M54" s="56"/>
      <c r="N54" s="56"/>
      <c r="O54" s="56"/>
      <c r="P54" s="56"/>
      <c r="Q54" s="56"/>
      <c r="R54" s="56"/>
      <c r="S54" s="56"/>
      <c r="T54" s="56"/>
      <c r="U54" s="56"/>
      <c r="V54" s="56"/>
      <c r="W54" s="56"/>
    </row>
    <row r="55">
      <c r="A55" s="109"/>
      <c r="B55" s="110" t="s">
        <v>206</v>
      </c>
      <c r="C55" s="106" t="s">
        <v>151</v>
      </c>
      <c r="D55" s="107" t="s">
        <v>147</v>
      </c>
      <c r="E55" s="107" t="s">
        <v>148</v>
      </c>
      <c r="F55" s="56"/>
      <c r="G55" s="56"/>
      <c r="H55" s="56"/>
      <c r="I55" s="56"/>
      <c r="J55" s="56"/>
      <c r="K55" s="56"/>
      <c r="L55" s="56"/>
      <c r="M55" s="56"/>
      <c r="N55" s="56"/>
      <c r="O55" s="56"/>
      <c r="P55" s="56"/>
      <c r="Q55" s="56"/>
      <c r="R55" s="56"/>
      <c r="S55" s="56"/>
      <c r="T55" s="56"/>
      <c r="U55" s="56"/>
      <c r="V55" s="56"/>
      <c r="W55" s="56"/>
    </row>
    <row r="56">
      <c r="A56" s="111" t="s">
        <v>207</v>
      </c>
      <c r="B56" s="110" t="s">
        <v>208</v>
      </c>
      <c r="C56" s="106" t="s">
        <v>151</v>
      </c>
      <c r="D56" s="107" t="s">
        <v>147</v>
      </c>
      <c r="E56" s="107" t="s">
        <v>148</v>
      </c>
      <c r="F56" s="56"/>
      <c r="G56" s="56"/>
      <c r="H56" s="56"/>
      <c r="I56" s="56"/>
      <c r="J56" s="56"/>
      <c r="K56" s="56"/>
      <c r="L56" s="56"/>
      <c r="M56" s="56"/>
      <c r="N56" s="56"/>
      <c r="O56" s="56"/>
      <c r="P56" s="56"/>
      <c r="Q56" s="56"/>
      <c r="R56" s="56"/>
      <c r="S56" s="56"/>
      <c r="T56" s="56"/>
      <c r="U56" s="56"/>
      <c r="V56" s="56"/>
      <c r="W56" s="56"/>
    </row>
    <row r="57">
      <c r="A57" s="111" t="s">
        <v>209</v>
      </c>
      <c r="B57" s="105" t="s">
        <v>210</v>
      </c>
      <c r="C57" s="106" t="s">
        <v>151</v>
      </c>
      <c r="D57" s="107" t="s">
        <v>147</v>
      </c>
      <c r="E57" s="107" t="s">
        <v>148</v>
      </c>
      <c r="F57" s="56"/>
      <c r="G57" s="56"/>
      <c r="H57" s="56"/>
      <c r="I57" s="56"/>
      <c r="J57" s="56"/>
      <c r="K57" s="56"/>
      <c r="L57" s="56"/>
      <c r="M57" s="56"/>
      <c r="N57" s="56"/>
      <c r="O57" s="56"/>
      <c r="P57" s="56"/>
      <c r="Q57" s="56"/>
      <c r="R57" s="56"/>
      <c r="S57" s="56"/>
      <c r="T57" s="56"/>
      <c r="U57" s="56"/>
      <c r="V57" s="56"/>
      <c r="W57" s="56"/>
    </row>
    <row r="58">
      <c r="A58" s="111" t="s">
        <v>211</v>
      </c>
      <c r="B58" s="111" t="s">
        <v>212</v>
      </c>
      <c r="C58" s="106" t="s">
        <v>151</v>
      </c>
      <c r="D58" s="107" t="s">
        <v>147</v>
      </c>
      <c r="E58" s="107" t="s">
        <v>148</v>
      </c>
      <c r="F58" s="56"/>
      <c r="G58" s="56"/>
      <c r="H58" s="56"/>
      <c r="I58" s="56"/>
      <c r="J58" s="56"/>
      <c r="K58" s="56"/>
      <c r="L58" s="56"/>
      <c r="M58" s="56"/>
      <c r="N58" s="56"/>
      <c r="O58" s="56"/>
      <c r="P58" s="56"/>
      <c r="Q58" s="56"/>
      <c r="R58" s="56"/>
      <c r="S58" s="56"/>
      <c r="T58" s="56"/>
      <c r="U58" s="56"/>
      <c r="V58" s="56"/>
      <c r="W58" s="56"/>
    </row>
    <row r="59">
      <c r="A59" s="105"/>
      <c r="B59" s="111" t="s">
        <v>213</v>
      </c>
      <c r="C59" s="106" t="s">
        <v>151</v>
      </c>
      <c r="D59" s="107" t="s">
        <v>147</v>
      </c>
      <c r="E59" s="107"/>
      <c r="F59" s="56"/>
      <c r="G59" s="56"/>
      <c r="H59" s="56"/>
      <c r="I59" s="56"/>
      <c r="J59" s="56"/>
      <c r="K59" s="56"/>
      <c r="L59" s="56"/>
      <c r="M59" s="56"/>
      <c r="N59" s="56"/>
      <c r="O59" s="56"/>
      <c r="P59" s="56"/>
      <c r="Q59" s="56"/>
      <c r="R59" s="56"/>
      <c r="S59" s="56"/>
      <c r="T59" s="56"/>
      <c r="U59" s="56"/>
      <c r="V59" s="56"/>
      <c r="W59" s="56"/>
    </row>
    <row r="60">
      <c r="A60" s="111" t="s">
        <v>214</v>
      </c>
      <c r="B60" s="105" t="s">
        <v>215</v>
      </c>
      <c r="C60" s="106" t="s">
        <v>151</v>
      </c>
      <c r="D60" s="107" t="s">
        <v>147</v>
      </c>
      <c r="E60" s="107"/>
      <c r="F60" s="56"/>
      <c r="G60" s="56"/>
      <c r="H60" s="56"/>
      <c r="I60" s="56"/>
      <c r="J60" s="56"/>
      <c r="K60" s="56"/>
      <c r="L60" s="56"/>
      <c r="M60" s="56"/>
      <c r="N60" s="56"/>
      <c r="O60" s="56"/>
      <c r="P60" s="56"/>
      <c r="Q60" s="56"/>
      <c r="R60" s="56"/>
      <c r="S60" s="56"/>
      <c r="T60" s="56"/>
      <c r="U60" s="56"/>
      <c r="V60" s="56"/>
      <c r="W60" s="56"/>
    </row>
    <row r="61">
      <c r="A61" s="111" t="s">
        <v>216</v>
      </c>
      <c r="B61" s="105" t="s">
        <v>217</v>
      </c>
      <c r="C61" s="106" t="s">
        <v>151</v>
      </c>
      <c r="D61" s="107" t="s">
        <v>147</v>
      </c>
      <c r="E61" s="107"/>
      <c r="F61" s="56"/>
      <c r="G61" s="56"/>
      <c r="H61" s="56"/>
      <c r="I61" s="56"/>
      <c r="J61" s="56"/>
      <c r="K61" s="56"/>
      <c r="L61" s="56"/>
      <c r="M61" s="56"/>
      <c r="N61" s="56"/>
      <c r="O61" s="56"/>
      <c r="P61" s="56"/>
      <c r="Q61" s="56"/>
      <c r="R61" s="56"/>
      <c r="S61" s="56"/>
      <c r="T61" s="56"/>
      <c r="U61" s="56"/>
      <c r="V61" s="56"/>
      <c r="W61" s="56"/>
    </row>
    <row r="62">
      <c r="A62" s="111" t="s">
        <v>218</v>
      </c>
      <c r="B62" s="105" t="s">
        <v>219</v>
      </c>
      <c r="C62" s="106" t="s">
        <v>151</v>
      </c>
      <c r="D62" s="107" t="s">
        <v>147</v>
      </c>
      <c r="E62" s="107"/>
      <c r="F62" s="56"/>
      <c r="G62" s="56"/>
      <c r="H62" s="56"/>
      <c r="I62" s="56"/>
      <c r="J62" s="56"/>
      <c r="K62" s="56"/>
      <c r="L62" s="56"/>
      <c r="M62" s="56"/>
      <c r="N62" s="56"/>
      <c r="O62" s="56"/>
      <c r="P62" s="56"/>
      <c r="Q62" s="56"/>
      <c r="R62" s="56"/>
      <c r="S62" s="56"/>
      <c r="T62" s="56"/>
      <c r="U62" s="56"/>
      <c r="V62" s="56"/>
      <c r="W62" s="56"/>
    </row>
    <row r="63">
      <c r="A63" s="111" t="s">
        <v>220</v>
      </c>
      <c r="B63" s="110" t="s">
        <v>221</v>
      </c>
      <c r="C63" s="106" t="s">
        <v>151</v>
      </c>
      <c r="D63" s="107" t="s">
        <v>147</v>
      </c>
      <c r="E63" s="107"/>
      <c r="F63" s="56"/>
      <c r="G63" s="56"/>
      <c r="H63" s="56"/>
      <c r="I63" s="56"/>
      <c r="J63" s="56"/>
      <c r="K63" s="56"/>
      <c r="L63" s="56"/>
      <c r="M63" s="56"/>
      <c r="N63" s="56"/>
      <c r="O63" s="56"/>
      <c r="P63" s="56"/>
      <c r="Q63" s="56"/>
      <c r="R63" s="56"/>
      <c r="S63" s="56"/>
      <c r="T63" s="56"/>
      <c r="U63" s="56"/>
      <c r="V63" s="56"/>
      <c r="W63" s="56"/>
    </row>
    <row r="64">
      <c r="A64" s="111" t="s">
        <v>222</v>
      </c>
      <c r="B64" s="111" t="s">
        <v>223</v>
      </c>
      <c r="C64" s="106" t="s">
        <v>151</v>
      </c>
      <c r="D64" s="107" t="s">
        <v>147</v>
      </c>
      <c r="E64" s="107"/>
      <c r="F64" s="56"/>
      <c r="G64" s="56"/>
      <c r="H64" s="56"/>
      <c r="I64" s="56"/>
      <c r="J64" s="56"/>
      <c r="K64" s="56"/>
      <c r="L64" s="56"/>
      <c r="M64" s="56"/>
      <c r="N64" s="56"/>
      <c r="O64" s="56"/>
      <c r="P64" s="56"/>
      <c r="Q64" s="56"/>
      <c r="R64" s="56"/>
      <c r="S64" s="56"/>
      <c r="T64" s="56"/>
      <c r="U64" s="56"/>
      <c r="V64" s="56"/>
      <c r="W64" s="56"/>
    </row>
    <row r="65">
      <c r="A65" s="112" t="s">
        <v>224</v>
      </c>
      <c r="B65" s="113" t="s">
        <v>225</v>
      </c>
      <c r="C65" s="106" t="s">
        <v>151</v>
      </c>
      <c r="D65" s="107" t="s">
        <v>147</v>
      </c>
      <c r="E65" s="107"/>
      <c r="F65" s="56"/>
      <c r="G65" s="56"/>
      <c r="H65" s="56"/>
      <c r="I65" s="56"/>
      <c r="J65" s="56"/>
      <c r="K65" s="56"/>
      <c r="L65" s="56"/>
      <c r="M65" s="56"/>
      <c r="N65" s="56"/>
      <c r="O65" s="56"/>
      <c r="P65" s="56"/>
      <c r="Q65" s="56"/>
      <c r="R65" s="56"/>
      <c r="S65" s="56"/>
      <c r="T65" s="56"/>
      <c r="U65" s="56"/>
      <c r="V65" s="56"/>
      <c r="W65" s="56"/>
    </row>
    <row r="66">
      <c r="A66" s="112" t="s">
        <v>226</v>
      </c>
      <c r="B66" s="114" t="s">
        <v>227</v>
      </c>
      <c r="C66" s="106" t="s">
        <v>151</v>
      </c>
      <c r="D66" s="107" t="s">
        <v>147</v>
      </c>
      <c r="E66" s="107"/>
      <c r="F66" s="56"/>
      <c r="G66" s="56"/>
      <c r="H66" s="56"/>
      <c r="I66" s="56"/>
      <c r="J66" s="56"/>
      <c r="K66" s="56"/>
      <c r="L66" s="56"/>
      <c r="M66" s="56"/>
      <c r="N66" s="56"/>
      <c r="O66" s="56"/>
      <c r="P66" s="56"/>
      <c r="Q66" s="56"/>
      <c r="R66" s="56"/>
      <c r="S66" s="56"/>
      <c r="T66" s="56"/>
      <c r="U66" s="56"/>
      <c r="V66" s="56"/>
      <c r="W66" s="56"/>
    </row>
    <row r="67">
      <c r="A67" s="111" t="s">
        <v>228</v>
      </c>
      <c r="B67" s="105" t="s">
        <v>229</v>
      </c>
      <c r="C67" s="106" t="s">
        <v>151</v>
      </c>
      <c r="D67" s="107" t="s">
        <v>147</v>
      </c>
      <c r="E67" s="107" t="s">
        <v>148</v>
      </c>
      <c r="F67" s="56"/>
      <c r="G67" s="56"/>
      <c r="H67" s="56"/>
      <c r="I67" s="56"/>
      <c r="J67" s="56"/>
      <c r="K67" s="56"/>
      <c r="L67" s="56"/>
      <c r="M67" s="56"/>
      <c r="N67" s="56"/>
      <c r="O67" s="56"/>
      <c r="P67" s="56"/>
      <c r="Q67" s="56"/>
      <c r="R67" s="56"/>
      <c r="S67" s="56"/>
      <c r="T67" s="56"/>
      <c r="U67" s="56"/>
      <c r="V67" s="56"/>
      <c r="W67" s="56"/>
    </row>
    <row r="68">
      <c r="A68" s="105" t="s">
        <v>230</v>
      </c>
      <c r="B68" s="105" t="s">
        <v>231</v>
      </c>
      <c r="C68" s="106" t="s">
        <v>151</v>
      </c>
      <c r="D68" s="107" t="s">
        <v>147</v>
      </c>
      <c r="E68" s="107" t="s">
        <v>148</v>
      </c>
      <c r="F68" s="56"/>
      <c r="G68" s="56"/>
      <c r="H68" s="56"/>
      <c r="I68" s="56"/>
      <c r="J68" s="56"/>
      <c r="K68" s="56"/>
      <c r="L68" s="56"/>
      <c r="M68" s="56"/>
      <c r="N68" s="56"/>
      <c r="O68" s="56"/>
      <c r="P68" s="56"/>
      <c r="Q68" s="56"/>
      <c r="R68" s="56"/>
      <c r="S68" s="56"/>
      <c r="T68" s="56"/>
      <c r="U68" s="56"/>
      <c r="V68" s="56"/>
      <c r="W68" s="56"/>
    </row>
    <row r="69">
      <c r="A69" s="105"/>
      <c r="B69" s="105" t="s">
        <v>232</v>
      </c>
      <c r="C69" s="106" t="s">
        <v>151</v>
      </c>
      <c r="D69" s="107" t="s">
        <v>147</v>
      </c>
      <c r="E69" s="107" t="s">
        <v>148</v>
      </c>
      <c r="F69" s="56"/>
      <c r="G69" s="56"/>
      <c r="H69" s="56"/>
      <c r="I69" s="56"/>
      <c r="J69" s="56"/>
      <c r="K69" s="56"/>
      <c r="L69" s="56"/>
      <c r="M69" s="56"/>
      <c r="N69" s="56"/>
      <c r="O69" s="56"/>
      <c r="P69" s="56"/>
      <c r="Q69" s="56"/>
      <c r="R69" s="56"/>
      <c r="S69" s="56"/>
      <c r="T69" s="56"/>
      <c r="U69" s="56"/>
      <c r="V69" s="56"/>
      <c r="W69" s="56"/>
    </row>
    <row r="70">
      <c r="A70" s="112" t="s">
        <v>233</v>
      </c>
      <c r="B70" s="105" t="s">
        <v>234</v>
      </c>
      <c r="C70" s="106" t="s">
        <v>151</v>
      </c>
      <c r="D70" s="107" t="s">
        <v>147</v>
      </c>
      <c r="E70" s="107" t="s">
        <v>148</v>
      </c>
      <c r="F70" s="56"/>
      <c r="G70" s="56"/>
      <c r="H70" s="56"/>
      <c r="I70" s="56"/>
      <c r="J70" s="56"/>
      <c r="K70" s="56"/>
      <c r="L70" s="56"/>
      <c r="M70" s="56"/>
      <c r="N70" s="56"/>
      <c r="O70" s="56"/>
      <c r="P70" s="56"/>
      <c r="Q70" s="56"/>
      <c r="R70" s="56"/>
      <c r="S70" s="56"/>
      <c r="T70" s="56"/>
      <c r="U70" s="56"/>
      <c r="V70" s="56"/>
      <c r="W70" s="56"/>
    </row>
    <row r="71">
      <c r="A71" s="110"/>
      <c r="B71" s="105" t="s">
        <v>235</v>
      </c>
      <c r="C71" s="106" t="s">
        <v>151</v>
      </c>
      <c r="D71" s="107" t="s">
        <v>147</v>
      </c>
      <c r="E71" s="107" t="s">
        <v>148</v>
      </c>
      <c r="F71" s="56"/>
      <c r="G71" s="56"/>
      <c r="H71" s="56"/>
      <c r="I71" s="56"/>
      <c r="J71" s="56"/>
      <c r="K71" s="56"/>
      <c r="L71" s="56"/>
      <c r="M71" s="56"/>
      <c r="N71" s="56"/>
      <c r="O71" s="56"/>
      <c r="P71" s="56"/>
      <c r="Q71" s="56"/>
      <c r="R71" s="56"/>
      <c r="S71" s="56"/>
      <c r="T71" s="56"/>
      <c r="U71" s="56"/>
      <c r="V71" s="56"/>
      <c r="W71" s="56"/>
    </row>
    <row r="72">
      <c r="A72" s="111" t="s">
        <v>236</v>
      </c>
      <c r="B72" s="105" t="s">
        <v>237</v>
      </c>
      <c r="C72" s="106" t="s">
        <v>151</v>
      </c>
      <c r="D72" s="107" t="s">
        <v>147</v>
      </c>
      <c r="E72" s="107"/>
      <c r="F72" s="56"/>
      <c r="G72" s="56"/>
      <c r="H72" s="56"/>
      <c r="I72" s="56"/>
      <c r="J72" s="56"/>
      <c r="K72" s="56"/>
      <c r="L72" s="56"/>
      <c r="M72" s="56"/>
      <c r="N72" s="56"/>
      <c r="O72" s="56"/>
      <c r="P72" s="56"/>
      <c r="Q72" s="56"/>
      <c r="R72" s="56"/>
      <c r="S72" s="56"/>
      <c r="T72" s="56"/>
      <c r="U72" s="56"/>
      <c r="V72" s="56"/>
      <c r="W72" s="56"/>
    </row>
    <row r="73">
      <c r="A73" s="111" t="s">
        <v>238</v>
      </c>
      <c r="B73" s="105" t="s">
        <v>239</v>
      </c>
      <c r="C73" s="106" t="s">
        <v>151</v>
      </c>
      <c r="D73" s="107" t="s">
        <v>147</v>
      </c>
      <c r="E73" s="107"/>
      <c r="F73" s="56"/>
      <c r="G73" s="56"/>
      <c r="H73" s="56"/>
      <c r="I73" s="56"/>
      <c r="J73" s="56"/>
      <c r="K73" s="56"/>
      <c r="L73" s="56"/>
      <c r="M73" s="56"/>
      <c r="N73" s="56"/>
      <c r="O73" s="56"/>
      <c r="P73" s="56"/>
      <c r="Q73" s="56"/>
      <c r="R73" s="56"/>
      <c r="S73" s="56"/>
      <c r="T73" s="56"/>
      <c r="U73" s="56"/>
      <c r="V73" s="56"/>
      <c r="W73" s="56"/>
    </row>
    <row r="74">
      <c r="A74" s="111" t="s">
        <v>240</v>
      </c>
      <c r="B74" s="105" t="s">
        <v>241</v>
      </c>
      <c r="C74" s="106" t="s">
        <v>151</v>
      </c>
      <c r="D74" s="107" t="s">
        <v>147</v>
      </c>
      <c r="E74" s="107"/>
      <c r="F74" s="56"/>
      <c r="G74" s="56"/>
      <c r="H74" s="56"/>
      <c r="I74" s="56"/>
      <c r="J74" s="56"/>
      <c r="K74" s="56"/>
      <c r="L74" s="56"/>
      <c r="M74" s="56"/>
      <c r="N74" s="56"/>
      <c r="O74" s="56"/>
      <c r="P74" s="56"/>
      <c r="Q74" s="56"/>
      <c r="R74" s="56"/>
      <c r="S74" s="56"/>
      <c r="T74" s="56"/>
      <c r="U74" s="56"/>
      <c r="V74" s="56"/>
      <c r="W74" s="56"/>
    </row>
    <row r="75">
      <c r="A75" s="105"/>
      <c r="B75" s="105" t="s">
        <v>242</v>
      </c>
      <c r="C75" s="106" t="s">
        <v>151</v>
      </c>
      <c r="D75" s="107" t="s">
        <v>147</v>
      </c>
      <c r="E75" s="107"/>
      <c r="F75" s="56"/>
      <c r="G75" s="56"/>
      <c r="H75" s="56"/>
      <c r="I75" s="56"/>
      <c r="J75" s="56"/>
      <c r="K75" s="56"/>
      <c r="L75" s="56"/>
      <c r="M75" s="56"/>
      <c r="N75" s="56"/>
      <c r="O75" s="56"/>
      <c r="P75" s="56"/>
      <c r="Q75" s="56"/>
      <c r="R75" s="56"/>
      <c r="S75" s="56"/>
      <c r="T75" s="56"/>
      <c r="U75" s="56"/>
      <c r="V75" s="56"/>
      <c r="W75" s="56"/>
    </row>
    <row r="76">
      <c r="A76" s="105" t="s">
        <v>243</v>
      </c>
      <c r="B76" s="105" t="s">
        <v>244</v>
      </c>
      <c r="C76" s="106"/>
      <c r="D76" s="107" t="s">
        <v>147</v>
      </c>
      <c r="E76" s="107"/>
      <c r="F76" s="56"/>
      <c r="G76" s="56"/>
      <c r="H76" s="56"/>
      <c r="I76" s="56"/>
      <c r="J76" s="56"/>
      <c r="K76" s="56"/>
      <c r="L76" s="56"/>
      <c r="M76" s="56"/>
      <c r="N76" s="56"/>
      <c r="O76" s="56"/>
      <c r="P76" s="56"/>
      <c r="Q76" s="56"/>
      <c r="R76" s="56"/>
      <c r="S76" s="56"/>
      <c r="T76" s="56"/>
      <c r="U76" s="56"/>
      <c r="V76" s="56"/>
      <c r="W76" s="56"/>
    </row>
    <row r="77">
      <c r="A77" s="105" t="s">
        <v>245</v>
      </c>
      <c r="B77" s="105" t="s">
        <v>246</v>
      </c>
      <c r="C77" s="106" t="s">
        <v>151</v>
      </c>
      <c r="D77" s="107" t="s">
        <v>147</v>
      </c>
      <c r="E77" s="107"/>
      <c r="F77" s="56"/>
      <c r="G77" s="56"/>
      <c r="H77" s="56"/>
      <c r="I77" s="56"/>
      <c r="J77" s="56"/>
      <c r="K77" s="56"/>
      <c r="L77" s="56"/>
      <c r="M77" s="56"/>
      <c r="N77" s="56"/>
      <c r="O77" s="56"/>
      <c r="P77" s="56"/>
      <c r="Q77" s="56"/>
      <c r="R77" s="56"/>
      <c r="S77" s="56"/>
      <c r="T77" s="56"/>
      <c r="U77" s="56"/>
      <c r="V77" s="56"/>
      <c r="W77" s="56"/>
    </row>
    <row r="78">
      <c r="A78" s="111" t="s">
        <v>247</v>
      </c>
      <c r="B78" s="105" t="s">
        <v>248</v>
      </c>
      <c r="C78" s="106" t="s">
        <v>151</v>
      </c>
      <c r="D78" s="107" t="s">
        <v>147</v>
      </c>
      <c r="E78" s="107"/>
      <c r="F78" s="56"/>
      <c r="G78" s="56"/>
      <c r="H78" s="56"/>
      <c r="I78" s="56"/>
      <c r="J78" s="56"/>
      <c r="K78" s="56"/>
      <c r="L78" s="56"/>
      <c r="M78" s="56"/>
      <c r="N78" s="56"/>
      <c r="O78" s="56"/>
      <c r="P78" s="56"/>
      <c r="Q78" s="56"/>
      <c r="R78" s="56"/>
      <c r="S78" s="56"/>
      <c r="T78" s="56"/>
      <c r="U78" s="56"/>
      <c r="V78" s="56"/>
      <c r="W78" s="56"/>
    </row>
    <row r="79">
      <c r="A79" s="111" t="s">
        <v>249</v>
      </c>
      <c r="B79" s="105" t="s">
        <v>250</v>
      </c>
      <c r="C79" s="106" t="s">
        <v>151</v>
      </c>
      <c r="D79" s="107" t="s">
        <v>147</v>
      </c>
      <c r="E79" s="107"/>
      <c r="F79" s="56"/>
      <c r="G79" s="56"/>
      <c r="H79" s="56"/>
      <c r="I79" s="56"/>
      <c r="J79" s="56"/>
      <c r="K79" s="56"/>
      <c r="L79" s="56"/>
      <c r="M79" s="56"/>
      <c r="N79" s="56"/>
      <c r="O79" s="56"/>
      <c r="P79" s="56"/>
      <c r="Q79" s="56"/>
      <c r="R79" s="56"/>
      <c r="S79" s="56"/>
      <c r="T79" s="56"/>
      <c r="U79" s="56"/>
      <c r="V79" s="56"/>
      <c r="W79" s="56"/>
    </row>
    <row r="80">
      <c r="A80" s="111" t="s">
        <v>251</v>
      </c>
      <c r="B80" s="105" t="s">
        <v>252</v>
      </c>
      <c r="C80" s="106" t="s">
        <v>151</v>
      </c>
      <c r="D80" s="107" t="s">
        <v>147</v>
      </c>
      <c r="E80" s="107"/>
      <c r="F80" s="56"/>
      <c r="G80" s="56"/>
      <c r="H80" s="56"/>
      <c r="I80" s="56"/>
      <c r="J80" s="56"/>
      <c r="K80" s="56"/>
      <c r="L80" s="56"/>
      <c r="M80" s="56"/>
      <c r="N80" s="56"/>
      <c r="O80" s="56"/>
      <c r="P80" s="56"/>
      <c r="Q80" s="56"/>
      <c r="R80" s="56"/>
      <c r="S80" s="56"/>
      <c r="T80" s="56"/>
      <c r="U80" s="56"/>
      <c r="V80" s="56"/>
      <c r="W80" s="56"/>
    </row>
    <row r="81">
      <c r="A81" s="105"/>
      <c r="B81" s="105" t="s">
        <v>253</v>
      </c>
      <c r="C81" s="106" t="s">
        <v>151</v>
      </c>
      <c r="D81" s="107" t="s">
        <v>147</v>
      </c>
      <c r="E81" s="107"/>
      <c r="F81" s="56"/>
      <c r="G81" s="56"/>
      <c r="H81" s="56"/>
      <c r="I81" s="56"/>
      <c r="J81" s="56"/>
      <c r="K81" s="56"/>
      <c r="L81" s="56"/>
      <c r="M81" s="56"/>
      <c r="N81" s="56"/>
      <c r="O81" s="56"/>
      <c r="P81" s="56"/>
      <c r="Q81" s="56"/>
      <c r="R81" s="56"/>
      <c r="S81" s="56"/>
      <c r="T81" s="56"/>
      <c r="U81" s="56"/>
      <c r="V81" s="56"/>
      <c r="W81" s="56"/>
    </row>
    <row r="82">
      <c r="A82" s="111" t="s">
        <v>254</v>
      </c>
      <c r="B82" s="105" t="s">
        <v>255</v>
      </c>
      <c r="C82" s="106" t="s">
        <v>151</v>
      </c>
      <c r="D82" s="107" t="s">
        <v>147</v>
      </c>
      <c r="E82" s="107"/>
      <c r="F82" s="56"/>
      <c r="G82" s="56"/>
      <c r="H82" s="56"/>
      <c r="I82" s="56"/>
      <c r="J82" s="56"/>
      <c r="K82" s="56"/>
      <c r="L82" s="56"/>
      <c r="M82" s="56"/>
      <c r="N82" s="56"/>
      <c r="O82" s="56"/>
      <c r="P82" s="56"/>
      <c r="Q82" s="56"/>
      <c r="R82" s="56"/>
      <c r="S82" s="56"/>
      <c r="T82" s="56"/>
      <c r="U82" s="56"/>
      <c r="V82" s="56"/>
      <c r="W82" s="56"/>
    </row>
    <row r="83">
      <c r="A83" s="111" t="s">
        <v>256</v>
      </c>
      <c r="B83" s="105" t="s">
        <v>257</v>
      </c>
      <c r="C83" s="106" t="s">
        <v>151</v>
      </c>
      <c r="D83" s="107" t="s">
        <v>147</v>
      </c>
      <c r="E83" s="107"/>
      <c r="F83" s="56"/>
      <c r="G83" s="56"/>
      <c r="H83" s="56"/>
      <c r="I83" s="56"/>
      <c r="J83" s="56"/>
      <c r="K83" s="56"/>
      <c r="L83" s="56"/>
      <c r="M83" s="56"/>
      <c r="N83" s="56"/>
      <c r="O83" s="56"/>
      <c r="P83" s="56"/>
      <c r="Q83" s="56"/>
      <c r="R83" s="56"/>
      <c r="S83" s="56"/>
      <c r="T83" s="56"/>
      <c r="U83" s="56"/>
      <c r="V83" s="56"/>
      <c r="W83" s="56"/>
    </row>
    <row r="84">
      <c r="A84" s="111" t="s">
        <v>238</v>
      </c>
      <c r="B84" s="105" t="s">
        <v>258</v>
      </c>
      <c r="C84" s="106" t="s">
        <v>151</v>
      </c>
      <c r="D84" s="107" t="s">
        <v>147</v>
      </c>
      <c r="E84" s="107"/>
      <c r="F84" s="56"/>
      <c r="G84" s="56"/>
      <c r="H84" s="56"/>
      <c r="I84" s="56"/>
      <c r="J84" s="56"/>
      <c r="K84" s="56"/>
      <c r="L84" s="56"/>
      <c r="M84" s="56"/>
      <c r="N84" s="56"/>
      <c r="O84" s="56"/>
      <c r="P84" s="56"/>
      <c r="Q84" s="56"/>
      <c r="R84" s="56"/>
      <c r="S84" s="56"/>
      <c r="T84" s="56"/>
      <c r="U84" s="56"/>
      <c r="V84" s="56"/>
      <c r="W84" s="56"/>
    </row>
    <row r="85">
      <c r="A85" s="105"/>
      <c r="B85" s="105" t="s">
        <v>259</v>
      </c>
      <c r="C85" s="106" t="s">
        <v>151</v>
      </c>
      <c r="D85" s="107" t="s">
        <v>147</v>
      </c>
      <c r="E85" s="107"/>
      <c r="F85" s="56"/>
      <c r="G85" s="56"/>
      <c r="H85" s="56"/>
      <c r="I85" s="56"/>
      <c r="J85" s="56"/>
      <c r="K85" s="56"/>
      <c r="L85" s="56"/>
      <c r="M85" s="56"/>
      <c r="N85" s="56"/>
      <c r="O85" s="56"/>
      <c r="P85" s="56"/>
      <c r="Q85" s="56"/>
      <c r="R85" s="56"/>
      <c r="S85" s="56"/>
      <c r="T85" s="56"/>
      <c r="U85" s="56"/>
      <c r="V85" s="56"/>
      <c r="W85" s="56"/>
    </row>
    <row r="86">
      <c r="A86" s="105"/>
      <c r="B86" s="105" t="s">
        <v>260</v>
      </c>
      <c r="C86" s="106" t="s">
        <v>151</v>
      </c>
      <c r="D86" s="107" t="s">
        <v>147</v>
      </c>
      <c r="E86" s="107"/>
      <c r="F86" s="56"/>
      <c r="G86" s="56"/>
      <c r="H86" s="56"/>
      <c r="I86" s="56"/>
      <c r="J86" s="56"/>
      <c r="K86" s="56"/>
      <c r="L86" s="56"/>
      <c r="M86" s="56"/>
      <c r="N86" s="56"/>
      <c r="O86" s="56"/>
      <c r="P86" s="56"/>
      <c r="Q86" s="56"/>
      <c r="R86" s="56"/>
      <c r="S86" s="56"/>
      <c r="T86" s="56"/>
      <c r="U86" s="56"/>
      <c r="V86" s="56"/>
      <c r="W86" s="56"/>
    </row>
    <row r="87">
      <c r="A87" s="105"/>
      <c r="B87" s="115" t="s">
        <v>261</v>
      </c>
      <c r="C87" s="106" t="s">
        <v>151</v>
      </c>
      <c r="D87" s="107" t="s">
        <v>147</v>
      </c>
      <c r="E87" s="107"/>
      <c r="F87" s="56"/>
      <c r="G87" s="56"/>
      <c r="H87" s="56"/>
      <c r="I87" s="56"/>
      <c r="J87" s="56"/>
      <c r="K87" s="56"/>
      <c r="L87" s="56"/>
      <c r="M87" s="56"/>
      <c r="N87" s="56"/>
      <c r="O87" s="56"/>
      <c r="P87" s="56"/>
      <c r="Q87" s="56"/>
      <c r="R87" s="56"/>
      <c r="S87" s="56"/>
      <c r="T87" s="56"/>
      <c r="U87" s="56"/>
      <c r="V87" s="56"/>
      <c r="W87" s="56"/>
    </row>
    <row r="88">
      <c r="A88" s="111" t="s">
        <v>262</v>
      </c>
      <c r="B88" s="111" t="s">
        <v>263</v>
      </c>
      <c r="C88" s="106" t="s">
        <v>151</v>
      </c>
      <c r="D88" s="107" t="s">
        <v>147</v>
      </c>
      <c r="E88" s="107"/>
      <c r="F88" s="56"/>
      <c r="G88" s="56"/>
      <c r="H88" s="56"/>
      <c r="I88" s="56"/>
      <c r="J88" s="56"/>
      <c r="K88" s="56"/>
      <c r="L88" s="56"/>
      <c r="M88" s="56"/>
      <c r="N88" s="56"/>
      <c r="O88" s="56"/>
      <c r="P88" s="56"/>
      <c r="Q88" s="56"/>
      <c r="R88" s="56"/>
      <c r="S88" s="56"/>
      <c r="T88" s="56"/>
      <c r="U88" s="56"/>
      <c r="V88" s="56"/>
      <c r="W88" s="56"/>
    </row>
    <row r="89">
      <c r="A89" s="111" t="s">
        <v>264</v>
      </c>
      <c r="B89" s="105" t="s">
        <v>265</v>
      </c>
      <c r="C89" s="106" t="s">
        <v>151</v>
      </c>
      <c r="D89" s="107" t="s">
        <v>147</v>
      </c>
      <c r="E89" s="107"/>
      <c r="F89" s="56"/>
      <c r="G89" s="56"/>
      <c r="H89" s="56"/>
      <c r="I89" s="56"/>
      <c r="J89" s="56"/>
      <c r="K89" s="56"/>
      <c r="L89" s="56"/>
      <c r="M89" s="56"/>
      <c r="N89" s="56"/>
      <c r="O89" s="56"/>
      <c r="P89" s="56"/>
      <c r="Q89" s="56"/>
      <c r="R89" s="56"/>
      <c r="S89" s="56"/>
      <c r="T89" s="56"/>
      <c r="U89" s="56"/>
      <c r="V89" s="56"/>
      <c r="W89" s="56"/>
    </row>
    <row r="90">
      <c r="A90" s="111" t="s">
        <v>266</v>
      </c>
      <c r="B90" s="105" t="s">
        <v>267</v>
      </c>
      <c r="C90" s="106" t="s">
        <v>151</v>
      </c>
      <c r="D90" s="107" t="s">
        <v>147</v>
      </c>
      <c r="E90" s="107"/>
      <c r="F90" s="56"/>
      <c r="G90" s="56"/>
      <c r="H90" s="56"/>
      <c r="I90" s="56"/>
      <c r="J90" s="56"/>
      <c r="K90" s="56"/>
      <c r="L90" s="56"/>
      <c r="M90" s="56"/>
      <c r="N90" s="56"/>
      <c r="O90" s="56"/>
      <c r="P90" s="56"/>
      <c r="Q90" s="56"/>
      <c r="R90" s="56"/>
      <c r="S90" s="56"/>
      <c r="T90" s="56"/>
      <c r="U90" s="56"/>
      <c r="V90" s="56"/>
      <c r="W90" s="56"/>
    </row>
    <row r="91">
      <c r="A91" s="116"/>
      <c r="B91" s="117"/>
      <c r="C91" s="118"/>
      <c r="D91" s="118"/>
      <c r="E91" s="118"/>
      <c r="F91" s="119"/>
      <c r="G91" s="56"/>
      <c r="H91" s="56"/>
      <c r="I91" s="56"/>
      <c r="J91" s="56"/>
      <c r="K91" s="56"/>
      <c r="L91" s="56"/>
      <c r="M91" s="56"/>
      <c r="N91" s="56"/>
      <c r="O91" s="56"/>
      <c r="P91" s="56"/>
      <c r="Q91" s="56"/>
      <c r="R91" s="56"/>
      <c r="S91" s="56"/>
      <c r="T91" s="56"/>
      <c r="U91" s="56"/>
      <c r="V91" s="56"/>
      <c r="W91" s="56"/>
    </row>
    <row r="92">
      <c r="A92" s="116"/>
      <c r="B92" s="117"/>
      <c r="C92" s="118"/>
      <c r="D92" s="118"/>
      <c r="E92" s="118"/>
      <c r="F92" s="119"/>
      <c r="G92" s="56"/>
      <c r="H92" s="56"/>
      <c r="I92" s="56"/>
      <c r="J92" s="56"/>
      <c r="K92" s="56"/>
      <c r="L92" s="56"/>
      <c r="M92" s="56"/>
      <c r="N92" s="56"/>
      <c r="O92" s="56"/>
      <c r="P92" s="56"/>
      <c r="Q92" s="56"/>
      <c r="R92" s="56"/>
      <c r="S92" s="56"/>
      <c r="T92" s="56"/>
      <c r="U92" s="56"/>
      <c r="V92" s="56"/>
      <c r="W92" s="56"/>
    </row>
    <row r="93">
      <c r="A93" s="116"/>
      <c r="B93" s="117"/>
      <c r="C93" s="118"/>
      <c r="D93" s="118"/>
      <c r="E93" s="118"/>
      <c r="F93" s="119"/>
      <c r="G93" s="56"/>
      <c r="H93" s="56"/>
      <c r="I93" s="56"/>
      <c r="J93" s="56"/>
      <c r="K93" s="56"/>
      <c r="L93" s="56"/>
      <c r="M93" s="56"/>
      <c r="N93" s="56"/>
      <c r="O93" s="56"/>
      <c r="P93" s="56"/>
      <c r="Q93" s="56"/>
      <c r="R93" s="56"/>
      <c r="S93" s="56"/>
      <c r="T93" s="56"/>
      <c r="U93" s="56"/>
      <c r="V93" s="56"/>
      <c r="W93" s="56"/>
    </row>
    <row r="94">
      <c r="A94" s="116"/>
      <c r="B94" s="117"/>
      <c r="C94" s="118"/>
      <c r="D94" s="118"/>
      <c r="E94" s="118"/>
      <c r="F94" s="119"/>
      <c r="G94" s="56"/>
      <c r="H94" s="56"/>
      <c r="I94" s="56"/>
      <c r="J94" s="56"/>
      <c r="K94" s="56"/>
      <c r="L94" s="56"/>
      <c r="M94" s="56"/>
      <c r="N94" s="56"/>
      <c r="O94" s="56"/>
      <c r="P94" s="56"/>
      <c r="Q94" s="56"/>
      <c r="R94" s="56"/>
      <c r="S94" s="56"/>
      <c r="T94" s="56"/>
      <c r="U94" s="56"/>
      <c r="V94" s="56"/>
      <c r="W94" s="56"/>
    </row>
    <row r="95">
      <c r="A95" s="116"/>
      <c r="B95" s="117"/>
      <c r="C95" s="118"/>
      <c r="D95" s="118"/>
      <c r="E95" s="118"/>
      <c r="F95" s="119"/>
      <c r="G95" s="56"/>
      <c r="H95" s="56"/>
      <c r="I95" s="56"/>
      <c r="J95" s="56"/>
      <c r="K95" s="56"/>
      <c r="L95" s="56"/>
      <c r="M95" s="56"/>
      <c r="N95" s="56"/>
      <c r="O95" s="56"/>
      <c r="P95" s="56"/>
      <c r="Q95" s="56"/>
      <c r="R95" s="56"/>
      <c r="S95" s="56"/>
      <c r="T95" s="56"/>
      <c r="U95" s="56"/>
      <c r="V95" s="56"/>
      <c r="W95" s="56"/>
    </row>
    <row r="96">
      <c r="A96" s="116"/>
      <c r="B96" s="120"/>
      <c r="C96" s="118"/>
      <c r="D96" s="118"/>
      <c r="E96" s="118"/>
      <c r="F96" s="119"/>
      <c r="G96" s="56"/>
      <c r="H96" s="56"/>
      <c r="I96" s="56"/>
      <c r="J96" s="56"/>
      <c r="K96" s="56"/>
      <c r="L96" s="56"/>
      <c r="M96" s="56"/>
      <c r="N96" s="56"/>
      <c r="O96" s="56"/>
      <c r="P96" s="56"/>
      <c r="Q96" s="56"/>
      <c r="R96" s="56"/>
      <c r="S96" s="56"/>
      <c r="T96" s="56"/>
      <c r="U96" s="56"/>
      <c r="V96" s="56"/>
      <c r="W96" s="56"/>
    </row>
    <row r="97">
      <c r="A97" s="116"/>
      <c r="B97" s="117"/>
      <c r="C97" s="118"/>
      <c r="D97" s="118"/>
      <c r="E97" s="118"/>
      <c r="F97" s="119"/>
      <c r="G97" s="56"/>
      <c r="H97" s="56"/>
      <c r="I97" s="56"/>
      <c r="J97" s="56"/>
      <c r="K97" s="56"/>
      <c r="L97" s="56"/>
      <c r="M97" s="56"/>
      <c r="N97" s="56"/>
      <c r="O97" s="56"/>
      <c r="P97" s="56"/>
      <c r="Q97" s="56"/>
      <c r="R97" s="56"/>
      <c r="S97" s="56"/>
      <c r="T97" s="56"/>
      <c r="U97" s="56"/>
      <c r="V97" s="56"/>
      <c r="W97" s="56"/>
    </row>
    <row r="98">
      <c r="A98" s="116"/>
      <c r="B98" s="117"/>
      <c r="C98" s="118"/>
      <c r="D98" s="118"/>
      <c r="E98" s="118"/>
      <c r="F98" s="119"/>
      <c r="G98" s="56"/>
      <c r="H98" s="56"/>
      <c r="I98" s="56"/>
      <c r="J98" s="56"/>
      <c r="K98" s="56"/>
      <c r="L98" s="56"/>
      <c r="M98" s="56"/>
      <c r="N98" s="56"/>
      <c r="O98" s="56"/>
      <c r="P98" s="56"/>
      <c r="Q98" s="56"/>
      <c r="R98" s="56"/>
      <c r="S98" s="56"/>
      <c r="T98" s="56"/>
      <c r="U98" s="56"/>
      <c r="V98" s="56"/>
      <c r="W98" s="56"/>
    </row>
    <row r="99">
      <c r="A99" s="116"/>
      <c r="B99" s="117"/>
      <c r="C99" s="118"/>
      <c r="D99" s="118"/>
      <c r="E99" s="118"/>
      <c r="F99" s="119"/>
      <c r="G99" s="56"/>
      <c r="H99" s="56"/>
      <c r="I99" s="56"/>
      <c r="J99" s="56"/>
      <c r="K99" s="56"/>
      <c r="L99" s="56"/>
      <c r="M99" s="56"/>
      <c r="N99" s="56"/>
      <c r="O99" s="56"/>
      <c r="P99" s="56"/>
      <c r="Q99" s="56"/>
      <c r="R99" s="56"/>
      <c r="S99" s="56"/>
      <c r="T99" s="56"/>
      <c r="U99" s="56"/>
      <c r="V99" s="56"/>
      <c r="W99" s="56"/>
    </row>
    <row r="100">
      <c r="A100" s="116"/>
      <c r="B100" s="117"/>
      <c r="C100" s="118"/>
      <c r="D100" s="118"/>
      <c r="E100" s="118"/>
      <c r="F100" s="119"/>
      <c r="G100" s="56"/>
      <c r="H100" s="56"/>
      <c r="I100" s="56"/>
      <c r="J100" s="56"/>
      <c r="K100" s="56"/>
      <c r="L100" s="56"/>
      <c r="M100" s="56"/>
      <c r="N100" s="56"/>
      <c r="O100" s="56"/>
      <c r="P100" s="56"/>
      <c r="Q100" s="56"/>
      <c r="R100" s="56"/>
      <c r="S100" s="56"/>
      <c r="T100" s="56"/>
      <c r="U100" s="56"/>
      <c r="V100" s="56"/>
      <c r="W100" s="56"/>
    </row>
    <row r="101">
      <c r="A101" s="116"/>
      <c r="B101" s="119"/>
      <c r="C101" s="118"/>
      <c r="D101" s="118"/>
      <c r="E101" s="118"/>
      <c r="F101" s="119"/>
      <c r="G101" s="56"/>
      <c r="H101" s="56"/>
      <c r="I101" s="56"/>
      <c r="J101" s="56"/>
      <c r="K101" s="56"/>
      <c r="L101" s="56"/>
      <c r="M101" s="56"/>
      <c r="N101" s="56"/>
      <c r="O101" s="56"/>
      <c r="P101" s="56"/>
      <c r="Q101" s="56"/>
      <c r="R101" s="56"/>
      <c r="S101" s="56"/>
      <c r="T101" s="56"/>
      <c r="U101" s="56"/>
      <c r="V101" s="56"/>
      <c r="W101" s="56"/>
    </row>
    <row r="102">
      <c r="A102" s="121"/>
      <c r="B102" s="119"/>
      <c r="C102" s="118"/>
      <c r="D102" s="118"/>
      <c r="E102" s="118"/>
      <c r="F102" s="119"/>
      <c r="G102" s="56"/>
      <c r="H102" s="56"/>
      <c r="I102" s="56"/>
      <c r="J102" s="56"/>
      <c r="K102" s="56"/>
      <c r="L102" s="56"/>
      <c r="M102" s="56"/>
      <c r="N102" s="56"/>
      <c r="O102" s="56"/>
      <c r="P102" s="56"/>
      <c r="Q102" s="56"/>
      <c r="R102" s="56"/>
      <c r="S102" s="56"/>
      <c r="T102" s="56"/>
      <c r="U102" s="56"/>
      <c r="V102" s="56"/>
      <c r="W102" s="56"/>
    </row>
    <row r="103">
      <c r="A103" s="121"/>
      <c r="B103" s="119"/>
      <c r="C103" s="118"/>
      <c r="D103" s="118"/>
      <c r="E103" s="118"/>
      <c r="F103" s="119"/>
      <c r="G103" s="56"/>
      <c r="H103" s="56"/>
      <c r="I103" s="56"/>
      <c r="J103" s="56"/>
      <c r="K103" s="56"/>
      <c r="L103" s="56"/>
      <c r="M103" s="56"/>
      <c r="N103" s="56"/>
      <c r="O103" s="56"/>
      <c r="P103" s="56"/>
      <c r="Q103" s="56"/>
      <c r="R103" s="56"/>
      <c r="S103" s="56"/>
      <c r="T103" s="56"/>
      <c r="U103" s="56"/>
      <c r="V103" s="56"/>
      <c r="W103" s="56"/>
    </row>
    <row r="104">
      <c r="A104" s="122"/>
      <c r="B104" s="123"/>
      <c r="C104" s="118"/>
      <c r="D104" s="118"/>
      <c r="E104" s="118"/>
      <c r="F104" s="119"/>
      <c r="G104" s="56"/>
      <c r="H104" s="56"/>
      <c r="I104" s="56"/>
      <c r="J104" s="56"/>
      <c r="K104" s="56"/>
      <c r="L104" s="56"/>
      <c r="M104" s="56"/>
      <c r="N104" s="56"/>
      <c r="O104" s="56"/>
      <c r="P104" s="56"/>
      <c r="Q104" s="56"/>
      <c r="R104" s="56"/>
      <c r="S104" s="56"/>
      <c r="T104" s="56"/>
      <c r="U104" s="56"/>
      <c r="V104" s="56"/>
      <c r="W104" s="56"/>
    </row>
    <row r="105">
      <c r="A105" s="122"/>
      <c r="B105" s="78"/>
      <c r="C105" s="118"/>
      <c r="D105" s="118"/>
      <c r="E105" s="118"/>
      <c r="F105" s="56"/>
      <c r="G105" s="56"/>
      <c r="H105" s="56"/>
      <c r="I105" s="56"/>
      <c r="J105" s="56"/>
      <c r="K105" s="56"/>
      <c r="L105" s="56"/>
      <c r="M105" s="56"/>
      <c r="N105" s="56"/>
      <c r="O105" s="56"/>
      <c r="P105" s="56"/>
      <c r="Q105" s="56"/>
      <c r="R105" s="56"/>
      <c r="S105" s="56"/>
      <c r="T105" s="56"/>
      <c r="U105" s="56"/>
      <c r="V105" s="56"/>
      <c r="W105" s="56"/>
    </row>
    <row r="106">
      <c r="A106" s="121"/>
      <c r="B106" s="56"/>
      <c r="C106" s="118"/>
      <c r="D106" s="118"/>
      <c r="E106" s="118"/>
      <c r="F106" s="56"/>
      <c r="G106" s="56"/>
      <c r="H106" s="56"/>
      <c r="I106" s="56"/>
      <c r="J106" s="56"/>
      <c r="K106" s="56"/>
      <c r="L106" s="56"/>
      <c r="M106" s="56"/>
      <c r="N106" s="56"/>
      <c r="O106" s="56"/>
      <c r="P106" s="56"/>
      <c r="Q106" s="56"/>
      <c r="R106" s="56"/>
      <c r="S106" s="56"/>
      <c r="T106" s="56"/>
      <c r="U106" s="56"/>
      <c r="V106" s="56"/>
      <c r="W106" s="56"/>
    </row>
    <row r="107">
      <c r="A107" s="121"/>
      <c r="B107" s="56"/>
      <c r="C107" s="118"/>
      <c r="D107" s="118"/>
      <c r="E107" s="118"/>
      <c r="F107" s="56"/>
      <c r="G107" s="56"/>
      <c r="H107" s="56"/>
      <c r="I107" s="56"/>
      <c r="J107" s="56"/>
      <c r="K107" s="56"/>
      <c r="L107" s="56"/>
      <c r="M107" s="56"/>
      <c r="N107" s="56"/>
      <c r="O107" s="56"/>
      <c r="P107" s="56"/>
      <c r="Q107" s="56"/>
      <c r="R107" s="56"/>
      <c r="S107" s="56"/>
      <c r="T107" s="56"/>
      <c r="U107" s="56"/>
      <c r="V107" s="56"/>
      <c r="W107" s="56"/>
    </row>
    <row r="108">
      <c r="A108" s="121"/>
      <c r="B108" s="56"/>
      <c r="C108" s="118"/>
      <c r="D108" s="118"/>
      <c r="E108" s="118"/>
      <c r="F108" s="56"/>
      <c r="G108" s="56"/>
      <c r="H108" s="56"/>
      <c r="I108" s="56"/>
      <c r="J108" s="56"/>
      <c r="K108" s="56"/>
      <c r="L108" s="56"/>
      <c r="M108" s="56"/>
      <c r="N108" s="56"/>
      <c r="O108" s="56"/>
      <c r="P108" s="56"/>
      <c r="Q108" s="56"/>
      <c r="R108" s="56"/>
      <c r="S108" s="56"/>
      <c r="T108" s="56"/>
      <c r="U108" s="56"/>
      <c r="V108" s="56"/>
      <c r="W108" s="56"/>
    </row>
    <row r="109">
      <c r="A109" s="121"/>
      <c r="B109" s="56"/>
      <c r="C109" s="118"/>
      <c r="D109" s="118"/>
      <c r="E109" s="118"/>
      <c r="F109" s="56"/>
      <c r="G109" s="56"/>
      <c r="H109" s="56"/>
      <c r="I109" s="56"/>
      <c r="J109" s="56"/>
      <c r="K109" s="56"/>
      <c r="L109" s="56"/>
      <c r="M109" s="56"/>
      <c r="N109" s="56"/>
      <c r="O109" s="56"/>
      <c r="P109" s="56"/>
      <c r="Q109" s="56"/>
      <c r="R109" s="56"/>
      <c r="S109" s="56"/>
      <c r="T109" s="56"/>
      <c r="U109" s="56"/>
      <c r="V109" s="56"/>
      <c r="W109" s="56"/>
    </row>
    <row r="110">
      <c r="A110" s="121"/>
      <c r="B110" s="56"/>
      <c r="C110" s="118"/>
      <c r="D110" s="118"/>
      <c r="E110" s="118"/>
      <c r="F110" s="56"/>
      <c r="G110" s="56"/>
      <c r="H110" s="56"/>
      <c r="I110" s="56"/>
      <c r="J110" s="56"/>
      <c r="K110" s="56"/>
      <c r="L110" s="56"/>
      <c r="M110" s="56"/>
      <c r="N110" s="56"/>
      <c r="O110" s="56"/>
      <c r="P110" s="56"/>
      <c r="Q110" s="56"/>
      <c r="R110" s="56"/>
      <c r="S110" s="56"/>
      <c r="T110" s="56"/>
      <c r="U110" s="56"/>
      <c r="V110" s="56"/>
      <c r="W110" s="56"/>
    </row>
    <row r="111">
      <c r="A111" s="121"/>
      <c r="B111" s="56"/>
      <c r="C111" s="118"/>
      <c r="D111" s="118"/>
      <c r="E111" s="118"/>
      <c r="F111" s="56"/>
      <c r="G111" s="56"/>
      <c r="H111" s="56"/>
      <c r="I111" s="56"/>
      <c r="J111" s="56"/>
      <c r="K111" s="56"/>
      <c r="L111" s="56"/>
      <c r="M111" s="56"/>
      <c r="N111" s="56"/>
      <c r="O111" s="56"/>
      <c r="P111" s="56"/>
      <c r="Q111" s="56"/>
      <c r="R111" s="56"/>
      <c r="S111" s="56"/>
      <c r="T111" s="56"/>
      <c r="U111" s="56"/>
      <c r="V111" s="56"/>
      <c r="W111" s="56"/>
    </row>
    <row r="112">
      <c r="A112" s="121"/>
      <c r="B112" s="56"/>
      <c r="C112" s="118"/>
      <c r="D112" s="118"/>
      <c r="E112" s="118"/>
      <c r="F112" s="56"/>
      <c r="G112" s="56"/>
      <c r="H112" s="56"/>
      <c r="I112" s="56"/>
      <c r="J112" s="56"/>
      <c r="K112" s="56"/>
      <c r="L112" s="56"/>
      <c r="M112" s="56"/>
      <c r="N112" s="56"/>
      <c r="O112" s="56"/>
      <c r="P112" s="56"/>
      <c r="Q112" s="56"/>
      <c r="R112" s="56"/>
      <c r="S112" s="56"/>
      <c r="T112" s="56"/>
      <c r="U112" s="56"/>
      <c r="V112" s="56"/>
      <c r="W112" s="56"/>
    </row>
    <row r="113">
      <c r="A113" s="121"/>
      <c r="B113" s="56"/>
      <c r="C113" s="118"/>
      <c r="D113" s="118"/>
      <c r="E113" s="118"/>
      <c r="F113" s="56"/>
      <c r="G113" s="56"/>
      <c r="H113" s="56"/>
      <c r="I113" s="56"/>
      <c r="J113" s="56"/>
      <c r="K113" s="56"/>
      <c r="L113" s="56"/>
      <c r="M113" s="56"/>
      <c r="N113" s="56"/>
      <c r="O113" s="56"/>
      <c r="P113" s="56"/>
      <c r="Q113" s="56"/>
      <c r="R113" s="56"/>
      <c r="S113" s="56"/>
      <c r="T113" s="56"/>
      <c r="U113" s="56"/>
      <c r="V113" s="56"/>
      <c r="W113" s="56"/>
    </row>
    <row r="114">
      <c r="A114" s="121"/>
      <c r="B114" s="56"/>
      <c r="C114" s="118"/>
      <c r="D114" s="118"/>
      <c r="E114" s="118"/>
      <c r="F114" s="56"/>
      <c r="G114" s="56"/>
      <c r="H114" s="56"/>
      <c r="I114" s="56"/>
      <c r="J114" s="56"/>
      <c r="K114" s="56"/>
      <c r="L114" s="56"/>
      <c r="M114" s="56"/>
      <c r="N114" s="56"/>
      <c r="O114" s="56"/>
      <c r="P114" s="56"/>
      <c r="Q114" s="56"/>
      <c r="R114" s="56"/>
      <c r="S114" s="56"/>
      <c r="T114" s="56"/>
      <c r="U114" s="56"/>
      <c r="V114" s="56"/>
      <c r="W114" s="56"/>
    </row>
    <row r="115">
      <c r="A115" s="121"/>
      <c r="B115" s="56"/>
      <c r="C115" s="118"/>
      <c r="D115" s="118"/>
      <c r="E115" s="118"/>
      <c r="F115" s="56"/>
      <c r="G115" s="56"/>
      <c r="H115" s="56"/>
      <c r="I115" s="56"/>
      <c r="J115" s="56"/>
      <c r="K115" s="56"/>
      <c r="L115" s="56"/>
      <c r="M115" s="56"/>
      <c r="N115" s="56"/>
      <c r="O115" s="56"/>
      <c r="P115" s="56"/>
      <c r="Q115" s="56"/>
      <c r="R115" s="56"/>
      <c r="S115" s="56"/>
      <c r="T115" s="56"/>
      <c r="U115" s="56"/>
      <c r="V115" s="56"/>
      <c r="W115" s="56"/>
    </row>
    <row r="116">
      <c r="A116" s="121"/>
      <c r="B116" s="56"/>
      <c r="C116" s="118"/>
      <c r="D116" s="118"/>
      <c r="E116" s="118"/>
      <c r="F116" s="56"/>
      <c r="G116" s="56"/>
      <c r="H116" s="56"/>
      <c r="I116" s="56"/>
      <c r="J116" s="56"/>
      <c r="K116" s="56"/>
      <c r="L116" s="56"/>
      <c r="M116" s="56"/>
      <c r="N116" s="56"/>
      <c r="O116" s="56"/>
      <c r="P116" s="56"/>
      <c r="Q116" s="56"/>
      <c r="R116" s="56"/>
      <c r="S116" s="56"/>
      <c r="T116" s="56"/>
      <c r="U116" s="56"/>
      <c r="V116" s="56"/>
      <c r="W116" s="56"/>
    </row>
    <row r="117">
      <c r="A117" s="121"/>
      <c r="B117" s="56"/>
      <c r="C117" s="118"/>
      <c r="D117" s="118"/>
      <c r="E117" s="118"/>
      <c r="F117" s="56"/>
      <c r="G117" s="56"/>
      <c r="H117" s="56"/>
      <c r="I117" s="56"/>
      <c r="J117" s="56"/>
      <c r="K117" s="56"/>
      <c r="L117" s="56"/>
      <c r="M117" s="56"/>
      <c r="N117" s="56"/>
      <c r="O117" s="56"/>
      <c r="P117" s="56"/>
      <c r="Q117" s="56"/>
      <c r="R117" s="56"/>
      <c r="S117" s="56"/>
      <c r="T117" s="56"/>
      <c r="U117" s="56"/>
      <c r="V117" s="56"/>
      <c r="W117" s="56"/>
    </row>
    <row r="118">
      <c r="A118" s="121"/>
      <c r="B118" s="56"/>
      <c r="C118" s="118"/>
      <c r="D118" s="118"/>
      <c r="E118" s="118"/>
      <c r="F118" s="56"/>
      <c r="G118" s="56"/>
      <c r="H118" s="56"/>
      <c r="I118" s="56"/>
      <c r="J118" s="56"/>
      <c r="K118" s="56"/>
      <c r="L118" s="56"/>
      <c r="M118" s="56"/>
      <c r="N118" s="56"/>
      <c r="O118" s="56"/>
      <c r="P118" s="56"/>
      <c r="Q118" s="56"/>
      <c r="R118" s="56"/>
      <c r="S118" s="56"/>
      <c r="T118" s="56"/>
      <c r="U118" s="56"/>
      <c r="V118" s="56"/>
      <c r="W118" s="56"/>
    </row>
    <row r="119">
      <c r="A119" s="121"/>
      <c r="B119" s="56"/>
      <c r="C119" s="118"/>
      <c r="D119" s="118"/>
      <c r="E119" s="118"/>
      <c r="F119" s="56"/>
      <c r="G119" s="56"/>
      <c r="H119" s="56"/>
      <c r="I119" s="56"/>
      <c r="J119" s="56"/>
      <c r="K119" s="56"/>
      <c r="L119" s="56"/>
      <c r="M119" s="56"/>
      <c r="N119" s="56"/>
      <c r="O119" s="56"/>
      <c r="P119" s="56"/>
      <c r="Q119" s="56"/>
      <c r="R119" s="56"/>
      <c r="S119" s="56"/>
      <c r="T119" s="56"/>
      <c r="U119" s="56"/>
      <c r="V119" s="56"/>
      <c r="W119" s="56"/>
    </row>
    <row r="120">
      <c r="A120" s="121"/>
      <c r="B120" s="56"/>
      <c r="C120" s="118"/>
      <c r="D120" s="118"/>
      <c r="E120" s="118"/>
      <c r="F120" s="56"/>
      <c r="G120" s="56"/>
      <c r="H120" s="56"/>
      <c r="I120" s="56"/>
      <c r="J120" s="56"/>
      <c r="K120" s="56"/>
      <c r="L120" s="56"/>
      <c r="M120" s="56"/>
      <c r="N120" s="56"/>
      <c r="O120" s="56"/>
      <c r="P120" s="56"/>
      <c r="Q120" s="56"/>
      <c r="R120" s="56"/>
      <c r="S120" s="56"/>
      <c r="T120" s="56"/>
      <c r="U120" s="56"/>
      <c r="V120" s="56"/>
      <c r="W120" s="56"/>
    </row>
    <row r="121">
      <c r="A121" s="121"/>
      <c r="B121" s="56"/>
      <c r="C121" s="118"/>
      <c r="D121" s="118"/>
      <c r="E121" s="118"/>
      <c r="F121" s="56"/>
      <c r="G121" s="56"/>
      <c r="H121" s="56"/>
      <c r="I121" s="56"/>
      <c r="J121" s="56"/>
      <c r="K121" s="56"/>
      <c r="L121" s="56"/>
      <c r="M121" s="56"/>
      <c r="N121" s="56"/>
      <c r="O121" s="56"/>
      <c r="P121" s="56"/>
      <c r="Q121" s="56"/>
      <c r="R121" s="56"/>
      <c r="S121" s="56"/>
      <c r="T121" s="56"/>
      <c r="U121" s="56"/>
      <c r="V121" s="56"/>
      <c r="W121" s="56"/>
    </row>
    <row r="122">
      <c r="A122" s="121"/>
      <c r="B122" s="56"/>
      <c r="C122" s="118"/>
      <c r="D122" s="118"/>
      <c r="E122" s="118"/>
      <c r="F122" s="56"/>
      <c r="G122" s="56"/>
      <c r="H122" s="56"/>
      <c r="I122" s="56"/>
      <c r="J122" s="56"/>
      <c r="K122" s="56"/>
      <c r="L122" s="56"/>
      <c r="M122" s="56"/>
      <c r="N122" s="56"/>
      <c r="O122" s="56"/>
      <c r="P122" s="56"/>
      <c r="Q122" s="56"/>
      <c r="R122" s="56"/>
      <c r="S122" s="56"/>
      <c r="T122" s="56"/>
      <c r="U122" s="56"/>
      <c r="V122" s="56"/>
      <c r="W122" s="56"/>
    </row>
    <row r="123">
      <c r="A123" s="121"/>
      <c r="B123" s="56"/>
      <c r="C123" s="118"/>
      <c r="D123" s="118"/>
      <c r="E123" s="118"/>
      <c r="F123" s="56"/>
      <c r="G123" s="56"/>
      <c r="H123" s="56"/>
      <c r="I123" s="56"/>
      <c r="J123" s="56"/>
      <c r="K123" s="56"/>
      <c r="L123" s="56"/>
      <c r="M123" s="56"/>
      <c r="N123" s="56"/>
      <c r="O123" s="56"/>
      <c r="P123" s="56"/>
      <c r="Q123" s="56"/>
      <c r="R123" s="56"/>
      <c r="S123" s="56"/>
      <c r="T123" s="56"/>
      <c r="U123" s="56"/>
      <c r="V123" s="56"/>
      <c r="W123" s="56"/>
    </row>
    <row r="124">
      <c r="A124" s="121"/>
      <c r="B124" s="56"/>
      <c r="C124" s="118"/>
      <c r="D124" s="118"/>
      <c r="E124" s="118"/>
      <c r="F124" s="56"/>
      <c r="G124" s="56"/>
      <c r="H124" s="56"/>
      <c r="I124" s="56"/>
      <c r="J124" s="56"/>
      <c r="K124" s="56"/>
      <c r="L124" s="56"/>
      <c r="M124" s="56"/>
      <c r="N124" s="56"/>
      <c r="O124" s="56"/>
      <c r="P124" s="56"/>
      <c r="Q124" s="56"/>
      <c r="R124" s="56"/>
      <c r="S124" s="56"/>
      <c r="T124" s="56"/>
      <c r="U124" s="56"/>
      <c r="V124" s="56"/>
      <c r="W124" s="56"/>
    </row>
    <row r="125">
      <c r="A125" s="121"/>
      <c r="B125" s="56"/>
      <c r="C125" s="118"/>
      <c r="D125" s="118"/>
      <c r="E125" s="118"/>
      <c r="F125" s="56"/>
      <c r="G125" s="56"/>
      <c r="H125" s="56"/>
      <c r="I125" s="56"/>
      <c r="J125" s="56"/>
      <c r="K125" s="56"/>
      <c r="L125" s="56"/>
      <c r="M125" s="56"/>
      <c r="N125" s="56"/>
      <c r="O125" s="56"/>
      <c r="P125" s="56"/>
      <c r="Q125" s="56"/>
      <c r="R125" s="56"/>
      <c r="S125" s="56"/>
      <c r="T125" s="56"/>
      <c r="U125" s="56"/>
      <c r="V125" s="56"/>
      <c r="W125" s="56"/>
    </row>
    <row r="126">
      <c r="A126" s="121"/>
      <c r="B126" s="56"/>
      <c r="C126" s="118"/>
      <c r="D126" s="118"/>
      <c r="E126" s="118"/>
      <c r="F126" s="56"/>
      <c r="G126" s="56"/>
      <c r="H126" s="56"/>
      <c r="I126" s="56"/>
      <c r="J126" s="56"/>
      <c r="K126" s="56"/>
      <c r="L126" s="56"/>
      <c r="M126" s="56"/>
      <c r="N126" s="56"/>
      <c r="O126" s="56"/>
      <c r="P126" s="56"/>
      <c r="Q126" s="56"/>
      <c r="R126" s="56"/>
      <c r="S126" s="56"/>
      <c r="T126" s="56"/>
      <c r="U126" s="56"/>
      <c r="V126" s="56"/>
      <c r="W126" s="56"/>
    </row>
    <row r="127">
      <c r="A127" s="121"/>
      <c r="B127" s="56"/>
      <c r="C127" s="118"/>
      <c r="D127" s="118"/>
      <c r="E127" s="118"/>
      <c r="F127" s="56"/>
      <c r="G127" s="56"/>
      <c r="H127" s="56"/>
      <c r="I127" s="56"/>
      <c r="J127" s="56"/>
      <c r="K127" s="56"/>
      <c r="L127" s="56"/>
      <c r="M127" s="56"/>
      <c r="N127" s="56"/>
      <c r="O127" s="56"/>
      <c r="P127" s="56"/>
      <c r="Q127" s="56"/>
      <c r="R127" s="56"/>
      <c r="S127" s="56"/>
      <c r="T127" s="56"/>
      <c r="U127" s="56"/>
      <c r="V127" s="56"/>
      <c r="W127" s="56"/>
    </row>
    <row r="128">
      <c r="A128" s="121"/>
      <c r="B128" s="56"/>
      <c r="C128" s="118"/>
      <c r="D128" s="118"/>
      <c r="E128" s="118"/>
      <c r="F128" s="56"/>
      <c r="G128" s="56"/>
      <c r="H128" s="56"/>
      <c r="I128" s="56"/>
      <c r="J128" s="56"/>
      <c r="K128" s="56"/>
      <c r="L128" s="56"/>
      <c r="M128" s="56"/>
      <c r="N128" s="56"/>
      <c r="O128" s="56"/>
      <c r="P128" s="56"/>
      <c r="Q128" s="56"/>
      <c r="R128" s="56"/>
      <c r="S128" s="56"/>
      <c r="T128" s="56"/>
      <c r="U128" s="56"/>
      <c r="V128" s="56"/>
      <c r="W128" s="56"/>
    </row>
    <row r="129">
      <c r="A129" s="121"/>
      <c r="B129" s="56"/>
      <c r="C129" s="118"/>
      <c r="D129" s="118"/>
      <c r="E129" s="118"/>
      <c r="F129" s="56"/>
      <c r="G129" s="56"/>
      <c r="H129" s="56"/>
      <c r="I129" s="56"/>
      <c r="J129" s="56"/>
      <c r="K129" s="56"/>
      <c r="L129" s="56"/>
      <c r="M129" s="56"/>
      <c r="N129" s="56"/>
      <c r="O129" s="56"/>
      <c r="P129" s="56"/>
      <c r="Q129" s="56"/>
      <c r="R129" s="56"/>
      <c r="S129" s="56"/>
      <c r="T129" s="56"/>
      <c r="U129" s="56"/>
      <c r="V129" s="56"/>
      <c r="W129" s="56"/>
    </row>
    <row r="130">
      <c r="A130" s="121"/>
      <c r="B130" s="56"/>
      <c r="C130" s="118"/>
      <c r="D130" s="118"/>
      <c r="E130" s="118"/>
      <c r="F130" s="56"/>
      <c r="G130" s="56"/>
      <c r="H130" s="56"/>
      <c r="I130" s="56"/>
      <c r="J130" s="56"/>
      <c r="K130" s="56"/>
      <c r="L130" s="56"/>
      <c r="M130" s="56"/>
      <c r="N130" s="56"/>
      <c r="O130" s="56"/>
      <c r="P130" s="56"/>
      <c r="Q130" s="56"/>
      <c r="R130" s="56"/>
      <c r="S130" s="56"/>
      <c r="T130" s="56"/>
      <c r="U130" s="56"/>
      <c r="V130" s="56"/>
      <c r="W130" s="56"/>
    </row>
    <row r="131">
      <c r="A131" s="121"/>
      <c r="B131" s="56"/>
      <c r="C131" s="118"/>
      <c r="D131" s="118"/>
      <c r="E131" s="118"/>
      <c r="F131" s="56"/>
      <c r="G131" s="56"/>
      <c r="H131" s="56"/>
      <c r="I131" s="56"/>
      <c r="J131" s="56"/>
      <c r="K131" s="56"/>
      <c r="L131" s="56"/>
      <c r="M131" s="56"/>
      <c r="N131" s="56"/>
      <c r="O131" s="56"/>
      <c r="P131" s="56"/>
      <c r="Q131" s="56"/>
      <c r="R131" s="56"/>
      <c r="S131" s="56"/>
      <c r="T131" s="56"/>
      <c r="U131" s="56"/>
      <c r="V131" s="56"/>
      <c r="W131" s="56"/>
    </row>
    <row r="132">
      <c r="A132" s="121"/>
      <c r="B132" s="56"/>
      <c r="C132" s="118"/>
      <c r="D132" s="118"/>
      <c r="E132" s="118"/>
      <c r="F132" s="56"/>
      <c r="G132" s="56"/>
      <c r="H132" s="56"/>
      <c r="I132" s="56"/>
      <c r="J132" s="56"/>
      <c r="K132" s="56"/>
      <c r="L132" s="56"/>
      <c r="M132" s="56"/>
      <c r="N132" s="56"/>
      <c r="O132" s="56"/>
      <c r="P132" s="56"/>
      <c r="Q132" s="56"/>
      <c r="R132" s="56"/>
      <c r="S132" s="56"/>
      <c r="T132" s="56"/>
      <c r="U132" s="56"/>
      <c r="V132" s="56"/>
      <c r="W132" s="56"/>
    </row>
    <row r="133">
      <c r="A133" s="121"/>
      <c r="B133" s="56"/>
      <c r="C133" s="118"/>
      <c r="D133" s="118"/>
      <c r="E133" s="118"/>
      <c r="F133" s="56"/>
      <c r="G133" s="56"/>
      <c r="H133" s="56"/>
      <c r="I133" s="56"/>
      <c r="J133" s="56"/>
      <c r="K133" s="56"/>
      <c r="L133" s="56"/>
      <c r="M133" s="56"/>
      <c r="N133" s="56"/>
      <c r="O133" s="56"/>
      <c r="P133" s="56"/>
      <c r="Q133" s="56"/>
      <c r="R133" s="56"/>
      <c r="S133" s="56"/>
      <c r="T133" s="56"/>
      <c r="U133" s="56"/>
      <c r="V133" s="56"/>
      <c r="W133" s="56"/>
    </row>
    <row r="134">
      <c r="A134" s="121"/>
      <c r="B134" s="56"/>
      <c r="C134" s="118"/>
      <c r="D134" s="118"/>
      <c r="E134" s="118"/>
      <c r="F134" s="56"/>
      <c r="G134" s="56"/>
      <c r="H134" s="56"/>
      <c r="I134" s="56"/>
      <c r="J134" s="56"/>
      <c r="K134" s="56"/>
      <c r="L134" s="56"/>
      <c r="M134" s="56"/>
      <c r="N134" s="56"/>
      <c r="O134" s="56"/>
      <c r="P134" s="56"/>
      <c r="Q134" s="56"/>
      <c r="R134" s="56"/>
      <c r="S134" s="56"/>
      <c r="T134" s="56"/>
      <c r="U134" s="56"/>
      <c r="V134" s="56"/>
      <c r="W134" s="56"/>
    </row>
    <row r="135">
      <c r="A135" s="121"/>
      <c r="B135" s="56"/>
      <c r="C135" s="118"/>
      <c r="D135" s="118"/>
      <c r="E135" s="118"/>
      <c r="F135" s="56"/>
      <c r="G135" s="56"/>
      <c r="H135" s="56"/>
      <c r="I135" s="56"/>
      <c r="J135" s="56"/>
      <c r="K135" s="56"/>
      <c r="L135" s="56"/>
      <c r="M135" s="56"/>
      <c r="N135" s="56"/>
      <c r="O135" s="56"/>
      <c r="P135" s="56"/>
      <c r="Q135" s="56"/>
      <c r="R135" s="56"/>
      <c r="S135" s="56"/>
      <c r="T135" s="56"/>
      <c r="U135" s="56"/>
      <c r="V135" s="56"/>
      <c r="W135" s="56"/>
    </row>
    <row r="136">
      <c r="A136" s="121"/>
      <c r="B136" s="56"/>
      <c r="C136" s="118"/>
      <c r="D136" s="118"/>
      <c r="E136" s="118"/>
      <c r="F136" s="56"/>
      <c r="G136" s="56"/>
      <c r="H136" s="56"/>
      <c r="I136" s="56"/>
      <c r="J136" s="56"/>
      <c r="K136" s="56"/>
      <c r="L136" s="56"/>
      <c r="M136" s="56"/>
      <c r="N136" s="56"/>
      <c r="O136" s="56"/>
      <c r="P136" s="56"/>
      <c r="Q136" s="56"/>
      <c r="R136" s="56"/>
      <c r="S136" s="56"/>
      <c r="T136" s="56"/>
      <c r="U136" s="56"/>
      <c r="V136" s="56"/>
      <c r="W136" s="56"/>
    </row>
    <row r="137">
      <c r="A137" s="121"/>
      <c r="B137" s="56"/>
      <c r="C137" s="118"/>
      <c r="D137" s="118"/>
      <c r="E137" s="118"/>
      <c r="F137" s="56"/>
      <c r="G137" s="56"/>
      <c r="H137" s="56"/>
      <c r="I137" s="56"/>
      <c r="J137" s="56"/>
      <c r="K137" s="56"/>
      <c r="L137" s="56"/>
      <c r="M137" s="56"/>
      <c r="N137" s="56"/>
      <c r="O137" s="56"/>
      <c r="P137" s="56"/>
      <c r="Q137" s="56"/>
      <c r="R137" s="56"/>
      <c r="S137" s="56"/>
      <c r="T137" s="56"/>
      <c r="U137" s="56"/>
      <c r="V137" s="56"/>
      <c r="W137" s="56"/>
    </row>
    <row r="138">
      <c r="A138" s="121"/>
      <c r="B138" s="56"/>
      <c r="C138" s="118"/>
      <c r="D138" s="118"/>
      <c r="E138" s="118"/>
      <c r="F138" s="56"/>
      <c r="G138" s="56"/>
      <c r="H138" s="56"/>
      <c r="I138" s="56"/>
      <c r="J138" s="56"/>
      <c r="K138" s="56"/>
      <c r="L138" s="56"/>
      <c r="M138" s="56"/>
      <c r="N138" s="56"/>
      <c r="O138" s="56"/>
      <c r="P138" s="56"/>
      <c r="Q138" s="56"/>
      <c r="R138" s="56"/>
      <c r="S138" s="56"/>
      <c r="T138" s="56"/>
      <c r="U138" s="56"/>
      <c r="V138" s="56"/>
      <c r="W138" s="56"/>
    </row>
    <row r="139">
      <c r="A139" s="121"/>
      <c r="B139" s="56"/>
      <c r="C139" s="118"/>
      <c r="D139" s="118"/>
      <c r="E139" s="118"/>
      <c r="F139" s="56"/>
      <c r="G139" s="56"/>
      <c r="H139" s="56"/>
      <c r="I139" s="56"/>
      <c r="J139" s="56"/>
      <c r="K139" s="56"/>
      <c r="L139" s="56"/>
      <c r="M139" s="56"/>
      <c r="N139" s="56"/>
      <c r="O139" s="56"/>
      <c r="P139" s="56"/>
      <c r="Q139" s="56"/>
      <c r="R139" s="56"/>
      <c r="S139" s="56"/>
      <c r="T139" s="56"/>
      <c r="U139" s="56"/>
      <c r="V139" s="56"/>
      <c r="W139" s="56"/>
    </row>
    <row r="140">
      <c r="A140" s="121"/>
      <c r="B140" s="56"/>
      <c r="C140" s="118"/>
      <c r="D140" s="118"/>
      <c r="E140" s="118"/>
      <c r="F140" s="56"/>
      <c r="G140" s="56"/>
      <c r="H140" s="56"/>
      <c r="I140" s="56"/>
      <c r="J140" s="56"/>
      <c r="K140" s="56"/>
      <c r="L140" s="56"/>
      <c r="M140" s="56"/>
      <c r="N140" s="56"/>
      <c r="O140" s="56"/>
      <c r="P140" s="56"/>
      <c r="Q140" s="56"/>
      <c r="R140" s="56"/>
      <c r="S140" s="56"/>
      <c r="T140" s="56"/>
      <c r="U140" s="56"/>
      <c r="V140" s="56"/>
      <c r="W140" s="56"/>
    </row>
    <row r="141">
      <c r="A141" s="121"/>
      <c r="B141" s="56"/>
      <c r="C141" s="118"/>
      <c r="D141" s="118"/>
      <c r="E141" s="118"/>
      <c r="F141" s="56"/>
      <c r="G141" s="56"/>
      <c r="H141" s="56"/>
      <c r="I141" s="56"/>
      <c r="J141" s="56"/>
      <c r="K141" s="56"/>
      <c r="L141" s="56"/>
      <c r="M141" s="56"/>
      <c r="N141" s="56"/>
      <c r="O141" s="56"/>
      <c r="P141" s="56"/>
      <c r="Q141" s="56"/>
      <c r="R141" s="56"/>
      <c r="S141" s="56"/>
      <c r="T141" s="56"/>
      <c r="U141" s="56"/>
      <c r="V141" s="56"/>
      <c r="W141" s="56"/>
    </row>
    <row r="142">
      <c r="A142" s="121"/>
      <c r="B142" s="56"/>
      <c r="C142" s="118"/>
      <c r="D142" s="118"/>
      <c r="E142" s="118"/>
      <c r="F142" s="56"/>
      <c r="G142" s="56"/>
      <c r="H142" s="56"/>
      <c r="I142" s="56"/>
      <c r="J142" s="56"/>
      <c r="K142" s="56"/>
      <c r="L142" s="56"/>
      <c r="M142" s="56"/>
      <c r="N142" s="56"/>
      <c r="O142" s="56"/>
      <c r="P142" s="56"/>
      <c r="Q142" s="56"/>
      <c r="R142" s="56"/>
      <c r="S142" s="56"/>
      <c r="T142" s="56"/>
      <c r="U142" s="56"/>
      <c r="V142" s="56"/>
      <c r="W142" s="56"/>
    </row>
    <row r="143">
      <c r="A143" s="121"/>
      <c r="B143" s="56"/>
      <c r="C143" s="118"/>
      <c r="D143" s="118"/>
      <c r="E143" s="118"/>
      <c r="F143" s="56"/>
      <c r="G143" s="56"/>
      <c r="H143" s="56"/>
      <c r="I143" s="56"/>
      <c r="J143" s="56"/>
      <c r="K143" s="56"/>
      <c r="L143" s="56"/>
      <c r="M143" s="56"/>
      <c r="N143" s="56"/>
      <c r="O143" s="56"/>
      <c r="P143" s="56"/>
      <c r="Q143" s="56"/>
      <c r="R143" s="56"/>
      <c r="S143" s="56"/>
      <c r="T143" s="56"/>
      <c r="U143" s="56"/>
      <c r="V143" s="56"/>
      <c r="W143" s="56"/>
    </row>
    <row r="144">
      <c r="A144" s="121"/>
      <c r="B144" s="56"/>
      <c r="C144" s="118"/>
      <c r="D144" s="118"/>
      <c r="E144" s="118"/>
      <c r="F144" s="56"/>
      <c r="G144" s="56"/>
      <c r="H144" s="56"/>
      <c r="I144" s="56"/>
      <c r="J144" s="56"/>
      <c r="K144" s="56"/>
      <c r="L144" s="56"/>
      <c r="M144" s="56"/>
      <c r="N144" s="56"/>
      <c r="O144" s="56"/>
      <c r="P144" s="56"/>
      <c r="Q144" s="56"/>
      <c r="R144" s="56"/>
      <c r="S144" s="56"/>
      <c r="T144" s="56"/>
      <c r="U144" s="56"/>
      <c r="V144" s="56"/>
      <c r="W144" s="56"/>
    </row>
    <row r="145">
      <c r="A145" s="121"/>
      <c r="B145" s="56"/>
      <c r="C145" s="118"/>
      <c r="D145" s="118"/>
      <c r="E145" s="118"/>
      <c r="F145" s="56"/>
      <c r="G145" s="56"/>
      <c r="H145" s="56"/>
      <c r="I145" s="56"/>
      <c r="J145" s="56"/>
      <c r="K145" s="56"/>
      <c r="L145" s="56"/>
      <c r="M145" s="56"/>
      <c r="N145" s="56"/>
      <c r="O145" s="56"/>
      <c r="P145" s="56"/>
      <c r="Q145" s="56"/>
      <c r="R145" s="56"/>
      <c r="S145" s="56"/>
      <c r="T145" s="56"/>
      <c r="U145" s="56"/>
      <c r="V145" s="56"/>
      <c r="W145" s="56"/>
    </row>
    <row r="146">
      <c r="A146" s="121"/>
      <c r="B146" s="56"/>
      <c r="C146" s="118"/>
      <c r="D146" s="118"/>
      <c r="E146" s="118"/>
      <c r="F146" s="56"/>
      <c r="G146" s="56"/>
      <c r="H146" s="56"/>
      <c r="I146" s="56"/>
      <c r="J146" s="56"/>
      <c r="K146" s="56"/>
      <c r="L146" s="56"/>
      <c r="M146" s="56"/>
      <c r="N146" s="56"/>
      <c r="O146" s="56"/>
      <c r="P146" s="56"/>
      <c r="Q146" s="56"/>
      <c r="R146" s="56"/>
      <c r="S146" s="56"/>
      <c r="T146" s="56"/>
      <c r="U146" s="56"/>
      <c r="V146" s="56"/>
      <c r="W146" s="56"/>
    </row>
    <row r="147">
      <c r="A147" s="121"/>
      <c r="B147" s="56"/>
      <c r="C147" s="118"/>
      <c r="D147" s="118"/>
      <c r="E147" s="118"/>
      <c r="F147" s="56"/>
      <c r="G147" s="56"/>
      <c r="H147" s="56"/>
      <c r="I147" s="56"/>
      <c r="J147" s="56"/>
      <c r="K147" s="56"/>
      <c r="L147" s="56"/>
      <c r="M147" s="56"/>
      <c r="N147" s="56"/>
      <c r="O147" s="56"/>
      <c r="P147" s="56"/>
      <c r="Q147" s="56"/>
      <c r="R147" s="56"/>
      <c r="S147" s="56"/>
      <c r="T147" s="56"/>
      <c r="U147" s="56"/>
      <c r="V147" s="56"/>
      <c r="W147" s="56"/>
    </row>
    <row r="148">
      <c r="A148" s="121"/>
      <c r="B148" s="56"/>
      <c r="C148" s="118"/>
      <c r="D148" s="118"/>
      <c r="E148" s="118"/>
      <c r="F148" s="56"/>
      <c r="G148" s="56"/>
      <c r="H148" s="56"/>
      <c r="I148" s="56"/>
      <c r="J148" s="56"/>
      <c r="K148" s="56"/>
      <c r="L148" s="56"/>
      <c r="M148" s="56"/>
      <c r="N148" s="56"/>
      <c r="O148" s="56"/>
      <c r="P148" s="56"/>
      <c r="Q148" s="56"/>
      <c r="R148" s="56"/>
      <c r="S148" s="56"/>
      <c r="T148" s="56"/>
      <c r="U148" s="56"/>
      <c r="V148" s="56"/>
      <c r="W148" s="56"/>
    </row>
    <row r="149">
      <c r="A149" s="121"/>
      <c r="B149" s="56"/>
      <c r="C149" s="118"/>
      <c r="D149" s="118"/>
      <c r="E149" s="118"/>
      <c r="F149" s="56"/>
      <c r="G149" s="56"/>
      <c r="H149" s="56"/>
      <c r="I149" s="56"/>
      <c r="J149" s="56"/>
      <c r="K149" s="56"/>
      <c r="L149" s="56"/>
      <c r="M149" s="56"/>
      <c r="N149" s="56"/>
      <c r="O149" s="56"/>
      <c r="P149" s="56"/>
      <c r="Q149" s="56"/>
      <c r="R149" s="56"/>
      <c r="S149" s="56"/>
      <c r="T149" s="56"/>
      <c r="U149" s="56"/>
      <c r="V149" s="56"/>
      <c r="W149" s="56"/>
    </row>
    <row r="150">
      <c r="A150" s="121"/>
      <c r="B150" s="56"/>
      <c r="C150" s="118"/>
      <c r="D150" s="118"/>
      <c r="E150" s="118"/>
      <c r="F150" s="56"/>
      <c r="G150" s="56"/>
      <c r="H150" s="56"/>
      <c r="I150" s="56"/>
      <c r="J150" s="56"/>
      <c r="K150" s="56"/>
      <c r="L150" s="56"/>
      <c r="M150" s="56"/>
      <c r="N150" s="56"/>
      <c r="O150" s="56"/>
      <c r="P150" s="56"/>
      <c r="Q150" s="56"/>
      <c r="R150" s="56"/>
      <c r="S150" s="56"/>
      <c r="T150" s="56"/>
      <c r="U150" s="56"/>
      <c r="V150" s="56"/>
      <c r="W150" s="56"/>
    </row>
    <row r="151">
      <c r="A151" s="121"/>
      <c r="B151" s="56"/>
      <c r="C151" s="118"/>
      <c r="D151" s="118"/>
      <c r="E151" s="118"/>
      <c r="F151" s="56"/>
      <c r="G151" s="56"/>
      <c r="H151" s="56"/>
      <c r="I151" s="56"/>
      <c r="J151" s="56"/>
      <c r="K151" s="56"/>
      <c r="L151" s="56"/>
      <c r="M151" s="56"/>
      <c r="N151" s="56"/>
      <c r="O151" s="56"/>
      <c r="P151" s="56"/>
      <c r="Q151" s="56"/>
      <c r="R151" s="56"/>
      <c r="S151" s="56"/>
      <c r="T151" s="56"/>
      <c r="U151" s="56"/>
      <c r="V151" s="56"/>
      <c r="W151" s="56"/>
    </row>
    <row r="152">
      <c r="A152" s="121"/>
      <c r="B152" s="56"/>
      <c r="C152" s="118"/>
      <c r="D152" s="118"/>
      <c r="E152" s="118"/>
      <c r="F152" s="56"/>
      <c r="G152" s="56"/>
      <c r="H152" s="56"/>
      <c r="I152" s="56"/>
      <c r="J152" s="56"/>
      <c r="K152" s="56"/>
      <c r="L152" s="56"/>
      <c r="M152" s="56"/>
      <c r="N152" s="56"/>
      <c r="O152" s="56"/>
      <c r="P152" s="56"/>
      <c r="Q152" s="56"/>
      <c r="R152" s="56"/>
      <c r="S152" s="56"/>
      <c r="T152" s="56"/>
      <c r="U152" s="56"/>
      <c r="V152" s="56"/>
      <c r="W152" s="56"/>
    </row>
    <row r="153">
      <c r="A153" s="121"/>
      <c r="B153" s="56"/>
      <c r="C153" s="118"/>
      <c r="D153" s="118"/>
      <c r="E153" s="118"/>
      <c r="F153" s="56"/>
      <c r="G153" s="56"/>
      <c r="H153" s="56"/>
      <c r="I153" s="56"/>
      <c r="J153" s="56"/>
      <c r="K153" s="56"/>
      <c r="L153" s="56"/>
      <c r="M153" s="56"/>
      <c r="N153" s="56"/>
      <c r="O153" s="56"/>
      <c r="P153" s="56"/>
      <c r="Q153" s="56"/>
      <c r="R153" s="56"/>
      <c r="S153" s="56"/>
      <c r="T153" s="56"/>
      <c r="U153" s="56"/>
      <c r="V153" s="56"/>
      <c r="W153" s="56"/>
    </row>
    <row r="154">
      <c r="A154" s="121"/>
      <c r="B154" s="56"/>
      <c r="C154" s="118"/>
      <c r="D154" s="118"/>
      <c r="E154" s="118"/>
      <c r="F154" s="56"/>
      <c r="G154" s="56"/>
      <c r="H154" s="56"/>
      <c r="I154" s="56"/>
      <c r="J154" s="56"/>
      <c r="K154" s="56"/>
      <c r="L154" s="56"/>
      <c r="M154" s="56"/>
      <c r="N154" s="56"/>
      <c r="O154" s="56"/>
      <c r="P154" s="56"/>
      <c r="Q154" s="56"/>
      <c r="R154" s="56"/>
      <c r="S154" s="56"/>
      <c r="T154" s="56"/>
      <c r="U154" s="56"/>
      <c r="V154" s="56"/>
      <c r="W154" s="56"/>
    </row>
    <row r="155">
      <c r="A155" s="121"/>
      <c r="B155" s="56"/>
      <c r="C155" s="118"/>
      <c r="D155" s="118"/>
      <c r="E155" s="118"/>
      <c r="F155" s="56"/>
      <c r="G155" s="56"/>
      <c r="H155" s="56"/>
      <c r="I155" s="56"/>
      <c r="J155" s="56"/>
      <c r="K155" s="56"/>
      <c r="L155" s="56"/>
      <c r="M155" s="56"/>
      <c r="N155" s="56"/>
      <c r="O155" s="56"/>
      <c r="P155" s="56"/>
      <c r="Q155" s="56"/>
      <c r="R155" s="56"/>
      <c r="S155" s="56"/>
      <c r="T155" s="56"/>
      <c r="U155" s="56"/>
      <c r="V155" s="56"/>
      <c r="W155" s="56"/>
    </row>
    <row r="156">
      <c r="A156" s="121"/>
      <c r="B156" s="56"/>
      <c r="C156" s="118"/>
      <c r="D156" s="118"/>
      <c r="E156" s="118"/>
      <c r="F156" s="56"/>
      <c r="G156" s="56"/>
      <c r="H156" s="56"/>
      <c r="I156" s="56"/>
      <c r="J156" s="56"/>
      <c r="K156" s="56"/>
      <c r="L156" s="56"/>
      <c r="M156" s="56"/>
      <c r="N156" s="56"/>
      <c r="O156" s="56"/>
      <c r="P156" s="56"/>
      <c r="Q156" s="56"/>
      <c r="R156" s="56"/>
      <c r="S156" s="56"/>
      <c r="T156" s="56"/>
      <c r="U156" s="56"/>
      <c r="V156" s="56"/>
      <c r="W156" s="56"/>
    </row>
    <row r="157">
      <c r="A157" s="121"/>
      <c r="B157" s="56"/>
      <c r="C157" s="118"/>
      <c r="D157" s="118"/>
      <c r="E157" s="118"/>
      <c r="F157" s="56"/>
      <c r="G157" s="56"/>
      <c r="H157" s="56"/>
      <c r="I157" s="56"/>
      <c r="J157" s="56"/>
      <c r="K157" s="56"/>
      <c r="L157" s="56"/>
      <c r="M157" s="56"/>
      <c r="N157" s="56"/>
      <c r="O157" s="56"/>
      <c r="P157" s="56"/>
      <c r="Q157" s="56"/>
      <c r="R157" s="56"/>
      <c r="S157" s="56"/>
      <c r="T157" s="56"/>
      <c r="U157" s="56"/>
      <c r="V157" s="56"/>
      <c r="W157" s="56"/>
    </row>
    <row r="158">
      <c r="A158" s="121"/>
      <c r="B158" s="56"/>
      <c r="C158" s="118"/>
      <c r="D158" s="118"/>
      <c r="E158" s="118"/>
      <c r="F158" s="56"/>
      <c r="G158" s="56"/>
      <c r="H158" s="56"/>
      <c r="I158" s="56"/>
      <c r="J158" s="56"/>
      <c r="K158" s="56"/>
      <c r="L158" s="56"/>
      <c r="M158" s="56"/>
      <c r="N158" s="56"/>
      <c r="O158" s="56"/>
      <c r="P158" s="56"/>
      <c r="Q158" s="56"/>
      <c r="R158" s="56"/>
      <c r="S158" s="56"/>
      <c r="T158" s="56"/>
      <c r="U158" s="56"/>
      <c r="V158" s="56"/>
      <c r="W158" s="56"/>
    </row>
    <row r="159">
      <c r="A159" s="121"/>
      <c r="B159" s="56"/>
      <c r="C159" s="118"/>
      <c r="D159" s="118"/>
      <c r="E159" s="118"/>
      <c r="F159" s="56"/>
      <c r="G159" s="56"/>
      <c r="H159" s="56"/>
      <c r="I159" s="56"/>
      <c r="J159" s="56"/>
      <c r="K159" s="56"/>
      <c r="L159" s="56"/>
      <c r="M159" s="56"/>
      <c r="N159" s="56"/>
      <c r="O159" s="56"/>
      <c r="P159" s="56"/>
      <c r="Q159" s="56"/>
      <c r="R159" s="56"/>
      <c r="S159" s="56"/>
      <c r="T159" s="56"/>
      <c r="U159" s="56"/>
      <c r="V159" s="56"/>
      <c r="W159" s="56"/>
    </row>
    <row r="160">
      <c r="A160" s="121"/>
      <c r="B160" s="56"/>
      <c r="C160" s="118"/>
      <c r="D160" s="118"/>
      <c r="E160" s="118"/>
      <c r="F160" s="56"/>
      <c r="G160" s="56"/>
      <c r="H160" s="56"/>
      <c r="I160" s="56"/>
      <c r="J160" s="56"/>
      <c r="K160" s="56"/>
      <c r="L160" s="56"/>
      <c r="M160" s="56"/>
      <c r="N160" s="56"/>
      <c r="O160" s="56"/>
      <c r="P160" s="56"/>
      <c r="Q160" s="56"/>
      <c r="R160" s="56"/>
      <c r="S160" s="56"/>
      <c r="T160" s="56"/>
      <c r="U160" s="56"/>
      <c r="V160" s="56"/>
      <c r="W160" s="56"/>
    </row>
    <row r="161">
      <c r="A161" s="121"/>
      <c r="B161" s="56"/>
      <c r="C161" s="118"/>
      <c r="D161" s="118"/>
      <c r="E161" s="118"/>
      <c r="F161" s="56"/>
      <c r="G161" s="56"/>
      <c r="H161" s="56"/>
      <c r="I161" s="56"/>
      <c r="J161" s="56"/>
      <c r="K161" s="56"/>
      <c r="L161" s="56"/>
      <c r="M161" s="56"/>
      <c r="N161" s="56"/>
      <c r="O161" s="56"/>
      <c r="P161" s="56"/>
      <c r="Q161" s="56"/>
      <c r="R161" s="56"/>
      <c r="S161" s="56"/>
      <c r="T161" s="56"/>
      <c r="U161" s="56"/>
      <c r="V161" s="56"/>
      <c r="W161" s="56"/>
    </row>
    <row r="162">
      <c r="A162" s="121"/>
      <c r="B162" s="56"/>
      <c r="C162" s="118"/>
      <c r="D162" s="118"/>
      <c r="E162" s="118"/>
      <c r="F162" s="56"/>
      <c r="G162" s="56"/>
      <c r="H162" s="56"/>
      <c r="I162" s="56"/>
      <c r="J162" s="56"/>
      <c r="K162" s="56"/>
      <c r="L162" s="56"/>
      <c r="M162" s="56"/>
      <c r="N162" s="56"/>
      <c r="O162" s="56"/>
      <c r="P162" s="56"/>
      <c r="Q162" s="56"/>
      <c r="R162" s="56"/>
      <c r="S162" s="56"/>
      <c r="T162" s="56"/>
      <c r="U162" s="56"/>
      <c r="V162" s="56"/>
      <c r="W162" s="56"/>
    </row>
    <row r="163">
      <c r="A163" s="121"/>
      <c r="B163" s="56"/>
      <c r="C163" s="118"/>
      <c r="D163" s="118"/>
      <c r="E163" s="118"/>
      <c r="F163" s="56"/>
      <c r="G163" s="56"/>
      <c r="H163" s="56"/>
      <c r="I163" s="56"/>
      <c r="J163" s="56"/>
      <c r="K163" s="56"/>
      <c r="L163" s="56"/>
      <c r="M163" s="56"/>
      <c r="N163" s="56"/>
      <c r="O163" s="56"/>
      <c r="P163" s="56"/>
      <c r="Q163" s="56"/>
      <c r="R163" s="56"/>
      <c r="S163" s="56"/>
      <c r="T163" s="56"/>
      <c r="U163" s="56"/>
      <c r="V163" s="56"/>
      <c r="W163" s="56"/>
    </row>
    <row r="164">
      <c r="A164" s="121"/>
      <c r="B164" s="56"/>
      <c r="C164" s="118"/>
      <c r="D164" s="118"/>
      <c r="E164" s="118"/>
      <c r="F164" s="56"/>
      <c r="G164" s="56"/>
      <c r="H164" s="56"/>
      <c r="I164" s="56"/>
      <c r="J164" s="56"/>
      <c r="K164" s="56"/>
      <c r="L164" s="56"/>
      <c r="M164" s="56"/>
      <c r="N164" s="56"/>
      <c r="O164" s="56"/>
      <c r="P164" s="56"/>
      <c r="Q164" s="56"/>
      <c r="R164" s="56"/>
      <c r="S164" s="56"/>
      <c r="T164" s="56"/>
      <c r="U164" s="56"/>
      <c r="V164" s="56"/>
      <c r="W164" s="56"/>
    </row>
    <row r="165">
      <c r="A165" s="121"/>
      <c r="B165" s="56"/>
      <c r="C165" s="118"/>
      <c r="D165" s="118"/>
      <c r="E165" s="118"/>
      <c r="F165" s="56"/>
      <c r="G165" s="56"/>
      <c r="H165" s="56"/>
      <c r="I165" s="56"/>
      <c r="J165" s="56"/>
      <c r="K165" s="56"/>
      <c r="L165" s="56"/>
      <c r="M165" s="56"/>
      <c r="N165" s="56"/>
      <c r="O165" s="56"/>
      <c r="P165" s="56"/>
      <c r="Q165" s="56"/>
      <c r="R165" s="56"/>
      <c r="S165" s="56"/>
      <c r="T165" s="56"/>
      <c r="U165" s="56"/>
      <c r="V165" s="56"/>
      <c r="W165" s="56"/>
    </row>
    <row r="166">
      <c r="A166" s="121"/>
      <c r="B166" s="56"/>
      <c r="C166" s="118"/>
      <c r="D166" s="118"/>
      <c r="E166" s="118"/>
      <c r="F166" s="56"/>
      <c r="G166" s="56"/>
      <c r="H166" s="56"/>
      <c r="I166" s="56"/>
      <c r="J166" s="56"/>
      <c r="K166" s="56"/>
      <c r="L166" s="56"/>
      <c r="M166" s="56"/>
      <c r="N166" s="56"/>
      <c r="O166" s="56"/>
      <c r="P166" s="56"/>
      <c r="Q166" s="56"/>
      <c r="R166" s="56"/>
      <c r="S166" s="56"/>
      <c r="T166" s="56"/>
      <c r="U166" s="56"/>
      <c r="V166" s="56"/>
      <c r="W166" s="56"/>
    </row>
    <row r="167">
      <c r="A167" s="121"/>
      <c r="B167" s="56"/>
      <c r="C167" s="118"/>
      <c r="D167" s="118"/>
      <c r="E167" s="118"/>
      <c r="F167" s="56"/>
      <c r="G167" s="56"/>
      <c r="H167" s="56"/>
      <c r="I167" s="56"/>
      <c r="J167" s="56"/>
      <c r="K167" s="56"/>
      <c r="L167" s="56"/>
      <c r="M167" s="56"/>
      <c r="N167" s="56"/>
      <c r="O167" s="56"/>
      <c r="P167" s="56"/>
      <c r="Q167" s="56"/>
      <c r="R167" s="56"/>
      <c r="S167" s="56"/>
      <c r="T167" s="56"/>
      <c r="U167" s="56"/>
      <c r="V167" s="56"/>
      <c r="W167" s="56"/>
    </row>
    <row r="168">
      <c r="A168" s="121"/>
      <c r="B168" s="56"/>
      <c r="C168" s="118"/>
      <c r="D168" s="118"/>
      <c r="E168" s="118"/>
      <c r="F168" s="56"/>
      <c r="G168" s="56"/>
      <c r="H168" s="56"/>
      <c r="I168" s="56"/>
      <c r="J168" s="56"/>
      <c r="K168" s="56"/>
      <c r="L168" s="56"/>
      <c r="M168" s="56"/>
      <c r="N168" s="56"/>
      <c r="O168" s="56"/>
      <c r="P168" s="56"/>
      <c r="Q168" s="56"/>
      <c r="R168" s="56"/>
      <c r="S168" s="56"/>
      <c r="T168" s="56"/>
      <c r="U168" s="56"/>
      <c r="V168" s="56"/>
      <c r="W168" s="56"/>
    </row>
    <row r="169">
      <c r="A169" s="121"/>
      <c r="B169" s="56"/>
      <c r="C169" s="118"/>
      <c r="D169" s="118"/>
      <c r="E169" s="118"/>
      <c r="F169" s="56"/>
      <c r="G169" s="56"/>
      <c r="H169" s="56"/>
      <c r="I169" s="56"/>
      <c r="J169" s="56"/>
      <c r="K169" s="56"/>
      <c r="L169" s="56"/>
      <c r="M169" s="56"/>
      <c r="N169" s="56"/>
      <c r="O169" s="56"/>
      <c r="P169" s="56"/>
      <c r="Q169" s="56"/>
      <c r="R169" s="56"/>
      <c r="S169" s="56"/>
      <c r="T169" s="56"/>
      <c r="U169" s="56"/>
      <c r="V169" s="56"/>
      <c r="W169" s="56"/>
    </row>
    <row r="170">
      <c r="A170" s="121"/>
      <c r="B170" s="56"/>
      <c r="C170" s="118"/>
      <c r="D170" s="118"/>
      <c r="E170" s="118"/>
      <c r="F170" s="56"/>
      <c r="G170" s="56"/>
      <c r="H170" s="56"/>
      <c r="I170" s="56"/>
      <c r="J170" s="56"/>
      <c r="K170" s="56"/>
      <c r="L170" s="56"/>
      <c r="M170" s="56"/>
      <c r="N170" s="56"/>
      <c r="O170" s="56"/>
      <c r="P170" s="56"/>
      <c r="Q170" s="56"/>
      <c r="R170" s="56"/>
      <c r="S170" s="56"/>
      <c r="T170" s="56"/>
      <c r="U170" s="56"/>
      <c r="V170" s="56"/>
      <c r="W170" s="56"/>
    </row>
    <row r="171">
      <c r="A171" s="121"/>
      <c r="B171" s="56"/>
      <c r="C171" s="118"/>
      <c r="D171" s="118"/>
      <c r="E171" s="118"/>
      <c r="F171" s="56"/>
      <c r="G171" s="56"/>
      <c r="H171" s="56"/>
      <c r="I171" s="56"/>
      <c r="J171" s="56"/>
      <c r="K171" s="56"/>
      <c r="L171" s="56"/>
      <c r="M171" s="56"/>
      <c r="N171" s="56"/>
      <c r="O171" s="56"/>
      <c r="P171" s="56"/>
      <c r="Q171" s="56"/>
      <c r="R171" s="56"/>
      <c r="S171" s="56"/>
      <c r="T171" s="56"/>
      <c r="U171" s="56"/>
      <c r="V171" s="56"/>
      <c r="W171" s="56"/>
    </row>
    <row r="172">
      <c r="A172" s="121"/>
      <c r="B172" s="56"/>
      <c r="C172" s="118"/>
      <c r="D172" s="118"/>
      <c r="E172" s="118"/>
      <c r="F172" s="56"/>
      <c r="G172" s="56"/>
      <c r="H172" s="56"/>
      <c r="I172" s="56"/>
      <c r="J172" s="56"/>
      <c r="K172" s="56"/>
      <c r="L172" s="56"/>
      <c r="M172" s="56"/>
      <c r="N172" s="56"/>
      <c r="O172" s="56"/>
      <c r="P172" s="56"/>
      <c r="Q172" s="56"/>
      <c r="R172" s="56"/>
      <c r="S172" s="56"/>
      <c r="T172" s="56"/>
      <c r="U172" s="56"/>
      <c r="V172" s="56"/>
      <c r="W172" s="56"/>
    </row>
    <row r="173">
      <c r="A173" s="121"/>
      <c r="B173" s="56"/>
      <c r="C173" s="118"/>
      <c r="D173" s="118"/>
      <c r="E173" s="118"/>
      <c r="F173" s="56"/>
      <c r="G173" s="56"/>
      <c r="H173" s="56"/>
      <c r="I173" s="56"/>
      <c r="J173" s="56"/>
      <c r="K173" s="56"/>
      <c r="L173" s="56"/>
      <c r="M173" s="56"/>
      <c r="N173" s="56"/>
      <c r="O173" s="56"/>
      <c r="P173" s="56"/>
      <c r="Q173" s="56"/>
      <c r="R173" s="56"/>
      <c r="S173" s="56"/>
      <c r="T173" s="56"/>
      <c r="U173" s="56"/>
      <c r="V173" s="56"/>
      <c r="W173" s="56"/>
    </row>
    <row r="174">
      <c r="A174" s="121"/>
      <c r="B174" s="56"/>
      <c r="C174" s="118"/>
      <c r="D174" s="118"/>
      <c r="E174" s="118"/>
      <c r="F174" s="56"/>
      <c r="G174" s="56"/>
      <c r="H174" s="56"/>
      <c r="I174" s="56"/>
      <c r="J174" s="56"/>
      <c r="K174" s="56"/>
      <c r="L174" s="56"/>
      <c r="M174" s="56"/>
      <c r="N174" s="56"/>
      <c r="O174" s="56"/>
      <c r="P174" s="56"/>
      <c r="Q174" s="56"/>
      <c r="R174" s="56"/>
      <c r="S174" s="56"/>
      <c r="T174" s="56"/>
      <c r="U174" s="56"/>
      <c r="V174" s="56"/>
      <c r="W174" s="56"/>
    </row>
    <row r="175">
      <c r="A175" s="121"/>
      <c r="B175" s="56"/>
      <c r="C175" s="118"/>
      <c r="D175" s="118"/>
      <c r="E175" s="118"/>
      <c r="F175" s="56"/>
      <c r="G175" s="56"/>
      <c r="H175" s="56"/>
      <c r="I175" s="56"/>
      <c r="J175" s="56"/>
      <c r="K175" s="56"/>
      <c r="L175" s="56"/>
      <c r="M175" s="56"/>
      <c r="N175" s="56"/>
      <c r="O175" s="56"/>
      <c r="P175" s="56"/>
      <c r="Q175" s="56"/>
      <c r="R175" s="56"/>
      <c r="S175" s="56"/>
      <c r="T175" s="56"/>
      <c r="U175" s="56"/>
      <c r="V175" s="56"/>
      <c r="W175" s="56"/>
    </row>
    <row r="176">
      <c r="A176" s="121"/>
      <c r="B176" s="56"/>
      <c r="C176" s="118"/>
      <c r="D176" s="118"/>
      <c r="E176" s="118"/>
      <c r="F176" s="56"/>
      <c r="G176" s="56"/>
      <c r="H176" s="56"/>
      <c r="I176" s="56"/>
      <c r="J176" s="56"/>
      <c r="K176" s="56"/>
      <c r="L176" s="56"/>
      <c r="M176" s="56"/>
      <c r="N176" s="56"/>
      <c r="O176" s="56"/>
      <c r="P176" s="56"/>
      <c r="Q176" s="56"/>
      <c r="R176" s="56"/>
      <c r="S176" s="56"/>
      <c r="T176" s="56"/>
      <c r="U176" s="56"/>
      <c r="V176" s="56"/>
      <c r="W176" s="56"/>
    </row>
    <row r="177">
      <c r="A177" s="121"/>
      <c r="B177" s="56"/>
      <c r="C177" s="118"/>
      <c r="D177" s="118"/>
      <c r="E177" s="118"/>
      <c r="F177" s="56"/>
      <c r="G177" s="56"/>
      <c r="H177" s="56"/>
      <c r="I177" s="56"/>
      <c r="J177" s="56"/>
      <c r="K177" s="56"/>
      <c r="L177" s="56"/>
      <c r="M177" s="56"/>
      <c r="N177" s="56"/>
      <c r="O177" s="56"/>
      <c r="P177" s="56"/>
      <c r="Q177" s="56"/>
      <c r="R177" s="56"/>
      <c r="S177" s="56"/>
      <c r="T177" s="56"/>
      <c r="U177" s="56"/>
      <c r="V177" s="56"/>
      <c r="W177" s="56"/>
    </row>
    <row r="178">
      <c r="A178" s="121"/>
      <c r="B178" s="56"/>
      <c r="C178" s="118"/>
      <c r="D178" s="118"/>
      <c r="E178" s="118"/>
      <c r="F178" s="56"/>
      <c r="G178" s="56"/>
      <c r="H178" s="56"/>
      <c r="I178" s="56"/>
      <c r="J178" s="56"/>
      <c r="K178" s="56"/>
      <c r="L178" s="56"/>
      <c r="M178" s="56"/>
      <c r="N178" s="56"/>
      <c r="O178" s="56"/>
      <c r="P178" s="56"/>
      <c r="Q178" s="56"/>
      <c r="R178" s="56"/>
      <c r="S178" s="56"/>
      <c r="T178" s="56"/>
      <c r="U178" s="56"/>
      <c r="V178" s="56"/>
      <c r="W178" s="56"/>
    </row>
    <row r="179">
      <c r="A179" s="121"/>
      <c r="B179" s="56"/>
      <c r="C179" s="118"/>
      <c r="D179" s="118"/>
      <c r="E179" s="118"/>
      <c r="F179" s="56"/>
      <c r="G179" s="56"/>
      <c r="H179" s="56"/>
      <c r="I179" s="56"/>
      <c r="J179" s="56"/>
      <c r="K179" s="56"/>
      <c r="L179" s="56"/>
      <c r="M179" s="56"/>
      <c r="N179" s="56"/>
      <c r="O179" s="56"/>
      <c r="P179" s="56"/>
      <c r="Q179" s="56"/>
      <c r="R179" s="56"/>
      <c r="S179" s="56"/>
      <c r="T179" s="56"/>
      <c r="U179" s="56"/>
      <c r="V179" s="56"/>
      <c r="W179" s="56"/>
    </row>
    <row r="180">
      <c r="A180" s="121"/>
      <c r="B180" s="56"/>
      <c r="C180" s="118"/>
      <c r="D180" s="118"/>
      <c r="E180" s="118"/>
      <c r="F180" s="56"/>
      <c r="G180" s="56"/>
      <c r="H180" s="56"/>
      <c r="I180" s="56"/>
      <c r="J180" s="56"/>
      <c r="K180" s="56"/>
      <c r="L180" s="56"/>
      <c r="M180" s="56"/>
      <c r="N180" s="56"/>
      <c r="O180" s="56"/>
      <c r="P180" s="56"/>
      <c r="Q180" s="56"/>
      <c r="R180" s="56"/>
      <c r="S180" s="56"/>
      <c r="T180" s="56"/>
      <c r="U180" s="56"/>
      <c r="V180" s="56"/>
      <c r="W180" s="56"/>
    </row>
    <row r="181">
      <c r="A181" s="121"/>
      <c r="B181" s="56"/>
      <c r="C181" s="118"/>
      <c r="D181" s="118"/>
      <c r="E181" s="118"/>
      <c r="F181" s="56"/>
      <c r="G181" s="56"/>
      <c r="H181" s="56"/>
      <c r="I181" s="56"/>
      <c r="J181" s="56"/>
      <c r="K181" s="56"/>
      <c r="L181" s="56"/>
      <c r="M181" s="56"/>
      <c r="N181" s="56"/>
      <c r="O181" s="56"/>
      <c r="P181" s="56"/>
      <c r="Q181" s="56"/>
      <c r="R181" s="56"/>
      <c r="S181" s="56"/>
      <c r="T181" s="56"/>
      <c r="U181" s="56"/>
      <c r="V181" s="56"/>
      <c r="W181" s="56"/>
    </row>
    <row r="182">
      <c r="A182" s="121"/>
      <c r="B182" s="56"/>
      <c r="C182" s="118"/>
      <c r="D182" s="118"/>
      <c r="E182" s="118"/>
      <c r="F182" s="56"/>
      <c r="G182" s="56"/>
      <c r="H182" s="56"/>
      <c r="I182" s="56"/>
      <c r="J182" s="56"/>
      <c r="K182" s="56"/>
      <c r="L182" s="56"/>
      <c r="M182" s="56"/>
      <c r="N182" s="56"/>
      <c r="O182" s="56"/>
      <c r="P182" s="56"/>
      <c r="Q182" s="56"/>
      <c r="R182" s="56"/>
      <c r="S182" s="56"/>
      <c r="T182" s="56"/>
      <c r="U182" s="56"/>
      <c r="V182" s="56"/>
      <c r="W182" s="56"/>
    </row>
    <row r="183">
      <c r="A183" s="121"/>
      <c r="B183" s="56"/>
      <c r="C183" s="118"/>
      <c r="D183" s="118"/>
      <c r="E183" s="118"/>
      <c r="F183" s="56"/>
      <c r="G183" s="56"/>
      <c r="H183" s="56"/>
      <c r="I183" s="56"/>
      <c r="J183" s="56"/>
      <c r="K183" s="56"/>
      <c r="L183" s="56"/>
      <c r="M183" s="56"/>
      <c r="N183" s="56"/>
      <c r="O183" s="56"/>
      <c r="P183" s="56"/>
      <c r="Q183" s="56"/>
      <c r="R183" s="56"/>
      <c r="S183" s="56"/>
      <c r="T183" s="56"/>
      <c r="U183" s="56"/>
      <c r="V183" s="56"/>
      <c r="W183" s="56"/>
    </row>
    <row r="184">
      <c r="A184" s="121"/>
      <c r="B184" s="56"/>
      <c r="C184" s="118"/>
      <c r="D184" s="118"/>
      <c r="E184" s="118"/>
      <c r="F184" s="56"/>
      <c r="G184" s="56"/>
      <c r="H184" s="56"/>
      <c r="I184" s="56"/>
      <c r="J184" s="56"/>
      <c r="K184" s="56"/>
      <c r="L184" s="56"/>
      <c r="M184" s="56"/>
      <c r="N184" s="56"/>
      <c r="O184" s="56"/>
      <c r="P184" s="56"/>
      <c r="Q184" s="56"/>
      <c r="R184" s="56"/>
      <c r="S184" s="56"/>
      <c r="T184" s="56"/>
      <c r="U184" s="56"/>
      <c r="V184" s="56"/>
      <c r="W184" s="56"/>
    </row>
    <row r="185">
      <c r="A185" s="121"/>
      <c r="B185" s="56"/>
      <c r="C185" s="118"/>
      <c r="D185" s="118"/>
      <c r="E185" s="118"/>
      <c r="F185" s="56"/>
      <c r="G185" s="56"/>
      <c r="H185" s="56"/>
      <c r="I185" s="56"/>
      <c r="J185" s="56"/>
      <c r="K185" s="56"/>
      <c r="L185" s="56"/>
      <c r="M185" s="56"/>
      <c r="N185" s="56"/>
      <c r="O185" s="56"/>
      <c r="P185" s="56"/>
      <c r="Q185" s="56"/>
      <c r="R185" s="56"/>
      <c r="S185" s="56"/>
      <c r="T185" s="56"/>
      <c r="U185" s="56"/>
      <c r="V185" s="56"/>
      <c r="W185" s="56"/>
    </row>
    <row r="186">
      <c r="A186" s="121"/>
      <c r="B186" s="56"/>
      <c r="C186" s="118"/>
      <c r="D186" s="118"/>
      <c r="E186" s="118"/>
      <c r="F186" s="56"/>
      <c r="G186" s="56"/>
      <c r="H186" s="56"/>
      <c r="I186" s="56"/>
      <c r="J186" s="56"/>
      <c r="K186" s="56"/>
      <c r="L186" s="56"/>
      <c r="M186" s="56"/>
      <c r="N186" s="56"/>
      <c r="O186" s="56"/>
      <c r="P186" s="56"/>
      <c r="Q186" s="56"/>
      <c r="R186" s="56"/>
      <c r="S186" s="56"/>
      <c r="T186" s="56"/>
      <c r="U186" s="56"/>
      <c r="V186" s="56"/>
      <c r="W186" s="56"/>
    </row>
    <row r="187">
      <c r="A187" s="121"/>
      <c r="B187" s="56"/>
      <c r="C187" s="118"/>
      <c r="D187" s="118"/>
      <c r="E187" s="118"/>
      <c r="F187" s="56"/>
      <c r="G187" s="56"/>
      <c r="H187" s="56"/>
      <c r="I187" s="56"/>
      <c r="J187" s="56"/>
      <c r="K187" s="56"/>
      <c r="L187" s="56"/>
      <c r="M187" s="56"/>
      <c r="N187" s="56"/>
      <c r="O187" s="56"/>
      <c r="P187" s="56"/>
      <c r="Q187" s="56"/>
      <c r="R187" s="56"/>
      <c r="S187" s="56"/>
      <c r="T187" s="56"/>
      <c r="U187" s="56"/>
      <c r="V187" s="56"/>
      <c r="W187" s="56"/>
    </row>
    <row r="188">
      <c r="A188" s="121"/>
      <c r="B188" s="56"/>
      <c r="C188" s="118"/>
      <c r="D188" s="118"/>
      <c r="E188" s="118"/>
      <c r="F188" s="56"/>
      <c r="G188" s="56"/>
      <c r="H188" s="56"/>
      <c r="I188" s="56"/>
      <c r="J188" s="56"/>
      <c r="K188" s="56"/>
      <c r="L188" s="56"/>
      <c r="M188" s="56"/>
      <c r="N188" s="56"/>
      <c r="O188" s="56"/>
      <c r="P188" s="56"/>
      <c r="Q188" s="56"/>
      <c r="R188" s="56"/>
      <c r="S188" s="56"/>
      <c r="T188" s="56"/>
      <c r="U188" s="56"/>
      <c r="V188" s="56"/>
      <c r="W188" s="56"/>
    </row>
    <row r="189">
      <c r="A189" s="121"/>
      <c r="B189" s="56"/>
      <c r="C189" s="118"/>
      <c r="D189" s="118"/>
      <c r="E189" s="118"/>
      <c r="F189" s="56"/>
      <c r="G189" s="56"/>
      <c r="H189" s="56"/>
      <c r="I189" s="56"/>
      <c r="J189" s="56"/>
      <c r="K189" s="56"/>
      <c r="L189" s="56"/>
      <c r="M189" s="56"/>
      <c r="N189" s="56"/>
      <c r="O189" s="56"/>
      <c r="P189" s="56"/>
      <c r="Q189" s="56"/>
      <c r="R189" s="56"/>
      <c r="S189" s="56"/>
      <c r="T189" s="56"/>
      <c r="U189" s="56"/>
      <c r="V189" s="56"/>
      <c r="W189" s="56"/>
    </row>
    <row r="190">
      <c r="A190" s="121"/>
      <c r="B190" s="56"/>
      <c r="C190" s="118"/>
      <c r="D190" s="118"/>
      <c r="E190" s="118"/>
      <c r="F190" s="56"/>
      <c r="G190" s="56"/>
      <c r="H190" s="56"/>
      <c r="I190" s="56"/>
      <c r="J190" s="56"/>
      <c r="K190" s="56"/>
      <c r="L190" s="56"/>
      <c r="M190" s="56"/>
      <c r="N190" s="56"/>
      <c r="O190" s="56"/>
      <c r="P190" s="56"/>
      <c r="Q190" s="56"/>
      <c r="R190" s="56"/>
      <c r="S190" s="56"/>
      <c r="T190" s="56"/>
      <c r="U190" s="56"/>
      <c r="V190" s="56"/>
      <c r="W190" s="56"/>
    </row>
    <row r="191">
      <c r="A191" s="121"/>
      <c r="B191" s="56"/>
      <c r="C191" s="118"/>
      <c r="D191" s="118"/>
      <c r="E191" s="118"/>
      <c r="F191" s="56"/>
      <c r="G191" s="56"/>
      <c r="H191" s="56"/>
      <c r="I191" s="56"/>
      <c r="J191" s="56"/>
      <c r="K191" s="56"/>
      <c r="L191" s="56"/>
      <c r="M191" s="56"/>
      <c r="N191" s="56"/>
      <c r="O191" s="56"/>
      <c r="P191" s="56"/>
      <c r="Q191" s="56"/>
      <c r="R191" s="56"/>
      <c r="S191" s="56"/>
      <c r="T191" s="56"/>
      <c r="U191" s="56"/>
      <c r="V191" s="56"/>
      <c r="W191" s="56"/>
    </row>
    <row r="192">
      <c r="A192" s="121"/>
      <c r="B192" s="56"/>
      <c r="C192" s="118"/>
      <c r="D192" s="118"/>
      <c r="E192" s="118"/>
      <c r="F192" s="56"/>
      <c r="G192" s="56"/>
      <c r="H192" s="56"/>
      <c r="I192" s="56"/>
      <c r="J192" s="56"/>
      <c r="K192" s="56"/>
      <c r="L192" s="56"/>
      <c r="M192" s="56"/>
      <c r="N192" s="56"/>
      <c r="O192" s="56"/>
      <c r="P192" s="56"/>
      <c r="Q192" s="56"/>
      <c r="R192" s="56"/>
      <c r="S192" s="56"/>
      <c r="T192" s="56"/>
      <c r="U192" s="56"/>
      <c r="V192" s="56"/>
      <c r="W192" s="56"/>
    </row>
    <row r="193">
      <c r="A193" s="121"/>
      <c r="B193" s="56"/>
      <c r="C193" s="118"/>
      <c r="D193" s="118"/>
      <c r="E193" s="118"/>
      <c r="F193" s="56"/>
      <c r="G193" s="56"/>
      <c r="H193" s="56"/>
      <c r="I193" s="56"/>
      <c r="J193" s="56"/>
      <c r="K193" s="56"/>
      <c r="L193" s="56"/>
      <c r="M193" s="56"/>
      <c r="N193" s="56"/>
      <c r="O193" s="56"/>
      <c r="P193" s="56"/>
      <c r="Q193" s="56"/>
      <c r="R193" s="56"/>
      <c r="S193" s="56"/>
      <c r="T193" s="56"/>
      <c r="U193" s="56"/>
      <c r="V193" s="56"/>
      <c r="W193" s="56"/>
    </row>
    <row r="194">
      <c r="A194" s="121"/>
      <c r="B194" s="56"/>
      <c r="C194" s="118"/>
      <c r="D194" s="118"/>
      <c r="E194" s="118"/>
      <c r="F194" s="56"/>
      <c r="G194" s="56"/>
      <c r="H194" s="56"/>
      <c r="I194" s="56"/>
      <c r="J194" s="56"/>
      <c r="K194" s="56"/>
      <c r="L194" s="56"/>
      <c r="M194" s="56"/>
      <c r="N194" s="56"/>
      <c r="O194" s="56"/>
      <c r="P194" s="56"/>
      <c r="Q194" s="56"/>
      <c r="R194" s="56"/>
      <c r="S194" s="56"/>
      <c r="T194" s="56"/>
      <c r="U194" s="56"/>
      <c r="V194" s="56"/>
      <c r="W194" s="56"/>
    </row>
    <row r="195">
      <c r="A195" s="121"/>
      <c r="B195" s="56"/>
      <c r="C195" s="118"/>
      <c r="D195" s="118"/>
      <c r="E195" s="118"/>
      <c r="F195" s="56"/>
      <c r="G195" s="56"/>
      <c r="H195" s="56"/>
      <c r="I195" s="56"/>
      <c r="J195" s="56"/>
      <c r="K195" s="56"/>
      <c r="L195" s="56"/>
      <c r="M195" s="56"/>
      <c r="N195" s="56"/>
      <c r="O195" s="56"/>
      <c r="P195" s="56"/>
      <c r="Q195" s="56"/>
      <c r="R195" s="56"/>
      <c r="S195" s="56"/>
      <c r="T195" s="56"/>
      <c r="U195" s="56"/>
      <c r="V195" s="56"/>
      <c r="W195" s="56"/>
    </row>
    <row r="196">
      <c r="A196" s="121"/>
      <c r="B196" s="56"/>
      <c r="C196" s="118"/>
      <c r="D196" s="118"/>
      <c r="E196" s="118"/>
      <c r="F196" s="56"/>
      <c r="G196" s="56"/>
      <c r="H196" s="56"/>
      <c r="I196" s="56"/>
      <c r="J196" s="56"/>
      <c r="K196" s="56"/>
      <c r="L196" s="56"/>
      <c r="M196" s="56"/>
      <c r="N196" s="56"/>
      <c r="O196" s="56"/>
      <c r="P196" s="56"/>
      <c r="Q196" s="56"/>
      <c r="R196" s="56"/>
      <c r="S196" s="56"/>
      <c r="T196" s="56"/>
      <c r="U196" s="56"/>
      <c r="V196" s="56"/>
      <c r="W196" s="56"/>
    </row>
    <row r="197">
      <c r="A197" s="121"/>
      <c r="B197" s="56"/>
      <c r="C197" s="118"/>
      <c r="D197" s="118"/>
      <c r="E197" s="118"/>
      <c r="F197" s="56"/>
      <c r="G197" s="56"/>
      <c r="H197" s="56"/>
      <c r="I197" s="56"/>
      <c r="J197" s="56"/>
      <c r="K197" s="56"/>
      <c r="L197" s="56"/>
      <c r="M197" s="56"/>
      <c r="N197" s="56"/>
      <c r="O197" s="56"/>
      <c r="P197" s="56"/>
      <c r="Q197" s="56"/>
      <c r="R197" s="56"/>
      <c r="S197" s="56"/>
      <c r="T197" s="56"/>
      <c r="U197" s="56"/>
      <c r="V197" s="56"/>
      <c r="W197" s="56"/>
    </row>
    <row r="198">
      <c r="A198" s="121"/>
      <c r="B198" s="56"/>
      <c r="C198" s="118"/>
      <c r="D198" s="118"/>
      <c r="E198" s="118"/>
      <c r="F198" s="56"/>
      <c r="G198" s="56"/>
      <c r="H198" s="56"/>
      <c r="I198" s="56"/>
      <c r="J198" s="56"/>
      <c r="K198" s="56"/>
      <c r="L198" s="56"/>
      <c r="M198" s="56"/>
      <c r="N198" s="56"/>
      <c r="O198" s="56"/>
      <c r="P198" s="56"/>
      <c r="Q198" s="56"/>
      <c r="R198" s="56"/>
      <c r="S198" s="56"/>
      <c r="T198" s="56"/>
      <c r="U198" s="56"/>
      <c r="V198" s="56"/>
      <c r="W198" s="56"/>
    </row>
    <row r="199">
      <c r="A199" s="121"/>
      <c r="B199" s="56"/>
      <c r="C199" s="118"/>
      <c r="D199" s="118"/>
      <c r="E199" s="118"/>
      <c r="F199" s="56"/>
      <c r="G199" s="56"/>
      <c r="H199" s="56"/>
      <c r="I199" s="56"/>
      <c r="J199" s="56"/>
      <c r="K199" s="56"/>
      <c r="L199" s="56"/>
      <c r="M199" s="56"/>
      <c r="N199" s="56"/>
      <c r="O199" s="56"/>
      <c r="P199" s="56"/>
      <c r="Q199" s="56"/>
      <c r="R199" s="56"/>
      <c r="S199" s="56"/>
      <c r="T199" s="56"/>
      <c r="U199" s="56"/>
      <c r="V199" s="56"/>
      <c r="W199" s="56"/>
    </row>
    <row r="200">
      <c r="A200" s="121"/>
      <c r="B200" s="56"/>
      <c r="C200" s="118"/>
      <c r="D200" s="118"/>
      <c r="E200" s="118"/>
      <c r="F200" s="56"/>
      <c r="G200" s="56"/>
      <c r="H200" s="56"/>
      <c r="I200" s="56"/>
      <c r="J200" s="56"/>
      <c r="K200" s="56"/>
      <c r="L200" s="56"/>
      <c r="M200" s="56"/>
      <c r="N200" s="56"/>
      <c r="O200" s="56"/>
      <c r="P200" s="56"/>
      <c r="Q200" s="56"/>
      <c r="R200" s="56"/>
      <c r="S200" s="56"/>
      <c r="T200" s="56"/>
      <c r="U200" s="56"/>
      <c r="V200" s="56"/>
      <c r="W200" s="56"/>
    </row>
    <row r="201">
      <c r="A201" s="121"/>
      <c r="B201" s="56"/>
      <c r="C201" s="118"/>
      <c r="D201" s="118"/>
      <c r="E201" s="118"/>
      <c r="F201" s="56"/>
      <c r="G201" s="56"/>
      <c r="H201" s="56"/>
      <c r="I201" s="56"/>
      <c r="J201" s="56"/>
      <c r="K201" s="56"/>
      <c r="L201" s="56"/>
      <c r="M201" s="56"/>
      <c r="N201" s="56"/>
      <c r="O201" s="56"/>
      <c r="P201" s="56"/>
      <c r="Q201" s="56"/>
      <c r="R201" s="56"/>
      <c r="S201" s="56"/>
      <c r="T201" s="56"/>
      <c r="U201" s="56"/>
      <c r="V201" s="56"/>
      <c r="W201" s="56"/>
    </row>
    <row r="202">
      <c r="A202" s="121"/>
      <c r="B202" s="56"/>
      <c r="C202" s="118"/>
      <c r="D202" s="118"/>
      <c r="E202" s="118"/>
      <c r="F202" s="56"/>
      <c r="G202" s="56"/>
      <c r="H202" s="56"/>
      <c r="I202" s="56"/>
      <c r="J202" s="56"/>
      <c r="K202" s="56"/>
      <c r="L202" s="56"/>
      <c r="M202" s="56"/>
      <c r="N202" s="56"/>
      <c r="O202" s="56"/>
      <c r="P202" s="56"/>
      <c r="Q202" s="56"/>
      <c r="R202" s="56"/>
      <c r="S202" s="56"/>
      <c r="T202" s="56"/>
      <c r="U202" s="56"/>
      <c r="V202" s="56"/>
      <c r="W202" s="56"/>
    </row>
    <row r="203">
      <c r="A203" s="121"/>
      <c r="B203" s="56"/>
      <c r="C203" s="118"/>
      <c r="D203" s="118"/>
      <c r="E203" s="118"/>
      <c r="F203" s="56"/>
      <c r="G203" s="56"/>
      <c r="H203" s="56"/>
      <c r="I203" s="56"/>
      <c r="J203" s="56"/>
      <c r="K203" s="56"/>
      <c r="L203" s="56"/>
      <c r="M203" s="56"/>
      <c r="N203" s="56"/>
      <c r="O203" s="56"/>
      <c r="P203" s="56"/>
      <c r="Q203" s="56"/>
      <c r="R203" s="56"/>
      <c r="S203" s="56"/>
      <c r="T203" s="56"/>
      <c r="U203" s="56"/>
      <c r="V203" s="56"/>
      <c r="W203" s="56"/>
    </row>
    <row r="204">
      <c r="A204" s="121"/>
      <c r="B204" s="56"/>
      <c r="C204" s="118"/>
      <c r="D204" s="118"/>
      <c r="E204" s="118"/>
      <c r="F204" s="56"/>
      <c r="G204" s="56"/>
      <c r="H204" s="56"/>
      <c r="I204" s="56"/>
      <c r="J204" s="56"/>
      <c r="K204" s="56"/>
      <c r="L204" s="56"/>
      <c r="M204" s="56"/>
      <c r="N204" s="56"/>
      <c r="O204" s="56"/>
      <c r="P204" s="56"/>
      <c r="Q204" s="56"/>
      <c r="R204" s="56"/>
      <c r="S204" s="56"/>
      <c r="T204" s="56"/>
      <c r="U204" s="56"/>
      <c r="V204" s="56"/>
      <c r="W204" s="56"/>
    </row>
    <row r="205">
      <c r="A205" s="121"/>
      <c r="B205" s="56"/>
      <c r="C205" s="118"/>
      <c r="D205" s="118"/>
      <c r="E205" s="118"/>
      <c r="F205" s="56"/>
      <c r="G205" s="56"/>
      <c r="H205" s="56"/>
      <c r="I205" s="56"/>
      <c r="J205" s="56"/>
      <c r="K205" s="56"/>
      <c r="L205" s="56"/>
      <c r="M205" s="56"/>
      <c r="N205" s="56"/>
      <c r="O205" s="56"/>
      <c r="P205" s="56"/>
      <c r="Q205" s="56"/>
      <c r="R205" s="56"/>
      <c r="S205" s="56"/>
      <c r="T205" s="56"/>
      <c r="U205" s="56"/>
      <c r="V205" s="56"/>
      <c r="W205" s="56"/>
    </row>
    <row r="206">
      <c r="A206" s="121"/>
      <c r="B206" s="56"/>
      <c r="C206" s="118"/>
      <c r="D206" s="118"/>
      <c r="E206" s="118"/>
      <c r="F206" s="56"/>
      <c r="G206" s="56"/>
      <c r="H206" s="56"/>
      <c r="I206" s="56"/>
      <c r="J206" s="56"/>
      <c r="K206" s="56"/>
      <c r="L206" s="56"/>
      <c r="M206" s="56"/>
      <c r="N206" s="56"/>
      <c r="O206" s="56"/>
      <c r="P206" s="56"/>
      <c r="Q206" s="56"/>
      <c r="R206" s="56"/>
      <c r="S206" s="56"/>
      <c r="T206" s="56"/>
      <c r="U206" s="56"/>
      <c r="V206" s="56"/>
      <c r="W206" s="56"/>
    </row>
    <row r="207">
      <c r="A207" s="121"/>
      <c r="B207" s="56"/>
      <c r="C207" s="118"/>
      <c r="D207" s="118"/>
      <c r="E207" s="118"/>
      <c r="F207" s="56"/>
      <c r="G207" s="56"/>
      <c r="H207" s="56"/>
      <c r="I207" s="56"/>
      <c r="J207" s="56"/>
      <c r="K207" s="56"/>
      <c r="L207" s="56"/>
      <c r="M207" s="56"/>
      <c r="N207" s="56"/>
      <c r="O207" s="56"/>
      <c r="P207" s="56"/>
      <c r="Q207" s="56"/>
      <c r="R207" s="56"/>
      <c r="S207" s="56"/>
      <c r="T207" s="56"/>
      <c r="U207" s="56"/>
      <c r="V207" s="56"/>
      <c r="W207" s="56"/>
    </row>
    <row r="208">
      <c r="A208" s="121"/>
      <c r="B208" s="56"/>
      <c r="C208" s="118"/>
      <c r="D208" s="118"/>
      <c r="E208" s="118"/>
      <c r="F208" s="56"/>
      <c r="G208" s="56"/>
      <c r="H208" s="56"/>
      <c r="I208" s="56"/>
      <c r="J208" s="56"/>
      <c r="K208" s="56"/>
      <c r="L208" s="56"/>
      <c r="M208" s="56"/>
      <c r="N208" s="56"/>
      <c r="O208" s="56"/>
      <c r="P208" s="56"/>
      <c r="Q208" s="56"/>
      <c r="R208" s="56"/>
      <c r="S208" s="56"/>
      <c r="T208" s="56"/>
      <c r="U208" s="56"/>
      <c r="V208" s="56"/>
      <c r="W208" s="56"/>
    </row>
    <row r="209">
      <c r="A209" s="121"/>
      <c r="B209" s="56"/>
      <c r="C209" s="118"/>
      <c r="D209" s="118"/>
      <c r="E209" s="118"/>
      <c r="F209" s="56"/>
      <c r="G209" s="56"/>
      <c r="H209" s="56"/>
      <c r="I209" s="56"/>
      <c r="J209" s="56"/>
      <c r="K209" s="56"/>
      <c r="L209" s="56"/>
      <c r="M209" s="56"/>
      <c r="N209" s="56"/>
      <c r="O209" s="56"/>
      <c r="P209" s="56"/>
      <c r="Q209" s="56"/>
      <c r="R209" s="56"/>
      <c r="S209" s="56"/>
      <c r="T209" s="56"/>
      <c r="U209" s="56"/>
      <c r="V209" s="56"/>
      <c r="W209" s="56"/>
    </row>
    <row r="210">
      <c r="A210" s="121"/>
      <c r="B210" s="56"/>
      <c r="C210" s="118"/>
      <c r="D210" s="118"/>
      <c r="E210" s="118"/>
      <c r="F210" s="56"/>
      <c r="G210" s="56"/>
      <c r="H210" s="56"/>
      <c r="I210" s="56"/>
      <c r="J210" s="56"/>
      <c r="K210" s="56"/>
      <c r="L210" s="56"/>
      <c r="M210" s="56"/>
      <c r="N210" s="56"/>
      <c r="O210" s="56"/>
      <c r="P210" s="56"/>
      <c r="Q210" s="56"/>
      <c r="R210" s="56"/>
      <c r="S210" s="56"/>
      <c r="T210" s="56"/>
      <c r="U210" s="56"/>
      <c r="V210" s="56"/>
      <c r="W210" s="56"/>
    </row>
    <row r="211">
      <c r="A211" s="121"/>
      <c r="B211" s="56"/>
      <c r="C211" s="118"/>
      <c r="D211" s="118"/>
      <c r="E211" s="118"/>
      <c r="F211" s="56"/>
      <c r="G211" s="56"/>
      <c r="H211" s="56"/>
      <c r="I211" s="56"/>
      <c r="J211" s="56"/>
      <c r="K211" s="56"/>
      <c r="L211" s="56"/>
      <c r="M211" s="56"/>
      <c r="N211" s="56"/>
      <c r="O211" s="56"/>
      <c r="P211" s="56"/>
      <c r="Q211" s="56"/>
      <c r="R211" s="56"/>
      <c r="S211" s="56"/>
      <c r="T211" s="56"/>
      <c r="U211" s="56"/>
      <c r="V211" s="56"/>
      <c r="W211" s="56"/>
    </row>
    <row r="212">
      <c r="A212" s="121"/>
      <c r="B212" s="56"/>
      <c r="C212" s="118"/>
      <c r="D212" s="118"/>
      <c r="E212" s="118"/>
      <c r="F212" s="56"/>
      <c r="G212" s="56"/>
      <c r="H212" s="56"/>
      <c r="I212" s="56"/>
      <c r="J212" s="56"/>
      <c r="K212" s="56"/>
      <c r="L212" s="56"/>
      <c r="M212" s="56"/>
      <c r="N212" s="56"/>
      <c r="O212" s="56"/>
      <c r="P212" s="56"/>
      <c r="Q212" s="56"/>
      <c r="R212" s="56"/>
      <c r="S212" s="56"/>
      <c r="T212" s="56"/>
      <c r="U212" s="56"/>
      <c r="V212" s="56"/>
      <c r="W212" s="56"/>
    </row>
    <row r="213">
      <c r="A213" s="121"/>
      <c r="B213" s="56"/>
      <c r="C213" s="118"/>
      <c r="D213" s="118"/>
      <c r="E213" s="118"/>
      <c r="F213" s="56"/>
      <c r="G213" s="56"/>
      <c r="H213" s="56"/>
      <c r="I213" s="56"/>
      <c r="J213" s="56"/>
      <c r="K213" s="56"/>
      <c r="L213" s="56"/>
      <c r="M213" s="56"/>
      <c r="N213" s="56"/>
      <c r="O213" s="56"/>
      <c r="P213" s="56"/>
      <c r="Q213" s="56"/>
      <c r="R213" s="56"/>
      <c r="S213" s="56"/>
      <c r="T213" s="56"/>
      <c r="U213" s="56"/>
      <c r="V213" s="56"/>
      <c r="W213" s="56"/>
    </row>
    <row r="214">
      <c r="A214" s="121"/>
      <c r="B214" s="56"/>
      <c r="C214" s="118"/>
      <c r="D214" s="118"/>
      <c r="E214" s="118"/>
      <c r="F214" s="56"/>
      <c r="G214" s="56"/>
      <c r="H214" s="56"/>
      <c r="I214" s="56"/>
      <c r="J214" s="56"/>
      <c r="K214" s="56"/>
      <c r="L214" s="56"/>
      <c r="M214" s="56"/>
      <c r="N214" s="56"/>
      <c r="O214" s="56"/>
      <c r="P214" s="56"/>
      <c r="Q214" s="56"/>
      <c r="R214" s="56"/>
      <c r="S214" s="56"/>
      <c r="T214" s="56"/>
      <c r="U214" s="56"/>
      <c r="V214" s="56"/>
      <c r="W214" s="56"/>
    </row>
    <row r="215">
      <c r="A215" s="121"/>
      <c r="B215" s="56"/>
      <c r="C215" s="118"/>
      <c r="D215" s="118"/>
      <c r="E215" s="118"/>
      <c r="F215" s="56"/>
      <c r="G215" s="56"/>
      <c r="H215" s="56"/>
      <c r="I215" s="56"/>
      <c r="J215" s="56"/>
      <c r="K215" s="56"/>
      <c r="L215" s="56"/>
      <c r="M215" s="56"/>
      <c r="N215" s="56"/>
      <c r="O215" s="56"/>
      <c r="P215" s="56"/>
      <c r="Q215" s="56"/>
      <c r="R215" s="56"/>
      <c r="S215" s="56"/>
      <c r="T215" s="56"/>
      <c r="U215" s="56"/>
      <c r="V215" s="56"/>
      <c r="W215" s="56"/>
    </row>
    <row r="216">
      <c r="A216" s="121"/>
      <c r="B216" s="56"/>
      <c r="C216" s="118"/>
      <c r="D216" s="118"/>
      <c r="E216" s="118"/>
      <c r="F216" s="56"/>
      <c r="G216" s="56"/>
      <c r="H216" s="56"/>
      <c r="I216" s="56"/>
      <c r="J216" s="56"/>
      <c r="K216" s="56"/>
      <c r="L216" s="56"/>
      <c r="M216" s="56"/>
      <c r="N216" s="56"/>
      <c r="O216" s="56"/>
      <c r="P216" s="56"/>
      <c r="Q216" s="56"/>
      <c r="R216" s="56"/>
      <c r="S216" s="56"/>
      <c r="T216" s="56"/>
      <c r="U216" s="56"/>
      <c r="V216" s="56"/>
      <c r="W216" s="56"/>
    </row>
    <row r="217">
      <c r="A217" s="121"/>
      <c r="B217" s="56"/>
      <c r="C217" s="118"/>
      <c r="D217" s="118"/>
      <c r="E217" s="118"/>
      <c r="F217" s="56"/>
      <c r="G217" s="56"/>
      <c r="H217" s="56"/>
      <c r="I217" s="56"/>
      <c r="J217" s="56"/>
      <c r="K217" s="56"/>
      <c r="L217" s="56"/>
      <c r="M217" s="56"/>
      <c r="N217" s="56"/>
      <c r="O217" s="56"/>
      <c r="P217" s="56"/>
      <c r="Q217" s="56"/>
      <c r="R217" s="56"/>
      <c r="S217" s="56"/>
      <c r="T217" s="56"/>
      <c r="U217" s="56"/>
      <c r="V217" s="56"/>
      <c r="W217" s="56"/>
    </row>
    <row r="218">
      <c r="A218" s="121"/>
      <c r="B218" s="56"/>
      <c r="C218" s="118"/>
      <c r="D218" s="118"/>
      <c r="E218" s="118"/>
      <c r="F218" s="56"/>
      <c r="G218" s="56"/>
      <c r="H218" s="56"/>
      <c r="I218" s="56"/>
      <c r="J218" s="56"/>
      <c r="K218" s="56"/>
      <c r="L218" s="56"/>
      <c r="M218" s="56"/>
      <c r="N218" s="56"/>
      <c r="O218" s="56"/>
      <c r="P218" s="56"/>
      <c r="Q218" s="56"/>
      <c r="R218" s="56"/>
      <c r="S218" s="56"/>
      <c r="T218" s="56"/>
      <c r="U218" s="56"/>
      <c r="V218" s="56"/>
      <c r="W218" s="56"/>
    </row>
    <row r="219">
      <c r="A219" s="121"/>
      <c r="B219" s="56"/>
      <c r="C219" s="118"/>
      <c r="D219" s="118"/>
      <c r="E219" s="118"/>
      <c r="F219" s="56"/>
      <c r="G219" s="56"/>
      <c r="H219" s="56"/>
      <c r="I219" s="56"/>
      <c r="J219" s="56"/>
      <c r="K219" s="56"/>
      <c r="L219" s="56"/>
      <c r="M219" s="56"/>
      <c r="N219" s="56"/>
      <c r="O219" s="56"/>
      <c r="P219" s="56"/>
      <c r="Q219" s="56"/>
      <c r="R219" s="56"/>
      <c r="S219" s="56"/>
      <c r="T219" s="56"/>
      <c r="U219" s="56"/>
      <c r="V219" s="56"/>
      <c r="W219" s="56"/>
    </row>
    <row r="220">
      <c r="A220" s="121"/>
      <c r="B220" s="56"/>
      <c r="C220" s="118"/>
      <c r="D220" s="118"/>
      <c r="E220" s="118"/>
      <c r="F220" s="56"/>
      <c r="G220" s="56"/>
      <c r="H220" s="56"/>
      <c r="I220" s="56"/>
      <c r="J220" s="56"/>
      <c r="K220" s="56"/>
      <c r="L220" s="56"/>
      <c r="M220" s="56"/>
      <c r="N220" s="56"/>
      <c r="O220" s="56"/>
      <c r="P220" s="56"/>
      <c r="Q220" s="56"/>
      <c r="R220" s="56"/>
      <c r="S220" s="56"/>
      <c r="T220" s="56"/>
      <c r="U220" s="56"/>
      <c r="V220" s="56"/>
      <c r="W220" s="56"/>
    </row>
    <row r="221">
      <c r="A221" s="121"/>
      <c r="B221" s="56"/>
      <c r="C221" s="118"/>
      <c r="D221" s="118"/>
      <c r="E221" s="118"/>
      <c r="F221" s="56"/>
      <c r="G221" s="56"/>
      <c r="H221" s="56"/>
      <c r="I221" s="56"/>
      <c r="J221" s="56"/>
      <c r="K221" s="56"/>
      <c r="L221" s="56"/>
      <c r="M221" s="56"/>
      <c r="N221" s="56"/>
      <c r="O221" s="56"/>
      <c r="P221" s="56"/>
      <c r="Q221" s="56"/>
      <c r="R221" s="56"/>
      <c r="S221" s="56"/>
      <c r="T221" s="56"/>
      <c r="U221" s="56"/>
      <c r="V221" s="56"/>
      <c r="W221" s="56"/>
    </row>
    <row r="222">
      <c r="A222" s="121"/>
      <c r="B222" s="56"/>
      <c r="C222" s="118"/>
      <c r="D222" s="118"/>
      <c r="E222" s="118"/>
      <c r="F222" s="56"/>
      <c r="G222" s="56"/>
      <c r="H222" s="56"/>
      <c r="I222" s="56"/>
      <c r="J222" s="56"/>
      <c r="K222" s="56"/>
      <c r="L222" s="56"/>
      <c r="M222" s="56"/>
      <c r="N222" s="56"/>
      <c r="O222" s="56"/>
      <c r="P222" s="56"/>
      <c r="Q222" s="56"/>
      <c r="R222" s="56"/>
      <c r="S222" s="56"/>
      <c r="T222" s="56"/>
      <c r="U222" s="56"/>
      <c r="V222" s="56"/>
      <c r="W222" s="56"/>
    </row>
    <row r="223">
      <c r="A223" s="121"/>
      <c r="B223" s="56"/>
      <c r="C223" s="118"/>
      <c r="D223" s="118"/>
      <c r="E223" s="118"/>
      <c r="F223" s="56"/>
      <c r="G223" s="56"/>
      <c r="H223" s="56"/>
      <c r="I223" s="56"/>
      <c r="J223" s="56"/>
      <c r="K223" s="56"/>
      <c r="L223" s="56"/>
      <c r="M223" s="56"/>
      <c r="N223" s="56"/>
      <c r="O223" s="56"/>
      <c r="P223" s="56"/>
      <c r="Q223" s="56"/>
      <c r="R223" s="56"/>
      <c r="S223" s="56"/>
      <c r="T223" s="56"/>
      <c r="U223" s="56"/>
      <c r="V223" s="56"/>
      <c r="W223" s="56"/>
    </row>
    <row r="224">
      <c r="A224" s="121"/>
      <c r="B224" s="56"/>
      <c r="C224" s="118"/>
      <c r="D224" s="118"/>
      <c r="E224" s="118"/>
      <c r="F224" s="56"/>
      <c r="G224" s="56"/>
      <c r="H224" s="56"/>
      <c r="I224" s="56"/>
      <c r="J224" s="56"/>
      <c r="K224" s="56"/>
      <c r="L224" s="56"/>
      <c r="M224" s="56"/>
      <c r="N224" s="56"/>
      <c r="O224" s="56"/>
      <c r="P224" s="56"/>
      <c r="Q224" s="56"/>
      <c r="R224" s="56"/>
      <c r="S224" s="56"/>
      <c r="T224" s="56"/>
      <c r="U224" s="56"/>
      <c r="V224" s="56"/>
      <c r="W224" s="56"/>
    </row>
    <row r="225">
      <c r="A225" s="121"/>
      <c r="B225" s="56"/>
      <c r="C225" s="118"/>
      <c r="D225" s="118"/>
      <c r="E225" s="118"/>
      <c r="F225" s="56"/>
      <c r="G225" s="56"/>
      <c r="H225" s="56"/>
      <c r="I225" s="56"/>
      <c r="J225" s="56"/>
      <c r="K225" s="56"/>
      <c r="L225" s="56"/>
      <c r="M225" s="56"/>
      <c r="N225" s="56"/>
      <c r="O225" s="56"/>
      <c r="P225" s="56"/>
      <c r="Q225" s="56"/>
      <c r="R225" s="56"/>
      <c r="S225" s="56"/>
      <c r="T225" s="56"/>
      <c r="U225" s="56"/>
      <c r="V225" s="56"/>
      <c r="W225" s="56"/>
    </row>
    <row r="226">
      <c r="A226" s="121"/>
      <c r="B226" s="56"/>
      <c r="C226" s="118"/>
      <c r="D226" s="118"/>
      <c r="E226" s="118"/>
      <c r="F226" s="56"/>
      <c r="G226" s="56"/>
      <c r="H226" s="56"/>
      <c r="I226" s="56"/>
      <c r="J226" s="56"/>
      <c r="K226" s="56"/>
      <c r="L226" s="56"/>
      <c r="M226" s="56"/>
      <c r="N226" s="56"/>
      <c r="O226" s="56"/>
      <c r="P226" s="56"/>
      <c r="Q226" s="56"/>
      <c r="R226" s="56"/>
      <c r="S226" s="56"/>
      <c r="T226" s="56"/>
      <c r="U226" s="56"/>
      <c r="V226" s="56"/>
      <c r="W226" s="56"/>
    </row>
    <row r="227">
      <c r="A227" s="121"/>
      <c r="B227" s="56"/>
      <c r="C227" s="118"/>
      <c r="D227" s="118"/>
      <c r="E227" s="118"/>
      <c r="F227" s="56"/>
      <c r="G227" s="56"/>
      <c r="H227" s="56"/>
      <c r="I227" s="56"/>
      <c r="J227" s="56"/>
      <c r="K227" s="56"/>
      <c r="L227" s="56"/>
      <c r="M227" s="56"/>
      <c r="N227" s="56"/>
      <c r="O227" s="56"/>
      <c r="P227" s="56"/>
      <c r="Q227" s="56"/>
      <c r="R227" s="56"/>
      <c r="S227" s="56"/>
      <c r="T227" s="56"/>
      <c r="U227" s="56"/>
      <c r="V227" s="56"/>
      <c r="W227" s="56"/>
    </row>
    <row r="228">
      <c r="A228" s="121"/>
      <c r="B228" s="56"/>
      <c r="C228" s="118"/>
      <c r="D228" s="118"/>
      <c r="E228" s="118"/>
      <c r="F228" s="56"/>
      <c r="G228" s="56"/>
      <c r="H228" s="56"/>
      <c r="I228" s="56"/>
      <c r="J228" s="56"/>
      <c r="K228" s="56"/>
      <c r="L228" s="56"/>
      <c r="M228" s="56"/>
      <c r="N228" s="56"/>
      <c r="O228" s="56"/>
      <c r="P228" s="56"/>
      <c r="Q228" s="56"/>
      <c r="R228" s="56"/>
      <c r="S228" s="56"/>
      <c r="T228" s="56"/>
      <c r="U228" s="56"/>
      <c r="V228" s="56"/>
      <c r="W228" s="56"/>
    </row>
    <row r="229">
      <c r="A229" s="121"/>
      <c r="B229" s="56"/>
      <c r="C229" s="118"/>
      <c r="D229" s="118"/>
      <c r="E229" s="118"/>
      <c r="F229" s="56"/>
      <c r="G229" s="56"/>
      <c r="H229" s="56"/>
      <c r="I229" s="56"/>
      <c r="J229" s="56"/>
      <c r="K229" s="56"/>
      <c r="L229" s="56"/>
      <c r="M229" s="56"/>
      <c r="N229" s="56"/>
      <c r="O229" s="56"/>
      <c r="P229" s="56"/>
      <c r="Q229" s="56"/>
      <c r="R229" s="56"/>
      <c r="S229" s="56"/>
      <c r="T229" s="56"/>
      <c r="U229" s="56"/>
      <c r="V229" s="56"/>
      <c r="W229" s="56"/>
    </row>
    <row r="230">
      <c r="A230" s="121"/>
      <c r="B230" s="56"/>
      <c r="C230" s="118"/>
      <c r="D230" s="118"/>
      <c r="E230" s="118"/>
      <c r="F230" s="56"/>
      <c r="G230" s="56"/>
      <c r="H230" s="56"/>
      <c r="I230" s="56"/>
      <c r="J230" s="56"/>
      <c r="K230" s="56"/>
      <c r="L230" s="56"/>
      <c r="M230" s="56"/>
      <c r="N230" s="56"/>
      <c r="O230" s="56"/>
      <c r="P230" s="56"/>
      <c r="Q230" s="56"/>
      <c r="R230" s="56"/>
      <c r="S230" s="56"/>
      <c r="T230" s="56"/>
      <c r="U230" s="56"/>
      <c r="V230" s="56"/>
      <c r="W230" s="56"/>
    </row>
    <row r="231">
      <c r="A231" s="121"/>
      <c r="B231" s="56"/>
      <c r="C231" s="118"/>
      <c r="D231" s="118"/>
      <c r="E231" s="118"/>
      <c r="F231" s="56"/>
      <c r="G231" s="56"/>
      <c r="H231" s="56"/>
      <c r="I231" s="56"/>
      <c r="J231" s="56"/>
      <c r="K231" s="56"/>
      <c r="L231" s="56"/>
      <c r="M231" s="56"/>
      <c r="N231" s="56"/>
      <c r="O231" s="56"/>
      <c r="P231" s="56"/>
      <c r="Q231" s="56"/>
      <c r="R231" s="56"/>
      <c r="S231" s="56"/>
      <c r="T231" s="56"/>
      <c r="U231" s="56"/>
      <c r="V231" s="56"/>
      <c r="W231" s="56"/>
    </row>
    <row r="232">
      <c r="A232" s="121"/>
      <c r="B232" s="56"/>
      <c r="C232" s="118"/>
      <c r="D232" s="118"/>
      <c r="E232" s="118"/>
      <c r="F232" s="56"/>
      <c r="G232" s="56"/>
      <c r="H232" s="56"/>
      <c r="I232" s="56"/>
      <c r="J232" s="56"/>
      <c r="K232" s="56"/>
      <c r="L232" s="56"/>
      <c r="M232" s="56"/>
      <c r="N232" s="56"/>
      <c r="O232" s="56"/>
      <c r="P232" s="56"/>
      <c r="Q232" s="56"/>
      <c r="R232" s="56"/>
      <c r="S232" s="56"/>
      <c r="T232" s="56"/>
      <c r="U232" s="56"/>
      <c r="V232" s="56"/>
      <c r="W232" s="56"/>
    </row>
    <row r="233">
      <c r="A233" s="121"/>
      <c r="B233" s="56"/>
      <c r="C233" s="118"/>
      <c r="D233" s="118"/>
      <c r="E233" s="118"/>
      <c r="F233" s="56"/>
      <c r="G233" s="56"/>
      <c r="H233" s="56"/>
      <c r="I233" s="56"/>
      <c r="J233" s="56"/>
      <c r="K233" s="56"/>
      <c r="L233" s="56"/>
      <c r="M233" s="56"/>
      <c r="N233" s="56"/>
      <c r="O233" s="56"/>
      <c r="P233" s="56"/>
      <c r="Q233" s="56"/>
      <c r="R233" s="56"/>
      <c r="S233" s="56"/>
      <c r="T233" s="56"/>
      <c r="U233" s="56"/>
      <c r="V233" s="56"/>
      <c r="W233" s="56"/>
    </row>
    <row r="234">
      <c r="A234" s="121"/>
      <c r="B234" s="56"/>
      <c r="C234" s="118"/>
      <c r="D234" s="118"/>
      <c r="E234" s="118"/>
      <c r="F234" s="56"/>
      <c r="G234" s="56"/>
      <c r="H234" s="56"/>
      <c r="I234" s="56"/>
      <c r="J234" s="56"/>
      <c r="K234" s="56"/>
      <c r="L234" s="56"/>
      <c r="M234" s="56"/>
      <c r="N234" s="56"/>
      <c r="O234" s="56"/>
      <c r="P234" s="56"/>
      <c r="Q234" s="56"/>
      <c r="R234" s="56"/>
      <c r="S234" s="56"/>
      <c r="T234" s="56"/>
      <c r="U234" s="56"/>
      <c r="V234" s="56"/>
      <c r="W234" s="56"/>
    </row>
    <row r="235">
      <c r="A235" s="121"/>
      <c r="B235" s="56"/>
      <c r="C235" s="118"/>
      <c r="D235" s="118"/>
      <c r="E235" s="118"/>
      <c r="F235" s="56"/>
      <c r="G235" s="56"/>
      <c r="H235" s="56"/>
      <c r="I235" s="56"/>
      <c r="J235" s="56"/>
      <c r="K235" s="56"/>
      <c r="L235" s="56"/>
      <c r="M235" s="56"/>
      <c r="N235" s="56"/>
      <c r="O235" s="56"/>
      <c r="P235" s="56"/>
      <c r="Q235" s="56"/>
      <c r="R235" s="56"/>
      <c r="S235" s="56"/>
      <c r="T235" s="56"/>
      <c r="U235" s="56"/>
      <c r="V235" s="56"/>
      <c r="W235" s="56"/>
    </row>
    <row r="236">
      <c r="A236" s="121"/>
      <c r="B236" s="56"/>
      <c r="C236" s="118"/>
      <c r="D236" s="118"/>
      <c r="E236" s="118"/>
      <c r="F236" s="56"/>
      <c r="G236" s="56"/>
      <c r="H236" s="56"/>
      <c r="I236" s="56"/>
      <c r="J236" s="56"/>
      <c r="K236" s="56"/>
      <c r="L236" s="56"/>
      <c r="M236" s="56"/>
      <c r="N236" s="56"/>
      <c r="O236" s="56"/>
      <c r="P236" s="56"/>
      <c r="Q236" s="56"/>
      <c r="R236" s="56"/>
      <c r="S236" s="56"/>
      <c r="T236" s="56"/>
      <c r="U236" s="56"/>
      <c r="V236" s="56"/>
      <c r="W236" s="56"/>
    </row>
    <row r="237">
      <c r="A237" s="121"/>
      <c r="B237" s="56"/>
      <c r="C237" s="118"/>
      <c r="D237" s="118"/>
      <c r="E237" s="118"/>
      <c r="F237" s="56"/>
      <c r="G237" s="56"/>
      <c r="H237" s="56"/>
      <c r="I237" s="56"/>
      <c r="J237" s="56"/>
      <c r="K237" s="56"/>
      <c r="L237" s="56"/>
      <c r="M237" s="56"/>
      <c r="N237" s="56"/>
      <c r="O237" s="56"/>
      <c r="P237" s="56"/>
      <c r="Q237" s="56"/>
      <c r="R237" s="56"/>
      <c r="S237" s="56"/>
      <c r="T237" s="56"/>
      <c r="U237" s="56"/>
      <c r="V237" s="56"/>
      <c r="W237" s="56"/>
    </row>
    <row r="238">
      <c r="A238" s="121"/>
      <c r="B238" s="56"/>
      <c r="C238" s="118"/>
      <c r="D238" s="118"/>
      <c r="E238" s="118"/>
      <c r="F238" s="56"/>
      <c r="G238" s="56"/>
      <c r="H238" s="56"/>
      <c r="I238" s="56"/>
      <c r="J238" s="56"/>
      <c r="K238" s="56"/>
      <c r="L238" s="56"/>
      <c r="M238" s="56"/>
      <c r="N238" s="56"/>
      <c r="O238" s="56"/>
      <c r="P238" s="56"/>
      <c r="Q238" s="56"/>
      <c r="R238" s="56"/>
      <c r="S238" s="56"/>
      <c r="T238" s="56"/>
      <c r="U238" s="56"/>
      <c r="V238" s="56"/>
      <c r="W238" s="56"/>
    </row>
    <row r="239">
      <c r="A239" s="121"/>
      <c r="B239" s="56"/>
      <c r="C239" s="118"/>
      <c r="D239" s="118"/>
      <c r="E239" s="118"/>
      <c r="F239" s="56"/>
      <c r="G239" s="56"/>
      <c r="H239" s="56"/>
      <c r="I239" s="56"/>
      <c r="J239" s="56"/>
      <c r="K239" s="56"/>
      <c r="L239" s="56"/>
      <c r="M239" s="56"/>
      <c r="N239" s="56"/>
      <c r="O239" s="56"/>
      <c r="P239" s="56"/>
      <c r="Q239" s="56"/>
      <c r="R239" s="56"/>
      <c r="S239" s="56"/>
      <c r="T239" s="56"/>
      <c r="U239" s="56"/>
      <c r="V239" s="56"/>
      <c r="W239" s="56"/>
    </row>
    <row r="240">
      <c r="A240" s="121"/>
      <c r="B240" s="56"/>
      <c r="C240" s="118"/>
      <c r="D240" s="118"/>
      <c r="E240" s="118"/>
      <c r="F240" s="56"/>
      <c r="G240" s="56"/>
      <c r="H240" s="56"/>
      <c r="I240" s="56"/>
      <c r="J240" s="56"/>
      <c r="K240" s="56"/>
      <c r="L240" s="56"/>
      <c r="M240" s="56"/>
      <c r="N240" s="56"/>
      <c r="O240" s="56"/>
      <c r="P240" s="56"/>
      <c r="Q240" s="56"/>
      <c r="R240" s="56"/>
      <c r="S240" s="56"/>
      <c r="T240" s="56"/>
      <c r="U240" s="56"/>
      <c r="V240" s="56"/>
      <c r="W240" s="56"/>
    </row>
    <row r="241">
      <c r="A241" s="121"/>
      <c r="B241" s="56"/>
      <c r="C241" s="118"/>
      <c r="D241" s="118"/>
      <c r="E241" s="118"/>
      <c r="F241" s="56"/>
      <c r="G241" s="56"/>
      <c r="H241" s="56"/>
      <c r="I241" s="56"/>
      <c r="J241" s="56"/>
      <c r="K241" s="56"/>
      <c r="L241" s="56"/>
      <c r="M241" s="56"/>
      <c r="N241" s="56"/>
      <c r="O241" s="56"/>
      <c r="P241" s="56"/>
      <c r="Q241" s="56"/>
      <c r="R241" s="56"/>
      <c r="S241" s="56"/>
      <c r="T241" s="56"/>
      <c r="U241" s="56"/>
      <c r="V241" s="56"/>
      <c r="W241" s="56"/>
    </row>
    <row r="242">
      <c r="A242" s="121"/>
      <c r="B242" s="56"/>
      <c r="C242" s="118"/>
      <c r="D242" s="118"/>
      <c r="E242" s="118"/>
      <c r="F242" s="56"/>
      <c r="G242" s="56"/>
      <c r="H242" s="56"/>
      <c r="I242" s="56"/>
      <c r="J242" s="56"/>
      <c r="K242" s="56"/>
      <c r="L242" s="56"/>
      <c r="M242" s="56"/>
      <c r="N242" s="56"/>
      <c r="O242" s="56"/>
      <c r="P242" s="56"/>
      <c r="Q242" s="56"/>
      <c r="R242" s="56"/>
      <c r="S242" s="56"/>
      <c r="T242" s="56"/>
      <c r="U242" s="56"/>
      <c r="V242" s="56"/>
      <c r="W242" s="56"/>
    </row>
    <row r="243">
      <c r="A243" s="121"/>
      <c r="B243" s="56"/>
      <c r="C243" s="118"/>
      <c r="D243" s="118"/>
      <c r="E243" s="118"/>
      <c r="F243" s="56"/>
      <c r="G243" s="56"/>
      <c r="H243" s="56"/>
      <c r="I243" s="56"/>
      <c r="J243" s="56"/>
      <c r="K243" s="56"/>
      <c r="L243" s="56"/>
      <c r="M243" s="56"/>
      <c r="N243" s="56"/>
      <c r="O243" s="56"/>
      <c r="P243" s="56"/>
      <c r="Q243" s="56"/>
      <c r="R243" s="56"/>
      <c r="S243" s="56"/>
      <c r="T243" s="56"/>
      <c r="U243" s="56"/>
      <c r="V243" s="56"/>
      <c r="W243" s="56"/>
    </row>
    <row r="244">
      <c r="A244" s="121"/>
      <c r="B244" s="56"/>
      <c r="C244" s="118"/>
      <c r="D244" s="118"/>
      <c r="E244" s="118"/>
      <c r="F244" s="56"/>
      <c r="G244" s="56"/>
      <c r="H244" s="56"/>
      <c r="I244" s="56"/>
      <c r="J244" s="56"/>
      <c r="K244" s="56"/>
      <c r="L244" s="56"/>
      <c r="M244" s="56"/>
      <c r="N244" s="56"/>
      <c r="O244" s="56"/>
      <c r="P244" s="56"/>
      <c r="Q244" s="56"/>
      <c r="R244" s="56"/>
      <c r="S244" s="56"/>
      <c r="T244" s="56"/>
      <c r="U244" s="56"/>
      <c r="V244" s="56"/>
      <c r="W244" s="56"/>
    </row>
    <row r="245">
      <c r="A245" s="121"/>
      <c r="B245" s="56"/>
      <c r="C245" s="118"/>
      <c r="D245" s="118"/>
      <c r="E245" s="118"/>
      <c r="F245" s="56"/>
      <c r="G245" s="56"/>
      <c r="H245" s="56"/>
      <c r="I245" s="56"/>
      <c r="J245" s="56"/>
      <c r="K245" s="56"/>
      <c r="L245" s="56"/>
      <c r="M245" s="56"/>
      <c r="N245" s="56"/>
      <c r="O245" s="56"/>
      <c r="P245" s="56"/>
      <c r="Q245" s="56"/>
      <c r="R245" s="56"/>
      <c r="S245" s="56"/>
      <c r="T245" s="56"/>
      <c r="U245" s="56"/>
      <c r="V245" s="56"/>
      <c r="W245" s="56"/>
    </row>
    <row r="246">
      <c r="A246" s="121"/>
      <c r="B246" s="56"/>
      <c r="C246" s="118"/>
      <c r="D246" s="118"/>
      <c r="E246" s="118"/>
      <c r="F246" s="56"/>
      <c r="G246" s="56"/>
      <c r="H246" s="56"/>
      <c r="I246" s="56"/>
      <c r="J246" s="56"/>
      <c r="K246" s="56"/>
      <c r="L246" s="56"/>
      <c r="M246" s="56"/>
      <c r="N246" s="56"/>
      <c r="O246" s="56"/>
      <c r="P246" s="56"/>
      <c r="Q246" s="56"/>
      <c r="R246" s="56"/>
      <c r="S246" s="56"/>
      <c r="T246" s="56"/>
      <c r="U246" s="56"/>
      <c r="V246" s="56"/>
      <c r="W246" s="56"/>
    </row>
    <row r="247">
      <c r="A247" s="121"/>
      <c r="B247" s="56"/>
      <c r="C247" s="118"/>
      <c r="D247" s="118"/>
      <c r="E247" s="118"/>
      <c r="F247" s="56"/>
      <c r="G247" s="56"/>
      <c r="H247" s="56"/>
      <c r="I247" s="56"/>
      <c r="J247" s="56"/>
      <c r="K247" s="56"/>
      <c r="L247" s="56"/>
      <c r="M247" s="56"/>
      <c r="N247" s="56"/>
      <c r="O247" s="56"/>
      <c r="P247" s="56"/>
      <c r="Q247" s="56"/>
      <c r="R247" s="56"/>
      <c r="S247" s="56"/>
      <c r="T247" s="56"/>
      <c r="U247" s="56"/>
      <c r="V247" s="56"/>
      <c r="W247" s="56"/>
    </row>
    <row r="248">
      <c r="A248" s="121"/>
      <c r="B248" s="56"/>
      <c r="C248" s="118"/>
      <c r="D248" s="118"/>
      <c r="E248" s="118"/>
      <c r="F248" s="56"/>
      <c r="G248" s="56"/>
      <c r="H248" s="56"/>
      <c r="I248" s="56"/>
      <c r="J248" s="56"/>
      <c r="K248" s="56"/>
      <c r="L248" s="56"/>
      <c r="M248" s="56"/>
      <c r="N248" s="56"/>
      <c r="O248" s="56"/>
      <c r="P248" s="56"/>
      <c r="Q248" s="56"/>
      <c r="R248" s="56"/>
      <c r="S248" s="56"/>
      <c r="T248" s="56"/>
      <c r="U248" s="56"/>
      <c r="V248" s="56"/>
      <c r="W248" s="56"/>
    </row>
    <row r="249">
      <c r="A249" s="121"/>
      <c r="B249" s="56"/>
      <c r="C249" s="118"/>
      <c r="D249" s="118"/>
      <c r="E249" s="118"/>
      <c r="F249" s="56"/>
      <c r="G249" s="56"/>
      <c r="H249" s="56"/>
      <c r="I249" s="56"/>
      <c r="J249" s="56"/>
      <c r="K249" s="56"/>
      <c r="L249" s="56"/>
      <c r="M249" s="56"/>
      <c r="N249" s="56"/>
      <c r="O249" s="56"/>
      <c r="P249" s="56"/>
      <c r="Q249" s="56"/>
      <c r="R249" s="56"/>
      <c r="S249" s="56"/>
      <c r="T249" s="56"/>
      <c r="U249" s="56"/>
      <c r="V249" s="56"/>
      <c r="W249" s="56"/>
    </row>
    <row r="250">
      <c r="A250" s="121"/>
      <c r="B250" s="56"/>
      <c r="C250" s="118"/>
      <c r="D250" s="118"/>
      <c r="E250" s="118"/>
      <c r="F250" s="56"/>
      <c r="G250" s="56"/>
      <c r="H250" s="56"/>
      <c r="I250" s="56"/>
      <c r="J250" s="56"/>
      <c r="K250" s="56"/>
      <c r="L250" s="56"/>
      <c r="M250" s="56"/>
      <c r="N250" s="56"/>
      <c r="O250" s="56"/>
      <c r="P250" s="56"/>
      <c r="Q250" s="56"/>
      <c r="R250" s="56"/>
      <c r="S250" s="56"/>
      <c r="T250" s="56"/>
      <c r="U250" s="56"/>
      <c r="V250" s="56"/>
      <c r="W250" s="56"/>
    </row>
    <row r="251">
      <c r="A251" s="121"/>
      <c r="B251" s="56"/>
      <c r="C251" s="118"/>
      <c r="D251" s="118"/>
      <c r="E251" s="118"/>
      <c r="F251" s="56"/>
      <c r="G251" s="56"/>
      <c r="H251" s="56"/>
      <c r="I251" s="56"/>
      <c r="J251" s="56"/>
      <c r="K251" s="56"/>
      <c r="L251" s="56"/>
      <c r="M251" s="56"/>
      <c r="N251" s="56"/>
      <c r="O251" s="56"/>
      <c r="P251" s="56"/>
      <c r="Q251" s="56"/>
      <c r="R251" s="56"/>
      <c r="S251" s="56"/>
      <c r="T251" s="56"/>
      <c r="U251" s="56"/>
      <c r="V251" s="56"/>
      <c r="W251" s="56"/>
    </row>
    <row r="252">
      <c r="A252" s="121"/>
      <c r="B252" s="56"/>
      <c r="C252" s="118"/>
      <c r="D252" s="118"/>
      <c r="E252" s="118"/>
      <c r="F252" s="56"/>
      <c r="G252" s="56"/>
      <c r="H252" s="56"/>
      <c r="I252" s="56"/>
      <c r="J252" s="56"/>
      <c r="K252" s="56"/>
      <c r="L252" s="56"/>
      <c r="M252" s="56"/>
      <c r="N252" s="56"/>
      <c r="O252" s="56"/>
      <c r="P252" s="56"/>
      <c r="Q252" s="56"/>
      <c r="R252" s="56"/>
      <c r="S252" s="56"/>
      <c r="T252" s="56"/>
      <c r="U252" s="56"/>
      <c r="V252" s="56"/>
      <c r="W252" s="56"/>
    </row>
    <row r="253">
      <c r="A253" s="121"/>
      <c r="B253" s="56"/>
      <c r="C253" s="118"/>
      <c r="D253" s="118"/>
      <c r="E253" s="118"/>
      <c r="F253" s="56"/>
      <c r="G253" s="56"/>
      <c r="H253" s="56"/>
      <c r="I253" s="56"/>
      <c r="J253" s="56"/>
      <c r="K253" s="56"/>
      <c r="L253" s="56"/>
      <c r="M253" s="56"/>
      <c r="N253" s="56"/>
      <c r="O253" s="56"/>
      <c r="P253" s="56"/>
      <c r="Q253" s="56"/>
      <c r="R253" s="56"/>
      <c r="S253" s="56"/>
      <c r="T253" s="56"/>
      <c r="U253" s="56"/>
      <c r="V253" s="56"/>
      <c r="W253" s="56"/>
    </row>
    <row r="254">
      <c r="A254" s="121"/>
      <c r="B254" s="56"/>
      <c r="C254" s="118"/>
      <c r="D254" s="118"/>
      <c r="E254" s="118"/>
      <c r="F254" s="56"/>
      <c r="G254" s="56"/>
      <c r="H254" s="56"/>
      <c r="I254" s="56"/>
      <c r="J254" s="56"/>
      <c r="K254" s="56"/>
      <c r="L254" s="56"/>
      <c r="M254" s="56"/>
      <c r="N254" s="56"/>
      <c r="O254" s="56"/>
      <c r="P254" s="56"/>
      <c r="Q254" s="56"/>
      <c r="R254" s="56"/>
      <c r="S254" s="56"/>
      <c r="T254" s="56"/>
      <c r="U254" s="56"/>
      <c r="V254" s="56"/>
      <c r="W254" s="56"/>
    </row>
    <row r="255">
      <c r="A255" s="121"/>
      <c r="B255" s="56"/>
      <c r="C255" s="118"/>
      <c r="D255" s="118"/>
      <c r="E255" s="118"/>
      <c r="F255" s="56"/>
      <c r="G255" s="56"/>
      <c r="H255" s="56"/>
      <c r="I255" s="56"/>
      <c r="J255" s="56"/>
      <c r="K255" s="56"/>
      <c r="L255" s="56"/>
      <c r="M255" s="56"/>
      <c r="N255" s="56"/>
      <c r="O255" s="56"/>
      <c r="P255" s="56"/>
      <c r="Q255" s="56"/>
      <c r="R255" s="56"/>
      <c r="S255" s="56"/>
      <c r="T255" s="56"/>
      <c r="U255" s="56"/>
      <c r="V255" s="56"/>
      <c r="W255" s="56"/>
    </row>
    <row r="256">
      <c r="A256" s="121"/>
      <c r="B256" s="56"/>
      <c r="C256" s="118"/>
      <c r="D256" s="118"/>
      <c r="E256" s="118"/>
      <c r="F256" s="56"/>
      <c r="G256" s="56"/>
      <c r="H256" s="56"/>
      <c r="I256" s="56"/>
      <c r="J256" s="56"/>
      <c r="K256" s="56"/>
      <c r="L256" s="56"/>
      <c r="M256" s="56"/>
      <c r="N256" s="56"/>
      <c r="O256" s="56"/>
      <c r="P256" s="56"/>
      <c r="Q256" s="56"/>
      <c r="R256" s="56"/>
      <c r="S256" s="56"/>
      <c r="T256" s="56"/>
      <c r="U256" s="56"/>
      <c r="V256" s="56"/>
      <c r="W256" s="56"/>
    </row>
    <row r="257">
      <c r="A257" s="121"/>
      <c r="B257" s="56"/>
      <c r="C257" s="118"/>
      <c r="D257" s="118"/>
      <c r="E257" s="118"/>
      <c r="F257" s="56"/>
      <c r="G257" s="56"/>
      <c r="H257" s="56"/>
      <c r="I257" s="56"/>
      <c r="J257" s="56"/>
      <c r="K257" s="56"/>
      <c r="L257" s="56"/>
      <c r="M257" s="56"/>
      <c r="N257" s="56"/>
      <c r="O257" s="56"/>
      <c r="P257" s="56"/>
      <c r="Q257" s="56"/>
      <c r="R257" s="56"/>
      <c r="S257" s="56"/>
      <c r="T257" s="56"/>
      <c r="U257" s="56"/>
      <c r="V257" s="56"/>
      <c r="W257" s="56"/>
    </row>
    <row r="258">
      <c r="A258" s="121"/>
      <c r="B258" s="56"/>
      <c r="C258" s="118"/>
      <c r="D258" s="118"/>
      <c r="E258" s="118"/>
      <c r="F258" s="56"/>
      <c r="G258" s="56"/>
      <c r="H258" s="56"/>
      <c r="I258" s="56"/>
      <c r="J258" s="56"/>
      <c r="K258" s="56"/>
      <c r="L258" s="56"/>
      <c r="M258" s="56"/>
      <c r="N258" s="56"/>
      <c r="O258" s="56"/>
      <c r="P258" s="56"/>
      <c r="Q258" s="56"/>
      <c r="R258" s="56"/>
      <c r="S258" s="56"/>
      <c r="T258" s="56"/>
      <c r="U258" s="56"/>
      <c r="V258" s="56"/>
      <c r="W258" s="56"/>
    </row>
    <row r="259">
      <c r="A259" s="121"/>
      <c r="B259" s="56"/>
      <c r="C259" s="118"/>
      <c r="D259" s="118"/>
      <c r="E259" s="118"/>
      <c r="F259" s="56"/>
      <c r="G259" s="56"/>
      <c r="H259" s="56"/>
      <c r="I259" s="56"/>
      <c r="J259" s="56"/>
      <c r="K259" s="56"/>
      <c r="L259" s="56"/>
      <c r="M259" s="56"/>
      <c r="N259" s="56"/>
      <c r="O259" s="56"/>
      <c r="P259" s="56"/>
      <c r="Q259" s="56"/>
      <c r="R259" s="56"/>
      <c r="S259" s="56"/>
      <c r="T259" s="56"/>
      <c r="U259" s="56"/>
      <c r="V259" s="56"/>
      <c r="W259" s="56"/>
    </row>
    <row r="260">
      <c r="A260" s="121"/>
      <c r="B260" s="56"/>
      <c r="C260" s="118"/>
      <c r="D260" s="118"/>
      <c r="E260" s="118"/>
      <c r="F260" s="56"/>
      <c r="G260" s="56"/>
      <c r="H260" s="56"/>
      <c r="I260" s="56"/>
      <c r="J260" s="56"/>
      <c r="K260" s="56"/>
      <c r="L260" s="56"/>
      <c r="M260" s="56"/>
      <c r="N260" s="56"/>
      <c r="O260" s="56"/>
      <c r="P260" s="56"/>
      <c r="Q260" s="56"/>
      <c r="R260" s="56"/>
      <c r="S260" s="56"/>
      <c r="T260" s="56"/>
      <c r="U260" s="56"/>
      <c r="V260" s="56"/>
      <c r="W260" s="56"/>
    </row>
    <row r="261">
      <c r="A261" s="121"/>
      <c r="B261" s="56"/>
      <c r="C261" s="118"/>
      <c r="D261" s="118"/>
      <c r="E261" s="118"/>
      <c r="F261" s="56"/>
      <c r="G261" s="56"/>
      <c r="H261" s="56"/>
      <c r="I261" s="56"/>
      <c r="J261" s="56"/>
      <c r="K261" s="56"/>
      <c r="L261" s="56"/>
      <c r="M261" s="56"/>
      <c r="N261" s="56"/>
      <c r="O261" s="56"/>
      <c r="P261" s="56"/>
      <c r="Q261" s="56"/>
      <c r="R261" s="56"/>
      <c r="S261" s="56"/>
      <c r="T261" s="56"/>
      <c r="U261" s="56"/>
      <c r="V261" s="56"/>
      <c r="W261" s="56"/>
    </row>
    <row r="262">
      <c r="A262" s="121"/>
      <c r="B262" s="56"/>
      <c r="C262" s="118"/>
      <c r="D262" s="118"/>
      <c r="E262" s="118"/>
      <c r="F262" s="56"/>
      <c r="G262" s="56"/>
      <c r="H262" s="56"/>
      <c r="I262" s="56"/>
      <c r="J262" s="56"/>
      <c r="K262" s="56"/>
      <c r="L262" s="56"/>
      <c r="M262" s="56"/>
      <c r="N262" s="56"/>
      <c r="O262" s="56"/>
      <c r="P262" s="56"/>
      <c r="Q262" s="56"/>
      <c r="R262" s="56"/>
      <c r="S262" s="56"/>
      <c r="T262" s="56"/>
      <c r="U262" s="56"/>
      <c r="V262" s="56"/>
      <c r="W262" s="56"/>
    </row>
    <row r="263">
      <c r="A263" s="121"/>
      <c r="B263" s="56"/>
      <c r="C263" s="118"/>
      <c r="D263" s="118"/>
      <c r="E263" s="118"/>
      <c r="F263" s="56"/>
      <c r="G263" s="56"/>
      <c r="H263" s="56"/>
      <c r="I263" s="56"/>
      <c r="J263" s="56"/>
      <c r="K263" s="56"/>
      <c r="L263" s="56"/>
      <c r="M263" s="56"/>
      <c r="N263" s="56"/>
      <c r="O263" s="56"/>
      <c r="P263" s="56"/>
      <c r="Q263" s="56"/>
      <c r="R263" s="56"/>
      <c r="S263" s="56"/>
      <c r="T263" s="56"/>
      <c r="U263" s="56"/>
      <c r="V263" s="56"/>
      <c r="W263" s="56"/>
    </row>
    <row r="264">
      <c r="A264" s="121"/>
      <c r="B264" s="56"/>
      <c r="C264" s="118"/>
      <c r="D264" s="118"/>
      <c r="E264" s="118"/>
      <c r="F264" s="56"/>
      <c r="G264" s="56"/>
      <c r="H264" s="56"/>
      <c r="I264" s="56"/>
      <c r="J264" s="56"/>
      <c r="K264" s="56"/>
      <c r="L264" s="56"/>
      <c r="M264" s="56"/>
      <c r="N264" s="56"/>
      <c r="O264" s="56"/>
      <c r="P264" s="56"/>
      <c r="Q264" s="56"/>
      <c r="R264" s="56"/>
      <c r="S264" s="56"/>
      <c r="T264" s="56"/>
      <c r="U264" s="56"/>
      <c r="V264" s="56"/>
      <c r="W264" s="56"/>
    </row>
    <row r="265">
      <c r="A265" s="121"/>
      <c r="B265" s="56"/>
      <c r="C265" s="118"/>
      <c r="D265" s="118"/>
      <c r="E265" s="118"/>
      <c r="F265" s="56"/>
      <c r="G265" s="56"/>
      <c r="H265" s="56"/>
      <c r="I265" s="56"/>
      <c r="J265" s="56"/>
      <c r="K265" s="56"/>
      <c r="L265" s="56"/>
      <c r="M265" s="56"/>
      <c r="N265" s="56"/>
      <c r="O265" s="56"/>
      <c r="P265" s="56"/>
      <c r="Q265" s="56"/>
      <c r="R265" s="56"/>
      <c r="S265" s="56"/>
      <c r="T265" s="56"/>
      <c r="U265" s="56"/>
      <c r="V265" s="56"/>
      <c r="W265" s="56"/>
    </row>
    <row r="266">
      <c r="A266" s="121"/>
      <c r="B266" s="56"/>
      <c r="C266" s="118"/>
      <c r="D266" s="118"/>
      <c r="E266" s="118"/>
      <c r="F266" s="56"/>
      <c r="G266" s="56"/>
      <c r="H266" s="56"/>
      <c r="I266" s="56"/>
      <c r="J266" s="56"/>
      <c r="K266" s="56"/>
      <c r="L266" s="56"/>
      <c r="M266" s="56"/>
      <c r="N266" s="56"/>
      <c r="O266" s="56"/>
      <c r="P266" s="56"/>
      <c r="Q266" s="56"/>
      <c r="R266" s="56"/>
      <c r="S266" s="56"/>
      <c r="T266" s="56"/>
      <c r="U266" s="56"/>
      <c r="V266" s="56"/>
      <c r="W266" s="56"/>
    </row>
    <row r="267">
      <c r="A267" s="121"/>
      <c r="B267" s="56"/>
      <c r="C267" s="118"/>
      <c r="D267" s="118"/>
      <c r="E267" s="118"/>
      <c r="F267" s="56"/>
      <c r="G267" s="56"/>
      <c r="H267" s="56"/>
      <c r="I267" s="56"/>
      <c r="J267" s="56"/>
      <c r="K267" s="56"/>
      <c r="L267" s="56"/>
      <c r="M267" s="56"/>
      <c r="N267" s="56"/>
      <c r="O267" s="56"/>
      <c r="P267" s="56"/>
      <c r="Q267" s="56"/>
      <c r="R267" s="56"/>
      <c r="S267" s="56"/>
      <c r="T267" s="56"/>
      <c r="U267" s="56"/>
      <c r="V267" s="56"/>
      <c r="W267" s="56"/>
    </row>
    <row r="268">
      <c r="A268" s="121"/>
      <c r="B268" s="56"/>
      <c r="C268" s="118"/>
      <c r="D268" s="118"/>
      <c r="E268" s="118"/>
      <c r="F268" s="56"/>
      <c r="G268" s="56"/>
      <c r="H268" s="56"/>
      <c r="I268" s="56"/>
      <c r="J268" s="56"/>
      <c r="K268" s="56"/>
      <c r="L268" s="56"/>
      <c r="M268" s="56"/>
      <c r="N268" s="56"/>
      <c r="O268" s="56"/>
      <c r="P268" s="56"/>
      <c r="Q268" s="56"/>
      <c r="R268" s="56"/>
      <c r="S268" s="56"/>
      <c r="T268" s="56"/>
      <c r="U268" s="56"/>
      <c r="V268" s="56"/>
      <c r="W268" s="56"/>
    </row>
    <row r="269">
      <c r="A269" s="121"/>
      <c r="B269" s="56"/>
      <c r="C269" s="118"/>
      <c r="D269" s="118"/>
      <c r="E269" s="118"/>
      <c r="F269" s="56"/>
      <c r="G269" s="56"/>
      <c r="H269" s="56"/>
      <c r="I269" s="56"/>
      <c r="J269" s="56"/>
      <c r="K269" s="56"/>
      <c r="L269" s="56"/>
      <c r="M269" s="56"/>
      <c r="N269" s="56"/>
      <c r="O269" s="56"/>
      <c r="P269" s="56"/>
      <c r="Q269" s="56"/>
      <c r="R269" s="56"/>
      <c r="S269" s="56"/>
      <c r="T269" s="56"/>
      <c r="U269" s="56"/>
      <c r="V269" s="56"/>
      <c r="W269" s="56"/>
    </row>
    <row r="270">
      <c r="A270" s="121"/>
      <c r="B270" s="56"/>
      <c r="C270" s="118"/>
      <c r="D270" s="118"/>
      <c r="E270" s="118"/>
      <c r="F270" s="56"/>
      <c r="G270" s="56"/>
      <c r="H270" s="56"/>
      <c r="I270" s="56"/>
      <c r="J270" s="56"/>
      <c r="K270" s="56"/>
      <c r="L270" s="56"/>
      <c r="M270" s="56"/>
      <c r="N270" s="56"/>
      <c r="O270" s="56"/>
      <c r="P270" s="56"/>
      <c r="Q270" s="56"/>
      <c r="R270" s="56"/>
      <c r="S270" s="56"/>
      <c r="T270" s="56"/>
      <c r="U270" s="56"/>
      <c r="V270" s="56"/>
      <c r="W270" s="56"/>
    </row>
    <row r="271">
      <c r="A271" s="121"/>
      <c r="B271" s="56"/>
      <c r="C271" s="118"/>
      <c r="D271" s="118"/>
      <c r="E271" s="118"/>
      <c r="F271" s="56"/>
      <c r="G271" s="56"/>
      <c r="H271" s="56"/>
      <c r="I271" s="56"/>
      <c r="J271" s="56"/>
      <c r="K271" s="56"/>
      <c r="L271" s="56"/>
      <c r="M271" s="56"/>
      <c r="N271" s="56"/>
      <c r="O271" s="56"/>
      <c r="P271" s="56"/>
      <c r="Q271" s="56"/>
      <c r="R271" s="56"/>
      <c r="S271" s="56"/>
      <c r="T271" s="56"/>
      <c r="U271" s="56"/>
      <c r="V271" s="56"/>
      <c r="W271" s="56"/>
    </row>
    <row r="272">
      <c r="A272" s="121"/>
      <c r="B272" s="56"/>
      <c r="C272" s="118"/>
      <c r="D272" s="118"/>
      <c r="E272" s="118"/>
      <c r="F272" s="56"/>
      <c r="G272" s="56"/>
      <c r="H272" s="56"/>
      <c r="I272" s="56"/>
      <c r="J272" s="56"/>
      <c r="K272" s="56"/>
      <c r="L272" s="56"/>
      <c r="M272" s="56"/>
      <c r="N272" s="56"/>
      <c r="O272" s="56"/>
      <c r="P272" s="56"/>
      <c r="Q272" s="56"/>
      <c r="R272" s="56"/>
      <c r="S272" s="56"/>
      <c r="T272" s="56"/>
      <c r="U272" s="56"/>
      <c r="V272" s="56"/>
      <c r="W272" s="56"/>
    </row>
    <row r="273">
      <c r="A273" s="121"/>
      <c r="B273" s="56"/>
      <c r="C273" s="118"/>
      <c r="D273" s="118"/>
      <c r="E273" s="118"/>
      <c r="F273" s="56"/>
      <c r="G273" s="56"/>
      <c r="H273" s="56"/>
      <c r="I273" s="56"/>
      <c r="J273" s="56"/>
      <c r="K273" s="56"/>
      <c r="L273" s="56"/>
      <c r="M273" s="56"/>
      <c r="N273" s="56"/>
      <c r="O273" s="56"/>
      <c r="P273" s="56"/>
      <c r="Q273" s="56"/>
      <c r="R273" s="56"/>
      <c r="S273" s="56"/>
      <c r="T273" s="56"/>
      <c r="U273" s="56"/>
      <c r="V273" s="56"/>
      <c r="W273" s="56"/>
    </row>
    <row r="274">
      <c r="A274" s="121"/>
      <c r="B274" s="56"/>
      <c r="C274" s="118"/>
      <c r="D274" s="118"/>
      <c r="E274" s="118"/>
      <c r="F274" s="56"/>
      <c r="G274" s="56"/>
      <c r="H274" s="56"/>
      <c r="I274" s="56"/>
      <c r="J274" s="56"/>
      <c r="K274" s="56"/>
      <c r="L274" s="56"/>
      <c r="M274" s="56"/>
      <c r="N274" s="56"/>
      <c r="O274" s="56"/>
      <c r="P274" s="56"/>
      <c r="Q274" s="56"/>
      <c r="R274" s="56"/>
      <c r="S274" s="56"/>
      <c r="T274" s="56"/>
      <c r="U274" s="56"/>
      <c r="V274" s="56"/>
      <c r="W274" s="56"/>
    </row>
    <row r="275">
      <c r="A275" s="121"/>
      <c r="B275" s="56"/>
      <c r="C275" s="118"/>
      <c r="D275" s="118"/>
      <c r="E275" s="118"/>
      <c r="F275" s="56"/>
      <c r="G275" s="56"/>
      <c r="H275" s="56"/>
      <c r="I275" s="56"/>
      <c r="J275" s="56"/>
      <c r="K275" s="56"/>
      <c r="L275" s="56"/>
      <c r="M275" s="56"/>
      <c r="N275" s="56"/>
      <c r="O275" s="56"/>
      <c r="P275" s="56"/>
      <c r="Q275" s="56"/>
      <c r="R275" s="56"/>
      <c r="S275" s="56"/>
      <c r="T275" s="56"/>
      <c r="U275" s="56"/>
      <c r="V275" s="56"/>
      <c r="W275" s="56"/>
    </row>
    <row r="276">
      <c r="A276" s="121"/>
      <c r="B276" s="56"/>
      <c r="C276" s="118"/>
      <c r="D276" s="118"/>
      <c r="E276" s="118"/>
      <c r="F276" s="56"/>
      <c r="G276" s="56"/>
      <c r="H276" s="56"/>
      <c r="I276" s="56"/>
      <c r="J276" s="56"/>
      <c r="K276" s="56"/>
      <c r="L276" s="56"/>
      <c r="M276" s="56"/>
      <c r="N276" s="56"/>
      <c r="O276" s="56"/>
      <c r="P276" s="56"/>
      <c r="Q276" s="56"/>
      <c r="R276" s="56"/>
      <c r="S276" s="56"/>
      <c r="T276" s="56"/>
      <c r="U276" s="56"/>
      <c r="V276" s="56"/>
      <c r="W276" s="56"/>
    </row>
    <row r="277">
      <c r="A277" s="121"/>
      <c r="B277" s="56"/>
      <c r="C277" s="118"/>
      <c r="D277" s="118"/>
      <c r="E277" s="118"/>
      <c r="F277" s="56"/>
      <c r="G277" s="56"/>
      <c r="H277" s="56"/>
      <c r="I277" s="56"/>
      <c r="J277" s="56"/>
      <c r="K277" s="56"/>
      <c r="L277" s="56"/>
      <c r="M277" s="56"/>
      <c r="N277" s="56"/>
      <c r="O277" s="56"/>
      <c r="P277" s="56"/>
      <c r="Q277" s="56"/>
      <c r="R277" s="56"/>
      <c r="S277" s="56"/>
      <c r="T277" s="56"/>
      <c r="U277" s="56"/>
      <c r="V277" s="56"/>
      <c r="W277" s="56"/>
    </row>
    <row r="278">
      <c r="A278" s="121"/>
      <c r="B278" s="56"/>
      <c r="C278" s="118"/>
      <c r="D278" s="118"/>
      <c r="E278" s="118"/>
      <c r="F278" s="56"/>
      <c r="G278" s="56"/>
      <c r="H278" s="56"/>
      <c r="I278" s="56"/>
      <c r="J278" s="56"/>
      <c r="K278" s="56"/>
      <c r="L278" s="56"/>
      <c r="M278" s="56"/>
      <c r="N278" s="56"/>
      <c r="O278" s="56"/>
      <c r="P278" s="56"/>
      <c r="Q278" s="56"/>
      <c r="R278" s="56"/>
      <c r="S278" s="56"/>
      <c r="T278" s="56"/>
      <c r="U278" s="56"/>
      <c r="V278" s="56"/>
      <c r="W278" s="56"/>
    </row>
    <row r="279">
      <c r="A279" s="121"/>
      <c r="B279" s="56"/>
      <c r="C279" s="118"/>
      <c r="D279" s="118"/>
      <c r="E279" s="118"/>
      <c r="F279" s="56"/>
      <c r="G279" s="56"/>
      <c r="H279" s="56"/>
      <c r="I279" s="56"/>
      <c r="J279" s="56"/>
      <c r="K279" s="56"/>
      <c r="L279" s="56"/>
      <c r="M279" s="56"/>
      <c r="N279" s="56"/>
      <c r="O279" s="56"/>
      <c r="P279" s="56"/>
      <c r="Q279" s="56"/>
      <c r="R279" s="56"/>
      <c r="S279" s="56"/>
      <c r="T279" s="56"/>
      <c r="U279" s="56"/>
      <c r="V279" s="56"/>
      <c r="W279" s="56"/>
    </row>
    <row r="280">
      <c r="A280" s="121"/>
      <c r="B280" s="56"/>
      <c r="C280" s="118"/>
      <c r="D280" s="118"/>
      <c r="E280" s="118"/>
      <c r="F280" s="56"/>
      <c r="G280" s="56"/>
      <c r="H280" s="56"/>
      <c r="I280" s="56"/>
      <c r="J280" s="56"/>
      <c r="K280" s="56"/>
      <c r="L280" s="56"/>
      <c r="M280" s="56"/>
      <c r="N280" s="56"/>
      <c r="O280" s="56"/>
      <c r="P280" s="56"/>
      <c r="Q280" s="56"/>
      <c r="R280" s="56"/>
      <c r="S280" s="56"/>
      <c r="T280" s="56"/>
      <c r="U280" s="56"/>
      <c r="V280" s="56"/>
      <c r="W280" s="56"/>
    </row>
    <row r="281">
      <c r="A281" s="121"/>
      <c r="B281" s="56"/>
      <c r="C281" s="118"/>
      <c r="D281" s="118"/>
      <c r="E281" s="118"/>
      <c r="F281" s="56"/>
      <c r="G281" s="56"/>
      <c r="H281" s="56"/>
      <c r="I281" s="56"/>
      <c r="J281" s="56"/>
      <c r="K281" s="56"/>
      <c r="L281" s="56"/>
      <c r="M281" s="56"/>
      <c r="N281" s="56"/>
      <c r="O281" s="56"/>
      <c r="P281" s="56"/>
      <c r="Q281" s="56"/>
      <c r="R281" s="56"/>
      <c r="S281" s="56"/>
      <c r="T281" s="56"/>
      <c r="U281" s="56"/>
      <c r="V281" s="56"/>
      <c r="W281" s="56"/>
    </row>
    <row r="282">
      <c r="A282" s="121"/>
      <c r="B282" s="56"/>
      <c r="C282" s="118"/>
      <c r="D282" s="118"/>
      <c r="E282" s="118"/>
      <c r="F282" s="56"/>
      <c r="G282" s="56"/>
      <c r="H282" s="56"/>
      <c r="I282" s="56"/>
      <c r="J282" s="56"/>
      <c r="K282" s="56"/>
      <c r="L282" s="56"/>
      <c r="M282" s="56"/>
      <c r="N282" s="56"/>
      <c r="O282" s="56"/>
      <c r="P282" s="56"/>
      <c r="Q282" s="56"/>
      <c r="R282" s="56"/>
      <c r="S282" s="56"/>
      <c r="T282" s="56"/>
      <c r="U282" s="56"/>
      <c r="V282" s="56"/>
      <c r="W282" s="56"/>
    </row>
    <row r="283">
      <c r="A283" s="121"/>
      <c r="B283" s="56"/>
      <c r="C283" s="118"/>
      <c r="D283" s="118"/>
      <c r="E283" s="118"/>
      <c r="F283" s="56"/>
      <c r="G283" s="56"/>
      <c r="H283" s="56"/>
      <c r="I283" s="56"/>
      <c r="J283" s="56"/>
      <c r="K283" s="56"/>
      <c r="L283" s="56"/>
      <c r="M283" s="56"/>
      <c r="N283" s="56"/>
      <c r="O283" s="56"/>
      <c r="P283" s="56"/>
      <c r="Q283" s="56"/>
      <c r="R283" s="56"/>
      <c r="S283" s="56"/>
      <c r="T283" s="56"/>
      <c r="U283" s="56"/>
      <c r="V283" s="56"/>
      <c r="W283" s="56"/>
    </row>
    <row r="284">
      <c r="A284" s="121"/>
      <c r="B284" s="56"/>
      <c r="C284" s="118"/>
      <c r="D284" s="118"/>
      <c r="E284" s="118"/>
      <c r="F284" s="56"/>
      <c r="G284" s="56"/>
      <c r="H284" s="56"/>
      <c r="I284" s="56"/>
      <c r="J284" s="56"/>
      <c r="K284" s="56"/>
      <c r="L284" s="56"/>
      <c r="M284" s="56"/>
      <c r="N284" s="56"/>
      <c r="O284" s="56"/>
      <c r="P284" s="56"/>
      <c r="Q284" s="56"/>
      <c r="R284" s="56"/>
      <c r="S284" s="56"/>
      <c r="T284" s="56"/>
      <c r="U284" s="56"/>
      <c r="V284" s="56"/>
      <c r="W284" s="56"/>
    </row>
    <row r="285">
      <c r="A285" s="121"/>
      <c r="B285" s="56"/>
      <c r="C285" s="118"/>
      <c r="D285" s="118"/>
      <c r="E285" s="118"/>
      <c r="F285" s="56"/>
      <c r="G285" s="56"/>
      <c r="H285" s="56"/>
      <c r="I285" s="56"/>
      <c r="J285" s="56"/>
      <c r="K285" s="56"/>
      <c r="L285" s="56"/>
      <c r="M285" s="56"/>
      <c r="N285" s="56"/>
      <c r="O285" s="56"/>
      <c r="P285" s="56"/>
      <c r="Q285" s="56"/>
      <c r="R285" s="56"/>
      <c r="S285" s="56"/>
      <c r="T285" s="56"/>
      <c r="U285" s="56"/>
      <c r="V285" s="56"/>
      <c r="W285" s="56"/>
    </row>
    <row r="286">
      <c r="A286" s="121"/>
      <c r="B286" s="56"/>
      <c r="C286" s="118"/>
      <c r="D286" s="118"/>
      <c r="E286" s="118"/>
      <c r="F286" s="56"/>
      <c r="G286" s="56"/>
      <c r="H286" s="56"/>
      <c r="I286" s="56"/>
      <c r="J286" s="56"/>
      <c r="K286" s="56"/>
      <c r="L286" s="56"/>
      <c r="M286" s="56"/>
      <c r="N286" s="56"/>
      <c r="O286" s="56"/>
      <c r="P286" s="56"/>
      <c r="Q286" s="56"/>
      <c r="R286" s="56"/>
      <c r="S286" s="56"/>
      <c r="T286" s="56"/>
      <c r="U286" s="56"/>
      <c r="V286" s="56"/>
      <c r="W286" s="56"/>
    </row>
    <row r="287">
      <c r="A287" s="121"/>
      <c r="B287" s="56"/>
      <c r="C287" s="118"/>
      <c r="D287" s="118"/>
      <c r="E287" s="118"/>
      <c r="F287" s="56"/>
      <c r="G287" s="56"/>
      <c r="H287" s="56"/>
      <c r="I287" s="56"/>
      <c r="J287" s="56"/>
      <c r="K287" s="56"/>
      <c r="L287" s="56"/>
      <c r="M287" s="56"/>
      <c r="N287" s="56"/>
      <c r="O287" s="56"/>
      <c r="P287" s="56"/>
      <c r="Q287" s="56"/>
      <c r="R287" s="56"/>
      <c r="S287" s="56"/>
      <c r="T287" s="56"/>
      <c r="U287" s="56"/>
      <c r="V287" s="56"/>
      <c r="W287" s="56"/>
    </row>
    <row r="288">
      <c r="A288" s="121"/>
      <c r="B288" s="56"/>
      <c r="C288" s="118"/>
      <c r="D288" s="118"/>
      <c r="E288" s="118"/>
      <c r="F288" s="56"/>
      <c r="G288" s="56"/>
      <c r="H288" s="56"/>
      <c r="I288" s="56"/>
      <c r="J288" s="56"/>
      <c r="K288" s="56"/>
      <c r="L288" s="56"/>
      <c r="M288" s="56"/>
      <c r="N288" s="56"/>
      <c r="O288" s="56"/>
      <c r="P288" s="56"/>
      <c r="Q288" s="56"/>
      <c r="R288" s="56"/>
      <c r="S288" s="56"/>
      <c r="T288" s="56"/>
      <c r="U288" s="56"/>
      <c r="V288" s="56"/>
      <c r="W288" s="56"/>
    </row>
    <row r="289">
      <c r="A289" s="121"/>
      <c r="B289" s="56"/>
      <c r="C289" s="118"/>
      <c r="D289" s="118"/>
      <c r="E289" s="118"/>
      <c r="F289" s="56"/>
      <c r="G289" s="56"/>
      <c r="H289" s="56"/>
      <c r="I289" s="56"/>
      <c r="J289" s="56"/>
      <c r="K289" s="56"/>
      <c r="L289" s="56"/>
      <c r="M289" s="56"/>
      <c r="N289" s="56"/>
      <c r="O289" s="56"/>
      <c r="P289" s="56"/>
      <c r="Q289" s="56"/>
      <c r="R289" s="56"/>
      <c r="S289" s="56"/>
      <c r="T289" s="56"/>
      <c r="U289" s="56"/>
      <c r="V289" s="56"/>
      <c r="W289" s="56"/>
    </row>
    <row r="290">
      <c r="A290" s="121"/>
      <c r="B290" s="56"/>
      <c r="C290" s="118"/>
      <c r="D290" s="118"/>
      <c r="E290" s="118"/>
      <c r="F290" s="56"/>
      <c r="G290" s="56"/>
      <c r="H290" s="56"/>
      <c r="I290" s="56"/>
      <c r="J290" s="56"/>
      <c r="K290" s="56"/>
      <c r="L290" s="56"/>
      <c r="M290" s="56"/>
      <c r="N290" s="56"/>
      <c r="O290" s="56"/>
      <c r="P290" s="56"/>
      <c r="Q290" s="56"/>
      <c r="R290" s="56"/>
      <c r="S290" s="56"/>
      <c r="T290" s="56"/>
      <c r="U290" s="56"/>
      <c r="V290" s="56"/>
      <c r="W290" s="56"/>
    </row>
    <row r="291">
      <c r="A291" s="121"/>
      <c r="B291" s="56"/>
      <c r="C291" s="118"/>
      <c r="D291" s="118"/>
      <c r="E291" s="118"/>
      <c r="F291" s="56"/>
      <c r="G291" s="56"/>
      <c r="H291" s="56"/>
      <c r="I291" s="56"/>
      <c r="J291" s="56"/>
      <c r="K291" s="56"/>
      <c r="L291" s="56"/>
      <c r="M291" s="56"/>
      <c r="N291" s="56"/>
      <c r="O291" s="56"/>
      <c r="P291" s="56"/>
      <c r="Q291" s="56"/>
      <c r="R291" s="56"/>
      <c r="S291" s="56"/>
      <c r="T291" s="56"/>
      <c r="U291" s="56"/>
      <c r="V291" s="56"/>
      <c r="W291" s="56"/>
    </row>
    <row r="292">
      <c r="A292" s="121"/>
      <c r="B292" s="56"/>
      <c r="C292" s="118"/>
      <c r="D292" s="118"/>
      <c r="E292" s="118"/>
      <c r="F292" s="56"/>
      <c r="G292" s="56"/>
      <c r="H292" s="56"/>
      <c r="I292" s="56"/>
      <c r="J292" s="56"/>
      <c r="K292" s="56"/>
      <c r="L292" s="56"/>
      <c r="M292" s="56"/>
      <c r="N292" s="56"/>
      <c r="O292" s="56"/>
      <c r="P292" s="56"/>
      <c r="Q292" s="56"/>
      <c r="R292" s="56"/>
      <c r="S292" s="56"/>
      <c r="T292" s="56"/>
      <c r="U292" s="56"/>
      <c r="V292" s="56"/>
      <c r="W292" s="56"/>
    </row>
    <row r="293">
      <c r="A293" s="121"/>
      <c r="B293" s="56"/>
      <c r="C293" s="118"/>
      <c r="D293" s="118"/>
      <c r="E293" s="118"/>
      <c r="F293" s="56"/>
      <c r="G293" s="56"/>
      <c r="H293" s="56"/>
      <c r="I293" s="56"/>
      <c r="J293" s="56"/>
      <c r="K293" s="56"/>
      <c r="L293" s="56"/>
      <c r="M293" s="56"/>
      <c r="N293" s="56"/>
      <c r="O293" s="56"/>
      <c r="P293" s="56"/>
      <c r="Q293" s="56"/>
      <c r="R293" s="56"/>
      <c r="S293" s="56"/>
      <c r="T293" s="56"/>
      <c r="U293" s="56"/>
      <c r="V293" s="56"/>
      <c r="W293" s="56"/>
    </row>
    <row r="294">
      <c r="A294" s="121"/>
      <c r="B294" s="56"/>
      <c r="C294" s="118"/>
      <c r="D294" s="118"/>
      <c r="E294" s="118"/>
      <c r="F294" s="56"/>
      <c r="G294" s="56"/>
      <c r="H294" s="56"/>
      <c r="I294" s="56"/>
      <c r="J294" s="56"/>
      <c r="K294" s="56"/>
      <c r="L294" s="56"/>
      <c r="M294" s="56"/>
      <c r="N294" s="56"/>
      <c r="O294" s="56"/>
      <c r="P294" s="56"/>
      <c r="Q294" s="56"/>
      <c r="R294" s="56"/>
      <c r="S294" s="56"/>
      <c r="T294" s="56"/>
      <c r="U294" s="56"/>
      <c r="V294" s="56"/>
      <c r="W294" s="56"/>
    </row>
    <row r="295">
      <c r="A295" s="121"/>
      <c r="B295" s="56"/>
      <c r="C295" s="118"/>
      <c r="D295" s="118"/>
      <c r="E295" s="118"/>
      <c r="F295" s="56"/>
      <c r="G295" s="56"/>
      <c r="H295" s="56"/>
      <c r="I295" s="56"/>
      <c r="J295" s="56"/>
      <c r="K295" s="56"/>
      <c r="L295" s="56"/>
      <c r="M295" s="56"/>
      <c r="N295" s="56"/>
      <c r="O295" s="56"/>
      <c r="P295" s="56"/>
      <c r="Q295" s="56"/>
      <c r="R295" s="56"/>
      <c r="S295" s="56"/>
      <c r="T295" s="56"/>
      <c r="U295" s="56"/>
      <c r="V295" s="56"/>
      <c r="W295" s="56"/>
    </row>
    <row r="296">
      <c r="A296" s="121"/>
      <c r="B296" s="56"/>
      <c r="C296" s="118"/>
      <c r="D296" s="118"/>
      <c r="E296" s="118"/>
      <c r="F296" s="56"/>
      <c r="G296" s="56"/>
      <c r="H296" s="56"/>
      <c r="I296" s="56"/>
      <c r="J296" s="56"/>
      <c r="K296" s="56"/>
      <c r="L296" s="56"/>
      <c r="M296" s="56"/>
      <c r="N296" s="56"/>
      <c r="O296" s="56"/>
      <c r="P296" s="56"/>
      <c r="Q296" s="56"/>
      <c r="R296" s="56"/>
      <c r="S296" s="56"/>
      <c r="T296" s="56"/>
      <c r="U296" s="56"/>
      <c r="V296" s="56"/>
      <c r="W296" s="56"/>
    </row>
    <row r="297">
      <c r="A297" s="121"/>
      <c r="B297" s="56"/>
      <c r="C297" s="118"/>
      <c r="D297" s="118"/>
      <c r="E297" s="118"/>
      <c r="F297" s="56"/>
      <c r="G297" s="56"/>
      <c r="H297" s="56"/>
      <c r="I297" s="56"/>
      <c r="J297" s="56"/>
      <c r="K297" s="56"/>
      <c r="L297" s="56"/>
      <c r="M297" s="56"/>
      <c r="N297" s="56"/>
      <c r="O297" s="56"/>
      <c r="P297" s="56"/>
      <c r="Q297" s="56"/>
      <c r="R297" s="56"/>
      <c r="S297" s="56"/>
      <c r="T297" s="56"/>
      <c r="U297" s="56"/>
      <c r="V297" s="56"/>
      <c r="W297" s="56"/>
    </row>
    <row r="298">
      <c r="A298" s="121"/>
      <c r="B298" s="56"/>
      <c r="C298" s="118"/>
      <c r="D298" s="118"/>
      <c r="E298" s="118"/>
      <c r="F298" s="56"/>
      <c r="G298" s="56"/>
      <c r="H298" s="56"/>
      <c r="I298" s="56"/>
      <c r="J298" s="56"/>
      <c r="K298" s="56"/>
      <c r="L298" s="56"/>
      <c r="M298" s="56"/>
      <c r="N298" s="56"/>
      <c r="O298" s="56"/>
      <c r="P298" s="56"/>
      <c r="Q298" s="56"/>
      <c r="R298" s="56"/>
      <c r="S298" s="56"/>
      <c r="T298" s="56"/>
      <c r="U298" s="56"/>
      <c r="V298" s="56"/>
      <c r="W298" s="56"/>
    </row>
    <row r="299">
      <c r="A299" s="121"/>
      <c r="B299" s="56"/>
      <c r="C299" s="118"/>
      <c r="D299" s="118"/>
      <c r="E299" s="118"/>
      <c r="F299" s="56"/>
      <c r="G299" s="56"/>
      <c r="H299" s="56"/>
      <c r="I299" s="56"/>
      <c r="J299" s="56"/>
      <c r="K299" s="56"/>
      <c r="L299" s="56"/>
      <c r="M299" s="56"/>
      <c r="N299" s="56"/>
      <c r="O299" s="56"/>
      <c r="P299" s="56"/>
      <c r="Q299" s="56"/>
      <c r="R299" s="56"/>
      <c r="S299" s="56"/>
      <c r="T299" s="56"/>
      <c r="U299" s="56"/>
      <c r="V299" s="56"/>
      <c r="W299" s="56"/>
    </row>
    <row r="300">
      <c r="A300" s="121"/>
      <c r="B300" s="56"/>
      <c r="C300" s="118"/>
      <c r="D300" s="118"/>
      <c r="E300" s="118"/>
      <c r="F300" s="56"/>
      <c r="G300" s="56"/>
      <c r="H300" s="56"/>
      <c r="I300" s="56"/>
      <c r="J300" s="56"/>
      <c r="K300" s="56"/>
      <c r="L300" s="56"/>
      <c r="M300" s="56"/>
      <c r="N300" s="56"/>
      <c r="O300" s="56"/>
      <c r="P300" s="56"/>
      <c r="Q300" s="56"/>
      <c r="R300" s="56"/>
      <c r="S300" s="56"/>
      <c r="T300" s="56"/>
      <c r="U300" s="56"/>
      <c r="V300" s="56"/>
      <c r="W300" s="56"/>
    </row>
    <row r="301">
      <c r="A301" s="121"/>
      <c r="B301" s="56"/>
      <c r="C301" s="118"/>
      <c r="D301" s="118"/>
      <c r="E301" s="118"/>
      <c r="F301" s="56"/>
      <c r="G301" s="56"/>
      <c r="H301" s="56"/>
      <c r="I301" s="56"/>
      <c r="J301" s="56"/>
      <c r="K301" s="56"/>
      <c r="L301" s="56"/>
      <c r="M301" s="56"/>
      <c r="N301" s="56"/>
      <c r="O301" s="56"/>
      <c r="P301" s="56"/>
      <c r="Q301" s="56"/>
      <c r="R301" s="56"/>
      <c r="S301" s="56"/>
      <c r="T301" s="56"/>
      <c r="U301" s="56"/>
      <c r="V301" s="56"/>
      <c r="W301" s="56"/>
    </row>
    <row r="302">
      <c r="A302" s="121"/>
      <c r="B302" s="56"/>
      <c r="C302" s="118"/>
      <c r="D302" s="118"/>
      <c r="E302" s="118"/>
      <c r="F302" s="56"/>
      <c r="G302" s="56"/>
      <c r="H302" s="56"/>
      <c r="I302" s="56"/>
      <c r="J302" s="56"/>
      <c r="K302" s="56"/>
      <c r="L302" s="56"/>
      <c r="M302" s="56"/>
      <c r="N302" s="56"/>
      <c r="O302" s="56"/>
      <c r="P302" s="56"/>
      <c r="Q302" s="56"/>
      <c r="R302" s="56"/>
      <c r="S302" s="56"/>
      <c r="T302" s="56"/>
      <c r="U302" s="56"/>
      <c r="V302" s="56"/>
      <c r="W302" s="56"/>
    </row>
    <row r="303">
      <c r="A303" s="121"/>
      <c r="B303" s="56"/>
      <c r="C303" s="118"/>
      <c r="D303" s="118"/>
      <c r="E303" s="118"/>
      <c r="F303" s="56"/>
      <c r="G303" s="56"/>
      <c r="H303" s="56"/>
      <c r="I303" s="56"/>
      <c r="J303" s="56"/>
      <c r="K303" s="56"/>
      <c r="L303" s="56"/>
      <c r="M303" s="56"/>
      <c r="N303" s="56"/>
      <c r="O303" s="56"/>
      <c r="P303" s="56"/>
      <c r="Q303" s="56"/>
      <c r="R303" s="56"/>
      <c r="S303" s="56"/>
      <c r="T303" s="56"/>
      <c r="U303" s="56"/>
      <c r="V303" s="56"/>
      <c r="W303" s="56"/>
    </row>
    <row r="304">
      <c r="A304" s="121"/>
      <c r="B304" s="56"/>
      <c r="C304" s="118"/>
      <c r="D304" s="118"/>
      <c r="E304" s="118"/>
      <c r="F304" s="56"/>
      <c r="G304" s="56"/>
      <c r="H304" s="56"/>
      <c r="I304" s="56"/>
      <c r="J304" s="56"/>
      <c r="K304" s="56"/>
      <c r="L304" s="56"/>
      <c r="M304" s="56"/>
      <c r="N304" s="56"/>
      <c r="O304" s="56"/>
      <c r="P304" s="56"/>
      <c r="Q304" s="56"/>
      <c r="R304" s="56"/>
      <c r="S304" s="56"/>
      <c r="T304" s="56"/>
      <c r="U304" s="56"/>
      <c r="V304" s="56"/>
      <c r="W304" s="56"/>
    </row>
    <row r="305">
      <c r="A305" s="121"/>
      <c r="B305" s="56"/>
      <c r="C305" s="118"/>
      <c r="D305" s="118"/>
      <c r="E305" s="118"/>
      <c r="F305" s="56"/>
      <c r="G305" s="56"/>
      <c r="H305" s="56"/>
      <c r="I305" s="56"/>
      <c r="J305" s="56"/>
      <c r="K305" s="56"/>
      <c r="L305" s="56"/>
      <c r="M305" s="56"/>
      <c r="N305" s="56"/>
      <c r="O305" s="56"/>
      <c r="P305" s="56"/>
      <c r="Q305" s="56"/>
      <c r="R305" s="56"/>
      <c r="S305" s="56"/>
      <c r="T305" s="56"/>
      <c r="U305" s="56"/>
      <c r="V305" s="56"/>
      <c r="W305" s="56"/>
    </row>
    <row r="306">
      <c r="A306" s="121"/>
      <c r="B306" s="56"/>
      <c r="C306" s="118"/>
      <c r="D306" s="118"/>
      <c r="E306" s="118"/>
      <c r="F306" s="56"/>
      <c r="G306" s="56"/>
      <c r="H306" s="56"/>
      <c r="I306" s="56"/>
      <c r="J306" s="56"/>
      <c r="K306" s="56"/>
      <c r="L306" s="56"/>
      <c r="M306" s="56"/>
      <c r="N306" s="56"/>
      <c r="O306" s="56"/>
      <c r="P306" s="56"/>
      <c r="Q306" s="56"/>
      <c r="R306" s="56"/>
      <c r="S306" s="56"/>
      <c r="T306" s="56"/>
      <c r="U306" s="56"/>
      <c r="V306" s="56"/>
      <c r="W306" s="56"/>
    </row>
    <row r="307">
      <c r="A307" s="121"/>
      <c r="B307" s="56"/>
      <c r="C307" s="118"/>
      <c r="D307" s="118"/>
      <c r="E307" s="118"/>
      <c r="F307" s="56"/>
      <c r="G307" s="56"/>
      <c r="H307" s="56"/>
      <c r="I307" s="56"/>
      <c r="J307" s="56"/>
      <c r="K307" s="56"/>
      <c r="L307" s="56"/>
      <c r="M307" s="56"/>
      <c r="N307" s="56"/>
      <c r="O307" s="56"/>
      <c r="P307" s="56"/>
      <c r="Q307" s="56"/>
      <c r="R307" s="56"/>
      <c r="S307" s="56"/>
      <c r="T307" s="56"/>
      <c r="U307" s="56"/>
      <c r="V307" s="56"/>
      <c r="W307" s="56"/>
    </row>
    <row r="308">
      <c r="A308" s="121"/>
      <c r="B308" s="56"/>
      <c r="C308" s="118"/>
      <c r="D308" s="118"/>
      <c r="E308" s="118"/>
      <c r="F308" s="56"/>
      <c r="G308" s="56"/>
      <c r="H308" s="56"/>
      <c r="I308" s="56"/>
      <c r="J308" s="56"/>
      <c r="K308" s="56"/>
      <c r="L308" s="56"/>
      <c r="M308" s="56"/>
      <c r="N308" s="56"/>
      <c r="O308" s="56"/>
      <c r="P308" s="56"/>
      <c r="Q308" s="56"/>
      <c r="R308" s="56"/>
      <c r="S308" s="56"/>
      <c r="T308" s="56"/>
      <c r="U308" s="56"/>
      <c r="V308" s="56"/>
      <c r="W308" s="56"/>
    </row>
    <row r="309">
      <c r="A309" s="121"/>
      <c r="B309" s="56"/>
      <c r="C309" s="118"/>
      <c r="D309" s="118"/>
      <c r="E309" s="118"/>
      <c r="F309" s="56"/>
      <c r="G309" s="56"/>
      <c r="H309" s="56"/>
      <c r="I309" s="56"/>
      <c r="J309" s="56"/>
      <c r="K309" s="56"/>
      <c r="L309" s="56"/>
      <c r="M309" s="56"/>
      <c r="N309" s="56"/>
      <c r="O309" s="56"/>
      <c r="P309" s="56"/>
      <c r="Q309" s="56"/>
      <c r="R309" s="56"/>
      <c r="S309" s="56"/>
      <c r="T309" s="56"/>
      <c r="U309" s="56"/>
      <c r="V309" s="56"/>
      <c r="W309" s="56"/>
    </row>
    <row r="310">
      <c r="A310" s="121"/>
      <c r="B310" s="56"/>
      <c r="C310" s="118"/>
      <c r="D310" s="118"/>
      <c r="E310" s="118"/>
      <c r="F310" s="56"/>
      <c r="G310" s="56"/>
      <c r="H310" s="56"/>
      <c r="I310" s="56"/>
      <c r="J310" s="56"/>
      <c r="K310" s="56"/>
      <c r="L310" s="56"/>
      <c r="M310" s="56"/>
      <c r="N310" s="56"/>
      <c r="O310" s="56"/>
      <c r="P310" s="56"/>
      <c r="Q310" s="56"/>
      <c r="R310" s="56"/>
      <c r="S310" s="56"/>
      <c r="T310" s="56"/>
      <c r="U310" s="56"/>
      <c r="V310" s="56"/>
      <c r="W310" s="56"/>
    </row>
    <row r="311">
      <c r="A311" s="121"/>
      <c r="B311" s="56"/>
      <c r="C311" s="118"/>
      <c r="D311" s="118"/>
      <c r="E311" s="118"/>
      <c r="F311" s="56"/>
      <c r="G311" s="56"/>
      <c r="H311" s="56"/>
      <c r="I311" s="56"/>
      <c r="J311" s="56"/>
      <c r="K311" s="56"/>
      <c r="L311" s="56"/>
      <c r="M311" s="56"/>
      <c r="N311" s="56"/>
      <c r="O311" s="56"/>
      <c r="P311" s="56"/>
      <c r="Q311" s="56"/>
      <c r="R311" s="56"/>
      <c r="S311" s="56"/>
      <c r="T311" s="56"/>
      <c r="U311" s="56"/>
      <c r="V311" s="56"/>
      <c r="W311" s="56"/>
    </row>
    <row r="312">
      <c r="A312" s="121"/>
      <c r="B312" s="56"/>
      <c r="C312" s="118"/>
      <c r="D312" s="118"/>
      <c r="E312" s="118"/>
      <c r="F312" s="56"/>
      <c r="G312" s="56"/>
      <c r="H312" s="56"/>
      <c r="I312" s="56"/>
      <c r="J312" s="56"/>
      <c r="K312" s="56"/>
      <c r="L312" s="56"/>
      <c r="M312" s="56"/>
      <c r="N312" s="56"/>
      <c r="O312" s="56"/>
      <c r="P312" s="56"/>
      <c r="Q312" s="56"/>
      <c r="R312" s="56"/>
      <c r="S312" s="56"/>
      <c r="T312" s="56"/>
      <c r="U312" s="56"/>
      <c r="V312" s="56"/>
      <c r="W312" s="56"/>
    </row>
    <row r="313">
      <c r="A313" s="121"/>
      <c r="B313" s="56"/>
      <c r="C313" s="118"/>
      <c r="D313" s="118"/>
      <c r="E313" s="118"/>
      <c r="F313" s="56"/>
      <c r="G313" s="56"/>
      <c r="H313" s="56"/>
      <c r="I313" s="56"/>
      <c r="J313" s="56"/>
      <c r="K313" s="56"/>
      <c r="L313" s="56"/>
      <c r="M313" s="56"/>
      <c r="N313" s="56"/>
      <c r="O313" s="56"/>
      <c r="P313" s="56"/>
      <c r="Q313" s="56"/>
      <c r="R313" s="56"/>
      <c r="S313" s="56"/>
      <c r="T313" s="56"/>
      <c r="U313" s="56"/>
      <c r="V313" s="56"/>
      <c r="W313" s="56"/>
    </row>
    <row r="314">
      <c r="A314" s="121"/>
      <c r="B314" s="56"/>
      <c r="C314" s="118"/>
      <c r="D314" s="118"/>
      <c r="E314" s="118"/>
      <c r="F314" s="56"/>
      <c r="G314" s="56"/>
      <c r="H314" s="56"/>
      <c r="I314" s="56"/>
      <c r="J314" s="56"/>
      <c r="K314" s="56"/>
      <c r="L314" s="56"/>
      <c r="M314" s="56"/>
      <c r="N314" s="56"/>
      <c r="O314" s="56"/>
      <c r="P314" s="56"/>
      <c r="Q314" s="56"/>
      <c r="R314" s="56"/>
      <c r="S314" s="56"/>
      <c r="T314" s="56"/>
      <c r="U314" s="56"/>
      <c r="V314" s="56"/>
      <c r="W314" s="56"/>
    </row>
    <row r="315">
      <c r="A315" s="121"/>
      <c r="B315" s="56"/>
      <c r="C315" s="118"/>
      <c r="D315" s="118"/>
      <c r="E315" s="118"/>
      <c r="F315" s="56"/>
      <c r="G315" s="56"/>
      <c r="H315" s="56"/>
      <c r="I315" s="56"/>
      <c r="J315" s="56"/>
      <c r="K315" s="56"/>
      <c r="L315" s="56"/>
      <c r="M315" s="56"/>
      <c r="N315" s="56"/>
      <c r="O315" s="56"/>
      <c r="P315" s="56"/>
      <c r="Q315" s="56"/>
      <c r="R315" s="56"/>
      <c r="S315" s="56"/>
      <c r="T315" s="56"/>
      <c r="U315" s="56"/>
      <c r="V315" s="56"/>
      <c r="W315" s="56"/>
    </row>
    <row r="316">
      <c r="A316" s="121"/>
      <c r="B316" s="56"/>
      <c r="C316" s="118"/>
      <c r="D316" s="118"/>
      <c r="E316" s="118"/>
      <c r="F316" s="56"/>
      <c r="G316" s="56"/>
      <c r="H316" s="56"/>
      <c r="I316" s="56"/>
      <c r="J316" s="56"/>
      <c r="K316" s="56"/>
      <c r="L316" s="56"/>
      <c r="M316" s="56"/>
      <c r="N316" s="56"/>
      <c r="O316" s="56"/>
      <c r="P316" s="56"/>
      <c r="Q316" s="56"/>
      <c r="R316" s="56"/>
      <c r="S316" s="56"/>
      <c r="T316" s="56"/>
      <c r="U316" s="56"/>
      <c r="V316" s="56"/>
      <c r="W316" s="56"/>
    </row>
    <row r="317">
      <c r="A317" s="121"/>
      <c r="B317" s="56"/>
      <c r="C317" s="118"/>
      <c r="D317" s="118"/>
      <c r="E317" s="118"/>
      <c r="F317" s="56"/>
      <c r="G317" s="56"/>
      <c r="H317" s="56"/>
      <c r="I317" s="56"/>
      <c r="J317" s="56"/>
      <c r="K317" s="56"/>
      <c r="L317" s="56"/>
      <c r="M317" s="56"/>
      <c r="N317" s="56"/>
      <c r="O317" s="56"/>
      <c r="P317" s="56"/>
      <c r="Q317" s="56"/>
      <c r="R317" s="56"/>
      <c r="S317" s="56"/>
      <c r="T317" s="56"/>
      <c r="U317" s="56"/>
      <c r="V317" s="56"/>
      <c r="W317" s="56"/>
    </row>
    <row r="318">
      <c r="A318" s="121"/>
      <c r="B318" s="56"/>
      <c r="C318" s="118"/>
      <c r="D318" s="118"/>
      <c r="E318" s="118"/>
      <c r="F318" s="56"/>
      <c r="G318" s="56"/>
      <c r="H318" s="56"/>
      <c r="I318" s="56"/>
      <c r="J318" s="56"/>
      <c r="K318" s="56"/>
      <c r="L318" s="56"/>
      <c r="M318" s="56"/>
      <c r="N318" s="56"/>
      <c r="O318" s="56"/>
      <c r="P318" s="56"/>
      <c r="Q318" s="56"/>
      <c r="R318" s="56"/>
      <c r="S318" s="56"/>
      <c r="T318" s="56"/>
      <c r="U318" s="56"/>
      <c r="V318" s="56"/>
      <c r="W318" s="56"/>
    </row>
    <row r="319">
      <c r="A319" s="121"/>
      <c r="B319" s="56"/>
      <c r="C319" s="118"/>
      <c r="D319" s="118"/>
      <c r="E319" s="118"/>
      <c r="F319" s="56"/>
      <c r="G319" s="56"/>
      <c r="H319" s="56"/>
      <c r="I319" s="56"/>
      <c r="J319" s="56"/>
      <c r="K319" s="56"/>
      <c r="L319" s="56"/>
      <c r="M319" s="56"/>
      <c r="N319" s="56"/>
      <c r="O319" s="56"/>
      <c r="P319" s="56"/>
      <c r="Q319" s="56"/>
      <c r="R319" s="56"/>
      <c r="S319" s="56"/>
      <c r="T319" s="56"/>
      <c r="U319" s="56"/>
      <c r="V319" s="56"/>
      <c r="W319" s="56"/>
    </row>
    <row r="320">
      <c r="A320" s="121"/>
      <c r="B320" s="56"/>
      <c r="C320" s="118"/>
      <c r="D320" s="118"/>
      <c r="E320" s="118"/>
      <c r="F320" s="56"/>
      <c r="G320" s="56"/>
      <c r="H320" s="56"/>
      <c r="I320" s="56"/>
      <c r="J320" s="56"/>
      <c r="K320" s="56"/>
      <c r="L320" s="56"/>
      <c r="M320" s="56"/>
      <c r="N320" s="56"/>
      <c r="O320" s="56"/>
      <c r="P320" s="56"/>
      <c r="Q320" s="56"/>
      <c r="R320" s="56"/>
      <c r="S320" s="56"/>
      <c r="T320" s="56"/>
      <c r="U320" s="56"/>
      <c r="V320" s="56"/>
      <c r="W320" s="56"/>
    </row>
    <row r="321">
      <c r="A321" s="121"/>
      <c r="B321" s="56"/>
      <c r="C321" s="118"/>
      <c r="D321" s="118"/>
      <c r="E321" s="118"/>
      <c r="F321" s="56"/>
      <c r="G321" s="56"/>
      <c r="H321" s="56"/>
      <c r="I321" s="56"/>
      <c r="J321" s="56"/>
      <c r="K321" s="56"/>
      <c r="L321" s="56"/>
      <c r="M321" s="56"/>
      <c r="N321" s="56"/>
      <c r="O321" s="56"/>
      <c r="P321" s="56"/>
      <c r="Q321" s="56"/>
      <c r="R321" s="56"/>
      <c r="S321" s="56"/>
      <c r="T321" s="56"/>
      <c r="U321" s="56"/>
      <c r="V321" s="56"/>
      <c r="W321" s="56"/>
    </row>
    <row r="322">
      <c r="A322" s="121"/>
      <c r="B322" s="56"/>
      <c r="C322" s="118"/>
      <c r="D322" s="118"/>
      <c r="E322" s="118"/>
      <c r="F322" s="56"/>
      <c r="G322" s="56"/>
      <c r="H322" s="56"/>
      <c r="I322" s="56"/>
      <c r="J322" s="56"/>
      <c r="K322" s="56"/>
      <c r="L322" s="56"/>
      <c r="M322" s="56"/>
      <c r="N322" s="56"/>
      <c r="O322" s="56"/>
      <c r="P322" s="56"/>
      <c r="Q322" s="56"/>
      <c r="R322" s="56"/>
      <c r="S322" s="56"/>
      <c r="T322" s="56"/>
      <c r="U322" s="56"/>
      <c r="V322" s="56"/>
      <c r="W322" s="56"/>
    </row>
    <row r="323">
      <c r="A323" s="121"/>
      <c r="B323" s="56"/>
      <c r="C323" s="118"/>
      <c r="D323" s="118"/>
      <c r="E323" s="118"/>
      <c r="F323" s="56"/>
      <c r="G323" s="56"/>
      <c r="H323" s="56"/>
      <c r="I323" s="56"/>
      <c r="J323" s="56"/>
      <c r="K323" s="56"/>
      <c r="L323" s="56"/>
      <c r="M323" s="56"/>
      <c r="N323" s="56"/>
      <c r="O323" s="56"/>
      <c r="P323" s="56"/>
      <c r="Q323" s="56"/>
      <c r="R323" s="56"/>
      <c r="S323" s="56"/>
      <c r="T323" s="56"/>
      <c r="U323" s="56"/>
      <c r="V323" s="56"/>
      <c r="W323" s="56"/>
    </row>
    <row r="324">
      <c r="A324" s="121"/>
      <c r="B324" s="56"/>
      <c r="C324" s="118"/>
      <c r="D324" s="118"/>
      <c r="E324" s="118"/>
      <c r="F324" s="56"/>
      <c r="G324" s="56"/>
      <c r="H324" s="56"/>
      <c r="I324" s="56"/>
      <c r="J324" s="56"/>
      <c r="K324" s="56"/>
      <c r="L324" s="56"/>
      <c r="M324" s="56"/>
      <c r="N324" s="56"/>
      <c r="O324" s="56"/>
      <c r="P324" s="56"/>
      <c r="Q324" s="56"/>
      <c r="R324" s="56"/>
      <c r="S324" s="56"/>
      <c r="T324" s="56"/>
      <c r="U324" s="56"/>
      <c r="V324" s="56"/>
      <c r="W324" s="56"/>
    </row>
    <row r="325">
      <c r="A325" s="121"/>
      <c r="B325" s="56"/>
      <c r="C325" s="118"/>
      <c r="D325" s="118"/>
      <c r="E325" s="118"/>
      <c r="F325" s="56"/>
      <c r="G325" s="56"/>
      <c r="H325" s="56"/>
      <c r="I325" s="56"/>
      <c r="J325" s="56"/>
      <c r="K325" s="56"/>
      <c r="L325" s="56"/>
      <c r="M325" s="56"/>
      <c r="N325" s="56"/>
      <c r="O325" s="56"/>
      <c r="P325" s="56"/>
      <c r="Q325" s="56"/>
      <c r="R325" s="56"/>
      <c r="S325" s="56"/>
      <c r="T325" s="56"/>
      <c r="U325" s="56"/>
      <c r="V325" s="56"/>
      <c r="W325" s="56"/>
    </row>
    <row r="326">
      <c r="A326" s="121"/>
      <c r="B326" s="56"/>
      <c r="C326" s="118"/>
      <c r="D326" s="118"/>
      <c r="E326" s="118"/>
      <c r="F326" s="56"/>
      <c r="G326" s="56"/>
      <c r="H326" s="56"/>
      <c r="I326" s="56"/>
      <c r="J326" s="56"/>
      <c r="K326" s="56"/>
      <c r="L326" s="56"/>
      <c r="M326" s="56"/>
      <c r="N326" s="56"/>
      <c r="O326" s="56"/>
      <c r="P326" s="56"/>
      <c r="Q326" s="56"/>
      <c r="R326" s="56"/>
      <c r="S326" s="56"/>
      <c r="T326" s="56"/>
      <c r="U326" s="56"/>
      <c r="V326" s="56"/>
      <c r="W326" s="56"/>
    </row>
    <row r="327">
      <c r="A327" s="121"/>
      <c r="B327" s="56"/>
      <c r="C327" s="118"/>
      <c r="D327" s="118"/>
      <c r="E327" s="118"/>
      <c r="F327" s="56"/>
      <c r="G327" s="56"/>
      <c r="H327" s="56"/>
      <c r="I327" s="56"/>
      <c r="J327" s="56"/>
      <c r="K327" s="56"/>
      <c r="L327" s="56"/>
      <c r="M327" s="56"/>
      <c r="N327" s="56"/>
      <c r="O327" s="56"/>
      <c r="P327" s="56"/>
      <c r="Q327" s="56"/>
      <c r="R327" s="56"/>
      <c r="S327" s="56"/>
      <c r="T327" s="56"/>
      <c r="U327" s="56"/>
      <c r="V327" s="56"/>
      <c r="W327" s="56"/>
    </row>
    <row r="328">
      <c r="A328" s="121"/>
      <c r="B328" s="56"/>
      <c r="C328" s="118"/>
      <c r="D328" s="118"/>
      <c r="E328" s="118"/>
      <c r="F328" s="56"/>
      <c r="G328" s="56"/>
      <c r="H328" s="56"/>
      <c r="I328" s="56"/>
      <c r="J328" s="56"/>
      <c r="K328" s="56"/>
      <c r="L328" s="56"/>
      <c r="M328" s="56"/>
      <c r="N328" s="56"/>
      <c r="O328" s="56"/>
      <c r="P328" s="56"/>
      <c r="Q328" s="56"/>
      <c r="R328" s="56"/>
      <c r="S328" s="56"/>
      <c r="T328" s="56"/>
      <c r="U328" s="56"/>
      <c r="V328" s="56"/>
      <c r="W328" s="56"/>
    </row>
    <row r="329">
      <c r="A329" s="121"/>
      <c r="B329" s="56"/>
      <c r="C329" s="118"/>
      <c r="D329" s="118"/>
      <c r="E329" s="118"/>
      <c r="F329" s="56"/>
      <c r="G329" s="56"/>
      <c r="H329" s="56"/>
      <c r="I329" s="56"/>
      <c r="J329" s="56"/>
      <c r="K329" s="56"/>
      <c r="L329" s="56"/>
      <c r="M329" s="56"/>
      <c r="N329" s="56"/>
      <c r="O329" s="56"/>
      <c r="P329" s="56"/>
      <c r="Q329" s="56"/>
      <c r="R329" s="56"/>
      <c r="S329" s="56"/>
      <c r="T329" s="56"/>
      <c r="U329" s="56"/>
      <c r="V329" s="56"/>
      <c r="W329" s="56"/>
    </row>
    <row r="330">
      <c r="A330" s="121"/>
      <c r="B330" s="56"/>
      <c r="C330" s="118"/>
      <c r="D330" s="118"/>
      <c r="E330" s="118"/>
      <c r="F330" s="56"/>
      <c r="G330" s="56"/>
      <c r="H330" s="56"/>
      <c r="I330" s="56"/>
      <c r="J330" s="56"/>
      <c r="K330" s="56"/>
      <c r="L330" s="56"/>
      <c r="M330" s="56"/>
      <c r="N330" s="56"/>
      <c r="O330" s="56"/>
      <c r="P330" s="56"/>
      <c r="Q330" s="56"/>
      <c r="R330" s="56"/>
      <c r="S330" s="56"/>
      <c r="T330" s="56"/>
      <c r="U330" s="56"/>
      <c r="V330" s="56"/>
      <c r="W330" s="56"/>
    </row>
    <row r="331">
      <c r="A331" s="121"/>
      <c r="B331" s="56"/>
      <c r="C331" s="118"/>
      <c r="D331" s="118"/>
      <c r="E331" s="118"/>
      <c r="F331" s="56"/>
      <c r="G331" s="56"/>
      <c r="H331" s="56"/>
      <c r="I331" s="56"/>
      <c r="J331" s="56"/>
      <c r="K331" s="56"/>
      <c r="L331" s="56"/>
      <c r="M331" s="56"/>
      <c r="N331" s="56"/>
      <c r="O331" s="56"/>
      <c r="P331" s="56"/>
      <c r="Q331" s="56"/>
      <c r="R331" s="56"/>
      <c r="S331" s="56"/>
      <c r="T331" s="56"/>
      <c r="U331" s="56"/>
      <c r="V331" s="56"/>
      <c r="W331" s="56"/>
    </row>
    <row r="332">
      <c r="A332" s="121"/>
      <c r="B332" s="56"/>
      <c r="C332" s="118"/>
      <c r="D332" s="118"/>
      <c r="E332" s="118"/>
      <c r="F332" s="56"/>
      <c r="G332" s="56"/>
      <c r="H332" s="56"/>
      <c r="I332" s="56"/>
      <c r="J332" s="56"/>
      <c r="K332" s="56"/>
      <c r="L332" s="56"/>
      <c r="M332" s="56"/>
      <c r="N332" s="56"/>
      <c r="O332" s="56"/>
      <c r="P332" s="56"/>
      <c r="Q332" s="56"/>
      <c r="R332" s="56"/>
      <c r="S332" s="56"/>
      <c r="T332" s="56"/>
      <c r="U332" s="56"/>
      <c r="V332" s="56"/>
      <c r="W332" s="56"/>
    </row>
    <row r="333">
      <c r="A333" s="121"/>
      <c r="B333" s="56"/>
      <c r="C333" s="118"/>
      <c r="D333" s="118"/>
      <c r="E333" s="118"/>
      <c r="F333" s="56"/>
      <c r="G333" s="56"/>
      <c r="H333" s="56"/>
      <c r="I333" s="56"/>
      <c r="J333" s="56"/>
      <c r="K333" s="56"/>
      <c r="L333" s="56"/>
      <c r="M333" s="56"/>
      <c r="N333" s="56"/>
      <c r="O333" s="56"/>
      <c r="P333" s="56"/>
      <c r="Q333" s="56"/>
      <c r="R333" s="56"/>
      <c r="S333" s="56"/>
      <c r="T333" s="56"/>
      <c r="U333" s="56"/>
      <c r="V333" s="56"/>
      <c r="W333" s="56"/>
    </row>
    <row r="334">
      <c r="A334" s="121"/>
      <c r="B334" s="56"/>
      <c r="C334" s="118"/>
      <c r="D334" s="118"/>
      <c r="E334" s="118"/>
      <c r="F334" s="56"/>
      <c r="G334" s="56"/>
      <c r="H334" s="56"/>
      <c r="I334" s="56"/>
      <c r="J334" s="56"/>
      <c r="K334" s="56"/>
      <c r="L334" s="56"/>
      <c r="M334" s="56"/>
      <c r="N334" s="56"/>
      <c r="O334" s="56"/>
      <c r="P334" s="56"/>
      <c r="Q334" s="56"/>
      <c r="R334" s="56"/>
      <c r="S334" s="56"/>
      <c r="T334" s="56"/>
      <c r="U334" s="56"/>
      <c r="V334" s="56"/>
      <c r="W334" s="56"/>
    </row>
    <row r="335">
      <c r="A335" s="121"/>
      <c r="B335" s="56"/>
      <c r="C335" s="118"/>
      <c r="D335" s="118"/>
      <c r="E335" s="118"/>
      <c r="F335" s="56"/>
      <c r="G335" s="56"/>
      <c r="H335" s="56"/>
      <c r="I335" s="56"/>
      <c r="J335" s="56"/>
      <c r="K335" s="56"/>
      <c r="L335" s="56"/>
      <c r="M335" s="56"/>
      <c r="N335" s="56"/>
      <c r="O335" s="56"/>
      <c r="P335" s="56"/>
      <c r="Q335" s="56"/>
      <c r="R335" s="56"/>
      <c r="S335" s="56"/>
      <c r="T335" s="56"/>
      <c r="U335" s="56"/>
      <c r="V335" s="56"/>
      <c r="W335" s="56"/>
    </row>
    <row r="336">
      <c r="A336" s="121"/>
      <c r="B336" s="56"/>
      <c r="C336" s="118"/>
      <c r="D336" s="118"/>
      <c r="E336" s="118"/>
      <c r="F336" s="56"/>
      <c r="G336" s="56"/>
      <c r="H336" s="56"/>
      <c r="I336" s="56"/>
      <c r="J336" s="56"/>
      <c r="K336" s="56"/>
      <c r="L336" s="56"/>
      <c r="M336" s="56"/>
      <c r="N336" s="56"/>
      <c r="O336" s="56"/>
      <c r="P336" s="56"/>
      <c r="Q336" s="56"/>
      <c r="R336" s="56"/>
      <c r="S336" s="56"/>
      <c r="T336" s="56"/>
      <c r="U336" s="56"/>
      <c r="V336" s="56"/>
      <c r="W336" s="56"/>
    </row>
    <row r="337">
      <c r="A337" s="121"/>
      <c r="B337" s="56"/>
      <c r="C337" s="118"/>
      <c r="D337" s="118"/>
      <c r="E337" s="118"/>
      <c r="F337" s="56"/>
      <c r="G337" s="56"/>
      <c r="H337" s="56"/>
      <c r="I337" s="56"/>
      <c r="J337" s="56"/>
      <c r="K337" s="56"/>
      <c r="L337" s="56"/>
      <c r="M337" s="56"/>
      <c r="N337" s="56"/>
      <c r="O337" s="56"/>
      <c r="P337" s="56"/>
      <c r="Q337" s="56"/>
      <c r="R337" s="56"/>
      <c r="S337" s="56"/>
      <c r="T337" s="56"/>
      <c r="U337" s="56"/>
      <c r="V337" s="56"/>
      <c r="W337" s="56"/>
    </row>
    <row r="338">
      <c r="A338" s="121"/>
      <c r="B338" s="56"/>
      <c r="C338" s="118"/>
      <c r="D338" s="118"/>
      <c r="E338" s="118"/>
      <c r="F338" s="56"/>
      <c r="G338" s="56"/>
      <c r="H338" s="56"/>
      <c r="I338" s="56"/>
      <c r="J338" s="56"/>
      <c r="K338" s="56"/>
      <c r="L338" s="56"/>
      <c r="M338" s="56"/>
      <c r="N338" s="56"/>
      <c r="O338" s="56"/>
      <c r="P338" s="56"/>
      <c r="Q338" s="56"/>
      <c r="R338" s="56"/>
      <c r="S338" s="56"/>
      <c r="T338" s="56"/>
      <c r="U338" s="56"/>
      <c r="V338" s="56"/>
      <c r="W338" s="56"/>
    </row>
    <row r="339">
      <c r="A339" s="121"/>
      <c r="B339" s="56"/>
      <c r="C339" s="118"/>
      <c r="D339" s="118"/>
      <c r="E339" s="118"/>
      <c r="F339" s="56"/>
      <c r="G339" s="56"/>
      <c r="H339" s="56"/>
      <c r="I339" s="56"/>
      <c r="J339" s="56"/>
      <c r="K339" s="56"/>
      <c r="L339" s="56"/>
      <c r="M339" s="56"/>
      <c r="N339" s="56"/>
      <c r="O339" s="56"/>
      <c r="P339" s="56"/>
      <c r="Q339" s="56"/>
      <c r="R339" s="56"/>
      <c r="S339" s="56"/>
      <c r="T339" s="56"/>
      <c r="U339" s="56"/>
      <c r="V339" s="56"/>
      <c r="W339" s="56"/>
    </row>
    <row r="340">
      <c r="A340" s="121"/>
      <c r="B340" s="56"/>
      <c r="C340" s="118"/>
      <c r="D340" s="118"/>
      <c r="E340" s="118"/>
      <c r="F340" s="56"/>
      <c r="G340" s="56"/>
      <c r="H340" s="56"/>
      <c r="I340" s="56"/>
      <c r="J340" s="56"/>
      <c r="K340" s="56"/>
      <c r="L340" s="56"/>
      <c r="M340" s="56"/>
      <c r="N340" s="56"/>
      <c r="O340" s="56"/>
      <c r="P340" s="56"/>
      <c r="Q340" s="56"/>
      <c r="R340" s="56"/>
      <c r="S340" s="56"/>
      <c r="T340" s="56"/>
      <c r="U340" s="56"/>
      <c r="V340" s="56"/>
      <c r="W340" s="56"/>
    </row>
    <row r="341">
      <c r="A341" s="121"/>
      <c r="B341" s="56"/>
      <c r="C341" s="118"/>
      <c r="D341" s="118"/>
      <c r="E341" s="118"/>
      <c r="F341" s="56"/>
      <c r="G341" s="56"/>
      <c r="H341" s="56"/>
      <c r="I341" s="56"/>
      <c r="J341" s="56"/>
      <c r="K341" s="56"/>
      <c r="L341" s="56"/>
      <c r="M341" s="56"/>
      <c r="N341" s="56"/>
      <c r="O341" s="56"/>
      <c r="P341" s="56"/>
      <c r="Q341" s="56"/>
      <c r="R341" s="56"/>
      <c r="S341" s="56"/>
      <c r="T341" s="56"/>
      <c r="U341" s="56"/>
      <c r="V341" s="56"/>
      <c r="W341" s="56"/>
    </row>
    <row r="342">
      <c r="A342" s="121"/>
      <c r="B342" s="56"/>
      <c r="C342" s="118"/>
      <c r="D342" s="118"/>
      <c r="E342" s="118"/>
      <c r="F342" s="56"/>
      <c r="G342" s="56"/>
      <c r="H342" s="56"/>
      <c r="I342" s="56"/>
      <c r="J342" s="56"/>
      <c r="K342" s="56"/>
      <c r="L342" s="56"/>
      <c r="M342" s="56"/>
      <c r="N342" s="56"/>
      <c r="O342" s="56"/>
      <c r="P342" s="56"/>
      <c r="Q342" s="56"/>
      <c r="R342" s="56"/>
      <c r="S342" s="56"/>
      <c r="T342" s="56"/>
      <c r="U342" s="56"/>
      <c r="V342" s="56"/>
      <c r="W342" s="56"/>
    </row>
    <row r="343">
      <c r="A343" s="121"/>
      <c r="B343" s="56"/>
      <c r="C343" s="118"/>
      <c r="D343" s="118"/>
      <c r="E343" s="118"/>
      <c r="F343" s="56"/>
      <c r="G343" s="56"/>
      <c r="H343" s="56"/>
      <c r="I343" s="56"/>
      <c r="J343" s="56"/>
      <c r="K343" s="56"/>
      <c r="L343" s="56"/>
      <c r="M343" s="56"/>
      <c r="N343" s="56"/>
      <c r="O343" s="56"/>
      <c r="P343" s="56"/>
      <c r="Q343" s="56"/>
      <c r="R343" s="56"/>
      <c r="S343" s="56"/>
      <c r="T343" s="56"/>
      <c r="U343" s="56"/>
      <c r="V343" s="56"/>
      <c r="W343" s="56"/>
    </row>
    <row r="344">
      <c r="A344" s="121"/>
      <c r="B344" s="56"/>
      <c r="C344" s="118"/>
      <c r="D344" s="118"/>
      <c r="E344" s="118"/>
      <c r="F344" s="56"/>
      <c r="G344" s="56"/>
      <c r="H344" s="56"/>
      <c r="I344" s="56"/>
      <c r="J344" s="56"/>
      <c r="K344" s="56"/>
      <c r="L344" s="56"/>
      <c r="M344" s="56"/>
      <c r="N344" s="56"/>
      <c r="O344" s="56"/>
      <c r="P344" s="56"/>
      <c r="Q344" s="56"/>
      <c r="R344" s="56"/>
      <c r="S344" s="56"/>
      <c r="T344" s="56"/>
      <c r="U344" s="56"/>
      <c r="V344" s="56"/>
      <c r="W344" s="56"/>
    </row>
    <row r="345">
      <c r="A345" s="121"/>
      <c r="B345" s="56"/>
      <c r="C345" s="118"/>
      <c r="D345" s="118"/>
      <c r="E345" s="118"/>
      <c r="F345" s="56"/>
      <c r="G345" s="56"/>
      <c r="H345" s="56"/>
      <c r="I345" s="56"/>
      <c r="J345" s="56"/>
      <c r="K345" s="56"/>
      <c r="L345" s="56"/>
      <c r="M345" s="56"/>
      <c r="N345" s="56"/>
      <c r="O345" s="56"/>
      <c r="P345" s="56"/>
      <c r="Q345" s="56"/>
      <c r="R345" s="56"/>
      <c r="S345" s="56"/>
      <c r="T345" s="56"/>
      <c r="U345" s="56"/>
      <c r="V345" s="56"/>
      <c r="W345" s="56"/>
    </row>
    <row r="346">
      <c r="A346" s="121"/>
      <c r="B346" s="56"/>
      <c r="C346" s="118"/>
      <c r="D346" s="118"/>
      <c r="E346" s="118"/>
      <c r="F346" s="56"/>
      <c r="G346" s="56"/>
      <c r="H346" s="56"/>
      <c r="I346" s="56"/>
      <c r="J346" s="56"/>
      <c r="K346" s="56"/>
      <c r="L346" s="56"/>
      <c r="M346" s="56"/>
      <c r="N346" s="56"/>
      <c r="O346" s="56"/>
      <c r="P346" s="56"/>
      <c r="Q346" s="56"/>
      <c r="R346" s="56"/>
      <c r="S346" s="56"/>
      <c r="T346" s="56"/>
      <c r="U346" s="56"/>
      <c r="V346" s="56"/>
      <c r="W346" s="56"/>
    </row>
    <row r="347">
      <c r="A347" s="121"/>
      <c r="B347" s="56"/>
      <c r="C347" s="118"/>
      <c r="D347" s="118"/>
      <c r="E347" s="118"/>
      <c r="F347" s="56"/>
      <c r="G347" s="56"/>
      <c r="H347" s="56"/>
      <c r="I347" s="56"/>
      <c r="J347" s="56"/>
      <c r="K347" s="56"/>
      <c r="L347" s="56"/>
      <c r="M347" s="56"/>
      <c r="N347" s="56"/>
      <c r="O347" s="56"/>
      <c r="P347" s="56"/>
      <c r="Q347" s="56"/>
      <c r="R347" s="56"/>
      <c r="S347" s="56"/>
      <c r="T347" s="56"/>
      <c r="U347" s="56"/>
      <c r="V347" s="56"/>
      <c r="W347" s="56"/>
    </row>
    <row r="348">
      <c r="A348" s="121"/>
      <c r="B348" s="56"/>
      <c r="C348" s="118"/>
      <c r="D348" s="118"/>
      <c r="E348" s="118"/>
      <c r="F348" s="56"/>
      <c r="G348" s="56"/>
      <c r="H348" s="56"/>
      <c r="I348" s="56"/>
      <c r="J348" s="56"/>
      <c r="K348" s="56"/>
      <c r="L348" s="56"/>
      <c r="M348" s="56"/>
      <c r="N348" s="56"/>
      <c r="O348" s="56"/>
      <c r="P348" s="56"/>
      <c r="Q348" s="56"/>
      <c r="R348" s="56"/>
      <c r="S348" s="56"/>
      <c r="T348" s="56"/>
      <c r="U348" s="56"/>
      <c r="V348" s="56"/>
      <c r="W348" s="56"/>
    </row>
    <row r="349">
      <c r="A349" s="121"/>
      <c r="B349" s="56"/>
      <c r="C349" s="118"/>
      <c r="D349" s="118"/>
      <c r="E349" s="118"/>
      <c r="F349" s="56"/>
      <c r="G349" s="56"/>
      <c r="H349" s="56"/>
      <c r="I349" s="56"/>
      <c r="J349" s="56"/>
      <c r="K349" s="56"/>
      <c r="L349" s="56"/>
      <c r="M349" s="56"/>
      <c r="N349" s="56"/>
      <c r="O349" s="56"/>
      <c r="P349" s="56"/>
      <c r="Q349" s="56"/>
      <c r="R349" s="56"/>
      <c r="S349" s="56"/>
      <c r="T349" s="56"/>
      <c r="U349" s="56"/>
      <c r="V349" s="56"/>
      <c r="W349" s="56"/>
    </row>
    <row r="350">
      <c r="A350" s="121"/>
      <c r="B350" s="56"/>
      <c r="C350" s="118"/>
      <c r="D350" s="118"/>
      <c r="E350" s="118"/>
      <c r="F350" s="56"/>
      <c r="G350" s="56"/>
      <c r="H350" s="56"/>
      <c r="I350" s="56"/>
      <c r="J350" s="56"/>
      <c r="K350" s="56"/>
      <c r="L350" s="56"/>
      <c r="M350" s="56"/>
      <c r="N350" s="56"/>
      <c r="O350" s="56"/>
      <c r="P350" s="56"/>
      <c r="Q350" s="56"/>
      <c r="R350" s="56"/>
      <c r="S350" s="56"/>
      <c r="T350" s="56"/>
      <c r="U350" s="56"/>
      <c r="V350" s="56"/>
      <c r="W350" s="56"/>
    </row>
    <row r="351">
      <c r="A351" s="121"/>
      <c r="B351" s="56"/>
      <c r="C351" s="118"/>
      <c r="D351" s="118"/>
      <c r="E351" s="118"/>
      <c r="F351" s="56"/>
      <c r="G351" s="56"/>
      <c r="H351" s="56"/>
      <c r="I351" s="56"/>
      <c r="J351" s="56"/>
      <c r="K351" s="56"/>
      <c r="L351" s="56"/>
      <c r="M351" s="56"/>
      <c r="N351" s="56"/>
      <c r="O351" s="56"/>
      <c r="P351" s="56"/>
      <c r="Q351" s="56"/>
      <c r="R351" s="56"/>
      <c r="S351" s="56"/>
      <c r="T351" s="56"/>
      <c r="U351" s="56"/>
      <c r="V351" s="56"/>
      <c r="W351" s="56"/>
    </row>
    <row r="352">
      <c r="A352" s="121"/>
      <c r="B352" s="56"/>
      <c r="C352" s="118"/>
      <c r="D352" s="118"/>
      <c r="E352" s="118"/>
      <c r="F352" s="56"/>
      <c r="G352" s="56"/>
      <c r="H352" s="56"/>
      <c r="I352" s="56"/>
      <c r="J352" s="56"/>
      <c r="K352" s="56"/>
      <c r="L352" s="56"/>
      <c r="M352" s="56"/>
      <c r="N352" s="56"/>
      <c r="O352" s="56"/>
      <c r="P352" s="56"/>
      <c r="Q352" s="56"/>
      <c r="R352" s="56"/>
      <c r="S352" s="56"/>
      <c r="T352" s="56"/>
      <c r="U352" s="56"/>
      <c r="V352" s="56"/>
      <c r="W352" s="56"/>
    </row>
    <row r="353">
      <c r="A353" s="121"/>
      <c r="B353" s="56"/>
      <c r="C353" s="118"/>
      <c r="D353" s="118"/>
      <c r="E353" s="118"/>
      <c r="F353" s="56"/>
      <c r="G353" s="56"/>
      <c r="H353" s="56"/>
      <c r="I353" s="56"/>
      <c r="J353" s="56"/>
      <c r="K353" s="56"/>
      <c r="L353" s="56"/>
      <c r="M353" s="56"/>
      <c r="N353" s="56"/>
      <c r="O353" s="56"/>
      <c r="P353" s="56"/>
      <c r="Q353" s="56"/>
      <c r="R353" s="56"/>
      <c r="S353" s="56"/>
      <c r="T353" s="56"/>
      <c r="U353" s="56"/>
      <c r="V353" s="56"/>
      <c r="W353" s="56"/>
    </row>
    <row r="354">
      <c r="A354" s="121"/>
      <c r="B354" s="56"/>
      <c r="C354" s="118"/>
      <c r="D354" s="118"/>
      <c r="E354" s="118"/>
      <c r="F354" s="56"/>
      <c r="G354" s="56"/>
      <c r="H354" s="56"/>
      <c r="I354" s="56"/>
      <c r="J354" s="56"/>
      <c r="K354" s="56"/>
      <c r="L354" s="56"/>
      <c r="M354" s="56"/>
      <c r="N354" s="56"/>
      <c r="O354" s="56"/>
      <c r="P354" s="56"/>
      <c r="Q354" s="56"/>
      <c r="R354" s="56"/>
      <c r="S354" s="56"/>
      <c r="T354" s="56"/>
      <c r="U354" s="56"/>
      <c r="V354" s="56"/>
      <c r="W354" s="56"/>
    </row>
    <row r="355">
      <c r="A355" s="121"/>
      <c r="B355" s="56"/>
      <c r="C355" s="118"/>
      <c r="D355" s="118"/>
      <c r="E355" s="118"/>
      <c r="F355" s="56"/>
      <c r="G355" s="56"/>
      <c r="H355" s="56"/>
      <c r="I355" s="56"/>
      <c r="J355" s="56"/>
      <c r="K355" s="56"/>
      <c r="L355" s="56"/>
      <c r="M355" s="56"/>
      <c r="N355" s="56"/>
      <c r="O355" s="56"/>
      <c r="P355" s="56"/>
      <c r="Q355" s="56"/>
      <c r="R355" s="56"/>
      <c r="S355" s="56"/>
      <c r="T355" s="56"/>
      <c r="U355" s="56"/>
      <c r="V355" s="56"/>
      <c r="W355" s="56"/>
    </row>
    <row r="356">
      <c r="A356" s="121"/>
      <c r="B356" s="56"/>
      <c r="C356" s="118"/>
      <c r="D356" s="118"/>
      <c r="E356" s="118"/>
      <c r="F356" s="56"/>
      <c r="G356" s="56"/>
      <c r="H356" s="56"/>
      <c r="I356" s="56"/>
      <c r="J356" s="56"/>
      <c r="K356" s="56"/>
      <c r="L356" s="56"/>
      <c r="M356" s="56"/>
      <c r="N356" s="56"/>
      <c r="O356" s="56"/>
      <c r="P356" s="56"/>
      <c r="Q356" s="56"/>
      <c r="R356" s="56"/>
      <c r="S356" s="56"/>
      <c r="T356" s="56"/>
      <c r="U356" s="56"/>
      <c r="V356" s="56"/>
      <c r="W356" s="56"/>
    </row>
    <row r="357">
      <c r="A357" s="121"/>
      <c r="B357" s="56"/>
      <c r="C357" s="118"/>
      <c r="D357" s="118"/>
      <c r="E357" s="118"/>
      <c r="F357" s="56"/>
      <c r="G357" s="56"/>
      <c r="H357" s="56"/>
      <c r="I357" s="56"/>
      <c r="J357" s="56"/>
      <c r="K357" s="56"/>
      <c r="L357" s="56"/>
      <c r="M357" s="56"/>
      <c r="N357" s="56"/>
      <c r="O357" s="56"/>
      <c r="P357" s="56"/>
      <c r="Q357" s="56"/>
      <c r="R357" s="56"/>
      <c r="S357" s="56"/>
      <c r="T357" s="56"/>
      <c r="U357" s="56"/>
      <c r="V357" s="56"/>
      <c r="W357" s="56"/>
    </row>
    <row r="358">
      <c r="A358" s="121"/>
      <c r="B358" s="56"/>
      <c r="C358" s="118"/>
      <c r="D358" s="118"/>
      <c r="E358" s="118"/>
      <c r="F358" s="56"/>
      <c r="G358" s="56"/>
      <c r="H358" s="56"/>
      <c r="I358" s="56"/>
      <c r="J358" s="56"/>
      <c r="K358" s="56"/>
      <c r="L358" s="56"/>
      <c r="M358" s="56"/>
      <c r="N358" s="56"/>
      <c r="O358" s="56"/>
      <c r="P358" s="56"/>
      <c r="Q358" s="56"/>
      <c r="R358" s="56"/>
      <c r="S358" s="56"/>
      <c r="T358" s="56"/>
      <c r="U358" s="56"/>
      <c r="V358" s="56"/>
      <c r="W358" s="56"/>
    </row>
    <row r="359">
      <c r="A359" s="121"/>
      <c r="B359" s="56"/>
      <c r="C359" s="118"/>
      <c r="D359" s="118"/>
      <c r="E359" s="118"/>
      <c r="F359" s="56"/>
      <c r="G359" s="56"/>
      <c r="H359" s="56"/>
      <c r="I359" s="56"/>
      <c r="J359" s="56"/>
      <c r="K359" s="56"/>
      <c r="L359" s="56"/>
      <c r="M359" s="56"/>
      <c r="N359" s="56"/>
      <c r="O359" s="56"/>
      <c r="P359" s="56"/>
      <c r="Q359" s="56"/>
      <c r="R359" s="56"/>
      <c r="S359" s="56"/>
      <c r="T359" s="56"/>
      <c r="U359" s="56"/>
      <c r="V359" s="56"/>
      <c r="W359" s="56"/>
    </row>
    <row r="360">
      <c r="A360" s="121"/>
      <c r="B360" s="56"/>
      <c r="C360" s="118"/>
      <c r="D360" s="118"/>
      <c r="E360" s="118"/>
      <c r="F360" s="56"/>
      <c r="G360" s="56"/>
      <c r="H360" s="56"/>
      <c r="I360" s="56"/>
      <c r="J360" s="56"/>
      <c r="K360" s="56"/>
      <c r="L360" s="56"/>
      <c r="M360" s="56"/>
      <c r="N360" s="56"/>
      <c r="O360" s="56"/>
      <c r="P360" s="56"/>
      <c r="Q360" s="56"/>
      <c r="R360" s="56"/>
      <c r="S360" s="56"/>
      <c r="T360" s="56"/>
      <c r="U360" s="56"/>
      <c r="V360" s="56"/>
      <c r="W360" s="56"/>
    </row>
    <row r="361">
      <c r="A361" s="121"/>
      <c r="B361" s="56"/>
      <c r="C361" s="118"/>
      <c r="D361" s="118"/>
      <c r="E361" s="118"/>
      <c r="F361" s="56"/>
      <c r="G361" s="56"/>
      <c r="H361" s="56"/>
      <c r="I361" s="56"/>
      <c r="J361" s="56"/>
      <c r="K361" s="56"/>
      <c r="L361" s="56"/>
      <c r="M361" s="56"/>
      <c r="N361" s="56"/>
      <c r="O361" s="56"/>
      <c r="P361" s="56"/>
      <c r="Q361" s="56"/>
      <c r="R361" s="56"/>
      <c r="S361" s="56"/>
      <c r="T361" s="56"/>
      <c r="U361" s="56"/>
      <c r="V361" s="56"/>
      <c r="W361" s="56"/>
    </row>
    <row r="362">
      <c r="A362" s="121"/>
      <c r="B362" s="56"/>
      <c r="C362" s="118"/>
      <c r="D362" s="118"/>
      <c r="E362" s="118"/>
      <c r="F362" s="56"/>
      <c r="G362" s="56"/>
      <c r="H362" s="56"/>
      <c r="I362" s="56"/>
      <c r="J362" s="56"/>
      <c r="K362" s="56"/>
      <c r="L362" s="56"/>
      <c r="M362" s="56"/>
      <c r="N362" s="56"/>
      <c r="O362" s="56"/>
      <c r="P362" s="56"/>
      <c r="Q362" s="56"/>
      <c r="R362" s="56"/>
      <c r="S362" s="56"/>
      <c r="T362" s="56"/>
      <c r="U362" s="56"/>
      <c r="V362" s="56"/>
      <c r="W362" s="56"/>
    </row>
    <row r="363">
      <c r="A363" s="121"/>
      <c r="B363" s="56"/>
      <c r="C363" s="118"/>
      <c r="D363" s="118"/>
      <c r="E363" s="118"/>
      <c r="F363" s="56"/>
      <c r="G363" s="56"/>
      <c r="H363" s="56"/>
      <c r="I363" s="56"/>
      <c r="J363" s="56"/>
      <c r="K363" s="56"/>
      <c r="L363" s="56"/>
      <c r="M363" s="56"/>
      <c r="N363" s="56"/>
      <c r="O363" s="56"/>
      <c r="P363" s="56"/>
      <c r="Q363" s="56"/>
      <c r="R363" s="56"/>
      <c r="S363" s="56"/>
      <c r="T363" s="56"/>
      <c r="U363" s="56"/>
      <c r="V363" s="56"/>
      <c r="W363" s="56"/>
    </row>
    <row r="364">
      <c r="A364" s="121"/>
      <c r="B364" s="56"/>
      <c r="C364" s="118"/>
      <c r="D364" s="118"/>
      <c r="E364" s="118"/>
      <c r="F364" s="56"/>
      <c r="G364" s="56"/>
      <c r="H364" s="56"/>
      <c r="I364" s="56"/>
      <c r="J364" s="56"/>
      <c r="K364" s="56"/>
      <c r="L364" s="56"/>
      <c r="M364" s="56"/>
      <c r="N364" s="56"/>
      <c r="O364" s="56"/>
      <c r="P364" s="56"/>
      <c r="Q364" s="56"/>
      <c r="R364" s="56"/>
      <c r="S364" s="56"/>
      <c r="T364" s="56"/>
      <c r="U364" s="56"/>
      <c r="V364" s="56"/>
      <c r="W364" s="56"/>
    </row>
    <row r="365">
      <c r="A365" s="121"/>
      <c r="B365" s="56"/>
      <c r="C365" s="118"/>
      <c r="D365" s="118"/>
      <c r="E365" s="118"/>
      <c r="F365" s="56"/>
      <c r="G365" s="56"/>
      <c r="H365" s="56"/>
      <c r="I365" s="56"/>
      <c r="J365" s="56"/>
      <c r="K365" s="56"/>
      <c r="L365" s="56"/>
      <c r="M365" s="56"/>
      <c r="N365" s="56"/>
      <c r="O365" s="56"/>
      <c r="P365" s="56"/>
      <c r="Q365" s="56"/>
      <c r="R365" s="56"/>
      <c r="S365" s="56"/>
      <c r="T365" s="56"/>
      <c r="U365" s="56"/>
      <c r="V365" s="56"/>
      <c r="W365" s="56"/>
    </row>
    <row r="366">
      <c r="A366" s="121"/>
      <c r="B366" s="56"/>
      <c r="C366" s="118"/>
      <c r="D366" s="118"/>
      <c r="E366" s="118"/>
      <c r="F366" s="56"/>
      <c r="G366" s="56"/>
      <c r="H366" s="56"/>
      <c r="I366" s="56"/>
      <c r="J366" s="56"/>
      <c r="K366" s="56"/>
      <c r="L366" s="56"/>
      <c r="M366" s="56"/>
      <c r="N366" s="56"/>
      <c r="O366" s="56"/>
      <c r="P366" s="56"/>
      <c r="Q366" s="56"/>
      <c r="R366" s="56"/>
      <c r="S366" s="56"/>
      <c r="T366" s="56"/>
      <c r="U366" s="56"/>
      <c r="V366" s="56"/>
      <c r="W366" s="56"/>
    </row>
    <row r="367">
      <c r="A367" s="121"/>
      <c r="B367" s="56"/>
      <c r="C367" s="118"/>
      <c r="D367" s="118"/>
      <c r="E367" s="118"/>
      <c r="F367" s="56"/>
      <c r="G367" s="56"/>
      <c r="H367" s="56"/>
      <c r="I367" s="56"/>
      <c r="J367" s="56"/>
      <c r="K367" s="56"/>
      <c r="L367" s="56"/>
      <c r="M367" s="56"/>
      <c r="N367" s="56"/>
      <c r="O367" s="56"/>
      <c r="P367" s="56"/>
      <c r="Q367" s="56"/>
      <c r="R367" s="56"/>
      <c r="S367" s="56"/>
      <c r="T367" s="56"/>
      <c r="U367" s="56"/>
      <c r="V367" s="56"/>
      <c r="W367" s="56"/>
    </row>
    <row r="368">
      <c r="A368" s="121"/>
      <c r="B368" s="56"/>
      <c r="C368" s="118"/>
      <c r="D368" s="118"/>
      <c r="E368" s="118"/>
      <c r="F368" s="56"/>
      <c r="G368" s="56"/>
      <c r="H368" s="56"/>
      <c r="I368" s="56"/>
      <c r="J368" s="56"/>
      <c r="K368" s="56"/>
      <c r="L368" s="56"/>
      <c r="M368" s="56"/>
      <c r="N368" s="56"/>
      <c r="O368" s="56"/>
      <c r="P368" s="56"/>
      <c r="Q368" s="56"/>
      <c r="R368" s="56"/>
      <c r="S368" s="56"/>
      <c r="T368" s="56"/>
      <c r="U368" s="56"/>
      <c r="V368" s="56"/>
      <c r="W368" s="56"/>
    </row>
    <row r="369">
      <c r="A369" s="121"/>
      <c r="B369" s="56"/>
      <c r="C369" s="118"/>
      <c r="D369" s="118"/>
      <c r="E369" s="118"/>
      <c r="F369" s="56"/>
      <c r="G369" s="56"/>
      <c r="H369" s="56"/>
      <c r="I369" s="56"/>
      <c r="J369" s="56"/>
      <c r="K369" s="56"/>
      <c r="L369" s="56"/>
      <c r="M369" s="56"/>
      <c r="N369" s="56"/>
      <c r="O369" s="56"/>
      <c r="P369" s="56"/>
      <c r="Q369" s="56"/>
      <c r="R369" s="56"/>
      <c r="S369" s="56"/>
      <c r="T369" s="56"/>
      <c r="U369" s="56"/>
      <c r="V369" s="56"/>
      <c r="W369" s="56"/>
    </row>
    <row r="370">
      <c r="A370" s="121"/>
      <c r="B370" s="56"/>
      <c r="C370" s="118"/>
      <c r="D370" s="118"/>
      <c r="E370" s="118"/>
      <c r="F370" s="56"/>
      <c r="G370" s="56"/>
      <c r="H370" s="56"/>
      <c r="I370" s="56"/>
      <c r="J370" s="56"/>
      <c r="K370" s="56"/>
      <c r="L370" s="56"/>
      <c r="M370" s="56"/>
      <c r="N370" s="56"/>
      <c r="O370" s="56"/>
      <c r="P370" s="56"/>
      <c r="Q370" s="56"/>
      <c r="R370" s="56"/>
      <c r="S370" s="56"/>
      <c r="T370" s="56"/>
      <c r="U370" s="56"/>
      <c r="V370" s="56"/>
      <c r="W370" s="56"/>
    </row>
    <row r="371">
      <c r="A371" s="121"/>
      <c r="B371" s="56"/>
      <c r="C371" s="118"/>
      <c r="D371" s="118"/>
      <c r="E371" s="118"/>
      <c r="F371" s="56"/>
      <c r="G371" s="56"/>
      <c r="H371" s="56"/>
      <c r="I371" s="56"/>
      <c r="J371" s="56"/>
      <c r="K371" s="56"/>
      <c r="L371" s="56"/>
      <c r="M371" s="56"/>
      <c r="N371" s="56"/>
      <c r="O371" s="56"/>
      <c r="P371" s="56"/>
      <c r="Q371" s="56"/>
      <c r="R371" s="56"/>
      <c r="S371" s="56"/>
      <c r="T371" s="56"/>
      <c r="U371" s="56"/>
      <c r="V371" s="56"/>
      <c r="W371" s="56"/>
    </row>
    <row r="372">
      <c r="A372" s="121"/>
      <c r="B372" s="56"/>
      <c r="C372" s="118"/>
      <c r="D372" s="118"/>
      <c r="E372" s="118"/>
      <c r="F372" s="56"/>
      <c r="G372" s="56"/>
      <c r="H372" s="56"/>
      <c r="I372" s="56"/>
      <c r="J372" s="56"/>
      <c r="K372" s="56"/>
      <c r="L372" s="56"/>
      <c r="M372" s="56"/>
      <c r="N372" s="56"/>
      <c r="O372" s="56"/>
      <c r="P372" s="56"/>
      <c r="Q372" s="56"/>
      <c r="R372" s="56"/>
      <c r="S372" s="56"/>
      <c r="T372" s="56"/>
      <c r="U372" s="56"/>
      <c r="V372" s="56"/>
      <c r="W372" s="56"/>
    </row>
    <row r="373">
      <c r="A373" s="121"/>
      <c r="B373" s="56"/>
      <c r="C373" s="118"/>
      <c r="D373" s="118"/>
      <c r="E373" s="118"/>
      <c r="F373" s="56"/>
      <c r="G373" s="56"/>
      <c r="H373" s="56"/>
      <c r="I373" s="56"/>
      <c r="J373" s="56"/>
      <c r="K373" s="56"/>
      <c r="L373" s="56"/>
      <c r="M373" s="56"/>
      <c r="N373" s="56"/>
      <c r="O373" s="56"/>
      <c r="P373" s="56"/>
      <c r="Q373" s="56"/>
      <c r="R373" s="56"/>
      <c r="S373" s="56"/>
      <c r="T373" s="56"/>
      <c r="U373" s="56"/>
      <c r="V373" s="56"/>
      <c r="W373" s="56"/>
    </row>
    <row r="374">
      <c r="A374" s="121"/>
      <c r="B374" s="56"/>
      <c r="C374" s="118"/>
      <c r="D374" s="118"/>
      <c r="E374" s="118"/>
      <c r="F374" s="56"/>
      <c r="G374" s="56"/>
      <c r="H374" s="56"/>
      <c r="I374" s="56"/>
      <c r="J374" s="56"/>
      <c r="K374" s="56"/>
      <c r="L374" s="56"/>
      <c r="M374" s="56"/>
      <c r="N374" s="56"/>
      <c r="O374" s="56"/>
      <c r="P374" s="56"/>
      <c r="Q374" s="56"/>
      <c r="R374" s="56"/>
      <c r="S374" s="56"/>
      <c r="T374" s="56"/>
      <c r="U374" s="56"/>
      <c r="V374" s="56"/>
      <c r="W374" s="56"/>
    </row>
    <row r="375">
      <c r="A375" s="121"/>
      <c r="B375" s="56"/>
      <c r="C375" s="118"/>
      <c r="D375" s="118"/>
      <c r="E375" s="118"/>
      <c r="F375" s="56"/>
      <c r="G375" s="56"/>
      <c r="H375" s="56"/>
      <c r="I375" s="56"/>
      <c r="J375" s="56"/>
      <c r="K375" s="56"/>
      <c r="L375" s="56"/>
      <c r="M375" s="56"/>
      <c r="N375" s="56"/>
      <c r="O375" s="56"/>
      <c r="P375" s="56"/>
      <c r="Q375" s="56"/>
      <c r="R375" s="56"/>
      <c r="S375" s="56"/>
      <c r="T375" s="56"/>
      <c r="U375" s="56"/>
      <c r="V375" s="56"/>
      <c r="W375" s="56"/>
    </row>
    <row r="376">
      <c r="A376" s="121"/>
      <c r="B376" s="56"/>
      <c r="C376" s="118"/>
      <c r="D376" s="118"/>
      <c r="E376" s="118"/>
      <c r="F376" s="56"/>
      <c r="G376" s="56"/>
      <c r="H376" s="56"/>
      <c r="I376" s="56"/>
      <c r="J376" s="56"/>
      <c r="K376" s="56"/>
      <c r="L376" s="56"/>
      <c r="M376" s="56"/>
      <c r="N376" s="56"/>
      <c r="O376" s="56"/>
      <c r="P376" s="56"/>
      <c r="Q376" s="56"/>
      <c r="R376" s="56"/>
      <c r="S376" s="56"/>
      <c r="T376" s="56"/>
      <c r="U376" s="56"/>
      <c r="V376" s="56"/>
      <c r="W376" s="56"/>
    </row>
    <row r="377">
      <c r="A377" s="121"/>
      <c r="B377" s="56"/>
      <c r="C377" s="118"/>
      <c r="D377" s="118"/>
      <c r="E377" s="118"/>
      <c r="F377" s="56"/>
      <c r="G377" s="56"/>
      <c r="H377" s="56"/>
      <c r="I377" s="56"/>
      <c r="J377" s="56"/>
      <c r="K377" s="56"/>
      <c r="L377" s="56"/>
      <c r="M377" s="56"/>
      <c r="N377" s="56"/>
      <c r="O377" s="56"/>
      <c r="P377" s="56"/>
      <c r="Q377" s="56"/>
      <c r="R377" s="56"/>
      <c r="S377" s="56"/>
      <c r="T377" s="56"/>
      <c r="U377" s="56"/>
      <c r="V377" s="56"/>
      <c r="W377" s="56"/>
    </row>
    <row r="378">
      <c r="A378" s="121"/>
      <c r="B378" s="56"/>
      <c r="C378" s="118"/>
      <c r="D378" s="118"/>
      <c r="E378" s="118"/>
      <c r="F378" s="56"/>
      <c r="G378" s="56"/>
      <c r="H378" s="56"/>
      <c r="I378" s="56"/>
      <c r="J378" s="56"/>
      <c r="K378" s="56"/>
      <c r="L378" s="56"/>
      <c r="M378" s="56"/>
      <c r="N378" s="56"/>
      <c r="O378" s="56"/>
      <c r="P378" s="56"/>
      <c r="Q378" s="56"/>
      <c r="R378" s="56"/>
      <c r="S378" s="56"/>
      <c r="T378" s="56"/>
      <c r="U378" s="56"/>
      <c r="V378" s="56"/>
      <c r="W378" s="56"/>
    </row>
    <row r="379">
      <c r="A379" s="121"/>
      <c r="B379" s="56"/>
      <c r="C379" s="118"/>
      <c r="D379" s="118"/>
      <c r="E379" s="118"/>
      <c r="F379" s="56"/>
      <c r="G379" s="56"/>
      <c r="H379" s="56"/>
      <c r="I379" s="56"/>
      <c r="J379" s="56"/>
      <c r="K379" s="56"/>
      <c r="L379" s="56"/>
      <c r="M379" s="56"/>
      <c r="N379" s="56"/>
      <c r="O379" s="56"/>
      <c r="P379" s="56"/>
      <c r="Q379" s="56"/>
      <c r="R379" s="56"/>
      <c r="S379" s="56"/>
      <c r="T379" s="56"/>
      <c r="U379" s="56"/>
      <c r="V379" s="56"/>
      <c r="W379" s="56"/>
    </row>
    <row r="380">
      <c r="A380" s="121"/>
      <c r="B380" s="56"/>
      <c r="C380" s="118"/>
      <c r="D380" s="118"/>
      <c r="E380" s="118"/>
      <c r="F380" s="56"/>
      <c r="G380" s="56"/>
      <c r="H380" s="56"/>
      <c r="I380" s="56"/>
      <c r="J380" s="56"/>
      <c r="K380" s="56"/>
      <c r="L380" s="56"/>
      <c r="M380" s="56"/>
      <c r="N380" s="56"/>
      <c r="O380" s="56"/>
      <c r="P380" s="56"/>
      <c r="Q380" s="56"/>
      <c r="R380" s="56"/>
      <c r="S380" s="56"/>
      <c r="T380" s="56"/>
      <c r="U380" s="56"/>
      <c r="V380" s="56"/>
      <c r="W380" s="56"/>
    </row>
    <row r="381">
      <c r="A381" s="121"/>
      <c r="B381" s="56"/>
      <c r="C381" s="118"/>
      <c r="D381" s="118"/>
      <c r="E381" s="118"/>
      <c r="F381" s="56"/>
      <c r="G381" s="56"/>
      <c r="H381" s="56"/>
      <c r="I381" s="56"/>
      <c r="J381" s="56"/>
      <c r="K381" s="56"/>
      <c r="L381" s="56"/>
      <c r="M381" s="56"/>
      <c r="N381" s="56"/>
      <c r="O381" s="56"/>
      <c r="P381" s="56"/>
      <c r="Q381" s="56"/>
      <c r="R381" s="56"/>
      <c r="S381" s="56"/>
      <c r="T381" s="56"/>
      <c r="U381" s="56"/>
      <c r="V381" s="56"/>
      <c r="W381" s="56"/>
    </row>
    <row r="382">
      <c r="A382" s="121"/>
      <c r="B382" s="56"/>
      <c r="C382" s="118"/>
      <c r="D382" s="118"/>
      <c r="E382" s="118"/>
      <c r="F382" s="56"/>
      <c r="G382" s="56"/>
      <c r="H382" s="56"/>
      <c r="I382" s="56"/>
      <c r="J382" s="56"/>
      <c r="K382" s="56"/>
      <c r="L382" s="56"/>
      <c r="M382" s="56"/>
      <c r="N382" s="56"/>
      <c r="O382" s="56"/>
      <c r="P382" s="56"/>
      <c r="Q382" s="56"/>
      <c r="R382" s="56"/>
      <c r="S382" s="56"/>
      <c r="T382" s="56"/>
      <c r="U382" s="56"/>
      <c r="V382" s="56"/>
      <c r="W382" s="56"/>
    </row>
    <row r="383">
      <c r="A383" s="121"/>
      <c r="B383" s="56"/>
      <c r="C383" s="118"/>
      <c r="D383" s="118"/>
      <c r="E383" s="118"/>
      <c r="F383" s="56"/>
      <c r="G383" s="56"/>
      <c r="H383" s="56"/>
      <c r="I383" s="56"/>
      <c r="J383" s="56"/>
      <c r="K383" s="56"/>
      <c r="L383" s="56"/>
      <c r="M383" s="56"/>
      <c r="N383" s="56"/>
      <c r="O383" s="56"/>
      <c r="P383" s="56"/>
      <c r="Q383" s="56"/>
      <c r="R383" s="56"/>
      <c r="S383" s="56"/>
      <c r="T383" s="56"/>
      <c r="U383" s="56"/>
      <c r="V383" s="56"/>
      <c r="W383" s="56"/>
    </row>
    <row r="384">
      <c r="A384" s="121"/>
      <c r="B384" s="56"/>
      <c r="C384" s="118"/>
      <c r="D384" s="118"/>
      <c r="E384" s="118"/>
      <c r="F384" s="56"/>
      <c r="G384" s="56"/>
      <c r="H384" s="56"/>
      <c r="I384" s="56"/>
      <c r="J384" s="56"/>
      <c r="K384" s="56"/>
      <c r="L384" s="56"/>
      <c r="M384" s="56"/>
      <c r="N384" s="56"/>
      <c r="O384" s="56"/>
      <c r="P384" s="56"/>
      <c r="Q384" s="56"/>
      <c r="R384" s="56"/>
      <c r="S384" s="56"/>
      <c r="T384" s="56"/>
      <c r="U384" s="56"/>
      <c r="V384" s="56"/>
      <c r="W384" s="56"/>
    </row>
    <row r="385">
      <c r="A385" s="121"/>
      <c r="B385" s="56"/>
      <c r="C385" s="118"/>
      <c r="D385" s="118"/>
      <c r="E385" s="118"/>
      <c r="F385" s="56"/>
      <c r="G385" s="56"/>
      <c r="H385" s="56"/>
      <c r="I385" s="56"/>
      <c r="J385" s="56"/>
      <c r="K385" s="56"/>
      <c r="L385" s="56"/>
      <c r="M385" s="56"/>
      <c r="N385" s="56"/>
      <c r="O385" s="56"/>
      <c r="P385" s="56"/>
      <c r="Q385" s="56"/>
      <c r="R385" s="56"/>
      <c r="S385" s="56"/>
      <c r="T385" s="56"/>
      <c r="U385" s="56"/>
      <c r="V385" s="56"/>
      <c r="W385" s="56"/>
    </row>
    <row r="386">
      <c r="A386" s="121"/>
      <c r="B386" s="56"/>
      <c r="C386" s="118"/>
      <c r="D386" s="118"/>
      <c r="E386" s="118"/>
      <c r="F386" s="56"/>
      <c r="G386" s="56"/>
      <c r="H386" s="56"/>
      <c r="I386" s="56"/>
      <c r="J386" s="56"/>
      <c r="K386" s="56"/>
      <c r="L386" s="56"/>
      <c r="M386" s="56"/>
      <c r="N386" s="56"/>
      <c r="O386" s="56"/>
      <c r="P386" s="56"/>
      <c r="Q386" s="56"/>
      <c r="R386" s="56"/>
      <c r="S386" s="56"/>
      <c r="T386" s="56"/>
      <c r="U386" s="56"/>
      <c r="V386" s="56"/>
      <c r="W386" s="56"/>
    </row>
    <row r="387">
      <c r="A387" s="121"/>
      <c r="B387" s="56"/>
      <c r="C387" s="118"/>
      <c r="D387" s="118"/>
      <c r="E387" s="118"/>
      <c r="F387" s="56"/>
      <c r="G387" s="56"/>
      <c r="H387" s="56"/>
      <c r="I387" s="56"/>
      <c r="J387" s="56"/>
      <c r="K387" s="56"/>
      <c r="L387" s="56"/>
      <c r="M387" s="56"/>
      <c r="N387" s="56"/>
      <c r="O387" s="56"/>
      <c r="P387" s="56"/>
      <c r="Q387" s="56"/>
      <c r="R387" s="56"/>
      <c r="S387" s="56"/>
      <c r="T387" s="56"/>
      <c r="U387" s="56"/>
      <c r="V387" s="56"/>
      <c r="W387" s="56"/>
    </row>
    <row r="388">
      <c r="A388" s="121"/>
      <c r="B388" s="56"/>
      <c r="C388" s="118"/>
      <c r="D388" s="118"/>
      <c r="E388" s="118"/>
      <c r="F388" s="56"/>
      <c r="G388" s="56"/>
      <c r="H388" s="56"/>
      <c r="I388" s="56"/>
      <c r="J388" s="56"/>
      <c r="K388" s="56"/>
      <c r="L388" s="56"/>
      <c r="M388" s="56"/>
      <c r="N388" s="56"/>
      <c r="O388" s="56"/>
      <c r="P388" s="56"/>
      <c r="Q388" s="56"/>
      <c r="R388" s="56"/>
      <c r="S388" s="56"/>
      <c r="T388" s="56"/>
      <c r="U388" s="56"/>
      <c r="V388" s="56"/>
      <c r="W388" s="56"/>
    </row>
    <row r="389">
      <c r="A389" s="121"/>
      <c r="B389" s="56"/>
      <c r="C389" s="118"/>
      <c r="D389" s="118"/>
      <c r="E389" s="118"/>
      <c r="F389" s="56"/>
      <c r="G389" s="56"/>
      <c r="H389" s="56"/>
      <c r="I389" s="56"/>
      <c r="J389" s="56"/>
      <c r="K389" s="56"/>
      <c r="L389" s="56"/>
      <c r="M389" s="56"/>
      <c r="N389" s="56"/>
      <c r="O389" s="56"/>
      <c r="P389" s="56"/>
      <c r="Q389" s="56"/>
      <c r="R389" s="56"/>
      <c r="S389" s="56"/>
      <c r="T389" s="56"/>
      <c r="U389" s="56"/>
      <c r="V389" s="56"/>
      <c r="W389" s="56"/>
    </row>
    <row r="390">
      <c r="A390" s="121"/>
      <c r="B390" s="56"/>
      <c r="C390" s="118"/>
      <c r="D390" s="118"/>
      <c r="E390" s="118"/>
      <c r="F390" s="56"/>
      <c r="G390" s="56"/>
      <c r="H390" s="56"/>
      <c r="I390" s="56"/>
      <c r="J390" s="56"/>
      <c r="K390" s="56"/>
      <c r="L390" s="56"/>
      <c r="M390" s="56"/>
      <c r="N390" s="56"/>
      <c r="O390" s="56"/>
      <c r="P390" s="56"/>
      <c r="Q390" s="56"/>
      <c r="R390" s="56"/>
      <c r="S390" s="56"/>
      <c r="T390" s="56"/>
      <c r="U390" s="56"/>
      <c r="V390" s="56"/>
      <c r="W390" s="56"/>
    </row>
    <row r="391">
      <c r="A391" s="121"/>
      <c r="B391" s="56"/>
      <c r="C391" s="118"/>
      <c r="D391" s="118"/>
      <c r="E391" s="118"/>
      <c r="F391" s="56"/>
      <c r="G391" s="56"/>
      <c r="H391" s="56"/>
      <c r="I391" s="56"/>
      <c r="J391" s="56"/>
      <c r="K391" s="56"/>
      <c r="L391" s="56"/>
      <c r="M391" s="56"/>
      <c r="N391" s="56"/>
      <c r="O391" s="56"/>
      <c r="P391" s="56"/>
      <c r="Q391" s="56"/>
      <c r="R391" s="56"/>
      <c r="S391" s="56"/>
      <c r="T391" s="56"/>
      <c r="U391" s="56"/>
      <c r="V391" s="56"/>
      <c r="W391" s="56"/>
    </row>
    <row r="392">
      <c r="A392" s="121"/>
      <c r="B392" s="56"/>
      <c r="C392" s="118"/>
      <c r="D392" s="118"/>
      <c r="E392" s="118"/>
      <c r="F392" s="56"/>
      <c r="G392" s="56"/>
      <c r="H392" s="56"/>
      <c r="I392" s="56"/>
      <c r="J392" s="56"/>
      <c r="K392" s="56"/>
      <c r="L392" s="56"/>
      <c r="M392" s="56"/>
      <c r="N392" s="56"/>
      <c r="O392" s="56"/>
      <c r="P392" s="56"/>
      <c r="Q392" s="56"/>
      <c r="R392" s="56"/>
      <c r="S392" s="56"/>
      <c r="T392" s="56"/>
      <c r="U392" s="56"/>
      <c r="V392" s="56"/>
      <c r="W392" s="56"/>
    </row>
    <row r="393">
      <c r="A393" s="121"/>
      <c r="B393" s="56"/>
      <c r="C393" s="118"/>
      <c r="D393" s="118"/>
      <c r="E393" s="118"/>
      <c r="F393" s="56"/>
      <c r="G393" s="56"/>
      <c r="H393" s="56"/>
      <c r="I393" s="56"/>
      <c r="J393" s="56"/>
      <c r="K393" s="56"/>
      <c r="L393" s="56"/>
      <c r="M393" s="56"/>
      <c r="N393" s="56"/>
      <c r="O393" s="56"/>
      <c r="P393" s="56"/>
      <c r="Q393" s="56"/>
      <c r="R393" s="56"/>
      <c r="S393" s="56"/>
      <c r="T393" s="56"/>
      <c r="U393" s="56"/>
      <c r="V393" s="56"/>
      <c r="W393" s="56"/>
    </row>
    <row r="394">
      <c r="A394" s="121"/>
      <c r="B394" s="56"/>
      <c r="C394" s="118"/>
      <c r="D394" s="118"/>
      <c r="E394" s="118"/>
      <c r="F394" s="56"/>
      <c r="G394" s="56"/>
      <c r="H394" s="56"/>
      <c r="I394" s="56"/>
      <c r="J394" s="56"/>
      <c r="K394" s="56"/>
      <c r="L394" s="56"/>
      <c r="M394" s="56"/>
      <c r="N394" s="56"/>
      <c r="O394" s="56"/>
      <c r="P394" s="56"/>
      <c r="Q394" s="56"/>
      <c r="R394" s="56"/>
      <c r="S394" s="56"/>
      <c r="T394" s="56"/>
      <c r="U394" s="56"/>
      <c r="V394" s="56"/>
      <c r="W394" s="56"/>
    </row>
    <row r="395">
      <c r="A395" s="121"/>
      <c r="B395" s="56"/>
      <c r="C395" s="118"/>
      <c r="D395" s="118"/>
      <c r="E395" s="118"/>
      <c r="F395" s="56"/>
      <c r="G395" s="56"/>
      <c r="H395" s="56"/>
      <c r="I395" s="56"/>
      <c r="J395" s="56"/>
      <c r="K395" s="56"/>
      <c r="L395" s="56"/>
      <c r="M395" s="56"/>
      <c r="N395" s="56"/>
      <c r="O395" s="56"/>
      <c r="P395" s="56"/>
      <c r="Q395" s="56"/>
      <c r="R395" s="56"/>
      <c r="S395" s="56"/>
      <c r="T395" s="56"/>
      <c r="U395" s="56"/>
      <c r="V395" s="56"/>
      <c r="W395" s="56"/>
    </row>
    <row r="396">
      <c r="A396" s="121"/>
      <c r="B396" s="56"/>
      <c r="C396" s="118"/>
      <c r="D396" s="118"/>
      <c r="E396" s="118"/>
      <c r="F396" s="56"/>
      <c r="G396" s="56"/>
      <c r="H396" s="56"/>
      <c r="I396" s="56"/>
      <c r="J396" s="56"/>
      <c r="K396" s="56"/>
      <c r="L396" s="56"/>
      <c r="M396" s="56"/>
      <c r="N396" s="56"/>
      <c r="O396" s="56"/>
      <c r="P396" s="56"/>
      <c r="Q396" s="56"/>
      <c r="R396" s="56"/>
      <c r="S396" s="56"/>
      <c r="T396" s="56"/>
      <c r="U396" s="56"/>
      <c r="V396" s="56"/>
      <c r="W396" s="56"/>
    </row>
    <row r="397">
      <c r="A397" s="121"/>
      <c r="B397" s="56"/>
      <c r="C397" s="118"/>
      <c r="D397" s="118"/>
      <c r="E397" s="118"/>
      <c r="F397" s="56"/>
      <c r="G397" s="56"/>
      <c r="H397" s="56"/>
      <c r="I397" s="56"/>
      <c r="J397" s="56"/>
      <c r="K397" s="56"/>
      <c r="L397" s="56"/>
      <c r="M397" s="56"/>
      <c r="N397" s="56"/>
      <c r="O397" s="56"/>
      <c r="P397" s="56"/>
      <c r="Q397" s="56"/>
      <c r="R397" s="56"/>
      <c r="S397" s="56"/>
      <c r="T397" s="56"/>
      <c r="U397" s="56"/>
      <c r="V397" s="56"/>
      <c r="W397" s="56"/>
    </row>
    <row r="398">
      <c r="A398" s="121"/>
      <c r="B398" s="56"/>
      <c r="C398" s="118"/>
      <c r="D398" s="118"/>
      <c r="E398" s="118"/>
      <c r="F398" s="56"/>
      <c r="G398" s="56"/>
      <c r="H398" s="56"/>
      <c r="I398" s="56"/>
      <c r="J398" s="56"/>
      <c r="K398" s="56"/>
      <c r="L398" s="56"/>
      <c r="M398" s="56"/>
      <c r="N398" s="56"/>
      <c r="O398" s="56"/>
      <c r="P398" s="56"/>
      <c r="Q398" s="56"/>
      <c r="R398" s="56"/>
      <c r="S398" s="56"/>
      <c r="T398" s="56"/>
      <c r="U398" s="56"/>
      <c r="V398" s="56"/>
      <c r="W398" s="56"/>
    </row>
    <row r="399">
      <c r="A399" s="121"/>
      <c r="B399" s="56"/>
      <c r="C399" s="118"/>
      <c r="D399" s="118"/>
      <c r="E399" s="118"/>
      <c r="F399" s="56"/>
      <c r="G399" s="56"/>
      <c r="H399" s="56"/>
      <c r="I399" s="56"/>
      <c r="J399" s="56"/>
      <c r="K399" s="56"/>
      <c r="L399" s="56"/>
      <c r="M399" s="56"/>
      <c r="N399" s="56"/>
      <c r="O399" s="56"/>
      <c r="P399" s="56"/>
      <c r="Q399" s="56"/>
      <c r="R399" s="56"/>
      <c r="S399" s="56"/>
      <c r="T399" s="56"/>
      <c r="U399" s="56"/>
      <c r="V399" s="56"/>
      <c r="W399" s="56"/>
    </row>
    <row r="400">
      <c r="A400" s="121"/>
      <c r="B400" s="56"/>
      <c r="C400" s="118"/>
      <c r="D400" s="118"/>
      <c r="E400" s="118"/>
      <c r="F400" s="56"/>
      <c r="G400" s="56"/>
      <c r="H400" s="56"/>
      <c r="I400" s="56"/>
      <c r="J400" s="56"/>
      <c r="K400" s="56"/>
      <c r="L400" s="56"/>
      <c r="M400" s="56"/>
      <c r="N400" s="56"/>
      <c r="O400" s="56"/>
      <c r="P400" s="56"/>
      <c r="Q400" s="56"/>
      <c r="R400" s="56"/>
      <c r="S400" s="56"/>
      <c r="T400" s="56"/>
      <c r="U400" s="56"/>
      <c r="V400" s="56"/>
      <c r="W400" s="56"/>
    </row>
    <row r="401">
      <c r="A401" s="121"/>
      <c r="B401" s="56"/>
      <c r="C401" s="118"/>
      <c r="D401" s="118"/>
      <c r="E401" s="118"/>
      <c r="F401" s="56"/>
      <c r="G401" s="56"/>
      <c r="H401" s="56"/>
      <c r="I401" s="56"/>
      <c r="J401" s="56"/>
      <c r="K401" s="56"/>
      <c r="L401" s="56"/>
      <c r="M401" s="56"/>
      <c r="N401" s="56"/>
      <c r="O401" s="56"/>
      <c r="P401" s="56"/>
      <c r="Q401" s="56"/>
      <c r="R401" s="56"/>
      <c r="S401" s="56"/>
      <c r="T401" s="56"/>
      <c r="U401" s="56"/>
      <c r="V401" s="56"/>
      <c r="W401" s="56"/>
    </row>
    <row r="402">
      <c r="A402" s="121"/>
      <c r="B402" s="56"/>
      <c r="C402" s="118"/>
      <c r="D402" s="118"/>
      <c r="E402" s="118"/>
      <c r="F402" s="56"/>
      <c r="G402" s="56"/>
      <c r="H402" s="56"/>
      <c r="I402" s="56"/>
      <c r="J402" s="56"/>
      <c r="K402" s="56"/>
      <c r="L402" s="56"/>
      <c r="M402" s="56"/>
      <c r="N402" s="56"/>
      <c r="O402" s="56"/>
      <c r="P402" s="56"/>
      <c r="Q402" s="56"/>
      <c r="R402" s="56"/>
      <c r="S402" s="56"/>
      <c r="T402" s="56"/>
      <c r="U402" s="56"/>
      <c r="V402" s="56"/>
      <c r="W402" s="56"/>
    </row>
    <row r="403">
      <c r="A403" s="121"/>
      <c r="B403" s="56"/>
      <c r="C403" s="118"/>
      <c r="D403" s="118"/>
      <c r="E403" s="118"/>
      <c r="F403" s="56"/>
      <c r="G403" s="56"/>
      <c r="H403" s="56"/>
      <c r="I403" s="56"/>
      <c r="J403" s="56"/>
      <c r="K403" s="56"/>
      <c r="L403" s="56"/>
      <c r="M403" s="56"/>
      <c r="N403" s="56"/>
      <c r="O403" s="56"/>
      <c r="P403" s="56"/>
      <c r="Q403" s="56"/>
      <c r="R403" s="56"/>
      <c r="S403" s="56"/>
      <c r="T403" s="56"/>
      <c r="U403" s="56"/>
      <c r="V403" s="56"/>
      <c r="W403" s="56"/>
    </row>
    <row r="404">
      <c r="A404" s="121"/>
      <c r="B404" s="56"/>
      <c r="C404" s="118"/>
      <c r="D404" s="118"/>
      <c r="E404" s="118"/>
      <c r="F404" s="56"/>
      <c r="G404" s="56"/>
      <c r="H404" s="56"/>
      <c r="I404" s="56"/>
      <c r="J404" s="56"/>
      <c r="K404" s="56"/>
      <c r="L404" s="56"/>
      <c r="M404" s="56"/>
      <c r="N404" s="56"/>
      <c r="O404" s="56"/>
      <c r="P404" s="56"/>
      <c r="Q404" s="56"/>
      <c r="R404" s="56"/>
      <c r="S404" s="56"/>
      <c r="T404" s="56"/>
      <c r="U404" s="56"/>
      <c r="V404" s="56"/>
      <c r="W404" s="56"/>
    </row>
    <row r="405">
      <c r="A405" s="121"/>
      <c r="B405" s="56"/>
      <c r="C405" s="118"/>
      <c r="D405" s="118"/>
      <c r="E405" s="118"/>
      <c r="F405" s="56"/>
      <c r="G405" s="56"/>
      <c r="H405" s="56"/>
      <c r="I405" s="56"/>
      <c r="J405" s="56"/>
      <c r="K405" s="56"/>
      <c r="L405" s="56"/>
      <c r="M405" s="56"/>
      <c r="N405" s="56"/>
      <c r="O405" s="56"/>
      <c r="P405" s="56"/>
      <c r="Q405" s="56"/>
      <c r="R405" s="56"/>
      <c r="S405" s="56"/>
      <c r="T405" s="56"/>
      <c r="U405" s="56"/>
      <c r="V405" s="56"/>
      <c r="W405" s="56"/>
    </row>
    <row r="406">
      <c r="A406" s="121"/>
      <c r="B406" s="56"/>
      <c r="C406" s="118"/>
      <c r="D406" s="118"/>
      <c r="E406" s="118"/>
      <c r="F406" s="56"/>
      <c r="G406" s="56"/>
      <c r="H406" s="56"/>
      <c r="I406" s="56"/>
      <c r="J406" s="56"/>
      <c r="K406" s="56"/>
      <c r="L406" s="56"/>
      <c r="M406" s="56"/>
      <c r="N406" s="56"/>
      <c r="O406" s="56"/>
      <c r="P406" s="56"/>
      <c r="Q406" s="56"/>
      <c r="R406" s="56"/>
      <c r="S406" s="56"/>
      <c r="T406" s="56"/>
      <c r="U406" s="56"/>
      <c r="V406" s="56"/>
      <c r="W406" s="56"/>
    </row>
    <row r="407">
      <c r="A407" s="121"/>
      <c r="B407" s="56"/>
      <c r="C407" s="118"/>
      <c r="D407" s="118"/>
      <c r="E407" s="118"/>
      <c r="F407" s="56"/>
      <c r="G407" s="56"/>
      <c r="H407" s="56"/>
      <c r="I407" s="56"/>
      <c r="J407" s="56"/>
      <c r="K407" s="56"/>
      <c r="L407" s="56"/>
      <c r="M407" s="56"/>
      <c r="N407" s="56"/>
      <c r="O407" s="56"/>
      <c r="P407" s="56"/>
      <c r="Q407" s="56"/>
      <c r="R407" s="56"/>
      <c r="S407" s="56"/>
      <c r="T407" s="56"/>
      <c r="U407" s="56"/>
      <c r="V407" s="56"/>
      <c r="W407" s="56"/>
    </row>
    <row r="408">
      <c r="A408" s="121"/>
      <c r="B408" s="56"/>
      <c r="C408" s="118"/>
      <c r="D408" s="118"/>
      <c r="E408" s="118"/>
      <c r="F408" s="56"/>
      <c r="G408" s="56"/>
      <c r="H408" s="56"/>
      <c r="I408" s="56"/>
      <c r="J408" s="56"/>
      <c r="K408" s="56"/>
      <c r="L408" s="56"/>
      <c r="M408" s="56"/>
      <c r="N408" s="56"/>
      <c r="O408" s="56"/>
      <c r="P408" s="56"/>
      <c r="Q408" s="56"/>
      <c r="R408" s="56"/>
      <c r="S408" s="56"/>
      <c r="T408" s="56"/>
      <c r="U408" s="56"/>
      <c r="V408" s="56"/>
      <c r="W408" s="56"/>
    </row>
    <row r="409">
      <c r="A409" s="121"/>
      <c r="B409" s="56"/>
      <c r="C409" s="118"/>
      <c r="D409" s="118"/>
      <c r="E409" s="118"/>
      <c r="F409" s="56"/>
      <c r="G409" s="56"/>
      <c r="H409" s="56"/>
      <c r="I409" s="56"/>
      <c r="J409" s="56"/>
      <c r="K409" s="56"/>
      <c r="L409" s="56"/>
      <c r="M409" s="56"/>
      <c r="N409" s="56"/>
      <c r="O409" s="56"/>
      <c r="P409" s="56"/>
      <c r="Q409" s="56"/>
      <c r="R409" s="56"/>
      <c r="S409" s="56"/>
      <c r="T409" s="56"/>
      <c r="U409" s="56"/>
      <c r="V409" s="56"/>
      <c r="W409" s="56"/>
    </row>
    <row r="410">
      <c r="A410" s="121"/>
      <c r="B410" s="56"/>
      <c r="C410" s="118"/>
      <c r="D410" s="118"/>
      <c r="E410" s="118"/>
      <c r="F410" s="56"/>
      <c r="G410" s="56"/>
      <c r="H410" s="56"/>
      <c r="I410" s="56"/>
      <c r="J410" s="56"/>
      <c r="K410" s="56"/>
      <c r="L410" s="56"/>
      <c r="M410" s="56"/>
      <c r="N410" s="56"/>
      <c r="O410" s="56"/>
      <c r="P410" s="56"/>
      <c r="Q410" s="56"/>
      <c r="R410" s="56"/>
      <c r="S410" s="56"/>
      <c r="T410" s="56"/>
      <c r="U410" s="56"/>
      <c r="V410" s="56"/>
      <c r="W410" s="56"/>
    </row>
    <row r="411">
      <c r="A411" s="121"/>
      <c r="B411" s="56"/>
      <c r="C411" s="118"/>
      <c r="D411" s="118"/>
      <c r="E411" s="118"/>
      <c r="F411" s="56"/>
      <c r="G411" s="56"/>
      <c r="H411" s="56"/>
      <c r="I411" s="56"/>
      <c r="J411" s="56"/>
      <c r="K411" s="56"/>
      <c r="L411" s="56"/>
      <c r="M411" s="56"/>
      <c r="N411" s="56"/>
      <c r="O411" s="56"/>
      <c r="P411" s="56"/>
      <c r="Q411" s="56"/>
      <c r="R411" s="56"/>
      <c r="S411" s="56"/>
      <c r="T411" s="56"/>
      <c r="U411" s="56"/>
      <c r="V411" s="56"/>
      <c r="W411" s="56"/>
    </row>
    <row r="412">
      <c r="A412" s="121"/>
      <c r="B412" s="56"/>
      <c r="C412" s="118"/>
      <c r="D412" s="118"/>
      <c r="E412" s="118"/>
      <c r="F412" s="56"/>
      <c r="G412" s="56"/>
      <c r="H412" s="56"/>
      <c r="I412" s="56"/>
      <c r="J412" s="56"/>
      <c r="K412" s="56"/>
      <c r="L412" s="56"/>
      <c r="M412" s="56"/>
      <c r="N412" s="56"/>
      <c r="O412" s="56"/>
      <c r="P412" s="56"/>
      <c r="Q412" s="56"/>
      <c r="R412" s="56"/>
      <c r="S412" s="56"/>
      <c r="T412" s="56"/>
      <c r="U412" s="56"/>
      <c r="V412" s="56"/>
      <c r="W412" s="56"/>
    </row>
    <row r="413">
      <c r="A413" s="121"/>
      <c r="B413" s="56"/>
      <c r="C413" s="118"/>
      <c r="D413" s="118"/>
      <c r="E413" s="118"/>
      <c r="F413" s="56"/>
      <c r="G413" s="56"/>
      <c r="H413" s="56"/>
      <c r="I413" s="56"/>
      <c r="J413" s="56"/>
      <c r="K413" s="56"/>
      <c r="L413" s="56"/>
      <c r="M413" s="56"/>
      <c r="N413" s="56"/>
      <c r="O413" s="56"/>
      <c r="P413" s="56"/>
      <c r="Q413" s="56"/>
      <c r="R413" s="56"/>
      <c r="S413" s="56"/>
      <c r="T413" s="56"/>
      <c r="U413" s="56"/>
      <c r="V413" s="56"/>
      <c r="W413" s="56"/>
    </row>
    <row r="414">
      <c r="A414" s="121"/>
      <c r="B414" s="56"/>
      <c r="C414" s="118"/>
      <c r="D414" s="118"/>
      <c r="E414" s="118"/>
      <c r="F414" s="56"/>
      <c r="G414" s="56"/>
      <c r="H414" s="56"/>
      <c r="I414" s="56"/>
      <c r="J414" s="56"/>
      <c r="K414" s="56"/>
      <c r="L414" s="56"/>
      <c r="M414" s="56"/>
      <c r="N414" s="56"/>
      <c r="O414" s="56"/>
      <c r="P414" s="56"/>
      <c r="Q414" s="56"/>
      <c r="R414" s="56"/>
      <c r="S414" s="56"/>
      <c r="T414" s="56"/>
      <c r="U414" s="56"/>
      <c r="V414" s="56"/>
      <c r="W414" s="56"/>
    </row>
    <row r="415">
      <c r="A415" s="121"/>
      <c r="B415" s="56"/>
      <c r="C415" s="118"/>
      <c r="D415" s="118"/>
      <c r="E415" s="118"/>
      <c r="F415" s="56"/>
      <c r="G415" s="56"/>
      <c r="H415" s="56"/>
      <c r="I415" s="56"/>
      <c r="J415" s="56"/>
      <c r="K415" s="56"/>
      <c r="L415" s="56"/>
      <c r="M415" s="56"/>
      <c r="N415" s="56"/>
      <c r="O415" s="56"/>
      <c r="P415" s="56"/>
      <c r="Q415" s="56"/>
      <c r="R415" s="56"/>
      <c r="S415" s="56"/>
      <c r="T415" s="56"/>
      <c r="U415" s="56"/>
      <c r="V415" s="56"/>
      <c r="W415" s="56"/>
    </row>
    <row r="416">
      <c r="A416" s="121"/>
      <c r="B416" s="56"/>
      <c r="C416" s="118"/>
      <c r="D416" s="118"/>
      <c r="E416" s="118"/>
      <c r="F416" s="56"/>
      <c r="G416" s="56"/>
      <c r="H416" s="56"/>
      <c r="I416" s="56"/>
      <c r="J416" s="56"/>
      <c r="K416" s="56"/>
      <c r="L416" s="56"/>
      <c r="M416" s="56"/>
      <c r="N416" s="56"/>
      <c r="O416" s="56"/>
      <c r="P416" s="56"/>
      <c r="Q416" s="56"/>
      <c r="R416" s="56"/>
      <c r="S416" s="56"/>
      <c r="T416" s="56"/>
      <c r="U416" s="56"/>
      <c r="V416" s="56"/>
      <c r="W416" s="56"/>
    </row>
    <row r="417">
      <c r="A417" s="121"/>
      <c r="B417" s="56"/>
      <c r="C417" s="118"/>
      <c r="D417" s="118"/>
      <c r="E417" s="118"/>
      <c r="F417" s="56"/>
      <c r="G417" s="56"/>
      <c r="H417" s="56"/>
      <c r="I417" s="56"/>
      <c r="J417" s="56"/>
      <c r="K417" s="56"/>
      <c r="L417" s="56"/>
      <c r="M417" s="56"/>
      <c r="N417" s="56"/>
      <c r="O417" s="56"/>
      <c r="P417" s="56"/>
      <c r="Q417" s="56"/>
      <c r="R417" s="56"/>
      <c r="S417" s="56"/>
      <c r="T417" s="56"/>
      <c r="U417" s="56"/>
      <c r="V417" s="56"/>
      <c r="W417" s="56"/>
    </row>
    <row r="418">
      <c r="A418" s="121"/>
      <c r="B418" s="56"/>
      <c r="C418" s="118"/>
      <c r="D418" s="118"/>
      <c r="E418" s="118"/>
      <c r="F418" s="56"/>
      <c r="G418" s="56"/>
      <c r="H418" s="56"/>
      <c r="I418" s="56"/>
      <c r="J418" s="56"/>
      <c r="K418" s="56"/>
      <c r="L418" s="56"/>
      <c r="M418" s="56"/>
      <c r="N418" s="56"/>
      <c r="O418" s="56"/>
      <c r="P418" s="56"/>
      <c r="Q418" s="56"/>
      <c r="R418" s="56"/>
      <c r="S418" s="56"/>
      <c r="T418" s="56"/>
      <c r="U418" s="56"/>
      <c r="V418" s="56"/>
      <c r="W418" s="56"/>
    </row>
    <row r="419">
      <c r="A419" s="121"/>
      <c r="B419" s="56"/>
      <c r="C419" s="118"/>
      <c r="D419" s="118"/>
      <c r="E419" s="118"/>
      <c r="F419" s="56"/>
      <c r="G419" s="56"/>
      <c r="H419" s="56"/>
      <c r="I419" s="56"/>
      <c r="J419" s="56"/>
      <c r="K419" s="56"/>
      <c r="L419" s="56"/>
      <c r="M419" s="56"/>
      <c r="N419" s="56"/>
      <c r="O419" s="56"/>
      <c r="P419" s="56"/>
      <c r="Q419" s="56"/>
      <c r="R419" s="56"/>
      <c r="S419" s="56"/>
      <c r="T419" s="56"/>
      <c r="U419" s="56"/>
      <c r="V419" s="56"/>
      <c r="W419" s="56"/>
    </row>
    <row r="420">
      <c r="A420" s="121"/>
      <c r="B420" s="56"/>
      <c r="C420" s="118"/>
      <c r="D420" s="118"/>
      <c r="E420" s="118"/>
      <c r="F420" s="56"/>
      <c r="G420" s="56"/>
      <c r="H420" s="56"/>
      <c r="I420" s="56"/>
      <c r="J420" s="56"/>
      <c r="K420" s="56"/>
      <c r="L420" s="56"/>
      <c r="M420" s="56"/>
      <c r="N420" s="56"/>
      <c r="O420" s="56"/>
      <c r="P420" s="56"/>
      <c r="Q420" s="56"/>
      <c r="R420" s="56"/>
      <c r="S420" s="56"/>
      <c r="T420" s="56"/>
      <c r="U420" s="56"/>
      <c r="V420" s="56"/>
      <c r="W420" s="56"/>
    </row>
    <row r="421">
      <c r="A421" s="121"/>
      <c r="B421" s="56"/>
      <c r="C421" s="118"/>
      <c r="D421" s="118"/>
      <c r="E421" s="118"/>
      <c r="F421" s="56"/>
      <c r="G421" s="56"/>
      <c r="H421" s="56"/>
      <c r="I421" s="56"/>
      <c r="J421" s="56"/>
      <c r="K421" s="56"/>
      <c r="L421" s="56"/>
      <c r="M421" s="56"/>
      <c r="N421" s="56"/>
      <c r="O421" s="56"/>
      <c r="P421" s="56"/>
      <c r="Q421" s="56"/>
      <c r="R421" s="56"/>
      <c r="S421" s="56"/>
      <c r="T421" s="56"/>
      <c r="U421" s="56"/>
      <c r="V421" s="56"/>
      <c r="W421" s="56"/>
    </row>
    <row r="422">
      <c r="A422" s="121"/>
      <c r="B422" s="56"/>
      <c r="C422" s="118"/>
      <c r="D422" s="118"/>
      <c r="E422" s="118"/>
      <c r="F422" s="56"/>
      <c r="G422" s="56"/>
      <c r="H422" s="56"/>
      <c r="I422" s="56"/>
      <c r="J422" s="56"/>
      <c r="K422" s="56"/>
      <c r="L422" s="56"/>
      <c r="M422" s="56"/>
      <c r="N422" s="56"/>
      <c r="O422" s="56"/>
      <c r="P422" s="56"/>
      <c r="Q422" s="56"/>
      <c r="R422" s="56"/>
      <c r="S422" s="56"/>
      <c r="T422" s="56"/>
      <c r="U422" s="56"/>
      <c r="V422" s="56"/>
      <c r="W422" s="56"/>
    </row>
    <row r="423">
      <c r="A423" s="121"/>
      <c r="B423" s="56"/>
      <c r="C423" s="118"/>
      <c r="D423" s="118"/>
      <c r="E423" s="118"/>
      <c r="F423" s="56"/>
      <c r="G423" s="56"/>
      <c r="H423" s="56"/>
      <c r="I423" s="56"/>
      <c r="J423" s="56"/>
      <c r="K423" s="56"/>
      <c r="L423" s="56"/>
      <c r="M423" s="56"/>
      <c r="N423" s="56"/>
      <c r="O423" s="56"/>
      <c r="P423" s="56"/>
      <c r="Q423" s="56"/>
      <c r="R423" s="56"/>
      <c r="S423" s="56"/>
      <c r="T423" s="56"/>
      <c r="U423" s="56"/>
      <c r="V423" s="56"/>
      <c r="W423" s="56"/>
    </row>
    <row r="424">
      <c r="A424" s="121"/>
      <c r="B424" s="56"/>
      <c r="C424" s="118"/>
      <c r="D424" s="118"/>
      <c r="E424" s="118"/>
      <c r="F424" s="56"/>
      <c r="G424" s="56"/>
      <c r="H424" s="56"/>
      <c r="I424" s="56"/>
      <c r="J424" s="56"/>
      <c r="K424" s="56"/>
      <c r="L424" s="56"/>
      <c r="M424" s="56"/>
      <c r="N424" s="56"/>
      <c r="O424" s="56"/>
      <c r="P424" s="56"/>
      <c r="Q424" s="56"/>
      <c r="R424" s="56"/>
      <c r="S424" s="56"/>
      <c r="T424" s="56"/>
      <c r="U424" s="56"/>
      <c r="V424" s="56"/>
      <c r="W424" s="56"/>
    </row>
    <row r="425">
      <c r="A425" s="121"/>
      <c r="B425" s="56"/>
      <c r="C425" s="118"/>
      <c r="D425" s="118"/>
      <c r="E425" s="118"/>
      <c r="F425" s="56"/>
      <c r="G425" s="56"/>
      <c r="H425" s="56"/>
      <c r="I425" s="56"/>
      <c r="J425" s="56"/>
      <c r="K425" s="56"/>
      <c r="L425" s="56"/>
      <c r="M425" s="56"/>
      <c r="N425" s="56"/>
      <c r="O425" s="56"/>
      <c r="P425" s="56"/>
      <c r="Q425" s="56"/>
      <c r="R425" s="56"/>
      <c r="S425" s="56"/>
      <c r="T425" s="56"/>
      <c r="U425" s="56"/>
      <c r="V425" s="56"/>
      <c r="W425" s="56"/>
    </row>
    <row r="426">
      <c r="A426" s="121"/>
      <c r="B426" s="56"/>
      <c r="C426" s="118"/>
      <c r="D426" s="118"/>
      <c r="E426" s="118"/>
      <c r="F426" s="56"/>
      <c r="G426" s="56"/>
      <c r="H426" s="56"/>
      <c r="I426" s="56"/>
      <c r="J426" s="56"/>
      <c r="K426" s="56"/>
      <c r="L426" s="56"/>
      <c r="M426" s="56"/>
      <c r="N426" s="56"/>
      <c r="O426" s="56"/>
      <c r="P426" s="56"/>
      <c r="Q426" s="56"/>
      <c r="R426" s="56"/>
      <c r="S426" s="56"/>
      <c r="T426" s="56"/>
      <c r="U426" s="56"/>
      <c r="V426" s="56"/>
      <c r="W426" s="56"/>
    </row>
    <row r="427">
      <c r="A427" s="121"/>
      <c r="B427" s="56"/>
      <c r="C427" s="118"/>
      <c r="D427" s="118"/>
      <c r="E427" s="118"/>
      <c r="F427" s="56"/>
      <c r="G427" s="56"/>
      <c r="H427" s="56"/>
      <c r="I427" s="56"/>
      <c r="J427" s="56"/>
      <c r="K427" s="56"/>
      <c r="L427" s="56"/>
      <c r="M427" s="56"/>
      <c r="N427" s="56"/>
      <c r="O427" s="56"/>
      <c r="P427" s="56"/>
      <c r="Q427" s="56"/>
      <c r="R427" s="56"/>
      <c r="S427" s="56"/>
      <c r="T427" s="56"/>
      <c r="U427" s="56"/>
      <c r="V427" s="56"/>
      <c r="W427" s="56"/>
    </row>
    <row r="428">
      <c r="A428" s="121"/>
      <c r="B428" s="56"/>
      <c r="C428" s="118"/>
      <c r="D428" s="118"/>
      <c r="E428" s="118"/>
      <c r="F428" s="56"/>
      <c r="G428" s="56"/>
      <c r="H428" s="56"/>
      <c r="I428" s="56"/>
      <c r="J428" s="56"/>
      <c r="K428" s="56"/>
      <c r="L428" s="56"/>
      <c r="M428" s="56"/>
      <c r="N428" s="56"/>
      <c r="O428" s="56"/>
      <c r="P428" s="56"/>
      <c r="Q428" s="56"/>
      <c r="R428" s="56"/>
      <c r="S428" s="56"/>
      <c r="T428" s="56"/>
      <c r="U428" s="56"/>
      <c r="V428" s="56"/>
      <c r="W428" s="56"/>
    </row>
    <row r="429">
      <c r="A429" s="121"/>
      <c r="B429" s="56"/>
      <c r="C429" s="118"/>
      <c r="D429" s="118"/>
      <c r="E429" s="118"/>
      <c r="F429" s="56"/>
      <c r="G429" s="56"/>
      <c r="H429" s="56"/>
      <c r="I429" s="56"/>
      <c r="J429" s="56"/>
      <c r="K429" s="56"/>
      <c r="L429" s="56"/>
      <c r="M429" s="56"/>
      <c r="N429" s="56"/>
      <c r="O429" s="56"/>
      <c r="P429" s="56"/>
      <c r="Q429" s="56"/>
      <c r="R429" s="56"/>
      <c r="S429" s="56"/>
      <c r="T429" s="56"/>
      <c r="U429" s="56"/>
      <c r="V429" s="56"/>
      <c r="W429" s="56"/>
    </row>
    <row r="430">
      <c r="A430" s="121"/>
      <c r="B430" s="56"/>
      <c r="C430" s="118"/>
      <c r="D430" s="118"/>
      <c r="E430" s="118"/>
      <c r="F430" s="56"/>
      <c r="G430" s="56"/>
      <c r="H430" s="56"/>
      <c r="I430" s="56"/>
      <c r="J430" s="56"/>
      <c r="K430" s="56"/>
      <c r="L430" s="56"/>
      <c r="M430" s="56"/>
      <c r="N430" s="56"/>
      <c r="O430" s="56"/>
      <c r="P430" s="56"/>
      <c r="Q430" s="56"/>
      <c r="R430" s="56"/>
      <c r="S430" s="56"/>
      <c r="T430" s="56"/>
      <c r="U430" s="56"/>
      <c r="V430" s="56"/>
      <c r="W430" s="56"/>
    </row>
    <row r="431">
      <c r="A431" s="121"/>
      <c r="B431" s="56"/>
      <c r="C431" s="118"/>
      <c r="D431" s="118"/>
      <c r="E431" s="118"/>
      <c r="F431" s="56"/>
      <c r="G431" s="56"/>
      <c r="H431" s="56"/>
      <c r="I431" s="56"/>
      <c r="J431" s="56"/>
      <c r="K431" s="56"/>
      <c r="L431" s="56"/>
      <c r="M431" s="56"/>
      <c r="N431" s="56"/>
      <c r="O431" s="56"/>
      <c r="P431" s="56"/>
      <c r="Q431" s="56"/>
      <c r="R431" s="56"/>
      <c r="S431" s="56"/>
      <c r="T431" s="56"/>
      <c r="U431" s="56"/>
      <c r="V431" s="56"/>
      <c r="W431" s="56"/>
    </row>
    <row r="432">
      <c r="A432" s="121"/>
      <c r="B432" s="56"/>
      <c r="C432" s="118"/>
      <c r="D432" s="118"/>
      <c r="E432" s="118"/>
      <c r="F432" s="56"/>
      <c r="G432" s="56"/>
      <c r="H432" s="56"/>
      <c r="I432" s="56"/>
      <c r="J432" s="56"/>
      <c r="K432" s="56"/>
      <c r="L432" s="56"/>
      <c r="M432" s="56"/>
      <c r="N432" s="56"/>
      <c r="O432" s="56"/>
      <c r="P432" s="56"/>
      <c r="Q432" s="56"/>
      <c r="R432" s="56"/>
      <c r="S432" s="56"/>
      <c r="T432" s="56"/>
      <c r="U432" s="56"/>
      <c r="V432" s="56"/>
      <c r="W432" s="56"/>
    </row>
    <row r="433">
      <c r="A433" s="121"/>
      <c r="B433" s="56"/>
      <c r="C433" s="118"/>
      <c r="D433" s="118"/>
      <c r="E433" s="118"/>
      <c r="F433" s="56"/>
      <c r="G433" s="56"/>
      <c r="H433" s="56"/>
      <c r="I433" s="56"/>
      <c r="J433" s="56"/>
      <c r="K433" s="56"/>
      <c r="L433" s="56"/>
      <c r="M433" s="56"/>
      <c r="N433" s="56"/>
      <c r="O433" s="56"/>
      <c r="P433" s="56"/>
      <c r="Q433" s="56"/>
      <c r="R433" s="56"/>
      <c r="S433" s="56"/>
      <c r="T433" s="56"/>
      <c r="U433" s="56"/>
      <c r="V433" s="56"/>
      <c r="W433" s="56"/>
    </row>
    <row r="434">
      <c r="A434" s="121"/>
      <c r="B434" s="56"/>
      <c r="C434" s="118"/>
      <c r="D434" s="118"/>
      <c r="E434" s="118"/>
      <c r="F434" s="56"/>
      <c r="G434" s="56"/>
      <c r="H434" s="56"/>
      <c r="I434" s="56"/>
      <c r="J434" s="56"/>
      <c r="K434" s="56"/>
      <c r="L434" s="56"/>
      <c r="M434" s="56"/>
      <c r="N434" s="56"/>
      <c r="O434" s="56"/>
      <c r="P434" s="56"/>
      <c r="Q434" s="56"/>
      <c r="R434" s="56"/>
      <c r="S434" s="56"/>
      <c r="T434" s="56"/>
      <c r="U434" s="56"/>
      <c r="V434" s="56"/>
      <c r="W434" s="56"/>
    </row>
    <row r="435">
      <c r="A435" s="121"/>
      <c r="B435" s="56"/>
      <c r="C435" s="118"/>
      <c r="D435" s="118"/>
      <c r="E435" s="118"/>
      <c r="F435" s="56"/>
      <c r="G435" s="56"/>
      <c r="H435" s="56"/>
      <c r="I435" s="56"/>
      <c r="J435" s="56"/>
      <c r="K435" s="56"/>
      <c r="L435" s="56"/>
      <c r="M435" s="56"/>
      <c r="N435" s="56"/>
      <c r="O435" s="56"/>
      <c r="P435" s="56"/>
      <c r="Q435" s="56"/>
      <c r="R435" s="56"/>
      <c r="S435" s="56"/>
      <c r="T435" s="56"/>
      <c r="U435" s="56"/>
      <c r="V435" s="56"/>
      <c r="W435" s="56"/>
    </row>
    <row r="436">
      <c r="A436" s="121"/>
      <c r="B436" s="56"/>
      <c r="C436" s="118"/>
      <c r="D436" s="118"/>
      <c r="E436" s="118"/>
      <c r="F436" s="56"/>
      <c r="G436" s="56"/>
      <c r="H436" s="56"/>
      <c r="I436" s="56"/>
      <c r="J436" s="56"/>
      <c r="K436" s="56"/>
      <c r="L436" s="56"/>
      <c r="M436" s="56"/>
      <c r="N436" s="56"/>
      <c r="O436" s="56"/>
      <c r="P436" s="56"/>
      <c r="Q436" s="56"/>
      <c r="R436" s="56"/>
      <c r="S436" s="56"/>
      <c r="T436" s="56"/>
      <c r="U436" s="56"/>
      <c r="V436" s="56"/>
      <c r="W436" s="56"/>
    </row>
    <row r="437">
      <c r="A437" s="121"/>
      <c r="B437" s="56"/>
      <c r="C437" s="118"/>
      <c r="D437" s="118"/>
      <c r="E437" s="118"/>
      <c r="F437" s="56"/>
      <c r="G437" s="56"/>
      <c r="H437" s="56"/>
      <c r="I437" s="56"/>
      <c r="J437" s="56"/>
      <c r="K437" s="56"/>
      <c r="L437" s="56"/>
      <c r="M437" s="56"/>
      <c r="N437" s="56"/>
      <c r="O437" s="56"/>
      <c r="P437" s="56"/>
      <c r="Q437" s="56"/>
      <c r="R437" s="56"/>
      <c r="S437" s="56"/>
      <c r="T437" s="56"/>
      <c r="U437" s="56"/>
      <c r="V437" s="56"/>
      <c r="W437" s="56"/>
    </row>
    <row r="438">
      <c r="A438" s="121"/>
      <c r="B438" s="56"/>
      <c r="C438" s="118"/>
      <c r="D438" s="118"/>
      <c r="E438" s="118"/>
      <c r="F438" s="56"/>
      <c r="G438" s="56"/>
      <c r="H438" s="56"/>
      <c r="I438" s="56"/>
      <c r="J438" s="56"/>
      <c r="K438" s="56"/>
      <c r="L438" s="56"/>
      <c r="M438" s="56"/>
      <c r="N438" s="56"/>
      <c r="O438" s="56"/>
      <c r="P438" s="56"/>
      <c r="Q438" s="56"/>
      <c r="R438" s="56"/>
      <c r="S438" s="56"/>
      <c r="T438" s="56"/>
      <c r="U438" s="56"/>
      <c r="V438" s="56"/>
      <c r="W438" s="56"/>
    </row>
    <row r="439">
      <c r="A439" s="121"/>
      <c r="B439" s="56"/>
      <c r="C439" s="118"/>
      <c r="D439" s="118"/>
      <c r="E439" s="118"/>
      <c r="F439" s="56"/>
      <c r="G439" s="56"/>
      <c r="H439" s="56"/>
      <c r="I439" s="56"/>
      <c r="J439" s="56"/>
      <c r="K439" s="56"/>
      <c r="L439" s="56"/>
      <c r="M439" s="56"/>
      <c r="N439" s="56"/>
      <c r="O439" s="56"/>
      <c r="P439" s="56"/>
      <c r="Q439" s="56"/>
      <c r="R439" s="56"/>
      <c r="S439" s="56"/>
      <c r="T439" s="56"/>
      <c r="U439" s="56"/>
      <c r="V439" s="56"/>
      <c r="W439" s="56"/>
    </row>
    <row r="440">
      <c r="A440" s="121"/>
      <c r="B440" s="56"/>
      <c r="C440" s="118"/>
      <c r="D440" s="118"/>
      <c r="E440" s="118"/>
      <c r="F440" s="56"/>
      <c r="G440" s="56"/>
      <c r="H440" s="56"/>
      <c r="I440" s="56"/>
      <c r="J440" s="56"/>
      <c r="K440" s="56"/>
      <c r="L440" s="56"/>
      <c r="M440" s="56"/>
      <c r="N440" s="56"/>
      <c r="O440" s="56"/>
      <c r="P440" s="56"/>
      <c r="Q440" s="56"/>
      <c r="R440" s="56"/>
      <c r="S440" s="56"/>
      <c r="T440" s="56"/>
      <c r="U440" s="56"/>
      <c r="V440" s="56"/>
      <c r="W440" s="56"/>
    </row>
    <row r="441">
      <c r="A441" s="121"/>
      <c r="B441" s="56"/>
      <c r="C441" s="118"/>
      <c r="D441" s="118"/>
      <c r="E441" s="118"/>
      <c r="F441" s="56"/>
      <c r="G441" s="56"/>
      <c r="H441" s="56"/>
      <c r="I441" s="56"/>
      <c r="J441" s="56"/>
      <c r="K441" s="56"/>
      <c r="L441" s="56"/>
      <c r="M441" s="56"/>
      <c r="N441" s="56"/>
      <c r="O441" s="56"/>
      <c r="P441" s="56"/>
      <c r="Q441" s="56"/>
      <c r="R441" s="56"/>
      <c r="S441" s="56"/>
      <c r="T441" s="56"/>
      <c r="U441" s="56"/>
      <c r="V441" s="56"/>
      <c r="W441" s="56"/>
    </row>
    <row r="442">
      <c r="A442" s="121"/>
      <c r="B442" s="56"/>
      <c r="C442" s="118"/>
      <c r="D442" s="118"/>
      <c r="E442" s="118"/>
      <c r="F442" s="56"/>
      <c r="G442" s="56"/>
      <c r="H442" s="56"/>
      <c r="I442" s="56"/>
      <c r="J442" s="56"/>
      <c r="K442" s="56"/>
      <c r="L442" s="56"/>
      <c r="M442" s="56"/>
      <c r="N442" s="56"/>
      <c r="O442" s="56"/>
      <c r="P442" s="56"/>
      <c r="Q442" s="56"/>
      <c r="R442" s="56"/>
      <c r="S442" s="56"/>
      <c r="T442" s="56"/>
      <c r="U442" s="56"/>
      <c r="V442" s="56"/>
      <c r="W442" s="56"/>
    </row>
    <row r="443">
      <c r="A443" s="121"/>
      <c r="B443" s="56"/>
      <c r="C443" s="118"/>
      <c r="D443" s="118"/>
      <c r="E443" s="118"/>
      <c r="F443" s="56"/>
      <c r="G443" s="56"/>
      <c r="H443" s="56"/>
      <c r="I443" s="56"/>
      <c r="J443" s="56"/>
      <c r="K443" s="56"/>
      <c r="L443" s="56"/>
      <c r="M443" s="56"/>
      <c r="N443" s="56"/>
      <c r="O443" s="56"/>
      <c r="P443" s="56"/>
      <c r="Q443" s="56"/>
      <c r="R443" s="56"/>
      <c r="S443" s="56"/>
      <c r="T443" s="56"/>
      <c r="U443" s="56"/>
      <c r="V443" s="56"/>
      <c r="W443" s="56"/>
    </row>
    <row r="444">
      <c r="A444" s="121"/>
      <c r="B444" s="56"/>
      <c r="C444" s="118"/>
      <c r="D444" s="118"/>
      <c r="E444" s="118"/>
      <c r="F444" s="56"/>
      <c r="G444" s="56"/>
      <c r="H444" s="56"/>
      <c r="I444" s="56"/>
      <c r="J444" s="56"/>
      <c r="K444" s="56"/>
      <c r="L444" s="56"/>
      <c r="M444" s="56"/>
      <c r="N444" s="56"/>
      <c r="O444" s="56"/>
      <c r="P444" s="56"/>
      <c r="Q444" s="56"/>
      <c r="R444" s="56"/>
      <c r="S444" s="56"/>
      <c r="T444" s="56"/>
      <c r="U444" s="56"/>
      <c r="V444" s="56"/>
      <c r="W444" s="56"/>
    </row>
    <row r="445">
      <c r="A445" s="121"/>
      <c r="B445" s="56"/>
      <c r="C445" s="118"/>
      <c r="D445" s="118"/>
      <c r="E445" s="118"/>
      <c r="F445" s="56"/>
      <c r="G445" s="56"/>
      <c r="H445" s="56"/>
      <c r="I445" s="56"/>
      <c r="J445" s="56"/>
      <c r="K445" s="56"/>
      <c r="L445" s="56"/>
      <c r="M445" s="56"/>
      <c r="N445" s="56"/>
      <c r="O445" s="56"/>
      <c r="P445" s="56"/>
      <c r="Q445" s="56"/>
      <c r="R445" s="56"/>
      <c r="S445" s="56"/>
      <c r="T445" s="56"/>
      <c r="U445" s="56"/>
      <c r="V445" s="56"/>
      <c r="W445" s="56"/>
    </row>
    <row r="446">
      <c r="A446" s="121"/>
      <c r="B446" s="56"/>
      <c r="C446" s="118"/>
      <c r="D446" s="118"/>
      <c r="E446" s="118"/>
      <c r="F446" s="56"/>
      <c r="G446" s="56"/>
      <c r="H446" s="56"/>
      <c r="I446" s="56"/>
      <c r="J446" s="56"/>
      <c r="K446" s="56"/>
      <c r="L446" s="56"/>
      <c r="M446" s="56"/>
      <c r="N446" s="56"/>
      <c r="O446" s="56"/>
      <c r="P446" s="56"/>
      <c r="Q446" s="56"/>
      <c r="R446" s="56"/>
      <c r="S446" s="56"/>
      <c r="T446" s="56"/>
      <c r="U446" s="56"/>
      <c r="V446" s="56"/>
      <c r="W446" s="56"/>
    </row>
    <row r="447">
      <c r="A447" s="121"/>
      <c r="B447" s="56"/>
      <c r="C447" s="118"/>
      <c r="D447" s="118"/>
      <c r="E447" s="118"/>
      <c r="F447" s="56"/>
      <c r="G447" s="56"/>
      <c r="H447" s="56"/>
      <c r="I447" s="56"/>
      <c r="J447" s="56"/>
      <c r="K447" s="56"/>
      <c r="L447" s="56"/>
      <c r="M447" s="56"/>
      <c r="N447" s="56"/>
      <c r="O447" s="56"/>
      <c r="P447" s="56"/>
      <c r="Q447" s="56"/>
      <c r="R447" s="56"/>
      <c r="S447" s="56"/>
      <c r="T447" s="56"/>
      <c r="U447" s="56"/>
      <c r="V447" s="56"/>
      <c r="W447" s="56"/>
    </row>
    <row r="448">
      <c r="A448" s="121"/>
      <c r="B448" s="56"/>
      <c r="C448" s="118"/>
      <c r="D448" s="118"/>
      <c r="E448" s="118"/>
      <c r="F448" s="56"/>
      <c r="G448" s="56"/>
      <c r="H448" s="56"/>
      <c r="I448" s="56"/>
      <c r="J448" s="56"/>
      <c r="K448" s="56"/>
      <c r="L448" s="56"/>
      <c r="M448" s="56"/>
      <c r="N448" s="56"/>
      <c r="O448" s="56"/>
      <c r="P448" s="56"/>
      <c r="Q448" s="56"/>
      <c r="R448" s="56"/>
      <c r="S448" s="56"/>
      <c r="T448" s="56"/>
      <c r="U448" s="56"/>
      <c r="V448" s="56"/>
      <c r="W448" s="56"/>
    </row>
    <row r="449">
      <c r="A449" s="121"/>
      <c r="B449" s="56"/>
      <c r="C449" s="118"/>
      <c r="D449" s="118"/>
      <c r="E449" s="118"/>
      <c r="F449" s="56"/>
      <c r="G449" s="56"/>
      <c r="H449" s="56"/>
      <c r="I449" s="56"/>
      <c r="J449" s="56"/>
      <c r="K449" s="56"/>
      <c r="L449" s="56"/>
      <c r="M449" s="56"/>
      <c r="N449" s="56"/>
      <c r="O449" s="56"/>
      <c r="P449" s="56"/>
      <c r="Q449" s="56"/>
      <c r="R449" s="56"/>
      <c r="S449" s="56"/>
      <c r="T449" s="56"/>
      <c r="U449" s="56"/>
      <c r="V449" s="56"/>
      <c r="W449" s="56"/>
    </row>
    <row r="450">
      <c r="A450" s="121"/>
      <c r="B450" s="56"/>
      <c r="C450" s="118"/>
      <c r="D450" s="118"/>
      <c r="E450" s="118"/>
      <c r="F450" s="56"/>
      <c r="G450" s="56"/>
      <c r="H450" s="56"/>
      <c r="I450" s="56"/>
      <c r="J450" s="56"/>
      <c r="K450" s="56"/>
      <c r="L450" s="56"/>
      <c r="M450" s="56"/>
      <c r="N450" s="56"/>
      <c r="O450" s="56"/>
      <c r="P450" s="56"/>
      <c r="Q450" s="56"/>
      <c r="R450" s="56"/>
      <c r="S450" s="56"/>
      <c r="T450" s="56"/>
      <c r="U450" s="56"/>
      <c r="V450" s="56"/>
      <c r="W450" s="56"/>
    </row>
    <row r="451">
      <c r="A451" s="121"/>
      <c r="B451" s="56"/>
      <c r="C451" s="118"/>
      <c r="D451" s="118"/>
      <c r="E451" s="118"/>
      <c r="F451" s="56"/>
      <c r="G451" s="56"/>
      <c r="H451" s="56"/>
      <c r="I451" s="56"/>
      <c r="J451" s="56"/>
      <c r="K451" s="56"/>
      <c r="L451" s="56"/>
      <c r="M451" s="56"/>
      <c r="N451" s="56"/>
      <c r="O451" s="56"/>
      <c r="P451" s="56"/>
      <c r="Q451" s="56"/>
      <c r="R451" s="56"/>
      <c r="S451" s="56"/>
      <c r="T451" s="56"/>
      <c r="U451" s="56"/>
      <c r="V451" s="56"/>
      <c r="W451" s="56"/>
    </row>
    <row r="452">
      <c r="A452" s="121"/>
      <c r="B452" s="56"/>
      <c r="C452" s="118"/>
      <c r="D452" s="118"/>
      <c r="E452" s="118"/>
      <c r="F452" s="56"/>
      <c r="G452" s="56"/>
      <c r="H452" s="56"/>
      <c r="I452" s="56"/>
      <c r="J452" s="56"/>
      <c r="K452" s="56"/>
      <c r="L452" s="56"/>
      <c r="M452" s="56"/>
      <c r="N452" s="56"/>
      <c r="O452" s="56"/>
      <c r="P452" s="56"/>
      <c r="Q452" s="56"/>
      <c r="R452" s="56"/>
      <c r="S452" s="56"/>
      <c r="T452" s="56"/>
      <c r="U452" s="56"/>
      <c r="V452" s="56"/>
      <c r="W452" s="56"/>
    </row>
    <row r="453">
      <c r="A453" s="121"/>
      <c r="B453" s="56"/>
      <c r="C453" s="118"/>
      <c r="D453" s="118"/>
      <c r="E453" s="118"/>
      <c r="F453" s="56"/>
      <c r="G453" s="56"/>
      <c r="H453" s="56"/>
      <c r="I453" s="56"/>
      <c r="J453" s="56"/>
      <c r="K453" s="56"/>
      <c r="L453" s="56"/>
      <c r="M453" s="56"/>
      <c r="N453" s="56"/>
      <c r="O453" s="56"/>
      <c r="P453" s="56"/>
      <c r="Q453" s="56"/>
      <c r="R453" s="56"/>
      <c r="S453" s="56"/>
      <c r="T453" s="56"/>
      <c r="U453" s="56"/>
      <c r="V453" s="56"/>
      <c r="W453" s="56"/>
    </row>
    <row r="454">
      <c r="A454" s="121"/>
      <c r="B454" s="56"/>
      <c r="C454" s="118"/>
      <c r="D454" s="118"/>
      <c r="E454" s="118"/>
      <c r="F454" s="56"/>
      <c r="G454" s="56"/>
      <c r="H454" s="56"/>
      <c r="I454" s="56"/>
      <c r="J454" s="56"/>
      <c r="K454" s="56"/>
      <c r="L454" s="56"/>
      <c r="M454" s="56"/>
      <c r="N454" s="56"/>
      <c r="O454" s="56"/>
      <c r="P454" s="56"/>
      <c r="Q454" s="56"/>
      <c r="R454" s="56"/>
      <c r="S454" s="56"/>
      <c r="T454" s="56"/>
      <c r="U454" s="56"/>
      <c r="V454" s="56"/>
      <c r="W454" s="56"/>
    </row>
    <row r="455">
      <c r="A455" s="121"/>
      <c r="B455" s="56"/>
      <c r="C455" s="118"/>
      <c r="D455" s="118"/>
      <c r="E455" s="118"/>
      <c r="F455" s="56"/>
      <c r="G455" s="56"/>
      <c r="H455" s="56"/>
      <c r="I455" s="56"/>
      <c r="J455" s="56"/>
      <c r="K455" s="56"/>
      <c r="L455" s="56"/>
      <c r="M455" s="56"/>
      <c r="N455" s="56"/>
      <c r="O455" s="56"/>
      <c r="P455" s="56"/>
      <c r="Q455" s="56"/>
      <c r="R455" s="56"/>
      <c r="S455" s="56"/>
      <c r="T455" s="56"/>
      <c r="U455" s="56"/>
      <c r="V455" s="56"/>
      <c r="W455" s="56"/>
    </row>
    <row r="456">
      <c r="A456" s="121"/>
      <c r="B456" s="56"/>
      <c r="C456" s="118"/>
      <c r="D456" s="118"/>
      <c r="E456" s="118"/>
      <c r="F456" s="56"/>
      <c r="G456" s="56"/>
      <c r="H456" s="56"/>
      <c r="I456" s="56"/>
      <c r="J456" s="56"/>
      <c r="K456" s="56"/>
      <c r="L456" s="56"/>
      <c r="M456" s="56"/>
      <c r="N456" s="56"/>
      <c r="O456" s="56"/>
      <c r="P456" s="56"/>
      <c r="Q456" s="56"/>
      <c r="R456" s="56"/>
      <c r="S456" s="56"/>
      <c r="T456" s="56"/>
      <c r="U456" s="56"/>
      <c r="V456" s="56"/>
      <c r="W456" s="56"/>
    </row>
    <row r="457">
      <c r="A457" s="121"/>
      <c r="B457" s="56"/>
      <c r="C457" s="118"/>
      <c r="D457" s="118"/>
      <c r="E457" s="118"/>
      <c r="F457" s="56"/>
      <c r="G457" s="56"/>
      <c r="H457" s="56"/>
      <c r="I457" s="56"/>
      <c r="J457" s="56"/>
      <c r="K457" s="56"/>
      <c r="L457" s="56"/>
      <c r="M457" s="56"/>
      <c r="N457" s="56"/>
      <c r="O457" s="56"/>
      <c r="P457" s="56"/>
      <c r="Q457" s="56"/>
      <c r="R457" s="56"/>
      <c r="S457" s="56"/>
      <c r="T457" s="56"/>
      <c r="U457" s="56"/>
      <c r="V457" s="56"/>
      <c r="W457" s="56"/>
    </row>
    <row r="458">
      <c r="A458" s="121"/>
      <c r="B458" s="56"/>
      <c r="C458" s="118"/>
      <c r="D458" s="118"/>
      <c r="E458" s="118"/>
      <c r="F458" s="56"/>
      <c r="G458" s="56"/>
      <c r="H458" s="56"/>
      <c r="I458" s="56"/>
      <c r="J458" s="56"/>
      <c r="K458" s="56"/>
      <c r="L458" s="56"/>
      <c r="M458" s="56"/>
      <c r="N458" s="56"/>
      <c r="O458" s="56"/>
      <c r="P458" s="56"/>
      <c r="Q458" s="56"/>
      <c r="R458" s="56"/>
      <c r="S458" s="56"/>
      <c r="T458" s="56"/>
      <c r="U458" s="56"/>
      <c r="V458" s="56"/>
      <c r="W458" s="56"/>
    </row>
    <row r="459">
      <c r="A459" s="121"/>
      <c r="B459" s="56"/>
      <c r="C459" s="118"/>
      <c r="D459" s="118"/>
      <c r="E459" s="118"/>
      <c r="F459" s="56"/>
      <c r="G459" s="56"/>
      <c r="H459" s="56"/>
      <c r="I459" s="56"/>
      <c r="J459" s="56"/>
      <c r="K459" s="56"/>
      <c r="L459" s="56"/>
      <c r="M459" s="56"/>
      <c r="N459" s="56"/>
      <c r="O459" s="56"/>
      <c r="P459" s="56"/>
      <c r="Q459" s="56"/>
      <c r="R459" s="56"/>
      <c r="S459" s="56"/>
      <c r="T459" s="56"/>
      <c r="U459" s="56"/>
      <c r="V459" s="56"/>
      <c r="W459" s="56"/>
    </row>
    <row r="460">
      <c r="A460" s="121"/>
      <c r="B460" s="56"/>
      <c r="C460" s="118"/>
      <c r="D460" s="118"/>
      <c r="E460" s="118"/>
      <c r="F460" s="56"/>
      <c r="G460" s="56"/>
      <c r="H460" s="56"/>
      <c r="I460" s="56"/>
      <c r="J460" s="56"/>
      <c r="K460" s="56"/>
      <c r="L460" s="56"/>
      <c r="M460" s="56"/>
      <c r="N460" s="56"/>
      <c r="O460" s="56"/>
      <c r="P460" s="56"/>
      <c r="Q460" s="56"/>
      <c r="R460" s="56"/>
      <c r="S460" s="56"/>
      <c r="T460" s="56"/>
      <c r="U460" s="56"/>
      <c r="V460" s="56"/>
      <c r="W460" s="56"/>
    </row>
    <row r="461">
      <c r="A461" s="121"/>
      <c r="B461" s="56"/>
      <c r="C461" s="118"/>
      <c r="D461" s="118"/>
      <c r="E461" s="118"/>
      <c r="F461" s="56"/>
      <c r="G461" s="56"/>
      <c r="H461" s="56"/>
      <c r="I461" s="56"/>
      <c r="J461" s="56"/>
      <c r="K461" s="56"/>
      <c r="L461" s="56"/>
      <c r="M461" s="56"/>
      <c r="N461" s="56"/>
      <c r="O461" s="56"/>
      <c r="P461" s="56"/>
      <c r="Q461" s="56"/>
      <c r="R461" s="56"/>
      <c r="S461" s="56"/>
      <c r="T461" s="56"/>
      <c r="U461" s="56"/>
      <c r="V461" s="56"/>
      <c r="W461" s="56"/>
    </row>
    <row r="462">
      <c r="A462" s="121"/>
      <c r="B462" s="56"/>
      <c r="C462" s="118"/>
      <c r="D462" s="118"/>
      <c r="E462" s="118"/>
      <c r="F462" s="56"/>
      <c r="G462" s="56"/>
      <c r="H462" s="56"/>
      <c r="I462" s="56"/>
      <c r="J462" s="56"/>
      <c r="K462" s="56"/>
      <c r="L462" s="56"/>
      <c r="M462" s="56"/>
      <c r="N462" s="56"/>
      <c r="O462" s="56"/>
      <c r="P462" s="56"/>
      <c r="Q462" s="56"/>
      <c r="R462" s="56"/>
      <c r="S462" s="56"/>
      <c r="T462" s="56"/>
      <c r="U462" s="56"/>
      <c r="V462" s="56"/>
      <c r="W462" s="56"/>
    </row>
    <row r="463">
      <c r="A463" s="121"/>
      <c r="B463" s="56"/>
      <c r="C463" s="118"/>
      <c r="D463" s="118"/>
      <c r="E463" s="118"/>
      <c r="F463" s="56"/>
      <c r="G463" s="56"/>
      <c r="H463" s="56"/>
      <c r="I463" s="56"/>
      <c r="J463" s="56"/>
      <c r="K463" s="56"/>
      <c r="L463" s="56"/>
      <c r="M463" s="56"/>
      <c r="N463" s="56"/>
      <c r="O463" s="56"/>
      <c r="P463" s="56"/>
      <c r="Q463" s="56"/>
      <c r="R463" s="56"/>
      <c r="S463" s="56"/>
      <c r="T463" s="56"/>
      <c r="U463" s="56"/>
      <c r="V463" s="56"/>
      <c r="W463" s="56"/>
    </row>
    <row r="464">
      <c r="A464" s="121"/>
      <c r="B464" s="56"/>
      <c r="C464" s="118"/>
      <c r="D464" s="118"/>
      <c r="E464" s="118"/>
      <c r="F464" s="56"/>
      <c r="G464" s="56"/>
      <c r="H464" s="56"/>
      <c r="I464" s="56"/>
      <c r="J464" s="56"/>
      <c r="K464" s="56"/>
      <c r="L464" s="56"/>
      <c r="M464" s="56"/>
      <c r="N464" s="56"/>
      <c r="O464" s="56"/>
      <c r="P464" s="56"/>
      <c r="Q464" s="56"/>
      <c r="R464" s="56"/>
      <c r="S464" s="56"/>
      <c r="T464" s="56"/>
      <c r="U464" s="56"/>
      <c r="V464" s="56"/>
      <c r="W464" s="56"/>
    </row>
    <row r="465">
      <c r="A465" s="121"/>
      <c r="B465" s="56"/>
      <c r="C465" s="118"/>
      <c r="D465" s="118"/>
      <c r="E465" s="118"/>
      <c r="F465" s="56"/>
      <c r="G465" s="56"/>
      <c r="H465" s="56"/>
      <c r="I465" s="56"/>
      <c r="J465" s="56"/>
      <c r="K465" s="56"/>
      <c r="L465" s="56"/>
      <c r="M465" s="56"/>
      <c r="N465" s="56"/>
      <c r="O465" s="56"/>
      <c r="P465" s="56"/>
      <c r="Q465" s="56"/>
      <c r="R465" s="56"/>
      <c r="S465" s="56"/>
      <c r="T465" s="56"/>
      <c r="U465" s="56"/>
      <c r="V465" s="56"/>
      <c r="W465" s="56"/>
    </row>
    <row r="466">
      <c r="A466" s="121"/>
      <c r="B466" s="56"/>
      <c r="C466" s="118"/>
      <c r="D466" s="118"/>
      <c r="E466" s="118"/>
      <c r="F466" s="56"/>
      <c r="G466" s="56"/>
      <c r="H466" s="56"/>
      <c r="I466" s="56"/>
      <c r="J466" s="56"/>
      <c r="K466" s="56"/>
      <c r="L466" s="56"/>
      <c r="M466" s="56"/>
      <c r="N466" s="56"/>
      <c r="O466" s="56"/>
      <c r="P466" s="56"/>
      <c r="Q466" s="56"/>
      <c r="R466" s="56"/>
      <c r="S466" s="56"/>
      <c r="T466" s="56"/>
      <c r="U466" s="56"/>
      <c r="V466" s="56"/>
      <c r="W466" s="56"/>
    </row>
    <row r="467">
      <c r="A467" s="121"/>
      <c r="B467" s="56"/>
      <c r="C467" s="118"/>
      <c r="D467" s="118"/>
      <c r="E467" s="118"/>
      <c r="F467" s="56"/>
      <c r="G467" s="56"/>
      <c r="H467" s="56"/>
      <c r="I467" s="56"/>
      <c r="J467" s="56"/>
      <c r="K467" s="56"/>
      <c r="L467" s="56"/>
      <c r="M467" s="56"/>
      <c r="N467" s="56"/>
      <c r="O467" s="56"/>
      <c r="P467" s="56"/>
      <c r="Q467" s="56"/>
      <c r="R467" s="56"/>
      <c r="S467" s="56"/>
      <c r="T467" s="56"/>
      <c r="U467" s="56"/>
      <c r="V467" s="56"/>
      <c r="W467" s="56"/>
    </row>
    <row r="468">
      <c r="A468" s="121"/>
      <c r="B468" s="56"/>
      <c r="C468" s="118"/>
      <c r="D468" s="118"/>
      <c r="E468" s="118"/>
      <c r="F468" s="56"/>
      <c r="G468" s="56"/>
      <c r="H468" s="56"/>
      <c r="I468" s="56"/>
      <c r="J468" s="56"/>
      <c r="K468" s="56"/>
      <c r="L468" s="56"/>
      <c r="M468" s="56"/>
      <c r="N468" s="56"/>
      <c r="O468" s="56"/>
      <c r="P468" s="56"/>
      <c r="Q468" s="56"/>
      <c r="R468" s="56"/>
      <c r="S468" s="56"/>
      <c r="T468" s="56"/>
      <c r="U468" s="56"/>
      <c r="V468" s="56"/>
      <c r="W468" s="56"/>
    </row>
    <row r="469">
      <c r="A469" s="121"/>
      <c r="B469" s="56"/>
      <c r="C469" s="118"/>
      <c r="D469" s="118"/>
      <c r="E469" s="118"/>
      <c r="F469" s="56"/>
      <c r="G469" s="56"/>
      <c r="H469" s="56"/>
      <c r="I469" s="56"/>
      <c r="J469" s="56"/>
      <c r="K469" s="56"/>
      <c r="L469" s="56"/>
      <c r="M469" s="56"/>
      <c r="N469" s="56"/>
      <c r="O469" s="56"/>
      <c r="P469" s="56"/>
      <c r="Q469" s="56"/>
      <c r="R469" s="56"/>
      <c r="S469" s="56"/>
      <c r="T469" s="56"/>
      <c r="U469" s="56"/>
      <c r="V469" s="56"/>
      <c r="W469" s="56"/>
    </row>
    <row r="470">
      <c r="A470" s="121"/>
      <c r="B470" s="56"/>
      <c r="C470" s="118"/>
      <c r="D470" s="118"/>
      <c r="E470" s="118"/>
      <c r="F470" s="56"/>
      <c r="G470" s="56"/>
      <c r="H470" s="56"/>
      <c r="I470" s="56"/>
      <c r="J470" s="56"/>
      <c r="K470" s="56"/>
      <c r="L470" s="56"/>
      <c r="M470" s="56"/>
      <c r="N470" s="56"/>
      <c r="O470" s="56"/>
      <c r="P470" s="56"/>
      <c r="Q470" s="56"/>
      <c r="R470" s="56"/>
      <c r="S470" s="56"/>
      <c r="T470" s="56"/>
      <c r="U470" s="56"/>
      <c r="V470" s="56"/>
      <c r="W470" s="56"/>
    </row>
    <row r="471">
      <c r="A471" s="121"/>
      <c r="B471" s="56"/>
      <c r="C471" s="118"/>
      <c r="D471" s="118"/>
      <c r="E471" s="118"/>
      <c r="F471" s="56"/>
      <c r="G471" s="56"/>
      <c r="H471" s="56"/>
      <c r="I471" s="56"/>
      <c r="J471" s="56"/>
      <c r="K471" s="56"/>
      <c r="L471" s="56"/>
      <c r="M471" s="56"/>
      <c r="N471" s="56"/>
      <c r="O471" s="56"/>
      <c r="P471" s="56"/>
      <c r="Q471" s="56"/>
      <c r="R471" s="56"/>
      <c r="S471" s="56"/>
      <c r="T471" s="56"/>
      <c r="U471" s="56"/>
      <c r="V471" s="56"/>
      <c r="W471" s="56"/>
    </row>
    <row r="472">
      <c r="A472" s="121"/>
      <c r="B472" s="56"/>
      <c r="C472" s="118"/>
      <c r="D472" s="118"/>
      <c r="E472" s="118"/>
      <c r="F472" s="56"/>
      <c r="G472" s="56"/>
      <c r="H472" s="56"/>
      <c r="I472" s="56"/>
      <c r="J472" s="56"/>
      <c r="K472" s="56"/>
      <c r="L472" s="56"/>
      <c r="M472" s="56"/>
      <c r="N472" s="56"/>
      <c r="O472" s="56"/>
      <c r="P472" s="56"/>
      <c r="Q472" s="56"/>
      <c r="R472" s="56"/>
      <c r="S472" s="56"/>
      <c r="T472" s="56"/>
      <c r="U472" s="56"/>
      <c r="V472" s="56"/>
      <c r="W472" s="56"/>
    </row>
    <row r="473">
      <c r="A473" s="121"/>
      <c r="B473" s="56"/>
      <c r="C473" s="118"/>
      <c r="D473" s="118"/>
      <c r="E473" s="118"/>
      <c r="F473" s="56"/>
      <c r="G473" s="56"/>
      <c r="H473" s="56"/>
      <c r="I473" s="56"/>
      <c r="J473" s="56"/>
      <c r="K473" s="56"/>
      <c r="L473" s="56"/>
      <c r="M473" s="56"/>
      <c r="N473" s="56"/>
      <c r="O473" s="56"/>
      <c r="P473" s="56"/>
      <c r="Q473" s="56"/>
      <c r="R473" s="56"/>
      <c r="S473" s="56"/>
      <c r="T473" s="56"/>
      <c r="U473" s="56"/>
      <c r="V473" s="56"/>
      <c r="W473" s="56"/>
    </row>
    <row r="474">
      <c r="A474" s="121"/>
      <c r="B474" s="56"/>
      <c r="C474" s="118"/>
      <c r="D474" s="118"/>
      <c r="E474" s="118"/>
      <c r="F474" s="56"/>
      <c r="G474" s="56"/>
      <c r="H474" s="56"/>
      <c r="I474" s="56"/>
      <c r="J474" s="56"/>
      <c r="K474" s="56"/>
      <c r="L474" s="56"/>
      <c r="M474" s="56"/>
      <c r="N474" s="56"/>
      <c r="O474" s="56"/>
      <c r="P474" s="56"/>
      <c r="Q474" s="56"/>
      <c r="R474" s="56"/>
      <c r="S474" s="56"/>
      <c r="T474" s="56"/>
      <c r="U474" s="56"/>
      <c r="V474" s="56"/>
      <c r="W474" s="56"/>
    </row>
    <row r="475">
      <c r="A475" s="121"/>
      <c r="B475" s="56"/>
      <c r="C475" s="118"/>
      <c r="D475" s="118"/>
      <c r="E475" s="118"/>
      <c r="F475" s="56"/>
      <c r="G475" s="56"/>
      <c r="H475" s="56"/>
      <c r="I475" s="56"/>
      <c r="J475" s="56"/>
      <c r="K475" s="56"/>
      <c r="L475" s="56"/>
      <c r="M475" s="56"/>
      <c r="N475" s="56"/>
      <c r="O475" s="56"/>
      <c r="P475" s="56"/>
      <c r="Q475" s="56"/>
      <c r="R475" s="56"/>
      <c r="S475" s="56"/>
      <c r="T475" s="56"/>
      <c r="U475" s="56"/>
      <c r="V475" s="56"/>
      <c r="W475" s="56"/>
    </row>
    <row r="476">
      <c r="A476" s="121"/>
      <c r="B476" s="56"/>
      <c r="C476" s="118"/>
      <c r="D476" s="118"/>
      <c r="E476" s="118"/>
      <c r="F476" s="56"/>
      <c r="G476" s="56"/>
      <c r="H476" s="56"/>
      <c r="I476" s="56"/>
      <c r="J476" s="56"/>
      <c r="K476" s="56"/>
      <c r="L476" s="56"/>
      <c r="M476" s="56"/>
      <c r="N476" s="56"/>
      <c r="O476" s="56"/>
      <c r="P476" s="56"/>
      <c r="Q476" s="56"/>
      <c r="R476" s="56"/>
      <c r="S476" s="56"/>
      <c r="T476" s="56"/>
      <c r="U476" s="56"/>
      <c r="V476" s="56"/>
      <c r="W476" s="56"/>
    </row>
    <row r="477">
      <c r="A477" s="121"/>
      <c r="B477" s="56"/>
      <c r="C477" s="118"/>
      <c r="D477" s="118"/>
      <c r="E477" s="118"/>
      <c r="F477" s="56"/>
      <c r="G477" s="56"/>
      <c r="H477" s="56"/>
      <c r="I477" s="56"/>
      <c r="J477" s="56"/>
      <c r="K477" s="56"/>
      <c r="L477" s="56"/>
      <c r="M477" s="56"/>
      <c r="N477" s="56"/>
      <c r="O477" s="56"/>
      <c r="P477" s="56"/>
      <c r="Q477" s="56"/>
      <c r="R477" s="56"/>
      <c r="S477" s="56"/>
      <c r="T477" s="56"/>
      <c r="U477" s="56"/>
      <c r="V477" s="56"/>
      <c r="W477" s="56"/>
    </row>
    <row r="478">
      <c r="A478" s="121"/>
      <c r="B478" s="56"/>
      <c r="C478" s="118"/>
      <c r="D478" s="118"/>
      <c r="E478" s="118"/>
      <c r="F478" s="56"/>
      <c r="G478" s="56"/>
      <c r="H478" s="56"/>
      <c r="I478" s="56"/>
      <c r="J478" s="56"/>
      <c r="K478" s="56"/>
      <c r="L478" s="56"/>
      <c r="M478" s="56"/>
      <c r="N478" s="56"/>
      <c r="O478" s="56"/>
      <c r="P478" s="56"/>
      <c r="Q478" s="56"/>
      <c r="R478" s="56"/>
      <c r="S478" s="56"/>
      <c r="T478" s="56"/>
      <c r="U478" s="56"/>
      <c r="V478" s="56"/>
      <c r="W478" s="56"/>
    </row>
    <row r="479">
      <c r="A479" s="121"/>
      <c r="B479" s="56"/>
      <c r="C479" s="118"/>
      <c r="D479" s="118"/>
      <c r="E479" s="118"/>
      <c r="F479" s="56"/>
      <c r="G479" s="56"/>
      <c r="H479" s="56"/>
      <c r="I479" s="56"/>
      <c r="J479" s="56"/>
      <c r="K479" s="56"/>
      <c r="L479" s="56"/>
      <c r="M479" s="56"/>
      <c r="N479" s="56"/>
      <c r="O479" s="56"/>
      <c r="P479" s="56"/>
      <c r="Q479" s="56"/>
      <c r="R479" s="56"/>
      <c r="S479" s="56"/>
      <c r="T479" s="56"/>
      <c r="U479" s="56"/>
      <c r="V479" s="56"/>
      <c r="W479" s="56"/>
    </row>
    <row r="480">
      <c r="A480" s="121"/>
      <c r="B480" s="56"/>
      <c r="C480" s="118"/>
      <c r="D480" s="118"/>
      <c r="E480" s="118"/>
      <c r="F480" s="56"/>
      <c r="G480" s="56"/>
      <c r="H480" s="56"/>
      <c r="I480" s="56"/>
      <c r="J480" s="56"/>
      <c r="K480" s="56"/>
      <c r="L480" s="56"/>
      <c r="M480" s="56"/>
      <c r="N480" s="56"/>
      <c r="O480" s="56"/>
      <c r="P480" s="56"/>
      <c r="Q480" s="56"/>
      <c r="R480" s="56"/>
      <c r="S480" s="56"/>
      <c r="T480" s="56"/>
      <c r="U480" s="56"/>
      <c r="V480" s="56"/>
      <c r="W480" s="56"/>
    </row>
    <row r="481">
      <c r="A481" s="121"/>
      <c r="B481" s="56"/>
      <c r="C481" s="118"/>
      <c r="D481" s="118"/>
      <c r="E481" s="118"/>
      <c r="F481" s="56"/>
      <c r="G481" s="56"/>
      <c r="H481" s="56"/>
      <c r="I481" s="56"/>
      <c r="J481" s="56"/>
      <c r="K481" s="56"/>
      <c r="L481" s="56"/>
      <c r="M481" s="56"/>
      <c r="N481" s="56"/>
      <c r="O481" s="56"/>
      <c r="P481" s="56"/>
      <c r="Q481" s="56"/>
      <c r="R481" s="56"/>
      <c r="S481" s="56"/>
      <c r="T481" s="56"/>
      <c r="U481" s="56"/>
      <c r="V481" s="56"/>
      <c r="W481" s="56"/>
    </row>
    <row r="482">
      <c r="A482" s="121"/>
      <c r="B482" s="56"/>
      <c r="C482" s="118"/>
      <c r="D482" s="118"/>
      <c r="E482" s="118"/>
      <c r="F482" s="56"/>
      <c r="G482" s="56"/>
      <c r="H482" s="56"/>
      <c r="I482" s="56"/>
      <c r="J482" s="56"/>
      <c r="K482" s="56"/>
      <c r="L482" s="56"/>
      <c r="M482" s="56"/>
      <c r="N482" s="56"/>
      <c r="O482" s="56"/>
      <c r="P482" s="56"/>
      <c r="Q482" s="56"/>
      <c r="R482" s="56"/>
      <c r="S482" s="56"/>
      <c r="T482" s="56"/>
      <c r="U482" s="56"/>
      <c r="V482" s="56"/>
      <c r="W482" s="56"/>
    </row>
    <row r="483">
      <c r="A483" s="121"/>
      <c r="B483" s="56"/>
      <c r="C483" s="118"/>
      <c r="D483" s="118"/>
      <c r="E483" s="118"/>
      <c r="F483" s="56"/>
      <c r="G483" s="56"/>
      <c r="H483" s="56"/>
      <c r="I483" s="56"/>
      <c r="J483" s="56"/>
      <c r="K483" s="56"/>
      <c r="L483" s="56"/>
      <c r="M483" s="56"/>
      <c r="N483" s="56"/>
      <c r="O483" s="56"/>
      <c r="P483" s="56"/>
      <c r="Q483" s="56"/>
      <c r="R483" s="56"/>
      <c r="S483" s="56"/>
      <c r="T483" s="56"/>
      <c r="U483" s="56"/>
      <c r="V483" s="56"/>
      <c r="W483" s="56"/>
    </row>
    <row r="484">
      <c r="A484" s="121"/>
      <c r="B484" s="56"/>
      <c r="C484" s="118"/>
      <c r="D484" s="118"/>
      <c r="E484" s="118"/>
      <c r="F484" s="56"/>
      <c r="G484" s="56"/>
      <c r="H484" s="56"/>
      <c r="I484" s="56"/>
      <c r="J484" s="56"/>
      <c r="K484" s="56"/>
      <c r="L484" s="56"/>
      <c r="M484" s="56"/>
      <c r="N484" s="56"/>
      <c r="O484" s="56"/>
      <c r="P484" s="56"/>
      <c r="Q484" s="56"/>
      <c r="R484" s="56"/>
      <c r="S484" s="56"/>
      <c r="T484" s="56"/>
      <c r="U484" s="56"/>
      <c r="V484" s="56"/>
      <c r="W484" s="56"/>
    </row>
    <row r="485">
      <c r="A485" s="121"/>
      <c r="B485" s="56"/>
      <c r="C485" s="118"/>
      <c r="D485" s="118"/>
      <c r="E485" s="118"/>
      <c r="F485" s="56"/>
      <c r="G485" s="56"/>
      <c r="H485" s="56"/>
      <c r="I485" s="56"/>
      <c r="J485" s="56"/>
      <c r="K485" s="56"/>
      <c r="L485" s="56"/>
      <c r="M485" s="56"/>
      <c r="N485" s="56"/>
      <c r="O485" s="56"/>
      <c r="P485" s="56"/>
      <c r="Q485" s="56"/>
      <c r="R485" s="56"/>
      <c r="S485" s="56"/>
      <c r="T485" s="56"/>
      <c r="U485" s="56"/>
      <c r="V485" s="56"/>
      <c r="W485" s="56"/>
    </row>
    <row r="486">
      <c r="A486" s="121"/>
      <c r="B486" s="56"/>
      <c r="C486" s="118"/>
      <c r="D486" s="118"/>
      <c r="E486" s="118"/>
      <c r="F486" s="56"/>
      <c r="G486" s="56"/>
      <c r="H486" s="56"/>
      <c r="I486" s="56"/>
      <c r="J486" s="56"/>
      <c r="K486" s="56"/>
      <c r="L486" s="56"/>
      <c r="M486" s="56"/>
      <c r="N486" s="56"/>
      <c r="O486" s="56"/>
      <c r="P486" s="56"/>
      <c r="Q486" s="56"/>
      <c r="R486" s="56"/>
      <c r="S486" s="56"/>
      <c r="T486" s="56"/>
      <c r="U486" s="56"/>
      <c r="V486" s="56"/>
      <c r="W486" s="56"/>
    </row>
    <row r="487">
      <c r="A487" s="121"/>
      <c r="B487" s="56"/>
      <c r="C487" s="118"/>
      <c r="D487" s="118"/>
      <c r="E487" s="118"/>
      <c r="F487" s="56"/>
      <c r="G487" s="56"/>
      <c r="H487" s="56"/>
      <c r="I487" s="56"/>
      <c r="J487" s="56"/>
      <c r="K487" s="56"/>
      <c r="L487" s="56"/>
      <c r="M487" s="56"/>
      <c r="N487" s="56"/>
      <c r="O487" s="56"/>
      <c r="P487" s="56"/>
      <c r="Q487" s="56"/>
      <c r="R487" s="56"/>
      <c r="S487" s="56"/>
      <c r="T487" s="56"/>
      <c r="U487" s="56"/>
      <c r="V487" s="56"/>
      <c r="W487" s="56"/>
    </row>
    <row r="488">
      <c r="A488" s="121"/>
      <c r="B488" s="56"/>
      <c r="C488" s="118"/>
      <c r="D488" s="118"/>
      <c r="E488" s="118"/>
      <c r="F488" s="56"/>
      <c r="G488" s="56"/>
      <c r="H488" s="56"/>
      <c r="I488" s="56"/>
      <c r="J488" s="56"/>
      <c r="K488" s="56"/>
      <c r="L488" s="56"/>
      <c r="M488" s="56"/>
      <c r="N488" s="56"/>
      <c r="O488" s="56"/>
      <c r="P488" s="56"/>
      <c r="Q488" s="56"/>
      <c r="R488" s="56"/>
      <c r="S488" s="56"/>
      <c r="T488" s="56"/>
      <c r="U488" s="56"/>
      <c r="V488" s="56"/>
      <c r="W488" s="56"/>
    </row>
    <row r="489">
      <c r="A489" s="121"/>
      <c r="B489" s="56"/>
      <c r="C489" s="118"/>
      <c r="D489" s="118"/>
      <c r="E489" s="118"/>
      <c r="F489" s="56"/>
      <c r="G489" s="56"/>
      <c r="H489" s="56"/>
      <c r="I489" s="56"/>
      <c r="J489" s="56"/>
      <c r="K489" s="56"/>
      <c r="L489" s="56"/>
      <c r="M489" s="56"/>
      <c r="N489" s="56"/>
      <c r="O489" s="56"/>
      <c r="P489" s="56"/>
      <c r="Q489" s="56"/>
      <c r="R489" s="56"/>
      <c r="S489" s="56"/>
      <c r="T489" s="56"/>
      <c r="U489" s="56"/>
      <c r="V489" s="56"/>
      <c r="W489" s="56"/>
    </row>
    <row r="490">
      <c r="A490" s="121"/>
      <c r="B490" s="56"/>
      <c r="C490" s="118"/>
      <c r="D490" s="118"/>
      <c r="E490" s="118"/>
      <c r="F490" s="56"/>
      <c r="G490" s="56"/>
      <c r="H490" s="56"/>
      <c r="I490" s="56"/>
      <c r="J490" s="56"/>
      <c r="K490" s="56"/>
      <c r="L490" s="56"/>
      <c r="M490" s="56"/>
      <c r="N490" s="56"/>
      <c r="O490" s="56"/>
      <c r="P490" s="56"/>
      <c r="Q490" s="56"/>
      <c r="R490" s="56"/>
      <c r="S490" s="56"/>
      <c r="T490" s="56"/>
      <c r="U490" s="56"/>
      <c r="V490" s="56"/>
      <c r="W490" s="56"/>
    </row>
    <row r="491">
      <c r="A491" s="121"/>
      <c r="B491" s="56"/>
      <c r="C491" s="118"/>
      <c r="D491" s="118"/>
      <c r="E491" s="118"/>
      <c r="F491" s="56"/>
      <c r="G491" s="56"/>
      <c r="H491" s="56"/>
      <c r="I491" s="56"/>
      <c r="J491" s="56"/>
      <c r="K491" s="56"/>
      <c r="L491" s="56"/>
      <c r="M491" s="56"/>
      <c r="N491" s="56"/>
      <c r="O491" s="56"/>
      <c r="P491" s="56"/>
      <c r="Q491" s="56"/>
      <c r="R491" s="56"/>
      <c r="S491" s="56"/>
      <c r="T491" s="56"/>
      <c r="U491" s="56"/>
      <c r="V491" s="56"/>
      <c r="W491" s="56"/>
    </row>
    <row r="492">
      <c r="A492" s="121"/>
      <c r="B492" s="56"/>
      <c r="C492" s="118"/>
      <c r="D492" s="118"/>
      <c r="E492" s="118"/>
      <c r="F492" s="56"/>
      <c r="G492" s="56"/>
      <c r="H492" s="56"/>
      <c r="I492" s="56"/>
      <c r="J492" s="56"/>
      <c r="K492" s="56"/>
      <c r="L492" s="56"/>
      <c r="M492" s="56"/>
      <c r="N492" s="56"/>
      <c r="O492" s="56"/>
      <c r="P492" s="56"/>
      <c r="Q492" s="56"/>
      <c r="R492" s="56"/>
      <c r="S492" s="56"/>
      <c r="T492" s="56"/>
      <c r="U492" s="56"/>
      <c r="V492" s="56"/>
      <c r="W492" s="56"/>
    </row>
    <row r="493">
      <c r="A493" s="121"/>
      <c r="B493" s="56"/>
      <c r="C493" s="118"/>
      <c r="D493" s="118"/>
      <c r="E493" s="118"/>
      <c r="F493" s="56"/>
      <c r="G493" s="56"/>
      <c r="H493" s="56"/>
      <c r="I493" s="56"/>
      <c r="J493" s="56"/>
      <c r="K493" s="56"/>
      <c r="L493" s="56"/>
      <c r="M493" s="56"/>
      <c r="N493" s="56"/>
      <c r="O493" s="56"/>
      <c r="P493" s="56"/>
      <c r="Q493" s="56"/>
      <c r="R493" s="56"/>
      <c r="S493" s="56"/>
      <c r="T493" s="56"/>
      <c r="U493" s="56"/>
      <c r="V493" s="56"/>
      <c r="W493" s="56"/>
    </row>
    <row r="494">
      <c r="A494" s="121"/>
      <c r="B494" s="56"/>
      <c r="C494" s="118"/>
      <c r="D494" s="118"/>
      <c r="E494" s="118"/>
      <c r="F494" s="56"/>
      <c r="G494" s="56"/>
      <c r="H494" s="56"/>
      <c r="I494" s="56"/>
      <c r="J494" s="56"/>
      <c r="K494" s="56"/>
      <c r="L494" s="56"/>
      <c r="M494" s="56"/>
      <c r="N494" s="56"/>
      <c r="O494" s="56"/>
      <c r="P494" s="56"/>
      <c r="Q494" s="56"/>
      <c r="R494" s="56"/>
      <c r="S494" s="56"/>
      <c r="T494" s="56"/>
      <c r="U494" s="56"/>
      <c r="V494" s="56"/>
      <c r="W494" s="56"/>
    </row>
    <row r="495">
      <c r="A495" s="121"/>
      <c r="B495" s="56"/>
      <c r="C495" s="118"/>
      <c r="D495" s="118"/>
      <c r="E495" s="118"/>
      <c r="F495" s="56"/>
      <c r="G495" s="56"/>
      <c r="H495" s="56"/>
      <c r="I495" s="56"/>
      <c r="J495" s="56"/>
      <c r="K495" s="56"/>
      <c r="L495" s="56"/>
      <c r="M495" s="56"/>
      <c r="N495" s="56"/>
      <c r="O495" s="56"/>
      <c r="P495" s="56"/>
      <c r="Q495" s="56"/>
      <c r="R495" s="56"/>
      <c r="S495" s="56"/>
      <c r="T495" s="56"/>
      <c r="U495" s="56"/>
      <c r="V495" s="56"/>
      <c r="W495" s="56"/>
    </row>
    <row r="496">
      <c r="A496" s="121"/>
      <c r="B496" s="56"/>
      <c r="C496" s="118"/>
      <c r="D496" s="118"/>
      <c r="E496" s="118"/>
      <c r="F496" s="56"/>
      <c r="G496" s="56"/>
      <c r="H496" s="56"/>
      <c r="I496" s="56"/>
      <c r="J496" s="56"/>
      <c r="K496" s="56"/>
      <c r="L496" s="56"/>
      <c r="M496" s="56"/>
      <c r="N496" s="56"/>
      <c r="O496" s="56"/>
      <c r="P496" s="56"/>
      <c r="Q496" s="56"/>
      <c r="R496" s="56"/>
      <c r="S496" s="56"/>
      <c r="T496" s="56"/>
      <c r="U496" s="56"/>
      <c r="V496" s="56"/>
      <c r="W496" s="56"/>
    </row>
    <row r="497">
      <c r="A497" s="121"/>
      <c r="B497" s="56"/>
      <c r="C497" s="118"/>
      <c r="D497" s="118"/>
      <c r="E497" s="118"/>
      <c r="F497" s="56"/>
      <c r="G497" s="56"/>
      <c r="H497" s="56"/>
      <c r="I497" s="56"/>
      <c r="J497" s="56"/>
      <c r="K497" s="56"/>
      <c r="L497" s="56"/>
      <c r="M497" s="56"/>
      <c r="N497" s="56"/>
      <c r="O497" s="56"/>
      <c r="P497" s="56"/>
      <c r="Q497" s="56"/>
      <c r="R497" s="56"/>
      <c r="S497" s="56"/>
      <c r="T497" s="56"/>
      <c r="U497" s="56"/>
      <c r="V497" s="56"/>
      <c r="W497" s="56"/>
    </row>
    <row r="498">
      <c r="A498" s="121"/>
      <c r="B498" s="56"/>
      <c r="C498" s="118"/>
      <c r="D498" s="118"/>
      <c r="E498" s="118"/>
      <c r="F498" s="56"/>
      <c r="G498" s="56"/>
      <c r="H498" s="56"/>
      <c r="I498" s="56"/>
      <c r="J498" s="56"/>
      <c r="K498" s="56"/>
      <c r="L498" s="56"/>
      <c r="M498" s="56"/>
      <c r="N498" s="56"/>
      <c r="O498" s="56"/>
      <c r="P498" s="56"/>
      <c r="Q498" s="56"/>
      <c r="R498" s="56"/>
      <c r="S498" s="56"/>
      <c r="T498" s="56"/>
      <c r="U498" s="56"/>
      <c r="V498" s="56"/>
      <c r="W498" s="56"/>
    </row>
    <row r="499">
      <c r="A499" s="121"/>
      <c r="B499" s="56"/>
      <c r="C499" s="118"/>
      <c r="D499" s="118"/>
      <c r="E499" s="118"/>
      <c r="F499" s="56"/>
      <c r="G499" s="56"/>
      <c r="H499" s="56"/>
      <c r="I499" s="56"/>
      <c r="J499" s="56"/>
      <c r="K499" s="56"/>
      <c r="L499" s="56"/>
      <c r="M499" s="56"/>
      <c r="N499" s="56"/>
      <c r="O499" s="56"/>
      <c r="P499" s="56"/>
      <c r="Q499" s="56"/>
      <c r="R499" s="56"/>
      <c r="S499" s="56"/>
      <c r="T499" s="56"/>
      <c r="U499" s="56"/>
      <c r="V499" s="56"/>
      <c r="W499" s="56"/>
    </row>
    <row r="500">
      <c r="A500" s="121"/>
      <c r="B500" s="56"/>
      <c r="C500" s="118"/>
      <c r="D500" s="118"/>
      <c r="E500" s="118"/>
      <c r="F500" s="56"/>
      <c r="G500" s="56"/>
      <c r="H500" s="56"/>
      <c r="I500" s="56"/>
      <c r="J500" s="56"/>
      <c r="K500" s="56"/>
      <c r="L500" s="56"/>
      <c r="M500" s="56"/>
      <c r="N500" s="56"/>
      <c r="O500" s="56"/>
      <c r="P500" s="56"/>
      <c r="Q500" s="56"/>
      <c r="R500" s="56"/>
      <c r="S500" s="56"/>
      <c r="T500" s="56"/>
      <c r="U500" s="56"/>
      <c r="V500" s="56"/>
      <c r="W500" s="56"/>
    </row>
    <row r="501">
      <c r="A501" s="121"/>
      <c r="B501" s="56"/>
      <c r="C501" s="118"/>
      <c r="D501" s="118"/>
      <c r="E501" s="118"/>
      <c r="F501" s="56"/>
      <c r="G501" s="56"/>
      <c r="H501" s="56"/>
      <c r="I501" s="56"/>
      <c r="J501" s="56"/>
      <c r="K501" s="56"/>
      <c r="L501" s="56"/>
      <c r="M501" s="56"/>
      <c r="N501" s="56"/>
      <c r="O501" s="56"/>
      <c r="P501" s="56"/>
      <c r="Q501" s="56"/>
      <c r="R501" s="56"/>
      <c r="S501" s="56"/>
      <c r="T501" s="56"/>
      <c r="U501" s="56"/>
      <c r="V501" s="56"/>
      <c r="W501" s="56"/>
    </row>
    <row r="502">
      <c r="A502" s="121"/>
      <c r="B502" s="56"/>
      <c r="C502" s="118"/>
      <c r="D502" s="118"/>
      <c r="E502" s="118"/>
      <c r="F502" s="56"/>
      <c r="G502" s="56"/>
      <c r="H502" s="56"/>
      <c r="I502" s="56"/>
      <c r="J502" s="56"/>
      <c r="K502" s="56"/>
      <c r="L502" s="56"/>
      <c r="M502" s="56"/>
      <c r="N502" s="56"/>
      <c r="O502" s="56"/>
      <c r="P502" s="56"/>
      <c r="Q502" s="56"/>
      <c r="R502" s="56"/>
      <c r="S502" s="56"/>
      <c r="T502" s="56"/>
      <c r="U502" s="56"/>
      <c r="V502" s="56"/>
      <c r="W502" s="56"/>
    </row>
    <row r="503">
      <c r="A503" s="121"/>
      <c r="B503" s="56"/>
      <c r="C503" s="118"/>
      <c r="D503" s="118"/>
      <c r="E503" s="118"/>
      <c r="F503" s="56"/>
      <c r="G503" s="56"/>
      <c r="H503" s="56"/>
      <c r="I503" s="56"/>
      <c r="J503" s="56"/>
      <c r="K503" s="56"/>
      <c r="L503" s="56"/>
      <c r="M503" s="56"/>
      <c r="N503" s="56"/>
      <c r="O503" s="56"/>
      <c r="P503" s="56"/>
      <c r="Q503" s="56"/>
      <c r="R503" s="56"/>
      <c r="S503" s="56"/>
      <c r="T503" s="56"/>
      <c r="U503" s="56"/>
      <c r="V503" s="56"/>
      <c r="W503" s="56"/>
    </row>
    <row r="504">
      <c r="A504" s="121"/>
      <c r="B504" s="56"/>
      <c r="C504" s="118"/>
      <c r="D504" s="118"/>
      <c r="E504" s="118"/>
      <c r="F504" s="56"/>
      <c r="G504" s="56"/>
      <c r="H504" s="56"/>
      <c r="I504" s="56"/>
      <c r="J504" s="56"/>
      <c r="K504" s="56"/>
      <c r="L504" s="56"/>
      <c r="M504" s="56"/>
      <c r="N504" s="56"/>
      <c r="O504" s="56"/>
      <c r="P504" s="56"/>
      <c r="Q504" s="56"/>
      <c r="R504" s="56"/>
      <c r="S504" s="56"/>
      <c r="T504" s="56"/>
      <c r="U504" s="56"/>
      <c r="V504" s="56"/>
      <c r="W504" s="56"/>
    </row>
    <row r="505">
      <c r="A505" s="121"/>
      <c r="B505" s="56"/>
      <c r="C505" s="118"/>
      <c r="D505" s="118"/>
      <c r="E505" s="118"/>
      <c r="F505" s="56"/>
      <c r="G505" s="56"/>
      <c r="H505" s="56"/>
      <c r="I505" s="56"/>
      <c r="J505" s="56"/>
      <c r="K505" s="56"/>
      <c r="L505" s="56"/>
      <c r="M505" s="56"/>
      <c r="N505" s="56"/>
      <c r="O505" s="56"/>
      <c r="P505" s="56"/>
      <c r="Q505" s="56"/>
      <c r="R505" s="56"/>
      <c r="S505" s="56"/>
      <c r="T505" s="56"/>
      <c r="U505" s="56"/>
      <c r="V505" s="56"/>
      <c r="W505" s="56"/>
    </row>
    <row r="506">
      <c r="A506" s="121"/>
      <c r="B506" s="56"/>
      <c r="C506" s="118"/>
      <c r="D506" s="118"/>
      <c r="E506" s="118"/>
      <c r="F506" s="56"/>
      <c r="G506" s="56"/>
      <c r="H506" s="56"/>
      <c r="I506" s="56"/>
      <c r="J506" s="56"/>
      <c r="K506" s="56"/>
      <c r="L506" s="56"/>
      <c r="M506" s="56"/>
      <c r="N506" s="56"/>
      <c r="O506" s="56"/>
      <c r="P506" s="56"/>
      <c r="Q506" s="56"/>
      <c r="R506" s="56"/>
      <c r="S506" s="56"/>
      <c r="T506" s="56"/>
      <c r="U506" s="56"/>
      <c r="V506" s="56"/>
      <c r="W506" s="56"/>
    </row>
    <row r="507">
      <c r="A507" s="121"/>
      <c r="B507" s="56"/>
      <c r="C507" s="118"/>
      <c r="D507" s="118"/>
      <c r="E507" s="118"/>
      <c r="F507" s="56"/>
      <c r="G507" s="56"/>
      <c r="H507" s="56"/>
      <c r="I507" s="56"/>
      <c r="J507" s="56"/>
      <c r="K507" s="56"/>
      <c r="L507" s="56"/>
      <c r="M507" s="56"/>
      <c r="N507" s="56"/>
      <c r="O507" s="56"/>
      <c r="P507" s="56"/>
      <c r="Q507" s="56"/>
      <c r="R507" s="56"/>
      <c r="S507" s="56"/>
      <c r="T507" s="56"/>
      <c r="U507" s="56"/>
      <c r="V507" s="56"/>
      <c r="W507" s="56"/>
    </row>
    <row r="508">
      <c r="A508" s="121"/>
      <c r="B508" s="56"/>
      <c r="C508" s="118"/>
      <c r="D508" s="118"/>
      <c r="E508" s="118"/>
      <c r="F508" s="56"/>
      <c r="G508" s="56"/>
      <c r="H508" s="56"/>
      <c r="I508" s="56"/>
      <c r="J508" s="56"/>
      <c r="K508" s="56"/>
      <c r="L508" s="56"/>
      <c r="M508" s="56"/>
      <c r="N508" s="56"/>
      <c r="O508" s="56"/>
      <c r="P508" s="56"/>
      <c r="Q508" s="56"/>
      <c r="R508" s="56"/>
      <c r="S508" s="56"/>
      <c r="T508" s="56"/>
      <c r="U508" s="56"/>
      <c r="V508" s="56"/>
      <c r="W508" s="56"/>
    </row>
    <row r="509">
      <c r="A509" s="121"/>
      <c r="B509" s="56"/>
      <c r="C509" s="118"/>
      <c r="D509" s="118"/>
      <c r="E509" s="118"/>
      <c r="F509" s="56"/>
      <c r="G509" s="56"/>
      <c r="H509" s="56"/>
      <c r="I509" s="56"/>
      <c r="J509" s="56"/>
      <c r="K509" s="56"/>
      <c r="L509" s="56"/>
      <c r="M509" s="56"/>
      <c r="N509" s="56"/>
      <c r="O509" s="56"/>
      <c r="P509" s="56"/>
      <c r="Q509" s="56"/>
      <c r="R509" s="56"/>
      <c r="S509" s="56"/>
      <c r="T509" s="56"/>
      <c r="U509" s="56"/>
      <c r="V509" s="56"/>
      <c r="W509" s="56"/>
    </row>
    <row r="510">
      <c r="A510" s="121"/>
      <c r="B510" s="56"/>
      <c r="C510" s="118"/>
      <c r="D510" s="118"/>
      <c r="E510" s="118"/>
      <c r="F510" s="56"/>
      <c r="G510" s="56"/>
      <c r="H510" s="56"/>
      <c r="I510" s="56"/>
      <c r="J510" s="56"/>
      <c r="K510" s="56"/>
      <c r="L510" s="56"/>
      <c r="M510" s="56"/>
      <c r="N510" s="56"/>
      <c r="O510" s="56"/>
      <c r="P510" s="56"/>
      <c r="Q510" s="56"/>
      <c r="R510" s="56"/>
      <c r="S510" s="56"/>
      <c r="T510" s="56"/>
      <c r="U510" s="56"/>
      <c r="V510" s="56"/>
      <c r="W510" s="56"/>
    </row>
    <row r="511">
      <c r="A511" s="121"/>
      <c r="B511" s="56"/>
      <c r="C511" s="118"/>
      <c r="D511" s="118"/>
      <c r="E511" s="118"/>
      <c r="F511" s="56"/>
      <c r="G511" s="56"/>
      <c r="H511" s="56"/>
      <c r="I511" s="56"/>
      <c r="J511" s="56"/>
      <c r="K511" s="56"/>
      <c r="L511" s="56"/>
      <c r="M511" s="56"/>
      <c r="N511" s="56"/>
      <c r="O511" s="56"/>
      <c r="P511" s="56"/>
      <c r="Q511" s="56"/>
      <c r="R511" s="56"/>
      <c r="S511" s="56"/>
      <c r="T511" s="56"/>
      <c r="U511" s="56"/>
      <c r="V511" s="56"/>
      <c r="W511" s="56"/>
    </row>
    <row r="512">
      <c r="A512" s="121"/>
      <c r="B512" s="56"/>
      <c r="C512" s="118"/>
      <c r="D512" s="118"/>
      <c r="E512" s="118"/>
      <c r="F512" s="56"/>
      <c r="G512" s="56"/>
      <c r="H512" s="56"/>
      <c r="I512" s="56"/>
      <c r="J512" s="56"/>
      <c r="K512" s="56"/>
      <c r="L512" s="56"/>
      <c r="M512" s="56"/>
      <c r="N512" s="56"/>
      <c r="O512" s="56"/>
      <c r="P512" s="56"/>
      <c r="Q512" s="56"/>
      <c r="R512" s="56"/>
      <c r="S512" s="56"/>
      <c r="T512" s="56"/>
      <c r="U512" s="56"/>
      <c r="V512" s="56"/>
      <c r="W512" s="56"/>
    </row>
    <row r="513">
      <c r="A513" s="121"/>
      <c r="B513" s="56"/>
      <c r="C513" s="118"/>
      <c r="D513" s="118"/>
      <c r="E513" s="118"/>
      <c r="F513" s="56"/>
      <c r="G513" s="56"/>
      <c r="H513" s="56"/>
      <c r="I513" s="56"/>
      <c r="J513" s="56"/>
      <c r="K513" s="56"/>
      <c r="L513" s="56"/>
      <c r="M513" s="56"/>
      <c r="N513" s="56"/>
      <c r="O513" s="56"/>
      <c r="P513" s="56"/>
      <c r="Q513" s="56"/>
      <c r="R513" s="56"/>
      <c r="S513" s="56"/>
      <c r="T513" s="56"/>
      <c r="U513" s="56"/>
      <c r="V513" s="56"/>
      <c r="W513" s="56"/>
    </row>
    <row r="514">
      <c r="A514" s="121"/>
      <c r="B514" s="56"/>
      <c r="C514" s="118"/>
      <c r="D514" s="118"/>
      <c r="E514" s="118"/>
      <c r="F514" s="56"/>
      <c r="G514" s="56"/>
      <c r="H514" s="56"/>
      <c r="I514" s="56"/>
      <c r="J514" s="56"/>
      <c r="K514" s="56"/>
      <c r="L514" s="56"/>
      <c r="M514" s="56"/>
      <c r="N514" s="56"/>
      <c r="O514" s="56"/>
      <c r="P514" s="56"/>
      <c r="Q514" s="56"/>
      <c r="R514" s="56"/>
      <c r="S514" s="56"/>
      <c r="T514" s="56"/>
      <c r="U514" s="56"/>
      <c r="V514" s="56"/>
      <c r="W514" s="56"/>
    </row>
    <row r="515">
      <c r="A515" s="121"/>
      <c r="B515" s="56"/>
      <c r="C515" s="118"/>
      <c r="D515" s="118"/>
      <c r="E515" s="118"/>
      <c r="F515" s="56"/>
      <c r="G515" s="56"/>
      <c r="H515" s="56"/>
      <c r="I515" s="56"/>
      <c r="J515" s="56"/>
      <c r="K515" s="56"/>
      <c r="L515" s="56"/>
      <c r="M515" s="56"/>
      <c r="N515" s="56"/>
      <c r="O515" s="56"/>
      <c r="P515" s="56"/>
      <c r="Q515" s="56"/>
      <c r="R515" s="56"/>
      <c r="S515" s="56"/>
      <c r="T515" s="56"/>
      <c r="U515" s="56"/>
      <c r="V515" s="56"/>
      <c r="W515" s="56"/>
    </row>
    <row r="516">
      <c r="A516" s="121"/>
      <c r="B516" s="56"/>
      <c r="C516" s="118"/>
      <c r="D516" s="118"/>
      <c r="E516" s="118"/>
      <c r="F516" s="56"/>
      <c r="G516" s="56"/>
      <c r="H516" s="56"/>
      <c r="I516" s="56"/>
      <c r="J516" s="56"/>
      <c r="K516" s="56"/>
      <c r="L516" s="56"/>
      <c r="M516" s="56"/>
      <c r="N516" s="56"/>
      <c r="O516" s="56"/>
      <c r="P516" s="56"/>
      <c r="Q516" s="56"/>
      <c r="R516" s="56"/>
      <c r="S516" s="56"/>
      <c r="T516" s="56"/>
      <c r="U516" s="56"/>
      <c r="V516" s="56"/>
      <c r="W516" s="56"/>
    </row>
    <row r="517">
      <c r="A517" s="121"/>
      <c r="B517" s="56"/>
      <c r="C517" s="118"/>
      <c r="D517" s="118"/>
      <c r="E517" s="118"/>
      <c r="F517" s="56"/>
      <c r="G517" s="56"/>
      <c r="H517" s="56"/>
      <c r="I517" s="56"/>
      <c r="J517" s="56"/>
      <c r="K517" s="56"/>
      <c r="L517" s="56"/>
      <c r="M517" s="56"/>
      <c r="N517" s="56"/>
      <c r="O517" s="56"/>
      <c r="P517" s="56"/>
      <c r="Q517" s="56"/>
      <c r="R517" s="56"/>
      <c r="S517" s="56"/>
      <c r="T517" s="56"/>
      <c r="U517" s="56"/>
      <c r="V517" s="56"/>
      <c r="W517" s="56"/>
    </row>
    <row r="518">
      <c r="A518" s="121"/>
      <c r="B518" s="56"/>
      <c r="C518" s="118"/>
      <c r="D518" s="118"/>
      <c r="E518" s="118"/>
      <c r="F518" s="56"/>
      <c r="G518" s="56"/>
      <c r="H518" s="56"/>
      <c r="I518" s="56"/>
      <c r="J518" s="56"/>
      <c r="K518" s="56"/>
      <c r="L518" s="56"/>
      <c r="M518" s="56"/>
      <c r="N518" s="56"/>
      <c r="O518" s="56"/>
      <c r="P518" s="56"/>
      <c r="Q518" s="56"/>
      <c r="R518" s="56"/>
      <c r="S518" s="56"/>
      <c r="T518" s="56"/>
      <c r="U518" s="56"/>
      <c r="V518" s="56"/>
      <c r="W518" s="56"/>
    </row>
    <row r="519">
      <c r="A519" s="121"/>
      <c r="B519" s="56"/>
      <c r="C519" s="118"/>
      <c r="D519" s="118"/>
      <c r="E519" s="118"/>
      <c r="F519" s="56"/>
      <c r="G519" s="56"/>
      <c r="H519" s="56"/>
      <c r="I519" s="56"/>
      <c r="J519" s="56"/>
      <c r="K519" s="56"/>
      <c r="L519" s="56"/>
      <c r="M519" s="56"/>
      <c r="N519" s="56"/>
      <c r="O519" s="56"/>
      <c r="P519" s="56"/>
      <c r="Q519" s="56"/>
      <c r="R519" s="56"/>
      <c r="S519" s="56"/>
      <c r="T519" s="56"/>
      <c r="U519" s="56"/>
      <c r="V519" s="56"/>
      <c r="W519" s="56"/>
    </row>
    <row r="520">
      <c r="A520" s="121"/>
      <c r="B520" s="56"/>
      <c r="C520" s="118"/>
      <c r="D520" s="118"/>
      <c r="E520" s="118"/>
      <c r="F520" s="56"/>
      <c r="G520" s="56"/>
      <c r="H520" s="56"/>
      <c r="I520" s="56"/>
      <c r="J520" s="56"/>
      <c r="K520" s="56"/>
      <c r="L520" s="56"/>
      <c r="M520" s="56"/>
      <c r="N520" s="56"/>
      <c r="O520" s="56"/>
      <c r="P520" s="56"/>
      <c r="Q520" s="56"/>
      <c r="R520" s="56"/>
      <c r="S520" s="56"/>
      <c r="T520" s="56"/>
      <c r="U520" s="56"/>
      <c r="V520" s="56"/>
      <c r="W520" s="56"/>
    </row>
    <row r="521">
      <c r="A521" s="121"/>
      <c r="B521" s="56"/>
      <c r="C521" s="118"/>
      <c r="D521" s="118"/>
      <c r="E521" s="118"/>
      <c r="F521" s="56"/>
      <c r="G521" s="56"/>
      <c r="H521" s="56"/>
      <c r="I521" s="56"/>
      <c r="J521" s="56"/>
      <c r="K521" s="56"/>
      <c r="L521" s="56"/>
      <c r="M521" s="56"/>
      <c r="N521" s="56"/>
      <c r="O521" s="56"/>
      <c r="P521" s="56"/>
      <c r="Q521" s="56"/>
      <c r="R521" s="56"/>
      <c r="S521" s="56"/>
      <c r="T521" s="56"/>
      <c r="U521" s="56"/>
      <c r="V521" s="56"/>
      <c r="W521" s="56"/>
    </row>
    <row r="522">
      <c r="A522" s="121"/>
      <c r="B522" s="56"/>
      <c r="C522" s="118"/>
      <c r="D522" s="118"/>
      <c r="E522" s="118"/>
      <c r="F522" s="56"/>
      <c r="G522" s="56"/>
      <c r="H522" s="56"/>
      <c r="I522" s="56"/>
      <c r="J522" s="56"/>
      <c r="K522" s="56"/>
      <c r="L522" s="56"/>
      <c r="M522" s="56"/>
      <c r="N522" s="56"/>
      <c r="O522" s="56"/>
      <c r="P522" s="56"/>
      <c r="Q522" s="56"/>
      <c r="R522" s="56"/>
      <c r="S522" s="56"/>
      <c r="T522" s="56"/>
      <c r="U522" s="56"/>
      <c r="V522" s="56"/>
      <c r="W522" s="56"/>
    </row>
    <row r="523">
      <c r="A523" s="121"/>
      <c r="B523" s="56"/>
      <c r="C523" s="118"/>
      <c r="D523" s="118"/>
      <c r="E523" s="118"/>
      <c r="F523" s="56"/>
      <c r="G523" s="56"/>
      <c r="H523" s="56"/>
      <c r="I523" s="56"/>
      <c r="J523" s="56"/>
      <c r="K523" s="56"/>
      <c r="L523" s="56"/>
      <c r="M523" s="56"/>
      <c r="N523" s="56"/>
      <c r="O523" s="56"/>
      <c r="P523" s="56"/>
      <c r="Q523" s="56"/>
      <c r="R523" s="56"/>
      <c r="S523" s="56"/>
      <c r="T523" s="56"/>
      <c r="U523" s="56"/>
      <c r="V523" s="56"/>
      <c r="W523" s="56"/>
    </row>
    <row r="524">
      <c r="A524" s="121"/>
      <c r="B524" s="56"/>
      <c r="C524" s="118"/>
      <c r="D524" s="118"/>
      <c r="E524" s="118"/>
      <c r="F524" s="56"/>
      <c r="G524" s="56"/>
      <c r="H524" s="56"/>
      <c r="I524" s="56"/>
      <c r="J524" s="56"/>
      <c r="K524" s="56"/>
      <c r="L524" s="56"/>
      <c r="M524" s="56"/>
      <c r="N524" s="56"/>
      <c r="O524" s="56"/>
      <c r="P524" s="56"/>
      <c r="Q524" s="56"/>
      <c r="R524" s="56"/>
      <c r="S524" s="56"/>
      <c r="T524" s="56"/>
      <c r="U524" s="56"/>
      <c r="V524" s="56"/>
      <c r="W524" s="56"/>
    </row>
    <row r="525">
      <c r="A525" s="121"/>
      <c r="B525" s="56"/>
      <c r="C525" s="118"/>
      <c r="D525" s="118"/>
      <c r="E525" s="118"/>
      <c r="F525" s="56"/>
      <c r="G525" s="56"/>
      <c r="H525" s="56"/>
      <c r="I525" s="56"/>
      <c r="J525" s="56"/>
      <c r="K525" s="56"/>
      <c r="L525" s="56"/>
      <c r="M525" s="56"/>
      <c r="N525" s="56"/>
      <c r="O525" s="56"/>
      <c r="P525" s="56"/>
      <c r="Q525" s="56"/>
      <c r="R525" s="56"/>
      <c r="S525" s="56"/>
      <c r="T525" s="56"/>
      <c r="U525" s="56"/>
      <c r="V525" s="56"/>
      <c r="W525" s="56"/>
    </row>
    <row r="526">
      <c r="A526" s="121"/>
      <c r="B526" s="56"/>
      <c r="C526" s="118"/>
      <c r="D526" s="118"/>
      <c r="E526" s="118"/>
      <c r="F526" s="56"/>
      <c r="G526" s="56"/>
      <c r="H526" s="56"/>
      <c r="I526" s="56"/>
      <c r="J526" s="56"/>
      <c r="K526" s="56"/>
      <c r="L526" s="56"/>
      <c r="M526" s="56"/>
      <c r="N526" s="56"/>
      <c r="O526" s="56"/>
      <c r="P526" s="56"/>
      <c r="Q526" s="56"/>
      <c r="R526" s="56"/>
      <c r="S526" s="56"/>
      <c r="T526" s="56"/>
      <c r="U526" s="56"/>
      <c r="V526" s="56"/>
      <c r="W526" s="56"/>
    </row>
    <row r="527">
      <c r="A527" s="121"/>
      <c r="B527" s="56"/>
      <c r="C527" s="118"/>
      <c r="D527" s="118"/>
      <c r="E527" s="118"/>
      <c r="F527" s="56"/>
      <c r="G527" s="56"/>
      <c r="H527" s="56"/>
      <c r="I527" s="56"/>
      <c r="J527" s="56"/>
      <c r="K527" s="56"/>
      <c r="L527" s="56"/>
      <c r="M527" s="56"/>
      <c r="N527" s="56"/>
      <c r="O527" s="56"/>
      <c r="P527" s="56"/>
      <c r="Q527" s="56"/>
      <c r="R527" s="56"/>
      <c r="S527" s="56"/>
      <c r="T527" s="56"/>
      <c r="U527" s="56"/>
      <c r="V527" s="56"/>
      <c r="W527" s="56"/>
    </row>
    <row r="528">
      <c r="A528" s="121"/>
      <c r="B528" s="56"/>
      <c r="C528" s="118"/>
      <c r="D528" s="118"/>
      <c r="E528" s="118"/>
      <c r="F528" s="56"/>
      <c r="G528" s="56"/>
      <c r="H528" s="56"/>
      <c r="I528" s="56"/>
      <c r="J528" s="56"/>
      <c r="K528" s="56"/>
      <c r="L528" s="56"/>
      <c r="M528" s="56"/>
      <c r="N528" s="56"/>
      <c r="O528" s="56"/>
      <c r="P528" s="56"/>
      <c r="Q528" s="56"/>
      <c r="R528" s="56"/>
      <c r="S528" s="56"/>
      <c r="T528" s="56"/>
      <c r="U528" s="56"/>
      <c r="V528" s="56"/>
      <c r="W528" s="56"/>
    </row>
    <row r="529">
      <c r="A529" s="121"/>
      <c r="B529" s="56"/>
      <c r="C529" s="118"/>
      <c r="D529" s="118"/>
      <c r="E529" s="118"/>
      <c r="F529" s="56"/>
      <c r="G529" s="56"/>
      <c r="H529" s="56"/>
      <c r="I529" s="56"/>
      <c r="J529" s="56"/>
      <c r="K529" s="56"/>
      <c r="L529" s="56"/>
      <c r="M529" s="56"/>
      <c r="N529" s="56"/>
      <c r="O529" s="56"/>
      <c r="P529" s="56"/>
      <c r="Q529" s="56"/>
      <c r="R529" s="56"/>
      <c r="S529" s="56"/>
      <c r="T529" s="56"/>
      <c r="U529" s="56"/>
      <c r="V529" s="56"/>
      <c r="W529" s="56"/>
    </row>
    <row r="530">
      <c r="A530" s="121"/>
      <c r="B530" s="56"/>
      <c r="C530" s="118"/>
      <c r="D530" s="118"/>
      <c r="E530" s="118"/>
      <c r="F530" s="56"/>
      <c r="G530" s="56"/>
      <c r="H530" s="56"/>
      <c r="I530" s="56"/>
      <c r="J530" s="56"/>
      <c r="K530" s="56"/>
      <c r="L530" s="56"/>
      <c r="M530" s="56"/>
      <c r="N530" s="56"/>
      <c r="O530" s="56"/>
      <c r="P530" s="56"/>
      <c r="Q530" s="56"/>
      <c r="R530" s="56"/>
      <c r="S530" s="56"/>
      <c r="T530" s="56"/>
      <c r="U530" s="56"/>
      <c r="V530" s="56"/>
      <c r="W530" s="56"/>
    </row>
    <row r="531">
      <c r="A531" s="121"/>
      <c r="B531" s="56"/>
      <c r="C531" s="118"/>
      <c r="D531" s="118"/>
      <c r="E531" s="118"/>
      <c r="F531" s="56"/>
      <c r="G531" s="56"/>
      <c r="H531" s="56"/>
      <c r="I531" s="56"/>
      <c r="J531" s="56"/>
      <c r="K531" s="56"/>
      <c r="L531" s="56"/>
      <c r="M531" s="56"/>
      <c r="N531" s="56"/>
      <c r="O531" s="56"/>
      <c r="P531" s="56"/>
      <c r="Q531" s="56"/>
      <c r="R531" s="56"/>
      <c r="S531" s="56"/>
      <c r="T531" s="56"/>
      <c r="U531" s="56"/>
      <c r="V531" s="56"/>
      <c r="W531" s="56"/>
    </row>
    <row r="532">
      <c r="A532" s="121"/>
      <c r="B532" s="56"/>
      <c r="C532" s="118"/>
      <c r="D532" s="118"/>
      <c r="E532" s="118"/>
      <c r="F532" s="56"/>
      <c r="G532" s="56"/>
      <c r="H532" s="56"/>
      <c r="I532" s="56"/>
      <c r="J532" s="56"/>
      <c r="K532" s="56"/>
      <c r="L532" s="56"/>
      <c r="M532" s="56"/>
      <c r="N532" s="56"/>
      <c r="O532" s="56"/>
      <c r="P532" s="56"/>
      <c r="Q532" s="56"/>
      <c r="R532" s="56"/>
      <c r="S532" s="56"/>
      <c r="T532" s="56"/>
      <c r="U532" s="56"/>
      <c r="V532" s="56"/>
      <c r="W532" s="56"/>
    </row>
    <row r="533">
      <c r="A533" s="121"/>
      <c r="B533" s="56"/>
      <c r="C533" s="118"/>
      <c r="D533" s="118"/>
      <c r="E533" s="118"/>
      <c r="F533" s="56"/>
      <c r="G533" s="56"/>
      <c r="H533" s="56"/>
      <c r="I533" s="56"/>
      <c r="J533" s="56"/>
      <c r="K533" s="56"/>
      <c r="L533" s="56"/>
      <c r="M533" s="56"/>
      <c r="N533" s="56"/>
      <c r="O533" s="56"/>
      <c r="P533" s="56"/>
      <c r="Q533" s="56"/>
      <c r="R533" s="56"/>
      <c r="S533" s="56"/>
      <c r="T533" s="56"/>
      <c r="U533" s="56"/>
      <c r="V533" s="56"/>
      <c r="W533" s="56"/>
    </row>
    <row r="534">
      <c r="A534" s="121"/>
      <c r="B534" s="56"/>
      <c r="C534" s="118"/>
      <c r="D534" s="118"/>
      <c r="E534" s="118"/>
      <c r="F534" s="56"/>
      <c r="G534" s="56"/>
      <c r="H534" s="56"/>
      <c r="I534" s="56"/>
      <c r="J534" s="56"/>
      <c r="K534" s="56"/>
      <c r="L534" s="56"/>
      <c r="M534" s="56"/>
      <c r="N534" s="56"/>
      <c r="O534" s="56"/>
      <c r="P534" s="56"/>
      <c r="Q534" s="56"/>
      <c r="R534" s="56"/>
      <c r="S534" s="56"/>
      <c r="T534" s="56"/>
      <c r="U534" s="56"/>
      <c r="V534" s="56"/>
      <c r="W534" s="56"/>
    </row>
    <row r="535">
      <c r="A535" s="121"/>
      <c r="B535" s="56"/>
      <c r="C535" s="118"/>
      <c r="D535" s="118"/>
      <c r="E535" s="118"/>
      <c r="F535" s="56"/>
      <c r="G535" s="56"/>
      <c r="H535" s="56"/>
      <c r="I535" s="56"/>
      <c r="J535" s="56"/>
      <c r="K535" s="56"/>
      <c r="L535" s="56"/>
      <c r="M535" s="56"/>
      <c r="N535" s="56"/>
      <c r="O535" s="56"/>
      <c r="P535" s="56"/>
      <c r="Q535" s="56"/>
      <c r="R535" s="56"/>
      <c r="S535" s="56"/>
      <c r="T535" s="56"/>
      <c r="U535" s="56"/>
      <c r="V535" s="56"/>
      <c r="W535" s="56"/>
    </row>
    <row r="536">
      <c r="A536" s="121"/>
      <c r="B536" s="56"/>
      <c r="C536" s="118"/>
      <c r="D536" s="118"/>
      <c r="E536" s="118"/>
      <c r="F536" s="56"/>
      <c r="G536" s="56"/>
      <c r="H536" s="56"/>
      <c r="I536" s="56"/>
      <c r="J536" s="56"/>
      <c r="K536" s="56"/>
      <c r="L536" s="56"/>
      <c r="M536" s="56"/>
      <c r="N536" s="56"/>
      <c r="O536" s="56"/>
      <c r="P536" s="56"/>
      <c r="Q536" s="56"/>
      <c r="R536" s="56"/>
      <c r="S536" s="56"/>
      <c r="T536" s="56"/>
      <c r="U536" s="56"/>
      <c r="V536" s="56"/>
      <c r="W536" s="56"/>
    </row>
    <row r="537">
      <c r="A537" s="121"/>
      <c r="B537" s="56"/>
      <c r="C537" s="118"/>
      <c r="D537" s="118"/>
      <c r="E537" s="118"/>
      <c r="F537" s="56"/>
      <c r="G537" s="56"/>
      <c r="H537" s="56"/>
      <c r="I537" s="56"/>
      <c r="J537" s="56"/>
      <c r="K537" s="56"/>
      <c r="L537" s="56"/>
      <c r="M537" s="56"/>
      <c r="N537" s="56"/>
      <c r="O537" s="56"/>
      <c r="P537" s="56"/>
      <c r="Q537" s="56"/>
      <c r="R537" s="56"/>
      <c r="S537" s="56"/>
      <c r="T537" s="56"/>
      <c r="U537" s="56"/>
      <c r="V537" s="56"/>
      <c r="W537" s="56"/>
    </row>
    <row r="538">
      <c r="A538" s="121"/>
      <c r="B538" s="56"/>
      <c r="C538" s="118"/>
      <c r="D538" s="118"/>
      <c r="E538" s="118"/>
      <c r="F538" s="56"/>
      <c r="G538" s="56"/>
      <c r="H538" s="56"/>
      <c r="I538" s="56"/>
      <c r="J538" s="56"/>
      <c r="K538" s="56"/>
      <c r="L538" s="56"/>
      <c r="M538" s="56"/>
      <c r="N538" s="56"/>
      <c r="O538" s="56"/>
      <c r="P538" s="56"/>
      <c r="Q538" s="56"/>
      <c r="R538" s="56"/>
      <c r="S538" s="56"/>
      <c r="T538" s="56"/>
      <c r="U538" s="56"/>
      <c r="V538" s="56"/>
      <c r="W538" s="56"/>
    </row>
    <row r="539">
      <c r="A539" s="121"/>
      <c r="B539" s="56"/>
      <c r="C539" s="118"/>
      <c r="D539" s="118"/>
      <c r="E539" s="118"/>
      <c r="F539" s="56"/>
      <c r="G539" s="56"/>
      <c r="H539" s="56"/>
      <c r="I539" s="56"/>
      <c r="J539" s="56"/>
      <c r="K539" s="56"/>
      <c r="L539" s="56"/>
      <c r="M539" s="56"/>
      <c r="N539" s="56"/>
      <c r="O539" s="56"/>
      <c r="P539" s="56"/>
      <c r="Q539" s="56"/>
      <c r="R539" s="56"/>
      <c r="S539" s="56"/>
      <c r="T539" s="56"/>
      <c r="U539" s="56"/>
      <c r="V539" s="56"/>
      <c r="W539" s="56"/>
    </row>
    <row r="540">
      <c r="A540" s="121"/>
      <c r="B540" s="56"/>
      <c r="C540" s="118"/>
      <c r="D540" s="118"/>
      <c r="E540" s="118"/>
      <c r="F540" s="56"/>
      <c r="G540" s="56"/>
      <c r="H540" s="56"/>
      <c r="I540" s="56"/>
      <c r="J540" s="56"/>
      <c r="K540" s="56"/>
      <c r="L540" s="56"/>
      <c r="M540" s="56"/>
      <c r="N540" s="56"/>
      <c r="O540" s="56"/>
      <c r="P540" s="56"/>
      <c r="Q540" s="56"/>
      <c r="R540" s="56"/>
      <c r="S540" s="56"/>
      <c r="T540" s="56"/>
      <c r="U540" s="56"/>
      <c r="V540" s="56"/>
      <c r="W540" s="56"/>
    </row>
    <row r="541">
      <c r="A541" s="121"/>
      <c r="B541" s="56"/>
      <c r="C541" s="118"/>
      <c r="D541" s="118"/>
      <c r="E541" s="118"/>
      <c r="F541" s="56"/>
      <c r="G541" s="56"/>
      <c r="H541" s="56"/>
      <c r="I541" s="56"/>
      <c r="J541" s="56"/>
      <c r="K541" s="56"/>
      <c r="L541" s="56"/>
      <c r="M541" s="56"/>
      <c r="N541" s="56"/>
      <c r="O541" s="56"/>
      <c r="P541" s="56"/>
      <c r="Q541" s="56"/>
      <c r="R541" s="56"/>
      <c r="S541" s="56"/>
      <c r="T541" s="56"/>
      <c r="U541" s="56"/>
      <c r="V541" s="56"/>
      <c r="W541" s="56"/>
    </row>
    <row r="542">
      <c r="A542" s="121"/>
      <c r="B542" s="56"/>
      <c r="C542" s="118"/>
      <c r="D542" s="118"/>
      <c r="E542" s="118"/>
      <c r="F542" s="56"/>
      <c r="G542" s="56"/>
      <c r="H542" s="56"/>
      <c r="I542" s="56"/>
      <c r="J542" s="56"/>
      <c r="K542" s="56"/>
      <c r="L542" s="56"/>
      <c r="M542" s="56"/>
      <c r="N542" s="56"/>
      <c r="O542" s="56"/>
      <c r="P542" s="56"/>
      <c r="Q542" s="56"/>
      <c r="R542" s="56"/>
      <c r="S542" s="56"/>
      <c r="T542" s="56"/>
      <c r="U542" s="56"/>
      <c r="V542" s="56"/>
      <c r="W542" s="56"/>
    </row>
    <row r="543">
      <c r="A543" s="121"/>
      <c r="B543" s="56"/>
      <c r="C543" s="118"/>
      <c r="D543" s="118"/>
      <c r="E543" s="118"/>
      <c r="F543" s="56"/>
      <c r="G543" s="56"/>
      <c r="H543" s="56"/>
      <c r="I543" s="56"/>
      <c r="J543" s="56"/>
      <c r="K543" s="56"/>
      <c r="L543" s="56"/>
      <c r="M543" s="56"/>
      <c r="N543" s="56"/>
      <c r="O543" s="56"/>
      <c r="P543" s="56"/>
      <c r="Q543" s="56"/>
      <c r="R543" s="56"/>
      <c r="S543" s="56"/>
      <c r="T543" s="56"/>
      <c r="U543" s="56"/>
      <c r="V543" s="56"/>
      <c r="W543" s="56"/>
    </row>
    <row r="544">
      <c r="A544" s="121"/>
      <c r="B544" s="56"/>
      <c r="C544" s="118"/>
      <c r="D544" s="118"/>
      <c r="E544" s="118"/>
      <c r="F544" s="56"/>
      <c r="G544" s="56"/>
      <c r="H544" s="56"/>
      <c r="I544" s="56"/>
      <c r="J544" s="56"/>
      <c r="K544" s="56"/>
      <c r="L544" s="56"/>
      <c r="M544" s="56"/>
      <c r="N544" s="56"/>
      <c r="O544" s="56"/>
      <c r="P544" s="56"/>
      <c r="Q544" s="56"/>
      <c r="R544" s="56"/>
      <c r="S544" s="56"/>
      <c r="T544" s="56"/>
      <c r="U544" s="56"/>
      <c r="V544" s="56"/>
      <c r="W544" s="56"/>
    </row>
    <row r="545">
      <c r="A545" s="121"/>
      <c r="B545" s="56"/>
      <c r="C545" s="118"/>
      <c r="D545" s="118"/>
      <c r="E545" s="118"/>
      <c r="F545" s="56"/>
      <c r="G545" s="56"/>
      <c r="H545" s="56"/>
      <c r="I545" s="56"/>
      <c r="J545" s="56"/>
      <c r="K545" s="56"/>
      <c r="L545" s="56"/>
      <c r="M545" s="56"/>
      <c r="N545" s="56"/>
      <c r="O545" s="56"/>
      <c r="P545" s="56"/>
      <c r="Q545" s="56"/>
      <c r="R545" s="56"/>
      <c r="S545" s="56"/>
      <c r="T545" s="56"/>
      <c r="U545" s="56"/>
      <c r="V545" s="56"/>
      <c r="W545" s="56"/>
    </row>
    <row r="546">
      <c r="A546" s="121"/>
      <c r="B546" s="56"/>
      <c r="C546" s="118"/>
      <c r="D546" s="118"/>
      <c r="E546" s="118"/>
      <c r="F546" s="56"/>
      <c r="G546" s="56"/>
      <c r="H546" s="56"/>
      <c r="I546" s="56"/>
      <c r="J546" s="56"/>
      <c r="K546" s="56"/>
      <c r="L546" s="56"/>
      <c r="M546" s="56"/>
      <c r="N546" s="56"/>
      <c r="O546" s="56"/>
      <c r="P546" s="56"/>
      <c r="Q546" s="56"/>
      <c r="R546" s="56"/>
      <c r="S546" s="56"/>
      <c r="T546" s="56"/>
      <c r="U546" s="56"/>
      <c r="V546" s="56"/>
      <c r="W546" s="56"/>
    </row>
    <row r="547">
      <c r="A547" s="121"/>
      <c r="B547" s="56"/>
      <c r="C547" s="118"/>
      <c r="D547" s="118"/>
      <c r="E547" s="118"/>
      <c r="F547" s="56"/>
      <c r="G547" s="56"/>
      <c r="H547" s="56"/>
      <c r="I547" s="56"/>
      <c r="J547" s="56"/>
      <c r="K547" s="56"/>
      <c r="L547" s="56"/>
      <c r="M547" s="56"/>
      <c r="N547" s="56"/>
      <c r="O547" s="56"/>
      <c r="P547" s="56"/>
      <c r="Q547" s="56"/>
      <c r="R547" s="56"/>
      <c r="S547" s="56"/>
      <c r="T547" s="56"/>
      <c r="U547" s="56"/>
      <c r="V547" s="56"/>
      <c r="W547" s="56"/>
    </row>
    <row r="548">
      <c r="A548" s="121"/>
      <c r="B548" s="56"/>
      <c r="C548" s="118"/>
      <c r="D548" s="118"/>
      <c r="E548" s="118"/>
      <c r="F548" s="56"/>
      <c r="G548" s="56"/>
      <c r="H548" s="56"/>
      <c r="I548" s="56"/>
      <c r="J548" s="56"/>
      <c r="K548" s="56"/>
      <c r="L548" s="56"/>
      <c r="M548" s="56"/>
      <c r="N548" s="56"/>
      <c r="O548" s="56"/>
      <c r="P548" s="56"/>
      <c r="Q548" s="56"/>
      <c r="R548" s="56"/>
      <c r="S548" s="56"/>
      <c r="T548" s="56"/>
      <c r="U548" s="56"/>
      <c r="V548" s="56"/>
      <c r="W548" s="56"/>
    </row>
    <row r="549">
      <c r="A549" s="121"/>
      <c r="B549" s="56"/>
      <c r="C549" s="118"/>
      <c r="D549" s="118"/>
      <c r="E549" s="118"/>
      <c r="F549" s="56"/>
      <c r="G549" s="56"/>
      <c r="H549" s="56"/>
      <c r="I549" s="56"/>
      <c r="J549" s="56"/>
      <c r="K549" s="56"/>
      <c r="L549" s="56"/>
      <c r="M549" s="56"/>
      <c r="N549" s="56"/>
      <c r="O549" s="56"/>
      <c r="P549" s="56"/>
      <c r="Q549" s="56"/>
      <c r="R549" s="56"/>
      <c r="S549" s="56"/>
      <c r="T549" s="56"/>
      <c r="U549" s="56"/>
      <c r="V549" s="56"/>
      <c r="W549" s="56"/>
    </row>
    <row r="550">
      <c r="A550" s="121"/>
      <c r="B550" s="56"/>
      <c r="C550" s="118"/>
      <c r="D550" s="118"/>
      <c r="E550" s="118"/>
      <c r="F550" s="56"/>
      <c r="G550" s="56"/>
      <c r="H550" s="56"/>
      <c r="I550" s="56"/>
      <c r="J550" s="56"/>
      <c r="K550" s="56"/>
      <c r="L550" s="56"/>
      <c r="M550" s="56"/>
      <c r="N550" s="56"/>
      <c r="O550" s="56"/>
      <c r="P550" s="56"/>
      <c r="Q550" s="56"/>
      <c r="R550" s="56"/>
      <c r="S550" s="56"/>
      <c r="T550" s="56"/>
      <c r="U550" s="56"/>
      <c r="V550" s="56"/>
      <c r="W550" s="56"/>
    </row>
    <row r="551">
      <c r="A551" s="121"/>
      <c r="B551" s="56"/>
      <c r="C551" s="118"/>
      <c r="D551" s="118"/>
      <c r="E551" s="118"/>
      <c r="F551" s="56"/>
      <c r="G551" s="56"/>
      <c r="H551" s="56"/>
      <c r="I551" s="56"/>
      <c r="J551" s="56"/>
      <c r="K551" s="56"/>
      <c r="L551" s="56"/>
      <c r="M551" s="56"/>
      <c r="N551" s="56"/>
      <c r="O551" s="56"/>
      <c r="P551" s="56"/>
      <c r="Q551" s="56"/>
      <c r="R551" s="56"/>
      <c r="S551" s="56"/>
      <c r="T551" s="56"/>
      <c r="U551" s="56"/>
      <c r="V551" s="56"/>
      <c r="W551" s="56"/>
    </row>
    <row r="552">
      <c r="A552" s="121"/>
      <c r="B552" s="56"/>
      <c r="C552" s="118"/>
      <c r="D552" s="118"/>
      <c r="E552" s="118"/>
      <c r="F552" s="56"/>
      <c r="G552" s="56"/>
      <c r="H552" s="56"/>
      <c r="I552" s="56"/>
      <c r="J552" s="56"/>
      <c r="K552" s="56"/>
      <c r="L552" s="56"/>
      <c r="M552" s="56"/>
      <c r="N552" s="56"/>
      <c r="O552" s="56"/>
      <c r="P552" s="56"/>
      <c r="Q552" s="56"/>
      <c r="R552" s="56"/>
      <c r="S552" s="56"/>
      <c r="T552" s="56"/>
      <c r="U552" s="56"/>
      <c r="V552" s="56"/>
      <c r="W552" s="56"/>
    </row>
    <row r="553">
      <c r="A553" s="121"/>
      <c r="B553" s="56"/>
      <c r="C553" s="118"/>
      <c r="D553" s="118"/>
      <c r="E553" s="118"/>
      <c r="F553" s="56"/>
      <c r="G553" s="56"/>
      <c r="H553" s="56"/>
      <c r="I553" s="56"/>
      <c r="J553" s="56"/>
      <c r="K553" s="56"/>
      <c r="L553" s="56"/>
      <c r="M553" s="56"/>
      <c r="N553" s="56"/>
      <c r="O553" s="56"/>
      <c r="P553" s="56"/>
      <c r="Q553" s="56"/>
      <c r="R553" s="56"/>
      <c r="S553" s="56"/>
      <c r="T553" s="56"/>
      <c r="U553" s="56"/>
      <c r="V553" s="56"/>
      <c r="W553" s="56"/>
    </row>
    <row r="554">
      <c r="A554" s="121"/>
      <c r="B554" s="56"/>
      <c r="C554" s="118"/>
      <c r="D554" s="118"/>
      <c r="E554" s="118"/>
      <c r="F554" s="56"/>
      <c r="G554" s="56"/>
      <c r="H554" s="56"/>
      <c r="I554" s="56"/>
      <c r="J554" s="56"/>
      <c r="K554" s="56"/>
      <c r="L554" s="56"/>
      <c r="M554" s="56"/>
      <c r="N554" s="56"/>
      <c r="O554" s="56"/>
      <c r="P554" s="56"/>
      <c r="Q554" s="56"/>
      <c r="R554" s="56"/>
      <c r="S554" s="56"/>
      <c r="T554" s="56"/>
      <c r="U554" s="56"/>
      <c r="V554" s="56"/>
      <c r="W554" s="56"/>
    </row>
    <row r="555">
      <c r="A555" s="121"/>
      <c r="B555" s="56"/>
      <c r="C555" s="118"/>
      <c r="D555" s="118"/>
      <c r="E555" s="118"/>
      <c r="F555" s="56"/>
      <c r="G555" s="56"/>
      <c r="H555" s="56"/>
      <c r="I555" s="56"/>
      <c r="J555" s="56"/>
      <c r="K555" s="56"/>
      <c r="L555" s="56"/>
      <c r="M555" s="56"/>
      <c r="N555" s="56"/>
      <c r="O555" s="56"/>
      <c r="P555" s="56"/>
      <c r="Q555" s="56"/>
      <c r="R555" s="56"/>
      <c r="S555" s="56"/>
      <c r="T555" s="56"/>
      <c r="U555" s="56"/>
      <c r="V555" s="56"/>
      <c r="W555" s="56"/>
    </row>
    <row r="556">
      <c r="A556" s="121"/>
      <c r="B556" s="56"/>
      <c r="C556" s="118"/>
      <c r="D556" s="118"/>
      <c r="E556" s="118"/>
      <c r="F556" s="56"/>
      <c r="G556" s="56"/>
      <c r="H556" s="56"/>
      <c r="I556" s="56"/>
      <c r="J556" s="56"/>
      <c r="K556" s="56"/>
      <c r="L556" s="56"/>
      <c r="M556" s="56"/>
      <c r="N556" s="56"/>
      <c r="O556" s="56"/>
      <c r="P556" s="56"/>
      <c r="Q556" s="56"/>
      <c r="R556" s="56"/>
      <c r="S556" s="56"/>
      <c r="T556" s="56"/>
      <c r="U556" s="56"/>
      <c r="V556" s="56"/>
      <c r="W556" s="56"/>
    </row>
    <row r="557">
      <c r="A557" s="121"/>
      <c r="B557" s="56"/>
      <c r="C557" s="118"/>
      <c r="D557" s="118"/>
      <c r="E557" s="118"/>
      <c r="F557" s="56"/>
      <c r="G557" s="56"/>
      <c r="H557" s="56"/>
      <c r="I557" s="56"/>
      <c r="J557" s="56"/>
      <c r="K557" s="56"/>
      <c r="L557" s="56"/>
      <c r="M557" s="56"/>
      <c r="N557" s="56"/>
      <c r="O557" s="56"/>
      <c r="P557" s="56"/>
      <c r="Q557" s="56"/>
      <c r="R557" s="56"/>
      <c r="S557" s="56"/>
      <c r="T557" s="56"/>
      <c r="U557" s="56"/>
      <c r="V557" s="56"/>
      <c r="W557" s="56"/>
    </row>
    <row r="558">
      <c r="A558" s="121"/>
      <c r="B558" s="56"/>
      <c r="C558" s="118"/>
      <c r="D558" s="118"/>
      <c r="E558" s="118"/>
      <c r="F558" s="56"/>
      <c r="G558" s="56"/>
      <c r="H558" s="56"/>
      <c r="I558" s="56"/>
      <c r="J558" s="56"/>
      <c r="K558" s="56"/>
      <c r="L558" s="56"/>
      <c r="M558" s="56"/>
      <c r="N558" s="56"/>
      <c r="O558" s="56"/>
      <c r="P558" s="56"/>
      <c r="Q558" s="56"/>
      <c r="R558" s="56"/>
      <c r="S558" s="56"/>
      <c r="T558" s="56"/>
      <c r="U558" s="56"/>
      <c r="V558" s="56"/>
      <c r="W558" s="56"/>
    </row>
    <row r="559">
      <c r="A559" s="121"/>
      <c r="B559" s="56"/>
      <c r="C559" s="118"/>
      <c r="D559" s="118"/>
      <c r="E559" s="118"/>
      <c r="F559" s="56"/>
      <c r="G559" s="56"/>
      <c r="H559" s="56"/>
      <c r="I559" s="56"/>
      <c r="J559" s="56"/>
      <c r="K559" s="56"/>
      <c r="L559" s="56"/>
      <c r="M559" s="56"/>
      <c r="N559" s="56"/>
      <c r="O559" s="56"/>
      <c r="P559" s="56"/>
      <c r="Q559" s="56"/>
      <c r="R559" s="56"/>
      <c r="S559" s="56"/>
      <c r="T559" s="56"/>
      <c r="U559" s="56"/>
      <c r="V559" s="56"/>
      <c r="W559" s="56"/>
    </row>
    <row r="560">
      <c r="A560" s="121"/>
      <c r="B560" s="56"/>
      <c r="C560" s="118"/>
      <c r="D560" s="118"/>
      <c r="E560" s="118"/>
      <c r="F560" s="56"/>
      <c r="G560" s="56"/>
      <c r="H560" s="56"/>
      <c r="I560" s="56"/>
      <c r="J560" s="56"/>
      <c r="K560" s="56"/>
      <c r="L560" s="56"/>
      <c r="M560" s="56"/>
      <c r="N560" s="56"/>
      <c r="O560" s="56"/>
      <c r="P560" s="56"/>
      <c r="Q560" s="56"/>
      <c r="R560" s="56"/>
      <c r="S560" s="56"/>
      <c r="T560" s="56"/>
      <c r="U560" s="56"/>
      <c r="V560" s="56"/>
      <c r="W560" s="56"/>
    </row>
    <row r="561">
      <c r="A561" s="121"/>
      <c r="B561" s="56"/>
      <c r="C561" s="118"/>
      <c r="D561" s="118"/>
      <c r="E561" s="118"/>
      <c r="F561" s="56"/>
      <c r="G561" s="56"/>
      <c r="H561" s="56"/>
      <c r="I561" s="56"/>
      <c r="J561" s="56"/>
      <c r="K561" s="56"/>
      <c r="L561" s="56"/>
      <c r="M561" s="56"/>
      <c r="N561" s="56"/>
      <c r="O561" s="56"/>
      <c r="P561" s="56"/>
      <c r="Q561" s="56"/>
      <c r="R561" s="56"/>
      <c r="S561" s="56"/>
      <c r="T561" s="56"/>
      <c r="U561" s="56"/>
      <c r="V561" s="56"/>
      <c r="W561" s="56"/>
    </row>
    <row r="562">
      <c r="A562" s="121"/>
      <c r="B562" s="56"/>
      <c r="C562" s="118"/>
      <c r="D562" s="118"/>
      <c r="E562" s="118"/>
      <c r="F562" s="56"/>
      <c r="G562" s="56"/>
      <c r="H562" s="56"/>
      <c r="I562" s="56"/>
      <c r="J562" s="56"/>
      <c r="K562" s="56"/>
      <c r="L562" s="56"/>
      <c r="M562" s="56"/>
      <c r="N562" s="56"/>
      <c r="O562" s="56"/>
      <c r="P562" s="56"/>
      <c r="Q562" s="56"/>
      <c r="R562" s="56"/>
      <c r="S562" s="56"/>
      <c r="T562" s="56"/>
      <c r="U562" s="56"/>
      <c r="V562" s="56"/>
      <c r="W562" s="56"/>
    </row>
    <row r="563">
      <c r="A563" s="121"/>
      <c r="B563" s="56"/>
      <c r="C563" s="118"/>
      <c r="D563" s="118"/>
      <c r="E563" s="118"/>
      <c r="F563" s="56"/>
      <c r="G563" s="56"/>
      <c r="H563" s="56"/>
      <c r="I563" s="56"/>
      <c r="J563" s="56"/>
      <c r="K563" s="56"/>
      <c r="L563" s="56"/>
      <c r="M563" s="56"/>
      <c r="N563" s="56"/>
      <c r="O563" s="56"/>
      <c r="P563" s="56"/>
      <c r="Q563" s="56"/>
      <c r="R563" s="56"/>
      <c r="S563" s="56"/>
      <c r="T563" s="56"/>
      <c r="U563" s="56"/>
      <c r="V563" s="56"/>
      <c r="W563" s="56"/>
    </row>
    <row r="564">
      <c r="A564" s="121"/>
      <c r="B564" s="56"/>
      <c r="C564" s="118"/>
      <c r="D564" s="118"/>
      <c r="E564" s="118"/>
      <c r="F564" s="56"/>
      <c r="G564" s="56"/>
      <c r="H564" s="56"/>
      <c r="I564" s="56"/>
      <c r="J564" s="56"/>
      <c r="K564" s="56"/>
      <c r="L564" s="56"/>
      <c r="M564" s="56"/>
      <c r="N564" s="56"/>
      <c r="O564" s="56"/>
      <c r="P564" s="56"/>
      <c r="Q564" s="56"/>
      <c r="R564" s="56"/>
      <c r="S564" s="56"/>
      <c r="T564" s="56"/>
      <c r="U564" s="56"/>
      <c r="V564" s="56"/>
      <c r="W564" s="56"/>
    </row>
    <row r="565">
      <c r="A565" s="121"/>
      <c r="B565" s="56"/>
      <c r="C565" s="118"/>
      <c r="D565" s="118"/>
      <c r="E565" s="118"/>
      <c r="F565" s="56"/>
      <c r="G565" s="56"/>
      <c r="H565" s="56"/>
      <c r="I565" s="56"/>
      <c r="J565" s="56"/>
      <c r="K565" s="56"/>
      <c r="L565" s="56"/>
      <c r="M565" s="56"/>
      <c r="N565" s="56"/>
      <c r="O565" s="56"/>
      <c r="P565" s="56"/>
      <c r="Q565" s="56"/>
      <c r="R565" s="56"/>
      <c r="S565" s="56"/>
      <c r="T565" s="56"/>
      <c r="U565" s="56"/>
      <c r="V565" s="56"/>
      <c r="W565" s="56"/>
    </row>
    <row r="566">
      <c r="A566" s="121"/>
      <c r="B566" s="56"/>
      <c r="C566" s="118"/>
      <c r="D566" s="118"/>
      <c r="E566" s="118"/>
      <c r="F566" s="56"/>
      <c r="G566" s="56"/>
      <c r="H566" s="56"/>
      <c r="I566" s="56"/>
      <c r="J566" s="56"/>
      <c r="K566" s="56"/>
      <c r="L566" s="56"/>
      <c r="M566" s="56"/>
      <c r="N566" s="56"/>
      <c r="O566" s="56"/>
      <c r="P566" s="56"/>
      <c r="Q566" s="56"/>
      <c r="R566" s="56"/>
      <c r="S566" s="56"/>
      <c r="T566" s="56"/>
      <c r="U566" s="56"/>
      <c r="V566" s="56"/>
      <c r="W566" s="56"/>
    </row>
    <row r="567">
      <c r="A567" s="121"/>
      <c r="B567" s="56"/>
      <c r="C567" s="118"/>
      <c r="D567" s="118"/>
      <c r="E567" s="118"/>
      <c r="F567" s="56"/>
      <c r="G567" s="56"/>
      <c r="H567" s="56"/>
      <c r="I567" s="56"/>
      <c r="J567" s="56"/>
      <c r="K567" s="56"/>
      <c r="L567" s="56"/>
      <c r="M567" s="56"/>
      <c r="N567" s="56"/>
      <c r="O567" s="56"/>
      <c r="P567" s="56"/>
      <c r="Q567" s="56"/>
      <c r="R567" s="56"/>
      <c r="S567" s="56"/>
      <c r="T567" s="56"/>
      <c r="U567" s="56"/>
      <c r="V567" s="56"/>
      <c r="W567" s="56"/>
    </row>
    <row r="568">
      <c r="A568" s="121"/>
      <c r="B568" s="56"/>
      <c r="C568" s="118"/>
      <c r="D568" s="118"/>
      <c r="E568" s="118"/>
      <c r="F568" s="56"/>
      <c r="G568" s="56"/>
      <c r="H568" s="56"/>
      <c r="I568" s="56"/>
      <c r="J568" s="56"/>
      <c r="K568" s="56"/>
      <c r="L568" s="56"/>
      <c r="M568" s="56"/>
      <c r="N568" s="56"/>
      <c r="O568" s="56"/>
      <c r="P568" s="56"/>
      <c r="Q568" s="56"/>
      <c r="R568" s="56"/>
      <c r="S568" s="56"/>
      <c r="T568" s="56"/>
      <c r="U568" s="56"/>
      <c r="V568" s="56"/>
      <c r="W568" s="56"/>
    </row>
    <row r="569">
      <c r="A569" s="121"/>
      <c r="B569" s="56"/>
      <c r="C569" s="118"/>
      <c r="D569" s="118"/>
      <c r="E569" s="118"/>
      <c r="F569" s="56"/>
      <c r="G569" s="56"/>
      <c r="H569" s="56"/>
      <c r="I569" s="56"/>
      <c r="J569" s="56"/>
      <c r="K569" s="56"/>
      <c r="L569" s="56"/>
      <c r="M569" s="56"/>
      <c r="N569" s="56"/>
      <c r="O569" s="56"/>
      <c r="P569" s="56"/>
      <c r="Q569" s="56"/>
      <c r="R569" s="56"/>
      <c r="S569" s="56"/>
      <c r="T569" s="56"/>
      <c r="U569" s="56"/>
      <c r="V569" s="56"/>
      <c r="W569" s="56"/>
    </row>
    <row r="570">
      <c r="A570" s="121"/>
      <c r="B570" s="56"/>
      <c r="C570" s="118"/>
      <c r="D570" s="118"/>
      <c r="E570" s="118"/>
      <c r="F570" s="56"/>
      <c r="G570" s="56"/>
      <c r="H570" s="56"/>
      <c r="I570" s="56"/>
      <c r="J570" s="56"/>
      <c r="K570" s="56"/>
      <c r="L570" s="56"/>
      <c r="M570" s="56"/>
      <c r="N570" s="56"/>
      <c r="O570" s="56"/>
      <c r="P570" s="56"/>
      <c r="Q570" s="56"/>
      <c r="R570" s="56"/>
      <c r="S570" s="56"/>
      <c r="T570" s="56"/>
      <c r="U570" s="56"/>
      <c r="V570" s="56"/>
      <c r="W570" s="56"/>
    </row>
    <row r="571">
      <c r="A571" s="121"/>
      <c r="B571" s="56"/>
      <c r="C571" s="118"/>
      <c r="D571" s="118"/>
      <c r="E571" s="118"/>
      <c r="F571" s="56"/>
      <c r="G571" s="56"/>
      <c r="H571" s="56"/>
      <c r="I571" s="56"/>
      <c r="J571" s="56"/>
      <c r="K571" s="56"/>
      <c r="L571" s="56"/>
      <c r="M571" s="56"/>
      <c r="N571" s="56"/>
      <c r="O571" s="56"/>
      <c r="P571" s="56"/>
      <c r="Q571" s="56"/>
      <c r="R571" s="56"/>
      <c r="S571" s="56"/>
      <c r="T571" s="56"/>
      <c r="U571" s="56"/>
      <c r="V571" s="56"/>
      <c r="W571" s="56"/>
    </row>
    <row r="572">
      <c r="A572" s="121"/>
      <c r="B572" s="56"/>
      <c r="C572" s="118"/>
      <c r="D572" s="118"/>
      <c r="E572" s="118"/>
      <c r="F572" s="56"/>
      <c r="G572" s="56"/>
      <c r="H572" s="56"/>
      <c r="I572" s="56"/>
      <c r="J572" s="56"/>
      <c r="K572" s="56"/>
      <c r="L572" s="56"/>
      <c r="M572" s="56"/>
      <c r="N572" s="56"/>
      <c r="O572" s="56"/>
      <c r="P572" s="56"/>
      <c r="Q572" s="56"/>
      <c r="R572" s="56"/>
      <c r="S572" s="56"/>
      <c r="T572" s="56"/>
      <c r="U572" s="56"/>
      <c r="V572" s="56"/>
      <c r="W572" s="56"/>
    </row>
    <row r="573">
      <c r="A573" s="121"/>
      <c r="B573" s="56"/>
      <c r="C573" s="118"/>
      <c r="D573" s="118"/>
      <c r="E573" s="118"/>
      <c r="F573" s="56"/>
      <c r="G573" s="56"/>
      <c r="H573" s="56"/>
      <c r="I573" s="56"/>
      <c r="J573" s="56"/>
      <c r="K573" s="56"/>
      <c r="L573" s="56"/>
      <c r="M573" s="56"/>
      <c r="N573" s="56"/>
      <c r="O573" s="56"/>
      <c r="P573" s="56"/>
      <c r="Q573" s="56"/>
      <c r="R573" s="56"/>
      <c r="S573" s="56"/>
      <c r="T573" s="56"/>
      <c r="U573" s="56"/>
      <c r="V573" s="56"/>
      <c r="W573" s="56"/>
    </row>
    <row r="574">
      <c r="A574" s="121"/>
      <c r="B574" s="56"/>
      <c r="C574" s="118"/>
      <c r="D574" s="118"/>
      <c r="E574" s="118"/>
      <c r="F574" s="56"/>
      <c r="G574" s="56"/>
      <c r="H574" s="56"/>
      <c r="I574" s="56"/>
      <c r="J574" s="56"/>
      <c r="K574" s="56"/>
      <c r="L574" s="56"/>
      <c r="M574" s="56"/>
      <c r="N574" s="56"/>
      <c r="O574" s="56"/>
      <c r="P574" s="56"/>
      <c r="Q574" s="56"/>
      <c r="R574" s="56"/>
      <c r="S574" s="56"/>
      <c r="T574" s="56"/>
      <c r="U574" s="56"/>
      <c r="V574" s="56"/>
      <c r="W574" s="56"/>
    </row>
    <row r="575">
      <c r="A575" s="121"/>
      <c r="B575" s="56"/>
      <c r="C575" s="118"/>
      <c r="D575" s="118"/>
      <c r="E575" s="118"/>
      <c r="F575" s="56"/>
      <c r="G575" s="56"/>
      <c r="H575" s="56"/>
      <c r="I575" s="56"/>
      <c r="J575" s="56"/>
      <c r="K575" s="56"/>
      <c r="L575" s="56"/>
      <c r="M575" s="56"/>
      <c r="N575" s="56"/>
      <c r="O575" s="56"/>
      <c r="P575" s="56"/>
      <c r="Q575" s="56"/>
      <c r="R575" s="56"/>
      <c r="S575" s="56"/>
      <c r="T575" s="56"/>
      <c r="U575" s="56"/>
      <c r="V575" s="56"/>
      <c r="W575" s="56"/>
    </row>
    <row r="576">
      <c r="A576" s="121"/>
      <c r="B576" s="56"/>
      <c r="C576" s="118"/>
      <c r="D576" s="118"/>
      <c r="E576" s="118"/>
      <c r="F576" s="56"/>
      <c r="G576" s="56"/>
      <c r="H576" s="56"/>
      <c r="I576" s="56"/>
      <c r="J576" s="56"/>
      <c r="K576" s="56"/>
      <c r="L576" s="56"/>
      <c r="M576" s="56"/>
      <c r="N576" s="56"/>
      <c r="O576" s="56"/>
      <c r="P576" s="56"/>
      <c r="Q576" s="56"/>
      <c r="R576" s="56"/>
      <c r="S576" s="56"/>
      <c r="T576" s="56"/>
      <c r="U576" s="56"/>
      <c r="V576" s="56"/>
      <c r="W576" s="56"/>
    </row>
    <row r="577">
      <c r="A577" s="121"/>
      <c r="B577" s="56"/>
      <c r="C577" s="118"/>
      <c r="D577" s="118"/>
      <c r="E577" s="118"/>
      <c r="F577" s="56"/>
      <c r="G577" s="56"/>
      <c r="H577" s="56"/>
      <c r="I577" s="56"/>
      <c r="J577" s="56"/>
      <c r="K577" s="56"/>
      <c r="L577" s="56"/>
      <c r="M577" s="56"/>
      <c r="N577" s="56"/>
      <c r="O577" s="56"/>
      <c r="P577" s="56"/>
      <c r="Q577" s="56"/>
      <c r="R577" s="56"/>
      <c r="S577" s="56"/>
      <c r="T577" s="56"/>
      <c r="U577" s="56"/>
      <c r="V577" s="56"/>
      <c r="W577" s="56"/>
    </row>
    <row r="578">
      <c r="A578" s="121"/>
      <c r="B578" s="56"/>
      <c r="C578" s="118"/>
      <c r="D578" s="118"/>
      <c r="E578" s="118"/>
      <c r="F578" s="56"/>
      <c r="G578" s="56"/>
      <c r="H578" s="56"/>
      <c r="I578" s="56"/>
      <c r="J578" s="56"/>
      <c r="K578" s="56"/>
      <c r="L578" s="56"/>
      <c r="M578" s="56"/>
      <c r="N578" s="56"/>
      <c r="O578" s="56"/>
      <c r="P578" s="56"/>
      <c r="Q578" s="56"/>
      <c r="R578" s="56"/>
      <c r="S578" s="56"/>
      <c r="T578" s="56"/>
      <c r="U578" s="56"/>
      <c r="V578" s="56"/>
      <c r="W578" s="56"/>
    </row>
    <row r="579">
      <c r="A579" s="121"/>
      <c r="B579" s="56"/>
      <c r="C579" s="118"/>
      <c r="D579" s="118"/>
      <c r="E579" s="118"/>
      <c r="F579" s="56"/>
      <c r="G579" s="56"/>
      <c r="H579" s="56"/>
      <c r="I579" s="56"/>
      <c r="J579" s="56"/>
      <c r="K579" s="56"/>
      <c r="L579" s="56"/>
      <c r="M579" s="56"/>
      <c r="N579" s="56"/>
      <c r="O579" s="56"/>
      <c r="P579" s="56"/>
      <c r="Q579" s="56"/>
      <c r="R579" s="56"/>
      <c r="S579" s="56"/>
      <c r="T579" s="56"/>
      <c r="U579" s="56"/>
      <c r="V579" s="56"/>
      <c r="W579" s="56"/>
    </row>
    <row r="580">
      <c r="A580" s="121"/>
      <c r="B580" s="56"/>
      <c r="C580" s="118"/>
      <c r="D580" s="118"/>
      <c r="E580" s="118"/>
      <c r="F580" s="56"/>
      <c r="G580" s="56"/>
      <c r="H580" s="56"/>
      <c r="I580" s="56"/>
      <c r="J580" s="56"/>
      <c r="K580" s="56"/>
      <c r="L580" s="56"/>
      <c r="M580" s="56"/>
      <c r="N580" s="56"/>
      <c r="O580" s="56"/>
      <c r="P580" s="56"/>
      <c r="Q580" s="56"/>
      <c r="R580" s="56"/>
      <c r="S580" s="56"/>
      <c r="T580" s="56"/>
      <c r="U580" s="56"/>
      <c r="V580" s="56"/>
      <c r="W580" s="56"/>
    </row>
    <row r="581">
      <c r="A581" s="121"/>
      <c r="B581" s="56"/>
      <c r="C581" s="118"/>
      <c r="D581" s="118"/>
      <c r="E581" s="118"/>
      <c r="F581" s="56"/>
      <c r="G581" s="56"/>
      <c r="H581" s="56"/>
      <c r="I581" s="56"/>
      <c r="J581" s="56"/>
      <c r="K581" s="56"/>
      <c r="L581" s="56"/>
      <c r="M581" s="56"/>
      <c r="N581" s="56"/>
      <c r="O581" s="56"/>
      <c r="P581" s="56"/>
      <c r="Q581" s="56"/>
      <c r="R581" s="56"/>
      <c r="S581" s="56"/>
      <c r="T581" s="56"/>
      <c r="U581" s="56"/>
      <c r="V581" s="56"/>
      <c r="W581" s="56"/>
    </row>
    <row r="582">
      <c r="A582" s="121"/>
      <c r="B582" s="56"/>
      <c r="C582" s="118"/>
      <c r="D582" s="118"/>
      <c r="E582" s="118"/>
      <c r="F582" s="56"/>
      <c r="G582" s="56"/>
      <c r="H582" s="56"/>
      <c r="I582" s="56"/>
      <c r="J582" s="56"/>
      <c r="K582" s="56"/>
      <c r="L582" s="56"/>
      <c r="M582" s="56"/>
      <c r="N582" s="56"/>
      <c r="O582" s="56"/>
      <c r="P582" s="56"/>
      <c r="Q582" s="56"/>
      <c r="R582" s="56"/>
      <c r="S582" s="56"/>
      <c r="T582" s="56"/>
      <c r="U582" s="56"/>
      <c r="V582" s="56"/>
      <c r="W582" s="56"/>
    </row>
    <row r="583">
      <c r="A583" s="121"/>
      <c r="B583" s="56"/>
      <c r="C583" s="118"/>
      <c r="D583" s="118"/>
      <c r="E583" s="118"/>
      <c r="F583" s="56"/>
      <c r="G583" s="56"/>
      <c r="H583" s="56"/>
      <c r="I583" s="56"/>
      <c r="J583" s="56"/>
      <c r="K583" s="56"/>
      <c r="L583" s="56"/>
      <c r="M583" s="56"/>
      <c r="N583" s="56"/>
      <c r="O583" s="56"/>
      <c r="P583" s="56"/>
      <c r="Q583" s="56"/>
      <c r="R583" s="56"/>
      <c r="S583" s="56"/>
      <c r="T583" s="56"/>
      <c r="U583" s="56"/>
      <c r="V583" s="56"/>
      <c r="W583" s="56"/>
    </row>
    <row r="584">
      <c r="A584" s="121"/>
      <c r="B584" s="56"/>
      <c r="C584" s="118"/>
      <c r="D584" s="118"/>
      <c r="E584" s="118"/>
      <c r="F584" s="56"/>
      <c r="G584" s="56"/>
      <c r="H584" s="56"/>
      <c r="I584" s="56"/>
      <c r="J584" s="56"/>
      <c r="K584" s="56"/>
      <c r="L584" s="56"/>
      <c r="M584" s="56"/>
      <c r="N584" s="56"/>
      <c r="O584" s="56"/>
      <c r="P584" s="56"/>
      <c r="Q584" s="56"/>
      <c r="R584" s="56"/>
      <c r="S584" s="56"/>
      <c r="T584" s="56"/>
      <c r="U584" s="56"/>
      <c r="V584" s="56"/>
      <c r="W584" s="56"/>
    </row>
    <row r="585">
      <c r="A585" s="121"/>
      <c r="B585" s="56"/>
      <c r="C585" s="118"/>
      <c r="D585" s="118"/>
      <c r="E585" s="118"/>
      <c r="F585" s="56"/>
      <c r="G585" s="56"/>
      <c r="H585" s="56"/>
      <c r="I585" s="56"/>
      <c r="J585" s="56"/>
      <c r="K585" s="56"/>
      <c r="L585" s="56"/>
      <c r="M585" s="56"/>
      <c r="N585" s="56"/>
      <c r="O585" s="56"/>
      <c r="P585" s="56"/>
      <c r="Q585" s="56"/>
      <c r="R585" s="56"/>
      <c r="S585" s="56"/>
      <c r="T585" s="56"/>
      <c r="U585" s="56"/>
      <c r="V585" s="56"/>
      <c r="W585" s="56"/>
    </row>
    <row r="586">
      <c r="A586" s="121"/>
      <c r="B586" s="56"/>
      <c r="C586" s="118"/>
      <c r="D586" s="118"/>
      <c r="E586" s="118"/>
      <c r="F586" s="56"/>
      <c r="G586" s="56"/>
      <c r="H586" s="56"/>
      <c r="I586" s="56"/>
      <c r="J586" s="56"/>
      <c r="K586" s="56"/>
      <c r="L586" s="56"/>
      <c r="M586" s="56"/>
      <c r="N586" s="56"/>
      <c r="O586" s="56"/>
      <c r="P586" s="56"/>
      <c r="Q586" s="56"/>
      <c r="R586" s="56"/>
      <c r="S586" s="56"/>
      <c r="T586" s="56"/>
      <c r="U586" s="56"/>
      <c r="V586" s="56"/>
      <c r="W586" s="56"/>
    </row>
    <row r="587">
      <c r="A587" s="121"/>
      <c r="B587" s="56"/>
      <c r="C587" s="118"/>
      <c r="D587" s="118"/>
      <c r="E587" s="118"/>
      <c r="F587" s="56"/>
      <c r="G587" s="56"/>
      <c r="H587" s="56"/>
      <c r="I587" s="56"/>
      <c r="J587" s="56"/>
      <c r="K587" s="56"/>
      <c r="L587" s="56"/>
      <c r="M587" s="56"/>
      <c r="N587" s="56"/>
      <c r="O587" s="56"/>
      <c r="P587" s="56"/>
      <c r="Q587" s="56"/>
      <c r="R587" s="56"/>
      <c r="S587" s="56"/>
      <c r="T587" s="56"/>
      <c r="U587" s="56"/>
      <c r="V587" s="56"/>
      <c r="W587" s="56"/>
    </row>
    <row r="588">
      <c r="A588" s="121"/>
      <c r="B588" s="56"/>
      <c r="C588" s="118"/>
      <c r="D588" s="118"/>
      <c r="E588" s="118"/>
      <c r="F588" s="56"/>
      <c r="G588" s="56"/>
      <c r="H588" s="56"/>
      <c r="I588" s="56"/>
      <c r="J588" s="56"/>
      <c r="K588" s="56"/>
      <c r="L588" s="56"/>
      <c r="M588" s="56"/>
      <c r="N588" s="56"/>
      <c r="O588" s="56"/>
      <c r="P588" s="56"/>
      <c r="Q588" s="56"/>
      <c r="R588" s="56"/>
      <c r="S588" s="56"/>
      <c r="T588" s="56"/>
      <c r="U588" s="56"/>
      <c r="V588" s="56"/>
      <c r="W588" s="56"/>
    </row>
    <row r="589">
      <c r="A589" s="121"/>
      <c r="B589" s="56"/>
      <c r="C589" s="118"/>
      <c r="D589" s="118"/>
      <c r="E589" s="118"/>
      <c r="F589" s="56"/>
      <c r="G589" s="56"/>
      <c r="H589" s="56"/>
      <c r="I589" s="56"/>
      <c r="J589" s="56"/>
      <c r="K589" s="56"/>
      <c r="L589" s="56"/>
      <c r="M589" s="56"/>
      <c r="N589" s="56"/>
      <c r="O589" s="56"/>
      <c r="P589" s="56"/>
      <c r="Q589" s="56"/>
      <c r="R589" s="56"/>
      <c r="S589" s="56"/>
      <c r="T589" s="56"/>
      <c r="U589" s="56"/>
      <c r="V589" s="56"/>
      <c r="W589" s="56"/>
    </row>
    <row r="590">
      <c r="A590" s="121"/>
      <c r="B590" s="56"/>
      <c r="C590" s="118"/>
      <c r="D590" s="118"/>
      <c r="E590" s="118"/>
      <c r="F590" s="56"/>
      <c r="G590" s="56"/>
      <c r="H590" s="56"/>
      <c r="I590" s="56"/>
      <c r="J590" s="56"/>
      <c r="K590" s="56"/>
      <c r="L590" s="56"/>
      <c r="M590" s="56"/>
      <c r="N590" s="56"/>
      <c r="O590" s="56"/>
      <c r="P590" s="56"/>
      <c r="Q590" s="56"/>
      <c r="R590" s="56"/>
      <c r="S590" s="56"/>
      <c r="T590" s="56"/>
      <c r="U590" s="56"/>
      <c r="V590" s="56"/>
      <c r="W590" s="56"/>
    </row>
    <row r="591">
      <c r="A591" s="121"/>
      <c r="B591" s="56"/>
      <c r="C591" s="118"/>
      <c r="D591" s="118"/>
      <c r="E591" s="118"/>
      <c r="F591" s="56"/>
      <c r="G591" s="56"/>
      <c r="H591" s="56"/>
      <c r="I591" s="56"/>
      <c r="J591" s="56"/>
      <c r="K591" s="56"/>
      <c r="L591" s="56"/>
      <c r="M591" s="56"/>
      <c r="N591" s="56"/>
      <c r="O591" s="56"/>
      <c r="P591" s="56"/>
      <c r="Q591" s="56"/>
      <c r="R591" s="56"/>
      <c r="S591" s="56"/>
      <c r="T591" s="56"/>
      <c r="U591" s="56"/>
      <c r="V591" s="56"/>
      <c r="W591" s="56"/>
    </row>
    <row r="592">
      <c r="A592" s="121"/>
      <c r="B592" s="56"/>
      <c r="C592" s="118"/>
      <c r="D592" s="118"/>
      <c r="E592" s="118"/>
      <c r="F592" s="56"/>
      <c r="G592" s="56"/>
      <c r="H592" s="56"/>
      <c r="I592" s="56"/>
      <c r="J592" s="56"/>
      <c r="K592" s="56"/>
      <c r="L592" s="56"/>
      <c r="M592" s="56"/>
      <c r="N592" s="56"/>
      <c r="O592" s="56"/>
      <c r="P592" s="56"/>
      <c r="Q592" s="56"/>
      <c r="R592" s="56"/>
      <c r="S592" s="56"/>
      <c r="T592" s="56"/>
      <c r="U592" s="56"/>
      <c r="V592" s="56"/>
      <c r="W592" s="56"/>
    </row>
    <row r="593">
      <c r="A593" s="121"/>
      <c r="B593" s="56"/>
      <c r="C593" s="118"/>
      <c r="D593" s="118"/>
      <c r="E593" s="118"/>
      <c r="F593" s="56"/>
      <c r="G593" s="56"/>
      <c r="H593" s="56"/>
      <c r="I593" s="56"/>
      <c r="J593" s="56"/>
      <c r="K593" s="56"/>
      <c r="L593" s="56"/>
      <c r="M593" s="56"/>
      <c r="N593" s="56"/>
      <c r="O593" s="56"/>
      <c r="P593" s="56"/>
      <c r="Q593" s="56"/>
      <c r="R593" s="56"/>
      <c r="S593" s="56"/>
      <c r="T593" s="56"/>
      <c r="U593" s="56"/>
      <c r="V593" s="56"/>
      <c r="W593" s="56"/>
    </row>
    <row r="594">
      <c r="A594" s="121"/>
      <c r="B594" s="56"/>
      <c r="C594" s="118"/>
      <c r="D594" s="118"/>
      <c r="E594" s="118"/>
      <c r="F594" s="56"/>
      <c r="G594" s="56"/>
      <c r="H594" s="56"/>
      <c r="I594" s="56"/>
      <c r="J594" s="56"/>
      <c r="K594" s="56"/>
      <c r="L594" s="56"/>
      <c r="M594" s="56"/>
      <c r="N594" s="56"/>
      <c r="O594" s="56"/>
      <c r="P594" s="56"/>
      <c r="Q594" s="56"/>
      <c r="R594" s="56"/>
      <c r="S594" s="56"/>
      <c r="T594" s="56"/>
      <c r="U594" s="56"/>
      <c r="V594" s="56"/>
      <c r="W594" s="56"/>
    </row>
    <row r="595">
      <c r="A595" s="121"/>
      <c r="B595" s="56"/>
      <c r="C595" s="118"/>
      <c r="D595" s="118"/>
      <c r="E595" s="118"/>
      <c r="F595" s="56"/>
      <c r="G595" s="56"/>
      <c r="H595" s="56"/>
      <c r="I595" s="56"/>
      <c r="J595" s="56"/>
      <c r="K595" s="56"/>
      <c r="L595" s="56"/>
      <c r="M595" s="56"/>
      <c r="N595" s="56"/>
      <c r="O595" s="56"/>
      <c r="P595" s="56"/>
      <c r="Q595" s="56"/>
      <c r="R595" s="56"/>
      <c r="S595" s="56"/>
      <c r="T595" s="56"/>
      <c r="U595" s="56"/>
      <c r="V595" s="56"/>
      <c r="W595" s="56"/>
    </row>
    <row r="596">
      <c r="A596" s="121"/>
      <c r="B596" s="56"/>
      <c r="C596" s="118"/>
      <c r="D596" s="118"/>
      <c r="E596" s="118"/>
      <c r="F596" s="56"/>
      <c r="G596" s="56"/>
      <c r="H596" s="56"/>
      <c r="I596" s="56"/>
      <c r="J596" s="56"/>
      <c r="K596" s="56"/>
      <c r="L596" s="56"/>
      <c r="M596" s="56"/>
      <c r="N596" s="56"/>
      <c r="O596" s="56"/>
      <c r="P596" s="56"/>
      <c r="Q596" s="56"/>
      <c r="R596" s="56"/>
      <c r="S596" s="56"/>
      <c r="T596" s="56"/>
      <c r="U596" s="56"/>
      <c r="V596" s="56"/>
      <c r="W596" s="56"/>
    </row>
    <row r="597">
      <c r="A597" s="121"/>
      <c r="B597" s="56"/>
      <c r="C597" s="118"/>
      <c r="D597" s="118"/>
      <c r="E597" s="118"/>
      <c r="F597" s="56"/>
      <c r="G597" s="56"/>
      <c r="H597" s="56"/>
      <c r="I597" s="56"/>
      <c r="J597" s="56"/>
      <c r="K597" s="56"/>
      <c r="L597" s="56"/>
      <c r="M597" s="56"/>
      <c r="N597" s="56"/>
      <c r="O597" s="56"/>
      <c r="P597" s="56"/>
      <c r="Q597" s="56"/>
      <c r="R597" s="56"/>
      <c r="S597" s="56"/>
      <c r="T597" s="56"/>
      <c r="U597" s="56"/>
      <c r="V597" s="56"/>
      <c r="W597" s="56"/>
    </row>
    <row r="598">
      <c r="A598" s="121"/>
      <c r="B598" s="56"/>
      <c r="C598" s="118"/>
      <c r="D598" s="118"/>
      <c r="E598" s="118"/>
      <c r="F598" s="56"/>
      <c r="G598" s="56"/>
      <c r="H598" s="56"/>
      <c r="I598" s="56"/>
      <c r="J598" s="56"/>
      <c r="K598" s="56"/>
      <c r="L598" s="56"/>
      <c r="M598" s="56"/>
      <c r="N598" s="56"/>
      <c r="O598" s="56"/>
      <c r="P598" s="56"/>
      <c r="Q598" s="56"/>
      <c r="R598" s="56"/>
      <c r="S598" s="56"/>
      <c r="T598" s="56"/>
      <c r="U598" s="56"/>
      <c r="V598" s="56"/>
      <c r="W598" s="56"/>
    </row>
    <row r="599">
      <c r="A599" s="121"/>
      <c r="B599" s="56"/>
      <c r="C599" s="118"/>
      <c r="D599" s="118"/>
      <c r="E599" s="118"/>
      <c r="F599" s="56"/>
      <c r="G599" s="56"/>
      <c r="H599" s="56"/>
      <c r="I599" s="56"/>
      <c r="J599" s="56"/>
      <c r="K599" s="56"/>
      <c r="L599" s="56"/>
      <c r="M599" s="56"/>
      <c r="N599" s="56"/>
      <c r="O599" s="56"/>
      <c r="P599" s="56"/>
      <c r="Q599" s="56"/>
      <c r="R599" s="56"/>
      <c r="S599" s="56"/>
      <c r="T599" s="56"/>
      <c r="U599" s="56"/>
      <c r="V599" s="56"/>
      <c r="W599" s="56"/>
    </row>
    <row r="600">
      <c r="A600" s="121"/>
      <c r="B600" s="56"/>
      <c r="C600" s="118"/>
      <c r="D600" s="118"/>
      <c r="E600" s="118"/>
      <c r="F600" s="56"/>
      <c r="G600" s="56"/>
      <c r="H600" s="56"/>
      <c r="I600" s="56"/>
      <c r="J600" s="56"/>
      <c r="K600" s="56"/>
      <c r="L600" s="56"/>
      <c r="M600" s="56"/>
      <c r="N600" s="56"/>
      <c r="O600" s="56"/>
      <c r="P600" s="56"/>
      <c r="Q600" s="56"/>
      <c r="R600" s="56"/>
      <c r="S600" s="56"/>
      <c r="T600" s="56"/>
      <c r="U600" s="56"/>
      <c r="V600" s="56"/>
      <c r="W600" s="56"/>
    </row>
    <row r="601">
      <c r="A601" s="121"/>
      <c r="B601" s="56"/>
      <c r="C601" s="118"/>
      <c r="D601" s="118"/>
      <c r="E601" s="118"/>
      <c r="F601" s="56"/>
      <c r="G601" s="56"/>
      <c r="H601" s="56"/>
      <c r="I601" s="56"/>
      <c r="J601" s="56"/>
      <c r="K601" s="56"/>
      <c r="L601" s="56"/>
      <c r="M601" s="56"/>
      <c r="N601" s="56"/>
      <c r="O601" s="56"/>
      <c r="P601" s="56"/>
      <c r="Q601" s="56"/>
      <c r="R601" s="56"/>
      <c r="S601" s="56"/>
      <c r="T601" s="56"/>
      <c r="U601" s="56"/>
      <c r="V601" s="56"/>
      <c r="W601" s="56"/>
    </row>
    <row r="602">
      <c r="A602" s="121"/>
      <c r="B602" s="56"/>
      <c r="C602" s="118"/>
      <c r="D602" s="118"/>
      <c r="E602" s="118"/>
      <c r="F602" s="56"/>
      <c r="G602" s="56"/>
      <c r="H602" s="56"/>
      <c r="I602" s="56"/>
      <c r="J602" s="56"/>
      <c r="K602" s="56"/>
      <c r="L602" s="56"/>
      <c r="M602" s="56"/>
      <c r="N602" s="56"/>
      <c r="O602" s="56"/>
      <c r="P602" s="56"/>
      <c r="Q602" s="56"/>
      <c r="R602" s="56"/>
      <c r="S602" s="56"/>
      <c r="T602" s="56"/>
      <c r="U602" s="56"/>
      <c r="V602" s="56"/>
      <c r="W602" s="56"/>
    </row>
    <row r="603">
      <c r="A603" s="121"/>
      <c r="B603" s="56"/>
      <c r="C603" s="118"/>
      <c r="D603" s="118"/>
      <c r="E603" s="118"/>
      <c r="F603" s="56"/>
      <c r="G603" s="56"/>
      <c r="H603" s="56"/>
      <c r="I603" s="56"/>
      <c r="J603" s="56"/>
      <c r="K603" s="56"/>
      <c r="L603" s="56"/>
      <c r="M603" s="56"/>
      <c r="N603" s="56"/>
      <c r="O603" s="56"/>
      <c r="P603" s="56"/>
      <c r="Q603" s="56"/>
      <c r="R603" s="56"/>
      <c r="S603" s="56"/>
      <c r="T603" s="56"/>
      <c r="U603" s="56"/>
      <c r="V603" s="56"/>
      <c r="W603" s="56"/>
    </row>
    <row r="604">
      <c r="A604" s="121"/>
      <c r="B604" s="56"/>
      <c r="C604" s="118"/>
      <c r="D604" s="118"/>
      <c r="E604" s="118"/>
      <c r="F604" s="56"/>
      <c r="G604" s="56"/>
      <c r="H604" s="56"/>
      <c r="I604" s="56"/>
      <c r="J604" s="56"/>
      <c r="K604" s="56"/>
      <c r="L604" s="56"/>
      <c r="M604" s="56"/>
      <c r="N604" s="56"/>
      <c r="O604" s="56"/>
      <c r="P604" s="56"/>
      <c r="Q604" s="56"/>
      <c r="R604" s="56"/>
      <c r="S604" s="56"/>
      <c r="T604" s="56"/>
      <c r="U604" s="56"/>
      <c r="V604" s="56"/>
      <c r="W604" s="56"/>
    </row>
    <row r="605">
      <c r="A605" s="121"/>
      <c r="B605" s="56"/>
      <c r="C605" s="118"/>
      <c r="D605" s="118"/>
      <c r="E605" s="118"/>
      <c r="F605" s="56"/>
      <c r="G605" s="56"/>
      <c r="H605" s="56"/>
      <c r="I605" s="56"/>
      <c r="J605" s="56"/>
      <c r="K605" s="56"/>
      <c r="L605" s="56"/>
      <c r="M605" s="56"/>
      <c r="N605" s="56"/>
      <c r="O605" s="56"/>
      <c r="P605" s="56"/>
      <c r="Q605" s="56"/>
      <c r="R605" s="56"/>
      <c r="S605" s="56"/>
      <c r="T605" s="56"/>
      <c r="U605" s="56"/>
      <c r="V605" s="56"/>
      <c r="W605" s="56"/>
    </row>
    <row r="606">
      <c r="A606" s="121"/>
      <c r="B606" s="56"/>
      <c r="C606" s="118"/>
      <c r="D606" s="118"/>
      <c r="E606" s="118"/>
      <c r="F606" s="56"/>
      <c r="G606" s="56"/>
      <c r="H606" s="56"/>
      <c r="I606" s="56"/>
      <c r="J606" s="56"/>
      <c r="K606" s="56"/>
      <c r="L606" s="56"/>
      <c r="M606" s="56"/>
      <c r="N606" s="56"/>
      <c r="O606" s="56"/>
      <c r="P606" s="56"/>
      <c r="Q606" s="56"/>
      <c r="R606" s="56"/>
      <c r="S606" s="56"/>
      <c r="T606" s="56"/>
      <c r="U606" s="56"/>
      <c r="V606" s="56"/>
      <c r="W606" s="56"/>
    </row>
    <row r="607">
      <c r="A607" s="121"/>
      <c r="B607" s="56"/>
      <c r="C607" s="118"/>
      <c r="D607" s="118"/>
      <c r="E607" s="118"/>
      <c r="F607" s="56"/>
      <c r="G607" s="56"/>
      <c r="H607" s="56"/>
      <c r="I607" s="56"/>
      <c r="J607" s="56"/>
      <c r="K607" s="56"/>
      <c r="L607" s="56"/>
      <c r="M607" s="56"/>
      <c r="N607" s="56"/>
      <c r="O607" s="56"/>
      <c r="P607" s="56"/>
      <c r="Q607" s="56"/>
      <c r="R607" s="56"/>
      <c r="S607" s="56"/>
      <c r="T607" s="56"/>
      <c r="U607" s="56"/>
      <c r="V607" s="56"/>
      <c r="W607" s="56"/>
    </row>
    <row r="608">
      <c r="A608" s="121"/>
      <c r="B608" s="56"/>
      <c r="C608" s="118"/>
      <c r="D608" s="118"/>
      <c r="E608" s="118"/>
      <c r="F608" s="56"/>
      <c r="G608" s="56"/>
      <c r="H608" s="56"/>
      <c r="I608" s="56"/>
      <c r="J608" s="56"/>
      <c r="K608" s="56"/>
      <c r="L608" s="56"/>
      <c r="M608" s="56"/>
      <c r="N608" s="56"/>
      <c r="O608" s="56"/>
      <c r="P608" s="56"/>
      <c r="Q608" s="56"/>
      <c r="R608" s="56"/>
      <c r="S608" s="56"/>
      <c r="T608" s="56"/>
      <c r="U608" s="56"/>
      <c r="V608" s="56"/>
      <c r="W608" s="56"/>
    </row>
    <row r="609">
      <c r="A609" s="121"/>
      <c r="B609" s="56"/>
      <c r="C609" s="118"/>
      <c r="D609" s="118"/>
      <c r="E609" s="118"/>
      <c r="F609" s="56"/>
      <c r="G609" s="56"/>
      <c r="H609" s="56"/>
      <c r="I609" s="56"/>
      <c r="J609" s="56"/>
      <c r="K609" s="56"/>
      <c r="L609" s="56"/>
      <c r="M609" s="56"/>
      <c r="N609" s="56"/>
      <c r="O609" s="56"/>
      <c r="P609" s="56"/>
      <c r="Q609" s="56"/>
      <c r="R609" s="56"/>
      <c r="S609" s="56"/>
      <c r="T609" s="56"/>
      <c r="U609" s="56"/>
      <c r="V609" s="56"/>
      <c r="W609" s="56"/>
    </row>
    <row r="610">
      <c r="A610" s="121"/>
      <c r="B610" s="56"/>
      <c r="C610" s="118"/>
      <c r="D610" s="118"/>
      <c r="E610" s="118"/>
      <c r="F610" s="56"/>
      <c r="G610" s="56"/>
      <c r="H610" s="56"/>
      <c r="I610" s="56"/>
      <c r="J610" s="56"/>
      <c r="K610" s="56"/>
      <c r="L610" s="56"/>
      <c r="M610" s="56"/>
      <c r="N610" s="56"/>
      <c r="O610" s="56"/>
      <c r="P610" s="56"/>
      <c r="Q610" s="56"/>
      <c r="R610" s="56"/>
      <c r="S610" s="56"/>
      <c r="T610" s="56"/>
      <c r="U610" s="56"/>
      <c r="V610" s="56"/>
      <c r="W610" s="56"/>
    </row>
    <row r="611">
      <c r="A611" s="121"/>
      <c r="B611" s="56"/>
      <c r="C611" s="118"/>
      <c r="D611" s="118"/>
      <c r="E611" s="118"/>
      <c r="F611" s="56"/>
      <c r="G611" s="56"/>
      <c r="H611" s="56"/>
      <c r="I611" s="56"/>
      <c r="J611" s="56"/>
      <c r="K611" s="56"/>
      <c r="L611" s="56"/>
      <c r="M611" s="56"/>
      <c r="N611" s="56"/>
      <c r="O611" s="56"/>
      <c r="P611" s="56"/>
      <c r="Q611" s="56"/>
      <c r="R611" s="56"/>
      <c r="S611" s="56"/>
      <c r="T611" s="56"/>
      <c r="U611" s="56"/>
      <c r="V611" s="56"/>
      <c r="W611" s="56"/>
    </row>
    <row r="612">
      <c r="A612" s="121"/>
      <c r="B612" s="56"/>
      <c r="C612" s="118"/>
      <c r="D612" s="118"/>
      <c r="E612" s="118"/>
      <c r="F612" s="56"/>
      <c r="G612" s="56"/>
      <c r="H612" s="56"/>
      <c r="I612" s="56"/>
      <c r="J612" s="56"/>
      <c r="K612" s="56"/>
      <c r="L612" s="56"/>
      <c r="M612" s="56"/>
      <c r="N612" s="56"/>
      <c r="O612" s="56"/>
      <c r="P612" s="56"/>
      <c r="Q612" s="56"/>
      <c r="R612" s="56"/>
      <c r="S612" s="56"/>
      <c r="T612" s="56"/>
      <c r="U612" s="56"/>
      <c r="V612" s="56"/>
      <c r="W612" s="56"/>
    </row>
    <row r="613">
      <c r="A613" s="121"/>
      <c r="B613" s="56"/>
      <c r="C613" s="118"/>
      <c r="D613" s="118"/>
      <c r="E613" s="118"/>
      <c r="F613" s="56"/>
      <c r="G613" s="56"/>
      <c r="H613" s="56"/>
      <c r="I613" s="56"/>
      <c r="J613" s="56"/>
      <c r="K613" s="56"/>
      <c r="L613" s="56"/>
      <c r="M613" s="56"/>
      <c r="N613" s="56"/>
      <c r="O613" s="56"/>
      <c r="P613" s="56"/>
      <c r="Q613" s="56"/>
      <c r="R613" s="56"/>
      <c r="S613" s="56"/>
      <c r="T613" s="56"/>
      <c r="U613" s="56"/>
      <c r="V613" s="56"/>
      <c r="W613" s="56"/>
    </row>
    <row r="614">
      <c r="A614" s="121"/>
      <c r="B614" s="56"/>
      <c r="C614" s="118"/>
      <c r="D614" s="118"/>
      <c r="E614" s="118"/>
      <c r="F614" s="56"/>
      <c r="G614" s="56"/>
      <c r="H614" s="56"/>
      <c r="I614" s="56"/>
      <c r="J614" s="56"/>
      <c r="K614" s="56"/>
      <c r="L614" s="56"/>
      <c r="M614" s="56"/>
      <c r="N614" s="56"/>
      <c r="O614" s="56"/>
      <c r="P614" s="56"/>
      <c r="Q614" s="56"/>
      <c r="R614" s="56"/>
      <c r="S614" s="56"/>
      <c r="T614" s="56"/>
      <c r="U614" s="56"/>
      <c r="V614" s="56"/>
      <c r="W614" s="56"/>
    </row>
    <row r="615">
      <c r="A615" s="121"/>
      <c r="B615" s="56"/>
      <c r="C615" s="118"/>
      <c r="D615" s="118"/>
      <c r="E615" s="118"/>
      <c r="F615" s="56"/>
      <c r="G615" s="56"/>
      <c r="H615" s="56"/>
      <c r="I615" s="56"/>
      <c r="J615" s="56"/>
      <c r="K615" s="56"/>
      <c r="L615" s="56"/>
      <c r="M615" s="56"/>
      <c r="N615" s="56"/>
      <c r="O615" s="56"/>
      <c r="P615" s="56"/>
      <c r="Q615" s="56"/>
      <c r="R615" s="56"/>
      <c r="S615" s="56"/>
      <c r="T615" s="56"/>
      <c r="U615" s="56"/>
      <c r="V615" s="56"/>
      <c r="W615" s="56"/>
    </row>
    <row r="616">
      <c r="A616" s="121"/>
      <c r="B616" s="56"/>
      <c r="C616" s="118"/>
      <c r="D616" s="118"/>
      <c r="E616" s="118"/>
      <c r="F616" s="56"/>
      <c r="G616" s="56"/>
      <c r="H616" s="56"/>
      <c r="I616" s="56"/>
      <c r="J616" s="56"/>
      <c r="K616" s="56"/>
      <c r="L616" s="56"/>
      <c r="M616" s="56"/>
      <c r="N616" s="56"/>
      <c r="O616" s="56"/>
      <c r="P616" s="56"/>
      <c r="Q616" s="56"/>
      <c r="R616" s="56"/>
      <c r="S616" s="56"/>
      <c r="T616" s="56"/>
      <c r="U616" s="56"/>
      <c r="V616" s="56"/>
      <c r="W616" s="56"/>
    </row>
    <row r="617">
      <c r="A617" s="121"/>
      <c r="B617" s="56"/>
      <c r="C617" s="118"/>
      <c r="D617" s="118"/>
      <c r="E617" s="118"/>
      <c r="F617" s="56"/>
      <c r="G617" s="56"/>
      <c r="H617" s="56"/>
      <c r="I617" s="56"/>
      <c r="J617" s="56"/>
      <c r="K617" s="56"/>
      <c r="L617" s="56"/>
      <c r="M617" s="56"/>
      <c r="N617" s="56"/>
      <c r="O617" s="56"/>
      <c r="P617" s="56"/>
      <c r="Q617" s="56"/>
      <c r="R617" s="56"/>
      <c r="S617" s="56"/>
      <c r="T617" s="56"/>
      <c r="U617" s="56"/>
      <c r="V617" s="56"/>
      <c r="W617" s="56"/>
    </row>
    <row r="618">
      <c r="A618" s="121"/>
      <c r="B618" s="56"/>
      <c r="C618" s="118"/>
      <c r="D618" s="118"/>
      <c r="E618" s="118"/>
      <c r="F618" s="56"/>
      <c r="G618" s="56"/>
      <c r="H618" s="56"/>
      <c r="I618" s="56"/>
      <c r="J618" s="56"/>
      <c r="K618" s="56"/>
      <c r="L618" s="56"/>
      <c r="M618" s="56"/>
      <c r="N618" s="56"/>
      <c r="O618" s="56"/>
      <c r="P618" s="56"/>
      <c r="Q618" s="56"/>
      <c r="R618" s="56"/>
      <c r="S618" s="56"/>
      <c r="T618" s="56"/>
      <c r="U618" s="56"/>
      <c r="V618" s="56"/>
      <c r="W618" s="56"/>
    </row>
    <row r="619">
      <c r="A619" s="121"/>
      <c r="B619" s="56"/>
      <c r="C619" s="118"/>
      <c r="D619" s="118"/>
      <c r="E619" s="118"/>
      <c r="F619" s="56"/>
      <c r="G619" s="56"/>
      <c r="H619" s="56"/>
      <c r="I619" s="56"/>
      <c r="J619" s="56"/>
      <c r="K619" s="56"/>
      <c r="L619" s="56"/>
      <c r="M619" s="56"/>
      <c r="N619" s="56"/>
      <c r="O619" s="56"/>
      <c r="P619" s="56"/>
      <c r="Q619" s="56"/>
      <c r="R619" s="56"/>
      <c r="S619" s="56"/>
      <c r="T619" s="56"/>
      <c r="U619" s="56"/>
      <c r="V619" s="56"/>
      <c r="W619" s="56"/>
    </row>
    <row r="620">
      <c r="A620" s="121"/>
      <c r="B620" s="56"/>
      <c r="C620" s="118"/>
      <c r="D620" s="118"/>
      <c r="E620" s="118"/>
      <c r="F620" s="56"/>
      <c r="G620" s="56"/>
      <c r="H620" s="56"/>
      <c r="I620" s="56"/>
      <c r="J620" s="56"/>
      <c r="K620" s="56"/>
      <c r="L620" s="56"/>
      <c r="M620" s="56"/>
      <c r="N620" s="56"/>
      <c r="O620" s="56"/>
      <c r="P620" s="56"/>
      <c r="Q620" s="56"/>
      <c r="R620" s="56"/>
      <c r="S620" s="56"/>
      <c r="T620" s="56"/>
      <c r="U620" s="56"/>
      <c r="V620" s="56"/>
      <c r="W620" s="56"/>
    </row>
    <row r="621">
      <c r="A621" s="121"/>
      <c r="B621" s="56"/>
      <c r="C621" s="118"/>
      <c r="D621" s="118"/>
      <c r="E621" s="118"/>
      <c r="F621" s="56"/>
      <c r="G621" s="56"/>
      <c r="H621" s="56"/>
      <c r="I621" s="56"/>
      <c r="J621" s="56"/>
      <c r="K621" s="56"/>
      <c r="L621" s="56"/>
      <c r="M621" s="56"/>
      <c r="N621" s="56"/>
      <c r="O621" s="56"/>
      <c r="P621" s="56"/>
      <c r="Q621" s="56"/>
      <c r="R621" s="56"/>
      <c r="S621" s="56"/>
      <c r="T621" s="56"/>
      <c r="U621" s="56"/>
      <c r="V621" s="56"/>
      <c r="W621" s="56"/>
    </row>
    <row r="622">
      <c r="A622" s="121"/>
      <c r="B622" s="56"/>
      <c r="C622" s="118"/>
      <c r="D622" s="118"/>
      <c r="E622" s="118"/>
      <c r="F622" s="56"/>
      <c r="G622" s="56"/>
      <c r="H622" s="56"/>
      <c r="I622" s="56"/>
      <c r="J622" s="56"/>
      <c r="K622" s="56"/>
      <c r="L622" s="56"/>
      <c r="M622" s="56"/>
      <c r="N622" s="56"/>
      <c r="O622" s="56"/>
      <c r="P622" s="56"/>
      <c r="Q622" s="56"/>
      <c r="R622" s="56"/>
      <c r="S622" s="56"/>
      <c r="T622" s="56"/>
      <c r="U622" s="56"/>
      <c r="V622" s="56"/>
      <c r="W622" s="56"/>
    </row>
    <row r="623">
      <c r="A623" s="121"/>
      <c r="B623" s="56"/>
      <c r="C623" s="118"/>
      <c r="D623" s="118"/>
      <c r="E623" s="118"/>
      <c r="F623" s="56"/>
      <c r="G623" s="56"/>
      <c r="H623" s="56"/>
      <c r="I623" s="56"/>
      <c r="J623" s="56"/>
      <c r="K623" s="56"/>
      <c r="L623" s="56"/>
      <c r="M623" s="56"/>
      <c r="N623" s="56"/>
      <c r="O623" s="56"/>
      <c r="P623" s="56"/>
      <c r="Q623" s="56"/>
      <c r="R623" s="56"/>
      <c r="S623" s="56"/>
      <c r="T623" s="56"/>
      <c r="U623" s="56"/>
      <c r="V623" s="56"/>
      <c r="W623" s="56"/>
    </row>
    <row r="624">
      <c r="A624" s="121"/>
      <c r="B624" s="56"/>
      <c r="C624" s="118"/>
      <c r="D624" s="118"/>
      <c r="E624" s="118"/>
      <c r="F624" s="56"/>
      <c r="G624" s="56"/>
      <c r="H624" s="56"/>
      <c r="I624" s="56"/>
      <c r="J624" s="56"/>
      <c r="K624" s="56"/>
      <c r="L624" s="56"/>
      <c r="M624" s="56"/>
      <c r="N624" s="56"/>
      <c r="O624" s="56"/>
      <c r="P624" s="56"/>
      <c r="Q624" s="56"/>
      <c r="R624" s="56"/>
      <c r="S624" s="56"/>
      <c r="T624" s="56"/>
      <c r="U624" s="56"/>
      <c r="V624" s="56"/>
      <c r="W624" s="56"/>
    </row>
    <row r="625">
      <c r="A625" s="121"/>
      <c r="B625" s="56"/>
      <c r="C625" s="118"/>
      <c r="D625" s="118"/>
      <c r="E625" s="118"/>
      <c r="F625" s="56"/>
      <c r="G625" s="56"/>
      <c r="H625" s="56"/>
      <c r="I625" s="56"/>
      <c r="J625" s="56"/>
      <c r="K625" s="56"/>
      <c r="L625" s="56"/>
      <c r="M625" s="56"/>
      <c r="N625" s="56"/>
      <c r="O625" s="56"/>
      <c r="P625" s="56"/>
      <c r="Q625" s="56"/>
      <c r="R625" s="56"/>
      <c r="S625" s="56"/>
      <c r="T625" s="56"/>
      <c r="U625" s="56"/>
      <c r="V625" s="56"/>
      <c r="W625" s="56"/>
    </row>
    <row r="626">
      <c r="A626" s="121"/>
      <c r="B626" s="56"/>
      <c r="C626" s="118"/>
      <c r="D626" s="118"/>
      <c r="E626" s="118"/>
      <c r="F626" s="56"/>
      <c r="G626" s="56"/>
      <c r="H626" s="56"/>
      <c r="I626" s="56"/>
      <c r="J626" s="56"/>
      <c r="K626" s="56"/>
      <c r="L626" s="56"/>
      <c r="M626" s="56"/>
      <c r="N626" s="56"/>
      <c r="O626" s="56"/>
      <c r="P626" s="56"/>
      <c r="Q626" s="56"/>
      <c r="R626" s="56"/>
      <c r="S626" s="56"/>
      <c r="T626" s="56"/>
      <c r="U626" s="56"/>
      <c r="V626" s="56"/>
      <c r="W626" s="56"/>
    </row>
    <row r="627">
      <c r="A627" s="121"/>
      <c r="B627" s="56"/>
      <c r="C627" s="118"/>
      <c r="D627" s="118"/>
      <c r="E627" s="118"/>
      <c r="F627" s="56"/>
      <c r="G627" s="56"/>
      <c r="H627" s="56"/>
      <c r="I627" s="56"/>
      <c r="J627" s="56"/>
      <c r="K627" s="56"/>
      <c r="L627" s="56"/>
      <c r="M627" s="56"/>
      <c r="N627" s="56"/>
      <c r="O627" s="56"/>
      <c r="P627" s="56"/>
      <c r="Q627" s="56"/>
      <c r="R627" s="56"/>
      <c r="S627" s="56"/>
      <c r="T627" s="56"/>
      <c r="U627" s="56"/>
      <c r="V627" s="56"/>
      <c r="W627" s="56"/>
    </row>
    <row r="628">
      <c r="A628" s="121"/>
      <c r="B628" s="56"/>
      <c r="C628" s="118"/>
      <c r="D628" s="118"/>
      <c r="E628" s="118"/>
      <c r="F628" s="56"/>
      <c r="G628" s="56"/>
      <c r="H628" s="56"/>
      <c r="I628" s="56"/>
      <c r="J628" s="56"/>
      <c r="K628" s="56"/>
      <c r="L628" s="56"/>
      <c r="M628" s="56"/>
      <c r="N628" s="56"/>
      <c r="O628" s="56"/>
      <c r="P628" s="56"/>
      <c r="Q628" s="56"/>
      <c r="R628" s="56"/>
      <c r="S628" s="56"/>
      <c r="T628" s="56"/>
      <c r="U628" s="56"/>
      <c r="V628" s="56"/>
      <c r="W628" s="56"/>
    </row>
    <row r="629">
      <c r="A629" s="121"/>
      <c r="B629" s="56"/>
      <c r="C629" s="118"/>
      <c r="D629" s="118"/>
      <c r="E629" s="118"/>
      <c r="F629" s="56"/>
      <c r="G629" s="56"/>
      <c r="H629" s="56"/>
      <c r="I629" s="56"/>
      <c r="J629" s="56"/>
      <c r="K629" s="56"/>
      <c r="L629" s="56"/>
      <c r="M629" s="56"/>
      <c r="N629" s="56"/>
      <c r="O629" s="56"/>
      <c r="P629" s="56"/>
      <c r="Q629" s="56"/>
      <c r="R629" s="56"/>
      <c r="S629" s="56"/>
      <c r="T629" s="56"/>
      <c r="U629" s="56"/>
      <c r="V629" s="56"/>
      <c r="W629" s="56"/>
    </row>
    <row r="630">
      <c r="A630" s="121"/>
      <c r="B630" s="56"/>
      <c r="C630" s="118"/>
      <c r="D630" s="118"/>
      <c r="E630" s="118"/>
      <c r="F630" s="56"/>
      <c r="G630" s="56"/>
      <c r="H630" s="56"/>
      <c r="I630" s="56"/>
      <c r="J630" s="56"/>
      <c r="K630" s="56"/>
      <c r="L630" s="56"/>
      <c r="M630" s="56"/>
      <c r="N630" s="56"/>
      <c r="O630" s="56"/>
      <c r="P630" s="56"/>
      <c r="Q630" s="56"/>
      <c r="R630" s="56"/>
      <c r="S630" s="56"/>
      <c r="T630" s="56"/>
      <c r="U630" s="56"/>
      <c r="V630" s="56"/>
      <c r="W630" s="56"/>
    </row>
    <row r="631">
      <c r="A631" s="121"/>
      <c r="B631" s="56"/>
      <c r="C631" s="118"/>
      <c r="D631" s="118"/>
      <c r="E631" s="118"/>
      <c r="F631" s="56"/>
      <c r="G631" s="56"/>
      <c r="H631" s="56"/>
      <c r="I631" s="56"/>
      <c r="J631" s="56"/>
      <c r="K631" s="56"/>
      <c r="L631" s="56"/>
      <c r="M631" s="56"/>
      <c r="N631" s="56"/>
      <c r="O631" s="56"/>
      <c r="P631" s="56"/>
      <c r="Q631" s="56"/>
      <c r="R631" s="56"/>
      <c r="S631" s="56"/>
      <c r="T631" s="56"/>
      <c r="U631" s="56"/>
      <c r="V631" s="56"/>
      <c r="W631" s="56"/>
    </row>
    <row r="632">
      <c r="A632" s="121"/>
      <c r="B632" s="56"/>
      <c r="C632" s="118"/>
      <c r="D632" s="118"/>
      <c r="E632" s="118"/>
      <c r="F632" s="56"/>
      <c r="G632" s="56"/>
      <c r="H632" s="56"/>
      <c r="I632" s="56"/>
      <c r="J632" s="56"/>
      <c r="K632" s="56"/>
      <c r="L632" s="56"/>
      <c r="M632" s="56"/>
      <c r="N632" s="56"/>
      <c r="O632" s="56"/>
      <c r="P632" s="56"/>
      <c r="Q632" s="56"/>
      <c r="R632" s="56"/>
      <c r="S632" s="56"/>
      <c r="T632" s="56"/>
      <c r="U632" s="56"/>
      <c r="V632" s="56"/>
      <c r="W632" s="56"/>
    </row>
    <row r="633">
      <c r="A633" s="121"/>
      <c r="B633" s="56"/>
      <c r="C633" s="118"/>
      <c r="D633" s="118"/>
      <c r="E633" s="118"/>
      <c r="F633" s="56"/>
      <c r="G633" s="56"/>
      <c r="H633" s="56"/>
      <c r="I633" s="56"/>
      <c r="J633" s="56"/>
      <c r="K633" s="56"/>
      <c r="L633" s="56"/>
      <c r="M633" s="56"/>
      <c r="N633" s="56"/>
      <c r="O633" s="56"/>
      <c r="P633" s="56"/>
      <c r="Q633" s="56"/>
      <c r="R633" s="56"/>
      <c r="S633" s="56"/>
      <c r="T633" s="56"/>
      <c r="U633" s="56"/>
      <c r="V633" s="56"/>
      <c r="W633" s="56"/>
    </row>
    <row r="634">
      <c r="A634" s="121"/>
      <c r="B634" s="56"/>
      <c r="C634" s="118"/>
      <c r="D634" s="118"/>
      <c r="E634" s="118"/>
      <c r="F634" s="56"/>
      <c r="G634" s="56"/>
      <c r="H634" s="56"/>
      <c r="I634" s="56"/>
      <c r="J634" s="56"/>
      <c r="K634" s="56"/>
      <c r="L634" s="56"/>
      <c r="M634" s="56"/>
      <c r="N634" s="56"/>
      <c r="O634" s="56"/>
      <c r="P634" s="56"/>
      <c r="Q634" s="56"/>
      <c r="R634" s="56"/>
      <c r="S634" s="56"/>
      <c r="T634" s="56"/>
      <c r="U634" s="56"/>
      <c r="V634" s="56"/>
      <c r="W634" s="56"/>
    </row>
    <row r="635">
      <c r="A635" s="121"/>
      <c r="B635" s="56"/>
      <c r="C635" s="118"/>
      <c r="D635" s="118"/>
      <c r="E635" s="118"/>
      <c r="F635" s="56"/>
      <c r="G635" s="56"/>
      <c r="H635" s="56"/>
      <c r="I635" s="56"/>
      <c r="J635" s="56"/>
      <c r="K635" s="56"/>
      <c r="L635" s="56"/>
      <c r="M635" s="56"/>
      <c r="N635" s="56"/>
      <c r="O635" s="56"/>
      <c r="P635" s="56"/>
      <c r="Q635" s="56"/>
      <c r="R635" s="56"/>
      <c r="S635" s="56"/>
      <c r="T635" s="56"/>
      <c r="U635" s="56"/>
      <c r="V635" s="56"/>
      <c r="W635" s="56"/>
    </row>
    <row r="636">
      <c r="A636" s="121"/>
      <c r="B636" s="56"/>
      <c r="C636" s="118"/>
      <c r="D636" s="118"/>
      <c r="E636" s="118"/>
      <c r="F636" s="56"/>
      <c r="G636" s="56"/>
      <c r="H636" s="56"/>
      <c r="I636" s="56"/>
      <c r="J636" s="56"/>
      <c r="K636" s="56"/>
      <c r="L636" s="56"/>
      <c r="M636" s="56"/>
      <c r="N636" s="56"/>
      <c r="O636" s="56"/>
      <c r="P636" s="56"/>
      <c r="Q636" s="56"/>
      <c r="R636" s="56"/>
      <c r="S636" s="56"/>
      <c r="T636" s="56"/>
      <c r="U636" s="56"/>
      <c r="V636" s="56"/>
      <c r="W636" s="56"/>
    </row>
    <row r="637">
      <c r="A637" s="121"/>
      <c r="B637" s="56"/>
      <c r="C637" s="118"/>
      <c r="D637" s="118"/>
      <c r="E637" s="118"/>
      <c r="F637" s="56"/>
      <c r="G637" s="56"/>
      <c r="H637" s="56"/>
      <c r="I637" s="56"/>
      <c r="J637" s="56"/>
      <c r="K637" s="56"/>
      <c r="L637" s="56"/>
      <c r="M637" s="56"/>
      <c r="N637" s="56"/>
      <c r="O637" s="56"/>
      <c r="P637" s="56"/>
      <c r="Q637" s="56"/>
      <c r="R637" s="56"/>
      <c r="S637" s="56"/>
      <c r="T637" s="56"/>
      <c r="U637" s="56"/>
      <c r="V637" s="56"/>
      <c r="W637" s="56"/>
    </row>
    <row r="638">
      <c r="A638" s="121"/>
      <c r="B638" s="56"/>
      <c r="C638" s="118"/>
      <c r="D638" s="118"/>
      <c r="E638" s="118"/>
      <c r="F638" s="56"/>
      <c r="G638" s="56"/>
      <c r="H638" s="56"/>
      <c r="I638" s="56"/>
      <c r="J638" s="56"/>
      <c r="K638" s="56"/>
      <c r="L638" s="56"/>
      <c r="M638" s="56"/>
      <c r="N638" s="56"/>
      <c r="O638" s="56"/>
      <c r="P638" s="56"/>
      <c r="Q638" s="56"/>
      <c r="R638" s="56"/>
      <c r="S638" s="56"/>
      <c r="T638" s="56"/>
      <c r="U638" s="56"/>
      <c r="V638" s="56"/>
      <c r="W638" s="56"/>
    </row>
    <row r="639">
      <c r="A639" s="121"/>
      <c r="B639" s="56"/>
      <c r="C639" s="118"/>
      <c r="D639" s="118"/>
      <c r="E639" s="118"/>
      <c r="F639" s="56"/>
      <c r="G639" s="56"/>
      <c r="H639" s="56"/>
      <c r="I639" s="56"/>
      <c r="J639" s="56"/>
      <c r="K639" s="56"/>
      <c r="L639" s="56"/>
      <c r="M639" s="56"/>
      <c r="N639" s="56"/>
      <c r="O639" s="56"/>
      <c r="P639" s="56"/>
      <c r="Q639" s="56"/>
      <c r="R639" s="56"/>
      <c r="S639" s="56"/>
      <c r="T639" s="56"/>
      <c r="U639" s="56"/>
      <c r="V639" s="56"/>
      <c r="W639" s="56"/>
    </row>
    <row r="640">
      <c r="A640" s="121"/>
      <c r="B640" s="56"/>
      <c r="C640" s="118"/>
      <c r="D640" s="118"/>
      <c r="E640" s="118"/>
      <c r="F640" s="56"/>
      <c r="G640" s="56"/>
      <c r="H640" s="56"/>
      <c r="I640" s="56"/>
      <c r="J640" s="56"/>
      <c r="K640" s="56"/>
      <c r="L640" s="56"/>
      <c r="M640" s="56"/>
      <c r="N640" s="56"/>
      <c r="O640" s="56"/>
      <c r="P640" s="56"/>
      <c r="Q640" s="56"/>
      <c r="R640" s="56"/>
      <c r="S640" s="56"/>
      <c r="T640" s="56"/>
      <c r="U640" s="56"/>
      <c r="V640" s="56"/>
      <c r="W640" s="56"/>
    </row>
    <row r="641">
      <c r="A641" s="121"/>
      <c r="B641" s="56"/>
      <c r="C641" s="118"/>
      <c r="D641" s="118"/>
      <c r="E641" s="118"/>
      <c r="F641" s="56"/>
      <c r="G641" s="56"/>
      <c r="H641" s="56"/>
      <c r="I641" s="56"/>
      <c r="J641" s="56"/>
      <c r="K641" s="56"/>
      <c r="L641" s="56"/>
      <c r="M641" s="56"/>
      <c r="N641" s="56"/>
      <c r="O641" s="56"/>
      <c r="P641" s="56"/>
      <c r="Q641" s="56"/>
      <c r="R641" s="56"/>
      <c r="S641" s="56"/>
      <c r="T641" s="56"/>
      <c r="U641" s="56"/>
      <c r="V641" s="56"/>
      <c r="W641" s="56"/>
    </row>
    <row r="642">
      <c r="A642" s="121"/>
      <c r="B642" s="56"/>
      <c r="C642" s="118"/>
      <c r="D642" s="118"/>
      <c r="E642" s="118"/>
      <c r="F642" s="56"/>
      <c r="G642" s="56"/>
      <c r="H642" s="56"/>
      <c r="I642" s="56"/>
      <c r="J642" s="56"/>
      <c r="K642" s="56"/>
      <c r="L642" s="56"/>
      <c r="M642" s="56"/>
      <c r="N642" s="56"/>
      <c r="O642" s="56"/>
      <c r="P642" s="56"/>
      <c r="Q642" s="56"/>
      <c r="R642" s="56"/>
      <c r="S642" s="56"/>
      <c r="T642" s="56"/>
      <c r="U642" s="56"/>
      <c r="V642" s="56"/>
      <c r="W642" s="56"/>
    </row>
    <row r="643">
      <c r="A643" s="121"/>
      <c r="B643" s="56"/>
      <c r="C643" s="118"/>
      <c r="D643" s="118"/>
      <c r="E643" s="118"/>
      <c r="F643" s="56"/>
      <c r="G643" s="56"/>
      <c r="H643" s="56"/>
      <c r="I643" s="56"/>
      <c r="J643" s="56"/>
      <c r="K643" s="56"/>
      <c r="L643" s="56"/>
      <c r="M643" s="56"/>
      <c r="N643" s="56"/>
      <c r="O643" s="56"/>
      <c r="P643" s="56"/>
      <c r="Q643" s="56"/>
      <c r="R643" s="56"/>
      <c r="S643" s="56"/>
      <c r="T643" s="56"/>
      <c r="U643" s="56"/>
      <c r="V643" s="56"/>
      <c r="W643" s="56"/>
    </row>
    <row r="644">
      <c r="A644" s="121"/>
      <c r="B644" s="56"/>
      <c r="C644" s="118"/>
      <c r="D644" s="118"/>
      <c r="E644" s="118"/>
      <c r="F644" s="56"/>
      <c r="G644" s="56"/>
      <c r="H644" s="56"/>
      <c r="I644" s="56"/>
      <c r="J644" s="56"/>
      <c r="K644" s="56"/>
      <c r="L644" s="56"/>
      <c r="M644" s="56"/>
      <c r="N644" s="56"/>
      <c r="O644" s="56"/>
      <c r="P644" s="56"/>
      <c r="Q644" s="56"/>
      <c r="R644" s="56"/>
      <c r="S644" s="56"/>
      <c r="T644" s="56"/>
      <c r="U644" s="56"/>
      <c r="V644" s="56"/>
      <c r="W644" s="56"/>
    </row>
    <row r="645">
      <c r="A645" s="121"/>
      <c r="B645" s="56"/>
      <c r="C645" s="118"/>
      <c r="D645" s="118"/>
      <c r="E645" s="118"/>
      <c r="F645" s="56"/>
      <c r="G645" s="56"/>
      <c r="H645" s="56"/>
      <c r="I645" s="56"/>
      <c r="J645" s="56"/>
      <c r="K645" s="56"/>
      <c r="L645" s="56"/>
      <c r="M645" s="56"/>
      <c r="N645" s="56"/>
      <c r="O645" s="56"/>
      <c r="P645" s="56"/>
      <c r="Q645" s="56"/>
      <c r="R645" s="56"/>
      <c r="S645" s="56"/>
      <c r="T645" s="56"/>
      <c r="U645" s="56"/>
      <c r="V645" s="56"/>
      <c r="W645" s="56"/>
    </row>
    <row r="646">
      <c r="A646" s="121"/>
      <c r="B646" s="56"/>
      <c r="C646" s="118"/>
      <c r="D646" s="118"/>
      <c r="E646" s="118"/>
      <c r="F646" s="56"/>
      <c r="G646" s="56"/>
      <c r="H646" s="56"/>
      <c r="I646" s="56"/>
      <c r="J646" s="56"/>
      <c r="K646" s="56"/>
      <c r="L646" s="56"/>
      <c r="M646" s="56"/>
      <c r="N646" s="56"/>
      <c r="O646" s="56"/>
      <c r="P646" s="56"/>
      <c r="Q646" s="56"/>
      <c r="R646" s="56"/>
      <c r="S646" s="56"/>
      <c r="T646" s="56"/>
      <c r="U646" s="56"/>
      <c r="V646" s="56"/>
      <c r="W646" s="56"/>
    </row>
    <row r="647">
      <c r="A647" s="121"/>
      <c r="B647" s="56"/>
      <c r="C647" s="118"/>
      <c r="D647" s="118"/>
      <c r="E647" s="118"/>
      <c r="F647" s="56"/>
      <c r="G647" s="56"/>
      <c r="H647" s="56"/>
      <c r="I647" s="56"/>
      <c r="J647" s="56"/>
      <c r="K647" s="56"/>
      <c r="L647" s="56"/>
      <c r="M647" s="56"/>
      <c r="N647" s="56"/>
      <c r="O647" s="56"/>
      <c r="P647" s="56"/>
      <c r="Q647" s="56"/>
      <c r="R647" s="56"/>
      <c r="S647" s="56"/>
      <c r="T647" s="56"/>
      <c r="U647" s="56"/>
      <c r="V647" s="56"/>
      <c r="W647" s="56"/>
    </row>
    <row r="648">
      <c r="A648" s="121"/>
      <c r="B648" s="56"/>
      <c r="C648" s="118"/>
      <c r="D648" s="118"/>
      <c r="E648" s="118"/>
      <c r="F648" s="56"/>
      <c r="G648" s="56"/>
      <c r="H648" s="56"/>
      <c r="I648" s="56"/>
      <c r="J648" s="56"/>
      <c r="K648" s="56"/>
      <c r="L648" s="56"/>
      <c r="M648" s="56"/>
      <c r="N648" s="56"/>
      <c r="O648" s="56"/>
      <c r="P648" s="56"/>
      <c r="Q648" s="56"/>
      <c r="R648" s="56"/>
      <c r="S648" s="56"/>
      <c r="T648" s="56"/>
      <c r="U648" s="56"/>
      <c r="V648" s="56"/>
      <c r="W648" s="56"/>
    </row>
    <row r="649">
      <c r="A649" s="121"/>
      <c r="B649" s="56"/>
      <c r="C649" s="118"/>
      <c r="D649" s="118"/>
      <c r="E649" s="118"/>
      <c r="F649" s="56"/>
      <c r="G649" s="56"/>
      <c r="H649" s="56"/>
      <c r="I649" s="56"/>
      <c r="J649" s="56"/>
      <c r="K649" s="56"/>
      <c r="L649" s="56"/>
      <c r="M649" s="56"/>
      <c r="N649" s="56"/>
      <c r="O649" s="56"/>
      <c r="P649" s="56"/>
      <c r="Q649" s="56"/>
      <c r="R649" s="56"/>
      <c r="S649" s="56"/>
      <c r="T649" s="56"/>
      <c r="U649" s="56"/>
      <c r="V649" s="56"/>
      <c r="W649" s="56"/>
    </row>
    <row r="650">
      <c r="A650" s="121"/>
      <c r="B650" s="56"/>
      <c r="C650" s="118"/>
      <c r="D650" s="118"/>
      <c r="E650" s="118"/>
      <c r="F650" s="56"/>
      <c r="G650" s="56"/>
      <c r="H650" s="56"/>
      <c r="I650" s="56"/>
      <c r="J650" s="56"/>
      <c r="K650" s="56"/>
      <c r="L650" s="56"/>
      <c r="M650" s="56"/>
      <c r="N650" s="56"/>
      <c r="O650" s="56"/>
      <c r="P650" s="56"/>
      <c r="Q650" s="56"/>
      <c r="R650" s="56"/>
      <c r="S650" s="56"/>
      <c r="T650" s="56"/>
      <c r="U650" s="56"/>
      <c r="V650" s="56"/>
      <c r="W650" s="56"/>
    </row>
    <row r="651">
      <c r="A651" s="121"/>
      <c r="B651" s="56"/>
      <c r="C651" s="118"/>
      <c r="D651" s="118"/>
      <c r="E651" s="118"/>
      <c r="F651" s="56"/>
      <c r="G651" s="56"/>
      <c r="H651" s="56"/>
      <c r="I651" s="56"/>
      <c r="J651" s="56"/>
      <c r="K651" s="56"/>
      <c r="L651" s="56"/>
      <c r="M651" s="56"/>
      <c r="N651" s="56"/>
      <c r="O651" s="56"/>
      <c r="P651" s="56"/>
      <c r="Q651" s="56"/>
      <c r="R651" s="56"/>
      <c r="S651" s="56"/>
      <c r="T651" s="56"/>
      <c r="U651" s="56"/>
      <c r="V651" s="56"/>
      <c r="W651" s="56"/>
    </row>
    <row r="652">
      <c r="A652" s="121"/>
      <c r="B652" s="56"/>
      <c r="C652" s="118"/>
      <c r="D652" s="118"/>
      <c r="E652" s="118"/>
      <c r="F652" s="56"/>
      <c r="G652" s="56"/>
      <c r="H652" s="56"/>
      <c r="I652" s="56"/>
      <c r="J652" s="56"/>
      <c r="K652" s="56"/>
      <c r="L652" s="56"/>
      <c r="M652" s="56"/>
      <c r="N652" s="56"/>
      <c r="O652" s="56"/>
      <c r="P652" s="56"/>
      <c r="Q652" s="56"/>
      <c r="R652" s="56"/>
      <c r="S652" s="56"/>
      <c r="T652" s="56"/>
      <c r="U652" s="56"/>
      <c r="V652" s="56"/>
      <c r="W652" s="56"/>
    </row>
    <row r="653">
      <c r="A653" s="121"/>
      <c r="B653" s="56"/>
      <c r="C653" s="118"/>
      <c r="D653" s="118"/>
      <c r="E653" s="118"/>
      <c r="F653" s="56"/>
      <c r="G653" s="56"/>
      <c r="H653" s="56"/>
      <c r="I653" s="56"/>
      <c r="J653" s="56"/>
      <c r="K653" s="56"/>
      <c r="L653" s="56"/>
      <c r="M653" s="56"/>
      <c r="N653" s="56"/>
      <c r="O653" s="56"/>
      <c r="P653" s="56"/>
      <c r="Q653" s="56"/>
      <c r="R653" s="56"/>
      <c r="S653" s="56"/>
      <c r="T653" s="56"/>
      <c r="U653" s="56"/>
      <c r="V653" s="56"/>
      <c r="W653" s="56"/>
    </row>
    <row r="654">
      <c r="A654" s="121"/>
      <c r="B654" s="56"/>
      <c r="C654" s="118"/>
      <c r="D654" s="118"/>
      <c r="E654" s="118"/>
      <c r="F654" s="56"/>
      <c r="G654" s="56"/>
      <c r="H654" s="56"/>
      <c r="I654" s="56"/>
      <c r="J654" s="56"/>
      <c r="K654" s="56"/>
      <c r="L654" s="56"/>
      <c r="M654" s="56"/>
      <c r="N654" s="56"/>
      <c r="O654" s="56"/>
      <c r="P654" s="56"/>
      <c r="Q654" s="56"/>
      <c r="R654" s="56"/>
      <c r="S654" s="56"/>
      <c r="T654" s="56"/>
      <c r="U654" s="56"/>
      <c r="V654" s="56"/>
      <c r="W654" s="56"/>
    </row>
    <row r="655">
      <c r="A655" s="121"/>
      <c r="B655" s="56"/>
      <c r="C655" s="118"/>
      <c r="D655" s="118"/>
      <c r="E655" s="118"/>
      <c r="F655" s="56"/>
      <c r="G655" s="56"/>
      <c r="H655" s="56"/>
      <c r="I655" s="56"/>
      <c r="J655" s="56"/>
      <c r="K655" s="56"/>
      <c r="L655" s="56"/>
      <c r="M655" s="56"/>
      <c r="N655" s="56"/>
      <c r="O655" s="56"/>
      <c r="P655" s="56"/>
      <c r="Q655" s="56"/>
      <c r="R655" s="56"/>
      <c r="S655" s="56"/>
      <c r="T655" s="56"/>
      <c r="U655" s="56"/>
      <c r="V655" s="56"/>
      <c r="W655" s="56"/>
    </row>
    <row r="656">
      <c r="A656" s="121"/>
      <c r="B656" s="56"/>
      <c r="C656" s="118"/>
      <c r="D656" s="118"/>
      <c r="E656" s="118"/>
      <c r="F656" s="56"/>
      <c r="G656" s="56"/>
      <c r="H656" s="56"/>
      <c r="I656" s="56"/>
      <c r="J656" s="56"/>
      <c r="K656" s="56"/>
      <c r="L656" s="56"/>
      <c r="M656" s="56"/>
      <c r="N656" s="56"/>
      <c r="O656" s="56"/>
      <c r="P656" s="56"/>
      <c r="Q656" s="56"/>
      <c r="R656" s="56"/>
      <c r="S656" s="56"/>
      <c r="T656" s="56"/>
      <c r="U656" s="56"/>
      <c r="V656" s="56"/>
      <c r="W656" s="56"/>
    </row>
    <row r="657">
      <c r="A657" s="121"/>
      <c r="B657" s="56"/>
      <c r="C657" s="118"/>
      <c r="D657" s="118"/>
      <c r="E657" s="118"/>
      <c r="F657" s="56"/>
      <c r="G657" s="56"/>
      <c r="H657" s="56"/>
      <c r="I657" s="56"/>
      <c r="J657" s="56"/>
      <c r="K657" s="56"/>
      <c r="L657" s="56"/>
      <c r="M657" s="56"/>
      <c r="N657" s="56"/>
      <c r="O657" s="56"/>
      <c r="P657" s="56"/>
      <c r="Q657" s="56"/>
      <c r="R657" s="56"/>
      <c r="S657" s="56"/>
      <c r="T657" s="56"/>
      <c r="U657" s="56"/>
      <c r="V657" s="56"/>
      <c r="W657" s="56"/>
    </row>
    <row r="658">
      <c r="A658" s="121"/>
      <c r="B658" s="56"/>
      <c r="C658" s="118"/>
      <c r="D658" s="118"/>
      <c r="E658" s="118"/>
      <c r="F658" s="56"/>
      <c r="G658" s="56"/>
      <c r="H658" s="56"/>
      <c r="I658" s="56"/>
      <c r="J658" s="56"/>
      <c r="K658" s="56"/>
      <c r="L658" s="56"/>
      <c r="M658" s="56"/>
      <c r="N658" s="56"/>
      <c r="O658" s="56"/>
      <c r="P658" s="56"/>
      <c r="Q658" s="56"/>
      <c r="R658" s="56"/>
      <c r="S658" s="56"/>
      <c r="T658" s="56"/>
      <c r="U658" s="56"/>
      <c r="V658" s="56"/>
      <c r="W658" s="56"/>
    </row>
    <row r="659">
      <c r="A659" s="121"/>
      <c r="B659" s="56"/>
      <c r="C659" s="118"/>
      <c r="D659" s="118"/>
      <c r="E659" s="118"/>
      <c r="F659" s="56"/>
      <c r="G659" s="56"/>
      <c r="H659" s="56"/>
      <c r="I659" s="56"/>
      <c r="J659" s="56"/>
      <c r="K659" s="56"/>
      <c r="L659" s="56"/>
      <c r="M659" s="56"/>
      <c r="N659" s="56"/>
      <c r="O659" s="56"/>
      <c r="P659" s="56"/>
      <c r="Q659" s="56"/>
      <c r="R659" s="56"/>
      <c r="S659" s="56"/>
      <c r="T659" s="56"/>
      <c r="U659" s="56"/>
      <c r="V659" s="56"/>
      <c r="W659" s="56"/>
    </row>
    <row r="660">
      <c r="A660" s="121"/>
      <c r="B660" s="56"/>
      <c r="C660" s="118"/>
      <c r="D660" s="118"/>
      <c r="E660" s="118"/>
      <c r="F660" s="56"/>
      <c r="G660" s="56"/>
      <c r="H660" s="56"/>
      <c r="I660" s="56"/>
      <c r="J660" s="56"/>
      <c r="K660" s="56"/>
      <c r="L660" s="56"/>
      <c r="M660" s="56"/>
      <c r="N660" s="56"/>
      <c r="O660" s="56"/>
      <c r="P660" s="56"/>
      <c r="Q660" s="56"/>
      <c r="R660" s="56"/>
      <c r="S660" s="56"/>
      <c r="T660" s="56"/>
      <c r="U660" s="56"/>
      <c r="V660" s="56"/>
      <c r="W660" s="56"/>
    </row>
    <row r="661">
      <c r="A661" s="121"/>
      <c r="B661" s="56"/>
      <c r="C661" s="118"/>
      <c r="D661" s="118"/>
      <c r="E661" s="118"/>
      <c r="F661" s="56"/>
      <c r="G661" s="56"/>
      <c r="H661" s="56"/>
      <c r="I661" s="56"/>
      <c r="J661" s="56"/>
      <c r="K661" s="56"/>
      <c r="L661" s="56"/>
      <c r="M661" s="56"/>
      <c r="N661" s="56"/>
      <c r="O661" s="56"/>
      <c r="P661" s="56"/>
      <c r="Q661" s="56"/>
      <c r="R661" s="56"/>
      <c r="S661" s="56"/>
      <c r="T661" s="56"/>
      <c r="U661" s="56"/>
      <c r="V661" s="56"/>
      <c r="W661" s="56"/>
    </row>
    <row r="662">
      <c r="A662" s="121"/>
      <c r="B662" s="56"/>
      <c r="C662" s="118"/>
      <c r="D662" s="118"/>
      <c r="E662" s="118"/>
      <c r="F662" s="56"/>
      <c r="G662" s="56"/>
      <c r="H662" s="56"/>
      <c r="I662" s="56"/>
      <c r="J662" s="56"/>
      <c r="K662" s="56"/>
      <c r="L662" s="56"/>
      <c r="M662" s="56"/>
      <c r="N662" s="56"/>
      <c r="O662" s="56"/>
      <c r="P662" s="56"/>
      <c r="Q662" s="56"/>
      <c r="R662" s="56"/>
      <c r="S662" s="56"/>
      <c r="T662" s="56"/>
      <c r="U662" s="56"/>
      <c r="V662" s="56"/>
      <c r="W662" s="56"/>
    </row>
    <row r="663">
      <c r="A663" s="121"/>
      <c r="B663" s="56"/>
      <c r="C663" s="118"/>
      <c r="D663" s="118"/>
      <c r="E663" s="118"/>
      <c r="F663" s="56"/>
      <c r="G663" s="56"/>
      <c r="H663" s="56"/>
      <c r="I663" s="56"/>
      <c r="J663" s="56"/>
      <c r="K663" s="56"/>
      <c r="L663" s="56"/>
      <c r="M663" s="56"/>
      <c r="N663" s="56"/>
      <c r="O663" s="56"/>
      <c r="P663" s="56"/>
      <c r="Q663" s="56"/>
      <c r="R663" s="56"/>
      <c r="S663" s="56"/>
      <c r="T663" s="56"/>
      <c r="U663" s="56"/>
      <c r="V663" s="56"/>
      <c r="W663" s="56"/>
    </row>
    <row r="664">
      <c r="A664" s="121"/>
      <c r="B664" s="56"/>
      <c r="C664" s="118"/>
      <c r="D664" s="118"/>
      <c r="E664" s="118"/>
      <c r="F664" s="56"/>
      <c r="G664" s="56"/>
      <c r="H664" s="56"/>
      <c r="I664" s="56"/>
      <c r="J664" s="56"/>
      <c r="K664" s="56"/>
      <c r="L664" s="56"/>
      <c r="M664" s="56"/>
      <c r="N664" s="56"/>
      <c r="O664" s="56"/>
      <c r="P664" s="56"/>
      <c r="Q664" s="56"/>
      <c r="R664" s="56"/>
      <c r="S664" s="56"/>
      <c r="T664" s="56"/>
      <c r="U664" s="56"/>
      <c r="V664" s="56"/>
      <c r="W664" s="56"/>
    </row>
    <row r="665">
      <c r="A665" s="121"/>
      <c r="B665" s="56"/>
      <c r="C665" s="118"/>
      <c r="D665" s="118"/>
      <c r="E665" s="118"/>
      <c r="F665" s="56"/>
      <c r="G665" s="56"/>
      <c r="H665" s="56"/>
      <c r="I665" s="56"/>
      <c r="J665" s="56"/>
      <c r="K665" s="56"/>
      <c r="L665" s="56"/>
      <c r="M665" s="56"/>
      <c r="N665" s="56"/>
      <c r="O665" s="56"/>
      <c r="P665" s="56"/>
      <c r="Q665" s="56"/>
      <c r="R665" s="56"/>
      <c r="S665" s="56"/>
      <c r="T665" s="56"/>
      <c r="U665" s="56"/>
      <c r="V665" s="56"/>
      <c r="W665" s="56"/>
    </row>
    <row r="666">
      <c r="A666" s="121"/>
      <c r="B666" s="56"/>
      <c r="C666" s="118"/>
      <c r="D666" s="118"/>
      <c r="E666" s="118"/>
      <c r="F666" s="56"/>
      <c r="G666" s="56"/>
      <c r="H666" s="56"/>
      <c r="I666" s="56"/>
      <c r="J666" s="56"/>
      <c r="K666" s="56"/>
      <c r="L666" s="56"/>
      <c r="M666" s="56"/>
      <c r="N666" s="56"/>
      <c r="O666" s="56"/>
      <c r="P666" s="56"/>
      <c r="Q666" s="56"/>
      <c r="R666" s="56"/>
      <c r="S666" s="56"/>
      <c r="T666" s="56"/>
      <c r="U666" s="56"/>
      <c r="V666" s="56"/>
      <c r="W666" s="56"/>
    </row>
    <row r="667">
      <c r="A667" s="121"/>
      <c r="B667" s="56"/>
      <c r="C667" s="118"/>
      <c r="D667" s="118"/>
      <c r="E667" s="118"/>
      <c r="F667" s="56"/>
      <c r="G667" s="56"/>
      <c r="H667" s="56"/>
      <c r="I667" s="56"/>
      <c r="J667" s="56"/>
      <c r="K667" s="56"/>
      <c r="L667" s="56"/>
      <c r="M667" s="56"/>
      <c r="N667" s="56"/>
      <c r="O667" s="56"/>
      <c r="P667" s="56"/>
      <c r="Q667" s="56"/>
      <c r="R667" s="56"/>
      <c r="S667" s="56"/>
      <c r="T667" s="56"/>
      <c r="U667" s="56"/>
      <c r="V667" s="56"/>
      <c r="W667" s="56"/>
    </row>
    <row r="668">
      <c r="A668" s="121"/>
      <c r="B668" s="56"/>
      <c r="C668" s="118"/>
      <c r="D668" s="118"/>
      <c r="E668" s="118"/>
      <c r="F668" s="56"/>
      <c r="G668" s="56"/>
      <c r="H668" s="56"/>
      <c r="I668" s="56"/>
      <c r="J668" s="56"/>
      <c r="K668" s="56"/>
      <c r="L668" s="56"/>
      <c r="M668" s="56"/>
      <c r="N668" s="56"/>
      <c r="O668" s="56"/>
      <c r="P668" s="56"/>
      <c r="Q668" s="56"/>
      <c r="R668" s="56"/>
      <c r="S668" s="56"/>
      <c r="T668" s="56"/>
      <c r="U668" s="56"/>
      <c r="V668" s="56"/>
      <c r="W668" s="56"/>
    </row>
    <row r="669">
      <c r="A669" s="121"/>
      <c r="B669" s="56"/>
      <c r="C669" s="118"/>
      <c r="D669" s="118"/>
      <c r="E669" s="118"/>
      <c r="F669" s="56"/>
      <c r="G669" s="56"/>
      <c r="H669" s="56"/>
      <c r="I669" s="56"/>
      <c r="J669" s="56"/>
      <c r="K669" s="56"/>
      <c r="L669" s="56"/>
      <c r="M669" s="56"/>
      <c r="N669" s="56"/>
      <c r="O669" s="56"/>
      <c r="P669" s="56"/>
      <c r="Q669" s="56"/>
      <c r="R669" s="56"/>
      <c r="S669" s="56"/>
      <c r="T669" s="56"/>
      <c r="U669" s="56"/>
      <c r="V669" s="56"/>
      <c r="W669" s="56"/>
    </row>
    <row r="670">
      <c r="A670" s="121"/>
      <c r="B670" s="56"/>
      <c r="C670" s="118"/>
      <c r="D670" s="118"/>
      <c r="E670" s="118"/>
      <c r="F670" s="56"/>
      <c r="G670" s="56"/>
      <c r="H670" s="56"/>
      <c r="I670" s="56"/>
      <c r="J670" s="56"/>
      <c r="K670" s="56"/>
      <c r="L670" s="56"/>
      <c r="M670" s="56"/>
      <c r="N670" s="56"/>
      <c r="O670" s="56"/>
      <c r="P670" s="56"/>
      <c r="Q670" s="56"/>
      <c r="R670" s="56"/>
      <c r="S670" s="56"/>
      <c r="T670" s="56"/>
      <c r="U670" s="56"/>
      <c r="V670" s="56"/>
      <c r="W670" s="56"/>
    </row>
    <row r="671">
      <c r="A671" s="121"/>
      <c r="B671" s="56"/>
      <c r="C671" s="118"/>
      <c r="D671" s="118"/>
      <c r="E671" s="118"/>
      <c r="F671" s="56"/>
      <c r="G671" s="56"/>
      <c r="H671" s="56"/>
      <c r="I671" s="56"/>
      <c r="J671" s="56"/>
      <c r="K671" s="56"/>
      <c r="L671" s="56"/>
      <c r="M671" s="56"/>
      <c r="N671" s="56"/>
      <c r="O671" s="56"/>
      <c r="P671" s="56"/>
      <c r="Q671" s="56"/>
      <c r="R671" s="56"/>
      <c r="S671" s="56"/>
      <c r="T671" s="56"/>
      <c r="U671" s="56"/>
      <c r="V671" s="56"/>
      <c r="W671" s="56"/>
    </row>
    <row r="672">
      <c r="A672" s="121"/>
      <c r="B672" s="56"/>
      <c r="C672" s="118"/>
      <c r="D672" s="118"/>
      <c r="E672" s="118"/>
      <c r="F672" s="56"/>
      <c r="G672" s="56"/>
      <c r="H672" s="56"/>
      <c r="I672" s="56"/>
      <c r="J672" s="56"/>
      <c r="K672" s="56"/>
      <c r="L672" s="56"/>
      <c r="M672" s="56"/>
      <c r="N672" s="56"/>
      <c r="O672" s="56"/>
      <c r="P672" s="56"/>
      <c r="Q672" s="56"/>
      <c r="R672" s="56"/>
      <c r="S672" s="56"/>
      <c r="T672" s="56"/>
      <c r="U672" s="56"/>
      <c r="V672" s="56"/>
      <c r="W672" s="56"/>
    </row>
    <row r="673">
      <c r="A673" s="121"/>
      <c r="B673" s="56"/>
      <c r="C673" s="118"/>
      <c r="D673" s="118"/>
      <c r="E673" s="118"/>
      <c r="F673" s="56"/>
      <c r="G673" s="56"/>
      <c r="H673" s="56"/>
      <c r="I673" s="56"/>
      <c r="J673" s="56"/>
      <c r="K673" s="56"/>
      <c r="L673" s="56"/>
      <c r="M673" s="56"/>
      <c r="N673" s="56"/>
      <c r="O673" s="56"/>
      <c r="P673" s="56"/>
      <c r="Q673" s="56"/>
      <c r="R673" s="56"/>
      <c r="S673" s="56"/>
      <c r="T673" s="56"/>
      <c r="U673" s="56"/>
      <c r="V673" s="56"/>
      <c r="W673" s="56"/>
    </row>
    <row r="674">
      <c r="A674" s="121"/>
      <c r="B674" s="56"/>
      <c r="C674" s="118"/>
      <c r="D674" s="118"/>
      <c r="E674" s="118"/>
      <c r="F674" s="56"/>
      <c r="G674" s="56"/>
      <c r="H674" s="56"/>
      <c r="I674" s="56"/>
      <c r="J674" s="56"/>
      <c r="K674" s="56"/>
      <c r="L674" s="56"/>
      <c r="M674" s="56"/>
      <c r="N674" s="56"/>
      <c r="O674" s="56"/>
      <c r="P674" s="56"/>
      <c r="Q674" s="56"/>
      <c r="R674" s="56"/>
      <c r="S674" s="56"/>
      <c r="T674" s="56"/>
      <c r="U674" s="56"/>
      <c r="V674" s="56"/>
      <c r="W674" s="56"/>
    </row>
    <row r="675">
      <c r="A675" s="121"/>
      <c r="B675" s="56"/>
      <c r="C675" s="118"/>
      <c r="D675" s="118"/>
      <c r="E675" s="118"/>
      <c r="F675" s="56"/>
      <c r="G675" s="56"/>
      <c r="H675" s="56"/>
      <c r="I675" s="56"/>
      <c r="J675" s="56"/>
      <c r="K675" s="56"/>
      <c r="L675" s="56"/>
      <c r="M675" s="56"/>
      <c r="N675" s="56"/>
      <c r="O675" s="56"/>
      <c r="P675" s="56"/>
      <c r="Q675" s="56"/>
      <c r="R675" s="56"/>
      <c r="S675" s="56"/>
      <c r="T675" s="56"/>
      <c r="U675" s="56"/>
      <c r="V675" s="56"/>
      <c r="W675" s="56"/>
    </row>
    <row r="676">
      <c r="A676" s="121"/>
      <c r="B676" s="56"/>
      <c r="C676" s="118"/>
      <c r="D676" s="118"/>
      <c r="E676" s="118"/>
      <c r="F676" s="56"/>
      <c r="G676" s="56"/>
      <c r="H676" s="56"/>
      <c r="I676" s="56"/>
      <c r="J676" s="56"/>
      <c r="K676" s="56"/>
      <c r="L676" s="56"/>
      <c r="M676" s="56"/>
      <c r="N676" s="56"/>
      <c r="O676" s="56"/>
      <c r="P676" s="56"/>
      <c r="Q676" s="56"/>
      <c r="R676" s="56"/>
      <c r="S676" s="56"/>
      <c r="T676" s="56"/>
      <c r="U676" s="56"/>
      <c r="V676" s="56"/>
      <c r="W676" s="56"/>
    </row>
    <row r="677">
      <c r="A677" s="121"/>
      <c r="B677" s="56"/>
      <c r="C677" s="118"/>
      <c r="D677" s="118"/>
      <c r="E677" s="118"/>
      <c r="F677" s="56"/>
      <c r="G677" s="56"/>
      <c r="H677" s="56"/>
      <c r="I677" s="56"/>
      <c r="J677" s="56"/>
      <c r="K677" s="56"/>
      <c r="L677" s="56"/>
      <c r="M677" s="56"/>
      <c r="N677" s="56"/>
      <c r="O677" s="56"/>
      <c r="P677" s="56"/>
      <c r="Q677" s="56"/>
      <c r="R677" s="56"/>
      <c r="S677" s="56"/>
      <c r="T677" s="56"/>
      <c r="U677" s="56"/>
      <c r="V677" s="56"/>
      <c r="W677" s="56"/>
    </row>
    <row r="678">
      <c r="A678" s="121"/>
      <c r="B678" s="56"/>
      <c r="C678" s="118"/>
      <c r="D678" s="118"/>
      <c r="E678" s="118"/>
      <c r="F678" s="56"/>
      <c r="G678" s="56"/>
      <c r="H678" s="56"/>
      <c r="I678" s="56"/>
      <c r="J678" s="56"/>
      <c r="K678" s="56"/>
      <c r="L678" s="56"/>
      <c r="M678" s="56"/>
      <c r="N678" s="56"/>
      <c r="O678" s="56"/>
      <c r="P678" s="56"/>
      <c r="Q678" s="56"/>
      <c r="R678" s="56"/>
      <c r="S678" s="56"/>
      <c r="T678" s="56"/>
      <c r="U678" s="56"/>
      <c r="V678" s="56"/>
      <c r="W678" s="56"/>
    </row>
    <row r="679">
      <c r="A679" s="121"/>
      <c r="B679" s="56"/>
      <c r="C679" s="118"/>
      <c r="D679" s="118"/>
      <c r="E679" s="118"/>
      <c r="F679" s="56"/>
      <c r="G679" s="56"/>
      <c r="H679" s="56"/>
      <c r="I679" s="56"/>
      <c r="J679" s="56"/>
      <c r="K679" s="56"/>
      <c r="L679" s="56"/>
      <c r="M679" s="56"/>
      <c r="N679" s="56"/>
      <c r="O679" s="56"/>
      <c r="P679" s="56"/>
      <c r="Q679" s="56"/>
      <c r="R679" s="56"/>
      <c r="S679" s="56"/>
      <c r="T679" s="56"/>
      <c r="U679" s="56"/>
      <c r="V679" s="56"/>
      <c r="W679" s="56"/>
    </row>
    <row r="680">
      <c r="A680" s="121"/>
      <c r="B680" s="56"/>
      <c r="C680" s="118"/>
      <c r="D680" s="118"/>
      <c r="E680" s="118"/>
      <c r="F680" s="56"/>
      <c r="G680" s="56"/>
      <c r="H680" s="56"/>
      <c r="I680" s="56"/>
      <c r="J680" s="56"/>
      <c r="K680" s="56"/>
      <c r="L680" s="56"/>
      <c r="M680" s="56"/>
      <c r="N680" s="56"/>
      <c r="O680" s="56"/>
      <c r="P680" s="56"/>
      <c r="Q680" s="56"/>
      <c r="R680" s="56"/>
      <c r="S680" s="56"/>
      <c r="T680" s="56"/>
      <c r="U680" s="56"/>
      <c r="V680" s="56"/>
      <c r="W680" s="56"/>
    </row>
    <row r="681">
      <c r="A681" s="121"/>
      <c r="B681" s="56"/>
      <c r="C681" s="118"/>
      <c r="D681" s="118"/>
      <c r="E681" s="118"/>
      <c r="F681" s="56"/>
      <c r="G681" s="56"/>
      <c r="H681" s="56"/>
      <c r="I681" s="56"/>
      <c r="J681" s="56"/>
      <c r="K681" s="56"/>
      <c r="L681" s="56"/>
      <c r="M681" s="56"/>
      <c r="N681" s="56"/>
      <c r="O681" s="56"/>
      <c r="P681" s="56"/>
      <c r="Q681" s="56"/>
      <c r="R681" s="56"/>
      <c r="S681" s="56"/>
      <c r="T681" s="56"/>
      <c r="U681" s="56"/>
      <c r="V681" s="56"/>
      <c r="W681" s="56"/>
    </row>
    <row r="682">
      <c r="A682" s="121"/>
      <c r="B682" s="56"/>
      <c r="C682" s="118"/>
      <c r="D682" s="118"/>
      <c r="E682" s="118"/>
      <c r="F682" s="56"/>
      <c r="G682" s="56"/>
      <c r="H682" s="56"/>
      <c r="I682" s="56"/>
      <c r="J682" s="56"/>
      <c r="K682" s="56"/>
      <c r="L682" s="56"/>
      <c r="M682" s="56"/>
      <c r="N682" s="56"/>
      <c r="O682" s="56"/>
      <c r="P682" s="56"/>
      <c r="Q682" s="56"/>
      <c r="R682" s="56"/>
      <c r="S682" s="56"/>
      <c r="T682" s="56"/>
      <c r="U682" s="56"/>
      <c r="V682" s="56"/>
      <c r="W682" s="56"/>
    </row>
    <row r="683">
      <c r="A683" s="121"/>
      <c r="B683" s="56"/>
      <c r="C683" s="118"/>
      <c r="D683" s="118"/>
      <c r="E683" s="118"/>
      <c r="F683" s="56"/>
      <c r="G683" s="56"/>
      <c r="H683" s="56"/>
      <c r="I683" s="56"/>
      <c r="J683" s="56"/>
      <c r="K683" s="56"/>
      <c r="L683" s="56"/>
      <c r="M683" s="56"/>
      <c r="N683" s="56"/>
      <c r="O683" s="56"/>
      <c r="P683" s="56"/>
      <c r="Q683" s="56"/>
      <c r="R683" s="56"/>
      <c r="S683" s="56"/>
      <c r="T683" s="56"/>
      <c r="U683" s="56"/>
      <c r="V683" s="56"/>
      <c r="W683" s="56"/>
    </row>
    <row r="684">
      <c r="A684" s="121"/>
      <c r="B684" s="56"/>
      <c r="C684" s="118"/>
      <c r="D684" s="118"/>
      <c r="E684" s="118"/>
      <c r="F684" s="56"/>
      <c r="G684" s="56"/>
      <c r="H684" s="56"/>
      <c r="I684" s="56"/>
      <c r="J684" s="56"/>
      <c r="K684" s="56"/>
      <c r="L684" s="56"/>
      <c r="M684" s="56"/>
      <c r="N684" s="56"/>
      <c r="O684" s="56"/>
      <c r="P684" s="56"/>
      <c r="Q684" s="56"/>
      <c r="R684" s="56"/>
      <c r="S684" s="56"/>
      <c r="T684" s="56"/>
      <c r="U684" s="56"/>
      <c r="V684" s="56"/>
      <c r="W684" s="56"/>
    </row>
    <row r="685">
      <c r="A685" s="121"/>
      <c r="B685" s="56"/>
      <c r="C685" s="118"/>
      <c r="D685" s="118"/>
      <c r="E685" s="118"/>
      <c r="F685" s="56"/>
      <c r="G685" s="56"/>
      <c r="H685" s="56"/>
      <c r="I685" s="56"/>
      <c r="J685" s="56"/>
      <c r="K685" s="56"/>
      <c r="L685" s="56"/>
      <c r="M685" s="56"/>
      <c r="N685" s="56"/>
      <c r="O685" s="56"/>
      <c r="P685" s="56"/>
      <c r="Q685" s="56"/>
      <c r="R685" s="56"/>
      <c r="S685" s="56"/>
      <c r="T685" s="56"/>
      <c r="U685" s="56"/>
      <c r="V685" s="56"/>
      <c r="W685" s="56"/>
    </row>
    <row r="686">
      <c r="A686" s="121"/>
      <c r="B686" s="56"/>
      <c r="C686" s="118"/>
      <c r="D686" s="118"/>
      <c r="E686" s="118"/>
      <c r="F686" s="56"/>
      <c r="G686" s="56"/>
      <c r="H686" s="56"/>
      <c r="I686" s="56"/>
      <c r="J686" s="56"/>
      <c r="K686" s="56"/>
      <c r="L686" s="56"/>
      <c r="M686" s="56"/>
      <c r="N686" s="56"/>
      <c r="O686" s="56"/>
      <c r="P686" s="56"/>
      <c r="Q686" s="56"/>
      <c r="R686" s="56"/>
      <c r="S686" s="56"/>
      <c r="T686" s="56"/>
      <c r="U686" s="56"/>
      <c r="V686" s="56"/>
      <c r="W686" s="56"/>
    </row>
    <row r="687">
      <c r="A687" s="121"/>
      <c r="B687" s="56"/>
      <c r="C687" s="118"/>
      <c r="D687" s="118"/>
      <c r="E687" s="118"/>
      <c r="F687" s="56"/>
      <c r="G687" s="56"/>
      <c r="H687" s="56"/>
      <c r="I687" s="56"/>
      <c r="J687" s="56"/>
      <c r="K687" s="56"/>
      <c r="L687" s="56"/>
      <c r="M687" s="56"/>
      <c r="N687" s="56"/>
      <c r="O687" s="56"/>
      <c r="P687" s="56"/>
      <c r="Q687" s="56"/>
      <c r="R687" s="56"/>
      <c r="S687" s="56"/>
      <c r="T687" s="56"/>
      <c r="U687" s="56"/>
      <c r="V687" s="56"/>
      <c r="W687" s="56"/>
    </row>
    <row r="688">
      <c r="A688" s="121"/>
      <c r="B688" s="56"/>
      <c r="C688" s="118"/>
      <c r="D688" s="118"/>
      <c r="E688" s="118"/>
      <c r="F688" s="56"/>
      <c r="G688" s="56"/>
      <c r="H688" s="56"/>
      <c r="I688" s="56"/>
      <c r="J688" s="56"/>
      <c r="K688" s="56"/>
      <c r="L688" s="56"/>
      <c r="M688" s="56"/>
      <c r="N688" s="56"/>
      <c r="O688" s="56"/>
      <c r="P688" s="56"/>
      <c r="Q688" s="56"/>
      <c r="R688" s="56"/>
      <c r="S688" s="56"/>
      <c r="T688" s="56"/>
      <c r="U688" s="56"/>
      <c r="V688" s="56"/>
      <c r="W688" s="56"/>
    </row>
    <row r="689">
      <c r="A689" s="121"/>
      <c r="B689" s="56"/>
      <c r="C689" s="118"/>
      <c r="D689" s="118"/>
      <c r="E689" s="118"/>
      <c r="F689" s="56"/>
      <c r="G689" s="56"/>
      <c r="H689" s="56"/>
      <c r="I689" s="56"/>
      <c r="J689" s="56"/>
      <c r="K689" s="56"/>
      <c r="L689" s="56"/>
      <c r="M689" s="56"/>
      <c r="N689" s="56"/>
      <c r="O689" s="56"/>
      <c r="P689" s="56"/>
      <c r="Q689" s="56"/>
      <c r="R689" s="56"/>
      <c r="S689" s="56"/>
      <c r="T689" s="56"/>
      <c r="U689" s="56"/>
      <c r="V689" s="56"/>
      <c r="W689" s="56"/>
    </row>
    <row r="690">
      <c r="A690" s="121"/>
      <c r="B690" s="56"/>
      <c r="C690" s="118"/>
      <c r="D690" s="118"/>
      <c r="E690" s="118"/>
      <c r="F690" s="56"/>
      <c r="G690" s="56"/>
      <c r="H690" s="56"/>
      <c r="I690" s="56"/>
      <c r="J690" s="56"/>
      <c r="K690" s="56"/>
      <c r="L690" s="56"/>
      <c r="M690" s="56"/>
      <c r="N690" s="56"/>
      <c r="O690" s="56"/>
      <c r="P690" s="56"/>
      <c r="Q690" s="56"/>
      <c r="R690" s="56"/>
      <c r="S690" s="56"/>
      <c r="T690" s="56"/>
      <c r="U690" s="56"/>
      <c r="V690" s="56"/>
      <c r="W690" s="56"/>
    </row>
    <row r="691">
      <c r="A691" s="121"/>
      <c r="B691" s="56"/>
      <c r="C691" s="118"/>
      <c r="D691" s="118"/>
      <c r="E691" s="118"/>
      <c r="F691" s="56"/>
      <c r="G691" s="56"/>
      <c r="H691" s="56"/>
      <c r="I691" s="56"/>
      <c r="J691" s="56"/>
      <c r="K691" s="56"/>
      <c r="L691" s="56"/>
      <c r="M691" s="56"/>
      <c r="N691" s="56"/>
      <c r="O691" s="56"/>
      <c r="P691" s="56"/>
      <c r="Q691" s="56"/>
      <c r="R691" s="56"/>
      <c r="S691" s="56"/>
      <c r="T691" s="56"/>
      <c r="U691" s="56"/>
      <c r="V691" s="56"/>
      <c r="W691" s="56"/>
    </row>
    <row r="692">
      <c r="A692" s="121"/>
      <c r="B692" s="56"/>
      <c r="C692" s="118"/>
      <c r="D692" s="118"/>
      <c r="E692" s="118"/>
      <c r="F692" s="56"/>
      <c r="G692" s="56"/>
      <c r="H692" s="56"/>
      <c r="I692" s="56"/>
      <c r="J692" s="56"/>
      <c r="K692" s="56"/>
      <c r="L692" s="56"/>
      <c r="M692" s="56"/>
      <c r="N692" s="56"/>
      <c r="O692" s="56"/>
      <c r="P692" s="56"/>
      <c r="Q692" s="56"/>
      <c r="R692" s="56"/>
      <c r="S692" s="56"/>
      <c r="T692" s="56"/>
      <c r="U692" s="56"/>
      <c r="V692" s="56"/>
      <c r="W692" s="56"/>
    </row>
    <row r="693">
      <c r="A693" s="121"/>
      <c r="B693" s="56"/>
      <c r="C693" s="118"/>
      <c r="D693" s="118"/>
      <c r="E693" s="118"/>
      <c r="F693" s="56"/>
      <c r="G693" s="56"/>
      <c r="H693" s="56"/>
      <c r="I693" s="56"/>
      <c r="J693" s="56"/>
      <c r="K693" s="56"/>
      <c r="L693" s="56"/>
      <c r="M693" s="56"/>
      <c r="N693" s="56"/>
      <c r="O693" s="56"/>
      <c r="P693" s="56"/>
      <c r="Q693" s="56"/>
      <c r="R693" s="56"/>
      <c r="S693" s="56"/>
      <c r="T693" s="56"/>
      <c r="U693" s="56"/>
      <c r="V693" s="56"/>
      <c r="W693" s="56"/>
    </row>
    <row r="694">
      <c r="A694" s="121"/>
      <c r="B694" s="56"/>
      <c r="C694" s="118"/>
      <c r="D694" s="118"/>
      <c r="E694" s="118"/>
      <c r="F694" s="56"/>
      <c r="G694" s="56"/>
      <c r="H694" s="56"/>
      <c r="I694" s="56"/>
      <c r="J694" s="56"/>
      <c r="K694" s="56"/>
      <c r="L694" s="56"/>
      <c r="M694" s="56"/>
      <c r="N694" s="56"/>
      <c r="O694" s="56"/>
      <c r="P694" s="56"/>
      <c r="Q694" s="56"/>
      <c r="R694" s="56"/>
      <c r="S694" s="56"/>
      <c r="T694" s="56"/>
      <c r="U694" s="56"/>
      <c r="V694" s="56"/>
      <c r="W694" s="56"/>
    </row>
    <row r="695">
      <c r="A695" s="121"/>
      <c r="B695" s="56"/>
      <c r="C695" s="118"/>
      <c r="D695" s="118"/>
      <c r="E695" s="118"/>
      <c r="F695" s="56"/>
      <c r="G695" s="56"/>
      <c r="H695" s="56"/>
      <c r="I695" s="56"/>
      <c r="J695" s="56"/>
      <c r="K695" s="56"/>
      <c r="L695" s="56"/>
      <c r="M695" s="56"/>
      <c r="N695" s="56"/>
      <c r="O695" s="56"/>
      <c r="P695" s="56"/>
      <c r="Q695" s="56"/>
      <c r="R695" s="56"/>
      <c r="S695" s="56"/>
      <c r="T695" s="56"/>
      <c r="U695" s="56"/>
      <c r="V695" s="56"/>
      <c r="W695" s="56"/>
    </row>
    <row r="696">
      <c r="A696" s="121"/>
      <c r="B696" s="56"/>
      <c r="C696" s="118"/>
      <c r="D696" s="118"/>
      <c r="E696" s="118"/>
      <c r="F696" s="56"/>
      <c r="G696" s="56"/>
      <c r="H696" s="56"/>
      <c r="I696" s="56"/>
      <c r="J696" s="56"/>
      <c r="K696" s="56"/>
      <c r="L696" s="56"/>
      <c r="M696" s="56"/>
      <c r="N696" s="56"/>
      <c r="O696" s="56"/>
      <c r="P696" s="56"/>
      <c r="Q696" s="56"/>
      <c r="R696" s="56"/>
      <c r="S696" s="56"/>
      <c r="T696" s="56"/>
      <c r="U696" s="56"/>
      <c r="V696" s="56"/>
      <c r="W696" s="56"/>
    </row>
    <row r="697">
      <c r="A697" s="121"/>
      <c r="B697" s="56"/>
      <c r="C697" s="118"/>
      <c r="D697" s="118"/>
      <c r="E697" s="118"/>
      <c r="F697" s="56"/>
      <c r="G697" s="56"/>
      <c r="H697" s="56"/>
      <c r="I697" s="56"/>
      <c r="J697" s="56"/>
      <c r="K697" s="56"/>
      <c r="L697" s="56"/>
      <c r="M697" s="56"/>
      <c r="N697" s="56"/>
      <c r="O697" s="56"/>
      <c r="P697" s="56"/>
      <c r="Q697" s="56"/>
      <c r="R697" s="56"/>
      <c r="S697" s="56"/>
      <c r="T697" s="56"/>
      <c r="U697" s="56"/>
      <c r="V697" s="56"/>
      <c r="W697" s="56"/>
    </row>
    <row r="698">
      <c r="A698" s="121"/>
      <c r="B698" s="56"/>
      <c r="C698" s="118"/>
      <c r="D698" s="118"/>
      <c r="E698" s="118"/>
      <c r="F698" s="56"/>
      <c r="G698" s="56"/>
      <c r="H698" s="56"/>
      <c r="I698" s="56"/>
      <c r="J698" s="56"/>
      <c r="K698" s="56"/>
      <c r="L698" s="56"/>
      <c r="M698" s="56"/>
      <c r="N698" s="56"/>
      <c r="O698" s="56"/>
      <c r="P698" s="56"/>
      <c r="Q698" s="56"/>
      <c r="R698" s="56"/>
      <c r="S698" s="56"/>
      <c r="T698" s="56"/>
      <c r="U698" s="56"/>
      <c r="V698" s="56"/>
      <c r="W698" s="56"/>
    </row>
    <row r="699">
      <c r="A699" s="121"/>
      <c r="B699" s="56"/>
      <c r="C699" s="118"/>
      <c r="D699" s="118"/>
      <c r="E699" s="118"/>
      <c r="F699" s="56"/>
      <c r="G699" s="56"/>
      <c r="H699" s="56"/>
      <c r="I699" s="56"/>
      <c r="J699" s="56"/>
      <c r="K699" s="56"/>
      <c r="L699" s="56"/>
      <c r="M699" s="56"/>
      <c r="N699" s="56"/>
      <c r="O699" s="56"/>
      <c r="P699" s="56"/>
      <c r="Q699" s="56"/>
      <c r="R699" s="56"/>
      <c r="S699" s="56"/>
      <c r="T699" s="56"/>
      <c r="U699" s="56"/>
      <c r="V699" s="56"/>
      <c r="W699" s="56"/>
    </row>
    <row r="700">
      <c r="A700" s="121"/>
      <c r="B700" s="56"/>
      <c r="C700" s="118"/>
      <c r="D700" s="118"/>
      <c r="E700" s="118"/>
      <c r="F700" s="56"/>
      <c r="G700" s="56"/>
      <c r="H700" s="56"/>
      <c r="I700" s="56"/>
      <c r="J700" s="56"/>
      <c r="K700" s="56"/>
      <c r="L700" s="56"/>
      <c r="M700" s="56"/>
      <c r="N700" s="56"/>
      <c r="O700" s="56"/>
      <c r="P700" s="56"/>
      <c r="Q700" s="56"/>
      <c r="R700" s="56"/>
      <c r="S700" s="56"/>
      <c r="T700" s="56"/>
      <c r="U700" s="56"/>
      <c r="V700" s="56"/>
      <c r="W700" s="56"/>
    </row>
    <row r="701">
      <c r="A701" s="121"/>
      <c r="B701" s="56"/>
      <c r="C701" s="118"/>
      <c r="D701" s="118"/>
      <c r="E701" s="118"/>
      <c r="F701" s="56"/>
      <c r="G701" s="56"/>
      <c r="H701" s="56"/>
      <c r="I701" s="56"/>
      <c r="J701" s="56"/>
      <c r="K701" s="56"/>
      <c r="L701" s="56"/>
      <c r="M701" s="56"/>
      <c r="N701" s="56"/>
      <c r="O701" s="56"/>
      <c r="P701" s="56"/>
      <c r="Q701" s="56"/>
      <c r="R701" s="56"/>
      <c r="S701" s="56"/>
      <c r="T701" s="56"/>
      <c r="U701" s="56"/>
      <c r="V701" s="56"/>
      <c r="W701" s="56"/>
    </row>
    <row r="702">
      <c r="A702" s="121"/>
      <c r="B702" s="56"/>
      <c r="C702" s="118"/>
      <c r="D702" s="118"/>
      <c r="E702" s="118"/>
      <c r="F702" s="56"/>
      <c r="G702" s="56"/>
      <c r="H702" s="56"/>
      <c r="I702" s="56"/>
      <c r="J702" s="56"/>
      <c r="K702" s="56"/>
      <c r="L702" s="56"/>
      <c r="M702" s="56"/>
      <c r="N702" s="56"/>
      <c r="O702" s="56"/>
      <c r="P702" s="56"/>
      <c r="Q702" s="56"/>
      <c r="R702" s="56"/>
      <c r="S702" s="56"/>
      <c r="T702" s="56"/>
      <c r="U702" s="56"/>
      <c r="V702" s="56"/>
      <c r="W702" s="56"/>
    </row>
    <row r="703">
      <c r="A703" s="121"/>
      <c r="B703" s="56"/>
      <c r="C703" s="118"/>
      <c r="D703" s="118"/>
      <c r="E703" s="118"/>
      <c r="F703" s="56"/>
      <c r="G703" s="56"/>
      <c r="H703" s="56"/>
      <c r="I703" s="56"/>
      <c r="J703" s="56"/>
      <c r="K703" s="56"/>
      <c r="L703" s="56"/>
      <c r="M703" s="56"/>
      <c r="N703" s="56"/>
      <c r="O703" s="56"/>
      <c r="P703" s="56"/>
      <c r="Q703" s="56"/>
      <c r="R703" s="56"/>
      <c r="S703" s="56"/>
      <c r="T703" s="56"/>
      <c r="U703" s="56"/>
      <c r="V703" s="56"/>
      <c r="W703" s="56"/>
    </row>
    <row r="704">
      <c r="A704" s="121"/>
      <c r="B704" s="56"/>
      <c r="C704" s="118"/>
      <c r="D704" s="118"/>
      <c r="E704" s="118"/>
      <c r="F704" s="56"/>
      <c r="G704" s="56"/>
      <c r="H704" s="56"/>
      <c r="I704" s="56"/>
      <c r="J704" s="56"/>
      <c r="K704" s="56"/>
      <c r="L704" s="56"/>
      <c r="M704" s="56"/>
      <c r="N704" s="56"/>
      <c r="O704" s="56"/>
      <c r="P704" s="56"/>
      <c r="Q704" s="56"/>
      <c r="R704" s="56"/>
      <c r="S704" s="56"/>
      <c r="T704" s="56"/>
      <c r="U704" s="56"/>
      <c r="V704" s="56"/>
      <c r="W704" s="56"/>
    </row>
    <row r="705">
      <c r="A705" s="121"/>
      <c r="B705" s="56"/>
      <c r="C705" s="118"/>
      <c r="D705" s="118"/>
      <c r="E705" s="118"/>
      <c r="F705" s="56"/>
      <c r="G705" s="56"/>
      <c r="H705" s="56"/>
      <c r="I705" s="56"/>
      <c r="J705" s="56"/>
      <c r="K705" s="56"/>
      <c r="L705" s="56"/>
      <c r="M705" s="56"/>
      <c r="N705" s="56"/>
      <c r="O705" s="56"/>
      <c r="P705" s="56"/>
      <c r="Q705" s="56"/>
      <c r="R705" s="56"/>
      <c r="S705" s="56"/>
      <c r="T705" s="56"/>
      <c r="U705" s="56"/>
      <c r="V705" s="56"/>
      <c r="W705" s="56"/>
    </row>
    <row r="706">
      <c r="A706" s="121"/>
      <c r="B706" s="56"/>
      <c r="C706" s="118"/>
      <c r="D706" s="118"/>
      <c r="E706" s="118"/>
      <c r="F706" s="56"/>
      <c r="G706" s="56"/>
      <c r="H706" s="56"/>
      <c r="I706" s="56"/>
      <c r="J706" s="56"/>
      <c r="K706" s="56"/>
      <c r="L706" s="56"/>
      <c r="M706" s="56"/>
      <c r="N706" s="56"/>
      <c r="O706" s="56"/>
      <c r="P706" s="56"/>
      <c r="Q706" s="56"/>
      <c r="R706" s="56"/>
      <c r="S706" s="56"/>
      <c r="T706" s="56"/>
      <c r="U706" s="56"/>
      <c r="V706" s="56"/>
      <c r="W706" s="56"/>
    </row>
    <row r="707">
      <c r="A707" s="121"/>
      <c r="B707" s="56"/>
      <c r="C707" s="118"/>
      <c r="D707" s="118"/>
      <c r="E707" s="118"/>
      <c r="F707" s="56"/>
      <c r="G707" s="56"/>
      <c r="H707" s="56"/>
      <c r="I707" s="56"/>
      <c r="J707" s="56"/>
      <c r="K707" s="56"/>
      <c r="L707" s="56"/>
      <c r="M707" s="56"/>
      <c r="N707" s="56"/>
      <c r="O707" s="56"/>
      <c r="P707" s="56"/>
      <c r="Q707" s="56"/>
      <c r="R707" s="56"/>
      <c r="S707" s="56"/>
      <c r="T707" s="56"/>
      <c r="U707" s="56"/>
      <c r="V707" s="56"/>
      <c r="W707" s="56"/>
    </row>
    <row r="708">
      <c r="A708" s="121"/>
      <c r="B708" s="56"/>
      <c r="C708" s="118"/>
      <c r="D708" s="118"/>
      <c r="E708" s="118"/>
      <c r="F708" s="56"/>
      <c r="G708" s="56"/>
      <c r="H708" s="56"/>
      <c r="I708" s="56"/>
      <c r="J708" s="56"/>
      <c r="K708" s="56"/>
      <c r="L708" s="56"/>
      <c r="M708" s="56"/>
      <c r="N708" s="56"/>
      <c r="O708" s="56"/>
      <c r="P708" s="56"/>
      <c r="Q708" s="56"/>
      <c r="R708" s="56"/>
      <c r="S708" s="56"/>
      <c r="T708" s="56"/>
      <c r="U708" s="56"/>
      <c r="V708" s="56"/>
      <c r="W708" s="56"/>
    </row>
    <row r="709">
      <c r="A709" s="121"/>
      <c r="B709" s="56"/>
      <c r="C709" s="118"/>
      <c r="D709" s="118"/>
      <c r="E709" s="118"/>
      <c r="F709" s="56"/>
      <c r="G709" s="56"/>
      <c r="H709" s="56"/>
      <c r="I709" s="56"/>
      <c r="J709" s="56"/>
      <c r="K709" s="56"/>
      <c r="L709" s="56"/>
      <c r="M709" s="56"/>
      <c r="N709" s="56"/>
      <c r="O709" s="56"/>
      <c r="P709" s="56"/>
      <c r="Q709" s="56"/>
      <c r="R709" s="56"/>
      <c r="S709" s="56"/>
      <c r="T709" s="56"/>
      <c r="U709" s="56"/>
      <c r="V709" s="56"/>
      <c r="W709" s="56"/>
    </row>
    <row r="710">
      <c r="A710" s="121"/>
      <c r="B710" s="56"/>
      <c r="C710" s="118"/>
      <c r="D710" s="118"/>
      <c r="E710" s="118"/>
      <c r="F710" s="56"/>
      <c r="G710" s="56"/>
      <c r="H710" s="56"/>
      <c r="I710" s="56"/>
      <c r="J710" s="56"/>
      <c r="K710" s="56"/>
      <c r="L710" s="56"/>
      <c r="M710" s="56"/>
      <c r="N710" s="56"/>
      <c r="O710" s="56"/>
      <c r="P710" s="56"/>
      <c r="Q710" s="56"/>
      <c r="R710" s="56"/>
      <c r="S710" s="56"/>
      <c r="T710" s="56"/>
      <c r="U710" s="56"/>
      <c r="V710" s="56"/>
      <c r="W710" s="56"/>
    </row>
    <row r="711">
      <c r="A711" s="121"/>
      <c r="B711" s="56"/>
      <c r="C711" s="118"/>
      <c r="D711" s="118"/>
      <c r="E711" s="118"/>
      <c r="F711" s="56"/>
      <c r="G711" s="56"/>
      <c r="H711" s="56"/>
      <c r="I711" s="56"/>
      <c r="J711" s="56"/>
      <c r="K711" s="56"/>
      <c r="L711" s="56"/>
      <c r="M711" s="56"/>
      <c r="N711" s="56"/>
      <c r="O711" s="56"/>
      <c r="P711" s="56"/>
      <c r="Q711" s="56"/>
      <c r="R711" s="56"/>
      <c r="S711" s="56"/>
      <c r="T711" s="56"/>
      <c r="U711" s="56"/>
      <c r="V711" s="56"/>
      <c r="W711" s="56"/>
    </row>
    <row r="712">
      <c r="A712" s="121"/>
      <c r="B712" s="56"/>
      <c r="C712" s="118"/>
      <c r="D712" s="118"/>
      <c r="E712" s="118"/>
      <c r="F712" s="56"/>
      <c r="G712" s="56"/>
      <c r="H712" s="56"/>
      <c r="I712" s="56"/>
      <c r="J712" s="56"/>
      <c r="K712" s="56"/>
      <c r="L712" s="56"/>
      <c r="M712" s="56"/>
      <c r="N712" s="56"/>
      <c r="O712" s="56"/>
      <c r="P712" s="56"/>
      <c r="Q712" s="56"/>
      <c r="R712" s="56"/>
      <c r="S712" s="56"/>
      <c r="T712" s="56"/>
      <c r="U712" s="56"/>
      <c r="V712" s="56"/>
      <c r="W712" s="56"/>
    </row>
    <row r="713">
      <c r="A713" s="121"/>
      <c r="B713" s="56"/>
      <c r="C713" s="118"/>
      <c r="D713" s="118"/>
      <c r="E713" s="118"/>
      <c r="F713" s="56"/>
      <c r="G713" s="56"/>
      <c r="H713" s="56"/>
      <c r="I713" s="56"/>
      <c r="J713" s="56"/>
      <c r="K713" s="56"/>
      <c r="L713" s="56"/>
      <c r="M713" s="56"/>
      <c r="N713" s="56"/>
      <c r="O713" s="56"/>
      <c r="P713" s="56"/>
      <c r="Q713" s="56"/>
      <c r="R713" s="56"/>
      <c r="S713" s="56"/>
      <c r="T713" s="56"/>
      <c r="U713" s="56"/>
      <c r="V713" s="56"/>
      <c r="W713" s="56"/>
    </row>
    <row r="714">
      <c r="A714" s="121"/>
      <c r="B714" s="56"/>
      <c r="C714" s="118"/>
      <c r="D714" s="118"/>
      <c r="E714" s="118"/>
      <c r="F714" s="56"/>
      <c r="G714" s="56"/>
      <c r="H714" s="56"/>
      <c r="I714" s="56"/>
      <c r="J714" s="56"/>
      <c r="K714" s="56"/>
      <c r="L714" s="56"/>
      <c r="M714" s="56"/>
      <c r="N714" s="56"/>
      <c r="O714" s="56"/>
      <c r="P714" s="56"/>
      <c r="Q714" s="56"/>
      <c r="R714" s="56"/>
      <c r="S714" s="56"/>
      <c r="T714" s="56"/>
      <c r="U714" s="56"/>
      <c r="V714" s="56"/>
      <c r="W714" s="56"/>
    </row>
    <row r="715">
      <c r="A715" s="121"/>
      <c r="B715" s="56"/>
      <c r="C715" s="118"/>
      <c r="D715" s="118"/>
      <c r="E715" s="118"/>
      <c r="F715" s="56"/>
      <c r="G715" s="56"/>
      <c r="H715" s="56"/>
      <c r="I715" s="56"/>
      <c r="J715" s="56"/>
      <c r="K715" s="56"/>
      <c r="L715" s="56"/>
      <c r="M715" s="56"/>
      <c r="N715" s="56"/>
      <c r="O715" s="56"/>
      <c r="P715" s="56"/>
      <c r="Q715" s="56"/>
      <c r="R715" s="56"/>
      <c r="S715" s="56"/>
      <c r="T715" s="56"/>
      <c r="U715" s="56"/>
      <c r="V715" s="56"/>
      <c r="W715" s="56"/>
    </row>
    <row r="716">
      <c r="A716" s="121"/>
      <c r="B716" s="56"/>
      <c r="C716" s="118"/>
      <c r="D716" s="118"/>
      <c r="E716" s="118"/>
      <c r="F716" s="56"/>
      <c r="G716" s="56"/>
      <c r="H716" s="56"/>
      <c r="I716" s="56"/>
      <c r="J716" s="56"/>
      <c r="K716" s="56"/>
      <c r="L716" s="56"/>
      <c r="M716" s="56"/>
      <c r="N716" s="56"/>
      <c r="O716" s="56"/>
      <c r="P716" s="56"/>
      <c r="Q716" s="56"/>
      <c r="R716" s="56"/>
      <c r="S716" s="56"/>
      <c r="T716" s="56"/>
      <c r="U716" s="56"/>
      <c r="V716" s="56"/>
      <c r="W716" s="56"/>
    </row>
    <row r="717">
      <c r="A717" s="121"/>
      <c r="B717" s="56"/>
      <c r="C717" s="118"/>
      <c r="D717" s="118"/>
      <c r="E717" s="118"/>
      <c r="F717" s="56"/>
      <c r="G717" s="56"/>
      <c r="H717" s="56"/>
      <c r="I717" s="56"/>
      <c r="J717" s="56"/>
      <c r="K717" s="56"/>
      <c r="L717" s="56"/>
      <c r="M717" s="56"/>
      <c r="N717" s="56"/>
      <c r="O717" s="56"/>
      <c r="P717" s="56"/>
      <c r="Q717" s="56"/>
      <c r="R717" s="56"/>
      <c r="S717" s="56"/>
      <c r="T717" s="56"/>
      <c r="U717" s="56"/>
      <c r="V717" s="56"/>
      <c r="W717" s="56"/>
    </row>
    <row r="718">
      <c r="A718" s="121"/>
      <c r="B718" s="56"/>
      <c r="C718" s="118"/>
      <c r="D718" s="118"/>
      <c r="E718" s="118"/>
      <c r="F718" s="56"/>
      <c r="G718" s="56"/>
      <c r="H718" s="56"/>
      <c r="I718" s="56"/>
      <c r="J718" s="56"/>
      <c r="K718" s="56"/>
      <c r="L718" s="56"/>
      <c r="M718" s="56"/>
      <c r="N718" s="56"/>
      <c r="O718" s="56"/>
      <c r="P718" s="56"/>
      <c r="Q718" s="56"/>
      <c r="R718" s="56"/>
      <c r="S718" s="56"/>
      <c r="T718" s="56"/>
      <c r="U718" s="56"/>
      <c r="V718" s="56"/>
      <c r="W718" s="56"/>
    </row>
    <row r="719">
      <c r="A719" s="121"/>
      <c r="B719" s="56"/>
      <c r="C719" s="118"/>
      <c r="D719" s="118"/>
      <c r="E719" s="118"/>
      <c r="F719" s="56"/>
      <c r="G719" s="56"/>
      <c r="H719" s="56"/>
      <c r="I719" s="56"/>
      <c r="J719" s="56"/>
      <c r="K719" s="56"/>
      <c r="L719" s="56"/>
      <c r="M719" s="56"/>
      <c r="N719" s="56"/>
      <c r="O719" s="56"/>
      <c r="P719" s="56"/>
      <c r="Q719" s="56"/>
      <c r="R719" s="56"/>
      <c r="S719" s="56"/>
      <c r="T719" s="56"/>
      <c r="U719" s="56"/>
      <c r="V719" s="56"/>
      <c r="W719" s="56"/>
    </row>
    <row r="720">
      <c r="A720" s="121"/>
      <c r="B720" s="56"/>
      <c r="C720" s="118"/>
      <c r="D720" s="118"/>
      <c r="E720" s="118"/>
      <c r="F720" s="56"/>
      <c r="G720" s="56"/>
      <c r="H720" s="56"/>
      <c r="I720" s="56"/>
      <c r="J720" s="56"/>
      <c r="K720" s="56"/>
      <c r="L720" s="56"/>
      <c r="M720" s="56"/>
      <c r="N720" s="56"/>
      <c r="O720" s="56"/>
      <c r="P720" s="56"/>
      <c r="Q720" s="56"/>
      <c r="R720" s="56"/>
      <c r="S720" s="56"/>
      <c r="T720" s="56"/>
      <c r="U720" s="56"/>
      <c r="V720" s="56"/>
      <c r="W720" s="56"/>
    </row>
    <row r="721">
      <c r="A721" s="121"/>
      <c r="B721" s="56"/>
      <c r="C721" s="118"/>
      <c r="D721" s="118"/>
      <c r="E721" s="118"/>
      <c r="F721" s="56"/>
      <c r="G721" s="56"/>
      <c r="H721" s="56"/>
      <c r="I721" s="56"/>
      <c r="J721" s="56"/>
      <c r="K721" s="56"/>
      <c r="L721" s="56"/>
      <c r="M721" s="56"/>
      <c r="N721" s="56"/>
      <c r="O721" s="56"/>
      <c r="P721" s="56"/>
      <c r="Q721" s="56"/>
      <c r="R721" s="56"/>
      <c r="S721" s="56"/>
      <c r="T721" s="56"/>
      <c r="U721" s="56"/>
      <c r="V721" s="56"/>
      <c r="W721" s="56"/>
    </row>
    <row r="722">
      <c r="A722" s="121"/>
      <c r="B722" s="56"/>
      <c r="C722" s="118"/>
      <c r="D722" s="118"/>
      <c r="E722" s="118"/>
      <c r="F722" s="56"/>
      <c r="G722" s="56"/>
      <c r="H722" s="56"/>
      <c r="I722" s="56"/>
      <c r="J722" s="56"/>
      <c r="K722" s="56"/>
      <c r="L722" s="56"/>
      <c r="M722" s="56"/>
      <c r="N722" s="56"/>
      <c r="O722" s="56"/>
      <c r="P722" s="56"/>
      <c r="Q722" s="56"/>
      <c r="R722" s="56"/>
      <c r="S722" s="56"/>
      <c r="T722" s="56"/>
      <c r="U722" s="56"/>
      <c r="V722" s="56"/>
      <c r="W722" s="56"/>
    </row>
    <row r="723">
      <c r="A723" s="121"/>
      <c r="B723" s="56"/>
      <c r="C723" s="118"/>
      <c r="D723" s="118"/>
      <c r="E723" s="118"/>
      <c r="F723" s="56"/>
      <c r="G723" s="56"/>
      <c r="H723" s="56"/>
      <c r="I723" s="56"/>
      <c r="J723" s="56"/>
      <c r="K723" s="56"/>
      <c r="L723" s="56"/>
      <c r="M723" s="56"/>
      <c r="N723" s="56"/>
      <c r="O723" s="56"/>
      <c r="P723" s="56"/>
      <c r="Q723" s="56"/>
      <c r="R723" s="56"/>
      <c r="S723" s="56"/>
      <c r="T723" s="56"/>
      <c r="U723" s="56"/>
      <c r="V723" s="56"/>
      <c r="W723" s="56"/>
    </row>
    <row r="724">
      <c r="A724" s="121"/>
      <c r="B724" s="56"/>
      <c r="C724" s="118"/>
      <c r="D724" s="118"/>
      <c r="E724" s="118"/>
      <c r="F724" s="56"/>
      <c r="G724" s="56"/>
      <c r="H724" s="56"/>
      <c r="I724" s="56"/>
      <c r="J724" s="56"/>
      <c r="K724" s="56"/>
      <c r="L724" s="56"/>
      <c r="M724" s="56"/>
      <c r="N724" s="56"/>
      <c r="O724" s="56"/>
      <c r="P724" s="56"/>
      <c r="Q724" s="56"/>
      <c r="R724" s="56"/>
      <c r="S724" s="56"/>
      <c r="T724" s="56"/>
      <c r="U724" s="56"/>
      <c r="V724" s="56"/>
      <c r="W724" s="56"/>
    </row>
    <row r="725">
      <c r="A725" s="121"/>
      <c r="B725" s="56"/>
      <c r="C725" s="118"/>
      <c r="D725" s="118"/>
      <c r="E725" s="118"/>
      <c r="F725" s="56"/>
      <c r="G725" s="56"/>
      <c r="H725" s="56"/>
      <c r="I725" s="56"/>
      <c r="J725" s="56"/>
      <c r="K725" s="56"/>
      <c r="L725" s="56"/>
      <c r="M725" s="56"/>
      <c r="N725" s="56"/>
      <c r="O725" s="56"/>
      <c r="P725" s="56"/>
      <c r="Q725" s="56"/>
      <c r="R725" s="56"/>
      <c r="S725" s="56"/>
      <c r="T725" s="56"/>
      <c r="U725" s="56"/>
      <c r="V725" s="56"/>
      <c r="W725" s="56"/>
    </row>
    <row r="726">
      <c r="A726" s="121"/>
      <c r="B726" s="56"/>
      <c r="C726" s="118"/>
      <c r="D726" s="118"/>
      <c r="E726" s="118"/>
      <c r="F726" s="56"/>
      <c r="G726" s="56"/>
      <c r="H726" s="56"/>
      <c r="I726" s="56"/>
      <c r="J726" s="56"/>
      <c r="K726" s="56"/>
      <c r="L726" s="56"/>
      <c r="M726" s="56"/>
      <c r="N726" s="56"/>
      <c r="O726" s="56"/>
      <c r="P726" s="56"/>
      <c r="Q726" s="56"/>
      <c r="R726" s="56"/>
      <c r="S726" s="56"/>
      <c r="T726" s="56"/>
      <c r="U726" s="56"/>
      <c r="V726" s="56"/>
      <c r="W726" s="56"/>
    </row>
    <row r="727">
      <c r="A727" s="121"/>
      <c r="B727" s="56"/>
      <c r="C727" s="118"/>
      <c r="D727" s="118"/>
      <c r="E727" s="118"/>
      <c r="F727" s="56"/>
      <c r="G727" s="56"/>
      <c r="H727" s="56"/>
      <c r="I727" s="56"/>
      <c r="J727" s="56"/>
      <c r="K727" s="56"/>
      <c r="L727" s="56"/>
      <c r="M727" s="56"/>
      <c r="N727" s="56"/>
      <c r="O727" s="56"/>
      <c r="P727" s="56"/>
      <c r="Q727" s="56"/>
      <c r="R727" s="56"/>
      <c r="S727" s="56"/>
      <c r="T727" s="56"/>
      <c r="U727" s="56"/>
      <c r="V727" s="56"/>
      <c r="W727" s="56"/>
    </row>
    <row r="728">
      <c r="A728" s="121"/>
      <c r="B728" s="56"/>
      <c r="C728" s="118"/>
      <c r="D728" s="118"/>
      <c r="E728" s="118"/>
      <c r="F728" s="56"/>
      <c r="G728" s="56"/>
      <c r="H728" s="56"/>
      <c r="I728" s="56"/>
      <c r="J728" s="56"/>
      <c r="K728" s="56"/>
      <c r="L728" s="56"/>
      <c r="M728" s="56"/>
      <c r="N728" s="56"/>
      <c r="O728" s="56"/>
      <c r="P728" s="56"/>
      <c r="Q728" s="56"/>
      <c r="R728" s="56"/>
      <c r="S728" s="56"/>
      <c r="T728" s="56"/>
      <c r="U728" s="56"/>
      <c r="V728" s="56"/>
      <c r="W728" s="56"/>
    </row>
    <row r="729">
      <c r="A729" s="121"/>
      <c r="B729" s="56"/>
      <c r="C729" s="118"/>
      <c r="D729" s="118"/>
      <c r="E729" s="118"/>
      <c r="F729" s="56"/>
      <c r="G729" s="56"/>
      <c r="H729" s="56"/>
      <c r="I729" s="56"/>
      <c r="J729" s="56"/>
      <c r="K729" s="56"/>
      <c r="L729" s="56"/>
      <c r="M729" s="56"/>
      <c r="N729" s="56"/>
      <c r="O729" s="56"/>
      <c r="P729" s="56"/>
      <c r="Q729" s="56"/>
      <c r="R729" s="56"/>
      <c r="S729" s="56"/>
      <c r="T729" s="56"/>
      <c r="U729" s="56"/>
      <c r="V729" s="56"/>
      <c r="W729" s="56"/>
    </row>
    <row r="730">
      <c r="A730" s="121"/>
      <c r="B730" s="56"/>
      <c r="C730" s="118"/>
      <c r="D730" s="118"/>
      <c r="E730" s="118"/>
      <c r="F730" s="56"/>
      <c r="G730" s="56"/>
      <c r="H730" s="56"/>
      <c r="I730" s="56"/>
      <c r="J730" s="56"/>
      <c r="K730" s="56"/>
      <c r="L730" s="56"/>
      <c r="M730" s="56"/>
      <c r="N730" s="56"/>
      <c r="O730" s="56"/>
      <c r="P730" s="56"/>
      <c r="Q730" s="56"/>
      <c r="R730" s="56"/>
      <c r="S730" s="56"/>
      <c r="T730" s="56"/>
      <c r="U730" s="56"/>
      <c r="V730" s="56"/>
      <c r="W730" s="56"/>
    </row>
    <row r="731">
      <c r="A731" s="121"/>
      <c r="B731" s="56"/>
      <c r="C731" s="118"/>
      <c r="D731" s="118"/>
      <c r="E731" s="118"/>
      <c r="F731" s="56"/>
      <c r="G731" s="56"/>
      <c r="H731" s="56"/>
      <c r="I731" s="56"/>
      <c r="J731" s="56"/>
      <c r="K731" s="56"/>
      <c r="L731" s="56"/>
      <c r="M731" s="56"/>
      <c r="N731" s="56"/>
      <c r="O731" s="56"/>
      <c r="P731" s="56"/>
      <c r="Q731" s="56"/>
      <c r="R731" s="56"/>
      <c r="S731" s="56"/>
      <c r="T731" s="56"/>
      <c r="U731" s="56"/>
      <c r="V731" s="56"/>
      <c r="W731" s="56"/>
    </row>
    <row r="732">
      <c r="A732" s="121"/>
      <c r="B732" s="56"/>
      <c r="C732" s="118"/>
      <c r="D732" s="118"/>
      <c r="E732" s="118"/>
      <c r="F732" s="56"/>
      <c r="G732" s="56"/>
      <c r="H732" s="56"/>
      <c r="I732" s="56"/>
      <c r="J732" s="56"/>
      <c r="K732" s="56"/>
      <c r="L732" s="56"/>
      <c r="M732" s="56"/>
      <c r="N732" s="56"/>
      <c r="O732" s="56"/>
      <c r="P732" s="56"/>
      <c r="Q732" s="56"/>
      <c r="R732" s="56"/>
      <c r="S732" s="56"/>
      <c r="T732" s="56"/>
      <c r="U732" s="56"/>
      <c r="V732" s="56"/>
      <c r="W732" s="56"/>
    </row>
    <row r="733">
      <c r="A733" s="121"/>
      <c r="B733" s="56"/>
      <c r="C733" s="118"/>
      <c r="D733" s="118"/>
      <c r="E733" s="118"/>
      <c r="F733" s="56"/>
      <c r="G733" s="56"/>
      <c r="H733" s="56"/>
      <c r="I733" s="56"/>
      <c r="J733" s="56"/>
      <c r="K733" s="56"/>
      <c r="L733" s="56"/>
      <c r="M733" s="56"/>
      <c r="N733" s="56"/>
      <c r="O733" s="56"/>
      <c r="P733" s="56"/>
      <c r="Q733" s="56"/>
      <c r="R733" s="56"/>
      <c r="S733" s="56"/>
      <c r="T733" s="56"/>
      <c r="U733" s="56"/>
      <c r="V733" s="56"/>
      <c r="W733" s="56"/>
    </row>
    <row r="734">
      <c r="A734" s="121"/>
      <c r="B734" s="56"/>
      <c r="C734" s="118"/>
      <c r="D734" s="118"/>
      <c r="E734" s="118"/>
      <c r="F734" s="56"/>
      <c r="G734" s="56"/>
      <c r="H734" s="56"/>
      <c r="I734" s="56"/>
      <c r="J734" s="56"/>
      <c r="K734" s="56"/>
      <c r="L734" s="56"/>
      <c r="M734" s="56"/>
      <c r="N734" s="56"/>
      <c r="O734" s="56"/>
      <c r="P734" s="56"/>
      <c r="Q734" s="56"/>
      <c r="R734" s="56"/>
      <c r="S734" s="56"/>
      <c r="T734" s="56"/>
      <c r="U734" s="56"/>
      <c r="V734" s="56"/>
      <c r="W734" s="56"/>
    </row>
    <row r="735">
      <c r="A735" s="121"/>
      <c r="B735" s="56"/>
      <c r="C735" s="118"/>
      <c r="D735" s="118"/>
      <c r="E735" s="118"/>
      <c r="F735" s="56"/>
      <c r="G735" s="56"/>
      <c r="H735" s="56"/>
      <c r="I735" s="56"/>
      <c r="J735" s="56"/>
      <c r="K735" s="56"/>
      <c r="L735" s="56"/>
      <c r="M735" s="56"/>
      <c r="N735" s="56"/>
      <c r="O735" s="56"/>
      <c r="P735" s="56"/>
      <c r="Q735" s="56"/>
      <c r="R735" s="56"/>
      <c r="S735" s="56"/>
      <c r="T735" s="56"/>
      <c r="U735" s="56"/>
      <c r="V735" s="56"/>
      <c r="W735" s="56"/>
    </row>
    <row r="736">
      <c r="A736" s="121"/>
      <c r="B736" s="56"/>
      <c r="C736" s="118"/>
      <c r="D736" s="118"/>
      <c r="E736" s="118"/>
      <c r="F736" s="56"/>
      <c r="G736" s="56"/>
      <c r="H736" s="56"/>
      <c r="I736" s="56"/>
      <c r="J736" s="56"/>
      <c r="K736" s="56"/>
      <c r="L736" s="56"/>
      <c r="M736" s="56"/>
      <c r="N736" s="56"/>
      <c r="O736" s="56"/>
      <c r="P736" s="56"/>
      <c r="Q736" s="56"/>
      <c r="R736" s="56"/>
      <c r="S736" s="56"/>
      <c r="T736" s="56"/>
      <c r="U736" s="56"/>
      <c r="V736" s="56"/>
      <c r="W736" s="56"/>
    </row>
    <row r="737">
      <c r="A737" s="121"/>
      <c r="B737" s="56"/>
      <c r="C737" s="118"/>
      <c r="D737" s="118"/>
      <c r="E737" s="118"/>
      <c r="F737" s="56"/>
      <c r="G737" s="56"/>
      <c r="H737" s="56"/>
      <c r="I737" s="56"/>
      <c r="J737" s="56"/>
      <c r="K737" s="56"/>
      <c r="L737" s="56"/>
      <c r="M737" s="56"/>
      <c r="N737" s="56"/>
      <c r="O737" s="56"/>
      <c r="P737" s="56"/>
      <c r="Q737" s="56"/>
      <c r="R737" s="56"/>
      <c r="S737" s="56"/>
      <c r="T737" s="56"/>
      <c r="U737" s="56"/>
      <c r="V737" s="56"/>
      <c r="W737" s="56"/>
    </row>
    <row r="738">
      <c r="A738" s="121"/>
      <c r="B738" s="56"/>
      <c r="C738" s="118"/>
      <c r="D738" s="118"/>
      <c r="E738" s="118"/>
      <c r="F738" s="56"/>
      <c r="G738" s="56"/>
      <c r="H738" s="56"/>
      <c r="I738" s="56"/>
      <c r="J738" s="56"/>
      <c r="K738" s="56"/>
      <c r="L738" s="56"/>
      <c r="M738" s="56"/>
      <c r="N738" s="56"/>
      <c r="O738" s="56"/>
      <c r="P738" s="56"/>
      <c r="Q738" s="56"/>
      <c r="R738" s="56"/>
      <c r="S738" s="56"/>
      <c r="T738" s="56"/>
      <c r="U738" s="56"/>
      <c r="V738" s="56"/>
      <c r="W738" s="56"/>
    </row>
    <row r="739">
      <c r="A739" s="121"/>
      <c r="B739" s="56"/>
      <c r="C739" s="118"/>
      <c r="D739" s="118"/>
      <c r="E739" s="118"/>
      <c r="F739" s="56"/>
      <c r="G739" s="56"/>
      <c r="H739" s="56"/>
      <c r="I739" s="56"/>
      <c r="J739" s="56"/>
      <c r="K739" s="56"/>
      <c r="L739" s="56"/>
      <c r="M739" s="56"/>
      <c r="N739" s="56"/>
      <c r="O739" s="56"/>
      <c r="P739" s="56"/>
      <c r="Q739" s="56"/>
      <c r="R739" s="56"/>
      <c r="S739" s="56"/>
      <c r="T739" s="56"/>
      <c r="U739" s="56"/>
      <c r="V739" s="56"/>
      <c r="W739" s="56"/>
    </row>
    <row r="740">
      <c r="A740" s="121"/>
      <c r="B740" s="56"/>
      <c r="C740" s="118"/>
      <c r="D740" s="118"/>
      <c r="E740" s="118"/>
      <c r="F740" s="56"/>
      <c r="G740" s="56"/>
      <c r="H740" s="56"/>
      <c r="I740" s="56"/>
      <c r="J740" s="56"/>
      <c r="K740" s="56"/>
      <c r="L740" s="56"/>
      <c r="M740" s="56"/>
      <c r="N740" s="56"/>
      <c r="O740" s="56"/>
      <c r="P740" s="56"/>
      <c r="Q740" s="56"/>
      <c r="R740" s="56"/>
      <c r="S740" s="56"/>
      <c r="T740" s="56"/>
      <c r="U740" s="56"/>
      <c r="V740" s="56"/>
      <c r="W740" s="56"/>
    </row>
    <row r="741">
      <c r="A741" s="121"/>
      <c r="B741" s="56"/>
      <c r="C741" s="118"/>
      <c r="D741" s="118"/>
      <c r="E741" s="118"/>
      <c r="F741" s="56"/>
      <c r="G741" s="56"/>
      <c r="H741" s="56"/>
      <c r="I741" s="56"/>
      <c r="J741" s="56"/>
      <c r="K741" s="56"/>
      <c r="L741" s="56"/>
      <c r="M741" s="56"/>
      <c r="N741" s="56"/>
      <c r="O741" s="56"/>
      <c r="P741" s="56"/>
      <c r="Q741" s="56"/>
      <c r="R741" s="56"/>
      <c r="S741" s="56"/>
      <c r="T741" s="56"/>
      <c r="U741" s="56"/>
      <c r="V741" s="56"/>
      <c r="W741" s="56"/>
    </row>
    <row r="742">
      <c r="A742" s="121"/>
      <c r="B742" s="56"/>
      <c r="C742" s="118"/>
      <c r="D742" s="118"/>
      <c r="E742" s="118"/>
      <c r="F742" s="56"/>
      <c r="G742" s="56"/>
      <c r="H742" s="56"/>
      <c r="I742" s="56"/>
      <c r="J742" s="56"/>
      <c r="K742" s="56"/>
      <c r="L742" s="56"/>
      <c r="M742" s="56"/>
      <c r="N742" s="56"/>
      <c r="O742" s="56"/>
      <c r="P742" s="56"/>
      <c r="Q742" s="56"/>
      <c r="R742" s="56"/>
      <c r="S742" s="56"/>
      <c r="T742" s="56"/>
      <c r="U742" s="56"/>
      <c r="V742" s="56"/>
      <c r="W742" s="56"/>
    </row>
    <row r="743">
      <c r="A743" s="121"/>
      <c r="B743" s="56"/>
      <c r="C743" s="118"/>
      <c r="D743" s="118"/>
      <c r="E743" s="118"/>
      <c r="F743" s="56"/>
      <c r="G743" s="56"/>
      <c r="H743" s="56"/>
      <c r="I743" s="56"/>
      <c r="J743" s="56"/>
      <c r="K743" s="56"/>
      <c r="L743" s="56"/>
      <c r="M743" s="56"/>
      <c r="N743" s="56"/>
      <c r="O743" s="56"/>
      <c r="P743" s="56"/>
      <c r="Q743" s="56"/>
      <c r="R743" s="56"/>
      <c r="S743" s="56"/>
      <c r="T743" s="56"/>
      <c r="U743" s="56"/>
      <c r="V743" s="56"/>
      <c r="W743" s="56"/>
    </row>
    <row r="744">
      <c r="A744" s="121"/>
      <c r="B744" s="56"/>
      <c r="C744" s="118"/>
      <c r="D744" s="118"/>
      <c r="E744" s="118"/>
      <c r="F744" s="56"/>
      <c r="G744" s="56"/>
      <c r="H744" s="56"/>
      <c r="I744" s="56"/>
      <c r="J744" s="56"/>
      <c r="K744" s="56"/>
      <c r="L744" s="56"/>
      <c r="M744" s="56"/>
      <c r="N744" s="56"/>
      <c r="O744" s="56"/>
      <c r="P744" s="56"/>
      <c r="Q744" s="56"/>
      <c r="R744" s="56"/>
      <c r="S744" s="56"/>
      <c r="T744" s="56"/>
      <c r="U744" s="56"/>
      <c r="V744" s="56"/>
      <c r="W744" s="56"/>
    </row>
    <row r="745">
      <c r="A745" s="121"/>
      <c r="B745" s="56"/>
      <c r="C745" s="118"/>
      <c r="D745" s="118"/>
      <c r="E745" s="118"/>
      <c r="F745" s="56"/>
      <c r="G745" s="56"/>
      <c r="H745" s="56"/>
      <c r="I745" s="56"/>
      <c r="J745" s="56"/>
      <c r="K745" s="56"/>
      <c r="L745" s="56"/>
      <c r="M745" s="56"/>
      <c r="N745" s="56"/>
      <c r="O745" s="56"/>
      <c r="P745" s="56"/>
      <c r="Q745" s="56"/>
      <c r="R745" s="56"/>
      <c r="S745" s="56"/>
      <c r="T745" s="56"/>
      <c r="U745" s="56"/>
      <c r="V745" s="56"/>
      <c r="W745" s="56"/>
    </row>
    <row r="746">
      <c r="A746" s="121"/>
      <c r="B746" s="56"/>
      <c r="C746" s="118"/>
      <c r="D746" s="118"/>
      <c r="E746" s="118"/>
      <c r="F746" s="56"/>
      <c r="G746" s="56"/>
      <c r="H746" s="56"/>
      <c r="I746" s="56"/>
      <c r="J746" s="56"/>
      <c r="K746" s="56"/>
      <c r="L746" s="56"/>
      <c r="M746" s="56"/>
      <c r="N746" s="56"/>
      <c r="O746" s="56"/>
      <c r="P746" s="56"/>
      <c r="Q746" s="56"/>
      <c r="R746" s="56"/>
      <c r="S746" s="56"/>
      <c r="T746" s="56"/>
      <c r="U746" s="56"/>
      <c r="V746" s="56"/>
      <c r="W746" s="56"/>
    </row>
    <row r="747">
      <c r="A747" s="121"/>
      <c r="B747" s="56"/>
      <c r="C747" s="118"/>
      <c r="D747" s="118"/>
      <c r="E747" s="118"/>
      <c r="F747" s="56"/>
      <c r="G747" s="56"/>
      <c r="H747" s="56"/>
      <c r="I747" s="56"/>
      <c r="J747" s="56"/>
      <c r="K747" s="56"/>
      <c r="L747" s="56"/>
      <c r="M747" s="56"/>
      <c r="N747" s="56"/>
      <c r="O747" s="56"/>
      <c r="P747" s="56"/>
      <c r="Q747" s="56"/>
      <c r="R747" s="56"/>
      <c r="S747" s="56"/>
      <c r="T747" s="56"/>
      <c r="U747" s="56"/>
      <c r="V747" s="56"/>
      <c r="W747" s="56"/>
    </row>
    <row r="748">
      <c r="A748" s="121"/>
      <c r="B748" s="56"/>
      <c r="C748" s="118"/>
      <c r="D748" s="118"/>
      <c r="E748" s="118"/>
      <c r="F748" s="56"/>
      <c r="G748" s="56"/>
      <c r="H748" s="56"/>
      <c r="I748" s="56"/>
      <c r="J748" s="56"/>
      <c r="K748" s="56"/>
      <c r="L748" s="56"/>
      <c r="M748" s="56"/>
      <c r="N748" s="56"/>
      <c r="O748" s="56"/>
      <c r="P748" s="56"/>
      <c r="Q748" s="56"/>
      <c r="R748" s="56"/>
      <c r="S748" s="56"/>
      <c r="T748" s="56"/>
      <c r="U748" s="56"/>
      <c r="V748" s="56"/>
      <c r="W748" s="56"/>
    </row>
    <row r="749">
      <c r="A749" s="121"/>
      <c r="B749" s="56"/>
      <c r="C749" s="118"/>
      <c r="D749" s="118"/>
      <c r="E749" s="118"/>
      <c r="F749" s="56"/>
      <c r="G749" s="56"/>
      <c r="H749" s="56"/>
      <c r="I749" s="56"/>
      <c r="J749" s="56"/>
      <c r="K749" s="56"/>
      <c r="L749" s="56"/>
      <c r="M749" s="56"/>
      <c r="N749" s="56"/>
      <c r="O749" s="56"/>
      <c r="P749" s="56"/>
      <c r="Q749" s="56"/>
      <c r="R749" s="56"/>
      <c r="S749" s="56"/>
      <c r="T749" s="56"/>
      <c r="U749" s="56"/>
      <c r="V749" s="56"/>
      <c r="W749" s="56"/>
    </row>
    <row r="750">
      <c r="A750" s="121"/>
      <c r="B750" s="56"/>
      <c r="C750" s="118"/>
      <c r="D750" s="118"/>
      <c r="E750" s="118"/>
      <c r="F750" s="56"/>
      <c r="G750" s="56"/>
      <c r="H750" s="56"/>
      <c r="I750" s="56"/>
      <c r="J750" s="56"/>
      <c r="K750" s="56"/>
      <c r="L750" s="56"/>
      <c r="M750" s="56"/>
      <c r="N750" s="56"/>
      <c r="O750" s="56"/>
      <c r="P750" s="56"/>
      <c r="Q750" s="56"/>
      <c r="R750" s="56"/>
      <c r="S750" s="56"/>
      <c r="T750" s="56"/>
      <c r="U750" s="56"/>
      <c r="V750" s="56"/>
      <c r="W750" s="56"/>
    </row>
    <row r="751">
      <c r="A751" s="121"/>
      <c r="B751" s="56"/>
      <c r="C751" s="118"/>
      <c r="D751" s="118"/>
      <c r="E751" s="118"/>
      <c r="F751" s="56"/>
      <c r="G751" s="56"/>
      <c r="H751" s="56"/>
      <c r="I751" s="56"/>
      <c r="J751" s="56"/>
      <c r="K751" s="56"/>
      <c r="L751" s="56"/>
      <c r="M751" s="56"/>
      <c r="N751" s="56"/>
      <c r="O751" s="56"/>
      <c r="P751" s="56"/>
      <c r="Q751" s="56"/>
      <c r="R751" s="56"/>
      <c r="S751" s="56"/>
      <c r="T751" s="56"/>
      <c r="U751" s="56"/>
      <c r="V751" s="56"/>
      <c r="W751" s="56"/>
    </row>
    <row r="752">
      <c r="A752" s="121"/>
      <c r="B752" s="56"/>
      <c r="C752" s="118"/>
      <c r="D752" s="118"/>
      <c r="E752" s="118"/>
      <c r="F752" s="56"/>
      <c r="G752" s="56"/>
      <c r="H752" s="56"/>
      <c r="I752" s="56"/>
      <c r="J752" s="56"/>
      <c r="K752" s="56"/>
      <c r="L752" s="56"/>
      <c r="M752" s="56"/>
      <c r="N752" s="56"/>
      <c r="O752" s="56"/>
      <c r="P752" s="56"/>
      <c r="Q752" s="56"/>
      <c r="R752" s="56"/>
      <c r="S752" s="56"/>
      <c r="T752" s="56"/>
      <c r="U752" s="56"/>
      <c r="V752" s="56"/>
      <c r="W752" s="56"/>
    </row>
    <row r="753">
      <c r="A753" s="121"/>
      <c r="B753" s="56"/>
      <c r="C753" s="118"/>
      <c r="D753" s="118"/>
      <c r="E753" s="118"/>
      <c r="F753" s="56"/>
      <c r="G753" s="56"/>
      <c r="H753" s="56"/>
      <c r="I753" s="56"/>
      <c r="J753" s="56"/>
      <c r="K753" s="56"/>
      <c r="L753" s="56"/>
      <c r="M753" s="56"/>
      <c r="N753" s="56"/>
      <c r="O753" s="56"/>
      <c r="P753" s="56"/>
      <c r="Q753" s="56"/>
      <c r="R753" s="56"/>
      <c r="S753" s="56"/>
      <c r="T753" s="56"/>
      <c r="U753" s="56"/>
      <c r="V753" s="56"/>
      <c r="W753" s="56"/>
    </row>
    <row r="754">
      <c r="A754" s="121"/>
      <c r="B754" s="56"/>
      <c r="C754" s="118"/>
      <c r="D754" s="118"/>
      <c r="E754" s="118"/>
      <c r="F754" s="56"/>
      <c r="G754" s="56"/>
      <c r="H754" s="56"/>
      <c r="I754" s="56"/>
      <c r="J754" s="56"/>
      <c r="K754" s="56"/>
      <c r="L754" s="56"/>
      <c r="M754" s="56"/>
      <c r="N754" s="56"/>
      <c r="O754" s="56"/>
      <c r="P754" s="56"/>
      <c r="Q754" s="56"/>
      <c r="R754" s="56"/>
      <c r="S754" s="56"/>
      <c r="T754" s="56"/>
      <c r="U754" s="56"/>
      <c r="V754" s="56"/>
      <c r="W754" s="56"/>
    </row>
    <row r="755">
      <c r="A755" s="121"/>
      <c r="B755" s="56"/>
      <c r="C755" s="118"/>
      <c r="D755" s="118"/>
      <c r="E755" s="118"/>
      <c r="F755" s="56"/>
      <c r="G755" s="56"/>
      <c r="H755" s="56"/>
      <c r="I755" s="56"/>
      <c r="J755" s="56"/>
      <c r="K755" s="56"/>
      <c r="L755" s="56"/>
      <c r="M755" s="56"/>
      <c r="N755" s="56"/>
      <c r="O755" s="56"/>
      <c r="P755" s="56"/>
      <c r="Q755" s="56"/>
      <c r="R755" s="56"/>
      <c r="S755" s="56"/>
      <c r="T755" s="56"/>
      <c r="U755" s="56"/>
      <c r="V755" s="56"/>
      <c r="W755" s="56"/>
    </row>
    <row r="756">
      <c r="A756" s="121"/>
      <c r="B756" s="56"/>
      <c r="C756" s="118"/>
      <c r="D756" s="118"/>
      <c r="E756" s="118"/>
      <c r="F756" s="56"/>
      <c r="G756" s="56"/>
      <c r="H756" s="56"/>
      <c r="I756" s="56"/>
      <c r="J756" s="56"/>
      <c r="K756" s="56"/>
      <c r="L756" s="56"/>
      <c r="M756" s="56"/>
      <c r="N756" s="56"/>
      <c r="O756" s="56"/>
      <c r="P756" s="56"/>
      <c r="Q756" s="56"/>
      <c r="R756" s="56"/>
      <c r="S756" s="56"/>
      <c r="T756" s="56"/>
      <c r="U756" s="56"/>
      <c r="V756" s="56"/>
      <c r="W756" s="56"/>
    </row>
    <row r="757">
      <c r="A757" s="121"/>
      <c r="B757" s="56"/>
      <c r="C757" s="118"/>
      <c r="D757" s="118"/>
      <c r="E757" s="118"/>
      <c r="F757" s="56"/>
      <c r="G757" s="56"/>
      <c r="H757" s="56"/>
      <c r="I757" s="56"/>
      <c r="J757" s="56"/>
      <c r="K757" s="56"/>
      <c r="L757" s="56"/>
      <c r="M757" s="56"/>
      <c r="N757" s="56"/>
      <c r="O757" s="56"/>
      <c r="P757" s="56"/>
      <c r="Q757" s="56"/>
      <c r="R757" s="56"/>
      <c r="S757" s="56"/>
      <c r="T757" s="56"/>
      <c r="U757" s="56"/>
      <c r="V757" s="56"/>
      <c r="W757" s="56"/>
    </row>
    <row r="758">
      <c r="A758" s="121"/>
      <c r="B758" s="56"/>
      <c r="C758" s="118"/>
      <c r="D758" s="118"/>
      <c r="E758" s="118"/>
      <c r="F758" s="56"/>
      <c r="G758" s="56"/>
      <c r="H758" s="56"/>
      <c r="I758" s="56"/>
      <c r="J758" s="56"/>
      <c r="K758" s="56"/>
      <c r="L758" s="56"/>
      <c r="M758" s="56"/>
      <c r="N758" s="56"/>
      <c r="O758" s="56"/>
      <c r="P758" s="56"/>
      <c r="Q758" s="56"/>
      <c r="R758" s="56"/>
      <c r="S758" s="56"/>
      <c r="T758" s="56"/>
      <c r="U758" s="56"/>
      <c r="V758" s="56"/>
      <c r="W758" s="56"/>
    </row>
    <row r="759">
      <c r="A759" s="121"/>
      <c r="B759" s="56"/>
      <c r="C759" s="118"/>
      <c r="D759" s="118"/>
      <c r="E759" s="118"/>
      <c r="F759" s="56"/>
      <c r="G759" s="56"/>
      <c r="H759" s="56"/>
      <c r="I759" s="56"/>
      <c r="J759" s="56"/>
      <c r="K759" s="56"/>
      <c r="L759" s="56"/>
      <c r="M759" s="56"/>
      <c r="N759" s="56"/>
      <c r="O759" s="56"/>
      <c r="P759" s="56"/>
      <c r="Q759" s="56"/>
      <c r="R759" s="56"/>
      <c r="S759" s="56"/>
      <c r="T759" s="56"/>
      <c r="U759" s="56"/>
      <c r="V759" s="56"/>
      <c r="W759" s="56"/>
    </row>
    <row r="760">
      <c r="A760" s="121"/>
      <c r="B760" s="56"/>
      <c r="C760" s="118"/>
      <c r="D760" s="118"/>
      <c r="E760" s="118"/>
      <c r="F760" s="56"/>
      <c r="G760" s="56"/>
      <c r="H760" s="56"/>
      <c r="I760" s="56"/>
      <c r="J760" s="56"/>
      <c r="K760" s="56"/>
      <c r="L760" s="56"/>
      <c r="M760" s="56"/>
      <c r="N760" s="56"/>
      <c r="O760" s="56"/>
      <c r="P760" s="56"/>
      <c r="Q760" s="56"/>
      <c r="R760" s="56"/>
      <c r="S760" s="56"/>
      <c r="T760" s="56"/>
      <c r="U760" s="56"/>
      <c r="V760" s="56"/>
      <c r="W760" s="56"/>
    </row>
    <row r="761">
      <c r="A761" s="121"/>
      <c r="B761" s="56"/>
      <c r="C761" s="118"/>
      <c r="D761" s="118"/>
      <c r="E761" s="118"/>
      <c r="F761" s="56"/>
      <c r="G761" s="56"/>
      <c r="H761" s="56"/>
      <c r="I761" s="56"/>
      <c r="J761" s="56"/>
      <c r="K761" s="56"/>
      <c r="L761" s="56"/>
      <c r="M761" s="56"/>
      <c r="N761" s="56"/>
      <c r="O761" s="56"/>
      <c r="P761" s="56"/>
      <c r="Q761" s="56"/>
      <c r="R761" s="56"/>
      <c r="S761" s="56"/>
      <c r="T761" s="56"/>
      <c r="U761" s="56"/>
      <c r="V761" s="56"/>
      <c r="W761" s="56"/>
    </row>
    <row r="762">
      <c r="A762" s="121"/>
      <c r="B762" s="56"/>
      <c r="C762" s="118"/>
      <c r="D762" s="118"/>
      <c r="E762" s="118"/>
      <c r="F762" s="56"/>
      <c r="G762" s="56"/>
      <c r="H762" s="56"/>
      <c r="I762" s="56"/>
      <c r="J762" s="56"/>
      <c r="K762" s="56"/>
      <c r="L762" s="56"/>
      <c r="M762" s="56"/>
      <c r="N762" s="56"/>
      <c r="O762" s="56"/>
      <c r="P762" s="56"/>
      <c r="Q762" s="56"/>
      <c r="R762" s="56"/>
      <c r="S762" s="56"/>
      <c r="T762" s="56"/>
      <c r="U762" s="56"/>
      <c r="V762" s="56"/>
      <c r="W762" s="56"/>
    </row>
    <row r="763">
      <c r="A763" s="121"/>
      <c r="B763" s="56"/>
      <c r="C763" s="118"/>
      <c r="D763" s="118"/>
      <c r="E763" s="118"/>
      <c r="F763" s="56"/>
      <c r="G763" s="56"/>
      <c r="H763" s="56"/>
      <c r="I763" s="56"/>
      <c r="J763" s="56"/>
      <c r="K763" s="56"/>
      <c r="L763" s="56"/>
      <c r="M763" s="56"/>
      <c r="N763" s="56"/>
      <c r="O763" s="56"/>
      <c r="P763" s="56"/>
      <c r="Q763" s="56"/>
      <c r="R763" s="56"/>
      <c r="S763" s="56"/>
      <c r="T763" s="56"/>
      <c r="U763" s="56"/>
      <c r="V763" s="56"/>
      <c r="W763" s="56"/>
    </row>
    <row r="764">
      <c r="A764" s="121"/>
      <c r="B764" s="56"/>
      <c r="C764" s="118"/>
      <c r="D764" s="118"/>
      <c r="E764" s="118"/>
      <c r="F764" s="56"/>
      <c r="G764" s="56"/>
      <c r="H764" s="56"/>
      <c r="I764" s="56"/>
      <c r="J764" s="56"/>
      <c r="K764" s="56"/>
      <c r="L764" s="56"/>
      <c r="M764" s="56"/>
      <c r="N764" s="56"/>
      <c r="O764" s="56"/>
      <c r="P764" s="56"/>
      <c r="Q764" s="56"/>
      <c r="R764" s="56"/>
      <c r="S764" s="56"/>
      <c r="T764" s="56"/>
      <c r="U764" s="56"/>
      <c r="V764" s="56"/>
      <c r="W764" s="56"/>
    </row>
    <row r="765">
      <c r="A765" s="121"/>
      <c r="B765" s="56"/>
      <c r="C765" s="118"/>
      <c r="D765" s="118"/>
      <c r="E765" s="118"/>
      <c r="F765" s="56"/>
      <c r="G765" s="56"/>
      <c r="H765" s="56"/>
      <c r="I765" s="56"/>
      <c r="J765" s="56"/>
      <c r="K765" s="56"/>
      <c r="L765" s="56"/>
      <c r="M765" s="56"/>
      <c r="N765" s="56"/>
      <c r="O765" s="56"/>
      <c r="P765" s="56"/>
      <c r="Q765" s="56"/>
      <c r="R765" s="56"/>
      <c r="S765" s="56"/>
      <c r="T765" s="56"/>
      <c r="U765" s="56"/>
      <c r="V765" s="56"/>
      <c r="W765" s="56"/>
    </row>
    <row r="766">
      <c r="A766" s="121"/>
      <c r="B766" s="56"/>
      <c r="C766" s="118"/>
      <c r="D766" s="118"/>
      <c r="E766" s="118"/>
      <c r="F766" s="56"/>
      <c r="G766" s="56"/>
      <c r="H766" s="56"/>
      <c r="I766" s="56"/>
      <c r="J766" s="56"/>
      <c r="K766" s="56"/>
      <c r="L766" s="56"/>
      <c r="M766" s="56"/>
      <c r="N766" s="56"/>
      <c r="O766" s="56"/>
      <c r="P766" s="56"/>
      <c r="Q766" s="56"/>
      <c r="R766" s="56"/>
      <c r="S766" s="56"/>
      <c r="T766" s="56"/>
      <c r="U766" s="56"/>
      <c r="V766" s="56"/>
      <c r="W766" s="56"/>
    </row>
    <row r="767">
      <c r="A767" s="121"/>
      <c r="B767" s="56"/>
      <c r="C767" s="118"/>
      <c r="D767" s="118"/>
      <c r="E767" s="118"/>
      <c r="F767" s="56"/>
      <c r="G767" s="56"/>
      <c r="H767" s="56"/>
      <c r="I767" s="56"/>
      <c r="J767" s="56"/>
      <c r="K767" s="56"/>
      <c r="L767" s="56"/>
      <c r="M767" s="56"/>
      <c r="N767" s="56"/>
      <c r="O767" s="56"/>
      <c r="P767" s="56"/>
      <c r="Q767" s="56"/>
      <c r="R767" s="56"/>
      <c r="S767" s="56"/>
      <c r="T767" s="56"/>
      <c r="U767" s="56"/>
      <c r="V767" s="56"/>
      <c r="W767" s="56"/>
    </row>
    <row r="768">
      <c r="A768" s="121"/>
      <c r="B768" s="56"/>
      <c r="C768" s="118"/>
      <c r="D768" s="118"/>
      <c r="E768" s="118"/>
      <c r="F768" s="56"/>
      <c r="G768" s="56"/>
      <c r="H768" s="56"/>
      <c r="I768" s="56"/>
      <c r="J768" s="56"/>
      <c r="K768" s="56"/>
      <c r="L768" s="56"/>
      <c r="M768" s="56"/>
      <c r="N768" s="56"/>
      <c r="O768" s="56"/>
      <c r="P768" s="56"/>
      <c r="Q768" s="56"/>
      <c r="R768" s="56"/>
      <c r="S768" s="56"/>
      <c r="T768" s="56"/>
      <c r="U768" s="56"/>
      <c r="V768" s="56"/>
      <c r="W768" s="56"/>
    </row>
    <row r="769">
      <c r="A769" s="121"/>
      <c r="B769" s="56"/>
      <c r="C769" s="118"/>
      <c r="D769" s="118"/>
      <c r="E769" s="118"/>
      <c r="F769" s="56"/>
      <c r="G769" s="56"/>
      <c r="H769" s="56"/>
      <c r="I769" s="56"/>
      <c r="J769" s="56"/>
      <c r="K769" s="56"/>
      <c r="L769" s="56"/>
      <c r="M769" s="56"/>
      <c r="N769" s="56"/>
      <c r="O769" s="56"/>
      <c r="P769" s="56"/>
      <c r="Q769" s="56"/>
      <c r="R769" s="56"/>
      <c r="S769" s="56"/>
      <c r="T769" s="56"/>
      <c r="U769" s="56"/>
      <c r="V769" s="56"/>
      <c r="W769" s="56"/>
    </row>
    <row r="770">
      <c r="A770" s="121"/>
      <c r="B770" s="56"/>
      <c r="C770" s="118"/>
      <c r="D770" s="118"/>
      <c r="E770" s="118"/>
      <c r="F770" s="56"/>
      <c r="G770" s="56"/>
      <c r="H770" s="56"/>
      <c r="I770" s="56"/>
      <c r="J770" s="56"/>
      <c r="K770" s="56"/>
      <c r="L770" s="56"/>
      <c r="M770" s="56"/>
      <c r="N770" s="56"/>
      <c r="O770" s="56"/>
      <c r="P770" s="56"/>
      <c r="Q770" s="56"/>
      <c r="R770" s="56"/>
      <c r="S770" s="56"/>
      <c r="T770" s="56"/>
      <c r="U770" s="56"/>
      <c r="V770" s="56"/>
      <c r="W770" s="56"/>
    </row>
    <row r="771">
      <c r="A771" s="121"/>
      <c r="B771" s="56"/>
      <c r="C771" s="118"/>
      <c r="D771" s="118"/>
      <c r="E771" s="118"/>
      <c r="F771" s="56"/>
      <c r="G771" s="56"/>
      <c r="H771" s="56"/>
      <c r="I771" s="56"/>
      <c r="J771" s="56"/>
      <c r="K771" s="56"/>
      <c r="L771" s="56"/>
      <c r="M771" s="56"/>
      <c r="N771" s="56"/>
      <c r="O771" s="56"/>
      <c r="P771" s="56"/>
      <c r="Q771" s="56"/>
      <c r="R771" s="56"/>
      <c r="S771" s="56"/>
      <c r="T771" s="56"/>
      <c r="U771" s="56"/>
      <c r="V771" s="56"/>
      <c r="W771" s="56"/>
    </row>
    <row r="772">
      <c r="A772" s="121"/>
      <c r="B772" s="56"/>
      <c r="C772" s="118"/>
      <c r="D772" s="118"/>
      <c r="E772" s="118"/>
      <c r="F772" s="56"/>
      <c r="G772" s="56"/>
      <c r="H772" s="56"/>
      <c r="I772" s="56"/>
      <c r="J772" s="56"/>
      <c r="K772" s="56"/>
      <c r="L772" s="56"/>
      <c r="M772" s="56"/>
      <c r="N772" s="56"/>
      <c r="O772" s="56"/>
      <c r="P772" s="56"/>
      <c r="Q772" s="56"/>
      <c r="R772" s="56"/>
      <c r="S772" s="56"/>
      <c r="T772" s="56"/>
      <c r="U772" s="56"/>
      <c r="V772" s="56"/>
      <c r="W772" s="56"/>
    </row>
    <row r="773">
      <c r="A773" s="121"/>
      <c r="B773" s="56"/>
      <c r="C773" s="118"/>
      <c r="D773" s="118"/>
      <c r="E773" s="118"/>
      <c r="F773" s="56"/>
      <c r="G773" s="56"/>
      <c r="H773" s="56"/>
      <c r="I773" s="56"/>
      <c r="J773" s="56"/>
      <c r="K773" s="56"/>
      <c r="L773" s="56"/>
      <c r="M773" s="56"/>
      <c r="N773" s="56"/>
      <c r="O773" s="56"/>
      <c r="P773" s="56"/>
      <c r="Q773" s="56"/>
      <c r="R773" s="56"/>
      <c r="S773" s="56"/>
      <c r="T773" s="56"/>
      <c r="U773" s="56"/>
      <c r="V773" s="56"/>
      <c r="W773" s="56"/>
    </row>
    <row r="774">
      <c r="A774" s="121"/>
      <c r="B774" s="56"/>
      <c r="C774" s="118"/>
      <c r="D774" s="118"/>
      <c r="E774" s="118"/>
      <c r="F774" s="56"/>
      <c r="G774" s="56"/>
      <c r="H774" s="56"/>
      <c r="I774" s="56"/>
      <c r="J774" s="56"/>
      <c r="K774" s="56"/>
      <c r="L774" s="56"/>
      <c r="M774" s="56"/>
      <c r="N774" s="56"/>
      <c r="O774" s="56"/>
      <c r="P774" s="56"/>
      <c r="Q774" s="56"/>
      <c r="R774" s="56"/>
      <c r="S774" s="56"/>
      <c r="T774" s="56"/>
      <c r="U774" s="56"/>
      <c r="V774" s="56"/>
      <c r="W774" s="56"/>
    </row>
    <row r="775">
      <c r="A775" s="121"/>
      <c r="B775" s="56"/>
      <c r="C775" s="118"/>
      <c r="D775" s="118"/>
      <c r="E775" s="118"/>
      <c r="F775" s="56"/>
      <c r="G775" s="56"/>
      <c r="H775" s="56"/>
      <c r="I775" s="56"/>
      <c r="J775" s="56"/>
      <c r="K775" s="56"/>
      <c r="L775" s="56"/>
      <c r="M775" s="56"/>
      <c r="N775" s="56"/>
      <c r="O775" s="56"/>
      <c r="P775" s="56"/>
      <c r="Q775" s="56"/>
      <c r="R775" s="56"/>
      <c r="S775" s="56"/>
      <c r="T775" s="56"/>
      <c r="U775" s="56"/>
      <c r="V775" s="56"/>
      <c r="W775" s="56"/>
    </row>
    <row r="776">
      <c r="A776" s="121"/>
      <c r="B776" s="56"/>
      <c r="C776" s="118"/>
      <c r="D776" s="118"/>
      <c r="E776" s="118"/>
      <c r="F776" s="56"/>
      <c r="G776" s="56"/>
      <c r="H776" s="56"/>
      <c r="I776" s="56"/>
      <c r="J776" s="56"/>
      <c r="K776" s="56"/>
      <c r="L776" s="56"/>
      <c r="M776" s="56"/>
      <c r="N776" s="56"/>
      <c r="O776" s="56"/>
      <c r="P776" s="56"/>
      <c r="Q776" s="56"/>
      <c r="R776" s="56"/>
      <c r="S776" s="56"/>
      <c r="T776" s="56"/>
      <c r="U776" s="56"/>
      <c r="V776" s="56"/>
      <c r="W776" s="56"/>
    </row>
    <row r="777">
      <c r="A777" s="121"/>
      <c r="B777" s="56"/>
      <c r="C777" s="118"/>
      <c r="D777" s="118"/>
      <c r="E777" s="118"/>
      <c r="F777" s="56"/>
      <c r="G777" s="56"/>
      <c r="H777" s="56"/>
      <c r="I777" s="56"/>
      <c r="J777" s="56"/>
      <c r="K777" s="56"/>
      <c r="L777" s="56"/>
      <c r="M777" s="56"/>
      <c r="N777" s="56"/>
      <c r="O777" s="56"/>
      <c r="P777" s="56"/>
      <c r="Q777" s="56"/>
      <c r="R777" s="56"/>
      <c r="S777" s="56"/>
      <c r="T777" s="56"/>
      <c r="U777" s="56"/>
      <c r="V777" s="56"/>
      <c r="W777" s="56"/>
    </row>
    <row r="778">
      <c r="A778" s="121"/>
      <c r="B778" s="56"/>
      <c r="C778" s="118"/>
      <c r="D778" s="118"/>
      <c r="E778" s="118"/>
      <c r="F778" s="56"/>
      <c r="G778" s="56"/>
      <c r="H778" s="56"/>
      <c r="I778" s="56"/>
      <c r="J778" s="56"/>
      <c r="K778" s="56"/>
      <c r="L778" s="56"/>
      <c r="M778" s="56"/>
      <c r="N778" s="56"/>
      <c r="O778" s="56"/>
      <c r="P778" s="56"/>
      <c r="Q778" s="56"/>
      <c r="R778" s="56"/>
      <c r="S778" s="56"/>
      <c r="T778" s="56"/>
      <c r="U778" s="56"/>
      <c r="V778" s="56"/>
      <c r="W778" s="56"/>
    </row>
    <row r="779">
      <c r="A779" s="121"/>
      <c r="B779" s="56"/>
      <c r="C779" s="118"/>
      <c r="D779" s="118"/>
      <c r="E779" s="118"/>
      <c r="F779" s="56"/>
      <c r="G779" s="56"/>
      <c r="H779" s="56"/>
      <c r="I779" s="56"/>
      <c r="J779" s="56"/>
      <c r="K779" s="56"/>
      <c r="L779" s="56"/>
      <c r="M779" s="56"/>
      <c r="N779" s="56"/>
      <c r="O779" s="56"/>
      <c r="P779" s="56"/>
      <c r="Q779" s="56"/>
      <c r="R779" s="56"/>
      <c r="S779" s="56"/>
      <c r="T779" s="56"/>
      <c r="U779" s="56"/>
      <c r="V779" s="56"/>
      <c r="W779" s="56"/>
    </row>
    <row r="780">
      <c r="A780" s="121"/>
      <c r="B780" s="56"/>
      <c r="C780" s="118"/>
      <c r="D780" s="118"/>
      <c r="E780" s="118"/>
      <c r="F780" s="56"/>
      <c r="G780" s="56"/>
      <c r="H780" s="56"/>
      <c r="I780" s="56"/>
      <c r="J780" s="56"/>
      <c r="K780" s="56"/>
      <c r="L780" s="56"/>
      <c r="M780" s="56"/>
      <c r="N780" s="56"/>
      <c r="O780" s="56"/>
      <c r="P780" s="56"/>
      <c r="Q780" s="56"/>
      <c r="R780" s="56"/>
      <c r="S780" s="56"/>
      <c r="T780" s="56"/>
      <c r="U780" s="56"/>
      <c r="V780" s="56"/>
      <c r="W780" s="56"/>
    </row>
    <row r="781">
      <c r="A781" s="121"/>
      <c r="B781" s="56"/>
      <c r="C781" s="118"/>
      <c r="D781" s="118"/>
      <c r="E781" s="118"/>
      <c r="F781" s="56"/>
      <c r="G781" s="56"/>
      <c r="H781" s="56"/>
      <c r="I781" s="56"/>
      <c r="J781" s="56"/>
      <c r="K781" s="56"/>
      <c r="L781" s="56"/>
      <c r="M781" s="56"/>
      <c r="N781" s="56"/>
      <c r="O781" s="56"/>
      <c r="P781" s="56"/>
      <c r="Q781" s="56"/>
      <c r="R781" s="56"/>
      <c r="S781" s="56"/>
      <c r="T781" s="56"/>
      <c r="U781" s="56"/>
      <c r="V781" s="56"/>
      <c r="W781" s="56"/>
    </row>
    <row r="782">
      <c r="A782" s="121"/>
      <c r="B782" s="56"/>
      <c r="C782" s="118"/>
      <c r="D782" s="118"/>
      <c r="E782" s="118"/>
      <c r="F782" s="56"/>
      <c r="G782" s="56"/>
      <c r="H782" s="56"/>
      <c r="I782" s="56"/>
      <c r="J782" s="56"/>
      <c r="K782" s="56"/>
      <c r="L782" s="56"/>
      <c r="M782" s="56"/>
      <c r="N782" s="56"/>
      <c r="O782" s="56"/>
      <c r="P782" s="56"/>
      <c r="Q782" s="56"/>
      <c r="R782" s="56"/>
      <c r="S782" s="56"/>
      <c r="T782" s="56"/>
      <c r="U782" s="56"/>
      <c r="V782" s="56"/>
      <c r="W782" s="56"/>
    </row>
    <row r="783">
      <c r="A783" s="121"/>
      <c r="B783" s="56"/>
      <c r="C783" s="118"/>
      <c r="D783" s="118"/>
      <c r="E783" s="118"/>
      <c r="F783" s="56"/>
      <c r="G783" s="56"/>
      <c r="H783" s="56"/>
      <c r="I783" s="56"/>
      <c r="J783" s="56"/>
      <c r="K783" s="56"/>
      <c r="L783" s="56"/>
      <c r="M783" s="56"/>
      <c r="N783" s="56"/>
      <c r="O783" s="56"/>
      <c r="P783" s="56"/>
      <c r="Q783" s="56"/>
      <c r="R783" s="56"/>
      <c r="S783" s="56"/>
      <c r="T783" s="56"/>
      <c r="U783" s="56"/>
      <c r="V783" s="56"/>
      <c r="W783" s="56"/>
    </row>
    <row r="784">
      <c r="A784" s="121"/>
      <c r="B784" s="56"/>
      <c r="C784" s="118"/>
      <c r="D784" s="118"/>
      <c r="E784" s="118"/>
      <c r="F784" s="56"/>
      <c r="G784" s="56"/>
      <c r="H784" s="56"/>
      <c r="I784" s="56"/>
      <c r="J784" s="56"/>
      <c r="K784" s="56"/>
      <c r="L784" s="56"/>
      <c r="M784" s="56"/>
      <c r="N784" s="56"/>
      <c r="O784" s="56"/>
      <c r="P784" s="56"/>
      <c r="Q784" s="56"/>
      <c r="R784" s="56"/>
      <c r="S784" s="56"/>
      <c r="T784" s="56"/>
      <c r="U784" s="56"/>
      <c r="V784" s="56"/>
      <c r="W784" s="56"/>
    </row>
    <row r="785">
      <c r="A785" s="121"/>
      <c r="B785" s="56"/>
      <c r="C785" s="118"/>
      <c r="D785" s="118"/>
      <c r="E785" s="118"/>
      <c r="F785" s="56"/>
      <c r="G785" s="56"/>
      <c r="H785" s="56"/>
      <c r="I785" s="56"/>
      <c r="J785" s="56"/>
      <c r="K785" s="56"/>
      <c r="L785" s="56"/>
      <c r="M785" s="56"/>
      <c r="N785" s="56"/>
      <c r="O785" s="56"/>
      <c r="P785" s="56"/>
      <c r="Q785" s="56"/>
      <c r="R785" s="56"/>
      <c r="S785" s="56"/>
      <c r="T785" s="56"/>
      <c r="U785" s="56"/>
      <c r="V785" s="56"/>
      <c r="W785" s="56"/>
    </row>
    <row r="786">
      <c r="A786" s="121"/>
      <c r="B786" s="56"/>
      <c r="C786" s="118"/>
      <c r="D786" s="118"/>
      <c r="E786" s="118"/>
      <c r="F786" s="56"/>
      <c r="G786" s="56"/>
      <c r="H786" s="56"/>
      <c r="I786" s="56"/>
      <c r="J786" s="56"/>
      <c r="K786" s="56"/>
      <c r="L786" s="56"/>
      <c r="M786" s="56"/>
      <c r="N786" s="56"/>
      <c r="O786" s="56"/>
      <c r="P786" s="56"/>
      <c r="Q786" s="56"/>
      <c r="R786" s="56"/>
      <c r="S786" s="56"/>
      <c r="T786" s="56"/>
      <c r="U786" s="56"/>
      <c r="V786" s="56"/>
      <c r="W786" s="56"/>
    </row>
    <row r="787">
      <c r="A787" s="121"/>
      <c r="B787" s="56"/>
      <c r="C787" s="118"/>
      <c r="D787" s="118"/>
      <c r="E787" s="118"/>
      <c r="F787" s="56"/>
      <c r="G787" s="56"/>
      <c r="H787" s="56"/>
      <c r="I787" s="56"/>
      <c r="J787" s="56"/>
      <c r="K787" s="56"/>
      <c r="L787" s="56"/>
      <c r="M787" s="56"/>
      <c r="N787" s="56"/>
      <c r="O787" s="56"/>
      <c r="P787" s="56"/>
      <c r="Q787" s="56"/>
      <c r="R787" s="56"/>
      <c r="S787" s="56"/>
      <c r="T787" s="56"/>
      <c r="U787" s="56"/>
      <c r="V787" s="56"/>
      <c r="W787" s="56"/>
    </row>
    <row r="788">
      <c r="A788" s="121"/>
      <c r="B788" s="56"/>
      <c r="C788" s="118"/>
      <c r="D788" s="118"/>
      <c r="E788" s="118"/>
      <c r="F788" s="56"/>
      <c r="G788" s="56"/>
      <c r="H788" s="56"/>
      <c r="I788" s="56"/>
      <c r="J788" s="56"/>
      <c r="K788" s="56"/>
      <c r="L788" s="56"/>
      <c r="M788" s="56"/>
      <c r="N788" s="56"/>
      <c r="O788" s="56"/>
      <c r="P788" s="56"/>
      <c r="Q788" s="56"/>
      <c r="R788" s="56"/>
      <c r="S788" s="56"/>
      <c r="T788" s="56"/>
      <c r="U788" s="56"/>
      <c r="V788" s="56"/>
      <c r="W788" s="56"/>
    </row>
    <row r="789">
      <c r="A789" s="121"/>
      <c r="B789" s="56"/>
      <c r="C789" s="118"/>
      <c r="D789" s="118"/>
      <c r="E789" s="118"/>
      <c r="F789" s="56"/>
      <c r="G789" s="56"/>
      <c r="H789" s="56"/>
      <c r="I789" s="56"/>
      <c r="J789" s="56"/>
      <c r="K789" s="56"/>
      <c r="L789" s="56"/>
      <c r="M789" s="56"/>
      <c r="N789" s="56"/>
      <c r="O789" s="56"/>
      <c r="P789" s="56"/>
      <c r="Q789" s="56"/>
      <c r="R789" s="56"/>
      <c r="S789" s="56"/>
      <c r="T789" s="56"/>
      <c r="U789" s="56"/>
      <c r="V789" s="56"/>
      <c r="W789" s="56"/>
    </row>
    <row r="790">
      <c r="A790" s="121"/>
      <c r="B790" s="56"/>
      <c r="C790" s="118"/>
      <c r="D790" s="118"/>
      <c r="E790" s="118"/>
      <c r="F790" s="56"/>
      <c r="G790" s="56"/>
      <c r="H790" s="56"/>
      <c r="I790" s="56"/>
      <c r="J790" s="56"/>
      <c r="K790" s="56"/>
      <c r="L790" s="56"/>
      <c r="M790" s="56"/>
      <c r="N790" s="56"/>
      <c r="O790" s="56"/>
      <c r="P790" s="56"/>
      <c r="Q790" s="56"/>
      <c r="R790" s="56"/>
      <c r="S790" s="56"/>
      <c r="T790" s="56"/>
      <c r="U790" s="56"/>
      <c r="V790" s="56"/>
      <c r="W790" s="56"/>
    </row>
    <row r="791">
      <c r="A791" s="121"/>
      <c r="B791" s="56"/>
      <c r="C791" s="118"/>
      <c r="D791" s="118"/>
      <c r="E791" s="118"/>
      <c r="F791" s="56"/>
      <c r="G791" s="56"/>
      <c r="H791" s="56"/>
      <c r="I791" s="56"/>
      <c r="J791" s="56"/>
      <c r="K791" s="56"/>
      <c r="L791" s="56"/>
      <c r="M791" s="56"/>
      <c r="N791" s="56"/>
      <c r="O791" s="56"/>
      <c r="P791" s="56"/>
      <c r="Q791" s="56"/>
      <c r="R791" s="56"/>
      <c r="S791" s="56"/>
      <c r="T791" s="56"/>
      <c r="U791" s="56"/>
      <c r="V791" s="56"/>
      <c r="W791" s="56"/>
    </row>
    <row r="792">
      <c r="A792" s="121"/>
      <c r="B792" s="56"/>
      <c r="C792" s="118"/>
      <c r="D792" s="118"/>
      <c r="E792" s="118"/>
      <c r="F792" s="56"/>
      <c r="G792" s="56"/>
      <c r="H792" s="56"/>
      <c r="I792" s="56"/>
      <c r="J792" s="56"/>
      <c r="K792" s="56"/>
      <c r="L792" s="56"/>
      <c r="M792" s="56"/>
      <c r="N792" s="56"/>
      <c r="O792" s="56"/>
      <c r="P792" s="56"/>
      <c r="Q792" s="56"/>
      <c r="R792" s="56"/>
      <c r="S792" s="56"/>
      <c r="T792" s="56"/>
      <c r="U792" s="56"/>
      <c r="V792" s="56"/>
      <c r="W792" s="56"/>
    </row>
    <row r="793">
      <c r="A793" s="121"/>
      <c r="B793" s="56"/>
      <c r="C793" s="118"/>
      <c r="D793" s="118"/>
      <c r="E793" s="118"/>
      <c r="F793" s="56"/>
      <c r="G793" s="56"/>
      <c r="H793" s="56"/>
      <c r="I793" s="56"/>
      <c r="J793" s="56"/>
      <c r="K793" s="56"/>
      <c r="L793" s="56"/>
      <c r="M793" s="56"/>
      <c r="N793" s="56"/>
      <c r="O793" s="56"/>
      <c r="P793" s="56"/>
      <c r="Q793" s="56"/>
      <c r="R793" s="56"/>
      <c r="S793" s="56"/>
      <c r="T793" s="56"/>
      <c r="U793" s="56"/>
      <c r="V793" s="56"/>
      <c r="W793" s="56"/>
    </row>
    <row r="794">
      <c r="A794" s="121"/>
      <c r="B794" s="56"/>
      <c r="C794" s="118"/>
      <c r="D794" s="118"/>
      <c r="E794" s="118"/>
      <c r="F794" s="56"/>
      <c r="G794" s="56"/>
      <c r="H794" s="56"/>
      <c r="I794" s="56"/>
      <c r="J794" s="56"/>
      <c r="K794" s="56"/>
      <c r="L794" s="56"/>
      <c r="M794" s="56"/>
      <c r="N794" s="56"/>
      <c r="O794" s="56"/>
      <c r="P794" s="56"/>
      <c r="Q794" s="56"/>
      <c r="R794" s="56"/>
      <c r="S794" s="56"/>
      <c r="T794" s="56"/>
      <c r="U794" s="56"/>
      <c r="V794" s="56"/>
      <c r="W794" s="56"/>
    </row>
    <row r="795">
      <c r="A795" s="121"/>
      <c r="B795" s="56"/>
      <c r="C795" s="118"/>
      <c r="D795" s="118"/>
      <c r="E795" s="118"/>
      <c r="F795" s="56"/>
      <c r="G795" s="56"/>
      <c r="H795" s="56"/>
      <c r="I795" s="56"/>
      <c r="J795" s="56"/>
      <c r="K795" s="56"/>
      <c r="L795" s="56"/>
      <c r="M795" s="56"/>
      <c r="N795" s="56"/>
      <c r="O795" s="56"/>
      <c r="P795" s="56"/>
      <c r="Q795" s="56"/>
      <c r="R795" s="56"/>
      <c r="S795" s="56"/>
      <c r="T795" s="56"/>
      <c r="U795" s="56"/>
      <c r="V795" s="56"/>
      <c r="W795" s="56"/>
    </row>
    <row r="796">
      <c r="A796" s="121"/>
      <c r="B796" s="56"/>
      <c r="C796" s="118"/>
      <c r="D796" s="118"/>
      <c r="E796" s="118"/>
      <c r="F796" s="56"/>
      <c r="G796" s="56"/>
      <c r="H796" s="56"/>
      <c r="I796" s="56"/>
      <c r="J796" s="56"/>
      <c r="K796" s="56"/>
      <c r="L796" s="56"/>
      <c r="M796" s="56"/>
      <c r="N796" s="56"/>
      <c r="O796" s="56"/>
      <c r="P796" s="56"/>
      <c r="Q796" s="56"/>
      <c r="R796" s="56"/>
      <c r="S796" s="56"/>
      <c r="T796" s="56"/>
      <c r="U796" s="56"/>
      <c r="V796" s="56"/>
      <c r="W796" s="56"/>
    </row>
    <row r="797">
      <c r="A797" s="121"/>
      <c r="B797" s="56"/>
      <c r="C797" s="118"/>
      <c r="D797" s="118"/>
      <c r="E797" s="118"/>
      <c r="F797" s="56"/>
      <c r="G797" s="56"/>
      <c r="H797" s="56"/>
      <c r="I797" s="56"/>
      <c r="J797" s="56"/>
      <c r="K797" s="56"/>
      <c r="L797" s="56"/>
      <c r="M797" s="56"/>
      <c r="N797" s="56"/>
      <c r="O797" s="56"/>
      <c r="P797" s="56"/>
      <c r="Q797" s="56"/>
      <c r="R797" s="56"/>
      <c r="S797" s="56"/>
      <c r="T797" s="56"/>
      <c r="U797" s="56"/>
      <c r="V797" s="56"/>
      <c r="W797" s="56"/>
    </row>
    <row r="798">
      <c r="A798" s="121"/>
      <c r="B798" s="56"/>
      <c r="C798" s="118"/>
      <c r="D798" s="118"/>
      <c r="E798" s="118"/>
      <c r="F798" s="56"/>
      <c r="G798" s="56"/>
      <c r="H798" s="56"/>
      <c r="I798" s="56"/>
      <c r="J798" s="56"/>
      <c r="K798" s="56"/>
      <c r="L798" s="56"/>
      <c r="M798" s="56"/>
      <c r="N798" s="56"/>
      <c r="O798" s="56"/>
      <c r="P798" s="56"/>
      <c r="Q798" s="56"/>
      <c r="R798" s="56"/>
      <c r="S798" s="56"/>
      <c r="T798" s="56"/>
      <c r="U798" s="56"/>
      <c r="V798" s="56"/>
      <c r="W798" s="56"/>
    </row>
    <row r="799">
      <c r="A799" s="121"/>
      <c r="B799" s="56"/>
      <c r="C799" s="118"/>
      <c r="D799" s="118"/>
      <c r="E799" s="118"/>
      <c r="F799" s="56"/>
      <c r="G799" s="56"/>
      <c r="H799" s="56"/>
      <c r="I799" s="56"/>
      <c r="J799" s="56"/>
      <c r="K799" s="56"/>
      <c r="L799" s="56"/>
      <c r="M799" s="56"/>
      <c r="N799" s="56"/>
      <c r="O799" s="56"/>
      <c r="P799" s="56"/>
      <c r="Q799" s="56"/>
      <c r="R799" s="56"/>
      <c r="S799" s="56"/>
      <c r="T799" s="56"/>
      <c r="U799" s="56"/>
      <c r="V799" s="56"/>
      <c r="W799" s="56"/>
    </row>
    <row r="800">
      <c r="A800" s="121"/>
      <c r="B800" s="56"/>
      <c r="C800" s="118"/>
      <c r="D800" s="118"/>
      <c r="E800" s="118"/>
      <c r="F800" s="56"/>
      <c r="G800" s="56"/>
      <c r="H800" s="56"/>
      <c r="I800" s="56"/>
      <c r="J800" s="56"/>
      <c r="K800" s="56"/>
      <c r="L800" s="56"/>
      <c r="M800" s="56"/>
      <c r="N800" s="56"/>
      <c r="O800" s="56"/>
      <c r="P800" s="56"/>
      <c r="Q800" s="56"/>
      <c r="R800" s="56"/>
      <c r="S800" s="56"/>
      <c r="T800" s="56"/>
      <c r="U800" s="56"/>
      <c r="V800" s="56"/>
      <c r="W800" s="56"/>
    </row>
    <row r="801">
      <c r="A801" s="121"/>
      <c r="B801" s="56"/>
      <c r="C801" s="118"/>
      <c r="D801" s="118"/>
      <c r="E801" s="118"/>
      <c r="F801" s="56"/>
      <c r="G801" s="56"/>
      <c r="H801" s="56"/>
      <c r="I801" s="56"/>
      <c r="J801" s="56"/>
      <c r="K801" s="56"/>
      <c r="L801" s="56"/>
      <c r="M801" s="56"/>
      <c r="N801" s="56"/>
      <c r="O801" s="56"/>
      <c r="P801" s="56"/>
      <c r="Q801" s="56"/>
      <c r="R801" s="56"/>
      <c r="S801" s="56"/>
      <c r="T801" s="56"/>
      <c r="U801" s="56"/>
      <c r="V801" s="56"/>
      <c r="W801" s="56"/>
    </row>
    <row r="802">
      <c r="A802" s="121"/>
      <c r="B802" s="56"/>
      <c r="C802" s="118"/>
      <c r="D802" s="118"/>
      <c r="E802" s="118"/>
      <c r="F802" s="56"/>
      <c r="G802" s="56"/>
      <c r="H802" s="56"/>
      <c r="I802" s="56"/>
      <c r="J802" s="56"/>
      <c r="K802" s="56"/>
      <c r="L802" s="56"/>
      <c r="M802" s="56"/>
      <c r="N802" s="56"/>
      <c r="O802" s="56"/>
      <c r="P802" s="56"/>
      <c r="Q802" s="56"/>
      <c r="R802" s="56"/>
      <c r="S802" s="56"/>
      <c r="T802" s="56"/>
      <c r="U802" s="56"/>
      <c r="V802" s="56"/>
      <c r="W802" s="56"/>
    </row>
    <row r="803">
      <c r="A803" s="121"/>
      <c r="B803" s="56"/>
      <c r="C803" s="118"/>
      <c r="D803" s="118"/>
      <c r="E803" s="118"/>
      <c r="F803" s="56"/>
      <c r="G803" s="56"/>
      <c r="H803" s="56"/>
      <c r="I803" s="56"/>
      <c r="J803" s="56"/>
      <c r="K803" s="56"/>
      <c r="L803" s="56"/>
      <c r="M803" s="56"/>
      <c r="N803" s="56"/>
      <c r="O803" s="56"/>
      <c r="P803" s="56"/>
      <c r="Q803" s="56"/>
      <c r="R803" s="56"/>
      <c r="S803" s="56"/>
      <c r="T803" s="56"/>
      <c r="U803" s="56"/>
      <c r="V803" s="56"/>
      <c r="W803" s="56"/>
    </row>
    <row r="804">
      <c r="A804" s="121"/>
      <c r="B804" s="56"/>
      <c r="C804" s="118"/>
      <c r="D804" s="118"/>
      <c r="E804" s="118"/>
      <c r="F804" s="56"/>
      <c r="G804" s="56"/>
      <c r="H804" s="56"/>
      <c r="I804" s="56"/>
      <c r="J804" s="56"/>
      <c r="K804" s="56"/>
      <c r="L804" s="56"/>
      <c r="M804" s="56"/>
      <c r="N804" s="56"/>
      <c r="O804" s="56"/>
      <c r="P804" s="56"/>
      <c r="Q804" s="56"/>
      <c r="R804" s="56"/>
      <c r="S804" s="56"/>
      <c r="T804" s="56"/>
      <c r="U804" s="56"/>
      <c r="V804" s="56"/>
      <c r="W804" s="56"/>
    </row>
    <row r="805">
      <c r="A805" s="121"/>
      <c r="B805" s="56"/>
      <c r="C805" s="118"/>
      <c r="D805" s="118"/>
      <c r="E805" s="118"/>
      <c r="F805" s="56"/>
      <c r="G805" s="56"/>
      <c r="H805" s="56"/>
      <c r="I805" s="56"/>
      <c r="J805" s="56"/>
      <c r="K805" s="56"/>
      <c r="L805" s="56"/>
      <c r="M805" s="56"/>
      <c r="N805" s="56"/>
      <c r="O805" s="56"/>
      <c r="P805" s="56"/>
      <c r="Q805" s="56"/>
      <c r="R805" s="56"/>
      <c r="S805" s="56"/>
      <c r="T805" s="56"/>
      <c r="U805" s="56"/>
      <c r="V805" s="56"/>
      <c r="W805" s="56"/>
    </row>
    <row r="806">
      <c r="A806" s="121"/>
      <c r="B806" s="56"/>
      <c r="C806" s="118"/>
      <c r="D806" s="118"/>
      <c r="E806" s="118"/>
      <c r="F806" s="56"/>
      <c r="G806" s="56"/>
      <c r="H806" s="56"/>
      <c r="I806" s="56"/>
      <c r="J806" s="56"/>
      <c r="K806" s="56"/>
      <c r="L806" s="56"/>
      <c r="M806" s="56"/>
      <c r="N806" s="56"/>
      <c r="O806" s="56"/>
      <c r="P806" s="56"/>
      <c r="Q806" s="56"/>
      <c r="R806" s="56"/>
      <c r="S806" s="56"/>
      <c r="T806" s="56"/>
      <c r="U806" s="56"/>
      <c r="V806" s="56"/>
      <c r="W806" s="56"/>
    </row>
    <row r="807">
      <c r="A807" s="121"/>
      <c r="B807" s="56"/>
      <c r="C807" s="118"/>
      <c r="D807" s="118"/>
      <c r="E807" s="118"/>
      <c r="F807" s="56"/>
      <c r="G807" s="56"/>
      <c r="H807" s="56"/>
      <c r="I807" s="56"/>
      <c r="J807" s="56"/>
      <c r="K807" s="56"/>
      <c r="L807" s="56"/>
      <c r="M807" s="56"/>
      <c r="N807" s="56"/>
      <c r="O807" s="56"/>
      <c r="P807" s="56"/>
      <c r="Q807" s="56"/>
      <c r="R807" s="56"/>
      <c r="S807" s="56"/>
      <c r="T807" s="56"/>
      <c r="U807" s="56"/>
      <c r="V807" s="56"/>
      <c r="W807" s="56"/>
    </row>
    <row r="808">
      <c r="A808" s="121"/>
      <c r="B808" s="56"/>
      <c r="C808" s="118"/>
      <c r="D808" s="118"/>
      <c r="E808" s="118"/>
      <c r="F808" s="56"/>
      <c r="G808" s="56"/>
      <c r="H808" s="56"/>
      <c r="I808" s="56"/>
      <c r="J808" s="56"/>
      <c r="K808" s="56"/>
      <c r="L808" s="56"/>
      <c r="M808" s="56"/>
      <c r="N808" s="56"/>
      <c r="O808" s="56"/>
      <c r="P808" s="56"/>
      <c r="Q808" s="56"/>
      <c r="R808" s="56"/>
      <c r="S808" s="56"/>
      <c r="T808" s="56"/>
      <c r="U808" s="56"/>
      <c r="V808" s="56"/>
      <c r="W808" s="56"/>
    </row>
    <row r="809">
      <c r="A809" s="121"/>
      <c r="B809" s="56"/>
      <c r="C809" s="118"/>
      <c r="D809" s="118"/>
      <c r="E809" s="118"/>
      <c r="F809" s="56"/>
      <c r="G809" s="56"/>
      <c r="H809" s="56"/>
      <c r="I809" s="56"/>
      <c r="J809" s="56"/>
      <c r="K809" s="56"/>
      <c r="L809" s="56"/>
      <c r="M809" s="56"/>
      <c r="N809" s="56"/>
      <c r="O809" s="56"/>
      <c r="P809" s="56"/>
      <c r="Q809" s="56"/>
      <c r="R809" s="56"/>
      <c r="S809" s="56"/>
      <c r="T809" s="56"/>
      <c r="U809" s="56"/>
      <c r="V809" s="56"/>
      <c r="W809" s="56"/>
    </row>
    <row r="810">
      <c r="A810" s="121"/>
      <c r="B810" s="56"/>
      <c r="C810" s="118"/>
      <c r="D810" s="118"/>
      <c r="E810" s="118"/>
      <c r="F810" s="56"/>
      <c r="G810" s="56"/>
      <c r="H810" s="56"/>
      <c r="I810" s="56"/>
      <c r="J810" s="56"/>
      <c r="K810" s="56"/>
      <c r="L810" s="56"/>
      <c r="M810" s="56"/>
      <c r="N810" s="56"/>
      <c r="O810" s="56"/>
      <c r="P810" s="56"/>
      <c r="Q810" s="56"/>
      <c r="R810" s="56"/>
      <c r="S810" s="56"/>
      <c r="T810" s="56"/>
      <c r="U810" s="56"/>
      <c r="V810" s="56"/>
      <c r="W810" s="56"/>
    </row>
    <row r="811">
      <c r="A811" s="121"/>
      <c r="B811" s="56"/>
      <c r="C811" s="118"/>
      <c r="D811" s="118"/>
      <c r="E811" s="118"/>
      <c r="F811" s="56"/>
      <c r="G811" s="56"/>
      <c r="H811" s="56"/>
      <c r="I811" s="56"/>
      <c r="J811" s="56"/>
      <c r="K811" s="56"/>
      <c r="L811" s="56"/>
      <c r="M811" s="56"/>
      <c r="N811" s="56"/>
      <c r="O811" s="56"/>
      <c r="P811" s="56"/>
      <c r="Q811" s="56"/>
      <c r="R811" s="56"/>
      <c r="S811" s="56"/>
      <c r="T811" s="56"/>
      <c r="U811" s="56"/>
      <c r="V811" s="56"/>
      <c r="W811" s="56"/>
    </row>
    <row r="812">
      <c r="A812" s="121"/>
      <c r="B812" s="56"/>
      <c r="C812" s="118"/>
      <c r="D812" s="118"/>
      <c r="E812" s="118"/>
      <c r="F812" s="56"/>
      <c r="G812" s="56"/>
      <c r="H812" s="56"/>
      <c r="I812" s="56"/>
      <c r="J812" s="56"/>
      <c r="K812" s="56"/>
      <c r="L812" s="56"/>
      <c r="M812" s="56"/>
      <c r="N812" s="56"/>
      <c r="O812" s="56"/>
      <c r="P812" s="56"/>
      <c r="Q812" s="56"/>
      <c r="R812" s="56"/>
      <c r="S812" s="56"/>
      <c r="T812" s="56"/>
      <c r="U812" s="56"/>
      <c r="V812" s="56"/>
      <c r="W812" s="56"/>
    </row>
    <row r="813">
      <c r="A813" s="121"/>
      <c r="B813" s="56"/>
      <c r="C813" s="118"/>
      <c r="D813" s="118"/>
      <c r="E813" s="118"/>
      <c r="F813" s="56"/>
      <c r="G813" s="56"/>
      <c r="H813" s="56"/>
      <c r="I813" s="56"/>
      <c r="J813" s="56"/>
      <c r="K813" s="56"/>
      <c r="L813" s="56"/>
      <c r="M813" s="56"/>
      <c r="N813" s="56"/>
      <c r="O813" s="56"/>
      <c r="P813" s="56"/>
      <c r="Q813" s="56"/>
      <c r="R813" s="56"/>
      <c r="S813" s="56"/>
      <c r="T813" s="56"/>
      <c r="U813" s="56"/>
      <c r="V813" s="56"/>
      <c r="W813" s="56"/>
    </row>
    <row r="814">
      <c r="A814" s="121"/>
      <c r="B814" s="56"/>
      <c r="C814" s="118"/>
      <c r="D814" s="118"/>
      <c r="E814" s="118"/>
      <c r="F814" s="56"/>
      <c r="G814" s="56"/>
      <c r="H814" s="56"/>
      <c r="I814" s="56"/>
      <c r="J814" s="56"/>
      <c r="K814" s="56"/>
      <c r="L814" s="56"/>
      <c r="M814" s="56"/>
      <c r="N814" s="56"/>
      <c r="O814" s="56"/>
      <c r="P814" s="56"/>
      <c r="Q814" s="56"/>
      <c r="R814" s="56"/>
      <c r="S814" s="56"/>
      <c r="T814" s="56"/>
      <c r="U814" s="56"/>
      <c r="V814" s="56"/>
      <c r="W814" s="56"/>
    </row>
    <row r="815">
      <c r="A815" s="121"/>
      <c r="B815" s="56"/>
      <c r="C815" s="118"/>
      <c r="D815" s="118"/>
      <c r="E815" s="118"/>
      <c r="F815" s="56"/>
      <c r="G815" s="56"/>
      <c r="H815" s="56"/>
      <c r="I815" s="56"/>
      <c r="J815" s="56"/>
      <c r="K815" s="56"/>
      <c r="L815" s="56"/>
      <c r="M815" s="56"/>
      <c r="N815" s="56"/>
      <c r="O815" s="56"/>
      <c r="P815" s="56"/>
      <c r="Q815" s="56"/>
      <c r="R815" s="56"/>
      <c r="S815" s="56"/>
      <c r="T815" s="56"/>
      <c r="U815" s="56"/>
      <c r="V815" s="56"/>
      <c r="W815" s="56"/>
    </row>
    <row r="816">
      <c r="A816" s="121"/>
      <c r="B816" s="56"/>
      <c r="C816" s="118"/>
      <c r="D816" s="118"/>
      <c r="E816" s="118"/>
      <c r="F816" s="56"/>
      <c r="G816" s="56"/>
      <c r="H816" s="56"/>
      <c r="I816" s="56"/>
      <c r="J816" s="56"/>
      <c r="K816" s="56"/>
      <c r="L816" s="56"/>
      <c r="M816" s="56"/>
      <c r="N816" s="56"/>
      <c r="O816" s="56"/>
      <c r="P816" s="56"/>
      <c r="Q816" s="56"/>
      <c r="R816" s="56"/>
      <c r="S816" s="56"/>
      <c r="T816" s="56"/>
      <c r="U816" s="56"/>
      <c r="V816" s="56"/>
      <c r="W816" s="56"/>
    </row>
    <row r="817">
      <c r="A817" s="121"/>
      <c r="B817" s="56"/>
      <c r="C817" s="118"/>
      <c r="D817" s="118"/>
      <c r="E817" s="118"/>
      <c r="F817" s="56"/>
      <c r="G817" s="56"/>
      <c r="H817" s="56"/>
      <c r="I817" s="56"/>
      <c r="J817" s="56"/>
      <c r="K817" s="56"/>
      <c r="L817" s="56"/>
      <c r="M817" s="56"/>
      <c r="N817" s="56"/>
      <c r="O817" s="56"/>
      <c r="P817" s="56"/>
      <c r="Q817" s="56"/>
      <c r="R817" s="56"/>
      <c r="S817" s="56"/>
      <c r="T817" s="56"/>
      <c r="U817" s="56"/>
      <c r="V817" s="56"/>
      <c r="W817" s="56"/>
    </row>
    <row r="818">
      <c r="A818" s="121"/>
      <c r="B818" s="56"/>
      <c r="C818" s="118"/>
      <c r="D818" s="118"/>
      <c r="E818" s="118"/>
      <c r="F818" s="56"/>
      <c r="G818" s="56"/>
      <c r="H818" s="56"/>
      <c r="I818" s="56"/>
      <c r="J818" s="56"/>
      <c r="K818" s="56"/>
      <c r="L818" s="56"/>
      <c r="M818" s="56"/>
      <c r="N818" s="56"/>
      <c r="O818" s="56"/>
      <c r="P818" s="56"/>
      <c r="Q818" s="56"/>
      <c r="R818" s="56"/>
      <c r="S818" s="56"/>
      <c r="T818" s="56"/>
      <c r="U818" s="56"/>
      <c r="V818" s="56"/>
      <c r="W818" s="56"/>
    </row>
    <row r="819">
      <c r="A819" s="121"/>
      <c r="B819" s="56"/>
      <c r="C819" s="118"/>
      <c r="D819" s="118"/>
      <c r="E819" s="118"/>
      <c r="F819" s="56"/>
      <c r="G819" s="56"/>
      <c r="H819" s="56"/>
      <c r="I819" s="56"/>
      <c r="J819" s="56"/>
      <c r="K819" s="56"/>
      <c r="L819" s="56"/>
      <c r="M819" s="56"/>
      <c r="N819" s="56"/>
      <c r="O819" s="56"/>
      <c r="P819" s="56"/>
      <c r="Q819" s="56"/>
      <c r="R819" s="56"/>
      <c r="S819" s="56"/>
      <c r="T819" s="56"/>
      <c r="U819" s="56"/>
      <c r="V819" s="56"/>
      <c r="W819" s="56"/>
    </row>
    <row r="820">
      <c r="A820" s="121"/>
      <c r="B820" s="56"/>
      <c r="C820" s="118"/>
      <c r="D820" s="118"/>
      <c r="E820" s="118"/>
      <c r="F820" s="56"/>
      <c r="G820" s="56"/>
      <c r="H820" s="56"/>
      <c r="I820" s="56"/>
      <c r="J820" s="56"/>
      <c r="K820" s="56"/>
      <c r="L820" s="56"/>
      <c r="M820" s="56"/>
      <c r="N820" s="56"/>
      <c r="O820" s="56"/>
      <c r="P820" s="56"/>
      <c r="Q820" s="56"/>
      <c r="R820" s="56"/>
      <c r="S820" s="56"/>
      <c r="T820" s="56"/>
      <c r="U820" s="56"/>
      <c r="V820" s="56"/>
      <c r="W820" s="56"/>
    </row>
    <row r="821">
      <c r="A821" s="121"/>
      <c r="B821" s="56"/>
      <c r="C821" s="118"/>
      <c r="D821" s="118"/>
      <c r="E821" s="118"/>
      <c r="F821" s="56"/>
      <c r="G821" s="56"/>
      <c r="H821" s="56"/>
      <c r="I821" s="56"/>
      <c r="J821" s="56"/>
      <c r="K821" s="56"/>
      <c r="L821" s="56"/>
      <c r="M821" s="56"/>
      <c r="N821" s="56"/>
      <c r="O821" s="56"/>
      <c r="P821" s="56"/>
      <c r="Q821" s="56"/>
      <c r="R821" s="56"/>
      <c r="S821" s="56"/>
      <c r="T821" s="56"/>
      <c r="U821" s="56"/>
      <c r="V821" s="56"/>
      <c r="W821" s="56"/>
    </row>
    <row r="822">
      <c r="A822" s="121"/>
      <c r="B822" s="56"/>
      <c r="C822" s="118"/>
      <c r="D822" s="118"/>
      <c r="E822" s="118"/>
      <c r="F822" s="56"/>
      <c r="G822" s="56"/>
      <c r="H822" s="56"/>
      <c r="I822" s="56"/>
      <c r="J822" s="56"/>
      <c r="K822" s="56"/>
      <c r="L822" s="56"/>
      <c r="M822" s="56"/>
      <c r="N822" s="56"/>
      <c r="O822" s="56"/>
      <c r="P822" s="56"/>
      <c r="Q822" s="56"/>
      <c r="R822" s="56"/>
      <c r="S822" s="56"/>
      <c r="T822" s="56"/>
      <c r="U822" s="56"/>
      <c r="V822" s="56"/>
      <c r="W822" s="56"/>
    </row>
    <row r="823">
      <c r="A823" s="121"/>
      <c r="B823" s="56"/>
      <c r="C823" s="118"/>
      <c r="D823" s="118"/>
      <c r="E823" s="118"/>
      <c r="F823" s="56"/>
      <c r="G823" s="56"/>
      <c r="H823" s="56"/>
      <c r="I823" s="56"/>
      <c r="J823" s="56"/>
      <c r="K823" s="56"/>
      <c r="L823" s="56"/>
      <c r="M823" s="56"/>
      <c r="N823" s="56"/>
      <c r="O823" s="56"/>
      <c r="P823" s="56"/>
      <c r="Q823" s="56"/>
      <c r="R823" s="56"/>
      <c r="S823" s="56"/>
      <c r="T823" s="56"/>
      <c r="U823" s="56"/>
      <c r="V823" s="56"/>
      <c r="W823" s="56"/>
    </row>
    <row r="824">
      <c r="A824" s="121"/>
      <c r="B824" s="56"/>
      <c r="C824" s="118"/>
      <c r="D824" s="118"/>
      <c r="E824" s="118"/>
      <c r="F824" s="56"/>
      <c r="G824" s="56"/>
      <c r="H824" s="56"/>
      <c r="I824" s="56"/>
      <c r="J824" s="56"/>
      <c r="K824" s="56"/>
      <c r="L824" s="56"/>
      <c r="M824" s="56"/>
      <c r="N824" s="56"/>
      <c r="O824" s="56"/>
      <c r="P824" s="56"/>
      <c r="Q824" s="56"/>
      <c r="R824" s="56"/>
      <c r="S824" s="56"/>
      <c r="T824" s="56"/>
      <c r="U824" s="56"/>
      <c r="V824" s="56"/>
      <c r="W824" s="56"/>
    </row>
    <row r="825">
      <c r="A825" s="121"/>
      <c r="B825" s="56"/>
      <c r="C825" s="118"/>
      <c r="D825" s="118"/>
      <c r="E825" s="118"/>
      <c r="F825" s="56"/>
      <c r="G825" s="56"/>
      <c r="H825" s="56"/>
      <c r="I825" s="56"/>
      <c r="J825" s="56"/>
      <c r="K825" s="56"/>
      <c r="L825" s="56"/>
      <c r="M825" s="56"/>
      <c r="N825" s="56"/>
      <c r="O825" s="56"/>
      <c r="P825" s="56"/>
      <c r="Q825" s="56"/>
      <c r="R825" s="56"/>
      <c r="S825" s="56"/>
      <c r="T825" s="56"/>
      <c r="U825" s="56"/>
      <c r="V825" s="56"/>
      <c r="W825" s="56"/>
    </row>
    <row r="826">
      <c r="A826" s="121"/>
      <c r="B826" s="56"/>
      <c r="C826" s="118"/>
      <c r="D826" s="118"/>
      <c r="E826" s="118"/>
      <c r="F826" s="56"/>
      <c r="G826" s="56"/>
      <c r="H826" s="56"/>
      <c r="I826" s="56"/>
      <c r="J826" s="56"/>
      <c r="K826" s="56"/>
      <c r="L826" s="56"/>
      <c r="M826" s="56"/>
      <c r="N826" s="56"/>
      <c r="O826" s="56"/>
      <c r="P826" s="56"/>
      <c r="Q826" s="56"/>
      <c r="R826" s="56"/>
      <c r="S826" s="56"/>
      <c r="T826" s="56"/>
      <c r="U826" s="56"/>
      <c r="V826" s="56"/>
      <c r="W826" s="56"/>
    </row>
    <row r="827">
      <c r="A827" s="121"/>
      <c r="B827" s="56"/>
      <c r="C827" s="118"/>
      <c r="D827" s="118"/>
      <c r="E827" s="118"/>
      <c r="F827" s="56"/>
      <c r="G827" s="56"/>
      <c r="H827" s="56"/>
      <c r="I827" s="56"/>
      <c r="J827" s="56"/>
      <c r="K827" s="56"/>
      <c r="L827" s="56"/>
      <c r="M827" s="56"/>
      <c r="N827" s="56"/>
      <c r="O827" s="56"/>
      <c r="P827" s="56"/>
      <c r="Q827" s="56"/>
      <c r="R827" s="56"/>
      <c r="S827" s="56"/>
      <c r="T827" s="56"/>
      <c r="U827" s="56"/>
      <c r="V827" s="56"/>
      <c r="W827" s="56"/>
    </row>
    <row r="828">
      <c r="A828" s="121"/>
      <c r="B828" s="56"/>
      <c r="C828" s="118"/>
      <c r="D828" s="118"/>
      <c r="E828" s="118"/>
      <c r="F828" s="56"/>
      <c r="G828" s="56"/>
      <c r="H828" s="56"/>
      <c r="I828" s="56"/>
      <c r="J828" s="56"/>
      <c r="K828" s="56"/>
      <c r="L828" s="56"/>
      <c r="M828" s="56"/>
      <c r="N828" s="56"/>
      <c r="O828" s="56"/>
      <c r="P828" s="56"/>
      <c r="Q828" s="56"/>
      <c r="R828" s="56"/>
      <c r="S828" s="56"/>
      <c r="T828" s="56"/>
      <c r="U828" s="56"/>
      <c r="V828" s="56"/>
      <c r="W828" s="56"/>
    </row>
    <row r="829">
      <c r="A829" s="121"/>
      <c r="B829" s="56"/>
      <c r="C829" s="118"/>
      <c r="D829" s="118"/>
      <c r="E829" s="118"/>
      <c r="F829" s="56"/>
      <c r="G829" s="56"/>
      <c r="H829" s="56"/>
      <c r="I829" s="56"/>
      <c r="J829" s="56"/>
      <c r="K829" s="56"/>
      <c r="L829" s="56"/>
      <c r="M829" s="56"/>
      <c r="N829" s="56"/>
      <c r="O829" s="56"/>
      <c r="P829" s="56"/>
      <c r="Q829" s="56"/>
      <c r="R829" s="56"/>
      <c r="S829" s="56"/>
      <c r="T829" s="56"/>
      <c r="U829" s="56"/>
      <c r="V829" s="56"/>
      <c r="W829" s="56"/>
    </row>
    <row r="830">
      <c r="A830" s="121"/>
      <c r="B830" s="56"/>
      <c r="C830" s="118"/>
      <c r="D830" s="118"/>
      <c r="E830" s="118"/>
      <c r="F830" s="56"/>
      <c r="G830" s="56"/>
      <c r="H830" s="56"/>
      <c r="I830" s="56"/>
      <c r="J830" s="56"/>
      <c r="K830" s="56"/>
      <c r="L830" s="56"/>
      <c r="M830" s="56"/>
      <c r="N830" s="56"/>
      <c r="O830" s="56"/>
      <c r="P830" s="56"/>
      <c r="Q830" s="56"/>
      <c r="R830" s="56"/>
      <c r="S830" s="56"/>
      <c r="T830" s="56"/>
      <c r="U830" s="56"/>
      <c r="V830" s="56"/>
      <c r="W830" s="56"/>
    </row>
    <row r="831">
      <c r="A831" s="121"/>
      <c r="B831" s="56"/>
      <c r="C831" s="118"/>
      <c r="D831" s="118"/>
      <c r="E831" s="118"/>
      <c r="F831" s="56"/>
      <c r="G831" s="56"/>
      <c r="H831" s="56"/>
      <c r="I831" s="56"/>
      <c r="J831" s="56"/>
      <c r="K831" s="56"/>
      <c r="L831" s="56"/>
      <c r="M831" s="56"/>
      <c r="N831" s="56"/>
      <c r="O831" s="56"/>
      <c r="P831" s="56"/>
      <c r="Q831" s="56"/>
      <c r="R831" s="56"/>
      <c r="S831" s="56"/>
      <c r="T831" s="56"/>
      <c r="U831" s="56"/>
      <c r="V831" s="56"/>
      <c r="W831" s="56"/>
    </row>
    <row r="832">
      <c r="A832" s="121"/>
      <c r="B832" s="56"/>
      <c r="C832" s="118"/>
      <c r="D832" s="118"/>
      <c r="E832" s="118"/>
      <c r="F832" s="56"/>
      <c r="G832" s="56"/>
      <c r="H832" s="56"/>
      <c r="I832" s="56"/>
      <c r="J832" s="56"/>
      <c r="K832" s="56"/>
      <c r="L832" s="56"/>
      <c r="M832" s="56"/>
      <c r="N832" s="56"/>
      <c r="O832" s="56"/>
      <c r="P832" s="56"/>
      <c r="Q832" s="56"/>
      <c r="R832" s="56"/>
      <c r="S832" s="56"/>
      <c r="T832" s="56"/>
      <c r="U832" s="56"/>
      <c r="V832" s="56"/>
      <c r="W832" s="56"/>
    </row>
    <row r="833">
      <c r="A833" s="121"/>
      <c r="B833" s="56"/>
      <c r="C833" s="118"/>
      <c r="D833" s="118"/>
      <c r="E833" s="118"/>
      <c r="F833" s="56"/>
      <c r="G833" s="56"/>
      <c r="H833" s="56"/>
      <c r="I833" s="56"/>
      <c r="J833" s="56"/>
      <c r="K833" s="56"/>
      <c r="L833" s="56"/>
      <c r="M833" s="56"/>
      <c r="N833" s="56"/>
      <c r="O833" s="56"/>
      <c r="P833" s="56"/>
      <c r="Q833" s="56"/>
      <c r="R833" s="56"/>
      <c r="S833" s="56"/>
      <c r="T833" s="56"/>
      <c r="U833" s="56"/>
      <c r="V833" s="56"/>
      <c r="W833" s="56"/>
    </row>
    <row r="834">
      <c r="A834" s="121"/>
      <c r="B834" s="56"/>
      <c r="C834" s="118"/>
      <c r="D834" s="118"/>
      <c r="E834" s="118"/>
      <c r="F834" s="56"/>
      <c r="G834" s="56"/>
      <c r="H834" s="56"/>
      <c r="I834" s="56"/>
      <c r="J834" s="56"/>
      <c r="K834" s="56"/>
      <c r="L834" s="56"/>
      <c r="M834" s="56"/>
      <c r="N834" s="56"/>
      <c r="O834" s="56"/>
      <c r="P834" s="56"/>
      <c r="Q834" s="56"/>
      <c r="R834" s="56"/>
      <c r="S834" s="56"/>
      <c r="T834" s="56"/>
      <c r="U834" s="56"/>
      <c r="V834" s="56"/>
      <c r="W834" s="56"/>
    </row>
    <row r="835">
      <c r="A835" s="121"/>
      <c r="B835" s="56"/>
      <c r="C835" s="118"/>
      <c r="D835" s="118"/>
      <c r="E835" s="118"/>
      <c r="F835" s="56"/>
      <c r="G835" s="56"/>
      <c r="H835" s="56"/>
      <c r="I835" s="56"/>
      <c r="J835" s="56"/>
      <c r="K835" s="56"/>
      <c r="L835" s="56"/>
      <c r="M835" s="56"/>
      <c r="N835" s="56"/>
      <c r="O835" s="56"/>
      <c r="P835" s="56"/>
      <c r="Q835" s="56"/>
      <c r="R835" s="56"/>
      <c r="S835" s="56"/>
      <c r="T835" s="56"/>
      <c r="U835" s="56"/>
      <c r="V835" s="56"/>
      <c r="W835" s="56"/>
    </row>
    <row r="836">
      <c r="A836" s="121"/>
      <c r="B836" s="56"/>
      <c r="C836" s="118"/>
      <c r="D836" s="118"/>
      <c r="E836" s="118"/>
      <c r="F836" s="56"/>
      <c r="G836" s="56"/>
      <c r="H836" s="56"/>
      <c r="I836" s="56"/>
      <c r="J836" s="56"/>
      <c r="K836" s="56"/>
      <c r="L836" s="56"/>
      <c r="M836" s="56"/>
      <c r="N836" s="56"/>
      <c r="O836" s="56"/>
      <c r="P836" s="56"/>
      <c r="Q836" s="56"/>
      <c r="R836" s="56"/>
      <c r="S836" s="56"/>
      <c r="T836" s="56"/>
      <c r="U836" s="56"/>
      <c r="V836" s="56"/>
      <c r="W836" s="56"/>
    </row>
    <row r="837">
      <c r="A837" s="121"/>
      <c r="B837" s="56"/>
      <c r="C837" s="118"/>
      <c r="D837" s="118"/>
      <c r="E837" s="118"/>
      <c r="F837" s="56"/>
      <c r="G837" s="56"/>
      <c r="H837" s="56"/>
      <c r="I837" s="56"/>
      <c r="J837" s="56"/>
      <c r="K837" s="56"/>
      <c r="L837" s="56"/>
      <c r="M837" s="56"/>
      <c r="N837" s="56"/>
      <c r="O837" s="56"/>
      <c r="P837" s="56"/>
      <c r="Q837" s="56"/>
      <c r="R837" s="56"/>
      <c r="S837" s="56"/>
      <c r="T837" s="56"/>
      <c r="U837" s="56"/>
      <c r="V837" s="56"/>
      <c r="W837" s="56"/>
    </row>
    <row r="838">
      <c r="A838" s="121"/>
      <c r="B838" s="56"/>
      <c r="C838" s="118"/>
      <c r="D838" s="118"/>
      <c r="E838" s="118"/>
      <c r="F838" s="56"/>
      <c r="G838" s="56"/>
      <c r="H838" s="56"/>
      <c r="I838" s="56"/>
      <c r="J838" s="56"/>
      <c r="K838" s="56"/>
      <c r="L838" s="56"/>
      <c r="M838" s="56"/>
      <c r="N838" s="56"/>
      <c r="O838" s="56"/>
      <c r="P838" s="56"/>
      <c r="Q838" s="56"/>
      <c r="R838" s="56"/>
      <c r="S838" s="56"/>
      <c r="T838" s="56"/>
      <c r="U838" s="56"/>
      <c r="V838" s="56"/>
      <c r="W838" s="56"/>
    </row>
    <row r="839">
      <c r="A839" s="121"/>
      <c r="B839" s="56"/>
      <c r="C839" s="118"/>
      <c r="D839" s="118"/>
      <c r="E839" s="118"/>
      <c r="F839" s="56"/>
      <c r="G839" s="56"/>
      <c r="H839" s="56"/>
      <c r="I839" s="56"/>
      <c r="J839" s="56"/>
      <c r="K839" s="56"/>
      <c r="L839" s="56"/>
      <c r="M839" s="56"/>
      <c r="N839" s="56"/>
      <c r="O839" s="56"/>
      <c r="P839" s="56"/>
      <c r="Q839" s="56"/>
      <c r="R839" s="56"/>
      <c r="S839" s="56"/>
      <c r="T839" s="56"/>
      <c r="U839" s="56"/>
      <c r="V839" s="56"/>
      <c r="W839" s="56"/>
    </row>
    <row r="840">
      <c r="A840" s="121"/>
      <c r="B840" s="56"/>
      <c r="C840" s="118"/>
      <c r="D840" s="118"/>
      <c r="E840" s="118"/>
      <c r="F840" s="56"/>
      <c r="G840" s="56"/>
      <c r="H840" s="56"/>
      <c r="I840" s="56"/>
      <c r="J840" s="56"/>
      <c r="K840" s="56"/>
      <c r="L840" s="56"/>
      <c r="M840" s="56"/>
      <c r="N840" s="56"/>
      <c r="O840" s="56"/>
      <c r="P840" s="56"/>
      <c r="Q840" s="56"/>
      <c r="R840" s="56"/>
      <c r="S840" s="56"/>
      <c r="T840" s="56"/>
      <c r="U840" s="56"/>
      <c r="V840" s="56"/>
      <c r="W840" s="56"/>
    </row>
    <row r="841">
      <c r="A841" s="121"/>
      <c r="B841" s="56"/>
      <c r="C841" s="118"/>
      <c r="D841" s="118"/>
      <c r="E841" s="118"/>
      <c r="F841" s="56"/>
      <c r="G841" s="56"/>
      <c r="H841" s="56"/>
      <c r="I841" s="56"/>
      <c r="J841" s="56"/>
      <c r="K841" s="56"/>
      <c r="L841" s="56"/>
      <c r="M841" s="56"/>
      <c r="N841" s="56"/>
      <c r="O841" s="56"/>
      <c r="P841" s="56"/>
      <c r="Q841" s="56"/>
      <c r="R841" s="56"/>
      <c r="S841" s="56"/>
      <c r="T841" s="56"/>
      <c r="U841" s="56"/>
      <c r="V841" s="56"/>
      <c r="W841" s="56"/>
    </row>
    <row r="842">
      <c r="A842" s="121"/>
      <c r="B842" s="56"/>
      <c r="C842" s="118"/>
      <c r="D842" s="118"/>
      <c r="E842" s="118"/>
      <c r="F842" s="56"/>
      <c r="G842" s="56"/>
      <c r="H842" s="56"/>
      <c r="I842" s="56"/>
      <c r="J842" s="56"/>
      <c r="K842" s="56"/>
      <c r="L842" s="56"/>
      <c r="M842" s="56"/>
      <c r="N842" s="56"/>
      <c r="O842" s="56"/>
      <c r="P842" s="56"/>
      <c r="Q842" s="56"/>
      <c r="R842" s="56"/>
      <c r="S842" s="56"/>
      <c r="T842" s="56"/>
      <c r="U842" s="56"/>
      <c r="V842" s="56"/>
      <c r="W842" s="56"/>
    </row>
    <row r="843">
      <c r="A843" s="121"/>
      <c r="B843" s="56"/>
      <c r="C843" s="118"/>
      <c r="D843" s="118"/>
      <c r="E843" s="118"/>
      <c r="F843" s="56"/>
      <c r="G843" s="56"/>
      <c r="H843" s="56"/>
      <c r="I843" s="56"/>
      <c r="J843" s="56"/>
      <c r="K843" s="56"/>
      <c r="L843" s="56"/>
      <c r="M843" s="56"/>
      <c r="N843" s="56"/>
      <c r="O843" s="56"/>
      <c r="P843" s="56"/>
      <c r="Q843" s="56"/>
      <c r="R843" s="56"/>
      <c r="S843" s="56"/>
      <c r="T843" s="56"/>
      <c r="U843" s="56"/>
      <c r="V843" s="56"/>
      <c r="W843" s="56"/>
    </row>
    <row r="844">
      <c r="A844" s="121"/>
      <c r="B844" s="56"/>
      <c r="C844" s="118"/>
      <c r="D844" s="118"/>
      <c r="E844" s="118"/>
      <c r="F844" s="56"/>
      <c r="G844" s="56"/>
      <c r="H844" s="56"/>
      <c r="I844" s="56"/>
      <c r="J844" s="56"/>
      <c r="K844" s="56"/>
      <c r="L844" s="56"/>
      <c r="M844" s="56"/>
      <c r="N844" s="56"/>
      <c r="O844" s="56"/>
      <c r="P844" s="56"/>
      <c r="Q844" s="56"/>
      <c r="R844" s="56"/>
      <c r="S844" s="56"/>
      <c r="T844" s="56"/>
      <c r="U844" s="56"/>
      <c r="V844" s="56"/>
      <c r="W844" s="56"/>
    </row>
    <row r="845">
      <c r="A845" s="121"/>
      <c r="B845" s="56"/>
      <c r="C845" s="118"/>
      <c r="D845" s="118"/>
      <c r="E845" s="118"/>
      <c r="F845" s="56"/>
      <c r="G845" s="56"/>
      <c r="H845" s="56"/>
      <c r="I845" s="56"/>
      <c r="J845" s="56"/>
      <c r="K845" s="56"/>
      <c r="L845" s="56"/>
      <c r="M845" s="56"/>
      <c r="N845" s="56"/>
      <c r="O845" s="56"/>
      <c r="P845" s="56"/>
      <c r="Q845" s="56"/>
      <c r="R845" s="56"/>
      <c r="S845" s="56"/>
      <c r="T845" s="56"/>
      <c r="U845" s="56"/>
      <c r="V845" s="56"/>
      <c r="W845" s="56"/>
    </row>
    <row r="846">
      <c r="A846" s="121"/>
      <c r="B846" s="56"/>
      <c r="C846" s="118"/>
      <c r="D846" s="118"/>
      <c r="E846" s="118"/>
      <c r="F846" s="56"/>
      <c r="G846" s="56"/>
      <c r="H846" s="56"/>
      <c r="I846" s="56"/>
      <c r="J846" s="56"/>
      <c r="K846" s="56"/>
      <c r="L846" s="56"/>
      <c r="M846" s="56"/>
      <c r="N846" s="56"/>
      <c r="O846" s="56"/>
      <c r="P846" s="56"/>
      <c r="Q846" s="56"/>
      <c r="R846" s="56"/>
      <c r="S846" s="56"/>
      <c r="T846" s="56"/>
      <c r="U846" s="56"/>
      <c r="V846" s="56"/>
      <c r="W846" s="56"/>
    </row>
    <row r="847">
      <c r="A847" s="121"/>
      <c r="B847" s="56"/>
      <c r="C847" s="118"/>
      <c r="D847" s="118"/>
      <c r="E847" s="118"/>
      <c r="F847" s="56"/>
      <c r="G847" s="56"/>
      <c r="H847" s="56"/>
      <c r="I847" s="56"/>
      <c r="J847" s="56"/>
      <c r="K847" s="56"/>
      <c r="L847" s="56"/>
      <c r="M847" s="56"/>
      <c r="N847" s="56"/>
      <c r="O847" s="56"/>
      <c r="P847" s="56"/>
      <c r="Q847" s="56"/>
      <c r="R847" s="56"/>
      <c r="S847" s="56"/>
      <c r="T847" s="56"/>
      <c r="U847" s="56"/>
      <c r="V847" s="56"/>
      <c r="W847" s="56"/>
    </row>
    <row r="848">
      <c r="A848" s="121"/>
      <c r="B848" s="56"/>
      <c r="C848" s="118"/>
      <c r="D848" s="118"/>
      <c r="E848" s="118"/>
      <c r="F848" s="56"/>
      <c r="G848" s="56"/>
      <c r="H848" s="56"/>
      <c r="I848" s="56"/>
      <c r="J848" s="56"/>
      <c r="K848" s="56"/>
      <c r="L848" s="56"/>
      <c r="M848" s="56"/>
      <c r="N848" s="56"/>
      <c r="O848" s="56"/>
      <c r="P848" s="56"/>
      <c r="Q848" s="56"/>
      <c r="R848" s="56"/>
      <c r="S848" s="56"/>
      <c r="T848" s="56"/>
      <c r="U848" s="56"/>
      <c r="V848" s="56"/>
      <c r="W848" s="56"/>
    </row>
    <row r="849">
      <c r="A849" s="121"/>
      <c r="B849" s="56"/>
      <c r="C849" s="118"/>
      <c r="D849" s="118"/>
      <c r="E849" s="118"/>
      <c r="F849" s="56"/>
      <c r="G849" s="56"/>
      <c r="H849" s="56"/>
      <c r="I849" s="56"/>
      <c r="J849" s="56"/>
      <c r="K849" s="56"/>
      <c r="L849" s="56"/>
      <c r="M849" s="56"/>
      <c r="N849" s="56"/>
      <c r="O849" s="56"/>
      <c r="P849" s="56"/>
      <c r="Q849" s="56"/>
      <c r="R849" s="56"/>
      <c r="S849" s="56"/>
      <c r="T849" s="56"/>
      <c r="U849" s="56"/>
      <c r="V849" s="56"/>
      <c r="W849" s="56"/>
    </row>
    <row r="850">
      <c r="A850" s="121"/>
      <c r="B850" s="56"/>
      <c r="C850" s="118"/>
      <c r="D850" s="118"/>
      <c r="E850" s="118"/>
      <c r="F850" s="56"/>
      <c r="G850" s="56"/>
      <c r="H850" s="56"/>
      <c r="I850" s="56"/>
      <c r="J850" s="56"/>
      <c r="K850" s="56"/>
      <c r="L850" s="56"/>
      <c r="M850" s="56"/>
      <c r="N850" s="56"/>
      <c r="O850" s="56"/>
      <c r="P850" s="56"/>
      <c r="Q850" s="56"/>
      <c r="R850" s="56"/>
      <c r="S850" s="56"/>
      <c r="T850" s="56"/>
      <c r="U850" s="56"/>
      <c r="V850" s="56"/>
      <c r="W850" s="56"/>
    </row>
    <row r="851">
      <c r="A851" s="121"/>
      <c r="B851" s="56"/>
      <c r="C851" s="118"/>
      <c r="D851" s="118"/>
      <c r="E851" s="118"/>
      <c r="F851" s="56"/>
      <c r="G851" s="56"/>
      <c r="H851" s="56"/>
      <c r="I851" s="56"/>
      <c r="J851" s="56"/>
      <c r="K851" s="56"/>
      <c r="L851" s="56"/>
      <c r="M851" s="56"/>
      <c r="N851" s="56"/>
      <c r="O851" s="56"/>
      <c r="P851" s="56"/>
      <c r="Q851" s="56"/>
      <c r="R851" s="56"/>
      <c r="S851" s="56"/>
      <c r="T851" s="56"/>
      <c r="U851" s="56"/>
      <c r="V851" s="56"/>
      <c r="W851" s="56"/>
    </row>
    <row r="852">
      <c r="A852" s="121"/>
      <c r="B852" s="56"/>
      <c r="C852" s="118"/>
      <c r="D852" s="118"/>
      <c r="E852" s="118"/>
      <c r="F852" s="56"/>
      <c r="G852" s="56"/>
      <c r="H852" s="56"/>
      <c r="I852" s="56"/>
      <c r="J852" s="56"/>
      <c r="K852" s="56"/>
      <c r="L852" s="56"/>
      <c r="M852" s="56"/>
      <c r="N852" s="56"/>
      <c r="O852" s="56"/>
      <c r="P852" s="56"/>
      <c r="Q852" s="56"/>
      <c r="R852" s="56"/>
      <c r="S852" s="56"/>
      <c r="T852" s="56"/>
      <c r="U852" s="56"/>
      <c r="V852" s="56"/>
      <c r="W852" s="56"/>
    </row>
    <row r="853">
      <c r="A853" s="121"/>
      <c r="B853" s="56"/>
      <c r="C853" s="118"/>
      <c r="D853" s="118"/>
      <c r="E853" s="118"/>
      <c r="F853" s="56"/>
      <c r="G853" s="56"/>
      <c r="H853" s="56"/>
      <c r="I853" s="56"/>
      <c r="J853" s="56"/>
      <c r="K853" s="56"/>
      <c r="L853" s="56"/>
      <c r="M853" s="56"/>
      <c r="N853" s="56"/>
      <c r="O853" s="56"/>
      <c r="P853" s="56"/>
      <c r="Q853" s="56"/>
      <c r="R853" s="56"/>
      <c r="S853" s="56"/>
      <c r="T853" s="56"/>
      <c r="U853" s="56"/>
      <c r="V853" s="56"/>
      <c r="W853" s="56"/>
    </row>
    <row r="854">
      <c r="A854" s="121"/>
      <c r="B854" s="56"/>
      <c r="C854" s="118"/>
      <c r="D854" s="118"/>
      <c r="E854" s="118"/>
      <c r="F854" s="56"/>
      <c r="G854" s="56"/>
      <c r="H854" s="56"/>
      <c r="I854" s="56"/>
      <c r="J854" s="56"/>
      <c r="K854" s="56"/>
      <c r="L854" s="56"/>
      <c r="M854" s="56"/>
      <c r="N854" s="56"/>
      <c r="O854" s="56"/>
      <c r="P854" s="56"/>
      <c r="Q854" s="56"/>
      <c r="R854" s="56"/>
      <c r="S854" s="56"/>
      <c r="T854" s="56"/>
      <c r="U854" s="56"/>
      <c r="V854" s="56"/>
      <c r="W854" s="56"/>
    </row>
    <row r="855">
      <c r="A855" s="121"/>
      <c r="B855" s="56"/>
      <c r="C855" s="118"/>
      <c r="D855" s="118"/>
      <c r="E855" s="118"/>
      <c r="F855" s="56"/>
      <c r="G855" s="56"/>
      <c r="H855" s="56"/>
      <c r="I855" s="56"/>
      <c r="J855" s="56"/>
      <c r="K855" s="56"/>
      <c r="L855" s="56"/>
      <c r="M855" s="56"/>
      <c r="N855" s="56"/>
      <c r="O855" s="56"/>
      <c r="P855" s="56"/>
      <c r="Q855" s="56"/>
      <c r="R855" s="56"/>
      <c r="S855" s="56"/>
      <c r="T855" s="56"/>
      <c r="U855" s="56"/>
      <c r="V855" s="56"/>
      <c r="W855" s="56"/>
    </row>
    <row r="856">
      <c r="A856" s="121"/>
      <c r="B856" s="56"/>
      <c r="C856" s="118"/>
      <c r="D856" s="118"/>
      <c r="E856" s="118"/>
      <c r="F856" s="56"/>
      <c r="G856" s="56"/>
      <c r="H856" s="56"/>
      <c r="I856" s="56"/>
      <c r="J856" s="56"/>
      <c r="K856" s="56"/>
      <c r="L856" s="56"/>
      <c r="M856" s="56"/>
      <c r="N856" s="56"/>
      <c r="O856" s="56"/>
      <c r="P856" s="56"/>
      <c r="Q856" s="56"/>
      <c r="R856" s="56"/>
      <c r="S856" s="56"/>
      <c r="T856" s="56"/>
      <c r="U856" s="56"/>
      <c r="V856" s="56"/>
      <c r="W856" s="56"/>
    </row>
    <row r="857">
      <c r="A857" s="121"/>
      <c r="B857" s="56"/>
      <c r="C857" s="118"/>
      <c r="D857" s="118"/>
      <c r="E857" s="118"/>
      <c r="F857" s="56"/>
      <c r="G857" s="56"/>
      <c r="H857" s="56"/>
      <c r="I857" s="56"/>
      <c r="J857" s="56"/>
      <c r="K857" s="56"/>
      <c r="L857" s="56"/>
      <c r="M857" s="56"/>
      <c r="N857" s="56"/>
      <c r="O857" s="56"/>
      <c r="P857" s="56"/>
      <c r="Q857" s="56"/>
      <c r="R857" s="56"/>
      <c r="S857" s="56"/>
      <c r="T857" s="56"/>
      <c r="U857" s="56"/>
      <c r="V857" s="56"/>
      <c r="W857" s="56"/>
    </row>
    <row r="858">
      <c r="A858" s="121"/>
      <c r="B858" s="56"/>
      <c r="C858" s="118"/>
      <c r="D858" s="118"/>
      <c r="E858" s="118"/>
      <c r="F858" s="56"/>
      <c r="G858" s="56"/>
      <c r="H858" s="56"/>
      <c r="I858" s="56"/>
      <c r="J858" s="56"/>
      <c r="K858" s="56"/>
      <c r="L858" s="56"/>
      <c r="M858" s="56"/>
      <c r="N858" s="56"/>
      <c r="O858" s="56"/>
      <c r="P858" s="56"/>
      <c r="Q858" s="56"/>
      <c r="R858" s="56"/>
      <c r="S858" s="56"/>
      <c r="T858" s="56"/>
      <c r="U858" s="56"/>
      <c r="V858" s="56"/>
      <c r="W858" s="56"/>
    </row>
    <row r="859">
      <c r="A859" s="121"/>
      <c r="B859" s="56"/>
      <c r="C859" s="118"/>
      <c r="D859" s="118"/>
      <c r="E859" s="118"/>
      <c r="F859" s="56"/>
      <c r="G859" s="56"/>
      <c r="H859" s="56"/>
      <c r="I859" s="56"/>
      <c r="J859" s="56"/>
      <c r="K859" s="56"/>
      <c r="L859" s="56"/>
      <c r="M859" s="56"/>
      <c r="N859" s="56"/>
      <c r="O859" s="56"/>
      <c r="P859" s="56"/>
      <c r="Q859" s="56"/>
      <c r="R859" s="56"/>
      <c r="S859" s="56"/>
      <c r="T859" s="56"/>
      <c r="U859" s="56"/>
      <c r="V859" s="56"/>
      <c r="W859" s="56"/>
    </row>
    <row r="860">
      <c r="A860" s="121"/>
      <c r="B860" s="56"/>
      <c r="C860" s="118"/>
      <c r="D860" s="118"/>
      <c r="E860" s="118"/>
      <c r="F860" s="56"/>
      <c r="G860" s="56"/>
      <c r="H860" s="56"/>
      <c r="I860" s="56"/>
      <c r="J860" s="56"/>
      <c r="K860" s="56"/>
      <c r="L860" s="56"/>
      <c r="M860" s="56"/>
      <c r="N860" s="56"/>
      <c r="O860" s="56"/>
      <c r="P860" s="56"/>
      <c r="Q860" s="56"/>
      <c r="R860" s="56"/>
      <c r="S860" s="56"/>
      <c r="T860" s="56"/>
      <c r="U860" s="56"/>
      <c r="V860" s="56"/>
      <c r="W860" s="56"/>
    </row>
    <row r="861">
      <c r="A861" s="121"/>
      <c r="B861" s="56"/>
      <c r="C861" s="118"/>
      <c r="D861" s="118"/>
      <c r="E861" s="118"/>
      <c r="F861" s="56"/>
      <c r="G861" s="56"/>
      <c r="H861" s="56"/>
      <c r="I861" s="56"/>
      <c r="J861" s="56"/>
      <c r="K861" s="56"/>
      <c r="L861" s="56"/>
      <c r="M861" s="56"/>
      <c r="N861" s="56"/>
      <c r="O861" s="56"/>
      <c r="P861" s="56"/>
      <c r="Q861" s="56"/>
      <c r="R861" s="56"/>
      <c r="S861" s="56"/>
      <c r="T861" s="56"/>
      <c r="U861" s="56"/>
      <c r="V861" s="56"/>
      <c r="W861" s="56"/>
    </row>
    <row r="862">
      <c r="A862" s="121"/>
      <c r="B862" s="56"/>
      <c r="C862" s="118"/>
      <c r="D862" s="118"/>
      <c r="E862" s="118"/>
      <c r="F862" s="56"/>
      <c r="G862" s="56"/>
      <c r="H862" s="56"/>
      <c r="I862" s="56"/>
      <c r="J862" s="56"/>
      <c r="K862" s="56"/>
      <c r="L862" s="56"/>
      <c r="M862" s="56"/>
      <c r="N862" s="56"/>
      <c r="O862" s="56"/>
      <c r="P862" s="56"/>
      <c r="Q862" s="56"/>
      <c r="R862" s="56"/>
      <c r="S862" s="56"/>
      <c r="T862" s="56"/>
      <c r="U862" s="56"/>
      <c r="V862" s="56"/>
      <c r="W862" s="56"/>
    </row>
    <row r="863">
      <c r="A863" s="121"/>
      <c r="B863" s="56"/>
      <c r="C863" s="118"/>
      <c r="D863" s="118"/>
      <c r="E863" s="118"/>
      <c r="F863" s="56"/>
      <c r="G863" s="56"/>
      <c r="H863" s="56"/>
      <c r="I863" s="56"/>
      <c r="J863" s="56"/>
      <c r="K863" s="56"/>
      <c r="L863" s="56"/>
      <c r="M863" s="56"/>
      <c r="N863" s="56"/>
      <c r="O863" s="56"/>
      <c r="P863" s="56"/>
      <c r="Q863" s="56"/>
      <c r="R863" s="56"/>
      <c r="S863" s="56"/>
      <c r="T863" s="56"/>
      <c r="U863" s="56"/>
      <c r="V863" s="56"/>
      <c r="W863" s="56"/>
    </row>
    <row r="864">
      <c r="A864" s="121"/>
      <c r="B864" s="56"/>
      <c r="C864" s="118"/>
      <c r="D864" s="118"/>
      <c r="E864" s="118"/>
      <c r="F864" s="56"/>
      <c r="G864" s="56"/>
      <c r="H864" s="56"/>
      <c r="I864" s="56"/>
      <c r="J864" s="56"/>
      <c r="K864" s="56"/>
      <c r="L864" s="56"/>
      <c r="M864" s="56"/>
      <c r="N864" s="56"/>
      <c r="O864" s="56"/>
      <c r="P864" s="56"/>
      <c r="Q864" s="56"/>
      <c r="R864" s="56"/>
      <c r="S864" s="56"/>
      <c r="T864" s="56"/>
      <c r="U864" s="56"/>
      <c r="V864" s="56"/>
      <c r="W864" s="56"/>
    </row>
    <row r="865">
      <c r="A865" s="121"/>
      <c r="B865" s="56"/>
      <c r="C865" s="118"/>
      <c r="D865" s="118"/>
      <c r="E865" s="118"/>
      <c r="F865" s="56"/>
      <c r="G865" s="56"/>
      <c r="H865" s="56"/>
      <c r="I865" s="56"/>
      <c r="J865" s="56"/>
      <c r="K865" s="56"/>
      <c r="L865" s="56"/>
      <c r="M865" s="56"/>
      <c r="N865" s="56"/>
      <c r="O865" s="56"/>
      <c r="P865" s="56"/>
      <c r="Q865" s="56"/>
      <c r="R865" s="56"/>
      <c r="S865" s="56"/>
      <c r="T865" s="56"/>
      <c r="U865" s="56"/>
      <c r="V865" s="56"/>
      <c r="W865" s="56"/>
    </row>
    <row r="866">
      <c r="A866" s="121"/>
      <c r="B866" s="56"/>
      <c r="C866" s="118"/>
      <c r="D866" s="118"/>
      <c r="E866" s="118"/>
      <c r="F866" s="56"/>
      <c r="G866" s="56"/>
      <c r="H866" s="56"/>
      <c r="I866" s="56"/>
      <c r="J866" s="56"/>
      <c r="K866" s="56"/>
      <c r="L866" s="56"/>
      <c r="M866" s="56"/>
      <c r="N866" s="56"/>
      <c r="O866" s="56"/>
      <c r="P866" s="56"/>
      <c r="Q866" s="56"/>
      <c r="R866" s="56"/>
      <c r="S866" s="56"/>
      <c r="T866" s="56"/>
      <c r="U866" s="56"/>
      <c r="V866" s="56"/>
      <c r="W866" s="56"/>
    </row>
    <row r="867">
      <c r="A867" s="121"/>
      <c r="B867" s="56"/>
      <c r="C867" s="118"/>
      <c r="D867" s="118"/>
      <c r="E867" s="118"/>
      <c r="F867" s="56"/>
      <c r="G867" s="56"/>
      <c r="H867" s="56"/>
      <c r="I867" s="56"/>
      <c r="J867" s="56"/>
      <c r="K867" s="56"/>
      <c r="L867" s="56"/>
      <c r="M867" s="56"/>
      <c r="N867" s="56"/>
      <c r="O867" s="56"/>
      <c r="P867" s="56"/>
      <c r="Q867" s="56"/>
      <c r="R867" s="56"/>
      <c r="S867" s="56"/>
      <c r="T867" s="56"/>
      <c r="U867" s="56"/>
      <c r="V867" s="56"/>
      <c r="W867" s="56"/>
    </row>
    <row r="868">
      <c r="A868" s="121"/>
      <c r="B868" s="56"/>
      <c r="C868" s="118"/>
      <c r="D868" s="118"/>
      <c r="E868" s="118"/>
      <c r="F868" s="56"/>
      <c r="G868" s="56"/>
      <c r="H868" s="56"/>
      <c r="I868" s="56"/>
      <c r="J868" s="56"/>
      <c r="K868" s="56"/>
      <c r="L868" s="56"/>
      <c r="M868" s="56"/>
      <c r="N868" s="56"/>
      <c r="O868" s="56"/>
      <c r="P868" s="56"/>
      <c r="Q868" s="56"/>
      <c r="R868" s="56"/>
      <c r="S868" s="56"/>
      <c r="T868" s="56"/>
      <c r="U868" s="56"/>
      <c r="V868" s="56"/>
      <c r="W868" s="56"/>
    </row>
    <row r="869">
      <c r="A869" s="121"/>
      <c r="B869" s="56"/>
      <c r="C869" s="118"/>
      <c r="D869" s="118"/>
      <c r="E869" s="118"/>
      <c r="F869" s="56"/>
      <c r="G869" s="56"/>
      <c r="H869" s="56"/>
      <c r="I869" s="56"/>
      <c r="J869" s="56"/>
      <c r="K869" s="56"/>
      <c r="L869" s="56"/>
      <c r="M869" s="56"/>
      <c r="N869" s="56"/>
      <c r="O869" s="56"/>
      <c r="P869" s="56"/>
      <c r="Q869" s="56"/>
      <c r="R869" s="56"/>
      <c r="S869" s="56"/>
      <c r="T869" s="56"/>
      <c r="U869" s="56"/>
      <c r="V869" s="56"/>
      <c r="W869" s="56"/>
    </row>
    <row r="870">
      <c r="A870" s="121"/>
      <c r="B870" s="56"/>
      <c r="C870" s="118"/>
      <c r="D870" s="118"/>
      <c r="E870" s="118"/>
      <c r="F870" s="56"/>
      <c r="G870" s="56"/>
      <c r="H870" s="56"/>
      <c r="I870" s="56"/>
      <c r="J870" s="56"/>
      <c r="K870" s="56"/>
      <c r="L870" s="56"/>
      <c r="M870" s="56"/>
      <c r="N870" s="56"/>
      <c r="O870" s="56"/>
      <c r="P870" s="56"/>
      <c r="Q870" s="56"/>
      <c r="R870" s="56"/>
      <c r="S870" s="56"/>
      <c r="T870" s="56"/>
      <c r="U870" s="56"/>
      <c r="V870" s="56"/>
      <c r="W870" s="56"/>
    </row>
    <row r="871">
      <c r="A871" s="121"/>
      <c r="B871" s="56"/>
      <c r="C871" s="118"/>
      <c r="D871" s="118"/>
      <c r="E871" s="118"/>
      <c r="F871" s="56"/>
      <c r="G871" s="56"/>
      <c r="H871" s="56"/>
      <c r="I871" s="56"/>
      <c r="J871" s="56"/>
      <c r="K871" s="56"/>
      <c r="L871" s="56"/>
      <c r="M871" s="56"/>
      <c r="N871" s="56"/>
      <c r="O871" s="56"/>
      <c r="P871" s="56"/>
      <c r="Q871" s="56"/>
      <c r="R871" s="56"/>
      <c r="S871" s="56"/>
      <c r="T871" s="56"/>
      <c r="U871" s="56"/>
      <c r="V871" s="56"/>
      <c r="W871" s="56"/>
    </row>
    <row r="872">
      <c r="A872" s="121"/>
      <c r="B872" s="56"/>
      <c r="C872" s="118"/>
      <c r="D872" s="118"/>
      <c r="E872" s="118"/>
      <c r="F872" s="56"/>
      <c r="G872" s="56"/>
      <c r="H872" s="56"/>
      <c r="I872" s="56"/>
      <c r="J872" s="56"/>
      <c r="K872" s="56"/>
      <c r="L872" s="56"/>
      <c r="M872" s="56"/>
      <c r="N872" s="56"/>
      <c r="O872" s="56"/>
      <c r="P872" s="56"/>
      <c r="Q872" s="56"/>
      <c r="R872" s="56"/>
      <c r="S872" s="56"/>
      <c r="T872" s="56"/>
      <c r="U872" s="56"/>
      <c r="V872" s="56"/>
      <c r="W872" s="56"/>
    </row>
    <row r="873">
      <c r="A873" s="121"/>
      <c r="B873" s="56"/>
      <c r="C873" s="118"/>
      <c r="D873" s="118"/>
      <c r="E873" s="118"/>
      <c r="F873" s="56"/>
      <c r="G873" s="56"/>
      <c r="H873" s="56"/>
      <c r="I873" s="56"/>
      <c r="J873" s="56"/>
      <c r="K873" s="56"/>
      <c r="L873" s="56"/>
      <c r="M873" s="56"/>
      <c r="N873" s="56"/>
      <c r="O873" s="56"/>
      <c r="P873" s="56"/>
      <c r="Q873" s="56"/>
      <c r="R873" s="56"/>
      <c r="S873" s="56"/>
      <c r="T873" s="56"/>
      <c r="U873" s="56"/>
      <c r="V873" s="56"/>
      <c r="W873" s="56"/>
    </row>
    <row r="874">
      <c r="A874" s="121"/>
      <c r="B874" s="56"/>
      <c r="C874" s="118"/>
      <c r="D874" s="118"/>
      <c r="E874" s="118"/>
      <c r="F874" s="56"/>
      <c r="G874" s="56"/>
      <c r="H874" s="56"/>
      <c r="I874" s="56"/>
      <c r="J874" s="56"/>
      <c r="K874" s="56"/>
      <c r="L874" s="56"/>
      <c r="M874" s="56"/>
      <c r="N874" s="56"/>
      <c r="O874" s="56"/>
      <c r="P874" s="56"/>
      <c r="Q874" s="56"/>
      <c r="R874" s="56"/>
      <c r="S874" s="56"/>
      <c r="T874" s="56"/>
      <c r="U874" s="56"/>
      <c r="V874" s="56"/>
      <c r="W874" s="56"/>
    </row>
    <row r="875">
      <c r="A875" s="121"/>
      <c r="B875" s="56"/>
      <c r="C875" s="118"/>
      <c r="D875" s="118"/>
      <c r="E875" s="118"/>
      <c r="F875" s="56"/>
      <c r="G875" s="56"/>
      <c r="H875" s="56"/>
      <c r="I875" s="56"/>
      <c r="J875" s="56"/>
      <c r="K875" s="56"/>
      <c r="L875" s="56"/>
      <c r="M875" s="56"/>
      <c r="N875" s="56"/>
      <c r="O875" s="56"/>
      <c r="P875" s="56"/>
      <c r="Q875" s="56"/>
      <c r="R875" s="56"/>
      <c r="S875" s="56"/>
      <c r="T875" s="56"/>
      <c r="U875" s="56"/>
      <c r="V875" s="56"/>
      <c r="W875" s="56"/>
    </row>
    <row r="876">
      <c r="A876" s="121"/>
      <c r="B876" s="56"/>
      <c r="C876" s="118"/>
      <c r="D876" s="118"/>
      <c r="E876" s="118"/>
      <c r="F876" s="56"/>
      <c r="G876" s="56"/>
      <c r="H876" s="56"/>
      <c r="I876" s="56"/>
      <c r="J876" s="56"/>
      <c r="K876" s="56"/>
      <c r="L876" s="56"/>
      <c r="M876" s="56"/>
      <c r="N876" s="56"/>
      <c r="O876" s="56"/>
      <c r="P876" s="56"/>
      <c r="Q876" s="56"/>
      <c r="R876" s="56"/>
      <c r="S876" s="56"/>
      <c r="T876" s="56"/>
      <c r="U876" s="56"/>
      <c r="V876" s="56"/>
      <c r="W876" s="56"/>
    </row>
    <row r="877">
      <c r="A877" s="121"/>
      <c r="B877" s="56"/>
      <c r="C877" s="118"/>
      <c r="D877" s="118"/>
      <c r="E877" s="118"/>
      <c r="F877" s="56"/>
      <c r="G877" s="56"/>
      <c r="H877" s="56"/>
      <c r="I877" s="56"/>
      <c r="J877" s="56"/>
      <c r="K877" s="56"/>
      <c r="L877" s="56"/>
      <c r="M877" s="56"/>
      <c r="N877" s="56"/>
      <c r="O877" s="56"/>
      <c r="P877" s="56"/>
      <c r="Q877" s="56"/>
      <c r="R877" s="56"/>
      <c r="S877" s="56"/>
      <c r="T877" s="56"/>
      <c r="U877" s="56"/>
      <c r="V877" s="56"/>
      <c r="W877" s="56"/>
    </row>
    <row r="878">
      <c r="A878" s="121"/>
      <c r="B878" s="56"/>
      <c r="C878" s="118"/>
      <c r="D878" s="118"/>
      <c r="E878" s="118"/>
      <c r="F878" s="56"/>
      <c r="G878" s="56"/>
      <c r="H878" s="56"/>
      <c r="I878" s="56"/>
      <c r="J878" s="56"/>
      <c r="K878" s="56"/>
      <c r="L878" s="56"/>
      <c r="M878" s="56"/>
      <c r="N878" s="56"/>
      <c r="O878" s="56"/>
      <c r="P878" s="56"/>
      <c r="Q878" s="56"/>
      <c r="R878" s="56"/>
      <c r="S878" s="56"/>
      <c r="T878" s="56"/>
      <c r="U878" s="56"/>
      <c r="V878" s="56"/>
      <c r="W878" s="56"/>
    </row>
    <row r="879">
      <c r="A879" s="121"/>
      <c r="B879" s="56"/>
      <c r="C879" s="118"/>
      <c r="D879" s="118"/>
      <c r="E879" s="118"/>
      <c r="F879" s="56"/>
      <c r="G879" s="56"/>
      <c r="H879" s="56"/>
      <c r="I879" s="56"/>
      <c r="J879" s="56"/>
      <c r="K879" s="56"/>
      <c r="L879" s="56"/>
      <c r="M879" s="56"/>
      <c r="N879" s="56"/>
      <c r="O879" s="56"/>
      <c r="P879" s="56"/>
      <c r="Q879" s="56"/>
      <c r="R879" s="56"/>
      <c r="S879" s="56"/>
      <c r="T879" s="56"/>
      <c r="U879" s="56"/>
      <c r="V879" s="56"/>
      <c r="W879" s="56"/>
    </row>
    <row r="880">
      <c r="A880" s="121"/>
      <c r="B880" s="56"/>
      <c r="C880" s="118"/>
      <c r="D880" s="118"/>
      <c r="E880" s="118"/>
      <c r="F880" s="56"/>
      <c r="G880" s="56"/>
      <c r="H880" s="56"/>
      <c r="I880" s="56"/>
      <c r="J880" s="56"/>
      <c r="K880" s="56"/>
      <c r="L880" s="56"/>
      <c r="M880" s="56"/>
      <c r="N880" s="56"/>
      <c r="O880" s="56"/>
      <c r="P880" s="56"/>
      <c r="Q880" s="56"/>
      <c r="R880" s="56"/>
      <c r="S880" s="56"/>
      <c r="T880" s="56"/>
      <c r="U880" s="56"/>
      <c r="V880" s="56"/>
      <c r="W880" s="56"/>
    </row>
    <row r="881">
      <c r="A881" s="121"/>
      <c r="B881" s="56"/>
      <c r="C881" s="118"/>
      <c r="D881" s="118"/>
      <c r="E881" s="118"/>
      <c r="F881" s="56"/>
      <c r="G881" s="56"/>
      <c r="H881" s="56"/>
      <c r="I881" s="56"/>
      <c r="J881" s="56"/>
      <c r="K881" s="56"/>
      <c r="L881" s="56"/>
      <c r="M881" s="56"/>
      <c r="N881" s="56"/>
      <c r="O881" s="56"/>
      <c r="P881" s="56"/>
      <c r="Q881" s="56"/>
      <c r="R881" s="56"/>
      <c r="S881" s="56"/>
      <c r="T881" s="56"/>
      <c r="U881" s="56"/>
      <c r="V881" s="56"/>
      <c r="W881" s="56"/>
    </row>
    <row r="882">
      <c r="A882" s="121"/>
      <c r="B882" s="56"/>
      <c r="C882" s="118"/>
      <c r="D882" s="118"/>
      <c r="E882" s="118"/>
      <c r="F882" s="56"/>
      <c r="G882" s="56"/>
      <c r="H882" s="56"/>
      <c r="I882" s="56"/>
      <c r="J882" s="56"/>
      <c r="K882" s="56"/>
      <c r="L882" s="56"/>
      <c r="M882" s="56"/>
      <c r="N882" s="56"/>
      <c r="O882" s="56"/>
      <c r="P882" s="56"/>
      <c r="Q882" s="56"/>
      <c r="R882" s="56"/>
      <c r="S882" s="56"/>
      <c r="T882" s="56"/>
      <c r="U882" s="56"/>
      <c r="V882" s="56"/>
      <c r="W882" s="56"/>
    </row>
    <row r="883">
      <c r="A883" s="121"/>
      <c r="B883" s="56"/>
      <c r="C883" s="118"/>
      <c r="D883" s="118"/>
      <c r="E883" s="118"/>
      <c r="F883" s="56"/>
      <c r="G883" s="56"/>
      <c r="H883" s="56"/>
      <c r="I883" s="56"/>
      <c r="J883" s="56"/>
      <c r="K883" s="56"/>
      <c r="L883" s="56"/>
      <c r="M883" s="56"/>
      <c r="N883" s="56"/>
      <c r="O883" s="56"/>
      <c r="P883" s="56"/>
      <c r="Q883" s="56"/>
      <c r="R883" s="56"/>
      <c r="S883" s="56"/>
      <c r="T883" s="56"/>
      <c r="U883" s="56"/>
      <c r="V883" s="56"/>
      <c r="W883" s="56"/>
    </row>
    <row r="884">
      <c r="A884" s="121"/>
      <c r="B884" s="56"/>
      <c r="C884" s="118"/>
      <c r="D884" s="118"/>
      <c r="E884" s="118"/>
      <c r="F884" s="56"/>
      <c r="G884" s="56"/>
      <c r="H884" s="56"/>
      <c r="I884" s="56"/>
      <c r="J884" s="56"/>
      <c r="K884" s="56"/>
      <c r="L884" s="56"/>
      <c r="M884" s="56"/>
      <c r="N884" s="56"/>
      <c r="O884" s="56"/>
      <c r="P884" s="56"/>
      <c r="Q884" s="56"/>
      <c r="R884" s="56"/>
      <c r="S884" s="56"/>
      <c r="T884" s="56"/>
      <c r="U884" s="56"/>
      <c r="V884" s="56"/>
      <c r="W884" s="56"/>
    </row>
    <row r="885">
      <c r="A885" s="121"/>
      <c r="B885" s="56"/>
      <c r="C885" s="118"/>
      <c r="D885" s="118"/>
      <c r="E885" s="118"/>
      <c r="F885" s="56"/>
      <c r="G885" s="56"/>
      <c r="H885" s="56"/>
      <c r="I885" s="56"/>
      <c r="J885" s="56"/>
      <c r="K885" s="56"/>
      <c r="L885" s="56"/>
      <c r="M885" s="56"/>
      <c r="N885" s="56"/>
      <c r="O885" s="56"/>
      <c r="P885" s="56"/>
      <c r="Q885" s="56"/>
      <c r="R885" s="56"/>
      <c r="S885" s="56"/>
      <c r="T885" s="56"/>
      <c r="U885" s="56"/>
      <c r="V885" s="56"/>
      <c r="W885" s="56"/>
    </row>
    <row r="886">
      <c r="A886" s="121"/>
      <c r="B886" s="56"/>
      <c r="C886" s="118"/>
      <c r="D886" s="118"/>
      <c r="E886" s="118"/>
      <c r="F886" s="56"/>
      <c r="G886" s="56"/>
      <c r="H886" s="56"/>
      <c r="I886" s="56"/>
      <c r="J886" s="56"/>
      <c r="K886" s="56"/>
      <c r="L886" s="56"/>
      <c r="M886" s="56"/>
      <c r="N886" s="56"/>
      <c r="O886" s="56"/>
      <c r="P886" s="56"/>
      <c r="Q886" s="56"/>
      <c r="R886" s="56"/>
      <c r="S886" s="56"/>
      <c r="T886" s="56"/>
      <c r="U886" s="56"/>
      <c r="V886" s="56"/>
      <c r="W886" s="56"/>
    </row>
    <row r="887">
      <c r="A887" s="121"/>
      <c r="B887" s="56"/>
      <c r="C887" s="118"/>
      <c r="D887" s="118"/>
      <c r="E887" s="118"/>
      <c r="F887" s="56"/>
      <c r="G887" s="56"/>
      <c r="H887" s="56"/>
      <c r="I887" s="56"/>
      <c r="J887" s="56"/>
      <c r="K887" s="56"/>
      <c r="L887" s="56"/>
      <c r="M887" s="56"/>
      <c r="N887" s="56"/>
      <c r="O887" s="56"/>
      <c r="P887" s="56"/>
      <c r="Q887" s="56"/>
      <c r="R887" s="56"/>
      <c r="S887" s="56"/>
      <c r="T887" s="56"/>
      <c r="U887" s="56"/>
      <c r="V887" s="56"/>
      <c r="W887" s="56"/>
    </row>
    <row r="888">
      <c r="A888" s="121"/>
      <c r="B888" s="56"/>
      <c r="C888" s="118"/>
      <c r="D888" s="118"/>
      <c r="E888" s="118"/>
      <c r="F888" s="56"/>
      <c r="G888" s="56"/>
      <c r="H888" s="56"/>
      <c r="I888" s="56"/>
      <c r="J888" s="56"/>
      <c r="K888" s="56"/>
      <c r="L888" s="56"/>
      <c r="M888" s="56"/>
      <c r="N888" s="56"/>
      <c r="O888" s="56"/>
      <c r="P888" s="56"/>
      <c r="Q888" s="56"/>
      <c r="R888" s="56"/>
      <c r="S888" s="56"/>
      <c r="T888" s="56"/>
      <c r="U888" s="56"/>
      <c r="V888" s="56"/>
      <c r="W888" s="56"/>
    </row>
    <row r="889">
      <c r="A889" s="121"/>
      <c r="B889" s="56"/>
      <c r="C889" s="118"/>
      <c r="D889" s="118"/>
      <c r="E889" s="118"/>
      <c r="F889" s="56"/>
      <c r="G889" s="56"/>
      <c r="H889" s="56"/>
      <c r="I889" s="56"/>
      <c r="J889" s="56"/>
      <c r="K889" s="56"/>
      <c r="L889" s="56"/>
      <c r="M889" s="56"/>
      <c r="N889" s="56"/>
      <c r="O889" s="56"/>
      <c r="P889" s="56"/>
      <c r="Q889" s="56"/>
      <c r="R889" s="56"/>
      <c r="S889" s="56"/>
      <c r="T889" s="56"/>
      <c r="U889" s="56"/>
      <c r="V889" s="56"/>
      <c r="W889" s="56"/>
    </row>
    <row r="890">
      <c r="A890" s="121"/>
      <c r="B890" s="56"/>
      <c r="C890" s="118"/>
      <c r="D890" s="118"/>
      <c r="E890" s="118"/>
      <c r="F890" s="56"/>
      <c r="G890" s="56"/>
      <c r="H890" s="56"/>
      <c r="I890" s="56"/>
      <c r="J890" s="56"/>
      <c r="K890" s="56"/>
      <c r="L890" s="56"/>
      <c r="M890" s="56"/>
      <c r="N890" s="56"/>
      <c r="O890" s="56"/>
      <c r="P890" s="56"/>
      <c r="Q890" s="56"/>
      <c r="R890" s="56"/>
      <c r="S890" s="56"/>
      <c r="T890" s="56"/>
      <c r="U890" s="56"/>
      <c r="V890" s="56"/>
      <c r="W890" s="56"/>
    </row>
    <row r="891">
      <c r="A891" s="121"/>
      <c r="B891" s="56"/>
      <c r="C891" s="118"/>
      <c r="D891" s="118"/>
      <c r="E891" s="118"/>
      <c r="F891" s="56"/>
      <c r="G891" s="56"/>
      <c r="H891" s="56"/>
      <c r="I891" s="56"/>
      <c r="J891" s="56"/>
      <c r="K891" s="56"/>
      <c r="L891" s="56"/>
      <c r="M891" s="56"/>
      <c r="N891" s="56"/>
      <c r="O891" s="56"/>
      <c r="P891" s="56"/>
      <c r="Q891" s="56"/>
      <c r="R891" s="56"/>
      <c r="S891" s="56"/>
      <c r="T891" s="56"/>
      <c r="U891" s="56"/>
      <c r="V891" s="56"/>
      <c r="W891" s="56"/>
    </row>
    <row r="892">
      <c r="A892" s="121"/>
      <c r="B892" s="56"/>
      <c r="C892" s="118"/>
      <c r="D892" s="118"/>
      <c r="E892" s="118"/>
      <c r="F892" s="56"/>
      <c r="G892" s="56"/>
      <c r="H892" s="56"/>
      <c r="I892" s="56"/>
      <c r="J892" s="56"/>
      <c r="K892" s="56"/>
      <c r="L892" s="56"/>
      <c r="M892" s="56"/>
      <c r="N892" s="56"/>
      <c r="O892" s="56"/>
      <c r="P892" s="56"/>
      <c r="Q892" s="56"/>
      <c r="R892" s="56"/>
      <c r="S892" s="56"/>
      <c r="T892" s="56"/>
      <c r="U892" s="56"/>
      <c r="V892" s="56"/>
      <c r="W892" s="56"/>
    </row>
    <row r="893">
      <c r="A893" s="121"/>
      <c r="B893" s="56"/>
      <c r="C893" s="118"/>
      <c r="D893" s="118"/>
      <c r="E893" s="118"/>
      <c r="F893" s="56"/>
      <c r="G893" s="56"/>
      <c r="H893" s="56"/>
      <c r="I893" s="56"/>
      <c r="J893" s="56"/>
      <c r="K893" s="56"/>
      <c r="L893" s="56"/>
      <c r="M893" s="56"/>
      <c r="N893" s="56"/>
      <c r="O893" s="56"/>
      <c r="P893" s="56"/>
      <c r="Q893" s="56"/>
      <c r="R893" s="56"/>
      <c r="S893" s="56"/>
      <c r="T893" s="56"/>
      <c r="U893" s="56"/>
      <c r="V893" s="56"/>
      <c r="W893" s="56"/>
    </row>
    <row r="894">
      <c r="A894" s="121"/>
      <c r="B894" s="56"/>
      <c r="C894" s="118"/>
      <c r="D894" s="118"/>
      <c r="E894" s="118"/>
      <c r="F894" s="56"/>
      <c r="G894" s="56"/>
      <c r="H894" s="56"/>
      <c r="I894" s="56"/>
      <c r="J894" s="56"/>
      <c r="K894" s="56"/>
      <c r="L894" s="56"/>
      <c r="M894" s="56"/>
      <c r="N894" s="56"/>
      <c r="O894" s="56"/>
      <c r="P894" s="56"/>
      <c r="Q894" s="56"/>
      <c r="R894" s="56"/>
      <c r="S894" s="56"/>
      <c r="T894" s="56"/>
      <c r="U894" s="56"/>
      <c r="V894" s="56"/>
      <c r="W894" s="56"/>
    </row>
    <row r="895">
      <c r="A895" s="121"/>
      <c r="B895" s="56"/>
      <c r="C895" s="118"/>
      <c r="D895" s="118"/>
      <c r="E895" s="118"/>
      <c r="F895" s="56"/>
      <c r="G895" s="56"/>
      <c r="H895" s="56"/>
      <c r="I895" s="56"/>
      <c r="J895" s="56"/>
      <c r="K895" s="56"/>
      <c r="L895" s="56"/>
      <c r="M895" s="56"/>
      <c r="N895" s="56"/>
      <c r="O895" s="56"/>
      <c r="P895" s="56"/>
      <c r="Q895" s="56"/>
      <c r="R895" s="56"/>
      <c r="S895" s="56"/>
      <c r="T895" s="56"/>
      <c r="U895" s="56"/>
      <c r="V895" s="56"/>
      <c r="W895" s="56"/>
    </row>
    <row r="896">
      <c r="A896" s="121"/>
      <c r="B896" s="56"/>
      <c r="C896" s="118"/>
      <c r="D896" s="118"/>
      <c r="E896" s="118"/>
      <c r="F896" s="56"/>
      <c r="G896" s="56"/>
      <c r="H896" s="56"/>
      <c r="I896" s="56"/>
      <c r="J896" s="56"/>
      <c r="K896" s="56"/>
      <c r="L896" s="56"/>
      <c r="M896" s="56"/>
      <c r="N896" s="56"/>
      <c r="O896" s="56"/>
      <c r="P896" s="56"/>
      <c r="Q896" s="56"/>
      <c r="R896" s="56"/>
      <c r="S896" s="56"/>
      <c r="T896" s="56"/>
      <c r="U896" s="56"/>
      <c r="V896" s="56"/>
      <c r="W896" s="56"/>
    </row>
    <row r="897">
      <c r="A897" s="121"/>
      <c r="B897" s="56"/>
      <c r="C897" s="118"/>
      <c r="D897" s="118"/>
      <c r="E897" s="118"/>
      <c r="F897" s="56"/>
      <c r="G897" s="56"/>
      <c r="H897" s="56"/>
      <c r="I897" s="56"/>
      <c r="J897" s="56"/>
      <c r="K897" s="56"/>
      <c r="L897" s="56"/>
      <c r="M897" s="56"/>
      <c r="N897" s="56"/>
      <c r="O897" s="56"/>
      <c r="P897" s="56"/>
      <c r="Q897" s="56"/>
      <c r="R897" s="56"/>
      <c r="S897" s="56"/>
      <c r="T897" s="56"/>
      <c r="U897" s="56"/>
      <c r="V897" s="56"/>
      <c r="W897" s="56"/>
    </row>
    <row r="898">
      <c r="A898" s="121"/>
      <c r="B898" s="56"/>
      <c r="C898" s="118"/>
      <c r="D898" s="118"/>
      <c r="E898" s="118"/>
      <c r="F898" s="56"/>
      <c r="G898" s="56"/>
      <c r="H898" s="56"/>
      <c r="I898" s="56"/>
      <c r="J898" s="56"/>
      <c r="K898" s="56"/>
      <c r="L898" s="56"/>
      <c r="M898" s="56"/>
      <c r="N898" s="56"/>
      <c r="O898" s="56"/>
      <c r="P898" s="56"/>
      <c r="Q898" s="56"/>
      <c r="R898" s="56"/>
      <c r="S898" s="56"/>
      <c r="T898" s="56"/>
      <c r="U898" s="56"/>
      <c r="V898" s="56"/>
      <c r="W898" s="56"/>
    </row>
    <row r="899">
      <c r="A899" s="121"/>
      <c r="B899" s="56"/>
      <c r="C899" s="118"/>
      <c r="D899" s="118"/>
      <c r="E899" s="118"/>
      <c r="F899" s="56"/>
      <c r="G899" s="56"/>
      <c r="H899" s="56"/>
      <c r="I899" s="56"/>
      <c r="J899" s="56"/>
      <c r="K899" s="56"/>
      <c r="L899" s="56"/>
      <c r="M899" s="56"/>
      <c r="N899" s="56"/>
      <c r="O899" s="56"/>
      <c r="P899" s="56"/>
      <c r="Q899" s="56"/>
      <c r="R899" s="56"/>
      <c r="S899" s="56"/>
      <c r="T899" s="56"/>
      <c r="U899" s="56"/>
      <c r="V899" s="56"/>
      <c r="W899" s="56"/>
    </row>
    <row r="900">
      <c r="A900" s="121"/>
      <c r="B900" s="56"/>
      <c r="C900" s="118"/>
      <c r="D900" s="118"/>
      <c r="E900" s="118"/>
      <c r="F900" s="56"/>
      <c r="G900" s="56"/>
      <c r="H900" s="56"/>
      <c r="I900" s="56"/>
      <c r="J900" s="56"/>
      <c r="K900" s="56"/>
      <c r="L900" s="56"/>
      <c r="M900" s="56"/>
      <c r="N900" s="56"/>
      <c r="O900" s="56"/>
      <c r="P900" s="56"/>
      <c r="Q900" s="56"/>
      <c r="R900" s="56"/>
      <c r="S900" s="56"/>
      <c r="T900" s="56"/>
      <c r="U900" s="56"/>
      <c r="V900" s="56"/>
      <c r="W900" s="56"/>
    </row>
    <row r="901">
      <c r="A901" s="121"/>
      <c r="B901" s="56"/>
      <c r="C901" s="118"/>
      <c r="D901" s="118"/>
      <c r="E901" s="118"/>
      <c r="F901" s="56"/>
      <c r="G901" s="56"/>
      <c r="H901" s="56"/>
      <c r="I901" s="56"/>
      <c r="J901" s="56"/>
      <c r="K901" s="56"/>
      <c r="L901" s="56"/>
      <c r="M901" s="56"/>
      <c r="N901" s="56"/>
      <c r="O901" s="56"/>
      <c r="P901" s="56"/>
      <c r="Q901" s="56"/>
      <c r="R901" s="56"/>
      <c r="S901" s="56"/>
      <c r="T901" s="56"/>
      <c r="U901" s="56"/>
      <c r="V901" s="56"/>
      <c r="W901" s="56"/>
    </row>
    <row r="902">
      <c r="A902" s="121"/>
      <c r="B902" s="56"/>
      <c r="C902" s="118"/>
      <c r="D902" s="118"/>
      <c r="E902" s="118"/>
      <c r="F902" s="56"/>
      <c r="G902" s="56"/>
      <c r="H902" s="56"/>
      <c r="I902" s="56"/>
      <c r="J902" s="56"/>
      <c r="K902" s="56"/>
      <c r="L902" s="56"/>
      <c r="M902" s="56"/>
      <c r="N902" s="56"/>
      <c r="O902" s="56"/>
      <c r="P902" s="56"/>
      <c r="Q902" s="56"/>
      <c r="R902" s="56"/>
      <c r="S902" s="56"/>
      <c r="T902" s="56"/>
      <c r="U902" s="56"/>
      <c r="V902" s="56"/>
      <c r="W902" s="56"/>
    </row>
    <row r="903">
      <c r="A903" s="121"/>
      <c r="B903" s="56"/>
      <c r="C903" s="118"/>
      <c r="D903" s="118"/>
      <c r="E903" s="118"/>
      <c r="F903" s="56"/>
      <c r="G903" s="56"/>
      <c r="H903" s="56"/>
      <c r="I903" s="56"/>
      <c r="J903" s="56"/>
      <c r="K903" s="56"/>
      <c r="L903" s="56"/>
      <c r="M903" s="56"/>
      <c r="N903" s="56"/>
      <c r="O903" s="56"/>
      <c r="P903" s="56"/>
      <c r="Q903" s="56"/>
      <c r="R903" s="56"/>
      <c r="S903" s="56"/>
      <c r="T903" s="56"/>
      <c r="U903" s="56"/>
      <c r="V903" s="56"/>
      <c r="W903" s="56"/>
    </row>
    <row r="904">
      <c r="A904" s="121"/>
      <c r="B904" s="56"/>
      <c r="C904" s="118"/>
      <c r="D904" s="118"/>
      <c r="E904" s="118"/>
      <c r="F904" s="56"/>
      <c r="G904" s="56"/>
      <c r="H904" s="56"/>
      <c r="I904" s="56"/>
      <c r="J904" s="56"/>
      <c r="K904" s="56"/>
      <c r="L904" s="56"/>
      <c r="M904" s="56"/>
      <c r="N904" s="56"/>
      <c r="O904" s="56"/>
      <c r="P904" s="56"/>
      <c r="Q904" s="56"/>
      <c r="R904" s="56"/>
      <c r="S904" s="56"/>
      <c r="T904" s="56"/>
      <c r="U904" s="56"/>
      <c r="V904" s="56"/>
      <c r="W904" s="56"/>
    </row>
    <row r="905">
      <c r="A905" s="121"/>
      <c r="B905" s="56"/>
      <c r="C905" s="118"/>
      <c r="D905" s="118"/>
      <c r="E905" s="118"/>
      <c r="F905" s="56"/>
      <c r="G905" s="56"/>
      <c r="H905" s="56"/>
      <c r="I905" s="56"/>
      <c r="J905" s="56"/>
      <c r="K905" s="56"/>
      <c r="L905" s="56"/>
      <c r="M905" s="56"/>
      <c r="N905" s="56"/>
      <c r="O905" s="56"/>
      <c r="P905" s="56"/>
      <c r="Q905" s="56"/>
      <c r="R905" s="56"/>
      <c r="S905" s="56"/>
      <c r="T905" s="56"/>
      <c r="U905" s="56"/>
      <c r="V905" s="56"/>
      <c r="W905" s="56"/>
    </row>
    <row r="906">
      <c r="A906" s="121"/>
      <c r="B906" s="56"/>
      <c r="C906" s="118"/>
      <c r="D906" s="118"/>
      <c r="E906" s="118"/>
      <c r="F906" s="56"/>
      <c r="G906" s="56"/>
      <c r="H906" s="56"/>
      <c r="I906" s="56"/>
      <c r="J906" s="56"/>
      <c r="K906" s="56"/>
      <c r="L906" s="56"/>
      <c r="M906" s="56"/>
      <c r="N906" s="56"/>
      <c r="O906" s="56"/>
      <c r="P906" s="56"/>
      <c r="Q906" s="56"/>
      <c r="R906" s="56"/>
      <c r="S906" s="56"/>
      <c r="T906" s="56"/>
      <c r="U906" s="56"/>
      <c r="V906" s="56"/>
      <c r="W906" s="56"/>
    </row>
    <row r="907">
      <c r="A907" s="121"/>
      <c r="B907" s="56"/>
      <c r="C907" s="118"/>
      <c r="D907" s="118"/>
      <c r="E907" s="118"/>
      <c r="F907" s="56"/>
      <c r="G907" s="56"/>
      <c r="H907" s="56"/>
      <c r="I907" s="56"/>
      <c r="J907" s="56"/>
      <c r="K907" s="56"/>
      <c r="L907" s="56"/>
      <c r="M907" s="56"/>
      <c r="N907" s="56"/>
      <c r="O907" s="56"/>
      <c r="P907" s="56"/>
      <c r="Q907" s="56"/>
      <c r="R907" s="56"/>
      <c r="S907" s="56"/>
      <c r="T907" s="56"/>
      <c r="U907" s="56"/>
      <c r="V907" s="56"/>
      <c r="W907" s="56"/>
    </row>
    <row r="908">
      <c r="A908" s="121"/>
      <c r="B908" s="56"/>
      <c r="C908" s="118"/>
      <c r="D908" s="118"/>
      <c r="E908" s="118"/>
      <c r="F908" s="56"/>
      <c r="G908" s="56"/>
      <c r="H908" s="56"/>
      <c r="I908" s="56"/>
      <c r="J908" s="56"/>
      <c r="K908" s="56"/>
      <c r="L908" s="56"/>
      <c r="M908" s="56"/>
      <c r="N908" s="56"/>
      <c r="O908" s="56"/>
      <c r="P908" s="56"/>
      <c r="Q908" s="56"/>
      <c r="R908" s="56"/>
      <c r="S908" s="56"/>
      <c r="T908" s="56"/>
      <c r="U908" s="56"/>
      <c r="V908" s="56"/>
      <c r="W908" s="56"/>
    </row>
    <row r="909">
      <c r="A909" s="121"/>
      <c r="B909" s="56"/>
      <c r="C909" s="118"/>
      <c r="D909" s="118"/>
      <c r="E909" s="118"/>
      <c r="F909" s="56"/>
      <c r="G909" s="56"/>
      <c r="H909" s="56"/>
      <c r="I909" s="56"/>
      <c r="J909" s="56"/>
      <c r="K909" s="56"/>
      <c r="L909" s="56"/>
      <c r="M909" s="56"/>
      <c r="N909" s="56"/>
      <c r="O909" s="56"/>
      <c r="P909" s="56"/>
      <c r="Q909" s="56"/>
      <c r="R909" s="56"/>
      <c r="S909" s="56"/>
      <c r="T909" s="56"/>
      <c r="U909" s="56"/>
      <c r="V909" s="56"/>
      <c r="W909" s="56"/>
    </row>
    <row r="910">
      <c r="A910" s="121"/>
      <c r="B910" s="56"/>
      <c r="C910" s="118"/>
      <c r="D910" s="118"/>
      <c r="E910" s="118"/>
      <c r="F910" s="56"/>
      <c r="G910" s="56"/>
      <c r="H910" s="56"/>
      <c r="I910" s="56"/>
      <c r="J910" s="56"/>
      <c r="K910" s="56"/>
      <c r="L910" s="56"/>
      <c r="M910" s="56"/>
      <c r="N910" s="56"/>
      <c r="O910" s="56"/>
      <c r="P910" s="56"/>
      <c r="Q910" s="56"/>
      <c r="R910" s="56"/>
      <c r="S910" s="56"/>
      <c r="T910" s="56"/>
      <c r="U910" s="56"/>
      <c r="V910" s="56"/>
      <c r="W910" s="56"/>
    </row>
    <row r="911">
      <c r="A911" s="121"/>
      <c r="B911" s="56"/>
      <c r="C911" s="118"/>
      <c r="D911" s="118"/>
      <c r="E911" s="118"/>
      <c r="F911" s="56"/>
      <c r="G911" s="56"/>
      <c r="H911" s="56"/>
      <c r="I911" s="56"/>
      <c r="J911" s="56"/>
      <c r="K911" s="56"/>
      <c r="L911" s="56"/>
      <c r="M911" s="56"/>
      <c r="N911" s="56"/>
      <c r="O911" s="56"/>
      <c r="P911" s="56"/>
      <c r="Q911" s="56"/>
      <c r="R911" s="56"/>
      <c r="S911" s="56"/>
      <c r="T911" s="56"/>
      <c r="U911" s="56"/>
      <c r="V911" s="56"/>
      <c r="W911" s="56"/>
    </row>
    <row r="912">
      <c r="A912" s="121"/>
      <c r="B912" s="56"/>
      <c r="C912" s="118"/>
      <c r="D912" s="118"/>
      <c r="E912" s="118"/>
      <c r="F912" s="56"/>
      <c r="G912" s="56"/>
      <c r="H912" s="56"/>
      <c r="I912" s="56"/>
      <c r="J912" s="56"/>
      <c r="K912" s="56"/>
      <c r="L912" s="56"/>
      <c r="M912" s="56"/>
      <c r="N912" s="56"/>
      <c r="O912" s="56"/>
      <c r="P912" s="56"/>
      <c r="Q912" s="56"/>
      <c r="R912" s="56"/>
      <c r="S912" s="56"/>
      <c r="T912" s="56"/>
      <c r="U912" s="56"/>
      <c r="V912" s="56"/>
      <c r="W912" s="56"/>
    </row>
    <row r="913">
      <c r="A913" s="121"/>
      <c r="B913" s="56"/>
      <c r="C913" s="118"/>
      <c r="D913" s="118"/>
      <c r="E913" s="118"/>
      <c r="F913" s="56"/>
      <c r="G913" s="56"/>
      <c r="H913" s="56"/>
      <c r="I913" s="56"/>
      <c r="J913" s="56"/>
      <c r="K913" s="56"/>
      <c r="L913" s="56"/>
      <c r="M913" s="56"/>
      <c r="N913" s="56"/>
      <c r="O913" s="56"/>
      <c r="P913" s="56"/>
      <c r="Q913" s="56"/>
      <c r="R913" s="56"/>
      <c r="S913" s="56"/>
      <c r="T913" s="56"/>
      <c r="U913" s="56"/>
      <c r="V913" s="56"/>
      <c r="W913" s="56"/>
    </row>
    <row r="914">
      <c r="A914" s="121"/>
      <c r="B914" s="56"/>
      <c r="C914" s="118"/>
      <c r="D914" s="118"/>
      <c r="E914" s="118"/>
      <c r="F914" s="56"/>
      <c r="G914" s="56"/>
      <c r="H914" s="56"/>
      <c r="I914" s="56"/>
      <c r="J914" s="56"/>
      <c r="K914" s="56"/>
      <c r="L914" s="56"/>
      <c r="M914" s="56"/>
      <c r="N914" s="56"/>
      <c r="O914" s="56"/>
      <c r="P914" s="56"/>
      <c r="Q914" s="56"/>
      <c r="R914" s="56"/>
      <c r="S914" s="56"/>
      <c r="T914" s="56"/>
      <c r="U914" s="56"/>
      <c r="V914" s="56"/>
      <c r="W914" s="56"/>
    </row>
    <row r="915">
      <c r="A915" s="121"/>
      <c r="B915" s="56"/>
      <c r="C915" s="118"/>
      <c r="D915" s="118"/>
      <c r="E915" s="118"/>
      <c r="F915" s="56"/>
      <c r="G915" s="56"/>
      <c r="H915" s="56"/>
      <c r="I915" s="56"/>
      <c r="J915" s="56"/>
      <c r="K915" s="56"/>
      <c r="L915" s="56"/>
      <c r="M915" s="56"/>
      <c r="N915" s="56"/>
      <c r="O915" s="56"/>
      <c r="P915" s="56"/>
      <c r="Q915" s="56"/>
      <c r="R915" s="56"/>
      <c r="S915" s="56"/>
      <c r="T915" s="56"/>
      <c r="U915" s="56"/>
      <c r="V915" s="56"/>
      <c r="W915" s="56"/>
    </row>
    <row r="916">
      <c r="A916" s="121"/>
      <c r="B916" s="56"/>
      <c r="C916" s="118"/>
      <c r="D916" s="118"/>
      <c r="E916" s="118"/>
      <c r="F916" s="56"/>
      <c r="G916" s="56"/>
      <c r="H916" s="56"/>
      <c r="I916" s="56"/>
      <c r="J916" s="56"/>
      <c r="K916" s="56"/>
      <c r="L916" s="56"/>
      <c r="M916" s="56"/>
      <c r="N916" s="56"/>
      <c r="O916" s="56"/>
      <c r="P916" s="56"/>
      <c r="Q916" s="56"/>
      <c r="R916" s="56"/>
      <c r="S916" s="56"/>
      <c r="T916" s="56"/>
      <c r="U916" s="56"/>
      <c r="V916" s="56"/>
      <c r="W916" s="56"/>
    </row>
    <row r="917">
      <c r="A917" s="121"/>
      <c r="B917" s="56"/>
      <c r="C917" s="118"/>
      <c r="D917" s="118"/>
      <c r="E917" s="118"/>
      <c r="F917" s="56"/>
      <c r="G917" s="56"/>
      <c r="H917" s="56"/>
      <c r="I917" s="56"/>
      <c r="J917" s="56"/>
      <c r="K917" s="56"/>
      <c r="L917" s="56"/>
      <c r="M917" s="56"/>
      <c r="N917" s="56"/>
      <c r="O917" s="56"/>
      <c r="P917" s="56"/>
      <c r="Q917" s="56"/>
      <c r="R917" s="56"/>
      <c r="S917" s="56"/>
      <c r="T917" s="56"/>
      <c r="U917" s="56"/>
      <c r="V917" s="56"/>
      <c r="W917" s="56"/>
    </row>
    <row r="918">
      <c r="A918" s="121"/>
      <c r="B918" s="56"/>
      <c r="C918" s="118"/>
      <c r="D918" s="118"/>
      <c r="E918" s="118"/>
      <c r="F918" s="56"/>
      <c r="G918" s="56"/>
      <c r="H918" s="56"/>
      <c r="I918" s="56"/>
      <c r="J918" s="56"/>
      <c r="K918" s="56"/>
      <c r="L918" s="56"/>
      <c r="M918" s="56"/>
      <c r="N918" s="56"/>
      <c r="O918" s="56"/>
      <c r="P918" s="56"/>
      <c r="Q918" s="56"/>
      <c r="R918" s="56"/>
      <c r="S918" s="56"/>
      <c r="T918" s="56"/>
      <c r="U918" s="56"/>
      <c r="V918" s="56"/>
      <c r="W918" s="56"/>
    </row>
    <row r="919">
      <c r="A919" s="121"/>
      <c r="B919" s="56"/>
      <c r="C919" s="118"/>
      <c r="D919" s="118"/>
      <c r="E919" s="118"/>
      <c r="F919" s="56"/>
      <c r="G919" s="56"/>
      <c r="H919" s="56"/>
      <c r="I919" s="56"/>
      <c r="J919" s="56"/>
      <c r="K919" s="56"/>
      <c r="L919" s="56"/>
      <c r="M919" s="56"/>
      <c r="N919" s="56"/>
      <c r="O919" s="56"/>
      <c r="P919" s="56"/>
      <c r="Q919" s="56"/>
      <c r="R919" s="56"/>
      <c r="S919" s="56"/>
      <c r="T919" s="56"/>
      <c r="U919" s="56"/>
      <c r="V919" s="56"/>
      <c r="W919" s="56"/>
    </row>
    <row r="920">
      <c r="A920" s="121"/>
      <c r="B920" s="56"/>
      <c r="C920" s="118"/>
      <c r="D920" s="118"/>
      <c r="E920" s="118"/>
      <c r="F920" s="56"/>
      <c r="G920" s="56"/>
      <c r="H920" s="56"/>
      <c r="I920" s="56"/>
      <c r="J920" s="56"/>
      <c r="K920" s="56"/>
      <c r="L920" s="56"/>
      <c r="M920" s="56"/>
      <c r="N920" s="56"/>
      <c r="O920" s="56"/>
      <c r="P920" s="56"/>
      <c r="Q920" s="56"/>
      <c r="R920" s="56"/>
      <c r="S920" s="56"/>
      <c r="T920" s="56"/>
      <c r="U920" s="56"/>
      <c r="V920" s="56"/>
      <c r="W920" s="56"/>
    </row>
    <row r="921">
      <c r="A921" s="121"/>
      <c r="B921" s="56"/>
      <c r="C921" s="118"/>
      <c r="D921" s="118"/>
      <c r="E921" s="118"/>
      <c r="F921" s="56"/>
      <c r="G921" s="56"/>
      <c r="H921" s="56"/>
      <c r="I921" s="56"/>
      <c r="J921" s="56"/>
      <c r="K921" s="56"/>
      <c r="L921" s="56"/>
      <c r="M921" s="56"/>
      <c r="N921" s="56"/>
      <c r="O921" s="56"/>
      <c r="P921" s="56"/>
      <c r="Q921" s="56"/>
      <c r="R921" s="56"/>
      <c r="S921" s="56"/>
      <c r="T921" s="56"/>
      <c r="U921" s="56"/>
      <c r="V921" s="56"/>
      <c r="W921" s="56"/>
    </row>
    <row r="922">
      <c r="A922" s="121"/>
      <c r="B922" s="56"/>
      <c r="C922" s="118"/>
      <c r="D922" s="118"/>
      <c r="E922" s="118"/>
      <c r="F922" s="56"/>
      <c r="G922" s="56"/>
      <c r="H922" s="56"/>
      <c r="I922" s="56"/>
      <c r="J922" s="56"/>
      <c r="K922" s="56"/>
      <c r="L922" s="56"/>
      <c r="M922" s="56"/>
      <c r="N922" s="56"/>
      <c r="O922" s="56"/>
      <c r="P922" s="56"/>
      <c r="Q922" s="56"/>
      <c r="R922" s="56"/>
      <c r="S922" s="56"/>
      <c r="T922" s="56"/>
      <c r="U922" s="56"/>
      <c r="V922" s="56"/>
      <c r="W922" s="56"/>
    </row>
    <row r="923">
      <c r="A923" s="121"/>
      <c r="B923" s="56"/>
      <c r="C923" s="118"/>
      <c r="D923" s="118"/>
      <c r="E923" s="118"/>
      <c r="F923" s="56"/>
      <c r="G923" s="56"/>
      <c r="H923" s="56"/>
      <c r="I923" s="56"/>
      <c r="J923" s="56"/>
      <c r="K923" s="56"/>
      <c r="L923" s="56"/>
      <c r="M923" s="56"/>
      <c r="N923" s="56"/>
      <c r="O923" s="56"/>
      <c r="P923" s="56"/>
      <c r="Q923" s="56"/>
      <c r="R923" s="56"/>
      <c r="S923" s="56"/>
      <c r="T923" s="56"/>
      <c r="U923" s="56"/>
      <c r="V923" s="56"/>
      <c r="W923" s="56"/>
    </row>
    <row r="924">
      <c r="A924" s="121"/>
      <c r="B924" s="56"/>
      <c r="C924" s="118"/>
      <c r="D924" s="118"/>
      <c r="E924" s="118"/>
      <c r="F924" s="56"/>
      <c r="G924" s="56"/>
      <c r="H924" s="56"/>
      <c r="I924" s="56"/>
      <c r="J924" s="56"/>
      <c r="K924" s="56"/>
      <c r="L924" s="56"/>
      <c r="M924" s="56"/>
      <c r="N924" s="56"/>
      <c r="O924" s="56"/>
      <c r="P924" s="56"/>
      <c r="Q924" s="56"/>
      <c r="R924" s="56"/>
      <c r="S924" s="56"/>
      <c r="T924" s="56"/>
      <c r="U924" s="56"/>
      <c r="V924" s="56"/>
      <c r="W924" s="56"/>
    </row>
    <row r="925">
      <c r="A925" s="121"/>
      <c r="B925" s="56"/>
      <c r="C925" s="118"/>
      <c r="D925" s="118"/>
      <c r="E925" s="118"/>
      <c r="F925" s="56"/>
      <c r="G925" s="56"/>
      <c r="H925" s="56"/>
      <c r="I925" s="56"/>
      <c r="J925" s="56"/>
      <c r="K925" s="56"/>
      <c r="L925" s="56"/>
      <c r="M925" s="56"/>
      <c r="N925" s="56"/>
      <c r="O925" s="56"/>
      <c r="P925" s="56"/>
      <c r="Q925" s="56"/>
      <c r="R925" s="56"/>
      <c r="S925" s="56"/>
      <c r="T925" s="56"/>
      <c r="U925" s="56"/>
      <c r="V925" s="56"/>
      <c r="W925" s="56"/>
    </row>
    <row r="926">
      <c r="A926" s="121"/>
      <c r="B926" s="56"/>
      <c r="C926" s="118"/>
      <c r="D926" s="118"/>
      <c r="E926" s="118"/>
      <c r="F926" s="56"/>
      <c r="G926" s="56"/>
      <c r="H926" s="56"/>
      <c r="I926" s="56"/>
      <c r="J926" s="56"/>
      <c r="K926" s="56"/>
      <c r="L926" s="56"/>
      <c r="M926" s="56"/>
      <c r="N926" s="56"/>
      <c r="O926" s="56"/>
      <c r="P926" s="56"/>
      <c r="Q926" s="56"/>
      <c r="R926" s="56"/>
      <c r="S926" s="56"/>
      <c r="T926" s="56"/>
      <c r="U926" s="56"/>
      <c r="V926" s="56"/>
      <c r="W926" s="56"/>
    </row>
    <row r="927">
      <c r="A927" s="121"/>
      <c r="B927" s="56"/>
      <c r="C927" s="118"/>
      <c r="D927" s="118"/>
      <c r="E927" s="118"/>
      <c r="F927" s="56"/>
      <c r="G927" s="56"/>
      <c r="H927" s="56"/>
      <c r="I927" s="56"/>
      <c r="J927" s="56"/>
      <c r="K927" s="56"/>
      <c r="L927" s="56"/>
      <c r="M927" s="56"/>
      <c r="N927" s="56"/>
      <c r="O927" s="56"/>
      <c r="P927" s="56"/>
      <c r="Q927" s="56"/>
      <c r="R927" s="56"/>
      <c r="S927" s="56"/>
      <c r="T927" s="56"/>
      <c r="U927" s="56"/>
      <c r="V927" s="56"/>
      <c r="W927" s="56"/>
    </row>
    <row r="928">
      <c r="A928" s="121"/>
      <c r="B928" s="56"/>
      <c r="C928" s="118"/>
      <c r="D928" s="118"/>
      <c r="E928" s="118"/>
      <c r="F928" s="56"/>
      <c r="G928" s="56"/>
      <c r="H928" s="56"/>
      <c r="I928" s="56"/>
      <c r="J928" s="56"/>
      <c r="K928" s="56"/>
      <c r="L928" s="56"/>
      <c r="M928" s="56"/>
      <c r="N928" s="56"/>
      <c r="O928" s="56"/>
      <c r="P928" s="56"/>
      <c r="Q928" s="56"/>
      <c r="R928" s="56"/>
      <c r="S928" s="56"/>
      <c r="T928" s="56"/>
      <c r="U928" s="56"/>
      <c r="V928" s="56"/>
      <c r="W928" s="56"/>
    </row>
    <row r="929">
      <c r="A929" s="121"/>
      <c r="B929" s="56"/>
      <c r="C929" s="118"/>
      <c r="D929" s="118"/>
      <c r="E929" s="118"/>
      <c r="F929" s="56"/>
      <c r="G929" s="56"/>
      <c r="H929" s="56"/>
      <c r="I929" s="56"/>
      <c r="J929" s="56"/>
      <c r="K929" s="56"/>
      <c r="L929" s="56"/>
      <c r="M929" s="56"/>
      <c r="N929" s="56"/>
      <c r="O929" s="56"/>
      <c r="P929" s="56"/>
      <c r="Q929" s="56"/>
      <c r="R929" s="56"/>
      <c r="S929" s="56"/>
      <c r="T929" s="56"/>
      <c r="U929" s="56"/>
      <c r="V929" s="56"/>
      <c r="W929" s="56"/>
    </row>
    <row r="930">
      <c r="A930" s="121"/>
      <c r="B930" s="56"/>
      <c r="C930" s="118"/>
      <c r="D930" s="118"/>
      <c r="E930" s="118"/>
      <c r="F930" s="56"/>
      <c r="G930" s="56"/>
      <c r="H930" s="56"/>
      <c r="I930" s="56"/>
      <c r="J930" s="56"/>
      <c r="K930" s="56"/>
      <c r="L930" s="56"/>
      <c r="M930" s="56"/>
      <c r="N930" s="56"/>
      <c r="O930" s="56"/>
      <c r="P930" s="56"/>
      <c r="Q930" s="56"/>
      <c r="R930" s="56"/>
      <c r="S930" s="56"/>
      <c r="T930" s="56"/>
      <c r="U930" s="56"/>
      <c r="V930" s="56"/>
      <c r="W930" s="56"/>
    </row>
    <row r="931">
      <c r="A931" s="121"/>
      <c r="B931" s="56"/>
      <c r="C931" s="118"/>
      <c r="D931" s="118"/>
      <c r="E931" s="118"/>
      <c r="F931" s="56"/>
      <c r="G931" s="56"/>
      <c r="H931" s="56"/>
      <c r="I931" s="56"/>
      <c r="J931" s="56"/>
      <c r="K931" s="56"/>
      <c r="L931" s="56"/>
      <c r="M931" s="56"/>
      <c r="N931" s="56"/>
      <c r="O931" s="56"/>
      <c r="P931" s="56"/>
      <c r="Q931" s="56"/>
      <c r="R931" s="56"/>
      <c r="S931" s="56"/>
      <c r="T931" s="56"/>
      <c r="U931" s="56"/>
      <c r="V931" s="56"/>
      <c r="W931" s="56"/>
    </row>
    <row r="932">
      <c r="A932" s="121"/>
      <c r="B932" s="56"/>
      <c r="C932" s="118"/>
      <c r="D932" s="118"/>
      <c r="E932" s="118"/>
      <c r="F932" s="56"/>
      <c r="G932" s="56"/>
      <c r="H932" s="56"/>
      <c r="I932" s="56"/>
      <c r="J932" s="56"/>
      <c r="K932" s="56"/>
      <c r="L932" s="56"/>
      <c r="M932" s="56"/>
      <c r="N932" s="56"/>
      <c r="O932" s="56"/>
      <c r="P932" s="56"/>
      <c r="Q932" s="56"/>
      <c r="R932" s="56"/>
      <c r="S932" s="56"/>
      <c r="T932" s="56"/>
      <c r="U932" s="56"/>
      <c r="V932" s="56"/>
      <c r="W932" s="56"/>
    </row>
    <row r="933">
      <c r="A933" s="121"/>
      <c r="B933" s="56"/>
      <c r="C933" s="118"/>
      <c r="D933" s="118"/>
      <c r="E933" s="118"/>
      <c r="F933" s="56"/>
      <c r="G933" s="56"/>
      <c r="H933" s="56"/>
      <c r="I933" s="56"/>
      <c r="J933" s="56"/>
      <c r="K933" s="56"/>
      <c r="L933" s="56"/>
      <c r="M933" s="56"/>
      <c r="N933" s="56"/>
      <c r="O933" s="56"/>
      <c r="P933" s="56"/>
      <c r="Q933" s="56"/>
      <c r="R933" s="56"/>
      <c r="S933" s="56"/>
      <c r="T933" s="56"/>
      <c r="U933" s="56"/>
      <c r="V933" s="56"/>
      <c r="W933" s="56"/>
    </row>
    <row r="934">
      <c r="A934" s="121"/>
      <c r="B934" s="56"/>
      <c r="C934" s="118"/>
      <c r="D934" s="118"/>
      <c r="E934" s="118"/>
      <c r="F934" s="56"/>
      <c r="G934" s="56"/>
      <c r="H934" s="56"/>
      <c r="I934" s="56"/>
      <c r="J934" s="56"/>
      <c r="K934" s="56"/>
      <c r="L934" s="56"/>
      <c r="M934" s="56"/>
      <c r="N934" s="56"/>
      <c r="O934" s="56"/>
      <c r="P934" s="56"/>
      <c r="Q934" s="56"/>
      <c r="R934" s="56"/>
      <c r="S934" s="56"/>
      <c r="T934" s="56"/>
      <c r="U934" s="56"/>
      <c r="V934" s="56"/>
      <c r="W934" s="56"/>
    </row>
    <row r="935">
      <c r="A935" s="121"/>
      <c r="B935" s="56"/>
      <c r="C935" s="118"/>
      <c r="D935" s="118"/>
      <c r="E935" s="118"/>
      <c r="F935" s="56"/>
      <c r="G935" s="56"/>
      <c r="H935" s="56"/>
      <c r="I935" s="56"/>
      <c r="J935" s="56"/>
      <c r="K935" s="56"/>
      <c r="L935" s="56"/>
      <c r="M935" s="56"/>
      <c r="N935" s="56"/>
      <c r="O935" s="56"/>
      <c r="P935" s="56"/>
      <c r="Q935" s="56"/>
      <c r="R935" s="56"/>
      <c r="S935" s="56"/>
      <c r="T935" s="56"/>
      <c r="U935" s="56"/>
      <c r="V935" s="56"/>
      <c r="W935" s="56"/>
    </row>
    <row r="936">
      <c r="A936" s="121"/>
      <c r="B936" s="56"/>
      <c r="C936" s="118"/>
      <c r="D936" s="118"/>
      <c r="E936" s="118"/>
      <c r="F936" s="56"/>
      <c r="G936" s="56"/>
      <c r="H936" s="56"/>
      <c r="I936" s="56"/>
      <c r="J936" s="56"/>
      <c r="K936" s="56"/>
      <c r="L936" s="56"/>
      <c r="M936" s="56"/>
      <c r="N936" s="56"/>
      <c r="O936" s="56"/>
      <c r="P936" s="56"/>
      <c r="Q936" s="56"/>
      <c r="R936" s="56"/>
      <c r="S936" s="56"/>
      <c r="T936" s="56"/>
      <c r="U936" s="56"/>
      <c r="V936" s="56"/>
      <c r="W936" s="56"/>
    </row>
    <row r="937">
      <c r="A937" s="121"/>
      <c r="B937" s="56"/>
      <c r="C937" s="118"/>
      <c r="D937" s="118"/>
      <c r="E937" s="118"/>
      <c r="F937" s="56"/>
      <c r="G937" s="56"/>
      <c r="H937" s="56"/>
      <c r="I937" s="56"/>
      <c r="J937" s="56"/>
      <c r="K937" s="56"/>
      <c r="L937" s="56"/>
      <c r="M937" s="56"/>
      <c r="N937" s="56"/>
      <c r="O937" s="56"/>
      <c r="P937" s="56"/>
      <c r="Q937" s="56"/>
      <c r="R937" s="56"/>
      <c r="S937" s="56"/>
      <c r="T937" s="56"/>
      <c r="U937" s="56"/>
      <c r="V937" s="56"/>
      <c r="W937" s="56"/>
    </row>
    <row r="938">
      <c r="A938" s="121"/>
      <c r="B938" s="56"/>
      <c r="C938" s="118"/>
      <c r="D938" s="118"/>
      <c r="E938" s="118"/>
      <c r="F938" s="56"/>
      <c r="G938" s="56"/>
      <c r="H938" s="56"/>
      <c r="I938" s="56"/>
      <c r="J938" s="56"/>
      <c r="K938" s="56"/>
      <c r="L938" s="56"/>
      <c r="M938" s="56"/>
      <c r="N938" s="56"/>
      <c r="O938" s="56"/>
      <c r="P938" s="56"/>
      <c r="Q938" s="56"/>
      <c r="R938" s="56"/>
      <c r="S938" s="56"/>
      <c r="T938" s="56"/>
      <c r="U938" s="56"/>
      <c r="V938" s="56"/>
      <c r="W938" s="56"/>
    </row>
    <row r="939">
      <c r="A939" s="121"/>
      <c r="B939" s="56"/>
      <c r="C939" s="118"/>
      <c r="D939" s="118"/>
      <c r="E939" s="118"/>
      <c r="F939" s="56"/>
      <c r="G939" s="56"/>
      <c r="H939" s="56"/>
      <c r="I939" s="56"/>
      <c r="J939" s="56"/>
      <c r="K939" s="56"/>
      <c r="L939" s="56"/>
      <c r="M939" s="56"/>
      <c r="N939" s="56"/>
      <c r="O939" s="56"/>
      <c r="P939" s="56"/>
      <c r="Q939" s="56"/>
      <c r="R939" s="56"/>
      <c r="S939" s="56"/>
      <c r="T939" s="56"/>
      <c r="U939" s="56"/>
      <c r="V939" s="56"/>
      <c r="W939" s="56"/>
    </row>
    <row r="940">
      <c r="A940" s="121"/>
      <c r="B940" s="56"/>
      <c r="C940" s="118"/>
      <c r="D940" s="118"/>
      <c r="E940" s="118"/>
      <c r="F940" s="56"/>
      <c r="G940" s="56"/>
      <c r="H940" s="56"/>
      <c r="I940" s="56"/>
      <c r="J940" s="56"/>
      <c r="K940" s="56"/>
      <c r="L940" s="56"/>
      <c r="M940" s="56"/>
      <c r="N940" s="56"/>
      <c r="O940" s="56"/>
      <c r="P940" s="56"/>
      <c r="Q940" s="56"/>
      <c r="R940" s="56"/>
      <c r="S940" s="56"/>
      <c r="T940" s="56"/>
      <c r="U940" s="56"/>
      <c r="V940" s="56"/>
      <c r="W940" s="56"/>
    </row>
    <row r="941">
      <c r="A941" s="121"/>
      <c r="B941" s="56"/>
      <c r="C941" s="118"/>
      <c r="D941" s="118"/>
      <c r="E941" s="118"/>
      <c r="F941" s="56"/>
      <c r="G941" s="56"/>
      <c r="H941" s="56"/>
      <c r="I941" s="56"/>
      <c r="J941" s="56"/>
      <c r="K941" s="56"/>
      <c r="L941" s="56"/>
      <c r="M941" s="56"/>
      <c r="N941" s="56"/>
      <c r="O941" s="56"/>
      <c r="P941" s="56"/>
      <c r="Q941" s="56"/>
      <c r="R941" s="56"/>
      <c r="S941" s="56"/>
      <c r="T941" s="56"/>
      <c r="U941" s="56"/>
      <c r="V941" s="56"/>
      <c r="W941" s="56"/>
    </row>
    <row r="942">
      <c r="A942" s="121"/>
      <c r="B942" s="56"/>
      <c r="C942" s="118"/>
      <c r="D942" s="118"/>
      <c r="E942" s="118"/>
      <c r="F942" s="56"/>
      <c r="G942" s="56"/>
      <c r="H942" s="56"/>
      <c r="I942" s="56"/>
      <c r="J942" s="56"/>
      <c r="K942" s="56"/>
      <c r="L942" s="56"/>
      <c r="M942" s="56"/>
      <c r="N942" s="56"/>
      <c r="O942" s="56"/>
      <c r="P942" s="56"/>
      <c r="Q942" s="56"/>
      <c r="R942" s="56"/>
      <c r="S942" s="56"/>
      <c r="T942" s="56"/>
      <c r="U942" s="56"/>
      <c r="V942" s="56"/>
      <c r="W942" s="56"/>
    </row>
    <row r="943">
      <c r="A943" s="121"/>
      <c r="B943" s="56"/>
      <c r="C943" s="118"/>
      <c r="D943" s="118"/>
      <c r="E943" s="118"/>
      <c r="F943" s="56"/>
      <c r="G943" s="56"/>
      <c r="H943" s="56"/>
      <c r="I943" s="56"/>
      <c r="J943" s="56"/>
      <c r="K943" s="56"/>
      <c r="L943" s="56"/>
      <c r="M943" s="56"/>
      <c r="N943" s="56"/>
      <c r="O943" s="56"/>
      <c r="P943" s="56"/>
      <c r="Q943" s="56"/>
      <c r="R943" s="56"/>
      <c r="S943" s="56"/>
      <c r="T943" s="56"/>
      <c r="U943" s="56"/>
      <c r="V943" s="56"/>
      <c r="W943" s="56"/>
    </row>
    <row r="944">
      <c r="A944" s="121"/>
      <c r="B944" s="56"/>
      <c r="C944" s="118"/>
      <c r="D944" s="118"/>
      <c r="E944" s="118"/>
      <c r="F944" s="56"/>
      <c r="G944" s="56"/>
      <c r="H944" s="56"/>
      <c r="I944" s="56"/>
      <c r="J944" s="56"/>
      <c r="K944" s="56"/>
      <c r="L944" s="56"/>
      <c r="M944" s="56"/>
      <c r="N944" s="56"/>
      <c r="O944" s="56"/>
      <c r="P944" s="56"/>
      <c r="Q944" s="56"/>
      <c r="R944" s="56"/>
      <c r="S944" s="56"/>
      <c r="T944" s="56"/>
      <c r="U944" s="56"/>
      <c r="V944" s="56"/>
      <c r="W944" s="56"/>
    </row>
    <row r="945">
      <c r="A945" s="121"/>
      <c r="B945" s="56"/>
      <c r="C945" s="118"/>
      <c r="D945" s="118"/>
      <c r="E945" s="118"/>
      <c r="F945" s="56"/>
      <c r="G945" s="56"/>
      <c r="H945" s="56"/>
      <c r="I945" s="56"/>
      <c r="J945" s="56"/>
      <c r="K945" s="56"/>
      <c r="L945" s="56"/>
      <c r="M945" s="56"/>
      <c r="N945" s="56"/>
      <c r="O945" s="56"/>
      <c r="P945" s="56"/>
      <c r="Q945" s="56"/>
      <c r="R945" s="56"/>
      <c r="S945" s="56"/>
      <c r="T945" s="56"/>
      <c r="U945" s="56"/>
      <c r="V945" s="56"/>
      <c r="W945" s="56"/>
    </row>
    <row r="946">
      <c r="A946" s="121"/>
      <c r="B946" s="56"/>
      <c r="C946" s="118"/>
      <c r="D946" s="118"/>
      <c r="E946" s="118"/>
      <c r="F946" s="56"/>
      <c r="G946" s="56"/>
      <c r="H946" s="56"/>
      <c r="I946" s="56"/>
      <c r="J946" s="56"/>
      <c r="K946" s="56"/>
      <c r="L946" s="56"/>
      <c r="M946" s="56"/>
      <c r="N946" s="56"/>
      <c r="O946" s="56"/>
      <c r="P946" s="56"/>
      <c r="Q946" s="56"/>
      <c r="R946" s="56"/>
      <c r="S946" s="56"/>
      <c r="T946" s="56"/>
      <c r="U946" s="56"/>
      <c r="V946" s="56"/>
      <c r="W946" s="56"/>
    </row>
    <row r="947">
      <c r="A947" s="121"/>
      <c r="B947" s="56"/>
      <c r="C947" s="118"/>
      <c r="D947" s="118"/>
      <c r="E947" s="118"/>
      <c r="F947" s="56"/>
      <c r="G947" s="56"/>
      <c r="H947" s="56"/>
      <c r="I947" s="56"/>
      <c r="J947" s="56"/>
      <c r="K947" s="56"/>
      <c r="L947" s="56"/>
      <c r="M947" s="56"/>
      <c r="N947" s="56"/>
      <c r="O947" s="56"/>
      <c r="P947" s="56"/>
      <c r="Q947" s="56"/>
      <c r="R947" s="56"/>
      <c r="S947" s="56"/>
      <c r="T947" s="56"/>
      <c r="U947" s="56"/>
      <c r="V947" s="56"/>
      <c r="W947" s="56"/>
    </row>
    <row r="948">
      <c r="A948" s="121"/>
      <c r="B948" s="56"/>
      <c r="C948" s="118"/>
      <c r="D948" s="118"/>
      <c r="E948" s="118"/>
      <c r="F948" s="56"/>
      <c r="G948" s="56"/>
      <c r="H948" s="56"/>
      <c r="I948" s="56"/>
      <c r="J948" s="56"/>
      <c r="K948" s="56"/>
      <c r="L948" s="56"/>
      <c r="M948" s="56"/>
      <c r="N948" s="56"/>
      <c r="O948" s="56"/>
      <c r="P948" s="56"/>
      <c r="Q948" s="56"/>
      <c r="R948" s="56"/>
      <c r="S948" s="56"/>
      <c r="T948" s="56"/>
      <c r="U948" s="56"/>
      <c r="V948" s="56"/>
      <c r="W948" s="56"/>
    </row>
    <row r="949">
      <c r="A949" s="121"/>
      <c r="B949" s="56"/>
      <c r="C949" s="118"/>
      <c r="D949" s="118"/>
      <c r="E949" s="118"/>
      <c r="F949" s="56"/>
      <c r="G949" s="56"/>
      <c r="H949" s="56"/>
      <c r="I949" s="56"/>
      <c r="J949" s="56"/>
      <c r="K949" s="56"/>
      <c r="L949" s="56"/>
      <c r="M949" s="56"/>
      <c r="N949" s="56"/>
      <c r="O949" s="56"/>
      <c r="P949" s="56"/>
      <c r="Q949" s="56"/>
      <c r="R949" s="56"/>
      <c r="S949" s="56"/>
      <c r="T949" s="56"/>
      <c r="U949" s="56"/>
      <c r="V949" s="56"/>
      <c r="W949" s="56"/>
    </row>
    <row r="950">
      <c r="A950" s="121"/>
      <c r="B950" s="56"/>
      <c r="C950" s="118"/>
      <c r="D950" s="118"/>
      <c r="E950" s="118"/>
      <c r="F950" s="56"/>
      <c r="G950" s="56"/>
      <c r="H950" s="56"/>
      <c r="I950" s="56"/>
      <c r="J950" s="56"/>
      <c r="K950" s="56"/>
      <c r="L950" s="56"/>
      <c r="M950" s="56"/>
      <c r="N950" s="56"/>
      <c r="O950" s="56"/>
      <c r="P950" s="56"/>
      <c r="Q950" s="56"/>
      <c r="R950" s="56"/>
      <c r="S950" s="56"/>
      <c r="T950" s="56"/>
      <c r="U950" s="56"/>
      <c r="V950" s="56"/>
      <c r="W950" s="56"/>
    </row>
    <row r="951">
      <c r="A951" s="121"/>
      <c r="B951" s="56"/>
      <c r="C951" s="118"/>
      <c r="D951" s="118"/>
      <c r="E951" s="118"/>
      <c r="F951" s="56"/>
      <c r="G951" s="56"/>
      <c r="H951" s="56"/>
      <c r="I951" s="56"/>
      <c r="J951" s="56"/>
      <c r="K951" s="56"/>
      <c r="L951" s="56"/>
      <c r="M951" s="56"/>
      <c r="N951" s="56"/>
      <c r="O951" s="56"/>
      <c r="P951" s="56"/>
      <c r="Q951" s="56"/>
      <c r="R951" s="56"/>
      <c r="S951" s="56"/>
      <c r="T951" s="56"/>
      <c r="U951" s="56"/>
      <c r="V951" s="56"/>
      <c r="W951" s="56"/>
    </row>
    <row r="952">
      <c r="A952" s="121"/>
      <c r="B952" s="56"/>
      <c r="C952" s="118"/>
      <c r="D952" s="118"/>
      <c r="E952" s="118"/>
      <c r="F952" s="56"/>
      <c r="G952" s="56"/>
      <c r="H952" s="56"/>
      <c r="I952" s="56"/>
      <c r="J952" s="56"/>
      <c r="K952" s="56"/>
      <c r="L952" s="56"/>
      <c r="M952" s="56"/>
      <c r="N952" s="56"/>
      <c r="O952" s="56"/>
      <c r="P952" s="56"/>
      <c r="Q952" s="56"/>
      <c r="R952" s="56"/>
      <c r="S952" s="56"/>
      <c r="T952" s="56"/>
      <c r="U952" s="56"/>
      <c r="V952" s="56"/>
      <c r="W952" s="56"/>
    </row>
    <row r="953">
      <c r="A953" s="121"/>
      <c r="B953" s="56"/>
      <c r="C953" s="118"/>
      <c r="D953" s="118"/>
      <c r="E953" s="118"/>
      <c r="F953" s="56"/>
      <c r="G953" s="56"/>
      <c r="H953" s="56"/>
      <c r="I953" s="56"/>
      <c r="J953" s="56"/>
      <c r="K953" s="56"/>
      <c r="L953" s="56"/>
      <c r="M953" s="56"/>
      <c r="N953" s="56"/>
      <c r="O953" s="56"/>
      <c r="P953" s="56"/>
      <c r="Q953" s="56"/>
      <c r="R953" s="56"/>
      <c r="S953" s="56"/>
      <c r="T953" s="56"/>
      <c r="U953" s="56"/>
      <c r="V953" s="56"/>
      <c r="W953" s="56"/>
    </row>
    <row r="954">
      <c r="A954" s="121"/>
      <c r="B954" s="56"/>
      <c r="C954" s="118"/>
      <c r="D954" s="118"/>
      <c r="E954" s="118"/>
      <c r="F954" s="56"/>
      <c r="G954" s="56"/>
      <c r="H954" s="56"/>
      <c r="I954" s="56"/>
      <c r="J954" s="56"/>
      <c r="K954" s="56"/>
      <c r="L954" s="56"/>
      <c r="M954" s="56"/>
      <c r="N954" s="56"/>
      <c r="O954" s="56"/>
      <c r="P954" s="56"/>
      <c r="Q954" s="56"/>
      <c r="R954" s="56"/>
      <c r="S954" s="56"/>
      <c r="T954" s="56"/>
      <c r="U954" s="56"/>
      <c r="V954" s="56"/>
      <c r="W954" s="56"/>
    </row>
    <row r="955">
      <c r="A955" s="121"/>
      <c r="B955" s="56"/>
      <c r="C955" s="118"/>
      <c r="D955" s="118"/>
      <c r="E955" s="118"/>
      <c r="F955" s="56"/>
      <c r="G955" s="56"/>
      <c r="H955" s="56"/>
      <c r="I955" s="56"/>
      <c r="J955" s="56"/>
      <c r="K955" s="56"/>
      <c r="L955" s="56"/>
      <c r="M955" s="56"/>
      <c r="N955" s="56"/>
      <c r="O955" s="56"/>
      <c r="P955" s="56"/>
      <c r="Q955" s="56"/>
      <c r="R955" s="56"/>
      <c r="S955" s="56"/>
      <c r="T955" s="56"/>
      <c r="U955" s="56"/>
      <c r="V955" s="56"/>
      <c r="W955" s="56"/>
    </row>
    <row r="956">
      <c r="A956" s="121"/>
      <c r="B956" s="56"/>
      <c r="C956" s="118"/>
      <c r="D956" s="118"/>
      <c r="E956" s="118"/>
      <c r="F956" s="56"/>
      <c r="G956" s="56"/>
      <c r="H956" s="56"/>
      <c r="I956" s="56"/>
      <c r="J956" s="56"/>
      <c r="K956" s="56"/>
      <c r="L956" s="56"/>
      <c r="M956" s="56"/>
      <c r="N956" s="56"/>
      <c r="O956" s="56"/>
      <c r="P956" s="56"/>
      <c r="Q956" s="56"/>
      <c r="R956" s="56"/>
      <c r="S956" s="56"/>
      <c r="T956" s="56"/>
      <c r="U956" s="56"/>
      <c r="V956" s="56"/>
      <c r="W956" s="56"/>
    </row>
    <row r="957">
      <c r="A957" s="121"/>
      <c r="B957" s="56"/>
      <c r="C957" s="118"/>
      <c r="D957" s="118"/>
      <c r="E957" s="118"/>
      <c r="F957" s="56"/>
      <c r="G957" s="56"/>
      <c r="H957" s="56"/>
      <c r="I957" s="56"/>
      <c r="J957" s="56"/>
      <c r="K957" s="56"/>
      <c r="L957" s="56"/>
      <c r="M957" s="56"/>
      <c r="N957" s="56"/>
      <c r="O957" s="56"/>
      <c r="P957" s="56"/>
      <c r="Q957" s="56"/>
      <c r="R957" s="56"/>
      <c r="S957" s="56"/>
      <c r="T957" s="56"/>
      <c r="U957" s="56"/>
      <c r="V957" s="56"/>
      <c r="W957" s="56"/>
    </row>
    <row r="958">
      <c r="A958" s="121"/>
      <c r="B958" s="56"/>
      <c r="C958" s="118"/>
      <c r="D958" s="118"/>
      <c r="E958" s="118"/>
      <c r="F958" s="56"/>
      <c r="G958" s="56"/>
      <c r="H958" s="56"/>
      <c r="I958" s="56"/>
      <c r="J958" s="56"/>
      <c r="K958" s="56"/>
      <c r="L958" s="56"/>
      <c r="M958" s="56"/>
      <c r="N958" s="56"/>
      <c r="O958" s="56"/>
      <c r="P958" s="56"/>
      <c r="Q958" s="56"/>
      <c r="R958" s="56"/>
      <c r="S958" s="56"/>
      <c r="T958" s="56"/>
      <c r="U958" s="56"/>
      <c r="V958" s="56"/>
      <c r="W958" s="56"/>
    </row>
    <row r="959">
      <c r="A959" s="121"/>
      <c r="B959" s="56"/>
      <c r="C959" s="118"/>
      <c r="D959" s="118"/>
      <c r="E959" s="118"/>
      <c r="F959" s="56"/>
      <c r="G959" s="56"/>
      <c r="H959" s="56"/>
      <c r="I959" s="56"/>
      <c r="J959" s="56"/>
      <c r="K959" s="56"/>
      <c r="L959" s="56"/>
      <c r="M959" s="56"/>
      <c r="N959" s="56"/>
      <c r="O959" s="56"/>
      <c r="P959" s="56"/>
      <c r="Q959" s="56"/>
      <c r="R959" s="56"/>
      <c r="S959" s="56"/>
      <c r="T959" s="56"/>
      <c r="U959" s="56"/>
      <c r="V959" s="56"/>
      <c r="W959" s="56"/>
    </row>
    <row r="960">
      <c r="A960" s="121"/>
      <c r="B960" s="56"/>
      <c r="C960" s="118"/>
      <c r="D960" s="118"/>
      <c r="E960" s="118"/>
      <c r="F960" s="56"/>
      <c r="G960" s="56"/>
      <c r="H960" s="56"/>
      <c r="I960" s="56"/>
      <c r="J960" s="56"/>
      <c r="K960" s="56"/>
      <c r="L960" s="56"/>
      <c r="M960" s="56"/>
      <c r="N960" s="56"/>
      <c r="O960" s="56"/>
      <c r="P960" s="56"/>
      <c r="Q960" s="56"/>
      <c r="R960" s="56"/>
      <c r="S960" s="56"/>
      <c r="T960" s="56"/>
      <c r="U960" s="56"/>
      <c r="V960" s="56"/>
      <c r="W960" s="56"/>
    </row>
    <row r="961">
      <c r="A961" s="121"/>
      <c r="B961" s="56"/>
      <c r="C961" s="118"/>
      <c r="D961" s="118"/>
      <c r="E961" s="118"/>
      <c r="F961" s="56"/>
      <c r="G961" s="56"/>
      <c r="H961" s="56"/>
      <c r="I961" s="56"/>
      <c r="J961" s="56"/>
      <c r="K961" s="56"/>
      <c r="L961" s="56"/>
      <c r="M961" s="56"/>
      <c r="N961" s="56"/>
      <c r="O961" s="56"/>
      <c r="P961" s="56"/>
      <c r="Q961" s="56"/>
      <c r="R961" s="56"/>
      <c r="S961" s="56"/>
      <c r="T961" s="56"/>
      <c r="U961" s="56"/>
      <c r="V961" s="56"/>
      <c r="W961" s="56"/>
    </row>
    <row r="962">
      <c r="A962" s="121"/>
      <c r="B962" s="56"/>
      <c r="C962" s="118"/>
      <c r="D962" s="118"/>
      <c r="E962" s="118"/>
      <c r="F962" s="56"/>
      <c r="G962" s="56"/>
      <c r="H962" s="56"/>
      <c r="I962" s="56"/>
      <c r="J962" s="56"/>
      <c r="K962" s="56"/>
      <c r="L962" s="56"/>
      <c r="M962" s="56"/>
      <c r="N962" s="56"/>
      <c r="O962" s="56"/>
      <c r="P962" s="56"/>
      <c r="Q962" s="56"/>
      <c r="R962" s="56"/>
      <c r="S962" s="56"/>
      <c r="T962" s="56"/>
      <c r="U962" s="56"/>
      <c r="V962" s="56"/>
      <c r="W962" s="56"/>
    </row>
    <row r="963">
      <c r="A963" s="121"/>
      <c r="B963" s="56"/>
      <c r="C963" s="118"/>
      <c r="D963" s="118"/>
      <c r="E963" s="118"/>
      <c r="F963" s="56"/>
      <c r="G963" s="56"/>
      <c r="H963" s="56"/>
      <c r="I963" s="56"/>
      <c r="J963" s="56"/>
      <c r="K963" s="56"/>
      <c r="L963" s="56"/>
      <c r="M963" s="56"/>
      <c r="N963" s="56"/>
      <c r="O963" s="56"/>
      <c r="P963" s="56"/>
      <c r="Q963" s="56"/>
      <c r="R963" s="56"/>
      <c r="S963" s="56"/>
      <c r="T963" s="56"/>
      <c r="U963" s="56"/>
      <c r="V963" s="56"/>
      <c r="W963" s="56"/>
    </row>
    <row r="964">
      <c r="A964" s="121"/>
      <c r="B964" s="56"/>
      <c r="C964" s="118"/>
      <c r="D964" s="118"/>
      <c r="E964" s="118"/>
      <c r="F964" s="56"/>
      <c r="G964" s="56"/>
      <c r="H964" s="56"/>
      <c r="I964" s="56"/>
      <c r="J964" s="56"/>
      <c r="K964" s="56"/>
      <c r="L964" s="56"/>
      <c r="M964" s="56"/>
      <c r="N964" s="56"/>
      <c r="O964" s="56"/>
      <c r="P964" s="56"/>
      <c r="Q964" s="56"/>
      <c r="R964" s="56"/>
      <c r="S964" s="56"/>
      <c r="T964" s="56"/>
      <c r="U964" s="56"/>
      <c r="V964" s="56"/>
      <c r="W964" s="56"/>
    </row>
    <row r="965">
      <c r="A965" s="121"/>
      <c r="B965" s="56"/>
      <c r="C965" s="118"/>
      <c r="D965" s="118"/>
      <c r="E965" s="118"/>
      <c r="F965" s="56"/>
      <c r="G965" s="56"/>
      <c r="H965" s="56"/>
      <c r="I965" s="56"/>
      <c r="J965" s="56"/>
      <c r="K965" s="56"/>
      <c r="L965" s="56"/>
      <c r="M965" s="56"/>
      <c r="N965" s="56"/>
      <c r="O965" s="56"/>
      <c r="P965" s="56"/>
      <c r="Q965" s="56"/>
      <c r="R965" s="56"/>
      <c r="S965" s="56"/>
      <c r="T965" s="56"/>
      <c r="U965" s="56"/>
      <c r="V965" s="56"/>
      <c r="W965" s="56"/>
    </row>
    <row r="966">
      <c r="A966" s="121"/>
      <c r="B966" s="56"/>
      <c r="C966" s="118"/>
      <c r="D966" s="118"/>
      <c r="E966" s="118"/>
      <c r="F966" s="56"/>
      <c r="G966" s="56"/>
      <c r="H966" s="56"/>
      <c r="I966" s="56"/>
      <c r="J966" s="56"/>
      <c r="K966" s="56"/>
      <c r="L966" s="56"/>
      <c r="M966" s="56"/>
      <c r="N966" s="56"/>
      <c r="O966" s="56"/>
      <c r="P966" s="56"/>
      <c r="Q966" s="56"/>
      <c r="R966" s="56"/>
      <c r="S966" s="56"/>
      <c r="T966" s="56"/>
      <c r="U966" s="56"/>
      <c r="V966" s="56"/>
      <c r="W966" s="56"/>
    </row>
    <row r="967">
      <c r="A967" s="121"/>
      <c r="B967" s="56"/>
      <c r="C967" s="118"/>
      <c r="D967" s="118"/>
      <c r="E967" s="118"/>
      <c r="F967" s="56"/>
      <c r="G967" s="56"/>
      <c r="H967" s="56"/>
      <c r="I967" s="56"/>
      <c r="J967" s="56"/>
      <c r="K967" s="56"/>
      <c r="L967" s="56"/>
      <c r="M967" s="56"/>
      <c r="N967" s="56"/>
      <c r="O967" s="56"/>
      <c r="P967" s="56"/>
      <c r="Q967" s="56"/>
      <c r="R967" s="56"/>
      <c r="S967" s="56"/>
      <c r="T967" s="56"/>
      <c r="U967" s="56"/>
      <c r="V967" s="56"/>
      <c r="W967" s="56"/>
    </row>
    <row r="968">
      <c r="A968" s="121"/>
      <c r="B968" s="56"/>
      <c r="C968" s="118"/>
      <c r="D968" s="118"/>
      <c r="E968" s="118"/>
      <c r="F968" s="56"/>
      <c r="G968" s="56"/>
      <c r="H968" s="56"/>
      <c r="I968" s="56"/>
      <c r="J968" s="56"/>
      <c r="K968" s="56"/>
      <c r="L968" s="56"/>
      <c r="M968" s="56"/>
      <c r="N968" s="56"/>
      <c r="O968" s="56"/>
      <c r="P968" s="56"/>
      <c r="Q968" s="56"/>
      <c r="R968" s="56"/>
      <c r="S968" s="56"/>
      <c r="T968" s="56"/>
      <c r="U968" s="56"/>
      <c r="V968" s="56"/>
      <c r="W968" s="56"/>
    </row>
    <row r="969">
      <c r="A969" s="121"/>
      <c r="B969" s="56"/>
      <c r="C969" s="118"/>
      <c r="D969" s="118"/>
      <c r="E969" s="118"/>
      <c r="F969" s="56"/>
      <c r="G969" s="56"/>
      <c r="H969" s="56"/>
      <c r="I969" s="56"/>
      <c r="J969" s="56"/>
      <c r="K969" s="56"/>
      <c r="L969" s="56"/>
      <c r="M969" s="56"/>
      <c r="N969" s="56"/>
      <c r="O969" s="56"/>
      <c r="P969" s="56"/>
      <c r="Q969" s="56"/>
      <c r="R969" s="56"/>
      <c r="S969" s="56"/>
      <c r="T969" s="56"/>
      <c r="U969" s="56"/>
      <c r="V969" s="56"/>
      <c r="W969" s="56"/>
    </row>
    <row r="970">
      <c r="A970" s="121"/>
      <c r="B970" s="56"/>
      <c r="C970" s="118"/>
      <c r="D970" s="118"/>
      <c r="E970" s="118"/>
      <c r="F970" s="56"/>
      <c r="G970" s="56"/>
      <c r="H970" s="56"/>
      <c r="I970" s="56"/>
      <c r="J970" s="56"/>
      <c r="K970" s="56"/>
      <c r="L970" s="56"/>
      <c r="M970" s="56"/>
      <c r="N970" s="56"/>
      <c r="O970" s="56"/>
      <c r="P970" s="56"/>
      <c r="Q970" s="56"/>
      <c r="R970" s="56"/>
      <c r="S970" s="56"/>
      <c r="T970" s="56"/>
      <c r="U970" s="56"/>
      <c r="V970" s="56"/>
      <c r="W970" s="56"/>
    </row>
    <row r="971">
      <c r="A971" s="121"/>
      <c r="B971" s="56"/>
      <c r="C971" s="118"/>
      <c r="D971" s="118"/>
      <c r="E971" s="118"/>
      <c r="F971" s="56"/>
      <c r="G971" s="56"/>
      <c r="H971" s="56"/>
      <c r="I971" s="56"/>
      <c r="J971" s="56"/>
      <c r="K971" s="56"/>
      <c r="L971" s="56"/>
      <c r="M971" s="56"/>
      <c r="N971" s="56"/>
      <c r="O971" s="56"/>
      <c r="P971" s="56"/>
      <c r="Q971" s="56"/>
      <c r="R971" s="56"/>
      <c r="S971" s="56"/>
      <c r="T971" s="56"/>
      <c r="U971" s="56"/>
      <c r="V971" s="56"/>
      <c r="W971" s="56"/>
    </row>
    <row r="972">
      <c r="A972" s="121"/>
      <c r="B972" s="56"/>
      <c r="C972" s="118"/>
      <c r="D972" s="118"/>
      <c r="E972" s="118"/>
      <c r="F972" s="56"/>
      <c r="G972" s="56"/>
      <c r="H972" s="56"/>
      <c r="I972" s="56"/>
      <c r="J972" s="56"/>
      <c r="K972" s="56"/>
      <c r="L972" s="56"/>
      <c r="M972" s="56"/>
      <c r="N972" s="56"/>
      <c r="O972" s="56"/>
      <c r="P972" s="56"/>
      <c r="Q972" s="56"/>
      <c r="R972" s="56"/>
      <c r="S972" s="56"/>
      <c r="T972" s="56"/>
      <c r="U972" s="56"/>
      <c r="V972" s="56"/>
      <c r="W972" s="56"/>
    </row>
    <row r="973">
      <c r="A973" s="121"/>
      <c r="B973" s="56"/>
      <c r="C973" s="118"/>
      <c r="D973" s="118"/>
      <c r="E973" s="118"/>
      <c r="F973" s="56"/>
      <c r="G973" s="56"/>
      <c r="H973" s="56"/>
      <c r="I973" s="56"/>
      <c r="J973" s="56"/>
      <c r="K973" s="56"/>
      <c r="L973" s="56"/>
      <c r="M973" s="56"/>
      <c r="N973" s="56"/>
      <c r="O973" s="56"/>
      <c r="P973" s="56"/>
      <c r="Q973" s="56"/>
      <c r="R973" s="56"/>
      <c r="S973" s="56"/>
      <c r="T973" s="56"/>
      <c r="U973" s="56"/>
      <c r="V973" s="56"/>
      <c r="W973" s="56"/>
    </row>
    <row r="974">
      <c r="A974" s="121"/>
      <c r="B974" s="56"/>
      <c r="C974" s="118"/>
      <c r="D974" s="118"/>
      <c r="E974" s="118"/>
      <c r="F974" s="56"/>
      <c r="G974" s="56"/>
      <c r="H974" s="56"/>
      <c r="I974" s="56"/>
      <c r="J974" s="56"/>
      <c r="K974" s="56"/>
      <c r="L974" s="56"/>
      <c r="M974" s="56"/>
      <c r="N974" s="56"/>
      <c r="O974" s="56"/>
      <c r="P974" s="56"/>
      <c r="Q974" s="56"/>
      <c r="R974" s="56"/>
      <c r="S974" s="56"/>
      <c r="T974" s="56"/>
      <c r="U974" s="56"/>
      <c r="V974" s="56"/>
      <c r="W974" s="56"/>
    </row>
    <row r="975">
      <c r="A975" s="121"/>
      <c r="B975" s="56"/>
      <c r="C975" s="118"/>
      <c r="D975" s="118"/>
      <c r="E975" s="118"/>
      <c r="F975" s="56"/>
      <c r="G975" s="56"/>
      <c r="H975" s="56"/>
      <c r="I975" s="56"/>
      <c r="J975" s="56"/>
      <c r="K975" s="56"/>
      <c r="L975" s="56"/>
      <c r="M975" s="56"/>
      <c r="N975" s="56"/>
      <c r="O975" s="56"/>
      <c r="P975" s="56"/>
      <c r="Q975" s="56"/>
      <c r="R975" s="56"/>
      <c r="S975" s="56"/>
      <c r="T975" s="56"/>
      <c r="U975" s="56"/>
      <c r="V975" s="56"/>
      <c r="W975" s="56"/>
    </row>
    <row r="976">
      <c r="A976" s="121"/>
      <c r="B976" s="56"/>
      <c r="C976" s="118"/>
      <c r="D976" s="118"/>
      <c r="E976" s="118"/>
      <c r="F976" s="56"/>
      <c r="G976" s="56"/>
      <c r="H976" s="56"/>
      <c r="I976" s="56"/>
      <c r="J976" s="56"/>
      <c r="K976" s="56"/>
      <c r="L976" s="56"/>
      <c r="M976" s="56"/>
      <c r="N976" s="56"/>
      <c r="O976" s="56"/>
      <c r="P976" s="56"/>
      <c r="Q976" s="56"/>
      <c r="R976" s="56"/>
      <c r="S976" s="56"/>
      <c r="T976" s="56"/>
      <c r="U976" s="56"/>
      <c r="V976" s="56"/>
      <c r="W976" s="56"/>
    </row>
    <row r="977">
      <c r="A977" s="121"/>
      <c r="B977" s="56"/>
      <c r="C977" s="118"/>
      <c r="D977" s="118"/>
      <c r="E977" s="118"/>
      <c r="F977" s="56"/>
      <c r="G977" s="56"/>
      <c r="H977" s="56"/>
      <c r="I977" s="56"/>
      <c r="J977" s="56"/>
      <c r="K977" s="56"/>
      <c r="L977" s="56"/>
      <c r="M977" s="56"/>
      <c r="N977" s="56"/>
      <c r="O977" s="56"/>
      <c r="P977" s="56"/>
      <c r="Q977" s="56"/>
      <c r="R977" s="56"/>
      <c r="S977" s="56"/>
      <c r="T977" s="56"/>
      <c r="U977" s="56"/>
      <c r="V977" s="56"/>
      <c r="W977" s="56"/>
    </row>
    <row r="978">
      <c r="A978" s="121"/>
      <c r="B978" s="56"/>
      <c r="C978" s="118"/>
      <c r="D978" s="118"/>
      <c r="E978" s="118"/>
      <c r="F978" s="56"/>
      <c r="G978" s="56"/>
      <c r="H978" s="56"/>
      <c r="I978" s="56"/>
      <c r="J978" s="56"/>
      <c r="K978" s="56"/>
      <c r="L978" s="56"/>
      <c r="M978" s="56"/>
      <c r="N978" s="56"/>
      <c r="O978" s="56"/>
      <c r="P978" s="56"/>
      <c r="Q978" s="56"/>
      <c r="R978" s="56"/>
      <c r="S978" s="56"/>
      <c r="T978" s="56"/>
      <c r="U978" s="56"/>
      <c r="V978" s="56"/>
      <c r="W978" s="56"/>
    </row>
    <row r="979">
      <c r="A979" s="121"/>
      <c r="B979" s="56"/>
      <c r="C979" s="118"/>
      <c r="D979" s="118"/>
      <c r="E979" s="118"/>
      <c r="F979" s="56"/>
      <c r="G979" s="56"/>
      <c r="H979" s="56"/>
      <c r="I979" s="56"/>
      <c r="J979" s="56"/>
      <c r="K979" s="56"/>
      <c r="L979" s="56"/>
      <c r="M979" s="56"/>
      <c r="N979" s="56"/>
      <c r="O979" s="56"/>
      <c r="P979" s="56"/>
      <c r="Q979" s="56"/>
      <c r="R979" s="56"/>
      <c r="S979" s="56"/>
      <c r="T979" s="56"/>
      <c r="U979" s="56"/>
      <c r="V979" s="56"/>
      <c r="W979" s="56"/>
    </row>
    <row r="980">
      <c r="A980" s="121"/>
      <c r="B980" s="56"/>
      <c r="C980" s="118"/>
      <c r="D980" s="118"/>
      <c r="E980" s="118"/>
      <c r="F980" s="56"/>
      <c r="G980" s="56"/>
      <c r="H980" s="56"/>
      <c r="I980" s="56"/>
      <c r="J980" s="56"/>
      <c r="K980" s="56"/>
      <c r="L980" s="56"/>
      <c r="M980" s="56"/>
      <c r="N980" s="56"/>
      <c r="O980" s="56"/>
      <c r="P980" s="56"/>
      <c r="Q980" s="56"/>
      <c r="R980" s="56"/>
      <c r="S980" s="56"/>
      <c r="T980" s="56"/>
      <c r="U980" s="56"/>
      <c r="V980" s="56"/>
      <c r="W980" s="56"/>
    </row>
    <row r="981">
      <c r="A981" s="121"/>
      <c r="B981" s="56"/>
      <c r="C981" s="118"/>
      <c r="D981" s="118"/>
      <c r="E981" s="118"/>
      <c r="F981" s="56"/>
      <c r="G981" s="56"/>
      <c r="H981" s="56"/>
      <c r="I981" s="56"/>
      <c r="J981" s="56"/>
      <c r="K981" s="56"/>
      <c r="L981" s="56"/>
      <c r="M981" s="56"/>
      <c r="N981" s="56"/>
      <c r="O981" s="56"/>
      <c r="P981" s="56"/>
      <c r="Q981" s="56"/>
      <c r="R981" s="56"/>
      <c r="S981" s="56"/>
      <c r="T981" s="56"/>
      <c r="U981" s="56"/>
      <c r="V981" s="56"/>
      <c r="W981" s="56"/>
    </row>
    <row r="982">
      <c r="A982" s="121"/>
      <c r="B982" s="56"/>
      <c r="C982" s="118"/>
      <c r="D982" s="118"/>
      <c r="E982" s="118"/>
      <c r="F982" s="56"/>
      <c r="G982" s="56"/>
      <c r="H982" s="56"/>
      <c r="I982" s="56"/>
      <c r="J982" s="56"/>
      <c r="K982" s="56"/>
      <c r="L982" s="56"/>
      <c r="M982" s="56"/>
      <c r="N982" s="56"/>
      <c r="O982" s="56"/>
      <c r="P982" s="56"/>
      <c r="Q982" s="56"/>
      <c r="R982" s="56"/>
      <c r="S982" s="56"/>
      <c r="T982" s="56"/>
      <c r="U982" s="56"/>
      <c r="V982" s="56"/>
      <c r="W982" s="56"/>
    </row>
    <row r="983">
      <c r="A983" s="121"/>
      <c r="B983" s="56"/>
      <c r="C983" s="118"/>
      <c r="D983" s="118"/>
      <c r="E983" s="118"/>
      <c r="F983" s="56"/>
      <c r="G983" s="56"/>
      <c r="H983" s="56"/>
      <c r="I983" s="56"/>
      <c r="J983" s="56"/>
      <c r="K983" s="56"/>
      <c r="L983" s="56"/>
      <c r="M983" s="56"/>
      <c r="N983" s="56"/>
      <c r="O983" s="56"/>
      <c r="P983" s="56"/>
      <c r="Q983" s="56"/>
      <c r="R983" s="56"/>
      <c r="S983" s="56"/>
      <c r="T983" s="56"/>
      <c r="U983" s="56"/>
      <c r="V983" s="56"/>
      <c r="W983" s="56"/>
    </row>
    <row r="984">
      <c r="A984" s="121"/>
      <c r="B984" s="56"/>
      <c r="C984" s="118"/>
      <c r="D984" s="118"/>
      <c r="E984" s="118"/>
      <c r="F984" s="56"/>
      <c r="G984" s="56"/>
      <c r="H984" s="56"/>
      <c r="I984" s="56"/>
      <c r="J984" s="56"/>
      <c r="K984" s="56"/>
      <c r="L984" s="56"/>
      <c r="M984" s="56"/>
      <c r="N984" s="56"/>
      <c r="O984" s="56"/>
      <c r="P984" s="56"/>
      <c r="Q984" s="56"/>
      <c r="R984" s="56"/>
      <c r="S984" s="56"/>
      <c r="T984" s="56"/>
      <c r="U984" s="56"/>
      <c r="V984" s="56"/>
      <c r="W984" s="56"/>
    </row>
    <row r="985">
      <c r="A985" s="121"/>
      <c r="B985" s="56"/>
      <c r="C985" s="118"/>
      <c r="D985" s="118"/>
      <c r="E985" s="118"/>
      <c r="F985" s="56"/>
      <c r="G985" s="56"/>
      <c r="H985" s="56"/>
      <c r="I985" s="56"/>
      <c r="J985" s="56"/>
      <c r="K985" s="56"/>
      <c r="L985" s="56"/>
      <c r="M985" s="56"/>
      <c r="N985" s="56"/>
      <c r="O985" s="56"/>
      <c r="P985" s="56"/>
      <c r="Q985" s="56"/>
      <c r="R985" s="56"/>
      <c r="S985" s="56"/>
      <c r="T985" s="56"/>
      <c r="U985" s="56"/>
      <c r="V985" s="56"/>
      <c r="W985" s="56"/>
    </row>
    <row r="986">
      <c r="A986" s="121"/>
      <c r="B986" s="56"/>
      <c r="C986" s="118"/>
      <c r="D986" s="118"/>
      <c r="E986" s="118"/>
      <c r="F986" s="56"/>
      <c r="G986" s="56"/>
      <c r="H986" s="56"/>
      <c r="I986" s="56"/>
      <c r="J986" s="56"/>
      <c r="K986" s="56"/>
      <c r="L986" s="56"/>
      <c r="M986" s="56"/>
      <c r="N986" s="56"/>
      <c r="O986" s="56"/>
      <c r="P986" s="56"/>
      <c r="Q986" s="56"/>
      <c r="R986" s="56"/>
      <c r="S986" s="56"/>
      <c r="T986" s="56"/>
      <c r="U986" s="56"/>
      <c r="V986" s="56"/>
      <c r="W986" s="56"/>
    </row>
    <row r="987">
      <c r="A987" s="121"/>
      <c r="B987" s="56"/>
      <c r="C987" s="118"/>
      <c r="D987" s="118"/>
      <c r="E987" s="118"/>
      <c r="F987" s="56"/>
      <c r="G987" s="56"/>
      <c r="H987" s="56"/>
      <c r="I987" s="56"/>
      <c r="J987" s="56"/>
      <c r="K987" s="56"/>
      <c r="L987" s="56"/>
      <c r="M987" s="56"/>
      <c r="N987" s="56"/>
      <c r="O987" s="56"/>
      <c r="P987" s="56"/>
      <c r="Q987" s="56"/>
      <c r="R987" s="56"/>
      <c r="S987" s="56"/>
      <c r="T987" s="56"/>
      <c r="U987" s="56"/>
      <c r="V987" s="56"/>
      <c r="W987" s="56"/>
    </row>
    <row r="988">
      <c r="A988" s="121"/>
      <c r="B988" s="56"/>
      <c r="C988" s="118"/>
      <c r="D988" s="118"/>
      <c r="E988" s="118"/>
      <c r="F988" s="56"/>
      <c r="G988" s="56"/>
      <c r="H988" s="56"/>
      <c r="I988" s="56"/>
      <c r="J988" s="56"/>
      <c r="K988" s="56"/>
      <c r="L988" s="56"/>
      <c r="M988" s="56"/>
      <c r="N988" s="56"/>
      <c r="O988" s="56"/>
      <c r="P988" s="56"/>
      <c r="Q988" s="56"/>
      <c r="R988" s="56"/>
      <c r="S988" s="56"/>
      <c r="T988" s="56"/>
      <c r="U988" s="56"/>
      <c r="V988" s="56"/>
      <c r="W988" s="56"/>
    </row>
    <row r="989">
      <c r="A989" s="121"/>
      <c r="B989" s="56"/>
      <c r="C989" s="118"/>
      <c r="D989" s="118"/>
      <c r="E989" s="118"/>
      <c r="F989" s="56"/>
      <c r="G989" s="56"/>
      <c r="H989" s="56"/>
      <c r="I989" s="56"/>
      <c r="J989" s="56"/>
      <c r="K989" s="56"/>
      <c r="L989" s="56"/>
      <c r="M989" s="56"/>
      <c r="N989" s="56"/>
      <c r="O989" s="56"/>
      <c r="P989" s="56"/>
      <c r="Q989" s="56"/>
      <c r="R989" s="56"/>
      <c r="S989" s="56"/>
      <c r="T989" s="56"/>
      <c r="U989" s="56"/>
      <c r="V989" s="56"/>
      <c r="W989" s="56"/>
    </row>
    <row r="990">
      <c r="A990" s="121"/>
      <c r="B990" s="56"/>
      <c r="C990" s="118"/>
      <c r="D990" s="118"/>
      <c r="E990" s="118"/>
      <c r="F990" s="56"/>
      <c r="G990" s="56"/>
      <c r="H990" s="56"/>
      <c r="I990" s="56"/>
      <c r="J990" s="56"/>
      <c r="K990" s="56"/>
      <c r="L990" s="56"/>
      <c r="M990" s="56"/>
      <c r="N990" s="56"/>
      <c r="O990" s="56"/>
      <c r="P990" s="56"/>
      <c r="Q990" s="56"/>
      <c r="R990" s="56"/>
      <c r="S990" s="56"/>
      <c r="T990" s="56"/>
      <c r="U990" s="56"/>
      <c r="V990" s="56"/>
      <c r="W990" s="56"/>
    </row>
    <row r="991">
      <c r="A991" s="121"/>
      <c r="B991" s="56"/>
      <c r="C991" s="118"/>
      <c r="D991" s="118"/>
      <c r="E991" s="118"/>
      <c r="F991" s="56"/>
      <c r="G991" s="56"/>
      <c r="H991" s="56"/>
      <c r="I991" s="56"/>
      <c r="J991" s="56"/>
      <c r="K991" s="56"/>
      <c r="L991" s="56"/>
      <c r="M991" s="56"/>
      <c r="N991" s="56"/>
      <c r="O991" s="56"/>
      <c r="P991" s="56"/>
      <c r="Q991" s="56"/>
      <c r="R991" s="56"/>
      <c r="S991" s="56"/>
      <c r="T991" s="56"/>
      <c r="U991" s="56"/>
      <c r="V991" s="56"/>
      <c r="W991" s="56"/>
    </row>
    <row r="992">
      <c r="A992" s="121"/>
      <c r="B992" s="56"/>
      <c r="C992" s="118"/>
      <c r="D992" s="118"/>
      <c r="E992" s="118"/>
      <c r="F992" s="56"/>
      <c r="G992" s="56"/>
      <c r="H992" s="56"/>
      <c r="I992" s="56"/>
      <c r="J992" s="56"/>
      <c r="K992" s="56"/>
      <c r="L992" s="56"/>
      <c r="M992" s="56"/>
      <c r="N992" s="56"/>
      <c r="O992" s="56"/>
      <c r="P992" s="56"/>
      <c r="Q992" s="56"/>
      <c r="R992" s="56"/>
      <c r="S992" s="56"/>
      <c r="T992" s="56"/>
      <c r="U992" s="56"/>
      <c r="V992" s="56"/>
      <c r="W992" s="56"/>
    </row>
    <row r="993">
      <c r="A993" s="121"/>
      <c r="B993" s="56"/>
      <c r="C993" s="118"/>
      <c r="D993" s="118"/>
      <c r="E993" s="118"/>
      <c r="F993" s="56"/>
      <c r="G993" s="56"/>
      <c r="H993" s="56"/>
      <c r="I993" s="56"/>
      <c r="J993" s="56"/>
      <c r="K993" s="56"/>
      <c r="L993" s="56"/>
      <c r="M993" s="56"/>
      <c r="N993" s="56"/>
      <c r="O993" s="56"/>
      <c r="P993" s="56"/>
      <c r="Q993" s="56"/>
      <c r="R993" s="56"/>
      <c r="S993" s="56"/>
      <c r="T993" s="56"/>
      <c r="U993" s="56"/>
      <c r="V993" s="56"/>
      <c r="W993" s="56"/>
    </row>
    <row r="994">
      <c r="A994" s="121"/>
      <c r="B994" s="56"/>
      <c r="C994" s="118"/>
      <c r="D994" s="118"/>
      <c r="E994" s="118"/>
      <c r="F994" s="56"/>
      <c r="G994" s="56"/>
      <c r="H994" s="56"/>
      <c r="I994" s="56"/>
      <c r="J994" s="56"/>
      <c r="K994" s="56"/>
      <c r="L994" s="56"/>
      <c r="M994" s="56"/>
      <c r="N994" s="56"/>
      <c r="O994" s="56"/>
      <c r="P994" s="56"/>
      <c r="Q994" s="56"/>
      <c r="R994" s="56"/>
      <c r="S994" s="56"/>
      <c r="T994" s="56"/>
      <c r="U994" s="56"/>
      <c r="V994" s="56"/>
      <c r="W994" s="56"/>
    </row>
    <row r="995">
      <c r="A995" s="121"/>
      <c r="B995" s="56"/>
      <c r="C995" s="118"/>
      <c r="D995" s="118"/>
      <c r="E995" s="118"/>
      <c r="F995" s="56"/>
      <c r="G995" s="56"/>
      <c r="H995" s="56"/>
      <c r="I995" s="56"/>
      <c r="J995" s="56"/>
      <c r="K995" s="56"/>
      <c r="L995" s="56"/>
      <c r="M995" s="56"/>
      <c r="N995" s="56"/>
      <c r="O995" s="56"/>
      <c r="P995" s="56"/>
      <c r="Q995" s="56"/>
      <c r="R995" s="56"/>
      <c r="S995" s="56"/>
      <c r="T995" s="56"/>
      <c r="U995" s="56"/>
      <c r="V995" s="56"/>
      <c r="W995" s="56"/>
    </row>
    <row r="996">
      <c r="A996" s="121"/>
      <c r="B996" s="56"/>
      <c r="C996" s="118"/>
      <c r="D996" s="118"/>
      <c r="E996" s="118"/>
      <c r="F996" s="56"/>
      <c r="G996" s="56"/>
      <c r="H996" s="56"/>
      <c r="I996" s="56"/>
      <c r="J996" s="56"/>
      <c r="K996" s="56"/>
      <c r="L996" s="56"/>
      <c r="M996" s="56"/>
      <c r="N996" s="56"/>
      <c r="O996" s="56"/>
      <c r="P996" s="56"/>
      <c r="Q996" s="56"/>
      <c r="R996" s="56"/>
      <c r="S996" s="56"/>
      <c r="T996" s="56"/>
      <c r="U996" s="56"/>
      <c r="V996" s="56"/>
      <c r="W996" s="56"/>
    </row>
    <row r="997">
      <c r="A997" s="121"/>
      <c r="B997" s="56"/>
      <c r="C997" s="118"/>
      <c r="D997" s="118"/>
      <c r="E997" s="118"/>
      <c r="F997" s="56"/>
      <c r="G997" s="56"/>
      <c r="H997" s="56"/>
      <c r="I997" s="56"/>
      <c r="J997" s="56"/>
      <c r="K997" s="56"/>
      <c r="L997" s="56"/>
      <c r="M997" s="56"/>
      <c r="N997" s="56"/>
      <c r="O997" s="56"/>
      <c r="P997" s="56"/>
      <c r="Q997" s="56"/>
      <c r="R997" s="56"/>
      <c r="S997" s="56"/>
      <c r="T997" s="56"/>
      <c r="U997" s="56"/>
      <c r="V997" s="56"/>
      <c r="W997" s="56"/>
    </row>
  </sheetData>
  <mergeCells count="3">
    <mergeCell ref="A2:A19"/>
    <mergeCell ref="A20:A36"/>
    <mergeCell ref="A37:A5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5.88"/>
    <col customWidth="1" min="2" max="2" width="8.13"/>
    <col customWidth="1" min="3" max="4" width="12.13"/>
    <col customWidth="1" min="5" max="5" width="18.63"/>
    <col customWidth="1" min="6" max="6" width="37.63"/>
    <col customWidth="1" min="7" max="7" width="36.5"/>
    <col customWidth="1" min="8" max="8" width="30.0"/>
    <col customWidth="1" min="9" max="9" width="15.5"/>
    <col customWidth="1" min="10" max="10" width="17.63"/>
    <col customWidth="1" min="11" max="11" width="18.5"/>
  </cols>
  <sheetData>
    <row r="1" ht="14.25" customHeight="1">
      <c r="A1" s="93" t="s">
        <v>268</v>
      </c>
      <c r="B1" s="93" t="s">
        <v>269</v>
      </c>
      <c r="C1" s="93" t="s">
        <v>270</v>
      </c>
      <c r="D1" s="94" t="s">
        <v>271</v>
      </c>
      <c r="E1" s="93" t="s">
        <v>145</v>
      </c>
      <c r="F1" s="93" t="s">
        <v>272</v>
      </c>
      <c r="G1" s="93" t="s">
        <v>30</v>
      </c>
      <c r="H1" s="93" t="s">
        <v>273</v>
      </c>
      <c r="I1" s="93" t="s">
        <v>32</v>
      </c>
      <c r="J1" s="93" t="s">
        <v>274</v>
      </c>
      <c r="K1" s="95"/>
      <c r="L1" s="97"/>
      <c r="M1" s="97"/>
      <c r="N1" s="95"/>
      <c r="O1" s="95"/>
      <c r="P1" s="95"/>
      <c r="Q1" s="95"/>
      <c r="R1" s="95"/>
      <c r="S1" s="95"/>
      <c r="T1" s="95"/>
      <c r="U1" s="95"/>
      <c r="V1" s="95"/>
      <c r="W1" s="95"/>
      <c r="X1" s="95"/>
      <c r="Y1" s="97"/>
      <c r="Z1" s="97"/>
      <c r="AA1" s="97"/>
      <c r="AB1" s="97"/>
      <c r="AC1" s="97"/>
      <c r="AD1" s="97"/>
    </row>
    <row r="2">
      <c r="A2" s="107"/>
      <c r="B2" s="107"/>
      <c r="C2" s="124" t="s">
        <v>275</v>
      </c>
      <c r="D2" s="15"/>
      <c r="E2" s="125" t="s">
        <v>276</v>
      </c>
      <c r="F2" s="126" t="s">
        <v>277</v>
      </c>
      <c r="G2" s="126" t="s">
        <v>278</v>
      </c>
      <c r="H2" s="126" t="s">
        <v>279</v>
      </c>
      <c r="I2" s="127" t="s">
        <v>36</v>
      </c>
      <c r="J2" s="107"/>
      <c r="K2" s="128" t="s">
        <v>280</v>
      </c>
      <c r="L2" s="107"/>
      <c r="M2" s="107"/>
      <c r="N2" s="107"/>
      <c r="O2" s="107"/>
      <c r="P2" s="107"/>
      <c r="Q2" s="107"/>
      <c r="R2" s="107"/>
      <c r="S2" s="107"/>
      <c r="T2" s="107"/>
      <c r="U2" s="107"/>
      <c r="V2" s="107"/>
      <c r="W2" s="107"/>
      <c r="X2" s="107"/>
      <c r="Y2" s="107"/>
      <c r="Z2" s="107"/>
      <c r="AA2" s="107"/>
      <c r="AB2" s="107"/>
      <c r="AC2" s="107"/>
      <c r="AD2" s="107"/>
    </row>
    <row r="3">
      <c r="A3" s="107"/>
      <c r="B3" s="107"/>
      <c r="C3" s="124" t="s">
        <v>281</v>
      </c>
      <c r="D3" s="15"/>
      <c r="E3" s="108"/>
      <c r="F3" s="126" t="s">
        <v>277</v>
      </c>
      <c r="G3" s="126" t="s">
        <v>282</v>
      </c>
      <c r="H3" s="126" t="s">
        <v>279</v>
      </c>
      <c r="I3" s="127" t="s">
        <v>36</v>
      </c>
      <c r="J3" s="107"/>
      <c r="K3" s="107"/>
      <c r="L3" s="107"/>
      <c r="M3" s="107"/>
      <c r="N3" s="107"/>
      <c r="O3" s="107"/>
      <c r="P3" s="107"/>
      <c r="Q3" s="107"/>
      <c r="R3" s="107"/>
      <c r="S3" s="107"/>
      <c r="T3" s="107"/>
      <c r="U3" s="107"/>
      <c r="V3" s="107"/>
      <c r="W3" s="107"/>
      <c r="X3" s="107"/>
      <c r="Y3" s="107"/>
      <c r="Z3" s="107"/>
      <c r="AA3" s="107"/>
      <c r="AB3" s="107"/>
      <c r="AC3" s="107"/>
      <c r="AD3" s="107"/>
    </row>
    <row r="4">
      <c r="A4" s="107"/>
      <c r="B4" s="107"/>
      <c r="C4" s="124" t="s">
        <v>283</v>
      </c>
      <c r="D4" s="15"/>
      <c r="E4" s="108"/>
      <c r="F4" s="126" t="s">
        <v>277</v>
      </c>
      <c r="G4" s="126" t="s">
        <v>284</v>
      </c>
      <c r="H4" s="126" t="s">
        <v>279</v>
      </c>
      <c r="I4" s="127" t="s">
        <v>36</v>
      </c>
      <c r="J4" s="107"/>
      <c r="K4" s="107"/>
      <c r="L4" s="107"/>
      <c r="M4" s="107"/>
      <c r="N4" s="107"/>
      <c r="O4" s="107"/>
      <c r="P4" s="107"/>
      <c r="Q4" s="107"/>
      <c r="R4" s="107"/>
      <c r="S4" s="107"/>
      <c r="T4" s="107"/>
      <c r="U4" s="107"/>
      <c r="V4" s="107"/>
      <c r="W4" s="107"/>
      <c r="X4" s="107"/>
      <c r="Y4" s="107"/>
      <c r="Z4" s="107"/>
      <c r="AA4" s="107"/>
      <c r="AB4" s="107"/>
      <c r="AC4" s="107"/>
      <c r="AD4" s="107"/>
    </row>
    <row r="5">
      <c r="A5" s="107"/>
      <c r="B5" s="107"/>
      <c r="C5" s="124" t="s">
        <v>285</v>
      </c>
      <c r="D5" s="15"/>
      <c r="E5" s="108"/>
      <c r="F5" s="126" t="s">
        <v>277</v>
      </c>
      <c r="G5" s="126" t="s">
        <v>286</v>
      </c>
      <c r="H5" s="126" t="s">
        <v>287</v>
      </c>
      <c r="I5" s="127" t="s">
        <v>36</v>
      </c>
      <c r="J5" s="107"/>
      <c r="K5" s="107"/>
      <c r="L5" s="107"/>
      <c r="M5" s="107"/>
      <c r="N5" s="107"/>
      <c r="O5" s="107"/>
      <c r="P5" s="107"/>
      <c r="Q5" s="107"/>
      <c r="R5" s="107"/>
      <c r="S5" s="107"/>
      <c r="T5" s="107"/>
      <c r="U5" s="107"/>
      <c r="V5" s="107"/>
      <c r="W5" s="107"/>
      <c r="X5" s="107"/>
      <c r="Y5" s="107"/>
      <c r="Z5" s="107"/>
      <c r="AA5" s="107"/>
      <c r="AB5" s="107"/>
      <c r="AC5" s="107"/>
      <c r="AD5" s="107"/>
    </row>
    <row r="6">
      <c r="A6" s="107"/>
      <c r="B6" s="107"/>
      <c r="C6" s="124" t="s">
        <v>288</v>
      </c>
      <c r="D6" s="15"/>
      <c r="E6" s="108"/>
      <c r="F6" s="126" t="s">
        <v>277</v>
      </c>
      <c r="G6" s="126" t="s">
        <v>289</v>
      </c>
      <c r="H6" s="126" t="s">
        <v>287</v>
      </c>
      <c r="I6" s="127" t="s">
        <v>36</v>
      </c>
      <c r="J6" s="107"/>
      <c r="K6" s="107"/>
      <c r="L6" s="107"/>
      <c r="M6" s="107"/>
      <c r="N6" s="107"/>
      <c r="O6" s="107"/>
      <c r="P6" s="107"/>
      <c r="Q6" s="107"/>
      <c r="R6" s="107"/>
      <c r="S6" s="107"/>
      <c r="T6" s="107"/>
      <c r="U6" s="107"/>
      <c r="V6" s="107"/>
      <c r="W6" s="107"/>
      <c r="X6" s="107"/>
      <c r="Y6" s="107"/>
      <c r="Z6" s="107"/>
      <c r="AA6" s="107"/>
      <c r="AB6" s="107"/>
      <c r="AC6" s="107"/>
      <c r="AD6" s="107"/>
    </row>
    <row r="7">
      <c r="A7" s="107"/>
      <c r="B7" s="107"/>
      <c r="C7" s="124" t="s">
        <v>290</v>
      </c>
      <c r="D7" s="15"/>
      <c r="E7" s="108"/>
      <c r="F7" s="126" t="s">
        <v>291</v>
      </c>
      <c r="G7" s="126" t="s">
        <v>292</v>
      </c>
      <c r="H7" s="126" t="s">
        <v>293</v>
      </c>
      <c r="I7" s="127" t="s">
        <v>36</v>
      </c>
      <c r="J7" s="107"/>
      <c r="K7" s="107"/>
      <c r="L7" s="107"/>
      <c r="M7" s="107"/>
      <c r="N7" s="107"/>
      <c r="O7" s="107"/>
      <c r="P7" s="107"/>
      <c r="Q7" s="107"/>
      <c r="R7" s="107"/>
      <c r="S7" s="107"/>
      <c r="T7" s="107"/>
      <c r="U7" s="107"/>
      <c r="V7" s="107"/>
      <c r="W7" s="107"/>
      <c r="X7" s="107"/>
      <c r="Y7" s="107"/>
      <c r="Z7" s="107"/>
      <c r="AA7" s="107"/>
      <c r="AB7" s="107"/>
      <c r="AC7" s="107"/>
      <c r="AD7" s="107"/>
    </row>
    <row r="8">
      <c r="A8" s="107"/>
      <c r="B8" s="107"/>
      <c r="C8" s="124" t="s">
        <v>294</v>
      </c>
      <c r="D8" s="15"/>
      <c r="E8" s="108"/>
      <c r="F8" s="126" t="s">
        <v>295</v>
      </c>
      <c r="G8" s="126" t="s">
        <v>296</v>
      </c>
      <c r="H8" s="126" t="s">
        <v>293</v>
      </c>
      <c r="I8" s="127" t="s">
        <v>36</v>
      </c>
      <c r="J8" s="107"/>
      <c r="K8" s="107"/>
      <c r="L8" s="107"/>
      <c r="M8" s="107"/>
      <c r="N8" s="107"/>
      <c r="O8" s="107"/>
      <c r="P8" s="107"/>
      <c r="Q8" s="107"/>
      <c r="R8" s="107"/>
      <c r="S8" s="107"/>
      <c r="T8" s="107"/>
      <c r="U8" s="107"/>
      <c r="V8" s="107"/>
      <c r="W8" s="107"/>
      <c r="X8" s="107"/>
      <c r="Y8" s="107"/>
      <c r="Z8" s="107"/>
      <c r="AA8" s="107"/>
      <c r="AB8" s="107"/>
      <c r="AC8" s="107"/>
      <c r="AD8" s="107"/>
    </row>
    <row r="9">
      <c r="A9" s="107"/>
      <c r="B9" s="107"/>
      <c r="C9" s="124" t="s">
        <v>297</v>
      </c>
      <c r="D9" s="15"/>
      <c r="E9" s="108"/>
      <c r="F9" s="126" t="s">
        <v>298</v>
      </c>
      <c r="G9" s="126" t="s">
        <v>299</v>
      </c>
      <c r="H9" s="126" t="s">
        <v>293</v>
      </c>
      <c r="I9" s="127" t="s">
        <v>36</v>
      </c>
      <c r="J9" s="107"/>
      <c r="K9" s="107"/>
      <c r="L9" s="107"/>
      <c r="M9" s="107"/>
      <c r="N9" s="107"/>
      <c r="O9" s="107"/>
      <c r="P9" s="107"/>
      <c r="Q9" s="107"/>
      <c r="R9" s="107"/>
      <c r="S9" s="107"/>
      <c r="T9" s="107"/>
      <c r="U9" s="107"/>
      <c r="V9" s="107"/>
      <c r="W9" s="107"/>
      <c r="X9" s="107"/>
      <c r="Y9" s="107"/>
      <c r="Z9" s="107"/>
      <c r="AA9" s="107"/>
      <c r="AB9" s="107"/>
      <c r="AC9" s="107"/>
      <c r="AD9" s="107"/>
    </row>
    <row r="10">
      <c r="A10" s="107"/>
      <c r="B10" s="107"/>
      <c r="C10" s="124" t="s">
        <v>300</v>
      </c>
      <c r="D10" s="15"/>
      <c r="E10" s="109"/>
      <c r="F10" s="129" t="s">
        <v>301</v>
      </c>
      <c r="G10" s="129" t="s">
        <v>302</v>
      </c>
      <c r="H10" s="129" t="s">
        <v>303</v>
      </c>
      <c r="I10" s="130" t="s">
        <v>304</v>
      </c>
      <c r="J10" s="107"/>
      <c r="K10" s="107"/>
      <c r="L10" s="107"/>
      <c r="M10" s="107"/>
      <c r="N10" s="107"/>
      <c r="O10" s="107"/>
      <c r="P10" s="107"/>
      <c r="Q10" s="107"/>
      <c r="R10" s="107"/>
      <c r="S10" s="107"/>
      <c r="T10" s="107"/>
      <c r="U10" s="107"/>
      <c r="V10" s="107"/>
      <c r="W10" s="107"/>
      <c r="X10" s="107"/>
      <c r="Y10" s="107"/>
      <c r="Z10" s="107"/>
      <c r="AA10" s="107"/>
      <c r="AB10" s="107"/>
      <c r="AC10" s="107"/>
      <c r="AD10" s="107"/>
    </row>
    <row r="11">
      <c r="A11" s="107"/>
      <c r="B11" s="107"/>
      <c r="C11" s="124" t="s">
        <v>305</v>
      </c>
      <c r="D11" s="15"/>
      <c r="E11" s="131" t="s">
        <v>306</v>
      </c>
      <c r="F11" s="126" t="s">
        <v>307</v>
      </c>
      <c r="G11" s="126" t="s">
        <v>308</v>
      </c>
      <c r="H11" s="126" t="s">
        <v>309</v>
      </c>
      <c r="I11" s="127" t="s">
        <v>36</v>
      </c>
      <c r="J11" s="107"/>
      <c r="K11" s="107"/>
      <c r="L11" s="107"/>
      <c r="M11" s="107"/>
      <c r="N11" s="107"/>
      <c r="O11" s="107"/>
      <c r="P11" s="107"/>
      <c r="Q11" s="107"/>
      <c r="R11" s="107"/>
      <c r="S11" s="107"/>
      <c r="T11" s="107"/>
      <c r="U11" s="107"/>
      <c r="V11" s="107"/>
      <c r="W11" s="107"/>
      <c r="X11" s="107"/>
      <c r="Y11" s="107"/>
      <c r="Z11" s="107"/>
      <c r="AA11" s="107"/>
      <c r="AB11" s="107"/>
      <c r="AC11" s="107"/>
      <c r="AD11" s="107"/>
    </row>
    <row r="12">
      <c r="A12" s="107"/>
      <c r="B12" s="107"/>
      <c r="C12" s="124" t="s">
        <v>310</v>
      </c>
      <c r="D12" s="15"/>
      <c r="E12" s="108"/>
      <c r="F12" s="126" t="s">
        <v>307</v>
      </c>
      <c r="G12" s="126" t="s">
        <v>311</v>
      </c>
      <c r="H12" s="126" t="s">
        <v>309</v>
      </c>
      <c r="I12" s="127" t="s">
        <v>36</v>
      </c>
      <c r="J12" s="107"/>
      <c r="K12" s="107"/>
      <c r="L12" s="107"/>
      <c r="M12" s="107"/>
      <c r="N12" s="107"/>
      <c r="O12" s="107"/>
      <c r="P12" s="107"/>
      <c r="Q12" s="107"/>
      <c r="R12" s="107"/>
      <c r="S12" s="107"/>
      <c r="T12" s="107"/>
      <c r="U12" s="107"/>
      <c r="V12" s="107"/>
      <c r="W12" s="107"/>
      <c r="X12" s="107"/>
      <c r="Y12" s="107"/>
      <c r="Z12" s="107"/>
      <c r="AA12" s="107"/>
      <c r="AB12" s="107"/>
      <c r="AC12" s="107"/>
      <c r="AD12" s="107"/>
    </row>
    <row r="13">
      <c r="A13" s="107"/>
      <c r="B13" s="107"/>
      <c r="C13" s="124" t="s">
        <v>312</v>
      </c>
      <c r="D13" s="15"/>
      <c r="E13" s="108"/>
      <c r="F13" s="126" t="s">
        <v>307</v>
      </c>
      <c r="G13" s="126" t="s">
        <v>313</v>
      </c>
      <c r="H13" s="126" t="s">
        <v>314</v>
      </c>
      <c r="I13" s="127" t="s">
        <v>36</v>
      </c>
      <c r="J13" s="107"/>
      <c r="K13" s="107"/>
      <c r="L13" s="107"/>
      <c r="M13" s="107"/>
      <c r="N13" s="107"/>
      <c r="O13" s="107"/>
      <c r="P13" s="107"/>
      <c r="Q13" s="107"/>
      <c r="R13" s="107"/>
      <c r="S13" s="107"/>
      <c r="T13" s="107"/>
      <c r="U13" s="107"/>
      <c r="V13" s="107"/>
      <c r="W13" s="107"/>
      <c r="X13" s="107"/>
      <c r="Y13" s="107"/>
      <c r="Z13" s="107"/>
      <c r="AA13" s="107"/>
      <c r="AB13" s="107"/>
      <c r="AC13" s="107"/>
      <c r="AD13" s="107"/>
    </row>
    <row r="14">
      <c r="A14" s="107"/>
      <c r="B14" s="107"/>
      <c r="C14" s="124" t="s">
        <v>315</v>
      </c>
      <c r="D14" s="15"/>
      <c r="E14" s="108"/>
      <c r="F14" s="126" t="s">
        <v>307</v>
      </c>
      <c r="G14" s="126" t="s">
        <v>316</v>
      </c>
      <c r="H14" s="126" t="s">
        <v>314</v>
      </c>
      <c r="I14" s="130" t="s">
        <v>317</v>
      </c>
      <c r="J14" s="107"/>
      <c r="K14" s="132" t="s">
        <v>318</v>
      </c>
      <c r="L14" s="107"/>
      <c r="M14" s="107"/>
      <c r="N14" s="107"/>
      <c r="O14" s="107"/>
      <c r="P14" s="107"/>
      <c r="Q14" s="107"/>
      <c r="R14" s="107"/>
      <c r="S14" s="107"/>
      <c r="T14" s="107"/>
      <c r="U14" s="107"/>
      <c r="V14" s="107"/>
      <c r="W14" s="107"/>
      <c r="X14" s="107"/>
      <c r="Y14" s="107"/>
      <c r="Z14" s="107"/>
      <c r="AA14" s="107"/>
      <c r="AB14" s="107"/>
      <c r="AC14" s="107"/>
      <c r="AD14" s="107"/>
    </row>
    <row r="15">
      <c r="A15" s="107"/>
      <c r="B15" s="107"/>
      <c r="C15" s="124" t="s">
        <v>319</v>
      </c>
      <c r="D15" s="15"/>
      <c r="E15" s="108"/>
      <c r="F15" s="126" t="s">
        <v>320</v>
      </c>
      <c r="G15" s="126" t="s">
        <v>321</v>
      </c>
      <c r="H15" s="126" t="s">
        <v>322</v>
      </c>
      <c r="I15" s="130" t="s">
        <v>317</v>
      </c>
      <c r="J15" s="107"/>
      <c r="K15" s="132" t="s">
        <v>318</v>
      </c>
      <c r="L15" s="107"/>
      <c r="M15" s="107"/>
      <c r="N15" s="107"/>
      <c r="O15" s="107"/>
      <c r="P15" s="107"/>
      <c r="Q15" s="107"/>
      <c r="R15" s="107"/>
      <c r="S15" s="107"/>
      <c r="T15" s="107"/>
      <c r="U15" s="107"/>
      <c r="V15" s="107"/>
      <c r="W15" s="107"/>
      <c r="X15" s="107"/>
      <c r="Y15" s="107"/>
      <c r="Z15" s="107"/>
      <c r="AA15" s="107"/>
      <c r="AB15" s="107"/>
      <c r="AC15" s="107"/>
      <c r="AD15" s="107"/>
    </row>
    <row r="16">
      <c r="A16" s="107"/>
      <c r="B16" s="107"/>
      <c r="C16" s="124" t="s">
        <v>323</v>
      </c>
      <c r="D16" s="15"/>
      <c r="E16" s="109"/>
      <c r="F16" s="126" t="s">
        <v>324</v>
      </c>
      <c r="G16" s="126" t="s">
        <v>325</v>
      </c>
      <c r="H16" s="126" t="s">
        <v>322</v>
      </c>
      <c r="I16" s="130" t="s">
        <v>317</v>
      </c>
      <c r="J16" s="107"/>
      <c r="K16" s="132" t="s">
        <v>318</v>
      </c>
      <c r="L16" s="107"/>
      <c r="M16" s="107"/>
      <c r="N16" s="107"/>
      <c r="O16" s="107"/>
      <c r="P16" s="107"/>
      <c r="Q16" s="107"/>
      <c r="R16" s="107"/>
      <c r="S16" s="107"/>
      <c r="T16" s="107"/>
      <c r="U16" s="107"/>
      <c r="V16" s="107"/>
      <c r="W16" s="107"/>
      <c r="X16" s="107"/>
      <c r="Y16" s="107"/>
      <c r="Z16" s="107"/>
      <c r="AA16" s="107"/>
      <c r="AB16" s="107"/>
      <c r="AC16" s="107"/>
      <c r="AD16" s="107"/>
    </row>
    <row r="17">
      <c r="A17" s="107"/>
      <c r="B17" s="107"/>
      <c r="C17" s="124" t="s">
        <v>326</v>
      </c>
      <c r="D17" s="15"/>
      <c r="E17" s="133" t="s">
        <v>327</v>
      </c>
      <c r="F17" s="126" t="s">
        <v>328</v>
      </c>
      <c r="G17" s="126" t="s">
        <v>329</v>
      </c>
      <c r="H17" s="129" t="s">
        <v>330</v>
      </c>
      <c r="I17" s="127" t="s">
        <v>36</v>
      </c>
      <c r="J17" s="107"/>
      <c r="K17" s="107"/>
      <c r="L17" s="107"/>
      <c r="M17" s="107"/>
      <c r="N17" s="107"/>
      <c r="O17" s="107"/>
      <c r="P17" s="107"/>
      <c r="Q17" s="107"/>
      <c r="R17" s="107"/>
      <c r="S17" s="107"/>
      <c r="T17" s="107"/>
      <c r="U17" s="107"/>
      <c r="V17" s="107"/>
      <c r="W17" s="107"/>
      <c r="X17" s="107"/>
      <c r="Y17" s="107"/>
      <c r="Z17" s="107"/>
      <c r="AA17" s="107"/>
      <c r="AB17" s="107"/>
      <c r="AC17" s="107"/>
      <c r="AD17" s="107"/>
    </row>
    <row r="18">
      <c r="A18" s="107"/>
      <c r="B18" s="107"/>
      <c r="C18" s="124" t="s">
        <v>331</v>
      </c>
      <c r="D18" s="15"/>
      <c r="E18" s="108"/>
      <c r="F18" s="126" t="s">
        <v>332</v>
      </c>
      <c r="G18" s="126" t="s">
        <v>333</v>
      </c>
      <c r="H18" s="129" t="s">
        <v>334</v>
      </c>
      <c r="I18" s="127" t="s">
        <v>36</v>
      </c>
      <c r="J18" s="107"/>
      <c r="K18" s="107"/>
      <c r="L18" s="107"/>
      <c r="M18" s="107"/>
      <c r="N18" s="107"/>
      <c r="O18" s="107"/>
      <c r="P18" s="107"/>
      <c r="Q18" s="107"/>
      <c r="R18" s="107"/>
      <c r="S18" s="107"/>
      <c r="T18" s="107"/>
      <c r="U18" s="107"/>
      <c r="V18" s="107"/>
      <c r="W18" s="107"/>
      <c r="X18" s="107"/>
      <c r="Y18" s="107"/>
      <c r="Z18" s="107"/>
      <c r="AA18" s="107"/>
      <c r="AB18" s="107"/>
      <c r="AC18" s="107"/>
      <c r="AD18" s="107"/>
    </row>
    <row r="19">
      <c r="A19" s="107"/>
      <c r="B19" s="107"/>
      <c r="C19" s="124" t="s">
        <v>335</v>
      </c>
      <c r="D19" s="15"/>
      <c r="E19" s="108"/>
      <c r="F19" s="126" t="s">
        <v>336</v>
      </c>
      <c r="G19" s="126" t="s">
        <v>337</v>
      </c>
      <c r="H19" s="129" t="s">
        <v>338</v>
      </c>
      <c r="I19" s="127" t="s">
        <v>36</v>
      </c>
      <c r="J19" s="107"/>
      <c r="K19" s="107"/>
      <c r="L19" s="107"/>
      <c r="M19" s="107"/>
      <c r="N19" s="107"/>
      <c r="O19" s="107"/>
      <c r="P19" s="107"/>
      <c r="Q19" s="107"/>
      <c r="R19" s="107"/>
      <c r="S19" s="107"/>
      <c r="T19" s="107"/>
      <c r="U19" s="107"/>
      <c r="V19" s="107"/>
      <c r="W19" s="107"/>
      <c r="X19" s="107"/>
      <c r="Y19" s="107"/>
      <c r="Z19" s="107"/>
      <c r="AA19" s="107"/>
      <c r="AB19" s="107"/>
      <c r="AC19" s="107"/>
      <c r="AD19" s="107"/>
    </row>
    <row r="20">
      <c r="A20" s="107"/>
      <c r="B20" s="107"/>
      <c r="C20" s="124" t="s">
        <v>339</v>
      </c>
      <c r="D20" s="15"/>
      <c r="E20" s="109"/>
      <c r="F20" s="126" t="s">
        <v>340</v>
      </c>
      <c r="G20" s="126" t="s">
        <v>341</v>
      </c>
      <c r="H20" s="129" t="s">
        <v>338</v>
      </c>
      <c r="I20" s="127" t="s">
        <v>36</v>
      </c>
      <c r="J20" s="107"/>
      <c r="K20" s="107"/>
      <c r="L20" s="107"/>
      <c r="M20" s="107"/>
      <c r="N20" s="107"/>
      <c r="O20" s="107"/>
      <c r="P20" s="107"/>
      <c r="Q20" s="107"/>
      <c r="R20" s="107"/>
      <c r="S20" s="107"/>
      <c r="T20" s="107"/>
      <c r="U20" s="107"/>
      <c r="V20" s="107"/>
      <c r="W20" s="107"/>
      <c r="X20" s="107"/>
      <c r="Y20" s="107"/>
      <c r="Z20" s="107"/>
      <c r="AA20" s="107"/>
      <c r="AB20" s="107"/>
      <c r="AC20" s="107"/>
      <c r="AD20" s="107"/>
    </row>
    <row r="21">
      <c r="A21" s="107"/>
      <c r="B21" s="107"/>
      <c r="C21" s="124" t="s">
        <v>342</v>
      </c>
      <c r="D21" s="15"/>
      <c r="E21" s="131" t="s">
        <v>343</v>
      </c>
      <c r="F21" s="126" t="s">
        <v>291</v>
      </c>
      <c r="G21" s="126" t="s">
        <v>344</v>
      </c>
      <c r="H21" s="126" t="s">
        <v>345</v>
      </c>
      <c r="I21" s="127" t="s">
        <v>36</v>
      </c>
      <c r="J21" s="107"/>
      <c r="K21" s="107"/>
      <c r="L21" s="107"/>
      <c r="M21" s="107"/>
      <c r="N21" s="107"/>
      <c r="O21" s="107"/>
      <c r="P21" s="107"/>
      <c r="Q21" s="107"/>
      <c r="R21" s="107"/>
      <c r="S21" s="107"/>
      <c r="T21" s="107"/>
      <c r="U21" s="107"/>
      <c r="V21" s="107"/>
      <c r="W21" s="107"/>
      <c r="X21" s="107"/>
      <c r="Y21" s="107"/>
      <c r="Z21" s="107"/>
      <c r="AA21" s="107"/>
      <c r="AB21" s="107"/>
      <c r="AC21" s="107"/>
      <c r="AD21" s="107"/>
    </row>
    <row r="22">
      <c r="A22" s="107"/>
      <c r="B22" s="107"/>
      <c r="C22" s="124" t="s">
        <v>346</v>
      </c>
      <c r="D22" s="15"/>
      <c r="E22" s="108"/>
      <c r="F22" s="126" t="s">
        <v>347</v>
      </c>
      <c r="G22" s="126" t="s">
        <v>344</v>
      </c>
      <c r="H22" s="126" t="s">
        <v>345</v>
      </c>
      <c r="I22" s="127" t="s">
        <v>36</v>
      </c>
      <c r="J22" s="107"/>
      <c r="K22" s="107"/>
      <c r="L22" s="107"/>
      <c r="M22" s="107"/>
      <c r="N22" s="107"/>
      <c r="O22" s="107"/>
      <c r="P22" s="107"/>
      <c r="Q22" s="107"/>
      <c r="R22" s="107"/>
      <c r="S22" s="107"/>
      <c r="T22" s="107"/>
      <c r="U22" s="107"/>
      <c r="V22" s="107"/>
      <c r="W22" s="107"/>
      <c r="X22" s="107"/>
      <c r="Y22" s="107"/>
      <c r="Z22" s="107"/>
      <c r="AA22" s="107"/>
      <c r="AB22" s="107"/>
      <c r="AC22" s="107"/>
      <c r="AD22" s="107"/>
    </row>
    <row r="23">
      <c r="A23" s="107"/>
      <c r="B23" s="107"/>
      <c r="C23" s="124" t="s">
        <v>348</v>
      </c>
      <c r="D23" s="15"/>
      <c r="E23" s="108"/>
      <c r="F23" s="126" t="s">
        <v>349</v>
      </c>
      <c r="G23" s="126" t="s">
        <v>344</v>
      </c>
      <c r="H23" s="126" t="s">
        <v>345</v>
      </c>
      <c r="I23" s="127" t="s">
        <v>36</v>
      </c>
      <c r="J23" s="107"/>
      <c r="K23" s="107"/>
      <c r="L23" s="107"/>
      <c r="M23" s="107"/>
      <c r="N23" s="107"/>
      <c r="O23" s="107"/>
      <c r="P23" s="107"/>
      <c r="Q23" s="107"/>
      <c r="R23" s="107"/>
      <c r="S23" s="107"/>
      <c r="T23" s="107"/>
      <c r="U23" s="107"/>
      <c r="V23" s="107"/>
      <c r="W23" s="107"/>
      <c r="X23" s="107"/>
      <c r="Y23" s="107"/>
      <c r="Z23" s="107"/>
      <c r="AA23" s="107"/>
      <c r="AB23" s="107"/>
      <c r="AC23" s="107"/>
      <c r="AD23" s="107"/>
    </row>
    <row r="24">
      <c r="A24" s="107"/>
      <c r="B24" s="107"/>
      <c r="C24" s="124" t="s">
        <v>350</v>
      </c>
      <c r="D24" s="15"/>
      <c r="E24" s="108"/>
      <c r="F24" s="126" t="s">
        <v>291</v>
      </c>
      <c r="G24" s="126" t="s">
        <v>351</v>
      </c>
      <c r="H24" s="126" t="s">
        <v>345</v>
      </c>
      <c r="I24" s="127" t="s">
        <v>36</v>
      </c>
      <c r="J24" s="107"/>
      <c r="K24" s="107"/>
      <c r="L24" s="107"/>
      <c r="M24" s="107"/>
      <c r="N24" s="107"/>
      <c r="O24" s="107"/>
      <c r="P24" s="107"/>
      <c r="Q24" s="107"/>
      <c r="R24" s="107"/>
      <c r="S24" s="107"/>
      <c r="T24" s="107"/>
      <c r="U24" s="107"/>
      <c r="V24" s="107"/>
      <c r="W24" s="107"/>
      <c r="X24" s="107"/>
      <c r="Y24" s="107"/>
      <c r="Z24" s="107"/>
      <c r="AA24" s="107"/>
      <c r="AB24" s="107"/>
      <c r="AC24" s="107"/>
      <c r="AD24" s="107"/>
    </row>
    <row r="25">
      <c r="A25" s="107"/>
      <c r="B25" s="107"/>
      <c r="C25" s="124" t="s">
        <v>352</v>
      </c>
      <c r="D25" s="15"/>
      <c r="E25" s="108"/>
      <c r="F25" s="126" t="s">
        <v>347</v>
      </c>
      <c r="G25" s="126" t="s">
        <v>353</v>
      </c>
      <c r="H25" s="126" t="s">
        <v>345</v>
      </c>
      <c r="I25" s="127" t="s">
        <v>36</v>
      </c>
      <c r="J25" s="107"/>
      <c r="K25" s="107"/>
      <c r="L25" s="107"/>
      <c r="M25" s="107"/>
      <c r="N25" s="107"/>
      <c r="O25" s="107"/>
      <c r="P25" s="107"/>
      <c r="Q25" s="107"/>
      <c r="R25" s="107"/>
      <c r="S25" s="107"/>
      <c r="T25" s="107"/>
      <c r="U25" s="107"/>
      <c r="V25" s="107"/>
      <c r="W25" s="107"/>
      <c r="X25" s="107"/>
      <c r="Y25" s="107"/>
      <c r="Z25" s="107"/>
      <c r="AA25" s="107"/>
      <c r="AB25" s="107"/>
      <c r="AC25" s="107"/>
      <c r="AD25" s="107"/>
    </row>
    <row r="26">
      <c r="A26" s="107"/>
      <c r="B26" s="107"/>
      <c r="C26" s="124" t="s">
        <v>354</v>
      </c>
      <c r="D26" s="15"/>
      <c r="E26" s="108"/>
      <c r="F26" s="126" t="s">
        <v>349</v>
      </c>
      <c r="G26" s="126" t="s">
        <v>355</v>
      </c>
      <c r="H26" s="126" t="s">
        <v>345</v>
      </c>
      <c r="I26" s="127" t="s">
        <v>36</v>
      </c>
      <c r="J26" s="107"/>
      <c r="K26" s="107"/>
      <c r="L26" s="107"/>
      <c r="M26" s="107"/>
      <c r="N26" s="107"/>
      <c r="O26" s="107"/>
      <c r="P26" s="107"/>
      <c r="Q26" s="107"/>
      <c r="R26" s="107"/>
      <c r="S26" s="107"/>
      <c r="T26" s="107"/>
      <c r="U26" s="107"/>
      <c r="V26" s="107"/>
      <c r="W26" s="107"/>
      <c r="X26" s="107"/>
      <c r="Y26" s="107"/>
      <c r="Z26" s="107"/>
      <c r="AA26" s="107"/>
      <c r="AB26" s="107"/>
      <c r="AC26" s="107"/>
      <c r="AD26" s="107"/>
    </row>
    <row r="27">
      <c r="A27" s="107"/>
      <c r="B27" s="107"/>
      <c r="C27" s="124" t="s">
        <v>356</v>
      </c>
      <c r="D27" s="15"/>
      <c r="E27" s="108"/>
      <c r="F27" s="126" t="s">
        <v>357</v>
      </c>
      <c r="G27" s="126" t="s">
        <v>358</v>
      </c>
      <c r="H27" s="126" t="s">
        <v>359</v>
      </c>
      <c r="I27" s="127" t="s">
        <v>36</v>
      </c>
      <c r="J27" s="107"/>
      <c r="K27" s="107"/>
      <c r="L27" s="107"/>
      <c r="M27" s="107"/>
      <c r="N27" s="107"/>
      <c r="O27" s="107"/>
      <c r="P27" s="107"/>
      <c r="Q27" s="107"/>
      <c r="R27" s="107"/>
      <c r="S27" s="107"/>
      <c r="T27" s="107"/>
      <c r="U27" s="107"/>
      <c r="V27" s="107"/>
      <c r="W27" s="107"/>
      <c r="X27" s="107"/>
      <c r="Y27" s="107"/>
      <c r="Z27" s="107"/>
      <c r="AA27" s="107"/>
      <c r="AB27" s="107"/>
      <c r="AC27" s="107"/>
      <c r="AD27" s="107"/>
    </row>
    <row r="28">
      <c r="A28" s="107"/>
      <c r="B28" s="107"/>
      <c r="C28" s="124" t="s">
        <v>360</v>
      </c>
      <c r="D28" s="15"/>
      <c r="E28" s="108"/>
      <c r="F28" s="126" t="s">
        <v>361</v>
      </c>
      <c r="G28" s="126" t="s">
        <v>358</v>
      </c>
      <c r="H28" s="126" t="s">
        <v>362</v>
      </c>
      <c r="I28" s="127" t="s">
        <v>36</v>
      </c>
      <c r="J28" s="107"/>
      <c r="K28" s="107"/>
      <c r="L28" s="107"/>
      <c r="M28" s="107"/>
      <c r="N28" s="107"/>
      <c r="O28" s="107"/>
      <c r="P28" s="107"/>
      <c r="Q28" s="107"/>
      <c r="R28" s="107"/>
      <c r="S28" s="107"/>
      <c r="T28" s="107"/>
      <c r="U28" s="107"/>
      <c r="V28" s="107"/>
      <c r="W28" s="107"/>
      <c r="X28" s="107"/>
      <c r="Y28" s="107"/>
      <c r="Z28" s="107"/>
      <c r="AA28" s="107"/>
      <c r="AB28" s="107"/>
      <c r="AC28" s="107"/>
      <c r="AD28" s="107"/>
    </row>
    <row r="29">
      <c r="A29" s="107"/>
      <c r="B29" s="107"/>
      <c r="C29" s="124" t="s">
        <v>363</v>
      </c>
      <c r="D29" s="15"/>
      <c r="E29" s="109"/>
      <c r="F29" s="126" t="s">
        <v>364</v>
      </c>
      <c r="G29" s="126" t="s">
        <v>358</v>
      </c>
      <c r="H29" s="126" t="s">
        <v>365</v>
      </c>
      <c r="I29" s="127" t="s">
        <v>36</v>
      </c>
      <c r="J29" s="107"/>
      <c r="K29" s="107"/>
      <c r="L29" s="107"/>
      <c r="M29" s="107"/>
      <c r="N29" s="107"/>
      <c r="O29" s="107"/>
      <c r="P29" s="107"/>
      <c r="Q29" s="107"/>
      <c r="R29" s="107"/>
      <c r="S29" s="107"/>
      <c r="T29" s="107"/>
      <c r="U29" s="107"/>
      <c r="V29" s="107"/>
      <c r="W29" s="107"/>
      <c r="X29" s="107"/>
      <c r="Y29" s="107"/>
      <c r="Z29" s="107"/>
      <c r="AA29" s="107"/>
      <c r="AB29" s="107"/>
      <c r="AC29" s="107"/>
      <c r="AD29" s="107"/>
    </row>
    <row r="30">
      <c r="A30" s="107"/>
      <c r="B30" s="107"/>
      <c r="C30" s="124" t="s">
        <v>366</v>
      </c>
      <c r="D30" s="15"/>
      <c r="E30" s="134" t="s">
        <v>367</v>
      </c>
      <c r="F30" s="129" t="s">
        <v>368</v>
      </c>
      <c r="G30" s="126" t="s">
        <v>369</v>
      </c>
      <c r="H30" s="126" t="s">
        <v>370</v>
      </c>
      <c r="I30" s="127" t="s">
        <v>36</v>
      </c>
      <c r="J30" s="107"/>
      <c r="K30" s="107"/>
      <c r="L30" s="107"/>
      <c r="M30" s="107"/>
      <c r="N30" s="107"/>
      <c r="O30" s="107"/>
      <c r="P30" s="107"/>
      <c r="Q30" s="107"/>
      <c r="R30" s="107"/>
      <c r="S30" s="107"/>
      <c r="T30" s="107"/>
      <c r="U30" s="107"/>
      <c r="V30" s="107"/>
      <c r="W30" s="107"/>
      <c r="X30" s="107"/>
      <c r="Y30" s="107"/>
      <c r="Z30" s="107"/>
      <c r="AA30" s="107"/>
      <c r="AB30" s="107"/>
      <c r="AC30" s="107"/>
      <c r="AD30" s="107"/>
    </row>
    <row r="31">
      <c r="A31" s="107"/>
      <c r="B31" s="107"/>
      <c r="C31" s="124" t="s">
        <v>371</v>
      </c>
      <c r="D31" s="15"/>
      <c r="E31" s="134" t="s">
        <v>161</v>
      </c>
      <c r="F31" s="129" t="s">
        <v>368</v>
      </c>
      <c r="G31" s="126" t="s">
        <v>372</v>
      </c>
      <c r="H31" s="126" t="s">
        <v>373</v>
      </c>
      <c r="I31" s="127" t="s">
        <v>36</v>
      </c>
      <c r="J31" s="107"/>
      <c r="K31" s="107"/>
      <c r="L31" s="107"/>
      <c r="M31" s="107"/>
      <c r="N31" s="107"/>
      <c r="O31" s="107"/>
      <c r="P31" s="107"/>
      <c r="Q31" s="107"/>
      <c r="R31" s="107"/>
      <c r="S31" s="107"/>
      <c r="T31" s="107"/>
      <c r="U31" s="107"/>
      <c r="V31" s="107"/>
      <c r="W31" s="107"/>
      <c r="X31" s="107"/>
      <c r="Y31" s="107"/>
      <c r="Z31" s="107"/>
      <c r="AA31" s="107"/>
      <c r="AB31" s="107"/>
      <c r="AC31" s="107"/>
      <c r="AD31" s="107"/>
    </row>
    <row r="32">
      <c r="A32" s="107"/>
      <c r="B32" s="107"/>
      <c r="C32" s="124" t="s">
        <v>374</v>
      </c>
      <c r="D32" s="15"/>
      <c r="E32" s="133" t="s">
        <v>375</v>
      </c>
      <c r="F32" s="126" t="s">
        <v>376</v>
      </c>
      <c r="G32" s="126" t="s">
        <v>377</v>
      </c>
      <c r="H32" s="126" t="s">
        <v>378</v>
      </c>
      <c r="I32" s="127" t="s">
        <v>36</v>
      </c>
      <c r="J32" s="107"/>
      <c r="K32" s="107"/>
      <c r="L32" s="107"/>
      <c r="M32" s="107"/>
      <c r="N32" s="107"/>
      <c r="O32" s="107"/>
      <c r="P32" s="107"/>
      <c r="Q32" s="107"/>
      <c r="R32" s="107"/>
      <c r="S32" s="107"/>
      <c r="T32" s="107"/>
      <c r="U32" s="107"/>
      <c r="V32" s="107"/>
      <c r="W32" s="107"/>
      <c r="X32" s="107"/>
      <c r="Y32" s="107"/>
      <c r="Z32" s="107"/>
      <c r="AA32" s="107"/>
      <c r="AB32" s="107"/>
      <c r="AC32" s="107"/>
      <c r="AD32" s="107"/>
    </row>
    <row r="33">
      <c r="A33" s="107"/>
      <c r="B33" s="107"/>
      <c r="C33" s="124" t="s">
        <v>379</v>
      </c>
      <c r="D33" s="15"/>
      <c r="E33" s="108"/>
      <c r="F33" s="126" t="s">
        <v>376</v>
      </c>
      <c r="G33" s="129" t="s">
        <v>380</v>
      </c>
      <c r="H33" s="126" t="s">
        <v>381</v>
      </c>
      <c r="I33" s="127" t="s">
        <v>36</v>
      </c>
      <c r="J33" s="107"/>
      <c r="K33" s="107"/>
      <c r="L33" s="107"/>
      <c r="M33" s="107"/>
      <c r="N33" s="107"/>
      <c r="O33" s="107"/>
      <c r="P33" s="107"/>
      <c r="Q33" s="107"/>
      <c r="R33" s="107"/>
      <c r="S33" s="107"/>
      <c r="T33" s="107"/>
      <c r="U33" s="107"/>
      <c r="V33" s="107"/>
      <c r="W33" s="107"/>
      <c r="X33" s="107"/>
      <c r="Y33" s="107"/>
      <c r="Z33" s="107"/>
      <c r="AA33" s="107"/>
      <c r="AB33" s="107"/>
      <c r="AC33" s="107"/>
      <c r="AD33" s="107"/>
    </row>
    <row r="34">
      <c r="A34" s="107"/>
      <c r="B34" s="107"/>
      <c r="C34" s="124" t="s">
        <v>382</v>
      </c>
      <c r="D34" s="15"/>
      <c r="E34" s="108"/>
      <c r="F34" s="126" t="s">
        <v>376</v>
      </c>
      <c r="G34" s="126" t="s">
        <v>383</v>
      </c>
      <c r="H34" s="126" t="s">
        <v>381</v>
      </c>
      <c r="I34" s="127" t="s">
        <v>36</v>
      </c>
      <c r="J34" s="107"/>
      <c r="K34" s="107"/>
      <c r="L34" s="107"/>
      <c r="M34" s="107"/>
      <c r="N34" s="107"/>
      <c r="O34" s="107"/>
      <c r="P34" s="107"/>
      <c r="Q34" s="107"/>
      <c r="R34" s="107"/>
      <c r="S34" s="107"/>
      <c r="T34" s="107"/>
      <c r="U34" s="107"/>
      <c r="V34" s="107"/>
      <c r="W34" s="107"/>
      <c r="X34" s="107"/>
      <c r="Y34" s="107"/>
      <c r="Z34" s="107"/>
      <c r="AA34" s="107"/>
      <c r="AB34" s="107"/>
      <c r="AC34" s="107"/>
      <c r="AD34" s="107"/>
    </row>
    <row r="35">
      <c r="A35" s="107"/>
      <c r="B35" s="107"/>
      <c r="C35" s="124" t="s">
        <v>384</v>
      </c>
      <c r="D35" s="15"/>
      <c r="E35" s="108"/>
      <c r="F35" s="126" t="s">
        <v>385</v>
      </c>
      <c r="G35" s="126" t="s">
        <v>386</v>
      </c>
      <c r="H35" s="126" t="s">
        <v>387</v>
      </c>
      <c r="I35" s="127" t="s">
        <v>36</v>
      </c>
      <c r="J35" s="107"/>
      <c r="K35" s="107"/>
      <c r="L35" s="107"/>
      <c r="M35" s="107"/>
      <c r="N35" s="107"/>
      <c r="O35" s="107"/>
      <c r="P35" s="107"/>
      <c r="Q35" s="107"/>
      <c r="R35" s="107"/>
      <c r="S35" s="107"/>
      <c r="T35" s="107"/>
      <c r="U35" s="107"/>
      <c r="V35" s="107"/>
      <c r="W35" s="107"/>
      <c r="X35" s="107"/>
      <c r="Y35" s="107"/>
      <c r="Z35" s="107"/>
      <c r="AA35" s="107"/>
      <c r="AB35" s="107"/>
      <c r="AC35" s="107"/>
      <c r="AD35" s="107"/>
    </row>
    <row r="36">
      <c r="A36" s="107"/>
      <c r="B36" s="107"/>
      <c r="C36" s="124" t="s">
        <v>388</v>
      </c>
      <c r="D36" s="15"/>
      <c r="E36" s="108"/>
      <c r="F36" s="126" t="s">
        <v>385</v>
      </c>
      <c r="G36" s="129" t="s">
        <v>389</v>
      </c>
      <c r="H36" s="126" t="s">
        <v>387</v>
      </c>
      <c r="I36" s="127" t="s">
        <v>36</v>
      </c>
      <c r="J36" s="107"/>
      <c r="K36" s="107"/>
      <c r="L36" s="107"/>
      <c r="M36" s="107"/>
      <c r="N36" s="107"/>
      <c r="O36" s="107"/>
      <c r="P36" s="107"/>
      <c r="Q36" s="107"/>
      <c r="R36" s="107"/>
      <c r="S36" s="107"/>
      <c r="T36" s="107"/>
      <c r="U36" s="107"/>
      <c r="V36" s="107"/>
      <c r="W36" s="107"/>
      <c r="X36" s="107"/>
      <c r="Y36" s="107"/>
      <c r="Z36" s="107"/>
      <c r="AA36" s="107"/>
      <c r="AB36" s="107"/>
      <c r="AC36" s="107"/>
      <c r="AD36" s="107"/>
    </row>
    <row r="37">
      <c r="A37" s="107"/>
      <c r="B37" s="107"/>
      <c r="C37" s="124" t="s">
        <v>390</v>
      </c>
      <c r="D37" s="15"/>
      <c r="E37" s="108"/>
      <c r="F37" s="126" t="s">
        <v>385</v>
      </c>
      <c r="G37" s="126" t="s">
        <v>391</v>
      </c>
      <c r="H37" s="126" t="s">
        <v>387</v>
      </c>
      <c r="I37" s="127" t="s">
        <v>36</v>
      </c>
      <c r="J37" s="107"/>
      <c r="K37" s="107"/>
      <c r="L37" s="107"/>
      <c r="M37" s="107"/>
      <c r="N37" s="107"/>
      <c r="O37" s="107"/>
      <c r="P37" s="107"/>
      <c r="Q37" s="107"/>
      <c r="R37" s="107"/>
      <c r="S37" s="107"/>
      <c r="T37" s="107"/>
      <c r="U37" s="107"/>
      <c r="V37" s="107"/>
      <c r="W37" s="107"/>
      <c r="X37" s="107"/>
      <c r="Y37" s="107"/>
      <c r="Z37" s="107"/>
      <c r="AA37" s="107"/>
      <c r="AB37" s="107"/>
      <c r="AC37" s="107"/>
      <c r="AD37" s="107"/>
    </row>
    <row r="38">
      <c r="A38" s="107"/>
      <c r="B38" s="107"/>
      <c r="C38" s="124" t="s">
        <v>392</v>
      </c>
      <c r="D38" s="15"/>
      <c r="E38" s="108"/>
      <c r="F38" s="126" t="s">
        <v>393</v>
      </c>
      <c r="G38" s="126" t="s">
        <v>394</v>
      </c>
      <c r="H38" s="126" t="s">
        <v>395</v>
      </c>
      <c r="I38" s="127" t="s">
        <v>36</v>
      </c>
      <c r="J38" s="107"/>
      <c r="K38" s="107"/>
      <c r="L38" s="107"/>
      <c r="M38" s="107"/>
      <c r="N38" s="107"/>
      <c r="O38" s="107"/>
      <c r="P38" s="107"/>
      <c r="Q38" s="107"/>
      <c r="R38" s="107"/>
      <c r="S38" s="107"/>
      <c r="T38" s="107"/>
      <c r="U38" s="107"/>
      <c r="V38" s="107"/>
      <c r="W38" s="107"/>
      <c r="X38" s="107"/>
      <c r="Y38" s="107"/>
      <c r="Z38" s="107"/>
      <c r="AA38" s="107"/>
      <c r="AB38" s="107"/>
      <c r="AC38" s="107"/>
      <c r="AD38" s="107"/>
    </row>
    <row r="39">
      <c r="A39" s="107"/>
      <c r="B39" s="107"/>
      <c r="C39" s="124" t="s">
        <v>396</v>
      </c>
      <c r="D39" s="15"/>
      <c r="E39" s="108"/>
      <c r="F39" s="126" t="s">
        <v>393</v>
      </c>
      <c r="G39" s="126" t="s">
        <v>397</v>
      </c>
      <c r="H39" s="126" t="s">
        <v>395</v>
      </c>
      <c r="I39" s="127" t="s">
        <v>36</v>
      </c>
      <c r="J39" s="107"/>
      <c r="K39" s="107"/>
      <c r="L39" s="107"/>
      <c r="M39" s="107"/>
      <c r="N39" s="107"/>
      <c r="O39" s="107"/>
      <c r="P39" s="107"/>
      <c r="Q39" s="107"/>
      <c r="R39" s="107"/>
      <c r="S39" s="107"/>
      <c r="T39" s="107"/>
      <c r="U39" s="107"/>
      <c r="V39" s="107"/>
      <c r="W39" s="107"/>
      <c r="X39" s="107"/>
      <c r="Y39" s="107"/>
      <c r="Z39" s="107"/>
      <c r="AA39" s="107"/>
      <c r="AB39" s="107"/>
      <c r="AC39" s="107"/>
      <c r="AD39" s="107"/>
    </row>
    <row r="40">
      <c r="A40" s="107"/>
      <c r="B40" s="107"/>
      <c r="C40" s="124" t="s">
        <v>398</v>
      </c>
      <c r="D40" s="15"/>
      <c r="E40" s="109"/>
      <c r="F40" s="126" t="s">
        <v>393</v>
      </c>
      <c r="G40" s="126" t="s">
        <v>399</v>
      </c>
      <c r="H40" s="126" t="s">
        <v>395</v>
      </c>
      <c r="I40" s="127" t="s">
        <v>36</v>
      </c>
      <c r="J40" s="107"/>
      <c r="K40" s="107"/>
      <c r="L40" s="107"/>
      <c r="M40" s="107"/>
      <c r="N40" s="107"/>
      <c r="O40" s="107"/>
      <c r="P40" s="107"/>
      <c r="Q40" s="107"/>
      <c r="R40" s="107"/>
      <c r="S40" s="107"/>
      <c r="T40" s="107"/>
      <c r="U40" s="107"/>
      <c r="V40" s="107"/>
      <c r="W40" s="107"/>
      <c r="X40" s="107"/>
      <c r="Y40" s="107"/>
      <c r="Z40" s="107"/>
      <c r="AA40" s="107"/>
      <c r="AB40" s="107"/>
      <c r="AC40" s="107"/>
      <c r="AD40" s="107"/>
    </row>
    <row r="41">
      <c r="A41" s="107"/>
      <c r="B41" s="107"/>
      <c r="C41" s="124" t="s">
        <v>400</v>
      </c>
      <c r="D41" s="15"/>
      <c r="E41" s="125" t="s">
        <v>401</v>
      </c>
      <c r="F41" s="126" t="s">
        <v>328</v>
      </c>
      <c r="G41" s="126" t="s">
        <v>402</v>
      </c>
      <c r="H41" s="126" t="s">
        <v>403</v>
      </c>
      <c r="I41" s="127" t="s">
        <v>36</v>
      </c>
      <c r="J41" s="107"/>
      <c r="K41" s="107"/>
      <c r="L41" s="107"/>
      <c r="M41" s="107"/>
      <c r="N41" s="107"/>
      <c r="O41" s="107"/>
      <c r="P41" s="107"/>
      <c r="Q41" s="107"/>
      <c r="R41" s="107"/>
      <c r="S41" s="107"/>
      <c r="T41" s="107"/>
      <c r="U41" s="107"/>
      <c r="V41" s="107"/>
      <c r="W41" s="107"/>
      <c r="X41" s="107"/>
      <c r="Y41" s="107"/>
      <c r="Z41" s="107"/>
      <c r="AA41" s="107"/>
      <c r="AB41" s="107"/>
      <c r="AC41" s="107"/>
      <c r="AD41" s="107"/>
    </row>
    <row r="42">
      <c r="A42" s="107"/>
      <c r="B42" s="107"/>
      <c r="C42" s="124" t="s">
        <v>404</v>
      </c>
      <c r="D42" s="15"/>
      <c r="E42" s="108"/>
      <c r="F42" s="126" t="s">
        <v>332</v>
      </c>
      <c r="G42" s="126" t="s">
        <v>405</v>
      </c>
      <c r="H42" s="126" t="s">
        <v>406</v>
      </c>
      <c r="I42" s="127" t="s">
        <v>36</v>
      </c>
      <c r="J42" s="107"/>
      <c r="K42" s="107"/>
      <c r="L42" s="107"/>
      <c r="M42" s="107"/>
      <c r="N42" s="107"/>
      <c r="O42" s="107"/>
      <c r="P42" s="107"/>
      <c r="Q42" s="107"/>
      <c r="R42" s="107"/>
      <c r="S42" s="107"/>
      <c r="T42" s="107"/>
      <c r="U42" s="107"/>
      <c r="V42" s="107"/>
      <c r="W42" s="107"/>
      <c r="X42" s="107"/>
      <c r="Y42" s="107"/>
      <c r="Z42" s="107"/>
      <c r="AA42" s="107"/>
      <c r="AB42" s="107"/>
      <c r="AC42" s="107"/>
      <c r="AD42" s="107"/>
    </row>
    <row r="43">
      <c r="A43" s="107"/>
      <c r="B43" s="107"/>
      <c r="C43" s="124" t="s">
        <v>407</v>
      </c>
      <c r="D43" s="15"/>
      <c r="E43" s="109"/>
      <c r="F43" s="126" t="s">
        <v>336</v>
      </c>
      <c r="G43" s="126" t="s">
        <v>408</v>
      </c>
      <c r="H43" s="126" t="s">
        <v>409</v>
      </c>
      <c r="I43" s="127" t="s">
        <v>36</v>
      </c>
      <c r="J43" s="107"/>
      <c r="K43" s="107"/>
      <c r="L43" s="107"/>
      <c r="M43" s="107"/>
      <c r="N43" s="107"/>
      <c r="O43" s="107"/>
      <c r="P43" s="107"/>
      <c r="Q43" s="107"/>
      <c r="R43" s="107"/>
      <c r="S43" s="107"/>
      <c r="T43" s="107"/>
      <c r="U43" s="107"/>
      <c r="V43" s="107"/>
      <c r="W43" s="107"/>
      <c r="X43" s="107"/>
      <c r="Y43" s="107"/>
      <c r="Z43" s="107"/>
      <c r="AA43" s="107"/>
      <c r="AB43" s="107"/>
      <c r="AC43" s="107"/>
      <c r="AD43" s="107"/>
    </row>
    <row r="44">
      <c r="A44" s="107"/>
      <c r="B44" s="107"/>
      <c r="C44" s="124" t="s">
        <v>410</v>
      </c>
      <c r="D44" s="15"/>
      <c r="E44" s="125" t="s">
        <v>411</v>
      </c>
      <c r="F44" s="126" t="s">
        <v>412</v>
      </c>
      <c r="G44" s="126" t="s">
        <v>413</v>
      </c>
      <c r="H44" s="126" t="s">
        <v>414</v>
      </c>
      <c r="I44" s="127" t="s">
        <v>36</v>
      </c>
      <c r="J44" s="107"/>
      <c r="K44" s="107"/>
      <c r="L44" s="107"/>
      <c r="M44" s="107"/>
      <c r="N44" s="107"/>
      <c r="O44" s="107"/>
      <c r="P44" s="107"/>
      <c r="Q44" s="107"/>
      <c r="R44" s="107"/>
      <c r="S44" s="107"/>
      <c r="T44" s="107"/>
      <c r="U44" s="107"/>
      <c r="V44" s="107"/>
      <c r="W44" s="107"/>
      <c r="X44" s="107"/>
      <c r="Y44" s="107"/>
      <c r="Z44" s="107"/>
      <c r="AA44" s="107"/>
      <c r="AB44" s="107"/>
      <c r="AC44" s="107"/>
      <c r="AD44" s="107"/>
    </row>
    <row r="45">
      <c r="A45" s="107"/>
      <c r="B45" s="107"/>
      <c r="C45" s="124" t="s">
        <v>415</v>
      </c>
      <c r="D45" s="15"/>
      <c r="E45" s="108"/>
      <c r="F45" s="126" t="s">
        <v>332</v>
      </c>
      <c r="G45" s="126" t="s">
        <v>416</v>
      </c>
      <c r="H45" s="126" t="s">
        <v>414</v>
      </c>
      <c r="I45" s="127" t="s">
        <v>36</v>
      </c>
      <c r="J45" s="107"/>
      <c r="K45" s="107"/>
      <c r="L45" s="107"/>
      <c r="M45" s="107"/>
      <c r="N45" s="107"/>
      <c r="O45" s="107"/>
      <c r="P45" s="107"/>
      <c r="Q45" s="107"/>
      <c r="R45" s="107"/>
      <c r="S45" s="107"/>
      <c r="T45" s="107"/>
      <c r="U45" s="107"/>
      <c r="V45" s="107"/>
      <c r="W45" s="107"/>
      <c r="X45" s="107"/>
      <c r="Y45" s="107"/>
      <c r="Z45" s="107"/>
      <c r="AA45" s="107"/>
      <c r="AB45" s="107"/>
      <c r="AC45" s="107"/>
      <c r="AD45" s="107"/>
    </row>
    <row r="46">
      <c r="A46" s="107"/>
      <c r="B46" s="107"/>
      <c r="C46" s="124" t="s">
        <v>417</v>
      </c>
      <c r="D46" s="15"/>
      <c r="E46" s="108"/>
      <c r="F46" s="126" t="s">
        <v>418</v>
      </c>
      <c r="G46" s="126" t="s">
        <v>419</v>
      </c>
      <c r="H46" s="126" t="s">
        <v>414</v>
      </c>
      <c r="I46" s="127" t="s">
        <v>36</v>
      </c>
      <c r="J46" s="107"/>
      <c r="K46" s="107"/>
      <c r="L46" s="107"/>
      <c r="M46" s="107"/>
      <c r="N46" s="107"/>
      <c r="O46" s="107"/>
      <c r="P46" s="107"/>
      <c r="Q46" s="107"/>
      <c r="R46" s="107"/>
      <c r="S46" s="107"/>
      <c r="T46" s="107"/>
      <c r="U46" s="107"/>
      <c r="V46" s="107"/>
      <c r="W46" s="107"/>
      <c r="X46" s="107"/>
      <c r="Y46" s="107"/>
      <c r="Z46" s="107"/>
      <c r="AA46" s="107"/>
      <c r="AB46" s="107"/>
      <c r="AC46" s="107"/>
      <c r="AD46" s="107"/>
    </row>
    <row r="47">
      <c r="A47" s="107"/>
      <c r="B47" s="107"/>
      <c r="C47" s="124" t="s">
        <v>420</v>
      </c>
      <c r="D47" s="15"/>
      <c r="E47" s="109"/>
      <c r="F47" s="126" t="s">
        <v>421</v>
      </c>
      <c r="G47" s="126" t="s">
        <v>422</v>
      </c>
      <c r="H47" s="126" t="s">
        <v>414</v>
      </c>
      <c r="I47" s="127" t="s">
        <v>36</v>
      </c>
      <c r="J47" s="107"/>
      <c r="K47" s="107"/>
      <c r="L47" s="107"/>
      <c r="M47" s="107"/>
      <c r="N47" s="107"/>
      <c r="O47" s="107"/>
      <c r="P47" s="107"/>
      <c r="Q47" s="107"/>
      <c r="R47" s="107"/>
      <c r="S47" s="107"/>
      <c r="T47" s="107"/>
      <c r="U47" s="107"/>
      <c r="V47" s="107"/>
      <c r="W47" s="107"/>
      <c r="X47" s="107"/>
      <c r="Y47" s="107"/>
      <c r="Z47" s="107"/>
      <c r="AA47" s="107"/>
      <c r="AB47" s="107"/>
      <c r="AC47" s="107"/>
      <c r="AD47" s="107"/>
    </row>
    <row r="48">
      <c r="A48" s="107"/>
      <c r="B48" s="107"/>
      <c r="C48" s="124" t="s">
        <v>423</v>
      </c>
      <c r="D48" s="15"/>
      <c r="E48" s="131" t="s">
        <v>165</v>
      </c>
      <c r="F48" s="126" t="s">
        <v>307</v>
      </c>
      <c r="G48" s="126" t="s">
        <v>424</v>
      </c>
      <c r="H48" s="126" t="s">
        <v>425</v>
      </c>
      <c r="I48" s="127" t="s">
        <v>36</v>
      </c>
      <c r="J48" s="107"/>
      <c r="K48" s="107"/>
      <c r="L48" s="107"/>
      <c r="M48" s="107"/>
      <c r="N48" s="107"/>
      <c r="O48" s="107"/>
      <c r="P48" s="107"/>
      <c r="Q48" s="107"/>
      <c r="R48" s="107"/>
      <c r="S48" s="107"/>
      <c r="T48" s="107"/>
      <c r="U48" s="107"/>
      <c r="V48" s="107"/>
      <c r="W48" s="107"/>
      <c r="X48" s="107"/>
      <c r="Y48" s="107"/>
      <c r="Z48" s="107"/>
      <c r="AA48" s="107"/>
      <c r="AB48" s="107"/>
      <c r="AC48" s="107"/>
      <c r="AD48" s="107"/>
    </row>
    <row r="49">
      <c r="A49" s="107"/>
      <c r="B49" s="107"/>
      <c r="C49" s="124" t="s">
        <v>426</v>
      </c>
      <c r="D49" s="15"/>
      <c r="E49" s="108"/>
      <c r="F49" s="126" t="s">
        <v>307</v>
      </c>
      <c r="G49" s="126" t="s">
        <v>427</v>
      </c>
      <c r="H49" s="126" t="s">
        <v>428</v>
      </c>
      <c r="I49" s="127" t="s">
        <v>36</v>
      </c>
      <c r="J49" s="107"/>
      <c r="K49" s="107"/>
      <c r="L49" s="107"/>
      <c r="M49" s="107"/>
      <c r="N49" s="107"/>
      <c r="O49" s="107"/>
      <c r="P49" s="107"/>
      <c r="Q49" s="107"/>
      <c r="R49" s="107"/>
      <c r="S49" s="107"/>
      <c r="T49" s="107"/>
      <c r="U49" s="107"/>
      <c r="V49" s="107"/>
      <c r="W49" s="107"/>
      <c r="X49" s="107"/>
      <c r="Y49" s="107"/>
      <c r="Z49" s="107"/>
      <c r="AA49" s="107"/>
      <c r="AB49" s="107"/>
      <c r="AC49" s="107"/>
      <c r="AD49" s="107"/>
    </row>
    <row r="50">
      <c r="A50" s="107"/>
      <c r="B50" s="107"/>
      <c r="C50" s="124" t="s">
        <v>429</v>
      </c>
      <c r="D50" s="15"/>
      <c r="E50" s="108"/>
      <c r="F50" s="126" t="s">
        <v>307</v>
      </c>
      <c r="G50" s="126" t="s">
        <v>430</v>
      </c>
      <c r="H50" s="126" t="s">
        <v>431</v>
      </c>
      <c r="I50" s="127" t="s">
        <v>36</v>
      </c>
      <c r="J50" s="107"/>
      <c r="K50" s="107"/>
      <c r="L50" s="107"/>
      <c r="M50" s="107"/>
      <c r="N50" s="107"/>
      <c r="O50" s="107"/>
      <c r="P50" s="107"/>
      <c r="Q50" s="107"/>
      <c r="R50" s="107"/>
      <c r="S50" s="107"/>
      <c r="T50" s="107"/>
      <c r="U50" s="107"/>
      <c r="V50" s="107"/>
      <c r="W50" s="107"/>
      <c r="X50" s="107"/>
      <c r="Y50" s="107"/>
      <c r="Z50" s="107"/>
      <c r="AA50" s="107"/>
      <c r="AB50" s="107"/>
      <c r="AC50" s="107"/>
      <c r="AD50" s="107"/>
    </row>
    <row r="51">
      <c r="A51" s="107"/>
      <c r="B51" s="107"/>
      <c r="C51" s="124" t="s">
        <v>432</v>
      </c>
      <c r="D51" s="15"/>
      <c r="E51" s="108"/>
      <c r="F51" s="126" t="s">
        <v>307</v>
      </c>
      <c r="G51" s="126" t="s">
        <v>433</v>
      </c>
      <c r="H51" s="126" t="s">
        <v>434</v>
      </c>
      <c r="I51" s="130" t="s">
        <v>317</v>
      </c>
      <c r="J51" s="107"/>
      <c r="K51" s="135" t="s">
        <v>435</v>
      </c>
      <c r="L51" s="107"/>
      <c r="M51" s="107"/>
      <c r="N51" s="107"/>
      <c r="O51" s="107"/>
      <c r="P51" s="107"/>
      <c r="Q51" s="107"/>
      <c r="R51" s="107"/>
      <c r="S51" s="107"/>
      <c r="T51" s="107"/>
      <c r="U51" s="107"/>
      <c r="V51" s="107"/>
      <c r="W51" s="107"/>
      <c r="X51" s="107"/>
      <c r="Y51" s="107"/>
      <c r="Z51" s="107"/>
      <c r="AA51" s="107"/>
      <c r="AB51" s="107"/>
      <c r="AC51" s="107"/>
      <c r="AD51" s="107"/>
    </row>
    <row r="52">
      <c r="A52" s="107"/>
      <c r="B52" s="107"/>
      <c r="C52" s="124" t="s">
        <v>436</v>
      </c>
      <c r="D52" s="15"/>
      <c r="E52" s="108"/>
      <c r="F52" s="126" t="s">
        <v>307</v>
      </c>
      <c r="G52" s="126" t="s">
        <v>437</v>
      </c>
      <c r="H52" s="126" t="s">
        <v>438</v>
      </c>
      <c r="I52" s="127" t="s">
        <v>36</v>
      </c>
      <c r="J52" s="107"/>
      <c r="K52" s="107"/>
      <c r="L52" s="107"/>
      <c r="M52" s="107"/>
      <c r="N52" s="107"/>
      <c r="O52" s="107"/>
      <c r="P52" s="107"/>
      <c r="Q52" s="107"/>
      <c r="R52" s="107"/>
      <c r="S52" s="107"/>
      <c r="T52" s="107"/>
      <c r="U52" s="107"/>
      <c r="V52" s="107"/>
      <c r="W52" s="107"/>
      <c r="X52" s="107"/>
      <c r="Y52" s="107"/>
      <c r="Z52" s="107"/>
      <c r="AA52" s="107"/>
      <c r="AB52" s="107"/>
      <c r="AC52" s="107"/>
      <c r="AD52" s="107"/>
    </row>
    <row r="53">
      <c r="A53" s="107"/>
      <c r="B53" s="107"/>
      <c r="C53" s="124" t="s">
        <v>439</v>
      </c>
      <c r="D53" s="15"/>
      <c r="E53" s="108"/>
      <c r="F53" s="126" t="s">
        <v>307</v>
      </c>
      <c r="G53" s="126" t="s">
        <v>440</v>
      </c>
      <c r="H53" s="126" t="s">
        <v>434</v>
      </c>
      <c r="I53" s="127" t="s">
        <v>36</v>
      </c>
      <c r="J53" s="107"/>
      <c r="K53" s="107"/>
      <c r="L53" s="107"/>
      <c r="M53" s="107"/>
      <c r="N53" s="107"/>
      <c r="O53" s="107"/>
      <c r="P53" s="107"/>
      <c r="Q53" s="107"/>
      <c r="R53" s="107"/>
      <c r="S53" s="107"/>
      <c r="T53" s="107"/>
      <c r="U53" s="107"/>
      <c r="V53" s="107"/>
      <c r="W53" s="107"/>
      <c r="X53" s="107"/>
      <c r="Y53" s="107"/>
      <c r="Z53" s="107"/>
      <c r="AA53" s="107"/>
      <c r="AB53" s="107"/>
      <c r="AC53" s="107"/>
      <c r="AD53" s="107"/>
    </row>
    <row r="54">
      <c r="A54" s="107"/>
      <c r="B54" s="107"/>
      <c r="C54" s="124" t="s">
        <v>441</v>
      </c>
      <c r="D54" s="15"/>
      <c r="E54" s="108"/>
      <c r="F54" s="126" t="s">
        <v>307</v>
      </c>
      <c r="G54" s="126" t="s">
        <v>442</v>
      </c>
      <c r="H54" s="126" t="s">
        <v>314</v>
      </c>
      <c r="I54" s="127" t="s">
        <v>36</v>
      </c>
      <c r="J54" s="107"/>
      <c r="K54" s="107"/>
      <c r="L54" s="107"/>
      <c r="M54" s="107"/>
      <c r="N54" s="107"/>
      <c r="O54" s="107"/>
      <c r="P54" s="107"/>
      <c r="Q54" s="107"/>
      <c r="R54" s="107"/>
      <c r="S54" s="107"/>
      <c r="T54" s="107"/>
      <c r="U54" s="107"/>
      <c r="V54" s="107"/>
      <c r="W54" s="107"/>
      <c r="X54" s="107"/>
      <c r="Y54" s="107"/>
      <c r="Z54" s="107"/>
      <c r="AA54" s="107"/>
      <c r="AB54" s="107"/>
      <c r="AC54" s="107"/>
      <c r="AD54" s="107"/>
    </row>
    <row r="55">
      <c r="A55" s="107"/>
      <c r="B55" s="107"/>
      <c r="C55" s="124" t="s">
        <v>443</v>
      </c>
      <c r="D55" s="15"/>
      <c r="E55" s="108"/>
      <c r="F55" s="126" t="s">
        <v>307</v>
      </c>
      <c r="G55" s="126" t="s">
        <v>444</v>
      </c>
      <c r="H55" s="126" t="s">
        <v>445</v>
      </c>
      <c r="I55" s="127" t="s">
        <v>36</v>
      </c>
      <c r="J55" s="107"/>
      <c r="K55" s="107"/>
      <c r="L55" s="107"/>
      <c r="M55" s="107"/>
      <c r="N55" s="107"/>
      <c r="O55" s="107"/>
      <c r="P55" s="107"/>
      <c r="Q55" s="107"/>
      <c r="R55" s="107"/>
      <c r="S55" s="107"/>
      <c r="T55" s="107"/>
      <c r="U55" s="107"/>
      <c r="V55" s="107"/>
      <c r="W55" s="107"/>
      <c r="X55" s="107"/>
      <c r="Y55" s="107"/>
      <c r="Z55" s="107"/>
      <c r="AA55" s="107"/>
      <c r="AB55" s="107"/>
      <c r="AC55" s="107"/>
      <c r="AD55" s="107"/>
    </row>
    <row r="56">
      <c r="A56" s="107"/>
      <c r="B56" s="107"/>
      <c r="C56" s="124" t="s">
        <v>446</v>
      </c>
      <c r="D56" s="15"/>
      <c r="E56" s="108"/>
      <c r="F56" s="126" t="s">
        <v>447</v>
      </c>
      <c r="G56" s="126" t="s">
        <v>448</v>
      </c>
      <c r="H56" s="126" t="s">
        <v>449</v>
      </c>
      <c r="I56" s="127" t="s">
        <v>36</v>
      </c>
      <c r="J56" s="107"/>
      <c r="K56" s="107"/>
      <c r="L56" s="107"/>
      <c r="M56" s="107"/>
      <c r="N56" s="107"/>
      <c r="O56" s="107"/>
      <c r="P56" s="107"/>
      <c r="Q56" s="107"/>
      <c r="R56" s="107"/>
      <c r="S56" s="107"/>
      <c r="T56" s="107"/>
      <c r="U56" s="107"/>
      <c r="V56" s="107"/>
      <c r="W56" s="107"/>
      <c r="X56" s="107"/>
      <c r="Y56" s="107"/>
      <c r="Z56" s="107"/>
      <c r="AA56" s="107"/>
      <c r="AB56" s="107"/>
      <c r="AC56" s="107"/>
      <c r="AD56" s="107"/>
    </row>
    <row r="57">
      <c r="A57" s="107"/>
      <c r="B57" s="107"/>
      <c r="C57" s="124" t="s">
        <v>450</v>
      </c>
      <c r="D57" s="15"/>
      <c r="E57" s="108"/>
      <c r="F57" s="126" t="s">
        <v>307</v>
      </c>
      <c r="G57" s="126" t="s">
        <v>451</v>
      </c>
      <c r="H57" s="126" t="s">
        <v>449</v>
      </c>
      <c r="I57" s="127" t="s">
        <v>36</v>
      </c>
      <c r="J57" s="107"/>
      <c r="K57" s="107"/>
      <c r="L57" s="107"/>
      <c r="M57" s="107"/>
      <c r="N57" s="107"/>
      <c r="O57" s="107"/>
      <c r="P57" s="107"/>
      <c r="Q57" s="107"/>
      <c r="R57" s="107"/>
      <c r="S57" s="107"/>
      <c r="T57" s="107"/>
      <c r="U57" s="107"/>
      <c r="V57" s="107"/>
      <c r="W57" s="107"/>
      <c r="X57" s="107"/>
      <c r="Y57" s="107"/>
      <c r="Z57" s="107"/>
      <c r="AA57" s="107"/>
      <c r="AB57" s="107"/>
      <c r="AC57" s="107"/>
      <c r="AD57" s="107"/>
    </row>
    <row r="58">
      <c r="A58" s="107"/>
      <c r="B58" s="107"/>
      <c r="C58" s="124" t="s">
        <v>452</v>
      </c>
      <c r="D58" s="15"/>
      <c r="E58" s="108"/>
      <c r="F58" s="126" t="s">
        <v>307</v>
      </c>
      <c r="G58" s="126" t="s">
        <v>453</v>
      </c>
      <c r="H58" s="126" t="s">
        <v>428</v>
      </c>
      <c r="I58" s="127" t="s">
        <v>36</v>
      </c>
      <c r="J58" s="107"/>
      <c r="K58" s="107"/>
      <c r="L58" s="107"/>
      <c r="M58" s="107"/>
      <c r="N58" s="107"/>
      <c r="O58" s="107"/>
      <c r="P58" s="107"/>
      <c r="Q58" s="107"/>
      <c r="R58" s="107"/>
      <c r="S58" s="107"/>
      <c r="T58" s="107"/>
      <c r="U58" s="107"/>
      <c r="V58" s="107"/>
      <c r="W58" s="107"/>
      <c r="X58" s="107"/>
      <c r="Y58" s="107"/>
      <c r="Z58" s="107"/>
      <c r="AA58" s="107"/>
      <c r="AB58" s="107"/>
      <c r="AC58" s="107"/>
      <c r="AD58" s="107"/>
    </row>
    <row r="59">
      <c r="A59" s="107"/>
      <c r="B59" s="107"/>
      <c r="C59" s="124" t="s">
        <v>454</v>
      </c>
      <c r="D59" s="15"/>
      <c r="E59" s="108"/>
      <c r="F59" s="126" t="s">
        <v>307</v>
      </c>
      <c r="G59" s="126" t="s">
        <v>455</v>
      </c>
      <c r="H59" s="126" t="s">
        <v>431</v>
      </c>
      <c r="I59" s="127" t="s">
        <v>36</v>
      </c>
      <c r="J59" s="107"/>
      <c r="K59" s="107"/>
      <c r="L59" s="107"/>
      <c r="M59" s="107"/>
      <c r="N59" s="107"/>
      <c r="O59" s="107"/>
      <c r="P59" s="107"/>
      <c r="Q59" s="107"/>
      <c r="R59" s="107"/>
      <c r="S59" s="107"/>
      <c r="T59" s="107"/>
      <c r="U59" s="107"/>
      <c r="V59" s="107"/>
      <c r="W59" s="107"/>
      <c r="X59" s="107"/>
      <c r="Y59" s="107"/>
      <c r="Z59" s="107"/>
      <c r="AA59" s="107"/>
      <c r="AB59" s="107"/>
      <c r="AC59" s="107"/>
      <c r="AD59" s="107"/>
    </row>
    <row r="60">
      <c r="A60" s="107"/>
      <c r="B60" s="107"/>
      <c r="C60" s="124" t="s">
        <v>456</v>
      </c>
      <c r="D60" s="15"/>
      <c r="E60" s="108"/>
      <c r="F60" s="126" t="s">
        <v>307</v>
      </c>
      <c r="G60" s="126" t="s">
        <v>457</v>
      </c>
      <c r="H60" s="126" t="s">
        <v>434</v>
      </c>
      <c r="I60" s="130" t="s">
        <v>317</v>
      </c>
      <c r="J60" s="107"/>
      <c r="K60" s="107"/>
      <c r="L60" s="107"/>
      <c r="M60" s="107"/>
      <c r="N60" s="107"/>
      <c r="O60" s="107"/>
      <c r="P60" s="107"/>
      <c r="Q60" s="107"/>
      <c r="R60" s="107"/>
      <c r="S60" s="107"/>
      <c r="T60" s="107"/>
      <c r="U60" s="107"/>
      <c r="V60" s="107"/>
      <c r="W60" s="107"/>
      <c r="X60" s="107"/>
      <c r="Y60" s="107"/>
      <c r="Z60" s="107"/>
      <c r="AA60" s="107"/>
      <c r="AB60" s="107"/>
      <c r="AC60" s="107"/>
      <c r="AD60" s="107"/>
    </row>
    <row r="61">
      <c r="A61" s="107"/>
      <c r="B61" s="107"/>
      <c r="C61" s="124" t="s">
        <v>458</v>
      </c>
      <c r="D61" s="15"/>
      <c r="E61" s="108"/>
      <c r="F61" s="126" t="s">
        <v>307</v>
      </c>
      <c r="G61" s="126" t="s">
        <v>459</v>
      </c>
      <c r="H61" s="126" t="s">
        <v>438</v>
      </c>
      <c r="I61" s="127" t="s">
        <v>36</v>
      </c>
      <c r="J61" s="107"/>
      <c r="K61" s="107"/>
      <c r="L61" s="107"/>
      <c r="M61" s="107"/>
      <c r="N61" s="107"/>
      <c r="O61" s="107"/>
      <c r="P61" s="107"/>
      <c r="Q61" s="107"/>
      <c r="R61" s="107"/>
      <c r="S61" s="107"/>
      <c r="T61" s="107"/>
      <c r="U61" s="107"/>
      <c r="V61" s="107"/>
      <c r="W61" s="107"/>
      <c r="X61" s="107"/>
      <c r="Y61" s="107"/>
      <c r="Z61" s="107"/>
      <c r="AA61" s="107"/>
      <c r="AB61" s="107"/>
      <c r="AC61" s="107"/>
      <c r="AD61" s="107"/>
    </row>
    <row r="62">
      <c r="A62" s="107"/>
      <c r="B62" s="107"/>
      <c r="C62" s="124" t="s">
        <v>460</v>
      </c>
      <c r="D62" s="15"/>
      <c r="E62" s="108"/>
      <c r="F62" s="126" t="s">
        <v>307</v>
      </c>
      <c r="G62" s="126" t="s">
        <v>461</v>
      </c>
      <c r="H62" s="126" t="s">
        <v>434</v>
      </c>
      <c r="I62" s="127" t="s">
        <v>36</v>
      </c>
      <c r="J62" s="107"/>
      <c r="K62" s="107"/>
      <c r="L62" s="107"/>
      <c r="M62" s="107"/>
      <c r="N62" s="107"/>
      <c r="O62" s="107"/>
      <c r="P62" s="107"/>
      <c r="Q62" s="107"/>
      <c r="R62" s="107"/>
      <c r="S62" s="107"/>
      <c r="T62" s="107"/>
      <c r="U62" s="107"/>
      <c r="V62" s="107"/>
      <c r="W62" s="107"/>
      <c r="X62" s="107"/>
      <c r="Y62" s="107"/>
      <c r="Z62" s="107"/>
      <c r="AA62" s="107"/>
      <c r="AB62" s="107"/>
      <c r="AC62" s="107"/>
      <c r="AD62" s="107"/>
    </row>
    <row r="63">
      <c r="A63" s="107"/>
      <c r="B63" s="107"/>
      <c r="C63" s="124" t="s">
        <v>462</v>
      </c>
      <c r="D63" s="15"/>
      <c r="E63" s="108"/>
      <c r="F63" s="126" t="s">
        <v>307</v>
      </c>
      <c r="G63" s="126" t="s">
        <v>463</v>
      </c>
      <c r="H63" s="126" t="s">
        <v>314</v>
      </c>
      <c r="I63" s="127" t="s">
        <v>36</v>
      </c>
      <c r="J63" s="107"/>
      <c r="K63" s="107"/>
      <c r="L63" s="107"/>
      <c r="M63" s="107"/>
      <c r="N63" s="107"/>
      <c r="O63" s="107"/>
      <c r="P63" s="107"/>
      <c r="Q63" s="107"/>
      <c r="R63" s="107"/>
      <c r="S63" s="107"/>
      <c r="T63" s="107"/>
      <c r="U63" s="107"/>
      <c r="V63" s="107"/>
      <c r="W63" s="107"/>
      <c r="X63" s="107"/>
      <c r="Y63" s="107"/>
      <c r="Z63" s="107"/>
      <c r="AA63" s="107"/>
      <c r="AB63" s="107"/>
      <c r="AC63" s="107"/>
      <c r="AD63" s="107"/>
    </row>
    <row r="64">
      <c r="A64" s="107"/>
      <c r="B64" s="107"/>
      <c r="C64" s="124" t="s">
        <v>464</v>
      </c>
      <c r="D64" s="15"/>
      <c r="E64" s="108"/>
      <c r="F64" s="126" t="s">
        <v>307</v>
      </c>
      <c r="G64" s="126" t="s">
        <v>465</v>
      </c>
      <c r="H64" s="126" t="s">
        <v>445</v>
      </c>
      <c r="I64" s="127" t="s">
        <v>36</v>
      </c>
      <c r="J64" s="107"/>
      <c r="K64" s="107"/>
      <c r="L64" s="107"/>
      <c r="M64" s="107"/>
      <c r="N64" s="107"/>
      <c r="O64" s="107"/>
      <c r="P64" s="107"/>
      <c r="Q64" s="107"/>
      <c r="R64" s="107"/>
      <c r="S64" s="107"/>
      <c r="T64" s="107"/>
      <c r="U64" s="107"/>
      <c r="V64" s="107"/>
      <c r="W64" s="107"/>
      <c r="X64" s="107"/>
      <c r="Y64" s="107"/>
      <c r="Z64" s="107"/>
      <c r="AA64" s="107"/>
      <c r="AB64" s="107"/>
      <c r="AC64" s="107"/>
      <c r="AD64" s="107"/>
    </row>
    <row r="65">
      <c r="A65" s="107"/>
      <c r="B65" s="107"/>
      <c r="C65" s="124" t="s">
        <v>466</v>
      </c>
      <c r="D65" s="15"/>
      <c r="E65" s="108"/>
      <c r="F65" s="126" t="s">
        <v>467</v>
      </c>
      <c r="G65" s="126" t="s">
        <v>468</v>
      </c>
      <c r="H65" s="126" t="s">
        <v>449</v>
      </c>
      <c r="I65" s="127" t="s">
        <v>36</v>
      </c>
      <c r="J65" s="107"/>
      <c r="K65" s="107"/>
      <c r="L65" s="107"/>
      <c r="M65" s="107"/>
      <c r="N65" s="107"/>
      <c r="O65" s="107"/>
      <c r="P65" s="107"/>
      <c r="Q65" s="107"/>
      <c r="R65" s="107"/>
      <c r="S65" s="107"/>
      <c r="T65" s="107"/>
      <c r="U65" s="107"/>
      <c r="V65" s="107"/>
      <c r="W65" s="107"/>
      <c r="X65" s="107"/>
      <c r="Y65" s="107"/>
      <c r="Z65" s="107"/>
      <c r="AA65" s="107"/>
      <c r="AB65" s="107"/>
      <c r="AC65" s="107"/>
      <c r="AD65" s="107"/>
    </row>
    <row r="66">
      <c r="A66" s="107"/>
      <c r="B66" s="107"/>
      <c r="C66" s="124" t="s">
        <v>469</v>
      </c>
      <c r="D66" s="15"/>
      <c r="E66" s="108"/>
      <c r="F66" s="126" t="s">
        <v>307</v>
      </c>
      <c r="G66" s="126" t="s">
        <v>470</v>
      </c>
      <c r="H66" s="126" t="s">
        <v>471</v>
      </c>
      <c r="I66" s="127" t="s">
        <v>36</v>
      </c>
      <c r="J66" s="107"/>
      <c r="K66" s="107"/>
      <c r="L66" s="107"/>
      <c r="M66" s="107"/>
      <c r="N66" s="107"/>
      <c r="O66" s="107"/>
      <c r="P66" s="107"/>
      <c r="Q66" s="107"/>
      <c r="R66" s="107"/>
      <c r="S66" s="107"/>
      <c r="T66" s="107"/>
      <c r="U66" s="107"/>
      <c r="V66" s="107"/>
      <c r="W66" s="107"/>
      <c r="X66" s="107"/>
      <c r="Y66" s="107"/>
      <c r="Z66" s="107"/>
      <c r="AA66" s="107"/>
      <c r="AB66" s="107"/>
      <c r="AC66" s="107"/>
      <c r="AD66" s="107"/>
    </row>
    <row r="67">
      <c r="A67" s="107"/>
      <c r="B67" s="107"/>
      <c r="C67" s="124" t="s">
        <v>472</v>
      </c>
      <c r="D67" s="15"/>
      <c r="E67" s="108"/>
      <c r="F67" s="126" t="s">
        <v>307</v>
      </c>
      <c r="G67" s="126" t="s">
        <v>473</v>
      </c>
      <c r="H67" s="126" t="s">
        <v>471</v>
      </c>
      <c r="I67" s="127" t="s">
        <v>36</v>
      </c>
      <c r="J67" s="107"/>
      <c r="K67" s="107"/>
      <c r="L67" s="107"/>
      <c r="M67" s="107"/>
      <c r="N67" s="107"/>
      <c r="O67" s="107"/>
      <c r="P67" s="107"/>
      <c r="Q67" s="107"/>
      <c r="R67" s="107"/>
      <c r="S67" s="107"/>
      <c r="T67" s="107"/>
      <c r="U67" s="107"/>
      <c r="V67" s="107"/>
      <c r="W67" s="107"/>
      <c r="X67" s="107"/>
      <c r="Y67" s="107"/>
      <c r="Z67" s="107"/>
      <c r="AA67" s="107"/>
      <c r="AB67" s="107"/>
      <c r="AC67" s="107"/>
      <c r="AD67" s="107"/>
    </row>
    <row r="68">
      <c r="A68" s="107"/>
      <c r="B68" s="107"/>
      <c r="C68" s="124" t="s">
        <v>474</v>
      </c>
      <c r="D68" s="15"/>
      <c r="E68" s="108"/>
      <c r="F68" s="126" t="s">
        <v>307</v>
      </c>
      <c r="G68" s="126" t="s">
        <v>475</v>
      </c>
      <c r="H68" s="126" t="s">
        <v>476</v>
      </c>
      <c r="I68" s="127" t="s">
        <v>36</v>
      </c>
      <c r="J68" s="107"/>
      <c r="K68" s="107"/>
      <c r="L68" s="107"/>
      <c r="M68" s="107"/>
      <c r="N68" s="107"/>
      <c r="O68" s="107"/>
      <c r="P68" s="107"/>
      <c r="Q68" s="107"/>
      <c r="R68" s="107"/>
      <c r="S68" s="107"/>
      <c r="T68" s="107"/>
      <c r="U68" s="107"/>
      <c r="V68" s="107"/>
      <c r="W68" s="107"/>
      <c r="X68" s="107"/>
      <c r="Y68" s="107"/>
      <c r="Z68" s="107"/>
      <c r="AA68" s="107"/>
      <c r="AB68" s="107"/>
      <c r="AC68" s="107"/>
      <c r="AD68" s="107"/>
    </row>
    <row r="69">
      <c r="A69" s="107"/>
      <c r="B69" s="107"/>
      <c r="C69" s="124" t="s">
        <v>477</v>
      </c>
      <c r="D69" s="15"/>
      <c r="E69" s="108"/>
      <c r="F69" s="126" t="s">
        <v>307</v>
      </c>
      <c r="G69" s="126" t="s">
        <v>478</v>
      </c>
      <c r="H69" s="126" t="s">
        <v>479</v>
      </c>
      <c r="I69" s="127" t="s">
        <v>36</v>
      </c>
      <c r="J69" s="107"/>
      <c r="K69" s="107"/>
      <c r="L69" s="107"/>
      <c r="M69" s="107"/>
      <c r="N69" s="107"/>
      <c r="O69" s="107"/>
      <c r="P69" s="107"/>
      <c r="Q69" s="107"/>
      <c r="R69" s="107"/>
      <c r="S69" s="107"/>
      <c r="T69" s="107"/>
      <c r="U69" s="107"/>
      <c r="V69" s="107"/>
      <c r="W69" s="107"/>
      <c r="X69" s="107"/>
      <c r="Y69" s="107"/>
      <c r="Z69" s="107"/>
      <c r="AA69" s="107"/>
      <c r="AB69" s="107"/>
      <c r="AC69" s="107"/>
      <c r="AD69" s="107"/>
    </row>
    <row r="70">
      <c r="A70" s="107"/>
      <c r="B70" s="107"/>
      <c r="C70" s="124" t="s">
        <v>480</v>
      </c>
      <c r="D70" s="15"/>
      <c r="E70" s="108"/>
      <c r="F70" s="126" t="s">
        <v>447</v>
      </c>
      <c r="G70" s="126" t="s">
        <v>481</v>
      </c>
      <c r="H70" s="126" t="s">
        <v>482</v>
      </c>
      <c r="I70" s="127" t="s">
        <v>36</v>
      </c>
      <c r="J70" s="107"/>
      <c r="K70" s="107"/>
      <c r="L70" s="107"/>
      <c r="M70" s="107"/>
      <c r="N70" s="107"/>
      <c r="O70" s="107"/>
      <c r="P70" s="107"/>
      <c r="Q70" s="107"/>
      <c r="R70" s="107"/>
      <c r="S70" s="107"/>
      <c r="T70" s="107"/>
      <c r="U70" s="107"/>
      <c r="V70" s="107"/>
      <c r="W70" s="107"/>
      <c r="X70" s="107"/>
      <c r="Y70" s="107"/>
      <c r="Z70" s="107"/>
      <c r="AA70" s="107"/>
      <c r="AB70" s="107"/>
      <c r="AC70" s="107"/>
      <c r="AD70" s="107"/>
    </row>
    <row r="71">
      <c r="A71" s="107"/>
      <c r="B71" s="107"/>
      <c r="C71" s="124" t="s">
        <v>483</v>
      </c>
      <c r="D71" s="15"/>
      <c r="E71" s="108"/>
      <c r="F71" s="126" t="s">
        <v>307</v>
      </c>
      <c r="G71" s="126" t="s">
        <v>484</v>
      </c>
      <c r="H71" s="126" t="s">
        <v>425</v>
      </c>
      <c r="I71" s="127" t="s">
        <v>36</v>
      </c>
      <c r="J71" s="107"/>
      <c r="K71" s="107"/>
      <c r="L71" s="107"/>
      <c r="M71" s="107"/>
      <c r="N71" s="107"/>
      <c r="O71" s="107"/>
      <c r="P71" s="107"/>
      <c r="Q71" s="107"/>
      <c r="R71" s="107"/>
      <c r="S71" s="107"/>
      <c r="T71" s="107"/>
      <c r="U71" s="107"/>
      <c r="V71" s="107"/>
      <c r="W71" s="107"/>
      <c r="X71" s="107"/>
      <c r="Y71" s="107"/>
      <c r="Z71" s="107"/>
      <c r="AA71" s="107"/>
      <c r="AB71" s="107"/>
      <c r="AC71" s="107"/>
      <c r="AD71" s="107"/>
    </row>
    <row r="72">
      <c r="A72" s="107"/>
      <c r="B72" s="107"/>
      <c r="C72" s="124" t="s">
        <v>485</v>
      </c>
      <c r="D72" s="15"/>
      <c r="E72" s="108"/>
      <c r="F72" s="126" t="s">
        <v>307</v>
      </c>
      <c r="G72" s="126" t="s">
        <v>486</v>
      </c>
      <c r="H72" s="126" t="s">
        <v>487</v>
      </c>
      <c r="I72" s="127" t="s">
        <v>36</v>
      </c>
      <c r="J72" s="107"/>
      <c r="K72" s="107"/>
      <c r="L72" s="107"/>
      <c r="M72" s="107"/>
      <c r="N72" s="107"/>
      <c r="O72" s="107"/>
      <c r="P72" s="107"/>
      <c r="Q72" s="107"/>
      <c r="R72" s="107"/>
      <c r="S72" s="107"/>
      <c r="T72" s="107"/>
      <c r="U72" s="107"/>
      <c r="V72" s="107"/>
      <c r="W72" s="107"/>
      <c r="X72" s="107"/>
      <c r="Y72" s="107"/>
      <c r="Z72" s="107"/>
      <c r="AA72" s="107"/>
      <c r="AB72" s="107"/>
      <c r="AC72" s="107"/>
      <c r="AD72" s="107"/>
    </row>
    <row r="73">
      <c r="A73" s="107"/>
      <c r="B73" s="107"/>
      <c r="C73" s="124" t="s">
        <v>488</v>
      </c>
      <c r="D73" s="15"/>
      <c r="E73" s="108"/>
      <c r="F73" s="126" t="s">
        <v>307</v>
      </c>
      <c r="G73" s="126" t="s">
        <v>489</v>
      </c>
      <c r="H73" s="126" t="s">
        <v>490</v>
      </c>
      <c r="I73" s="127" t="s">
        <v>36</v>
      </c>
      <c r="J73" s="107"/>
      <c r="K73" s="107"/>
      <c r="L73" s="107"/>
      <c r="M73" s="107"/>
      <c r="N73" s="107"/>
      <c r="O73" s="107"/>
      <c r="P73" s="107"/>
      <c r="Q73" s="107"/>
      <c r="R73" s="107"/>
      <c r="S73" s="107"/>
      <c r="T73" s="107"/>
      <c r="U73" s="107"/>
      <c r="V73" s="107"/>
      <c r="W73" s="107"/>
      <c r="X73" s="107"/>
      <c r="Y73" s="107"/>
      <c r="Z73" s="107"/>
      <c r="AA73" s="107"/>
      <c r="AB73" s="107"/>
      <c r="AC73" s="107"/>
      <c r="AD73" s="107"/>
    </row>
    <row r="74">
      <c r="A74" s="107"/>
      <c r="B74" s="107"/>
      <c r="C74" s="124" t="s">
        <v>491</v>
      </c>
      <c r="D74" s="15"/>
      <c r="E74" s="108"/>
      <c r="F74" s="126" t="s">
        <v>492</v>
      </c>
      <c r="G74" s="126" t="s">
        <v>493</v>
      </c>
      <c r="H74" s="126" t="s">
        <v>494</v>
      </c>
      <c r="I74" s="127" t="s">
        <v>36</v>
      </c>
      <c r="J74" s="107"/>
      <c r="K74" s="107"/>
      <c r="L74" s="107"/>
      <c r="M74" s="107"/>
      <c r="N74" s="107"/>
      <c r="O74" s="107"/>
      <c r="P74" s="107"/>
      <c r="Q74" s="107"/>
      <c r="R74" s="107"/>
      <c r="S74" s="107"/>
      <c r="T74" s="107"/>
      <c r="U74" s="107"/>
      <c r="V74" s="107"/>
      <c r="W74" s="107"/>
      <c r="X74" s="107"/>
      <c r="Y74" s="107"/>
      <c r="Z74" s="107"/>
      <c r="AA74" s="107"/>
      <c r="AB74" s="107"/>
      <c r="AC74" s="107"/>
      <c r="AD74" s="107"/>
    </row>
    <row r="75">
      <c r="A75" s="107"/>
      <c r="B75" s="107"/>
      <c r="C75" s="124" t="s">
        <v>495</v>
      </c>
      <c r="D75" s="15"/>
      <c r="E75" s="108"/>
      <c r="F75" s="126" t="s">
        <v>496</v>
      </c>
      <c r="G75" s="129" t="s">
        <v>497</v>
      </c>
      <c r="H75" s="126" t="s">
        <v>498</v>
      </c>
      <c r="I75" s="127" t="s">
        <v>36</v>
      </c>
      <c r="J75" s="107"/>
      <c r="K75" s="107"/>
      <c r="L75" s="107"/>
      <c r="M75" s="107"/>
      <c r="N75" s="107"/>
      <c r="O75" s="107"/>
      <c r="P75" s="107"/>
      <c r="Q75" s="107"/>
      <c r="R75" s="107"/>
      <c r="S75" s="107"/>
      <c r="T75" s="107"/>
      <c r="U75" s="107"/>
      <c r="V75" s="107"/>
      <c r="W75" s="107"/>
      <c r="X75" s="107"/>
      <c r="Y75" s="107"/>
      <c r="Z75" s="107"/>
      <c r="AA75" s="107"/>
      <c r="AB75" s="107"/>
      <c r="AC75" s="107"/>
      <c r="AD75" s="107"/>
    </row>
    <row r="76">
      <c r="A76" s="107"/>
      <c r="B76" s="107"/>
      <c r="C76" s="124" t="s">
        <v>499</v>
      </c>
      <c r="D76" s="15"/>
      <c r="E76" s="108"/>
      <c r="F76" s="126" t="s">
        <v>500</v>
      </c>
      <c r="G76" s="126" t="s">
        <v>501</v>
      </c>
      <c r="H76" s="126" t="s">
        <v>502</v>
      </c>
      <c r="I76" s="130" t="s">
        <v>36</v>
      </c>
      <c r="J76" s="107"/>
      <c r="K76" s="107"/>
      <c r="L76" s="107"/>
      <c r="M76" s="107"/>
      <c r="N76" s="107"/>
      <c r="O76" s="107"/>
      <c r="P76" s="107"/>
      <c r="Q76" s="107"/>
      <c r="R76" s="107"/>
      <c r="S76" s="107"/>
      <c r="T76" s="107"/>
      <c r="U76" s="107"/>
      <c r="V76" s="107"/>
      <c r="W76" s="107"/>
      <c r="X76" s="107"/>
      <c r="Y76" s="107"/>
      <c r="Z76" s="107"/>
      <c r="AA76" s="107"/>
      <c r="AB76" s="107"/>
      <c r="AC76" s="107"/>
      <c r="AD76" s="107"/>
    </row>
    <row r="77">
      <c r="A77" s="107"/>
      <c r="B77" s="107"/>
      <c r="C77" s="124" t="s">
        <v>503</v>
      </c>
      <c r="D77" s="15"/>
      <c r="E77" s="108"/>
      <c r="F77" s="126" t="s">
        <v>504</v>
      </c>
      <c r="G77" s="126" t="s">
        <v>505</v>
      </c>
      <c r="H77" s="126" t="s">
        <v>506</v>
      </c>
      <c r="I77" s="130" t="s">
        <v>36</v>
      </c>
      <c r="J77" s="107"/>
      <c r="K77" s="107"/>
      <c r="L77" s="107"/>
      <c r="M77" s="107"/>
      <c r="N77" s="107"/>
      <c r="O77" s="107"/>
      <c r="P77" s="107"/>
      <c r="Q77" s="107"/>
      <c r="R77" s="107"/>
      <c r="S77" s="107"/>
      <c r="T77" s="107"/>
      <c r="U77" s="107"/>
      <c r="V77" s="107"/>
      <c r="W77" s="107"/>
      <c r="X77" s="107"/>
      <c r="Y77" s="107"/>
      <c r="Z77" s="107"/>
      <c r="AA77" s="107"/>
      <c r="AB77" s="107"/>
      <c r="AC77" s="107"/>
      <c r="AD77" s="107"/>
    </row>
    <row r="78">
      <c r="A78" s="107"/>
      <c r="B78" s="107"/>
      <c r="C78" s="124" t="s">
        <v>507</v>
      </c>
      <c r="D78" s="15"/>
      <c r="E78" s="108"/>
      <c r="F78" s="129" t="s">
        <v>508</v>
      </c>
      <c r="G78" s="126" t="s">
        <v>509</v>
      </c>
      <c r="H78" s="129" t="s">
        <v>510</v>
      </c>
      <c r="I78" s="127" t="s">
        <v>36</v>
      </c>
      <c r="J78" s="107"/>
      <c r="K78" s="107"/>
      <c r="L78" s="107"/>
      <c r="M78" s="107"/>
      <c r="N78" s="107"/>
      <c r="O78" s="107"/>
      <c r="P78" s="107"/>
      <c r="Q78" s="107"/>
      <c r="R78" s="107"/>
      <c r="S78" s="107"/>
      <c r="T78" s="107"/>
      <c r="U78" s="107"/>
      <c r="V78" s="107"/>
      <c r="W78" s="107"/>
      <c r="X78" s="107"/>
      <c r="Y78" s="107"/>
      <c r="Z78" s="107"/>
      <c r="AA78" s="107"/>
      <c r="AB78" s="107"/>
      <c r="AC78" s="107"/>
      <c r="AD78" s="107"/>
    </row>
    <row r="79">
      <c r="A79" s="107"/>
      <c r="B79" s="107"/>
      <c r="C79" s="124" t="s">
        <v>511</v>
      </c>
      <c r="D79" s="15"/>
      <c r="E79" s="108"/>
      <c r="F79" s="129" t="s">
        <v>512</v>
      </c>
      <c r="G79" s="129" t="s">
        <v>513</v>
      </c>
      <c r="H79" s="129" t="s">
        <v>510</v>
      </c>
      <c r="I79" s="127" t="s">
        <v>36</v>
      </c>
      <c r="J79" s="107"/>
      <c r="K79" s="107"/>
      <c r="L79" s="107"/>
      <c r="M79" s="107"/>
      <c r="N79" s="107"/>
      <c r="O79" s="107"/>
      <c r="P79" s="107"/>
      <c r="Q79" s="107"/>
      <c r="R79" s="107"/>
      <c r="S79" s="107"/>
      <c r="T79" s="107"/>
      <c r="U79" s="107"/>
      <c r="V79" s="107"/>
      <c r="W79" s="107"/>
      <c r="X79" s="107"/>
      <c r="Y79" s="107"/>
      <c r="Z79" s="107"/>
      <c r="AA79" s="107"/>
      <c r="AB79" s="107"/>
      <c r="AC79" s="107"/>
      <c r="AD79" s="107"/>
    </row>
    <row r="80">
      <c r="A80" s="107"/>
      <c r="B80" s="107"/>
      <c r="C80" s="124" t="s">
        <v>514</v>
      </c>
      <c r="D80" s="15"/>
      <c r="E80" s="109"/>
      <c r="F80" s="129" t="s">
        <v>512</v>
      </c>
      <c r="G80" s="126" t="s">
        <v>515</v>
      </c>
      <c r="H80" s="126" t="s">
        <v>516</v>
      </c>
      <c r="I80" s="127" t="s">
        <v>36</v>
      </c>
      <c r="J80" s="107"/>
      <c r="K80" s="107"/>
      <c r="L80" s="107"/>
      <c r="M80" s="107"/>
      <c r="N80" s="107"/>
      <c r="O80" s="107"/>
      <c r="P80" s="107"/>
      <c r="Q80" s="107"/>
      <c r="R80" s="107"/>
      <c r="S80" s="107"/>
      <c r="T80" s="107"/>
      <c r="U80" s="107"/>
      <c r="V80" s="107"/>
      <c r="W80" s="107"/>
      <c r="X80" s="107"/>
      <c r="Y80" s="107"/>
      <c r="Z80" s="107"/>
      <c r="AA80" s="107"/>
      <c r="AB80" s="107"/>
      <c r="AC80" s="107"/>
      <c r="AD80" s="107"/>
    </row>
    <row r="81">
      <c r="A81" s="107"/>
      <c r="B81" s="107"/>
      <c r="C81" s="124" t="s">
        <v>517</v>
      </c>
      <c r="D81" s="15"/>
      <c r="E81" s="131" t="s">
        <v>166</v>
      </c>
      <c r="F81" s="126" t="s">
        <v>518</v>
      </c>
      <c r="G81" s="126" t="s">
        <v>519</v>
      </c>
      <c r="H81" s="126" t="s">
        <v>520</v>
      </c>
      <c r="I81" s="127" t="s">
        <v>36</v>
      </c>
      <c r="J81" s="107"/>
      <c r="K81" s="107"/>
      <c r="L81" s="107"/>
      <c r="M81" s="107"/>
      <c r="N81" s="107"/>
      <c r="O81" s="107"/>
      <c r="P81" s="107"/>
      <c r="Q81" s="107"/>
      <c r="R81" s="107"/>
      <c r="S81" s="107"/>
      <c r="T81" s="107"/>
      <c r="U81" s="107"/>
      <c r="V81" s="107"/>
      <c r="W81" s="107"/>
      <c r="X81" s="107"/>
      <c r="Y81" s="107"/>
      <c r="Z81" s="107"/>
      <c r="AA81" s="107"/>
      <c r="AB81" s="107"/>
      <c r="AC81" s="107"/>
      <c r="AD81" s="107"/>
    </row>
    <row r="82">
      <c r="A82" s="107"/>
      <c r="B82" s="107"/>
      <c r="C82" s="124" t="s">
        <v>521</v>
      </c>
      <c r="D82" s="15"/>
      <c r="E82" s="108"/>
      <c r="F82" s="126" t="s">
        <v>518</v>
      </c>
      <c r="G82" s="126" t="s">
        <v>522</v>
      </c>
      <c r="H82" s="126" t="s">
        <v>523</v>
      </c>
      <c r="I82" s="127" t="s">
        <v>36</v>
      </c>
      <c r="J82" s="107"/>
      <c r="K82" s="107"/>
      <c r="L82" s="107"/>
      <c r="M82" s="107"/>
      <c r="N82" s="107"/>
      <c r="O82" s="107"/>
      <c r="P82" s="107"/>
      <c r="Q82" s="107"/>
      <c r="R82" s="107"/>
      <c r="S82" s="107"/>
      <c r="T82" s="107"/>
      <c r="U82" s="107"/>
      <c r="V82" s="107"/>
      <c r="W82" s="107"/>
      <c r="X82" s="107"/>
      <c r="Y82" s="107"/>
      <c r="Z82" s="107"/>
      <c r="AA82" s="107"/>
      <c r="AB82" s="107"/>
      <c r="AC82" s="107"/>
      <c r="AD82" s="107"/>
    </row>
    <row r="83">
      <c r="A83" s="107"/>
      <c r="B83" s="107"/>
      <c r="C83" s="124" t="s">
        <v>524</v>
      </c>
      <c r="D83" s="15"/>
      <c r="E83" s="108"/>
      <c r="F83" s="126" t="s">
        <v>525</v>
      </c>
      <c r="G83" s="126" t="s">
        <v>526</v>
      </c>
      <c r="H83" s="126" t="s">
        <v>520</v>
      </c>
      <c r="I83" s="127" t="s">
        <v>36</v>
      </c>
      <c r="J83" s="107"/>
      <c r="K83" s="107"/>
      <c r="L83" s="107"/>
      <c r="M83" s="107"/>
      <c r="N83" s="107"/>
      <c r="O83" s="107"/>
      <c r="P83" s="107"/>
      <c r="Q83" s="107"/>
      <c r="R83" s="107"/>
      <c r="S83" s="107"/>
      <c r="T83" s="107"/>
      <c r="U83" s="107"/>
      <c r="V83" s="107"/>
      <c r="W83" s="107"/>
      <c r="X83" s="107"/>
      <c r="Y83" s="107"/>
      <c r="Z83" s="107"/>
      <c r="AA83" s="107"/>
      <c r="AB83" s="107"/>
      <c r="AC83" s="107"/>
      <c r="AD83" s="107"/>
    </row>
    <row r="84">
      <c r="A84" s="107"/>
      <c r="B84" s="107"/>
      <c r="C84" s="124" t="s">
        <v>527</v>
      </c>
      <c r="D84" s="15"/>
      <c r="E84" s="108"/>
      <c r="F84" s="126" t="s">
        <v>525</v>
      </c>
      <c r="G84" s="126" t="s">
        <v>528</v>
      </c>
      <c r="H84" s="126" t="s">
        <v>523</v>
      </c>
      <c r="I84" s="127" t="s">
        <v>36</v>
      </c>
      <c r="J84" s="107"/>
      <c r="K84" s="107"/>
      <c r="L84" s="107"/>
      <c r="M84" s="107"/>
      <c r="N84" s="107"/>
      <c r="O84" s="107"/>
      <c r="P84" s="107"/>
      <c r="Q84" s="107"/>
      <c r="R84" s="107"/>
      <c r="S84" s="107"/>
      <c r="T84" s="107"/>
      <c r="U84" s="107"/>
      <c r="V84" s="107"/>
      <c r="W84" s="107"/>
      <c r="X84" s="107"/>
      <c r="Y84" s="107"/>
      <c r="Z84" s="107"/>
      <c r="AA84" s="107"/>
      <c r="AB84" s="107"/>
      <c r="AC84" s="107"/>
      <c r="AD84" s="107"/>
    </row>
    <row r="85">
      <c r="A85" s="107"/>
      <c r="B85" s="107"/>
      <c r="C85" s="124" t="s">
        <v>529</v>
      </c>
      <c r="D85" s="15"/>
      <c r="E85" s="108"/>
      <c r="F85" s="126" t="s">
        <v>530</v>
      </c>
      <c r="G85" s="126" t="s">
        <v>531</v>
      </c>
      <c r="H85" s="126" t="s">
        <v>520</v>
      </c>
      <c r="I85" s="127" t="s">
        <v>36</v>
      </c>
      <c r="J85" s="107"/>
      <c r="K85" s="107"/>
      <c r="L85" s="107"/>
      <c r="M85" s="107"/>
      <c r="N85" s="107"/>
      <c r="O85" s="107"/>
      <c r="P85" s="107"/>
      <c r="Q85" s="107"/>
      <c r="R85" s="107"/>
      <c r="S85" s="107"/>
      <c r="T85" s="107"/>
      <c r="U85" s="107"/>
      <c r="V85" s="107"/>
      <c r="W85" s="107"/>
      <c r="X85" s="107"/>
      <c r="Y85" s="107"/>
      <c r="Z85" s="107"/>
      <c r="AA85" s="107"/>
      <c r="AB85" s="107"/>
      <c r="AC85" s="107"/>
      <c r="AD85" s="107"/>
    </row>
    <row r="86">
      <c r="A86" s="107"/>
      <c r="B86" s="107"/>
      <c r="C86" s="124" t="s">
        <v>532</v>
      </c>
      <c r="D86" s="15"/>
      <c r="E86" s="108"/>
      <c r="F86" s="126" t="s">
        <v>530</v>
      </c>
      <c r="G86" s="126" t="s">
        <v>533</v>
      </c>
      <c r="H86" s="126" t="s">
        <v>523</v>
      </c>
      <c r="I86" s="127" t="s">
        <v>36</v>
      </c>
      <c r="J86" s="107"/>
      <c r="K86" s="107"/>
      <c r="L86" s="107"/>
      <c r="M86" s="107"/>
      <c r="N86" s="107"/>
      <c r="O86" s="107"/>
      <c r="P86" s="107"/>
      <c r="Q86" s="107"/>
      <c r="R86" s="107"/>
      <c r="S86" s="107"/>
      <c r="T86" s="107"/>
      <c r="U86" s="107"/>
      <c r="V86" s="107"/>
      <c r="W86" s="107"/>
      <c r="X86" s="107"/>
      <c r="Y86" s="107"/>
      <c r="Z86" s="107"/>
      <c r="AA86" s="107"/>
      <c r="AB86" s="107"/>
      <c r="AC86" s="107"/>
      <c r="AD86" s="107"/>
    </row>
    <row r="87">
      <c r="A87" s="107"/>
      <c r="B87" s="107"/>
      <c r="C87" s="124" t="s">
        <v>534</v>
      </c>
      <c r="D87" s="15"/>
      <c r="E87" s="108"/>
      <c r="F87" s="126" t="s">
        <v>535</v>
      </c>
      <c r="G87" s="126" t="s">
        <v>531</v>
      </c>
      <c r="H87" s="126" t="s">
        <v>520</v>
      </c>
      <c r="I87" s="127" t="s">
        <v>36</v>
      </c>
      <c r="J87" s="107"/>
      <c r="K87" s="107"/>
      <c r="L87" s="107"/>
      <c r="M87" s="107"/>
      <c r="N87" s="107"/>
      <c r="O87" s="107"/>
      <c r="P87" s="107"/>
      <c r="Q87" s="107"/>
      <c r="R87" s="107"/>
      <c r="S87" s="107"/>
      <c r="T87" s="107"/>
      <c r="U87" s="107"/>
      <c r="V87" s="107"/>
      <c r="W87" s="107"/>
      <c r="X87" s="107"/>
      <c r="Y87" s="107"/>
      <c r="Z87" s="107"/>
      <c r="AA87" s="107"/>
      <c r="AB87" s="107"/>
      <c r="AC87" s="107"/>
      <c r="AD87" s="107"/>
    </row>
    <row r="88">
      <c r="A88" s="107"/>
      <c r="B88" s="107"/>
      <c r="C88" s="124" t="s">
        <v>536</v>
      </c>
      <c r="D88" s="15"/>
      <c r="E88" s="109"/>
      <c r="F88" s="126" t="s">
        <v>535</v>
      </c>
      <c r="G88" s="126" t="s">
        <v>533</v>
      </c>
      <c r="H88" s="126" t="s">
        <v>537</v>
      </c>
      <c r="I88" s="127" t="s">
        <v>36</v>
      </c>
      <c r="J88" s="107"/>
      <c r="K88" s="107"/>
      <c r="L88" s="107"/>
      <c r="M88" s="107"/>
      <c r="N88" s="107"/>
      <c r="O88" s="107"/>
      <c r="P88" s="107"/>
      <c r="Q88" s="107"/>
      <c r="R88" s="107"/>
      <c r="S88" s="107"/>
      <c r="T88" s="107"/>
      <c r="U88" s="107"/>
      <c r="V88" s="107"/>
      <c r="W88" s="107"/>
      <c r="X88" s="107"/>
      <c r="Y88" s="107"/>
      <c r="Z88" s="107"/>
      <c r="AA88" s="107"/>
      <c r="AB88" s="107"/>
      <c r="AC88" s="107"/>
      <c r="AD88" s="107"/>
    </row>
    <row r="89">
      <c r="A89" s="107"/>
      <c r="B89" s="107"/>
      <c r="C89" s="124" t="s">
        <v>538</v>
      </c>
      <c r="D89" s="15"/>
      <c r="E89" s="125" t="s">
        <v>167</v>
      </c>
      <c r="F89" s="126" t="s">
        <v>539</v>
      </c>
      <c r="G89" s="126" t="s">
        <v>540</v>
      </c>
      <c r="H89" s="126" t="s">
        <v>541</v>
      </c>
      <c r="I89" s="127" t="s">
        <v>36</v>
      </c>
      <c r="J89" s="107"/>
      <c r="K89" s="107"/>
      <c r="L89" s="107"/>
      <c r="M89" s="107"/>
      <c r="N89" s="107"/>
      <c r="O89" s="107"/>
      <c r="P89" s="107"/>
      <c r="Q89" s="107"/>
      <c r="R89" s="107"/>
      <c r="S89" s="107"/>
      <c r="T89" s="107"/>
      <c r="U89" s="107"/>
      <c r="V89" s="107"/>
      <c r="W89" s="107"/>
      <c r="X89" s="107"/>
      <c r="Y89" s="107"/>
      <c r="Z89" s="107"/>
      <c r="AA89" s="107"/>
      <c r="AB89" s="107"/>
      <c r="AC89" s="107"/>
      <c r="AD89" s="107"/>
    </row>
    <row r="90">
      <c r="A90" s="107"/>
      <c r="B90" s="107"/>
      <c r="C90" s="124" t="s">
        <v>542</v>
      </c>
      <c r="D90" s="15"/>
      <c r="E90" s="108"/>
      <c r="F90" s="126" t="s">
        <v>543</v>
      </c>
      <c r="G90" s="126" t="s">
        <v>544</v>
      </c>
      <c r="H90" s="126" t="s">
        <v>545</v>
      </c>
      <c r="I90" s="127" t="s">
        <v>36</v>
      </c>
      <c r="J90" s="107"/>
      <c r="K90" s="107"/>
      <c r="L90" s="107"/>
      <c r="M90" s="107"/>
      <c r="N90" s="107"/>
      <c r="O90" s="107"/>
      <c r="P90" s="107"/>
      <c r="Q90" s="107"/>
      <c r="R90" s="107"/>
      <c r="S90" s="107"/>
      <c r="T90" s="107"/>
      <c r="U90" s="107"/>
      <c r="V90" s="107"/>
      <c r="W90" s="107"/>
      <c r="X90" s="107"/>
      <c r="Y90" s="107"/>
      <c r="Z90" s="107"/>
      <c r="AA90" s="107"/>
      <c r="AB90" s="107"/>
      <c r="AC90" s="107"/>
      <c r="AD90" s="107"/>
    </row>
    <row r="91">
      <c r="A91" s="107"/>
      <c r="B91" s="107"/>
      <c r="C91" s="124" t="s">
        <v>546</v>
      </c>
      <c r="D91" s="15"/>
      <c r="E91" s="108"/>
      <c r="F91" s="126" t="s">
        <v>547</v>
      </c>
      <c r="G91" s="126" t="s">
        <v>548</v>
      </c>
      <c r="H91" s="126" t="s">
        <v>549</v>
      </c>
      <c r="I91" s="127" t="s">
        <v>36</v>
      </c>
      <c r="J91" s="107"/>
      <c r="K91" s="107"/>
      <c r="L91" s="107"/>
      <c r="M91" s="107"/>
      <c r="N91" s="107"/>
      <c r="O91" s="107"/>
      <c r="P91" s="107"/>
      <c r="Q91" s="107"/>
      <c r="R91" s="107"/>
      <c r="S91" s="107"/>
      <c r="T91" s="107"/>
      <c r="U91" s="107"/>
      <c r="V91" s="107"/>
      <c r="W91" s="107"/>
      <c r="X91" s="107"/>
      <c r="Y91" s="107"/>
      <c r="Z91" s="107"/>
      <c r="AA91" s="107"/>
      <c r="AB91" s="107"/>
      <c r="AC91" s="107"/>
      <c r="AD91" s="107"/>
    </row>
    <row r="92">
      <c r="A92" s="107"/>
      <c r="B92" s="107"/>
      <c r="C92" s="124" t="s">
        <v>550</v>
      </c>
      <c r="D92" s="15"/>
      <c r="E92" s="109"/>
      <c r="F92" s="126" t="s">
        <v>551</v>
      </c>
      <c r="G92" s="126" t="s">
        <v>552</v>
      </c>
      <c r="H92" s="126" t="s">
        <v>553</v>
      </c>
      <c r="I92" s="127" t="s">
        <v>36</v>
      </c>
      <c r="J92" s="107"/>
      <c r="K92" s="107"/>
      <c r="L92" s="107"/>
      <c r="M92" s="107"/>
      <c r="N92" s="107"/>
      <c r="O92" s="107"/>
      <c r="P92" s="107"/>
      <c r="Q92" s="107"/>
      <c r="R92" s="107"/>
      <c r="S92" s="107"/>
      <c r="T92" s="107"/>
      <c r="U92" s="107"/>
      <c r="V92" s="107"/>
      <c r="W92" s="107"/>
      <c r="X92" s="107"/>
      <c r="Y92" s="107"/>
      <c r="Z92" s="107"/>
      <c r="AA92" s="107"/>
      <c r="AB92" s="107"/>
      <c r="AC92" s="107"/>
      <c r="AD92" s="107"/>
    </row>
    <row r="93">
      <c r="A93" s="107"/>
      <c r="B93" s="107"/>
      <c r="C93" s="124" t="s">
        <v>554</v>
      </c>
      <c r="D93" s="15"/>
      <c r="E93" s="125" t="s">
        <v>168</v>
      </c>
      <c r="F93" s="126" t="s">
        <v>555</v>
      </c>
      <c r="G93" s="126" t="s">
        <v>556</v>
      </c>
      <c r="H93" s="126" t="s">
        <v>557</v>
      </c>
      <c r="I93" s="130" t="s">
        <v>317</v>
      </c>
      <c r="J93" s="111" t="s">
        <v>558</v>
      </c>
      <c r="K93" s="107"/>
      <c r="L93" s="107"/>
      <c r="M93" s="107"/>
      <c r="N93" s="107"/>
      <c r="O93" s="107"/>
      <c r="P93" s="107"/>
      <c r="Q93" s="107"/>
      <c r="R93" s="107"/>
      <c r="S93" s="107"/>
      <c r="T93" s="107"/>
      <c r="U93" s="107"/>
      <c r="V93" s="107"/>
      <c r="W93" s="107"/>
      <c r="X93" s="107"/>
      <c r="Y93" s="107"/>
      <c r="Z93" s="107"/>
      <c r="AA93" s="107"/>
      <c r="AB93" s="107"/>
      <c r="AC93" s="107"/>
      <c r="AD93" s="107"/>
    </row>
    <row r="94">
      <c r="A94" s="107"/>
      <c r="B94" s="107"/>
      <c r="C94" s="124" t="s">
        <v>559</v>
      </c>
      <c r="D94" s="15"/>
      <c r="E94" s="108"/>
      <c r="F94" s="126" t="s">
        <v>560</v>
      </c>
      <c r="G94" s="126" t="s">
        <v>561</v>
      </c>
      <c r="H94" s="126" t="s">
        <v>557</v>
      </c>
      <c r="I94" s="127" t="s">
        <v>36</v>
      </c>
      <c r="J94" s="105"/>
      <c r="K94" s="107"/>
      <c r="L94" s="107"/>
      <c r="M94" s="107"/>
      <c r="N94" s="107"/>
      <c r="O94" s="107"/>
      <c r="P94" s="107"/>
      <c r="Q94" s="107"/>
      <c r="R94" s="107"/>
      <c r="S94" s="107"/>
      <c r="T94" s="107"/>
      <c r="U94" s="107"/>
      <c r="V94" s="107"/>
      <c r="W94" s="107"/>
      <c r="X94" s="107"/>
      <c r="Y94" s="107"/>
      <c r="Z94" s="107"/>
      <c r="AA94" s="107"/>
      <c r="AB94" s="107"/>
      <c r="AC94" s="107"/>
      <c r="AD94" s="107"/>
    </row>
    <row r="95">
      <c r="A95" s="107"/>
      <c r="B95" s="107"/>
      <c r="C95" s="124" t="s">
        <v>562</v>
      </c>
      <c r="D95" s="15"/>
      <c r="E95" s="108"/>
      <c r="F95" s="126" t="s">
        <v>563</v>
      </c>
      <c r="G95" s="126" t="s">
        <v>564</v>
      </c>
      <c r="H95" s="126" t="s">
        <v>565</v>
      </c>
      <c r="I95" s="127" t="s">
        <v>36</v>
      </c>
      <c r="J95" s="105"/>
      <c r="K95" s="107"/>
      <c r="L95" s="107"/>
      <c r="M95" s="107"/>
      <c r="N95" s="107"/>
      <c r="O95" s="107"/>
      <c r="P95" s="107"/>
      <c r="Q95" s="107"/>
      <c r="R95" s="107"/>
      <c r="S95" s="107"/>
      <c r="T95" s="107"/>
      <c r="U95" s="107"/>
      <c r="V95" s="107"/>
      <c r="W95" s="107"/>
      <c r="X95" s="107"/>
      <c r="Y95" s="107"/>
      <c r="Z95" s="107"/>
      <c r="AA95" s="107"/>
      <c r="AB95" s="107"/>
      <c r="AC95" s="107"/>
      <c r="AD95" s="107"/>
    </row>
    <row r="96">
      <c r="A96" s="107"/>
      <c r="B96" s="107"/>
      <c r="C96" s="124" t="s">
        <v>566</v>
      </c>
      <c r="D96" s="15"/>
      <c r="E96" s="108"/>
      <c r="F96" s="126" t="s">
        <v>567</v>
      </c>
      <c r="G96" s="126" t="s">
        <v>568</v>
      </c>
      <c r="H96" s="126" t="s">
        <v>569</v>
      </c>
      <c r="I96" s="127" t="s">
        <v>36</v>
      </c>
      <c r="J96" s="105"/>
      <c r="K96" s="107"/>
      <c r="L96" s="107"/>
      <c r="M96" s="107"/>
      <c r="N96" s="107"/>
      <c r="O96" s="107"/>
      <c r="P96" s="107"/>
      <c r="Q96" s="107"/>
      <c r="R96" s="107"/>
      <c r="S96" s="107"/>
      <c r="T96" s="107"/>
      <c r="U96" s="107"/>
      <c r="V96" s="107"/>
      <c r="W96" s="107"/>
      <c r="X96" s="107"/>
      <c r="Y96" s="107"/>
      <c r="Z96" s="107"/>
      <c r="AA96" s="107"/>
      <c r="AB96" s="107"/>
      <c r="AC96" s="107"/>
      <c r="AD96" s="107"/>
    </row>
    <row r="97">
      <c r="A97" s="107"/>
      <c r="B97" s="107"/>
      <c r="C97" s="124" t="s">
        <v>570</v>
      </c>
      <c r="D97" s="15"/>
      <c r="E97" s="108"/>
      <c r="F97" s="126" t="s">
        <v>571</v>
      </c>
      <c r="G97" s="126" t="s">
        <v>572</v>
      </c>
      <c r="H97" s="126" t="s">
        <v>573</v>
      </c>
      <c r="I97" s="127" t="s">
        <v>36</v>
      </c>
      <c r="J97" s="105"/>
      <c r="K97" s="107"/>
      <c r="L97" s="107"/>
      <c r="M97" s="107"/>
      <c r="N97" s="107"/>
      <c r="O97" s="107"/>
      <c r="P97" s="107"/>
      <c r="Q97" s="107"/>
      <c r="R97" s="107"/>
      <c r="S97" s="107"/>
      <c r="T97" s="107"/>
      <c r="U97" s="107"/>
      <c r="V97" s="107"/>
      <c r="W97" s="107"/>
      <c r="X97" s="107"/>
      <c r="Y97" s="107"/>
      <c r="Z97" s="107"/>
      <c r="AA97" s="107"/>
      <c r="AB97" s="107"/>
      <c r="AC97" s="107"/>
      <c r="AD97" s="107"/>
    </row>
    <row r="98">
      <c r="A98" s="107"/>
      <c r="B98" s="107"/>
      <c r="C98" s="124" t="s">
        <v>574</v>
      </c>
      <c r="D98" s="15"/>
      <c r="E98" s="109"/>
      <c r="F98" s="126" t="s">
        <v>575</v>
      </c>
      <c r="G98" s="126" t="s">
        <v>576</v>
      </c>
      <c r="H98" s="126" t="s">
        <v>557</v>
      </c>
      <c r="I98" s="127" t="s">
        <v>36</v>
      </c>
      <c r="J98" s="105"/>
      <c r="K98" s="107"/>
      <c r="L98" s="107"/>
      <c r="M98" s="107"/>
      <c r="N98" s="107"/>
      <c r="O98" s="107"/>
      <c r="P98" s="107"/>
      <c r="Q98" s="107"/>
      <c r="R98" s="107"/>
      <c r="S98" s="107"/>
      <c r="T98" s="107"/>
      <c r="U98" s="107"/>
      <c r="V98" s="107"/>
      <c r="W98" s="107"/>
      <c r="X98" s="107"/>
      <c r="Y98" s="107"/>
      <c r="Z98" s="107"/>
      <c r="AA98" s="107"/>
      <c r="AB98" s="107"/>
      <c r="AC98" s="107"/>
      <c r="AD98" s="107"/>
    </row>
    <row r="99">
      <c r="A99" s="107"/>
      <c r="B99" s="107"/>
      <c r="C99" s="124" t="s">
        <v>577</v>
      </c>
      <c r="D99" s="15"/>
      <c r="E99" s="125" t="s">
        <v>578</v>
      </c>
      <c r="F99" s="126" t="s">
        <v>579</v>
      </c>
      <c r="G99" s="126" t="s">
        <v>580</v>
      </c>
      <c r="H99" s="126" t="s">
        <v>581</v>
      </c>
      <c r="I99" s="127" t="s">
        <v>36</v>
      </c>
      <c r="J99" s="107"/>
      <c r="K99" s="107"/>
      <c r="L99" s="107"/>
      <c r="M99" s="107"/>
      <c r="N99" s="107"/>
      <c r="O99" s="107"/>
      <c r="P99" s="107"/>
      <c r="Q99" s="107"/>
      <c r="R99" s="107"/>
      <c r="S99" s="107"/>
      <c r="T99" s="107"/>
      <c r="U99" s="107"/>
      <c r="V99" s="107"/>
      <c r="W99" s="107"/>
      <c r="X99" s="107"/>
      <c r="Y99" s="107"/>
      <c r="Z99" s="107"/>
      <c r="AA99" s="107"/>
      <c r="AB99" s="107"/>
      <c r="AC99" s="107"/>
      <c r="AD99" s="107"/>
    </row>
    <row r="100">
      <c r="A100" s="107"/>
      <c r="B100" s="107"/>
      <c r="C100" s="124" t="s">
        <v>582</v>
      </c>
      <c r="D100" s="15"/>
      <c r="E100" s="108"/>
      <c r="F100" s="126" t="s">
        <v>583</v>
      </c>
      <c r="G100" s="126" t="s">
        <v>584</v>
      </c>
      <c r="H100" s="126" t="s">
        <v>581</v>
      </c>
      <c r="I100" s="127" t="s">
        <v>36</v>
      </c>
      <c r="J100" s="107"/>
      <c r="K100" s="107"/>
      <c r="L100" s="107"/>
      <c r="M100" s="107"/>
      <c r="N100" s="107"/>
      <c r="O100" s="107"/>
      <c r="P100" s="107"/>
      <c r="Q100" s="107"/>
      <c r="R100" s="107"/>
      <c r="S100" s="107"/>
      <c r="T100" s="107"/>
      <c r="U100" s="107"/>
      <c r="V100" s="107"/>
      <c r="W100" s="107"/>
      <c r="X100" s="107"/>
      <c r="Y100" s="107"/>
      <c r="Z100" s="107"/>
      <c r="AA100" s="107"/>
      <c r="AB100" s="107"/>
      <c r="AC100" s="107"/>
      <c r="AD100" s="107"/>
    </row>
    <row r="101">
      <c r="A101" s="107"/>
      <c r="B101" s="107"/>
      <c r="C101" s="124" t="s">
        <v>585</v>
      </c>
      <c r="D101" s="15"/>
      <c r="E101" s="108"/>
      <c r="F101" s="126" t="s">
        <v>583</v>
      </c>
      <c r="G101" s="126" t="s">
        <v>586</v>
      </c>
      <c r="H101" s="126" t="s">
        <v>587</v>
      </c>
      <c r="I101" s="127" t="s">
        <v>36</v>
      </c>
      <c r="J101" s="107"/>
      <c r="K101" s="107"/>
      <c r="L101" s="107"/>
      <c r="M101" s="107"/>
      <c r="N101" s="107"/>
      <c r="O101" s="107"/>
      <c r="P101" s="107"/>
      <c r="Q101" s="107"/>
      <c r="R101" s="107"/>
      <c r="S101" s="107"/>
      <c r="T101" s="107"/>
      <c r="U101" s="107"/>
      <c r="V101" s="107"/>
      <c r="W101" s="107"/>
      <c r="X101" s="107"/>
      <c r="Y101" s="107"/>
      <c r="Z101" s="107"/>
      <c r="AA101" s="107"/>
      <c r="AB101" s="107"/>
      <c r="AC101" s="107"/>
      <c r="AD101" s="107"/>
    </row>
    <row r="102">
      <c r="A102" s="107"/>
      <c r="B102" s="107"/>
      <c r="C102" s="124" t="s">
        <v>588</v>
      </c>
      <c r="D102" s="15"/>
      <c r="E102" s="108"/>
      <c r="F102" s="126" t="s">
        <v>583</v>
      </c>
      <c r="G102" s="126" t="s">
        <v>173</v>
      </c>
      <c r="H102" s="126" t="s">
        <v>287</v>
      </c>
      <c r="I102" s="127" t="s">
        <v>36</v>
      </c>
      <c r="J102" s="107"/>
      <c r="K102" s="107"/>
      <c r="L102" s="107"/>
      <c r="M102" s="107"/>
      <c r="N102" s="107"/>
      <c r="O102" s="107"/>
      <c r="P102" s="107"/>
      <c r="Q102" s="107"/>
      <c r="R102" s="107"/>
      <c r="S102" s="107"/>
      <c r="T102" s="107"/>
      <c r="U102" s="107"/>
      <c r="V102" s="107"/>
      <c r="W102" s="107"/>
      <c r="X102" s="107"/>
      <c r="Y102" s="107"/>
      <c r="Z102" s="107"/>
      <c r="AA102" s="107"/>
      <c r="AB102" s="107"/>
      <c r="AC102" s="107"/>
      <c r="AD102" s="107"/>
    </row>
    <row r="103">
      <c r="A103" s="107"/>
      <c r="B103" s="107"/>
      <c r="C103" s="124" t="s">
        <v>589</v>
      </c>
      <c r="D103" s="15"/>
      <c r="E103" s="108"/>
      <c r="F103" s="126" t="s">
        <v>583</v>
      </c>
      <c r="G103" s="126" t="s">
        <v>174</v>
      </c>
      <c r="H103" s="126" t="s">
        <v>287</v>
      </c>
      <c r="I103" s="127" t="s">
        <v>36</v>
      </c>
      <c r="J103" s="107"/>
      <c r="K103" s="107"/>
      <c r="L103" s="107"/>
      <c r="M103" s="107"/>
      <c r="N103" s="107"/>
      <c r="O103" s="107"/>
      <c r="P103" s="107"/>
      <c r="Q103" s="107"/>
      <c r="R103" s="107"/>
      <c r="S103" s="107"/>
      <c r="T103" s="107"/>
      <c r="U103" s="107"/>
      <c r="V103" s="107"/>
      <c r="W103" s="107"/>
      <c r="X103" s="107"/>
      <c r="Y103" s="107"/>
      <c r="Z103" s="107"/>
      <c r="AA103" s="107"/>
      <c r="AB103" s="107"/>
      <c r="AC103" s="107"/>
      <c r="AD103" s="107"/>
    </row>
    <row r="104">
      <c r="A104" s="107"/>
      <c r="B104" s="107"/>
      <c r="C104" s="124" t="s">
        <v>590</v>
      </c>
      <c r="D104" s="15"/>
      <c r="E104" s="108"/>
      <c r="F104" s="126" t="s">
        <v>583</v>
      </c>
      <c r="G104" s="126" t="s">
        <v>175</v>
      </c>
      <c r="H104" s="126" t="s">
        <v>591</v>
      </c>
      <c r="I104" s="127" t="s">
        <v>36</v>
      </c>
      <c r="J104" s="107"/>
      <c r="K104" s="107"/>
      <c r="L104" s="107"/>
      <c r="M104" s="107"/>
      <c r="N104" s="107"/>
      <c r="O104" s="107"/>
      <c r="P104" s="107"/>
      <c r="Q104" s="107"/>
      <c r="R104" s="107"/>
      <c r="S104" s="107"/>
      <c r="T104" s="107"/>
      <c r="U104" s="107"/>
      <c r="V104" s="107"/>
      <c r="W104" s="107"/>
      <c r="X104" s="107"/>
      <c r="Y104" s="107"/>
      <c r="Z104" s="107"/>
      <c r="AA104" s="107"/>
      <c r="AB104" s="107"/>
      <c r="AC104" s="107"/>
      <c r="AD104" s="107"/>
    </row>
    <row r="105">
      <c r="A105" s="107"/>
      <c r="B105" s="107"/>
      <c r="C105" s="124" t="s">
        <v>592</v>
      </c>
      <c r="D105" s="15"/>
      <c r="E105" s="108"/>
      <c r="F105" s="126" t="s">
        <v>583</v>
      </c>
      <c r="G105" s="126" t="s">
        <v>593</v>
      </c>
      <c r="H105" s="126" t="s">
        <v>594</v>
      </c>
      <c r="I105" s="127" t="s">
        <v>36</v>
      </c>
      <c r="J105" s="107"/>
      <c r="K105" s="107"/>
      <c r="L105" s="107"/>
      <c r="M105" s="107"/>
      <c r="N105" s="107"/>
      <c r="O105" s="107"/>
      <c r="P105" s="107"/>
      <c r="Q105" s="107"/>
      <c r="R105" s="107"/>
      <c r="S105" s="107"/>
      <c r="T105" s="107"/>
      <c r="U105" s="107"/>
      <c r="V105" s="107"/>
      <c r="W105" s="107"/>
      <c r="X105" s="107"/>
      <c r="Y105" s="107"/>
      <c r="Z105" s="107"/>
      <c r="AA105" s="107"/>
      <c r="AB105" s="107"/>
      <c r="AC105" s="107"/>
      <c r="AD105" s="107"/>
    </row>
    <row r="106">
      <c r="A106" s="107"/>
      <c r="B106" s="107"/>
      <c r="C106" s="124" t="s">
        <v>595</v>
      </c>
      <c r="D106" s="15"/>
      <c r="E106" s="108"/>
      <c r="F106" s="126" t="s">
        <v>583</v>
      </c>
      <c r="G106" s="126" t="s">
        <v>596</v>
      </c>
      <c r="H106" s="126" t="s">
        <v>597</v>
      </c>
      <c r="I106" s="130" t="s">
        <v>317</v>
      </c>
      <c r="J106" s="132" t="s">
        <v>598</v>
      </c>
      <c r="K106" s="107"/>
      <c r="L106" s="107"/>
      <c r="M106" s="107"/>
      <c r="N106" s="107"/>
      <c r="O106" s="107"/>
      <c r="P106" s="107"/>
      <c r="Q106" s="107"/>
      <c r="R106" s="107"/>
      <c r="S106" s="107"/>
      <c r="T106" s="107"/>
      <c r="U106" s="107"/>
      <c r="V106" s="107"/>
      <c r="W106" s="107"/>
      <c r="X106" s="107"/>
      <c r="Y106" s="107"/>
      <c r="Z106" s="107"/>
      <c r="AA106" s="107"/>
      <c r="AB106" s="107"/>
      <c r="AC106" s="107"/>
      <c r="AD106" s="107"/>
    </row>
    <row r="107">
      <c r="A107" s="107"/>
      <c r="B107" s="107"/>
      <c r="C107" s="124" t="s">
        <v>599</v>
      </c>
      <c r="D107" s="15"/>
      <c r="E107" s="108"/>
      <c r="F107" s="126" t="s">
        <v>583</v>
      </c>
      <c r="G107" s="129" t="s">
        <v>600</v>
      </c>
      <c r="H107" s="126" t="s">
        <v>601</v>
      </c>
      <c r="I107" s="127" t="s">
        <v>36</v>
      </c>
      <c r="J107" s="107"/>
      <c r="K107" s="107"/>
      <c r="L107" s="107"/>
      <c r="M107" s="107"/>
      <c r="N107" s="107"/>
      <c r="O107" s="107"/>
      <c r="P107" s="107"/>
      <c r="Q107" s="107"/>
      <c r="R107" s="107"/>
      <c r="S107" s="107"/>
      <c r="T107" s="107"/>
      <c r="U107" s="107"/>
      <c r="V107" s="107"/>
      <c r="W107" s="107"/>
      <c r="X107" s="107"/>
      <c r="Y107" s="107"/>
      <c r="Z107" s="107"/>
      <c r="AA107" s="107"/>
      <c r="AB107" s="107"/>
      <c r="AC107" s="107"/>
      <c r="AD107" s="107"/>
    </row>
    <row r="108">
      <c r="A108" s="107"/>
      <c r="B108" s="107"/>
      <c r="C108" s="124" t="s">
        <v>602</v>
      </c>
      <c r="D108" s="15"/>
      <c r="E108" s="109"/>
      <c r="F108" s="126" t="s">
        <v>603</v>
      </c>
      <c r="G108" s="126" t="s">
        <v>178</v>
      </c>
      <c r="H108" s="126" t="s">
        <v>604</v>
      </c>
      <c r="I108" s="130" t="s">
        <v>317</v>
      </c>
      <c r="J108" s="128" t="s">
        <v>605</v>
      </c>
      <c r="K108" s="107"/>
      <c r="L108" s="107"/>
      <c r="M108" s="107"/>
      <c r="N108" s="107"/>
      <c r="O108" s="107"/>
      <c r="P108" s="107"/>
      <c r="Q108" s="107"/>
      <c r="R108" s="107"/>
      <c r="S108" s="107"/>
      <c r="T108" s="107"/>
      <c r="U108" s="107"/>
      <c r="V108" s="107"/>
      <c r="W108" s="107"/>
      <c r="X108" s="107"/>
      <c r="Y108" s="107"/>
      <c r="Z108" s="107"/>
      <c r="AA108" s="107"/>
      <c r="AB108" s="107"/>
      <c r="AC108" s="107"/>
      <c r="AD108" s="107"/>
    </row>
    <row r="109">
      <c r="A109" s="107"/>
      <c r="B109" s="107"/>
      <c r="C109" s="124" t="s">
        <v>606</v>
      </c>
      <c r="D109" s="15"/>
      <c r="E109" s="133" t="s">
        <v>607</v>
      </c>
      <c r="F109" s="126" t="s">
        <v>608</v>
      </c>
      <c r="G109" s="126" t="s">
        <v>609</v>
      </c>
      <c r="H109" s="126" t="s">
        <v>610</v>
      </c>
      <c r="I109" s="127" t="s">
        <v>36</v>
      </c>
      <c r="J109" s="107"/>
      <c r="K109" s="107"/>
      <c r="L109" s="107"/>
      <c r="M109" s="107"/>
      <c r="N109" s="107"/>
      <c r="O109" s="107"/>
      <c r="P109" s="107"/>
      <c r="Q109" s="107"/>
      <c r="R109" s="107"/>
      <c r="S109" s="107"/>
      <c r="T109" s="107"/>
      <c r="U109" s="107"/>
      <c r="V109" s="107"/>
      <c r="W109" s="107"/>
      <c r="X109" s="107"/>
      <c r="Y109" s="107"/>
      <c r="Z109" s="107"/>
      <c r="AA109" s="107"/>
      <c r="AB109" s="107"/>
      <c r="AC109" s="107"/>
      <c r="AD109" s="107"/>
    </row>
    <row r="110">
      <c r="A110" s="107"/>
      <c r="B110" s="107"/>
      <c r="C110" s="124" t="s">
        <v>611</v>
      </c>
      <c r="D110" s="15"/>
      <c r="E110" s="108"/>
      <c r="F110" s="126" t="s">
        <v>612</v>
      </c>
      <c r="G110" s="126" t="s">
        <v>613</v>
      </c>
      <c r="H110" s="126" t="s">
        <v>610</v>
      </c>
      <c r="I110" s="127" t="s">
        <v>36</v>
      </c>
      <c r="J110" s="107"/>
      <c r="K110" s="107"/>
      <c r="L110" s="107"/>
      <c r="M110" s="107"/>
      <c r="N110" s="107"/>
      <c r="O110" s="107"/>
      <c r="P110" s="107"/>
      <c r="Q110" s="107"/>
      <c r="R110" s="107"/>
      <c r="S110" s="107"/>
      <c r="T110" s="107"/>
      <c r="U110" s="107"/>
      <c r="V110" s="107"/>
      <c r="W110" s="107"/>
      <c r="X110" s="107"/>
      <c r="Y110" s="107"/>
      <c r="Z110" s="107"/>
      <c r="AA110" s="107"/>
      <c r="AB110" s="107"/>
      <c r="AC110" s="107"/>
      <c r="AD110" s="107"/>
    </row>
    <row r="111">
      <c r="A111" s="107"/>
      <c r="B111" s="107"/>
      <c r="C111" s="124" t="s">
        <v>614</v>
      </c>
      <c r="D111" s="15"/>
      <c r="E111" s="109"/>
      <c r="F111" s="126" t="s">
        <v>615</v>
      </c>
      <c r="G111" s="126" t="s">
        <v>616</v>
      </c>
      <c r="H111" s="126" t="s">
        <v>610</v>
      </c>
      <c r="I111" s="127" t="s">
        <v>36</v>
      </c>
      <c r="J111" s="107"/>
      <c r="K111" s="107"/>
      <c r="L111" s="107"/>
      <c r="M111" s="107"/>
      <c r="N111" s="107"/>
      <c r="O111" s="107"/>
      <c r="P111" s="107"/>
      <c r="Q111" s="107"/>
      <c r="R111" s="107"/>
      <c r="S111" s="107"/>
      <c r="T111" s="107"/>
      <c r="U111" s="107"/>
      <c r="V111" s="107"/>
      <c r="W111" s="107"/>
      <c r="X111" s="107"/>
      <c r="Y111" s="107"/>
      <c r="Z111" s="107"/>
      <c r="AA111" s="107"/>
      <c r="AB111" s="107"/>
      <c r="AC111" s="107"/>
      <c r="AD111" s="107"/>
    </row>
    <row r="112">
      <c r="A112" s="107"/>
      <c r="B112" s="107"/>
      <c r="C112" s="124" t="s">
        <v>617</v>
      </c>
      <c r="D112" s="15"/>
      <c r="E112" s="133" t="s">
        <v>180</v>
      </c>
      <c r="F112" s="126" t="s">
        <v>603</v>
      </c>
      <c r="G112" s="126" t="s">
        <v>618</v>
      </c>
      <c r="H112" s="126" t="s">
        <v>345</v>
      </c>
      <c r="I112" s="127" t="s">
        <v>36</v>
      </c>
      <c r="J112" s="111"/>
      <c r="K112" s="107"/>
      <c r="L112" s="107"/>
      <c r="M112" s="107"/>
      <c r="N112" s="107"/>
      <c r="O112" s="107"/>
      <c r="P112" s="107"/>
      <c r="Q112" s="107"/>
      <c r="R112" s="107"/>
      <c r="S112" s="107"/>
      <c r="T112" s="107"/>
      <c r="U112" s="107"/>
      <c r="V112" s="107"/>
      <c r="W112" s="107"/>
      <c r="X112" s="107"/>
      <c r="Y112" s="107"/>
      <c r="Z112" s="107"/>
      <c r="AA112" s="107"/>
      <c r="AB112" s="107"/>
      <c r="AC112" s="107"/>
      <c r="AD112" s="107"/>
    </row>
    <row r="113">
      <c r="A113" s="107"/>
      <c r="B113" s="107"/>
      <c r="C113" s="124" t="s">
        <v>619</v>
      </c>
      <c r="D113" s="15"/>
      <c r="E113" s="108"/>
      <c r="F113" s="126" t="s">
        <v>603</v>
      </c>
      <c r="G113" s="126" t="s">
        <v>620</v>
      </c>
      <c r="H113" s="126" t="s">
        <v>621</v>
      </c>
      <c r="I113" s="127" t="s">
        <v>36</v>
      </c>
      <c r="J113" s="111"/>
      <c r="K113" s="107"/>
      <c r="L113" s="107"/>
      <c r="M113" s="107"/>
      <c r="N113" s="107"/>
      <c r="O113" s="107"/>
      <c r="P113" s="107"/>
      <c r="Q113" s="107"/>
      <c r="R113" s="107"/>
      <c r="S113" s="107"/>
      <c r="T113" s="107"/>
      <c r="U113" s="107"/>
      <c r="V113" s="107"/>
      <c r="W113" s="107"/>
      <c r="X113" s="107"/>
      <c r="Y113" s="107"/>
      <c r="Z113" s="107"/>
      <c r="AA113" s="107"/>
      <c r="AB113" s="107"/>
      <c r="AC113" s="107"/>
      <c r="AD113" s="107"/>
    </row>
    <row r="114">
      <c r="A114" s="107"/>
      <c r="B114" s="107"/>
      <c r="C114" s="124" t="s">
        <v>622</v>
      </c>
      <c r="D114" s="15"/>
      <c r="E114" s="109"/>
      <c r="F114" s="126" t="s">
        <v>623</v>
      </c>
      <c r="G114" s="126" t="s">
        <v>358</v>
      </c>
      <c r="H114" s="126" t="s">
        <v>624</v>
      </c>
      <c r="I114" s="127" t="s">
        <v>36</v>
      </c>
      <c r="J114" s="111"/>
      <c r="K114" s="107"/>
      <c r="L114" s="107"/>
      <c r="M114" s="107"/>
      <c r="N114" s="107"/>
      <c r="O114" s="107"/>
      <c r="P114" s="107"/>
      <c r="Q114" s="107"/>
      <c r="R114" s="107"/>
      <c r="S114" s="107"/>
      <c r="T114" s="107"/>
      <c r="U114" s="107"/>
      <c r="V114" s="107"/>
      <c r="W114" s="107"/>
      <c r="X114" s="107"/>
      <c r="Y114" s="107"/>
      <c r="Z114" s="107"/>
      <c r="AA114" s="107"/>
      <c r="AB114" s="107"/>
      <c r="AC114" s="107"/>
      <c r="AD114" s="107"/>
    </row>
    <row r="115">
      <c r="A115" s="107"/>
      <c r="B115" s="107"/>
      <c r="C115" s="124" t="s">
        <v>625</v>
      </c>
      <c r="D115" s="15"/>
      <c r="E115" s="133" t="s">
        <v>626</v>
      </c>
      <c r="F115" s="129" t="s">
        <v>627</v>
      </c>
      <c r="G115" s="129" t="s">
        <v>628</v>
      </c>
      <c r="H115" s="129" t="s">
        <v>629</v>
      </c>
      <c r="I115" s="130" t="s">
        <v>304</v>
      </c>
      <c r="J115" s="128" t="s">
        <v>630</v>
      </c>
      <c r="K115" s="107"/>
      <c r="L115" s="107"/>
      <c r="M115" s="107"/>
      <c r="N115" s="107"/>
      <c r="O115" s="107"/>
      <c r="P115" s="107"/>
      <c r="Q115" s="107"/>
      <c r="R115" s="107"/>
      <c r="S115" s="107"/>
      <c r="T115" s="107"/>
      <c r="U115" s="107"/>
      <c r="V115" s="107"/>
      <c r="W115" s="107"/>
      <c r="X115" s="107"/>
      <c r="Y115" s="107"/>
      <c r="Z115" s="107"/>
      <c r="AA115" s="107"/>
      <c r="AB115" s="107"/>
      <c r="AC115" s="107"/>
      <c r="AD115" s="107"/>
    </row>
    <row r="116">
      <c r="A116" s="107"/>
      <c r="B116" s="107"/>
      <c r="C116" s="124" t="s">
        <v>631</v>
      </c>
      <c r="D116" s="15"/>
      <c r="E116" s="108"/>
      <c r="F116" s="129" t="s">
        <v>632</v>
      </c>
      <c r="G116" s="129" t="s">
        <v>633</v>
      </c>
      <c r="H116" s="129" t="s">
        <v>634</v>
      </c>
      <c r="I116" s="130" t="s">
        <v>304</v>
      </c>
      <c r="J116" s="128" t="s">
        <v>630</v>
      </c>
      <c r="K116" s="107"/>
      <c r="L116" s="107"/>
      <c r="M116" s="107"/>
      <c r="N116" s="107"/>
      <c r="O116" s="107"/>
      <c r="P116" s="107"/>
      <c r="Q116" s="107"/>
      <c r="R116" s="107"/>
      <c r="S116" s="107"/>
      <c r="T116" s="107"/>
      <c r="U116" s="107"/>
      <c r="V116" s="107"/>
      <c r="W116" s="107"/>
      <c r="X116" s="107"/>
      <c r="Y116" s="107"/>
      <c r="Z116" s="107"/>
      <c r="AA116" s="107"/>
      <c r="AB116" s="107"/>
      <c r="AC116" s="107"/>
      <c r="AD116" s="107"/>
    </row>
    <row r="117">
      <c r="A117" s="107"/>
      <c r="B117" s="107"/>
      <c r="C117" s="124" t="s">
        <v>635</v>
      </c>
      <c r="D117" s="15"/>
      <c r="E117" s="109"/>
      <c r="F117" s="129" t="s">
        <v>632</v>
      </c>
      <c r="G117" s="129" t="s">
        <v>636</v>
      </c>
      <c r="H117" s="129" t="s">
        <v>637</v>
      </c>
      <c r="I117" s="130" t="s">
        <v>304</v>
      </c>
      <c r="J117" s="128" t="s">
        <v>630</v>
      </c>
      <c r="K117" s="107"/>
      <c r="L117" s="107"/>
      <c r="M117" s="107"/>
      <c r="N117" s="107"/>
      <c r="O117" s="107"/>
      <c r="P117" s="107"/>
      <c r="Q117" s="107"/>
      <c r="R117" s="107"/>
      <c r="S117" s="107"/>
      <c r="T117" s="107"/>
      <c r="U117" s="107"/>
      <c r="V117" s="107"/>
      <c r="W117" s="107"/>
      <c r="X117" s="107"/>
      <c r="Y117" s="107"/>
      <c r="Z117" s="107"/>
      <c r="AA117" s="107"/>
      <c r="AB117" s="107"/>
      <c r="AC117" s="107"/>
      <c r="AD117" s="107"/>
    </row>
    <row r="118">
      <c r="A118" s="107"/>
      <c r="B118" s="107"/>
      <c r="C118" s="124" t="s">
        <v>638</v>
      </c>
      <c r="D118" s="15"/>
      <c r="E118" s="133" t="s">
        <v>639</v>
      </c>
      <c r="F118" s="126" t="s">
        <v>640</v>
      </c>
      <c r="G118" s="129" t="s">
        <v>641</v>
      </c>
      <c r="H118" s="126" t="s">
        <v>642</v>
      </c>
      <c r="I118" s="127" t="s">
        <v>36</v>
      </c>
      <c r="J118" s="107"/>
      <c r="K118" s="107"/>
      <c r="L118" s="107"/>
      <c r="M118" s="107"/>
      <c r="N118" s="107"/>
      <c r="O118" s="107"/>
      <c r="P118" s="107"/>
      <c r="Q118" s="107"/>
      <c r="R118" s="107"/>
      <c r="S118" s="107"/>
      <c r="T118" s="107"/>
      <c r="U118" s="107"/>
      <c r="V118" s="107"/>
      <c r="W118" s="107"/>
      <c r="X118" s="107"/>
      <c r="Y118" s="107"/>
      <c r="Z118" s="107"/>
      <c r="AA118" s="107"/>
      <c r="AB118" s="107"/>
      <c r="AC118" s="107"/>
      <c r="AD118" s="107"/>
    </row>
    <row r="119">
      <c r="A119" s="107"/>
      <c r="B119" s="107"/>
      <c r="C119" s="124" t="s">
        <v>643</v>
      </c>
      <c r="D119" s="15"/>
      <c r="E119" s="108"/>
      <c r="F119" s="126" t="s">
        <v>307</v>
      </c>
      <c r="G119" s="129" t="s">
        <v>644</v>
      </c>
      <c r="H119" s="136" t="s">
        <v>645</v>
      </c>
      <c r="I119" s="127" t="s">
        <v>36</v>
      </c>
      <c r="J119" s="107"/>
      <c r="K119" s="107"/>
      <c r="L119" s="107"/>
      <c r="M119" s="107"/>
      <c r="N119" s="107"/>
      <c r="O119" s="107"/>
      <c r="P119" s="107"/>
      <c r="Q119" s="107"/>
      <c r="R119" s="107"/>
      <c r="S119" s="107"/>
      <c r="T119" s="107"/>
      <c r="U119" s="107"/>
      <c r="V119" s="107"/>
      <c r="W119" s="107"/>
      <c r="X119" s="107"/>
      <c r="Y119" s="107"/>
      <c r="Z119" s="107"/>
      <c r="AA119" s="107"/>
      <c r="AB119" s="107"/>
      <c r="AC119" s="107"/>
      <c r="AD119" s="107"/>
    </row>
    <row r="120">
      <c r="A120" s="107"/>
      <c r="B120" s="107"/>
      <c r="C120" s="124" t="s">
        <v>646</v>
      </c>
      <c r="D120" s="15"/>
      <c r="E120" s="108"/>
      <c r="F120" s="126" t="s">
        <v>307</v>
      </c>
      <c r="G120" s="126" t="s">
        <v>647</v>
      </c>
      <c r="H120" s="129" t="s">
        <v>648</v>
      </c>
      <c r="I120" s="130" t="s">
        <v>36</v>
      </c>
      <c r="J120" s="107"/>
      <c r="K120" s="107"/>
      <c r="L120" s="107"/>
      <c r="M120" s="107"/>
      <c r="N120" s="107"/>
      <c r="O120" s="107"/>
      <c r="P120" s="107"/>
      <c r="Q120" s="107"/>
      <c r="R120" s="107"/>
      <c r="S120" s="107"/>
      <c r="T120" s="107"/>
      <c r="U120" s="107"/>
      <c r="V120" s="107"/>
      <c r="W120" s="107"/>
      <c r="X120" s="107"/>
      <c r="Y120" s="107"/>
      <c r="Z120" s="107"/>
      <c r="AA120" s="107"/>
      <c r="AB120" s="107"/>
      <c r="AC120" s="107"/>
      <c r="AD120" s="107"/>
    </row>
    <row r="121">
      <c r="A121" s="107"/>
      <c r="B121" s="107"/>
      <c r="C121" s="124" t="s">
        <v>649</v>
      </c>
      <c r="D121" s="15"/>
      <c r="E121" s="108"/>
      <c r="F121" s="126" t="s">
        <v>650</v>
      </c>
      <c r="G121" s="129" t="s">
        <v>651</v>
      </c>
      <c r="H121" s="126" t="s">
        <v>652</v>
      </c>
      <c r="I121" s="127" t="s">
        <v>36</v>
      </c>
      <c r="J121" s="107"/>
      <c r="K121" s="107"/>
      <c r="L121" s="107"/>
      <c r="M121" s="107"/>
      <c r="N121" s="107"/>
      <c r="O121" s="107"/>
      <c r="P121" s="107"/>
      <c r="Q121" s="107"/>
      <c r="R121" s="107"/>
      <c r="S121" s="107"/>
      <c r="T121" s="107"/>
      <c r="U121" s="107"/>
      <c r="V121" s="107"/>
      <c r="W121" s="107"/>
      <c r="X121" s="107"/>
      <c r="Y121" s="107"/>
      <c r="Z121" s="107"/>
      <c r="AA121" s="107"/>
      <c r="AB121" s="107"/>
      <c r="AC121" s="107"/>
      <c r="AD121" s="107"/>
    </row>
    <row r="122">
      <c r="A122" s="107"/>
      <c r="B122" s="107"/>
      <c r="C122" s="124" t="s">
        <v>653</v>
      </c>
      <c r="D122" s="15"/>
      <c r="E122" s="108"/>
      <c r="F122" s="126" t="s">
        <v>654</v>
      </c>
      <c r="G122" s="129" t="s">
        <v>655</v>
      </c>
      <c r="H122" s="126" t="s">
        <v>656</v>
      </c>
      <c r="I122" s="130" t="s">
        <v>317</v>
      </c>
      <c r="J122" s="107"/>
      <c r="K122" s="107"/>
      <c r="L122" s="107"/>
      <c r="M122" s="107"/>
      <c r="N122" s="107"/>
      <c r="O122" s="107"/>
      <c r="P122" s="107"/>
      <c r="Q122" s="107"/>
      <c r="R122" s="107"/>
      <c r="S122" s="107"/>
      <c r="T122" s="107"/>
      <c r="U122" s="107"/>
      <c r="V122" s="107"/>
      <c r="W122" s="107"/>
      <c r="X122" s="107"/>
      <c r="Y122" s="107"/>
      <c r="Z122" s="107"/>
      <c r="AA122" s="107"/>
      <c r="AB122" s="107"/>
      <c r="AC122" s="107"/>
      <c r="AD122" s="107"/>
    </row>
    <row r="123">
      <c r="A123" s="107"/>
      <c r="B123" s="107"/>
      <c r="C123" s="124" t="s">
        <v>657</v>
      </c>
      <c r="D123" s="15"/>
      <c r="E123" s="108"/>
      <c r="F123" s="126" t="s">
        <v>654</v>
      </c>
      <c r="G123" s="129" t="s">
        <v>658</v>
      </c>
      <c r="H123" s="126" t="s">
        <v>659</v>
      </c>
      <c r="I123" s="130" t="s">
        <v>317</v>
      </c>
      <c r="J123" s="107"/>
      <c r="K123" s="107"/>
      <c r="L123" s="107"/>
      <c r="M123" s="107"/>
      <c r="N123" s="107"/>
      <c r="O123" s="107"/>
      <c r="P123" s="107"/>
      <c r="Q123" s="107"/>
      <c r="R123" s="107"/>
      <c r="S123" s="107"/>
      <c r="T123" s="107"/>
      <c r="U123" s="107"/>
      <c r="V123" s="107"/>
      <c r="W123" s="107"/>
      <c r="X123" s="107"/>
      <c r="Y123" s="107"/>
      <c r="Z123" s="107"/>
      <c r="AA123" s="107"/>
      <c r="AB123" s="107"/>
      <c r="AC123" s="107"/>
      <c r="AD123" s="107"/>
    </row>
    <row r="124">
      <c r="A124" s="107"/>
      <c r="B124" s="107"/>
      <c r="C124" s="124" t="s">
        <v>660</v>
      </c>
      <c r="D124" s="15"/>
      <c r="E124" s="108"/>
      <c r="F124" s="126" t="s">
        <v>661</v>
      </c>
      <c r="G124" s="129" t="s">
        <v>662</v>
      </c>
      <c r="H124" s="126" t="s">
        <v>663</v>
      </c>
      <c r="I124" s="127" t="s">
        <v>36</v>
      </c>
      <c r="J124" s="107"/>
      <c r="K124" s="107"/>
      <c r="L124" s="107"/>
      <c r="M124" s="107"/>
      <c r="N124" s="107"/>
      <c r="O124" s="107"/>
      <c r="P124" s="107"/>
      <c r="Q124" s="107"/>
      <c r="R124" s="107"/>
      <c r="S124" s="107"/>
      <c r="T124" s="107"/>
      <c r="U124" s="107"/>
      <c r="V124" s="107"/>
      <c r="W124" s="107"/>
      <c r="X124" s="107"/>
      <c r="Y124" s="107"/>
      <c r="Z124" s="107"/>
      <c r="AA124" s="107"/>
      <c r="AB124" s="107"/>
      <c r="AC124" s="107"/>
      <c r="AD124" s="107"/>
    </row>
    <row r="125">
      <c r="A125" s="107"/>
      <c r="B125" s="107"/>
      <c r="C125" s="124" t="s">
        <v>664</v>
      </c>
      <c r="D125" s="15"/>
      <c r="E125" s="108"/>
      <c r="F125" s="126" t="s">
        <v>661</v>
      </c>
      <c r="G125" s="129" t="s">
        <v>665</v>
      </c>
      <c r="H125" s="129" t="s">
        <v>666</v>
      </c>
      <c r="I125" s="127" t="s">
        <v>36</v>
      </c>
      <c r="J125" s="107"/>
      <c r="K125" s="107"/>
      <c r="L125" s="107"/>
      <c r="M125" s="107"/>
      <c r="N125" s="107"/>
      <c r="O125" s="107"/>
      <c r="P125" s="107"/>
      <c r="Q125" s="107"/>
      <c r="R125" s="107"/>
      <c r="S125" s="107"/>
      <c r="T125" s="107"/>
      <c r="U125" s="107"/>
      <c r="V125" s="107"/>
      <c r="W125" s="107"/>
      <c r="X125" s="107"/>
      <c r="Y125" s="107"/>
      <c r="Z125" s="107"/>
      <c r="AA125" s="107"/>
      <c r="AB125" s="107"/>
      <c r="AC125" s="107"/>
      <c r="AD125" s="107"/>
    </row>
    <row r="126">
      <c r="A126" s="107"/>
      <c r="B126" s="107"/>
      <c r="C126" s="124" t="s">
        <v>667</v>
      </c>
      <c r="D126" s="15"/>
      <c r="E126" s="108"/>
      <c r="F126" s="129" t="s">
        <v>668</v>
      </c>
      <c r="G126" s="129" t="s">
        <v>669</v>
      </c>
      <c r="H126" s="129" t="s">
        <v>670</v>
      </c>
      <c r="I126" s="127" t="s">
        <v>36</v>
      </c>
      <c r="J126" s="107"/>
      <c r="K126" s="107"/>
      <c r="L126" s="107"/>
      <c r="M126" s="107"/>
      <c r="N126" s="107"/>
      <c r="O126" s="107"/>
      <c r="P126" s="107"/>
      <c r="Q126" s="107"/>
      <c r="R126" s="107"/>
      <c r="S126" s="107"/>
      <c r="T126" s="107"/>
      <c r="U126" s="107"/>
      <c r="V126" s="107"/>
      <c r="W126" s="107"/>
      <c r="X126" s="107"/>
      <c r="Y126" s="107"/>
      <c r="Z126" s="107"/>
      <c r="AA126" s="107"/>
      <c r="AB126" s="107"/>
      <c r="AC126" s="107"/>
      <c r="AD126" s="107"/>
    </row>
    <row r="127">
      <c r="A127" s="107"/>
      <c r="B127" s="107"/>
      <c r="C127" s="124" t="s">
        <v>671</v>
      </c>
      <c r="D127" s="15"/>
      <c r="E127" s="108"/>
      <c r="F127" s="129" t="s">
        <v>668</v>
      </c>
      <c r="G127" s="129" t="s">
        <v>672</v>
      </c>
      <c r="H127" s="129" t="s">
        <v>673</v>
      </c>
      <c r="I127" s="127" t="s">
        <v>36</v>
      </c>
      <c r="J127" s="107"/>
      <c r="K127" s="107"/>
      <c r="L127" s="107"/>
      <c r="M127" s="107"/>
      <c r="N127" s="107"/>
      <c r="O127" s="107"/>
      <c r="P127" s="107"/>
      <c r="Q127" s="107"/>
      <c r="R127" s="107"/>
      <c r="S127" s="107"/>
      <c r="T127" s="107"/>
      <c r="U127" s="107"/>
      <c r="V127" s="107"/>
      <c r="W127" s="107"/>
      <c r="X127" s="107"/>
      <c r="Y127" s="107"/>
      <c r="Z127" s="107"/>
      <c r="AA127" s="107"/>
      <c r="AB127" s="107"/>
      <c r="AC127" s="107"/>
      <c r="AD127" s="107"/>
    </row>
    <row r="128">
      <c r="A128" s="107"/>
      <c r="B128" s="107"/>
      <c r="C128" s="124" t="s">
        <v>674</v>
      </c>
      <c r="D128" s="15"/>
      <c r="E128" s="109"/>
      <c r="F128" s="137" t="s">
        <v>654</v>
      </c>
      <c r="G128" s="137" t="s">
        <v>675</v>
      </c>
      <c r="H128" s="137" t="s">
        <v>659</v>
      </c>
      <c r="I128" s="127" t="s">
        <v>36</v>
      </c>
      <c r="J128" s="107"/>
      <c r="K128" s="107"/>
      <c r="L128" s="107"/>
      <c r="M128" s="107"/>
      <c r="N128" s="107"/>
      <c r="O128" s="107"/>
      <c r="P128" s="107"/>
      <c r="Q128" s="107"/>
      <c r="R128" s="107"/>
      <c r="S128" s="107"/>
      <c r="T128" s="107"/>
      <c r="U128" s="107"/>
      <c r="V128" s="107"/>
      <c r="W128" s="107"/>
      <c r="X128" s="107"/>
      <c r="Y128" s="107"/>
      <c r="Z128" s="107"/>
      <c r="AA128" s="107"/>
      <c r="AB128" s="107"/>
      <c r="AC128" s="107"/>
      <c r="AD128" s="107"/>
    </row>
    <row r="129">
      <c r="A129" s="107"/>
      <c r="B129" s="107"/>
      <c r="C129" s="124" t="s">
        <v>676</v>
      </c>
      <c r="D129" s="15"/>
      <c r="E129" s="133" t="s">
        <v>183</v>
      </c>
      <c r="F129" s="126" t="s">
        <v>677</v>
      </c>
      <c r="G129" s="126" t="s">
        <v>678</v>
      </c>
      <c r="H129" s="126" t="s">
        <v>520</v>
      </c>
      <c r="I129" s="127" t="s">
        <v>36</v>
      </c>
      <c r="J129" s="107"/>
      <c r="K129" s="107"/>
      <c r="L129" s="107"/>
      <c r="M129" s="107"/>
      <c r="N129" s="107"/>
      <c r="O129" s="107"/>
      <c r="P129" s="107"/>
      <c r="Q129" s="107"/>
      <c r="R129" s="107"/>
      <c r="S129" s="107"/>
      <c r="T129" s="107"/>
      <c r="U129" s="107"/>
      <c r="V129" s="107"/>
      <c r="W129" s="107"/>
      <c r="X129" s="107"/>
      <c r="Y129" s="107"/>
      <c r="Z129" s="107"/>
      <c r="AA129" s="107"/>
      <c r="AB129" s="107"/>
      <c r="AC129" s="107"/>
      <c r="AD129" s="107"/>
    </row>
    <row r="130">
      <c r="A130" s="107"/>
      <c r="B130" s="107"/>
      <c r="C130" s="124" t="s">
        <v>679</v>
      </c>
      <c r="D130" s="15"/>
      <c r="E130" s="108"/>
      <c r="F130" s="126" t="s">
        <v>677</v>
      </c>
      <c r="G130" s="126" t="s">
        <v>680</v>
      </c>
      <c r="H130" s="126" t="s">
        <v>681</v>
      </c>
      <c r="I130" s="127" t="s">
        <v>36</v>
      </c>
      <c r="J130" s="107"/>
      <c r="K130" s="107"/>
      <c r="L130" s="107"/>
      <c r="M130" s="107"/>
      <c r="N130" s="107"/>
      <c r="O130" s="107"/>
      <c r="P130" s="107"/>
      <c r="Q130" s="107"/>
      <c r="R130" s="107"/>
      <c r="S130" s="107"/>
      <c r="T130" s="107"/>
      <c r="U130" s="107"/>
      <c r="V130" s="107"/>
      <c r="W130" s="107"/>
      <c r="X130" s="107"/>
      <c r="Y130" s="107"/>
      <c r="Z130" s="107"/>
      <c r="AA130" s="107"/>
      <c r="AB130" s="107"/>
      <c r="AC130" s="107"/>
      <c r="AD130" s="107"/>
    </row>
    <row r="131">
      <c r="A131" s="107"/>
      <c r="B131" s="107"/>
      <c r="C131" s="124" t="s">
        <v>682</v>
      </c>
      <c r="D131" s="15"/>
      <c r="E131" s="109"/>
      <c r="F131" s="126" t="s">
        <v>683</v>
      </c>
      <c r="G131" s="126" t="s">
        <v>684</v>
      </c>
      <c r="H131" s="126" t="s">
        <v>685</v>
      </c>
      <c r="I131" s="127" t="s">
        <v>36</v>
      </c>
      <c r="J131" s="107"/>
      <c r="K131" s="107"/>
      <c r="L131" s="107"/>
      <c r="M131" s="107"/>
      <c r="N131" s="107"/>
      <c r="O131" s="107"/>
      <c r="P131" s="107"/>
      <c r="Q131" s="107"/>
      <c r="R131" s="107"/>
      <c r="S131" s="107"/>
      <c r="T131" s="107"/>
      <c r="U131" s="107"/>
      <c r="V131" s="107"/>
      <c r="W131" s="107"/>
      <c r="X131" s="107"/>
      <c r="Y131" s="107"/>
      <c r="Z131" s="107"/>
      <c r="AA131" s="107"/>
      <c r="AB131" s="107"/>
      <c r="AC131" s="107"/>
      <c r="AD131" s="107"/>
    </row>
    <row r="132">
      <c r="A132" s="107"/>
      <c r="B132" s="107"/>
      <c r="C132" s="124" t="s">
        <v>686</v>
      </c>
      <c r="D132" s="15"/>
      <c r="E132" s="133" t="s">
        <v>184</v>
      </c>
      <c r="F132" s="126" t="s">
        <v>687</v>
      </c>
      <c r="G132" s="126" t="s">
        <v>184</v>
      </c>
      <c r="H132" s="126" t="s">
        <v>688</v>
      </c>
      <c r="I132" s="127" t="s">
        <v>36</v>
      </c>
      <c r="J132" s="107"/>
      <c r="K132" s="107"/>
      <c r="L132" s="107"/>
      <c r="M132" s="107"/>
      <c r="N132" s="107"/>
      <c r="O132" s="107"/>
      <c r="P132" s="107"/>
      <c r="Q132" s="107"/>
      <c r="R132" s="107"/>
      <c r="S132" s="107"/>
      <c r="T132" s="107"/>
      <c r="U132" s="107"/>
      <c r="V132" s="107"/>
      <c r="W132" s="107"/>
      <c r="X132" s="107"/>
      <c r="Y132" s="107"/>
      <c r="Z132" s="107"/>
      <c r="AA132" s="107"/>
      <c r="AB132" s="107"/>
      <c r="AC132" s="107"/>
      <c r="AD132" s="107"/>
    </row>
    <row r="133">
      <c r="A133" s="107"/>
      <c r="B133" s="107"/>
      <c r="C133" s="124" t="s">
        <v>689</v>
      </c>
      <c r="D133" s="15"/>
      <c r="E133" s="109"/>
      <c r="F133" s="126" t="s">
        <v>690</v>
      </c>
      <c r="G133" s="126" t="s">
        <v>691</v>
      </c>
      <c r="H133" s="126" t="s">
        <v>692</v>
      </c>
      <c r="I133" s="127" t="s">
        <v>36</v>
      </c>
      <c r="J133" s="107"/>
      <c r="K133" s="107"/>
      <c r="L133" s="107"/>
      <c r="M133" s="107"/>
      <c r="N133" s="107"/>
      <c r="O133" s="107"/>
      <c r="P133" s="107"/>
      <c r="Q133" s="107"/>
      <c r="R133" s="107"/>
      <c r="S133" s="107"/>
      <c r="T133" s="107"/>
      <c r="U133" s="107"/>
      <c r="V133" s="107"/>
      <c r="W133" s="107"/>
      <c r="X133" s="107"/>
      <c r="Y133" s="107"/>
      <c r="Z133" s="107"/>
      <c r="AA133" s="107"/>
      <c r="AB133" s="107"/>
      <c r="AC133" s="107"/>
      <c r="AD133" s="107"/>
    </row>
    <row r="134">
      <c r="A134" s="107"/>
      <c r="B134" s="107"/>
      <c r="C134" s="124" t="s">
        <v>693</v>
      </c>
      <c r="D134" s="15"/>
      <c r="E134" s="133" t="s">
        <v>185</v>
      </c>
      <c r="F134" s="126" t="s">
        <v>694</v>
      </c>
      <c r="G134" s="126" t="s">
        <v>695</v>
      </c>
      <c r="H134" s="126" t="s">
        <v>696</v>
      </c>
      <c r="I134" s="130" t="s">
        <v>36</v>
      </c>
      <c r="J134" s="111" t="s">
        <v>558</v>
      </c>
      <c r="K134" s="138"/>
      <c r="L134" s="105"/>
      <c r="M134" s="105"/>
      <c r="N134" s="105"/>
      <c r="O134" s="105"/>
      <c r="P134" s="105"/>
      <c r="Q134" s="105"/>
      <c r="R134" s="105"/>
      <c r="S134" s="105"/>
      <c r="T134" s="105"/>
      <c r="U134" s="105"/>
      <c r="V134" s="105"/>
      <c r="W134" s="105"/>
      <c r="X134" s="105"/>
      <c r="Y134" s="105"/>
      <c r="Z134" s="105"/>
      <c r="AA134" s="105"/>
      <c r="AB134" s="105"/>
      <c r="AC134" s="105"/>
      <c r="AD134" s="105"/>
    </row>
    <row r="135">
      <c r="A135" s="107"/>
      <c r="B135" s="107"/>
      <c r="C135" s="124" t="s">
        <v>697</v>
      </c>
      <c r="D135" s="15"/>
      <c r="E135" s="108"/>
      <c r="F135" s="126" t="s">
        <v>698</v>
      </c>
      <c r="G135" s="126" t="s">
        <v>699</v>
      </c>
      <c r="H135" s="126" t="s">
        <v>696</v>
      </c>
      <c r="I135" s="127" t="s">
        <v>36</v>
      </c>
      <c r="J135" s="105"/>
      <c r="K135" s="138"/>
      <c r="L135" s="105"/>
      <c r="M135" s="105"/>
      <c r="N135" s="105"/>
      <c r="O135" s="105"/>
      <c r="P135" s="105"/>
      <c r="Q135" s="105"/>
      <c r="R135" s="105"/>
      <c r="S135" s="105"/>
      <c r="T135" s="105"/>
      <c r="U135" s="105"/>
      <c r="V135" s="105"/>
      <c r="W135" s="105"/>
      <c r="X135" s="105"/>
      <c r="Y135" s="105"/>
      <c r="Z135" s="105"/>
      <c r="AA135" s="105"/>
      <c r="AB135" s="105"/>
      <c r="AC135" s="105"/>
      <c r="AD135" s="105"/>
    </row>
    <row r="136">
      <c r="A136" s="107"/>
      <c r="B136" s="107"/>
      <c r="C136" s="124" t="s">
        <v>700</v>
      </c>
      <c r="D136" s="15"/>
      <c r="E136" s="108"/>
      <c r="F136" s="126" t="s">
        <v>701</v>
      </c>
      <c r="G136" s="126" t="s">
        <v>702</v>
      </c>
      <c r="H136" s="126" t="s">
        <v>565</v>
      </c>
      <c r="I136" s="127" t="s">
        <v>36</v>
      </c>
      <c r="J136" s="105"/>
      <c r="K136" s="138"/>
      <c r="L136" s="105"/>
      <c r="M136" s="105"/>
      <c r="N136" s="105"/>
      <c r="O136" s="105"/>
      <c r="P136" s="105"/>
      <c r="Q136" s="105"/>
      <c r="R136" s="105"/>
      <c r="S136" s="105"/>
      <c r="T136" s="105"/>
      <c r="U136" s="105"/>
      <c r="V136" s="105"/>
      <c r="W136" s="105"/>
      <c r="X136" s="105"/>
      <c r="Y136" s="105"/>
      <c r="Z136" s="105"/>
      <c r="AA136" s="105"/>
      <c r="AB136" s="105"/>
      <c r="AC136" s="105"/>
      <c r="AD136" s="105"/>
    </row>
    <row r="137">
      <c r="A137" s="107"/>
      <c r="B137" s="107"/>
      <c r="C137" s="124" t="s">
        <v>703</v>
      </c>
      <c r="D137" s="15"/>
      <c r="E137" s="108"/>
      <c r="F137" s="126" t="s">
        <v>704</v>
      </c>
      <c r="G137" s="126" t="s">
        <v>705</v>
      </c>
      <c r="H137" s="126" t="s">
        <v>706</v>
      </c>
      <c r="I137" s="127" t="s">
        <v>36</v>
      </c>
      <c r="J137" s="105"/>
      <c r="K137" s="138"/>
      <c r="L137" s="105"/>
      <c r="M137" s="105"/>
      <c r="N137" s="105"/>
      <c r="O137" s="105"/>
      <c r="P137" s="105"/>
      <c r="Q137" s="105"/>
      <c r="R137" s="105"/>
      <c r="S137" s="105"/>
      <c r="T137" s="105"/>
      <c r="U137" s="105"/>
      <c r="V137" s="105"/>
      <c r="W137" s="105"/>
      <c r="X137" s="105"/>
      <c r="Y137" s="105"/>
      <c r="Z137" s="105"/>
      <c r="AA137" s="105"/>
      <c r="AB137" s="105"/>
      <c r="AC137" s="105"/>
      <c r="AD137" s="105"/>
    </row>
    <row r="138">
      <c r="A138" s="107"/>
      <c r="B138" s="107"/>
      <c r="C138" s="124" t="s">
        <v>707</v>
      </c>
      <c r="D138" s="15"/>
      <c r="E138" s="108"/>
      <c r="F138" s="126" t="s">
        <v>708</v>
      </c>
      <c r="G138" s="126" t="s">
        <v>709</v>
      </c>
      <c r="H138" s="126" t="s">
        <v>573</v>
      </c>
      <c r="I138" s="127" t="s">
        <v>36</v>
      </c>
      <c r="J138" s="105"/>
      <c r="K138" s="138"/>
      <c r="L138" s="105"/>
      <c r="M138" s="105"/>
      <c r="N138" s="105"/>
      <c r="O138" s="105"/>
      <c r="P138" s="105"/>
      <c r="Q138" s="105"/>
      <c r="R138" s="105"/>
      <c r="S138" s="105"/>
      <c r="T138" s="105"/>
      <c r="U138" s="105"/>
      <c r="V138" s="105"/>
      <c r="W138" s="105"/>
      <c r="X138" s="105"/>
      <c r="Y138" s="105"/>
      <c r="Z138" s="105"/>
      <c r="AA138" s="105"/>
      <c r="AB138" s="105"/>
      <c r="AC138" s="105"/>
      <c r="AD138" s="105"/>
    </row>
    <row r="139">
      <c r="A139" s="107"/>
      <c r="B139" s="107"/>
      <c r="C139" s="124" t="s">
        <v>710</v>
      </c>
      <c r="D139" s="15"/>
      <c r="E139" s="109"/>
      <c r="F139" s="126" t="s">
        <v>711</v>
      </c>
      <c r="G139" s="126" t="s">
        <v>712</v>
      </c>
      <c r="H139" s="126" t="s">
        <v>696</v>
      </c>
      <c r="I139" s="127" t="s">
        <v>36</v>
      </c>
      <c r="J139" s="105"/>
      <c r="K139" s="138"/>
      <c r="L139" s="105"/>
      <c r="M139" s="105"/>
      <c r="N139" s="105"/>
      <c r="O139" s="105"/>
      <c r="P139" s="105"/>
      <c r="Q139" s="105"/>
      <c r="R139" s="105"/>
      <c r="S139" s="105"/>
      <c r="T139" s="105"/>
      <c r="U139" s="105"/>
      <c r="V139" s="105"/>
      <c r="W139" s="105"/>
      <c r="X139" s="105"/>
      <c r="Y139" s="105"/>
      <c r="Z139" s="105"/>
      <c r="AA139" s="105"/>
      <c r="AB139" s="105"/>
      <c r="AC139" s="105"/>
      <c r="AD139" s="105"/>
    </row>
    <row r="140">
      <c r="A140" s="107"/>
      <c r="B140" s="107"/>
      <c r="C140" s="124" t="s">
        <v>713</v>
      </c>
      <c r="D140" s="15"/>
      <c r="E140" s="133" t="s">
        <v>186</v>
      </c>
      <c r="F140" s="126" t="s">
        <v>714</v>
      </c>
      <c r="G140" s="126" t="s">
        <v>715</v>
      </c>
      <c r="H140" s="126" t="s">
        <v>716</v>
      </c>
      <c r="I140" s="130" t="s">
        <v>717</v>
      </c>
      <c r="J140" s="107"/>
      <c r="K140" s="107"/>
      <c r="L140" s="107"/>
      <c r="M140" s="107"/>
      <c r="N140" s="107"/>
      <c r="O140" s="107"/>
      <c r="P140" s="107"/>
      <c r="Q140" s="107"/>
      <c r="R140" s="107"/>
      <c r="S140" s="107"/>
      <c r="T140" s="107"/>
      <c r="U140" s="107"/>
      <c r="V140" s="107"/>
      <c r="W140" s="107"/>
      <c r="X140" s="107"/>
      <c r="Y140" s="107"/>
      <c r="Z140" s="107"/>
      <c r="AA140" s="107"/>
      <c r="AB140" s="107"/>
      <c r="AC140" s="107"/>
      <c r="AD140" s="107"/>
    </row>
    <row r="141">
      <c r="A141" s="107"/>
      <c r="B141" s="107"/>
      <c r="C141" s="124" t="s">
        <v>718</v>
      </c>
      <c r="D141" s="15"/>
      <c r="E141" s="108"/>
      <c r="F141" s="126" t="s">
        <v>714</v>
      </c>
      <c r="G141" s="126" t="s">
        <v>719</v>
      </c>
      <c r="H141" s="126" t="s">
        <v>720</v>
      </c>
      <c r="I141" s="130" t="s">
        <v>717</v>
      </c>
      <c r="J141" s="107"/>
      <c r="K141" s="107"/>
      <c r="L141" s="107"/>
      <c r="M141" s="107"/>
      <c r="N141" s="107"/>
      <c r="O141" s="107"/>
      <c r="P141" s="107"/>
      <c r="Q141" s="107"/>
      <c r="R141" s="107"/>
      <c r="S141" s="107"/>
      <c r="T141" s="107"/>
      <c r="U141" s="107"/>
      <c r="V141" s="107"/>
      <c r="W141" s="107"/>
      <c r="X141" s="107"/>
      <c r="Y141" s="107"/>
      <c r="Z141" s="107"/>
      <c r="AA141" s="107"/>
      <c r="AB141" s="107"/>
      <c r="AC141" s="107"/>
      <c r="AD141" s="107"/>
    </row>
    <row r="142">
      <c r="A142" s="107"/>
      <c r="B142" s="107"/>
      <c r="C142" s="124" t="s">
        <v>721</v>
      </c>
      <c r="D142" s="15"/>
      <c r="E142" s="109"/>
      <c r="F142" s="129" t="s">
        <v>722</v>
      </c>
      <c r="G142" s="126" t="s">
        <v>723</v>
      </c>
      <c r="H142" s="126" t="s">
        <v>724</v>
      </c>
      <c r="I142" s="130" t="s">
        <v>717</v>
      </c>
      <c r="J142" s="107"/>
      <c r="K142" s="107"/>
      <c r="L142" s="107"/>
      <c r="M142" s="107"/>
      <c r="N142" s="107"/>
      <c r="O142" s="107"/>
      <c r="P142" s="107"/>
      <c r="Q142" s="107"/>
      <c r="R142" s="107"/>
      <c r="S142" s="107"/>
      <c r="T142" s="107"/>
      <c r="U142" s="107"/>
      <c r="V142" s="107"/>
      <c r="W142" s="107"/>
      <c r="X142" s="107"/>
      <c r="Y142" s="107"/>
      <c r="Z142" s="107"/>
      <c r="AA142" s="107"/>
      <c r="AB142" s="107"/>
      <c r="AC142" s="107"/>
      <c r="AD142" s="107"/>
    </row>
    <row r="143">
      <c r="A143" s="107"/>
      <c r="B143" s="107"/>
      <c r="C143" s="124" t="s">
        <v>725</v>
      </c>
      <c r="D143" s="15"/>
      <c r="E143" s="125" t="s">
        <v>726</v>
      </c>
      <c r="F143" s="126" t="s">
        <v>727</v>
      </c>
      <c r="G143" s="126" t="s">
        <v>728</v>
      </c>
      <c r="H143" s="126" t="s">
        <v>729</v>
      </c>
      <c r="I143" s="127" t="s">
        <v>36</v>
      </c>
      <c r="J143" s="107"/>
      <c r="K143" s="107"/>
      <c r="L143" s="107"/>
      <c r="M143" s="107"/>
      <c r="N143" s="107"/>
      <c r="O143" s="107"/>
      <c r="P143" s="107"/>
      <c r="Q143" s="107"/>
      <c r="R143" s="107"/>
      <c r="S143" s="107"/>
      <c r="T143" s="107"/>
      <c r="U143" s="107"/>
      <c r="V143" s="107"/>
      <c r="W143" s="107"/>
      <c r="X143" s="107"/>
      <c r="Y143" s="107"/>
      <c r="Z143" s="107"/>
      <c r="AA143" s="107"/>
      <c r="AB143" s="107"/>
      <c r="AC143" s="107"/>
      <c r="AD143" s="107"/>
    </row>
    <row r="144">
      <c r="A144" s="107"/>
      <c r="B144" s="107"/>
      <c r="C144" s="124" t="s">
        <v>730</v>
      </c>
      <c r="D144" s="15"/>
      <c r="E144" s="108"/>
      <c r="F144" s="126" t="s">
        <v>727</v>
      </c>
      <c r="G144" s="126" t="s">
        <v>189</v>
      </c>
      <c r="H144" s="126" t="s">
        <v>729</v>
      </c>
      <c r="I144" s="127" t="s">
        <v>36</v>
      </c>
      <c r="J144" s="107"/>
      <c r="K144" s="107"/>
      <c r="L144" s="107"/>
      <c r="M144" s="107"/>
      <c r="N144" s="107"/>
      <c r="O144" s="107"/>
      <c r="P144" s="107"/>
      <c r="Q144" s="107"/>
      <c r="R144" s="107"/>
      <c r="S144" s="107"/>
      <c r="T144" s="107"/>
      <c r="U144" s="107"/>
      <c r="V144" s="107"/>
      <c r="W144" s="107"/>
      <c r="X144" s="107"/>
      <c r="Y144" s="107"/>
      <c r="Z144" s="107"/>
      <c r="AA144" s="107"/>
      <c r="AB144" s="107"/>
      <c r="AC144" s="107"/>
      <c r="AD144" s="107"/>
    </row>
    <row r="145">
      <c r="A145" s="107"/>
      <c r="B145" s="107"/>
      <c r="C145" s="124" t="s">
        <v>731</v>
      </c>
      <c r="D145" s="15"/>
      <c r="E145" s="108"/>
      <c r="F145" s="126" t="s">
        <v>727</v>
      </c>
      <c r="G145" s="126" t="s">
        <v>190</v>
      </c>
      <c r="H145" s="126" t="s">
        <v>287</v>
      </c>
      <c r="I145" s="127" t="s">
        <v>36</v>
      </c>
      <c r="J145" s="107"/>
      <c r="K145" s="107"/>
      <c r="L145" s="107"/>
      <c r="M145" s="107"/>
      <c r="N145" s="107"/>
      <c r="O145" s="107"/>
      <c r="P145" s="107"/>
      <c r="Q145" s="107"/>
      <c r="R145" s="107"/>
      <c r="S145" s="107"/>
      <c r="T145" s="107"/>
      <c r="U145" s="107"/>
      <c r="V145" s="107"/>
      <c r="W145" s="107"/>
      <c r="X145" s="107"/>
      <c r="Y145" s="107"/>
      <c r="Z145" s="107"/>
      <c r="AA145" s="107"/>
      <c r="AB145" s="107"/>
      <c r="AC145" s="107"/>
      <c r="AD145" s="107"/>
    </row>
    <row r="146">
      <c r="A146" s="107"/>
      <c r="B146" s="107"/>
      <c r="C146" s="124" t="s">
        <v>732</v>
      </c>
      <c r="D146" s="15"/>
      <c r="E146" s="108"/>
      <c r="F146" s="126" t="s">
        <v>727</v>
      </c>
      <c r="G146" s="126" t="s">
        <v>191</v>
      </c>
      <c r="H146" s="126" t="s">
        <v>287</v>
      </c>
      <c r="I146" s="127" t="s">
        <v>36</v>
      </c>
      <c r="J146" s="107"/>
      <c r="K146" s="107"/>
      <c r="L146" s="107"/>
      <c r="M146" s="107"/>
      <c r="N146" s="107"/>
      <c r="O146" s="107"/>
      <c r="P146" s="107"/>
      <c r="Q146" s="107"/>
      <c r="R146" s="107"/>
      <c r="S146" s="107"/>
      <c r="T146" s="107"/>
      <c r="U146" s="107"/>
      <c r="V146" s="107"/>
      <c r="W146" s="107"/>
      <c r="X146" s="107"/>
      <c r="Y146" s="107"/>
      <c r="Z146" s="107"/>
      <c r="AA146" s="107"/>
      <c r="AB146" s="107"/>
      <c r="AC146" s="107"/>
      <c r="AD146" s="107"/>
    </row>
    <row r="147">
      <c r="A147" s="107"/>
      <c r="B147" s="107"/>
      <c r="C147" s="124" t="s">
        <v>733</v>
      </c>
      <c r="D147" s="15"/>
      <c r="E147" s="109"/>
      <c r="F147" s="126" t="s">
        <v>727</v>
      </c>
      <c r="G147" s="129" t="s">
        <v>192</v>
      </c>
      <c r="H147" s="129" t="s">
        <v>734</v>
      </c>
      <c r="I147" s="130" t="s">
        <v>36</v>
      </c>
      <c r="J147" s="107"/>
      <c r="K147" s="107"/>
      <c r="L147" s="107"/>
      <c r="M147" s="107"/>
      <c r="N147" s="107"/>
      <c r="O147" s="107"/>
      <c r="P147" s="107"/>
      <c r="Q147" s="107"/>
      <c r="R147" s="107"/>
      <c r="S147" s="107"/>
      <c r="T147" s="107"/>
      <c r="U147" s="107"/>
      <c r="V147" s="107"/>
      <c r="W147" s="107"/>
      <c r="X147" s="107"/>
      <c r="Y147" s="107"/>
      <c r="Z147" s="107"/>
      <c r="AA147" s="107"/>
      <c r="AB147" s="107"/>
      <c r="AC147" s="107"/>
      <c r="AD147" s="107"/>
    </row>
    <row r="148">
      <c r="A148" s="107"/>
      <c r="B148" s="107"/>
      <c r="C148" s="124" t="s">
        <v>735</v>
      </c>
      <c r="D148" s="15"/>
      <c r="E148" s="125" t="s">
        <v>736</v>
      </c>
      <c r="F148" s="126" t="s">
        <v>737</v>
      </c>
      <c r="G148" s="129" t="s">
        <v>738</v>
      </c>
      <c r="H148" s="126" t="s">
        <v>739</v>
      </c>
      <c r="I148" s="130" t="s">
        <v>304</v>
      </c>
      <c r="J148" s="128" t="s">
        <v>630</v>
      </c>
      <c r="K148" s="107"/>
      <c r="L148" s="107"/>
      <c r="M148" s="107"/>
      <c r="N148" s="107"/>
      <c r="O148" s="107"/>
      <c r="P148" s="107"/>
      <c r="Q148" s="107"/>
      <c r="R148" s="107"/>
      <c r="S148" s="107"/>
      <c r="T148" s="107"/>
      <c r="U148" s="107"/>
      <c r="V148" s="107"/>
      <c r="W148" s="107"/>
      <c r="X148" s="107"/>
      <c r="Y148" s="107"/>
      <c r="Z148" s="107"/>
      <c r="AA148" s="107"/>
      <c r="AB148" s="107"/>
      <c r="AC148" s="107"/>
      <c r="AD148" s="107"/>
    </row>
    <row r="149">
      <c r="A149" s="107"/>
      <c r="B149" s="107"/>
      <c r="C149" s="124" t="s">
        <v>740</v>
      </c>
      <c r="D149" s="15"/>
      <c r="E149" s="108"/>
      <c r="F149" s="126" t="s">
        <v>741</v>
      </c>
      <c r="G149" s="129" t="s">
        <v>742</v>
      </c>
      <c r="H149" s="126" t="s">
        <v>743</v>
      </c>
      <c r="I149" s="130" t="s">
        <v>304</v>
      </c>
      <c r="J149" s="128" t="s">
        <v>630</v>
      </c>
      <c r="K149" s="107"/>
      <c r="L149" s="107"/>
      <c r="M149" s="107"/>
      <c r="N149" s="107"/>
      <c r="O149" s="107"/>
      <c r="P149" s="107"/>
      <c r="Q149" s="107"/>
      <c r="R149" s="107"/>
      <c r="S149" s="107"/>
      <c r="T149" s="107"/>
      <c r="U149" s="107"/>
      <c r="V149" s="107"/>
      <c r="W149" s="107"/>
      <c r="X149" s="107"/>
      <c r="Y149" s="107"/>
      <c r="Z149" s="107"/>
      <c r="AA149" s="107"/>
      <c r="AB149" s="107"/>
      <c r="AC149" s="107"/>
      <c r="AD149" s="107"/>
    </row>
    <row r="150">
      <c r="A150" s="107"/>
      <c r="B150" s="107"/>
      <c r="C150" s="124" t="s">
        <v>744</v>
      </c>
      <c r="D150" s="15"/>
      <c r="E150" s="109"/>
      <c r="F150" s="126" t="s">
        <v>741</v>
      </c>
      <c r="G150" s="129" t="s">
        <v>745</v>
      </c>
      <c r="H150" s="126" t="s">
        <v>746</v>
      </c>
      <c r="I150" s="130" t="s">
        <v>304</v>
      </c>
      <c r="J150" s="128" t="s">
        <v>630</v>
      </c>
      <c r="K150" s="107"/>
      <c r="L150" s="107"/>
      <c r="M150" s="107"/>
      <c r="N150" s="107"/>
      <c r="O150" s="107"/>
      <c r="P150" s="107"/>
      <c r="Q150" s="107"/>
      <c r="R150" s="107"/>
      <c r="S150" s="107"/>
      <c r="T150" s="107"/>
      <c r="U150" s="107"/>
      <c r="V150" s="107"/>
      <c r="W150" s="107"/>
      <c r="X150" s="107"/>
      <c r="Y150" s="107"/>
      <c r="Z150" s="107"/>
      <c r="AA150" s="107"/>
      <c r="AB150" s="107"/>
      <c r="AC150" s="107"/>
      <c r="AD150" s="107"/>
    </row>
    <row r="151">
      <c r="A151" s="107"/>
      <c r="B151" s="107"/>
      <c r="C151" s="124" t="s">
        <v>747</v>
      </c>
      <c r="D151" s="15"/>
      <c r="E151" s="134" t="s">
        <v>194</v>
      </c>
      <c r="F151" s="126" t="s">
        <v>727</v>
      </c>
      <c r="G151" s="126" t="s">
        <v>748</v>
      </c>
      <c r="H151" s="126" t="s">
        <v>749</v>
      </c>
      <c r="I151" s="130" t="s">
        <v>36</v>
      </c>
      <c r="J151" s="107"/>
      <c r="K151" s="107"/>
      <c r="L151" s="107"/>
      <c r="M151" s="107"/>
      <c r="N151" s="107"/>
      <c r="O151" s="107"/>
      <c r="P151" s="107"/>
      <c r="Q151" s="107"/>
      <c r="R151" s="107"/>
      <c r="S151" s="107"/>
      <c r="T151" s="107"/>
      <c r="U151" s="107"/>
      <c r="V151" s="107"/>
      <c r="W151" s="107"/>
      <c r="X151" s="107"/>
      <c r="Y151" s="107"/>
      <c r="Z151" s="107"/>
      <c r="AA151" s="107"/>
      <c r="AB151" s="107"/>
      <c r="AC151" s="107"/>
      <c r="AD151" s="107"/>
    </row>
    <row r="152">
      <c r="A152" s="107"/>
      <c r="B152" s="107"/>
      <c r="C152" s="124" t="s">
        <v>750</v>
      </c>
      <c r="D152" s="15"/>
      <c r="E152" s="134" t="s">
        <v>751</v>
      </c>
      <c r="F152" s="126" t="s">
        <v>727</v>
      </c>
      <c r="G152" s="126" t="s">
        <v>752</v>
      </c>
      <c r="H152" s="126" t="s">
        <v>753</v>
      </c>
      <c r="I152" s="130" t="s">
        <v>36</v>
      </c>
      <c r="J152" s="107"/>
      <c r="K152" s="107"/>
      <c r="L152" s="107"/>
      <c r="M152" s="107"/>
      <c r="N152" s="107"/>
      <c r="O152" s="107"/>
      <c r="P152" s="107"/>
      <c r="Q152" s="107"/>
      <c r="R152" s="107"/>
      <c r="S152" s="107"/>
      <c r="T152" s="107"/>
      <c r="U152" s="107"/>
      <c r="V152" s="107"/>
      <c r="W152" s="107"/>
      <c r="X152" s="107"/>
      <c r="Y152" s="107"/>
      <c r="Z152" s="107"/>
      <c r="AA152" s="107"/>
      <c r="AB152" s="107"/>
      <c r="AC152" s="107"/>
      <c r="AD152" s="107"/>
    </row>
    <row r="153">
      <c r="A153" s="107"/>
      <c r="B153" s="107"/>
      <c r="C153" s="124" t="s">
        <v>754</v>
      </c>
      <c r="D153" s="15"/>
      <c r="E153" s="133" t="s">
        <v>196</v>
      </c>
      <c r="F153" s="126" t="s">
        <v>727</v>
      </c>
      <c r="G153" s="126" t="s">
        <v>755</v>
      </c>
      <c r="H153" s="126" t="s">
        <v>756</v>
      </c>
      <c r="I153" s="130" t="s">
        <v>36</v>
      </c>
      <c r="J153" s="107"/>
      <c r="K153" s="107"/>
      <c r="L153" s="107"/>
      <c r="M153" s="107"/>
      <c r="N153" s="107"/>
      <c r="O153" s="107"/>
      <c r="P153" s="107"/>
      <c r="Q153" s="107"/>
      <c r="R153" s="107"/>
      <c r="S153" s="107"/>
      <c r="T153" s="107"/>
      <c r="U153" s="107"/>
      <c r="V153" s="107"/>
      <c r="W153" s="107"/>
      <c r="X153" s="107"/>
      <c r="Y153" s="107"/>
      <c r="Z153" s="107"/>
      <c r="AA153" s="107"/>
      <c r="AB153" s="107"/>
      <c r="AC153" s="107"/>
      <c r="AD153" s="107"/>
    </row>
    <row r="154">
      <c r="A154" s="107"/>
      <c r="B154" s="107"/>
      <c r="C154" s="124" t="s">
        <v>757</v>
      </c>
      <c r="D154" s="15"/>
      <c r="E154" s="108"/>
      <c r="F154" s="126" t="s">
        <v>727</v>
      </c>
      <c r="G154" s="126" t="s">
        <v>758</v>
      </c>
      <c r="H154" s="126" t="s">
        <v>759</v>
      </c>
      <c r="I154" s="130" t="s">
        <v>36</v>
      </c>
      <c r="J154" s="107"/>
      <c r="K154" s="107"/>
      <c r="L154" s="107"/>
      <c r="M154" s="107"/>
      <c r="N154" s="107"/>
      <c r="O154" s="107"/>
      <c r="P154" s="107"/>
      <c r="Q154" s="107"/>
      <c r="R154" s="107"/>
      <c r="S154" s="107"/>
      <c r="T154" s="107"/>
      <c r="U154" s="107"/>
      <c r="V154" s="107"/>
      <c r="W154" s="107"/>
      <c r="X154" s="107"/>
      <c r="Y154" s="107"/>
      <c r="Z154" s="107"/>
      <c r="AA154" s="107"/>
      <c r="AB154" s="107"/>
      <c r="AC154" s="107"/>
      <c r="AD154" s="107"/>
    </row>
    <row r="155">
      <c r="A155" s="107"/>
      <c r="B155" s="107"/>
      <c r="C155" s="124" t="s">
        <v>760</v>
      </c>
      <c r="D155" s="15"/>
      <c r="E155" s="109"/>
      <c r="F155" s="126" t="s">
        <v>727</v>
      </c>
      <c r="G155" s="126" t="s">
        <v>761</v>
      </c>
      <c r="H155" s="126" t="s">
        <v>762</v>
      </c>
      <c r="I155" s="130" t="s">
        <v>36</v>
      </c>
      <c r="J155" s="107"/>
      <c r="K155" s="107"/>
      <c r="L155" s="107"/>
      <c r="M155" s="107"/>
      <c r="N155" s="107"/>
      <c r="O155" s="107"/>
      <c r="P155" s="107"/>
      <c r="Q155" s="107"/>
      <c r="R155" s="107"/>
      <c r="S155" s="107"/>
      <c r="T155" s="107"/>
      <c r="U155" s="107"/>
      <c r="V155" s="107"/>
      <c r="W155" s="107"/>
      <c r="X155" s="107"/>
      <c r="Y155" s="107"/>
      <c r="Z155" s="107"/>
      <c r="AA155" s="107"/>
      <c r="AB155" s="107"/>
      <c r="AC155" s="107"/>
      <c r="AD155" s="107"/>
    </row>
    <row r="156">
      <c r="A156" s="107"/>
      <c r="B156" s="107"/>
      <c r="C156" s="124" t="s">
        <v>763</v>
      </c>
      <c r="D156" s="15"/>
      <c r="E156" s="133" t="s">
        <v>197</v>
      </c>
      <c r="F156" s="126" t="s">
        <v>727</v>
      </c>
      <c r="G156" s="126" t="s">
        <v>764</v>
      </c>
      <c r="H156" s="126" t="s">
        <v>765</v>
      </c>
      <c r="I156" s="130" t="s">
        <v>36</v>
      </c>
      <c r="J156" s="107"/>
      <c r="K156" s="107"/>
      <c r="L156" s="107"/>
      <c r="M156" s="107"/>
      <c r="N156" s="107"/>
      <c r="O156" s="107"/>
      <c r="P156" s="107"/>
      <c r="Q156" s="107"/>
      <c r="R156" s="107"/>
      <c r="S156" s="107"/>
      <c r="T156" s="107"/>
      <c r="U156" s="107"/>
      <c r="V156" s="107"/>
      <c r="W156" s="107"/>
      <c r="X156" s="107"/>
      <c r="Y156" s="107"/>
      <c r="Z156" s="107"/>
      <c r="AA156" s="107"/>
      <c r="AB156" s="107"/>
      <c r="AC156" s="107"/>
      <c r="AD156" s="107"/>
    </row>
    <row r="157">
      <c r="A157" s="107"/>
      <c r="B157" s="107"/>
      <c r="C157" s="124" t="s">
        <v>766</v>
      </c>
      <c r="D157" s="15"/>
      <c r="E157" s="108"/>
      <c r="F157" s="126" t="s">
        <v>727</v>
      </c>
      <c r="G157" s="126" t="s">
        <v>767</v>
      </c>
      <c r="H157" s="126"/>
      <c r="I157" s="130" t="s">
        <v>717</v>
      </c>
      <c r="J157" s="107"/>
      <c r="K157" s="107"/>
      <c r="L157" s="107"/>
      <c r="M157" s="107"/>
      <c r="N157" s="107"/>
      <c r="O157" s="107"/>
      <c r="P157" s="107"/>
      <c r="Q157" s="107"/>
      <c r="R157" s="107"/>
      <c r="S157" s="107"/>
      <c r="T157" s="107"/>
      <c r="U157" s="107"/>
      <c r="V157" s="107"/>
      <c r="W157" s="107"/>
      <c r="X157" s="107"/>
      <c r="Y157" s="107"/>
      <c r="Z157" s="107"/>
      <c r="AA157" s="107"/>
      <c r="AB157" s="107"/>
      <c r="AC157" s="107"/>
      <c r="AD157" s="107"/>
    </row>
    <row r="158">
      <c r="A158" s="107"/>
      <c r="B158" s="107"/>
      <c r="C158" s="124" t="s">
        <v>768</v>
      </c>
      <c r="D158" s="15"/>
      <c r="E158" s="108"/>
      <c r="F158" s="126" t="s">
        <v>727</v>
      </c>
      <c r="G158" s="126" t="s">
        <v>769</v>
      </c>
      <c r="H158" s="126"/>
      <c r="I158" s="130" t="s">
        <v>717</v>
      </c>
      <c r="J158" s="107"/>
      <c r="K158" s="107"/>
      <c r="L158" s="107"/>
      <c r="M158" s="107"/>
      <c r="N158" s="107"/>
      <c r="O158" s="107"/>
      <c r="P158" s="107"/>
      <c r="Q158" s="107"/>
      <c r="R158" s="107"/>
      <c r="S158" s="107"/>
      <c r="T158" s="107"/>
      <c r="U158" s="107"/>
      <c r="V158" s="107"/>
      <c r="W158" s="107"/>
      <c r="X158" s="107"/>
      <c r="Y158" s="107"/>
      <c r="Z158" s="107"/>
      <c r="AA158" s="107"/>
      <c r="AB158" s="107"/>
      <c r="AC158" s="107"/>
      <c r="AD158" s="107"/>
    </row>
    <row r="159">
      <c r="A159" s="107"/>
      <c r="B159" s="107"/>
      <c r="C159" s="124" t="s">
        <v>770</v>
      </c>
      <c r="D159" s="15"/>
      <c r="E159" s="108"/>
      <c r="F159" s="126" t="s">
        <v>727</v>
      </c>
      <c r="G159" s="126" t="s">
        <v>771</v>
      </c>
      <c r="H159" s="126"/>
      <c r="I159" s="130" t="s">
        <v>717</v>
      </c>
      <c r="J159" s="107"/>
      <c r="K159" s="107"/>
      <c r="L159" s="107"/>
      <c r="M159" s="107"/>
      <c r="N159" s="107"/>
      <c r="O159" s="107"/>
      <c r="P159" s="107"/>
      <c r="Q159" s="107"/>
      <c r="R159" s="107"/>
      <c r="S159" s="107"/>
      <c r="T159" s="107"/>
      <c r="U159" s="107"/>
      <c r="V159" s="107"/>
      <c r="W159" s="107"/>
      <c r="X159" s="107"/>
      <c r="Y159" s="107"/>
      <c r="Z159" s="107"/>
      <c r="AA159" s="107"/>
      <c r="AB159" s="107"/>
      <c r="AC159" s="107"/>
      <c r="AD159" s="107"/>
    </row>
    <row r="160">
      <c r="A160" s="107"/>
      <c r="B160" s="107"/>
      <c r="C160" s="124" t="s">
        <v>772</v>
      </c>
      <c r="D160" s="15"/>
      <c r="E160" s="108"/>
      <c r="F160" s="126" t="s">
        <v>727</v>
      </c>
      <c r="G160" s="126" t="s">
        <v>773</v>
      </c>
      <c r="H160" s="126"/>
      <c r="I160" s="130" t="s">
        <v>717</v>
      </c>
      <c r="J160" s="107"/>
      <c r="K160" s="107"/>
      <c r="L160" s="107"/>
      <c r="M160" s="107"/>
      <c r="N160" s="107"/>
      <c r="O160" s="107"/>
      <c r="P160" s="107"/>
      <c r="Q160" s="107"/>
      <c r="R160" s="107"/>
      <c r="S160" s="107"/>
      <c r="T160" s="107"/>
      <c r="U160" s="107"/>
      <c r="V160" s="107"/>
      <c r="W160" s="107"/>
      <c r="X160" s="107"/>
      <c r="Y160" s="107"/>
      <c r="Z160" s="107"/>
      <c r="AA160" s="107"/>
      <c r="AB160" s="107"/>
      <c r="AC160" s="107"/>
      <c r="AD160" s="107"/>
    </row>
    <row r="161">
      <c r="A161" s="107"/>
      <c r="B161" s="107"/>
      <c r="C161" s="124" t="s">
        <v>774</v>
      </c>
      <c r="D161" s="15"/>
      <c r="E161" s="108"/>
      <c r="F161" s="137" t="s">
        <v>727</v>
      </c>
      <c r="G161" s="137" t="s">
        <v>771</v>
      </c>
      <c r="H161" s="137"/>
      <c r="I161" s="130" t="s">
        <v>717</v>
      </c>
      <c r="J161" s="107"/>
      <c r="K161" s="107"/>
      <c r="L161" s="107"/>
      <c r="M161" s="107"/>
      <c r="N161" s="107"/>
      <c r="O161" s="107"/>
      <c r="P161" s="107"/>
      <c r="Q161" s="107"/>
      <c r="R161" s="107"/>
      <c r="S161" s="107"/>
      <c r="T161" s="107"/>
      <c r="U161" s="107"/>
      <c r="V161" s="107"/>
      <c r="W161" s="107"/>
      <c r="X161" s="107"/>
      <c r="Y161" s="107"/>
      <c r="Z161" s="107"/>
      <c r="AA161" s="107"/>
      <c r="AB161" s="107"/>
      <c r="AC161" s="107"/>
      <c r="AD161" s="107"/>
    </row>
    <row r="162">
      <c r="A162" s="107"/>
      <c r="B162" s="107"/>
      <c r="C162" s="124" t="s">
        <v>775</v>
      </c>
      <c r="D162" s="15"/>
      <c r="E162" s="109"/>
      <c r="F162" s="137" t="s">
        <v>727</v>
      </c>
      <c r="G162" s="137" t="s">
        <v>773</v>
      </c>
      <c r="H162" s="137"/>
      <c r="I162" s="130" t="s">
        <v>717</v>
      </c>
      <c r="J162" s="107"/>
      <c r="K162" s="107"/>
      <c r="L162" s="107"/>
      <c r="M162" s="107"/>
      <c r="N162" s="107"/>
      <c r="O162" s="107"/>
      <c r="P162" s="107"/>
      <c r="Q162" s="107"/>
      <c r="R162" s="107"/>
      <c r="S162" s="107"/>
      <c r="T162" s="107"/>
      <c r="U162" s="107"/>
      <c r="V162" s="107"/>
      <c r="W162" s="107"/>
      <c r="X162" s="107"/>
      <c r="Y162" s="107"/>
      <c r="Z162" s="107"/>
      <c r="AA162" s="107"/>
      <c r="AB162" s="107"/>
      <c r="AC162" s="107"/>
      <c r="AD162" s="107"/>
    </row>
    <row r="163">
      <c r="A163" s="107"/>
      <c r="B163" s="107"/>
      <c r="C163" s="124" t="s">
        <v>776</v>
      </c>
      <c r="D163" s="15"/>
      <c r="E163" s="133" t="s">
        <v>777</v>
      </c>
      <c r="F163" s="126" t="s">
        <v>727</v>
      </c>
      <c r="G163" s="126" t="s">
        <v>778</v>
      </c>
      <c r="H163" s="126"/>
      <c r="I163" s="130" t="s">
        <v>717</v>
      </c>
      <c r="J163" s="111"/>
      <c r="K163" s="107"/>
      <c r="L163" s="107"/>
      <c r="M163" s="107"/>
      <c r="N163" s="107"/>
      <c r="O163" s="107"/>
      <c r="P163" s="107"/>
      <c r="Q163" s="107"/>
      <c r="R163" s="107"/>
      <c r="S163" s="107"/>
      <c r="T163" s="107"/>
      <c r="U163" s="107"/>
      <c r="V163" s="107"/>
      <c r="W163" s="107"/>
      <c r="X163" s="107"/>
      <c r="Y163" s="107"/>
      <c r="Z163" s="107"/>
      <c r="AA163" s="107"/>
      <c r="AB163" s="107"/>
      <c r="AC163" s="107"/>
      <c r="AD163" s="107"/>
    </row>
    <row r="164">
      <c r="A164" s="107"/>
      <c r="B164" s="107"/>
      <c r="C164" s="124" t="s">
        <v>779</v>
      </c>
      <c r="D164" s="15"/>
      <c r="E164" s="108"/>
      <c r="F164" s="126" t="s">
        <v>727</v>
      </c>
      <c r="G164" s="126" t="s">
        <v>780</v>
      </c>
      <c r="H164" s="126"/>
      <c r="I164" s="130" t="s">
        <v>717</v>
      </c>
      <c r="J164" s="111"/>
      <c r="K164" s="107"/>
      <c r="L164" s="107"/>
      <c r="M164" s="107"/>
      <c r="N164" s="107"/>
      <c r="O164" s="107"/>
      <c r="P164" s="107"/>
      <c r="Q164" s="107"/>
      <c r="R164" s="107"/>
      <c r="S164" s="107"/>
      <c r="T164" s="107"/>
      <c r="U164" s="107"/>
      <c r="V164" s="107"/>
      <c r="W164" s="107"/>
      <c r="X164" s="107"/>
      <c r="Y164" s="107"/>
      <c r="Z164" s="107"/>
      <c r="AA164" s="107"/>
      <c r="AB164" s="107"/>
      <c r="AC164" s="107"/>
      <c r="AD164" s="107"/>
    </row>
    <row r="165">
      <c r="A165" s="107"/>
      <c r="B165" s="107"/>
      <c r="C165" s="124" t="s">
        <v>781</v>
      </c>
      <c r="D165" s="15"/>
      <c r="E165" s="108"/>
      <c r="F165" s="126" t="s">
        <v>727</v>
      </c>
      <c r="G165" s="126" t="s">
        <v>782</v>
      </c>
      <c r="H165" s="126"/>
      <c r="I165" s="130" t="s">
        <v>717</v>
      </c>
      <c r="J165" s="105"/>
      <c r="K165" s="107"/>
      <c r="L165" s="107"/>
      <c r="M165" s="107"/>
      <c r="N165" s="107"/>
      <c r="O165" s="107"/>
      <c r="P165" s="107"/>
      <c r="Q165" s="107"/>
      <c r="R165" s="107"/>
      <c r="S165" s="107"/>
      <c r="T165" s="107"/>
      <c r="U165" s="107"/>
      <c r="V165" s="107"/>
      <c r="W165" s="107"/>
      <c r="X165" s="107"/>
      <c r="Y165" s="107"/>
      <c r="Z165" s="107"/>
      <c r="AA165" s="107"/>
      <c r="AB165" s="107"/>
      <c r="AC165" s="107"/>
      <c r="AD165" s="107"/>
    </row>
    <row r="166">
      <c r="A166" s="107"/>
      <c r="B166" s="107"/>
      <c r="C166" s="124" t="s">
        <v>783</v>
      </c>
      <c r="D166" s="15"/>
      <c r="E166" s="108"/>
      <c r="F166" s="126" t="s">
        <v>727</v>
      </c>
      <c r="G166" s="126" t="s">
        <v>784</v>
      </c>
      <c r="H166" s="126"/>
      <c r="I166" s="130" t="s">
        <v>717</v>
      </c>
      <c r="J166" s="111"/>
      <c r="K166" s="107"/>
      <c r="L166" s="107"/>
      <c r="M166" s="107"/>
      <c r="N166" s="107"/>
      <c r="O166" s="107"/>
      <c r="P166" s="107"/>
      <c r="Q166" s="107"/>
      <c r="R166" s="107"/>
      <c r="S166" s="107"/>
      <c r="T166" s="107"/>
      <c r="U166" s="107"/>
      <c r="V166" s="107"/>
      <c r="W166" s="107"/>
      <c r="X166" s="107"/>
      <c r="Y166" s="107"/>
      <c r="Z166" s="107"/>
      <c r="AA166" s="107"/>
      <c r="AB166" s="107"/>
      <c r="AC166" s="107"/>
      <c r="AD166" s="107"/>
    </row>
    <row r="167">
      <c r="A167" s="107"/>
      <c r="B167" s="107"/>
      <c r="C167" s="124" t="s">
        <v>785</v>
      </c>
      <c r="D167" s="15"/>
      <c r="E167" s="109"/>
      <c r="F167" s="126" t="s">
        <v>727</v>
      </c>
      <c r="G167" s="126" t="s">
        <v>786</v>
      </c>
      <c r="H167" s="126"/>
      <c r="I167" s="130" t="s">
        <v>717</v>
      </c>
      <c r="J167" s="105"/>
      <c r="K167" s="107"/>
      <c r="L167" s="107"/>
      <c r="M167" s="107"/>
      <c r="N167" s="107"/>
      <c r="O167" s="107"/>
      <c r="P167" s="107"/>
      <c r="Q167" s="107"/>
      <c r="R167" s="107"/>
      <c r="S167" s="107"/>
      <c r="T167" s="107"/>
      <c r="U167" s="107"/>
      <c r="V167" s="107"/>
      <c r="W167" s="107"/>
      <c r="X167" s="107"/>
      <c r="Y167" s="107"/>
      <c r="Z167" s="107"/>
      <c r="AA167" s="107"/>
      <c r="AB167" s="107"/>
      <c r="AC167" s="107"/>
      <c r="AD167" s="107"/>
    </row>
    <row r="168">
      <c r="A168" s="107"/>
      <c r="B168" s="107"/>
      <c r="C168" s="124" t="s">
        <v>787</v>
      </c>
      <c r="D168" s="15"/>
      <c r="E168" s="133" t="s">
        <v>199</v>
      </c>
      <c r="F168" s="126" t="s">
        <v>727</v>
      </c>
      <c r="G168" s="126" t="s">
        <v>788</v>
      </c>
      <c r="H168" s="126" t="s">
        <v>789</v>
      </c>
      <c r="I168" s="130" t="s">
        <v>36</v>
      </c>
      <c r="J168" s="107"/>
      <c r="K168" s="107"/>
      <c r="L168" s="107"/>
      <c r="M168" s="107"/>
      <c r="N168" s="107"/>
      <c r="O168" s="107"/>
      <c r="P168" s="107"/>
      <c r="Q168" s="107"/>
      <c r="R168" s="107"/>
      <c r="S168" s="107"/>
      <c r="T168" s="107"/>
      <c r="U168" s="107"/>
      <c r="V168" s="107"/>
      <c r="W168" s="107"/>
      <c r="X168" s="107"/>
      <c r="Y168" s="107"/>
      <c r="Z168" s="107"/>
      <c r="AA168" s="107"/>
      <c r="AB168" s="107"/>
      <c r="AC168" s="107"/>
      <c r="AD168" s="107"/>
    </row>
    <row r="169">
      <c r="A169" s="107"/>
      <c r="B169" s="107"/>
      <c r="C169" s="124" t="s">
        <v>790</v>
      </c>
      <c r="D169" s="15"/>
      <c r="E169" s="108"/>
      <c r="F169" s="126" t="s">
        <v>727</v>
      </c>
      <c r="G169" s="126" t="s">
        <v>791</v>
      </c>
      <c r="H169" s="126"/>
      <c r="I169" s="130" t="s">
        <v>717</v>
      </c>
      <c r="J169" s="107"/>
      <c r="K169" s="107"/>
      <c r="L169" s="107"/>
      <c r="M169" s="107"/>
      <c r="N169" s="107"/>
      <c r="O169" s="107"/>
      <c r="P169" s="107"/>
      <c r="Q169" s="107"/>
      <c r="R169" s="107"/>
      <c r="S169" s="107"/>
      <c r="T169" s="107"/>
      <c r="U169" s="107"/>
      <c r="V169" s="107"/>
      <c r="W169" s="107"/>
      <c r="X169" s="107"/>
      <c r="Y169" s="107"/>
      <c r="Z169" s="107"/>
      <c r="AA169" s="107"/>
      <c r="AB169" s="107"/>
      <c r="AC169" s="107"/>
      <c r="AD169" s="107"/>
    </row>
    <row r="170">
      <c r="A170" s="107"/>
      <c r="B170" s="107"/>
      <c r="C170" s="124" t="s">
        <v>792</v>
      </c>
      <c r="D170" s="15"/>
      <c r="E170" s="108"/>
      <c r="F170" s="126" t="s">
        <v>727</v>
      </c>
      <c r="G170" s="126" t="s">
        <v>793</v>
      </c>
      <c r="H170" s="126"/>
      <c r="I170" s="130" t="s">
        <v>717</v>
      </c>
      <c r="J170" s="107"/>
      <c r="K170" s="107"/>
      <c r="L170" s="107"/>
      <c r="M170" s="107"/>
      <c r="N170" s="107"/>
      <c r="O170" s="107"/>
      <c r="P170" s="107"/>
      <c r="Q170" s="107"/>
      <c r="R170" s="107"/>
      <c r="S170" s="107"/>
      <c r="T170" s="107"/>
      <c r="U170" s="107"/>
      <c r="V170" s="107"/>
      <c r="W170" s="107"/>
      <c r="X170" s="107"/>
      <c r="Y170" s="107"/>
      <c r="Z170" s="107"/>
      <c r="AA170" s="107"/>
      <c r="AB170" s="107"/>
      <c r="AC170" s="107"/>
      <c r="AD170" s="107"/>
    </row>
    <row r="171">
      <c r="A171" s="107"/>
      <c r="B171" s="107"/>
      <c r="C171" s="124" t="s">
        <v>794</v>
      </c>
      <c r="D171" s="15"/>
      <c r="E171" s="108"/>
      <c r="F171" s="126" t="s">
        <v>727</v>
      </c>
      <c r="G171" s="126" t="s">
        <v>795</v>
      </c>
      <c r="H171" s="126"/>
      <c r="I171" s="130" t="s">
        <v>717</v>
      </c>
      <c r="J171" s="107"/>
      <c r="K171" s="107"/>
      <c r="L171" s="107"/>
      <c r="M171" s="107"/>
      <c r="N171" s="107"/>
      <c r="O171" s="107"/>
      <c r="P171" s="107"/>
      <c r="Q171" s="107"/>
      <c r="R171" s="107"/>
      <c r="S171" s="107"/>
      <c r="T171" s="107"/>
      <c r="U171" s="107"/>
      <c r="V171" s="107"/>
      <c r="W171" s="107"/>
      <c r="X171" s="107"/>
      <c r="Y171" s="107"/>
      <c r="Z171" s="107"/>
      <c r="AA171" s="107"/>
      <c r="AB171" s="107"/>
      <c r="AC171" s="107"/>
      <c r="AD171" s="107"/>
    </row>
    <row r="172">
      <c r="A172" s="107"/>
      <c r="B172" s="107"/>
      <c r="C172" s="124" t="s">
        <v>796</v>
      </c>
      <c r="D172" s="15"/>
      <c r="E172" s="108"/>
      <c r="F172" s="126" t="s">
        <v>727</v>
      </c>
      <c r="G172" s="126" t="s">
        <v>797</v>
      </c>
      <c r="H172" s="126" t="s">
        <v>789</v>
      </c>
      <c r="I172" s="130" t="s">
        <v>36</v>
      </c>
      <c r="J172" s="107"/>
      <c r="K172" s="107"/>
      <c r="L172" s="107"/>
      <c r="M172" s="107"/>
      <c r="N172" s="107"/>
      <c r="O172" s="107"/>
      <c r="P172" s="107"/>
      <c r="Q172" s="107"/>
      <c r="R172" s="107"/>
      <c r="S172" s="107"/>
      <c r="T172" s="107"/>
      <c r="U172" s="107"/>
      <c r="V172" s="107"/>
      <c r="W172" s="107"/>
      <c r="X172" s="107"/>
      <c r="Y172" s="107"/>
      <c r="Z172" s="107"/>
      <c r="AA172" s="107"/>
      <c r="AB172" s="107"/>
      <c r="AC172" s="107"/>
      <c r="AD172" s="107"/>
    </row>
    <row r="173">
      <c r="A173" s="107"/>
      <c r="B173" s="107"/>
      <c r="C173" s="124" t="s">
        <v>798</v>
      </c>
      <c r="D173" s="15"/>
      <c r="E173" s="108"/>
      <c r="F173" s="126" t="s">
        <v>727</v>
      </c>
      <c r="G173" s="126" t="s">
        <v>799</v>
      </c>
      <c r="H173" s="126"/>
      <c r="I173" s="130" t="s">
        <v>717</v>
      </c>
      <c r="J173" s="107"/>
      <c r="K173" s="107"/>
      <c r="L173" s="107"/>
      <c r="M173" s="107"/>
      <c r="N173" s="107"/>
      <c r="O173" s="107"/>
      <c r="P173" s="107"/>
      <c r="Q173" s="107"/>
      <c r="R173" s="107"/>
      <c r="S173" s="107"/>
      <c r="T173" s="107"/>
      <c r="U173" s="107"/>
      <c r="V173" s="107"/>
      <c r="W173" s="107"/>
      <c r="X173" s="107"/>
      <c r="Y173" s="107"/>
      <c r="Z173" s="107"/>
      <c r="AA173" s="107"/>
      <c r="AB173" s="107"/>
      <c r="AC173" s="107"/>
      <c r="AD173" s="107"/>
    </row>
    <row r="174">
      <c r="A174" s="107"/>
      <c r="B174" s="107"/>
      <c r="C174" s="124" t="s">
        <v>800</v>
      </c>
      <c r="D174" s="15"/>
      <c r="E174" s="108"/>
      <c r="F174" s="126" t="s">
        <v>727</v>
      </c>
      <c r="G174" s="126" t="s">
        <v>801</v>
      </c>
      <c r="H174" s="126"/>
      <c r="I174" s="130" t="s">
        <v>717</v>
      </c>
      <c r="J174" s="107"/>
      <c r="K174" s="107"/>
      <c r="L174" s="107"/>
      <c r="M174" s="107"/>
      <c r="N174" s="107"/>
      <c r="O174" s="107"/>
      <c r="P174" s="107"/>
      <c r="Q174" s="107"/>
      <c r="R174" s="107"/>
      <c r="S174" s="107"/>
      <c r="T174" s="107"/>
      <c r="U174" s="107"/>
      <c r="V174" s="107"/>
      <c r="W174" s="107"/>
      <c r="X174" s="107"/>
      <c r="Y174" s="107"/>
      <c r="Z174" s="107"/>
      <c r="AA174" s="107"/>
      <c r="AB174" s="107"/>
      <c r="AC174" s="107"/>
      <c r="AD174" s="107"/>
    </row>
    <row r="175">
      <c r="A175" s="107"/>
      <c r="B175" s="107"/>
      <c r="C175" s="124" t="s">
        <v>802</v>
      </c>
      <c r="D175" s="15"/>
      <c r="E175" s="109"/>
      <c r="F175" s="126" t="s">
        <v>727</v>
      </c>
      <c r="G175" s="126" t="s">
        <v>803</v>
      </c>
      <c r="H175" s="126"/>
      <c r="I175" s="130" t="s">
        <v>717</v>
      </c>
      <c r="J175" s="107"/>
      <c r="K175" s="107"/>
      <c r="L175" s="107"/>
      <c r="M175" s="107"/>
      <c r="N175" s="107"/>
      <c r="O175" s="107"/>
      <c r="P175" s="107"/>
      <c r="Q175" s="107"/>
      <c r="R175" s="107"/>
      <c r="S175" s="107"/>
      <c r="T175" s="107"/>
      <c r="U175" s="107"/>
      <c r="V175" s="107"/>
      <c r="W175" s="107"/>
      <c r="X175" s="107"/>
      <c r="Y175" s="107"/>
      <c r="Z175" s="107"/>
      <c r="AA175" s="107"/>
      <c r="AB175" s="107"/>
      <c r="AC175" s="107"/>
      <c r="AD175" s="107"/>
    </row>
    <row r="176">
      <c r="A176" s="107"/>
      <c r="B176" s="107"/>
      <c r="C176" s="124" t="s">
        <v>804</v>
      </c>
      <c r="D176" s="15"/>
      <c r="E176" s="133" t="s">
        <v>805</v>
      </c>
      <c r="F176" s="126" t="s">
        <v>727</v>
      </c>
      <c r="G176" s="126" t="s">
        <v>806</v>
      </c>
      <c r="H176" s="126" t="s">
        <v>807</v>
      </c>
      <c r="I176" s="130" t="s">
        <v>717</v>
      </c>
      <c r="J176" s="138"/>
      <c r="K176" s="107"/>
      <c r="L176" s="107"/>
      <c r="M176" s="107"/>
      <c r="N176" s="107"/>
      <c r="O176" s="107"/>
      <c r="P176" s="107"/>
      <c r="Q176" s="107"/>
      <c r="R176" s="107"/>
      <c r="S176" s="107"/>
      <c r="T176" s="107"/>
      <c r="U176" s="107"/>
      <c r="V176" s="107"/>
      <c r="W176" s="107"/>
      <c r="X176" s="107"/>
      <c r="Y176" s="107"/>
      <c r="Z176" s="107"/>
      <c r="AA176" s="107"/>
      <c r="AB176" s="107"/>
      <c r="AC176" s="107"/>
      <c r="AD176" s="107"/>
    </row>
    <row r="177">
      <c r="A177" s="107"/>
      <c r="B177" s="107"/>
      <c r="C177" s="124" t="s">
        <v>808</v>
      </c>
      <c r="D177" s="15"/>
      <c r="E177" s="109"/>
      <c r="F177" s="126" t="s">
        <v>727</v>
      </c>
      <c r="G177" s="126" t="s">
        <v>809</v>
      </c>
      <c r="H177" s="126" t="s">
        <v>807</v>
      </c>
      <c r="I177" s="130" t="s">
        <v>717</v>
      </c>
      <c r="J177" s="138"/>
      <c r="K177" s="107"/>
      <c r="L177" s="107"/>
      <c r="M177" s="107"/>
      <c r="N177" s="107"/>
      <c r="O177" s="107"/>
      <c r="P177" s="107"/>
      <c r="Q177" s="107"/>
      <c r="R177" s="107"/>
      <c r="S177" s="107"/>
      <c r="T177" s="107"/>
      <c r="U177" s="107"/>
      <c r="V177" s="107"/>
      <c r="W177" s="107"/>
      <c r="X177" s="107"/>
      <c r="Y177" s="107"/>
      <c r="Z177" s="107"/>
      <c r="AA177" s="107"/>
      <c r="AB177" s="107"/>
      <c r="AC177" s="107"/>
      <c r="AD177" s="107"/>
    </row>
    <row r="178">
      <c r="A178" s="107"/>
      <c r="B178" s="107"/>
      <c r="C178" s="124" t="s">
        <v>810</v>
      </c>
      <c r="D178" s="15"/>
      <c r="E178" s="133" t="s">
        <v>811</v>
      </c>
      <c r="F178" s="126" t="s">
        <v>727</v>
      </c>
      <c r="G178" s="126" t="s">
        <v>812</v>
      </c>
      <c r="H178" s="126" t="s">
        <v>807</v>
      </c>
      <c r="I178" s="130" t="s">
        <v>36</v>
      </c>
      <c r="J178" s="138"/>
      <c r="K178" s="107"/>
      <c r="L178" s="107"/>
      <c r="M178" s="107"/>
      <c r="N178" s="107"/>
      <c r="O178" s="107"/>
      <c r="P178" s="107"/>
      <c r="Q178" s="107"/>
      <c r="R178" s="107"/>
      <c r="S178" s="107"/>
      <c r="T178" s="107"/>
      <c r="U178" s="107"/>
      <c r="V178" s="107"/>
      <c r="W178" s="107"/>
      <c r="X178" s="107"/>
      <c r="Y178" s="107"/>
      <c r="Z178" s="107"/>
      <c r="AA178" s="107"/>
      <c r="AB178" s="107"/>
      <c r="AC178" s="107"/>
      <c r="AD178" s="107"/>
    </row>
    <row r="179">
      <c r="A179" s="107"/>
      <c r="B179" s="107"/>
      <c r="C179" s="124" t="s">
        <v>813</v>
      </c>
      <c r="D179" s="15"/>
      <c r="E179" s="108"/>
      <c r="F179" s="126" t="s">
        <v>727</v>
      </c>
      <c r="G179" s="126" t="s">
        <v>814</v>
      </c>
      <c r="H179" s="126" t="s">
        <v>807</v>
      </c>
      <c r="I179" s="130" t="s">
        <v>36</v>
      </c>
      <c r="J179" s="138"/>
      <c r="K179" s="107"/>
      <c r="L179" s="107"/>
      <c r="M179" s="107"/>
      <c r="N179" s="107"/>
      <c r="O179" s="107"/>
      <c r="P179" s="107"/>
      <c r="Q179" s="107"/>
      <c r="R179" s="107"/>
      <c r="S179" s="107"/>
      <c r="T179" s="107"/>
      <c r="U179" s="107"/>
      <c r="V179" s="107"/>
      <c r="W179" s="107"/>
      <c r="X179" s="107"/>
      <c r="Y179" s="107"/>
      <c r="Z179" s="107"/>
      <c r="AA179" s="107"/>
      <c r="AB179" s="107"/>
      <c r="AC179" s="107"/>
      <c r="AD179" s="107"/>
    </row>
    <row r="180">
      <c r="A180" s="107"/>
      <c r="B180" s="107"/>
      <c r="C180" s="124" t="s">
        <v>815</v>
      </c>
      <c r="D180" s="15"/>
      <c r="E180" s="109"/>
      <c r="F180" s="126" t="s">
        <v>727</v>
      </c>
      <c r="G180" s="126" t="s">
        <v>816</v>
      </c>
      <c r="H180" s="126" t="s">
        <v>807</v>
      </c>
      <c r="I180" s="130" t="s">
        <v>36</v>
      </c>
      <c r="J180" s="138"/>
      <c r="K180" s="107"/>
      <c r="L180" s="107"/>
      <c r="M180" s="107"/>
      <c r="N180" s="107"/>
      <c r="O180" s="107"/>
      <c r="P180" s="107"/>
      <c r="Q180" s="107"/>
      <c r="R180" s="107"/>
      <c r="S180" s="107"/>
      <c r="T180" s="107"/>
      <c r="U180" s="107"/>
      <c r="V180" s="107"/>
      <c r="W180" s="107"/>
      <c r="X180" s="107"/>
      <c r="Y180" s="107"/>
      <c r="Z180" s="107"/>
      <c r="AA180" s="107"/>
      <c r="AB180" s="107"/>
      <c r="AC180" s="107"/>
      <c r="AD180" s="107"/>
    </row>
    <row r="181">
      <c r="A181" s="107"/>
      <c r="B181" s="107"/>
      <c r="C181" s="124" t="s">
        <v>817</v>
      </c>
      <c r="D181" s="15"/>
      <c r="E181" s="133" t="s">
        <v>202</v>
      </c>
      <c r="F181" s="126" t="s">
        <v>727</v>
      </c>
      <c r="G181" s="126" t="s">
        <v>818</v>
      </c>
      <c r="H181" s="126" t="s">
        <v>807</v>
      </c>
      <c r="I181" s="130" t="s">
        <v>36</v>
      </c>
      <c r="J181" s="111"/>
      <c r="K181" s="107"/>
      <c r="L181" s="107"/>
      <c r="M181" s="107"/>
      <c r="N181" s="107"/>
      <c r="O181" s="107"/>
      <c r="P181" s="107"/>
      <c r="Q181" s="107"/>
      <c r="R181" s="107"/>
      <c r="S181" s="107"/>
      <c r="T181" s="107"/>
      <c r="U181" s="107"/>
      <c r="V181" s="107"/>
      <c r="W181" s="107"/>
      <c r="X181" s="107"/>
      <c r="Y181" s="107"/>
      <c r="Z181" s="107"/>
      <c r="AA181" s="107"/>
      <c r="AB181" s="107"/>
      <c r="AC181" s="107"/>
      <c r="AD181" s="107"/>
    </row>
    <row r="182">
      <c r="A182" s="107"/>
      <c r="B182" s="107"/>
      <c r="C182" s="124" t="s">
        <v>819</v>
      </c>
      <c r="D182" s="15"/>
      <c r="E182" s="109"/>
      <c r="F182" s="126" t="s">
        <v>727</v>
      </c>
      <c r="G182" s="126" t="s">
        <v>820</v>
      </c>
      <c r="H182" s="126" t="s">
        <v>807</v>
      </c>
      <c r="I182" s="130" t="s">
        <v>36</v>
      </c>
      <c r="J182" s="111"/>
      <c r="K182" s="107"/>
      <c r="L182" s="107"/>
      <c r="M182" s="107"/>
      <c r="N182" s="107"/>
      <c r="O182" s="107"/>
      <c r="P182" s="107"/>
      <c r="Q182" s="107"/>
      <c r="R182" s="107"/>
      <c r="S182" s="107"/>
      <c r="T182" s="107"/>
      <c r="U182" s="107"/>
      <c r="V182" s="107"/>
      <c r="W182" s="107"/>
      <c r="X182" s="107"/>
      <c r="Y182" s="107"/>
      <c r="Z182" s="107"/>
      <c r="AA182" s="107"/>
      <c r="AB182" s="107"/>
      <c r="AC182" s="107"/>
      <c r="AD182" s="107"/>
    </row>
    <row r="183">
      <c r="A183" s="107"/>
      <c r="B183" s="107"/>
      <c r="C183" s="124" t="s">
        <v>821</v>
      </c>
      <c r="D183" s="15"/>
      <c r="E183" s="133" t="s">
        <v>203</v>
      </c>
      <c r="F183" s="126" t="s">
        <v>822</v>
      </c>
      <c r="G183" s="126" t="s">
        <v>823</v>
      </c>
      <c r="H183" s="126" t="s">
        <v>345</v>
      </c>
      <c r="I183" s="130" t="s">
        <v>36</v>
      </c>
      <c r="J183" s="111"/>
      <c r="K183" s="107"/>
      <c r="L183" s="107"/>
      <c r="M183" s="107"/>
      <c r="N183" s="107"/>
      <c r="O183" s="107"/>
      <c r="P183" s="107"/>
      <c r="Q183" s="107"/>
      <c r="R183" s="107"/>
      <c r="S183" s="107"/>
      <c r="T183" s="107"/>
      <c r="U183" s="107"/>
      <c r="V183" s="107"/>
      <c r="W183" s="107"/>
      <c r="X183" s="107"/>
      <c r="Y183" s="107"/>
      <c r="Z183" s="107"/>
      <c r="AA183" s="107"/>
      <c r="AB183" s="107"/>
      <c r="AC183" s="107"/>
      <c r="AD183" s="107"/>
    </row>
    <row r="184">
      <c r="A184" s="107"/>
      <c r="B184" s="107"/>
      <c r="C184" s="124" t="s">
        <v>824</v>
      </c>
      <c r="D184" s="15"/>
      <c r="E184" s="108"/>
      <c r="F184" s="126" t="s">
        <v>822</v>
      </c>
      <c r="G184" s="126" t="s">
        <v>825</v>
      </c>
      <c r="H184" s="126" t="s">
        <v>345</v>
      </c>
      <c r="I184" s="130" t="s">
        <v>36</v>
      </c>
      <c r="J184" s="111"/>
      <c r="K184" s="107"/>
      <c r="L184" s="107"/>
      <c r="M184" s="107"/>
      <c r="N184" s="107"/>
      <c r="O184" s="107"/>
      <c r="P184" s="107"/>
      <c r="Q184" s="107"/>
      <c r="R184" s="107"/>
      <c r="S184" s="107"/>
      <c r="T184" s="107"/>
      <c r="U184" s="107"/>
      <c r="V184" s="107"/>
      <c r="W184" s="107"/>
      <c r="X184" s="107"/>
      <c r="Y184" s="107"/>
      <c r="Z184" s="107"/>
      <c r="AA184" s="107"/>
      <c r="AB184" s="107"/>
      <c r="AC184" s="107"/>
      <c r="AD184" s="107"/>
    </row>
    <row r="185">
      <c r="A185" s="107"/>
      <c r="B185" s="107"/>
      <c r="C185" s="124" t="s">
        <v>826</v>
      </c>
      <c r="D185" s="15"/>
      <c r="E185" s="109"/>
      <c r="F185" s="126" t="s">
        <v>827</v>
      </c>
      <c r="G185" s="126" t="s">
        <v>358</v>
      </c>
      <c r="H185" s="126" t="s">
        <v>828</v>
      </c>
      <c r="I185" s="130" t="s">
        <v>36</v>
      </c>
      <c r="J185" s="111"/>
      <c r="K185" s="107"/>
      <c r="L185" s="107"/>
      <c r="M185" s="107"/>
      <c r="N185" s="107"/>
      <c r="O185" s="107"/>
      <c r="P185" s="107"/>
      <c r="Q185" s="107"/>
      <c r="R185" s="107"/>
      <c r="S185" s="107"/>
      <c r="T185" s="107"/>
      <c r="U185" s="107"/>
      <c r="V185" s="107"/>
      <c r="W185" s="107"/>
      <c r="X185" s="107"/>
      <c r="Y185" s="107"/>
      <c r="Z185" s="107"/>
      <c r="AA185" s="107"/>
      <c r="AB185" s="107"/>
      <c r="AC185" s="107"/>
      <c r="AD185" s="107"/>
    </row>
    <row r="186">
      <c r="A186" s="107"/>
      <c r="B186" s="107"/>
      <c r="C186" s="124" t="s">
        <v>829</v>
      </c>
      <c r="D186" s="15"/>
      <c r="E186" s="134" t="s">
        <v>204</v>
      </c>
      <c r="F186" s="126" t="s">
        <v>830</v>
      </c>
      <c r="G186" s="126" t="s">
        <v>831</v>
      </c>
      <c r="H186" s="129" t="s">
        <v>832</v>
      </c>
      <c r="I186" s="130" t="s">
        <v>36</v>
      </c>
      <c r="J186" s="111"/>
      <c r="K186" s="107"/>
      <c r="L186" s="107"/>
      <c r="M186" s="107"/>
      <c r="N186" s="107"/>
      <c r="O186" s="107"/>
      <c r="P186" s="107"/>
      <c r="Q186" s="107"/>
      <c r="R186" s="107"/>
      <c r="S186" s="107"/>
      <c r="T186" s="107"/>
      <c r="U186" s="107"/>
      <c r="V186" s="107"/>
      <c r="W186" s="107"/>
      <c r="X186" s="107"/>
      <c r="Y186" s="107"/>
      <c r="Z186" s="107"/>
      <c r="AA186" s="107"/>
      <c r="AB186" s="107"/>
      <c r="AC186" s="107"/>
      <c r="AD186" s="107"/>
    </row>
    <row r="187">
      <c r="A187" s="107"/>
      <c r="B187" s="107"/>
      <c r="C187" s="124" t="s">
        <v>833</v>
      </c>
      <c r="D187" s="15"/>
      <c r="E187" s="133" t="s">
        <v>166</v>
      </c>
      <c r="F187" s="126" t="s">
        <v>834</v>
      </c>
      <c r="G187" s="126" t="s">
        <v>835</v>
      </c>
      <c r="H187" s="126" t="s">
        <v>520</v>
      </c>
      <c r="I187" s="130" t="s">
        <v>36</v>
      </c>
      <c r="J187" s="111"/>
      <c r="K187" s="107"/>
      <c r="L187" s="107"/>
      <c r="M187" s="107"/>
      <c r="N187" s="107"/>
      <c r="O187" s="107"/>
      <c r="P187" s="107"/>
      <c r="Q187" s="107"/>
      <c r="R187" s="107"/>
      <c r="S187" s="107"/>
      <c r="T187" s="107"/>
      <c r="U187" s="107"/>
      <c r="V187" s="107"/>
      <c r="W187" s="107"/>
      <c r="X187" s="107"/>
      <c r="Y187" s="107"/>
      <c r="Z187" s="107"/>
      <c r="AA187" s="107"/>
      <c r="AB187" s="107"/>
      <c r="AC187" s="107"/>
      <c r="AD187" s="107"/>
    </row>
    <row r="188">
      <c r="A188" s="107"/>
      <c r="B188" s="107"/>
      <c r="C188" s="124" t="s">
        <v>836</v>
      </c>
      <c r="D188" s="15"/>
      <c r="E188" s="109"/>
      <c r="F188" s="126" t="s">
        <v>837</v>
      </c>
      <c r="G188" s="126" t="s">
        <v>838</v>
      </c>
      <c r="H188" s="126" t="s">
        <v>839</v>
      </c>
      <c r="I188" s="130" t="s">
        <v>36</v>
      </c>
      <c r="J188" s="111"/>
      <c r="K188" s="107"/>
      <c r="L188" s="107"/>
      <c r="M188" s="107"/>
      <c r="N188" s="107"/>
      <c r="O188" s="107"/>
      <c r="P188" s="107"/>
      <c r="Q188" s="107"/>
      <c r="R188" s="107"/>
      <c r="S188" s="107"/>
      <c r="T188" s="107"/>
      <c r="U188" s="107"/>
      <c r="V188" s="107"/>
      <c r="W188" s="107"/>
      <c r="X188" s="107"/>
      <c r="Y188" s="107"/>
      <c r="Z188" s="107"/>
      <c r="AA188" s="107"/>
      <c r="AB188" s="107"/>
      <c r="AC188" s="107"/>
      <c r="AD188" s="107"/>
    </row>
    <row r="189">
      <c r="A189" s="107"/>
      <c r="B189" s="107"/>
      <c r="C189" s="124" t="s">
        <v>840</v>
      </c>
      <c r="D189" s="15"/>
      <c r="E189" s="133" t="s">
        <v>206</v>
      </c>
      <c r="F189" s="126" t="s">
        <v>841</v>
      </c>
      <c r="G189" s="126" t="s">
        <v>842</v>
      </c>
      <c r="H189" s="126" t="s">
        <v>843</v>
      </c>
      <c r="I189" s="130" t="s">
        <v>317</v>
      </c>
      <c r="J189" s="111"/>
      <c r="K189" s="107"/>
      <c r="L189" s="107"/>
      <c r="M189" s="107"/>
      <c r="N189" s="107"/>
      <c r="O189" s="107"/>
      <c r="P189" s="107"/>
      <c r="Q189" s="107"/>
      <c r="R189" s="107"/>
      <c r="S189" s="107"/>
      <c r="T189" s="107"/>
      <c r="U189" s="107"/>
      <c r="V189" s="107"/>
      <c r="W189" s="107"/>
      <c r="X189" s="107"/>
      <c r="Y189" s="107"/>
      <c r="Z189" s="107"/>
      <c r="AA189" s="107"/>
      <c r="AB189" s="107"/>
      <c r="AC189" s="107"/>
      <c r="AD189" s="107"/>
    </row>
    <row r="190">
      <c r="A190" s="107"/>
      <c r="B190" s="107"/>
      <c r="C190" s="124" t="s">
        <v>844</v>
      </c>
      <c r="D190" s="15"/>
      <c r="E190" s="108"/>
      <c r="F190" s="126" t="s">
        <v>845</v>
      </c>
      <c r="G190" s="126" t="s">
        <v>846</v>
      </c>
      <c r="H190" s="126" t="s">
        <v>843</v>
      </c>
      <c r="I190" s="130" t="s">
        <v>36</v>
      </c>
      <c r="J190" s="111"/>
      <c r="K190" s="107"/>
      <c r="L190" s="107"/>
      <c r="M190" s="107"/>
      <c r="N190" s="107"/>
      <c r="O190" s="107"/>
      <c r="P190" s="107"/>
      <c r="Q190" s="107"/>
      <c r="R190" s="107"/>
      <c r="S190" s="107"/>
      <c r="T190" s="107"/>
      <c r="U190" s="107"/>
      <c r="V190" s="107"/>
      <c r="W190" s="107"/>
      <c r="X190" s="107"/>
      <c r="Y190" s="107"/>
      <c r="Z190" s="107"/>
      <c r="AA190" s="107"/>
      <c r="AB190" s="107"/>
      <c r="AC190" s="107"/>
      <c r="AD190" s="107"/>
    </row>
    <row r="191">
      <c r="A191" s="107"/>
      <c r="B191" s="107"/>
      <c r="C191" s="124" t="s">
        <v>847</v>
      </c>
      <c r="D191" s="15"/>
      <c r="E191" s="108"/>
      <c r="F191" s="126" t="s">
        <v>848</v>
      </c>
      <c r="G191" s="126" t="s">
        <v>849</v>
      </c>
      <c r="H191" s="126" t="s">
        <v>565</v>
      </c>
      <c r="I191" s="130" t="s">
        <v>36</v>
      </c>
      <c r="J191" s="111"/>
      <c r="K191" s="107"/>
      <c r="L191" s="107"/>
      <c r="M191" s="107"/>
      <c r="N191" s="107"/>
      <c r="O191" s="107"/>
      <c r="P191" s="107"/>
      <c r="Q191" s="107"/>
      <c r="R191" s="107"/>
      <c r="S191" s="107"/>
      <c r="T191" s="107"/>
      <c r="U191" s="107"/>
      <c r="V191" s="107"/>
      <c r="W191" s="107"/>
      <c r="X191" s="107"/>
      <c r="Y191" s="107"/>
      <c r="Z191" s="107"/>
      <c r="AA191" s="107"/>
      <c r="AB191" s="107"/>
      <c r="AC191" s="107"/>
      <c r="AD191" s="107"/>
    </row>
    <row r="192">
      <c r="A192" s="107"/>
      <c r="B192" s="107"/>
      <c r="C192" s="124" t="s">
        <v>850</v>
      </c>
      <c r="D192" s="15"/>
      <c r="E192" s="108"/>
      <c r="F192" s="126" t="s">
        <v>851</v>
      </c>
      <c r="G192" s="126" t="s">
        <v>852</v>
      </c>
      <c r="H192" s="126" t="s">
        <v>853</v>
      </c>
      <c r="I192" s="130" t="s">
        <v>36</v>
      </c>
      <c r="J192" s="111"/>
      <c r="K192" s="107"/>
      <c r="L192" s="107"/>
      <c r="M192" s="107"/>
      <c r="N192" s="107"/>
      <c r="O192" s="107"/>
      <c r="P192" s="107"/>
      <c r="Q192" s="107"/>
      <c r="R192" s="107"/>
      <c r="S192" s="107"/>
      <c r="T192" s="107"/>
      <c r="U192" s="107"/>
      <c r="V192" s="107"/>
      <c r="W192" s="107"/>
      <c r="X192" s="107"/>
      <c r="Y192" s="107"/>
      <c r="Z192" s="107"/>
      <c r="AA192" s="107"/>
      <c r="AB192" s="107"/>
      <c r="AC192" s="107"/>
      <c r="AD192" s="107"/>
    </row>
    <row r="193">
      <c r="A193" s="107"/>
      <c r="B193" s="107"/>
      <c r="C193" s="124" t="s">
        <v>854</v>
      </c>
      <c r="D193" s="15"/>
      <c r="E193" s="108"/>
      <c r="F193" s="126" t="s">
        <v>855</v>
      </c>
      <c r="G193" s="126" t="s">
        <v>856</v>
      </c>
      <c r="H193" s="126" t="s">
        <v>573</v>
      </c>
      <c r="I193" s="130" t="s">
        <v>36</v>
      </c>
      <c r="J193" s="111"/>
      <c r="K193" s="107"/>
      <c r="L193" s="107"/>
      <c r="M193" s="107"/>
      <c r="N193" s="107"/>
      <c r="O193" s="107"/>
      <c r="P193" s="107"/>
      <c r="Q193" s="107"/>
      <c r="R193" s="107"/>
      <c r="S193" s="107"/>
      <c r="T193" s="107"/>
      <c r="U193" s="107"/>
      <c r="V193" s="107"/>
      <c r="W193" s="107"/>
      <c r="X193" s="107"/>
      <c r="Y193" s="107"/>
      <c r="Z193" s="107"/>
      <c r="AA193" s="107"/>
      <c r="AB193" s="107"/>
      <c r="AC193" s="107"/>
      <c r="AD193" s="107"/>
    </row>
    <row r="194">
      <c r="A194" s="107"/>
      <c r="B194" s="107"/>
      <c r="C194" s="124" t="s">
        <v>857</v>
      </c>
      <c r="D194" s="15"/>
      <c r="E194" s="108"/>
      <c r="F194" s="126" t="s">
        <v>855</v>
      </c>
      <c r="G194" s="126" t="s">
        <v>858</v>
      </c>
      <c r="H194" s="126" t="s">
        <v>843</v>
      </c>
      <c r="I194" s="130" t="s">
        <v>36</v>
      </c>
      <c r="J194" s="111"/>
      <c r="K194" s="107"/>
      <c r="L194" s="107"/>
      <c r="M194" s="107"/>
      <c r="N194" s="107"/>
      <c r="O194" s="107"/>
      <c r="P194" s="107"/>
      <c r="Q194" s="107"/>
      <c r="R194" s="107"/>
      <c r="S194" s="107"/>
      <c r="T194" s="107"/>
      <c r="U194" s="107"/>
      <c r="V194" s="107"/>
      <c r="W194" s="107"/>
      <c r="X194" s="107"/>
      <c r="Y194" s="107"/>
      <c r="Z194" s="107"/>
      <c r="AA194" s="107"/>
      <c r="AB194" s="107"/>
      <c r="AC194" s="107"/>
      <c r="AD194" s="107"/>
    </row>
    <row r="195">
      <c r="A195" s="107"/>
      <c r="B195" s="107"/>
      <c r="C195" s="124" t="s">
        <v>859</v>
      </c>
      <c r="D195" s="15"/>
      <c r="E195" s="108"/>
      <c r="F195" s="126" t="s">
        <v>860</v>
      </c>
      <c r="G195" s="126" t="s">
        <v>861</v>
      </c>
      <c r="H195" s="126" t="s">
        <v>862</v>
      </c>
      <c r="I195" s="130" t="s">
        <v>36</v>
      </c>
      <c r="J195" s="111"/>
      <c r="K195" s="107"/>
      <c r="L195" s="107"/>
      <c r="M195" s="107"/>
      <c r="N195" s="107"/>
      <c r="O195" s="107"/>
      <c r="P195" s="107"/>
      <c r="Q195" s="107"/>
      <c r="R195" s="107"/>
      <c r="S195" s="107"/>
      <c r="T195" s="107"/>
      <c r="U195" s="107"/>
      <c r="V195" s="107"/>
      <c r="W195" s="107"/>
      <c r="X195" s="107"/>
      <c r="Y195" s="107"/>
      <c r="Z195" s="107"/>
      <c r="AA195" s="107"/>
      <c r="AB195" s="107"/>
      <c r="AC195" s="107"/>
      <c r="AD195" s="107"/>
    </row>
    <row r="196">
      <c r="A196" s="107"/>
      <c r="B196" s="107"/>
      <c r="C196" s="124" t="s">
        <v>863</v>
      </c>
      <c r="D196" s="15"/>
      <c r="E196" s="109"/>
      <c r="F196" s="126" t="s">
        <v>860</v>
      </c>
      <c r="G196" s="126" t="s">
        <v>864</v>
      </c>
      <c r="H196" s="126" t="s">
        <v>865</v>
      </c>
      <c r="I196" s="130" t="s">
        <v>36</v>
      </c>
      <c r="J196" s="111"/>
      <c r="K196" s="107"/>
      <c r="L196" s="107"/>
      <c r="M196" s="107"/>
      <c r="N196" s="107"/>
      <c r="O196" s="107"/>
      <c r="P196" s="107"/>
      <c r="Q196" s="107"/>
      <c r="R196" s="107"/>
      <c r="S196" s="107"/>
      <c r="T196" s="107"/>
      <c r="U196" s="107"/>
      <c r="V196" s="107"/>
      <c r="W196" s="107"/>
      <c r="X196" s="107"/>
      <c r="Y196" s="107"/>
      <c r="Z196" s="107"/>
      <c r="AA196" s="107"/>
      <c r="AB196" s="107"/>
      <c r="AC196" s="107"/>
      <c r="AD196" s="107"/>
    </row>
    <row r="197">
      <c r="A197" s="107"/>
      <c r="B197" s="107"/>
      <c r="C197" s="124" t="s">
        <v>866</v>
      </c>
      <c r="D197" s="15"/>
      <c r="E197" s="133" t="s">
        <v>207</v>
      </c>
      <c r="F197" s="126" t="s">
        <v>867</v>
      </c>
      <c r="G197" s="126" t="s">
        <v>868</v>
      </c>
      <c r="H197" s="126" t="s">
        <v>869</v>
      </c>
      <c r="I197" s="130" t="s">
        <v>717</v>
      </c>
      <c r="J197" s="139" t="s">
        <v>870</v>
      </c>
      <c r="K197" s="107"/>
      <c r="L197" s="107"/>
      <c r="M197" s="107"/>
      <c r="N197" s="107"/>
      <c r="O197" s="107"/>
      <c r="P197" s="107"/>
      <c r="Q197" s="107"/>
      <c r="R197" s="107"/>
      <c r="S197" s="107"/>
      <c r="T197" s="107"/>
      <c r="U197" s="107"/>
      <c r="V197" s="107"/>
      <c r="W197" s="107"/>
      <c r="X197" s="107"/>
      <c r="Y197" s="107"/>
      <c r="Z197" s="107"/>
      <c r="AA197" s="107"/>
      <c r="AB197" s="107"/>
      <c r="AC197" s="107"/>
      <c r="AD197" s="107"/>
    </row>
    <row r="198">
      <c r="A198" s="107"/>
      <c r="B198" s="107"/>
      <c r="C198" s="124" t="s">
        <v>871</v>
      </c>
      <c r="D198" s="15"/>
      <c r="E198" s="108"/>
      <c r="F198" s="126" t="s">
        <v>872</v>
      </c>
      <c r="G198" s="126" t="s">
        <v>873</v>
      </c>
      <c r="H198" s="126" t="s">
        <v>874</v>
      </c>
      <c r="I198" s="130" t="s">
        <v>717</v>
      </c>
      <c r="J198" s="139" t="s">
        <v>870</v>
      </c>
      <c r="K198" s="107"/>
      <c r="L198" s="107"/>
      <c r="M198" s="107"/>
      <c r="N198" s="107"/>
      <c r="O198" s="107"/>
      <c r="P198" s="107"/>
      <c r="Q198" s="107"/>
      <c r="R198" s="107"/>
      <c r="S198" s="107"/>
      <c r="T198" s="107"/>
      <c r="U198" s="107"/>
      <c r="V198" s="107"/>
      <c r="W198" s="107"/>
      <c r="X198" s="107"/>
      <c r="Y198" s="107"/>
      <c r="Z198" s="107"/>
      <c r="AA198" s="107"/>
      <c r="AB198" s="107"/>
      <c r="AC198" s="107"/>
      <c r="AD198" s="107"/>
    </row>
    <row r="199">
      <c r="A199" s="107"/>
      <c r="B199" s="107"/>
      <c r="C199" s="124" t="s">
        <v>875</v>
      </c>
      <c r="D199" s="15"/>
      <c r="E199" s="109"/>
      <c r="F199" s="126" t="s">
        <v>876</v>
      </c>
      <c r="G199" s="126" t="s">
        <v>877</v>
      </c>
      <c r="H199" s="126" t="s">
        <v>878</v>
      </c>
      <c r="I199" s="130" t="s">
        <v>717</v>
      </c>
      <c r="J199" s="139" t="s">
        <v>870</v>
      </c>
      <c r="K199" s="107"/>
      <c r="L199" s="107"/>
      <c r="M199" s="107"/>
      <c r="N199" s="107"/>
      <c r="O199" s="107"/>
      <c r="P199" s="107"/>
      <c r="Q199" s="107"/>
      <c r="R199" s="107"/>
      <c r="S199" s="107"/>
      <c r="T199" s="107"/>
      <c r="U199" s="107"/>
      <c r="V199" s="107"/>
      <c r="W199" s="107"/>
      <c r="X199" s="107"/>
      <c r="Y199" s="107"/>
      <c r="Z199" s="107"/>
      <c r="AA199" s="107"/>
      <c r="AB199" s="107"/>
      <c r="AC199" s="107"/>
      <c r="AD199" s="107"/>
    </row>
    <row r="200">
      <c r="A200" s="107"/>
      <c r="B200" s="107"/>
      <c r="C200" s="124" t="s">
        <v>879</v>
      </c>
      <c r="D200" s="15"/>
      <c r="E200" s="133" t="s">
        <v>209</v>
      </c>
      <c r="F200" s="126" t="s">
        <v>880</v>
      </c>
      <c r="G200" s="126" t="s">
        <v>881</v>
      </c>
      <c r="H200" s="126" t="s">
        <v>882</v>
      </c>
      <c r="I200" s="130" t="s">
        <v>36</v>
      </c>
      <c r="J200" s="111"/>
      <c r="K200" s="107"/>
      <c r="L200" s="107"/>
      <c r="M200" s="107"/>
      <c r="N200" s="107"/>
      <c r="O200" s="107"/>
      <c r="P200" s="107"/>
      <c r="Q200" s="107"/>
      <c r="R200" s="107"/>
      <c r="S200" s="107"/>
      <c r="T200" s="107"/>
      <c r="U200" s="107"/>
      <c r="V200" s="107"/>
      <c r="W200" s="107"/>
      <c r="X200" s="107"/>
      <c r="Y200" s="107"/>
      <c r="Z200" s="107"/>
      <c r="AA200" s="107"/>
      <c r="AB200" s="107"/>
      <c r="AC200" s="107"/>
      <c r="AD200" s="107"/>
    </row>
    <row r="201">
      <c r="A201" s="107"/>
      <c r="B201" s="107"/>
      <c r="C201" s="124" t="s">
        <v>883</v>
      </c>
      <c r="D201" s="15"/>
      <c r="E201" s="108"/>
      <c r="F201" s="126" t="s">
        <v>884</v>
      </c>
      <c r="G201" s="126" t="s">
        <v>885</v>
      </c>
      <c r="H201" s="126" t="s">
        <v>886</v>
      </c>
      <c r="I201" s="130" t="s">
        <v>36</v>
      </c>
      <c r="J201" s="111"/>
      <c r="K201" s="107"/>
      <c r="L201" s="107"/>
      <c r="M201" s="107"/>
      <c r="N201" s="107"/>
      <c r="O201" s="107"/>
      <c r="P201" s="107"/>
      <c r="Q201" s="107"/>
      <c r="R201" s="107"/>
      <c r="S201" s="107"/>
      <c r="T201" s="107"/>
      <c r="U201" s="107"/>
      <c r="V201" s="107"/>
      <c r="W201" s="107"/>
      <c r="X201" s="107"/>
      <c r="Y201" s="107"/>
      <c r="Z201" s="107"/>
      <c r="AA201" s="107"/>
      <c r="AB201" s="107"/>
      <c r="AC201" s="107"/>
      <c r="AD201" s="107"/>
    </row>
    <row r="202">
      <c r="A202" s="107"/>
      <c r="B202" s="107"/>
      <c r="C202" s="124" t="s">
        <v>887</v>
      </c>
      <c r="D202" s="15"/>
      <c r="E202" s="108"/>
      <c r="F202" s="126" t="s">
        <v>880</v>
      </c>
      <c r="G202" s="126" t="s">
        <v>888</v>
      </c>
      <c r="H202" s="126" t="s">
        <v>882</v>
      </c>
      <c r="I202" s="130" t="s">
        <v>36</v>
      </c>
      <c r="J202" s="111"/>
      <c r="K202" s="107"/>
      <c r="L202" s="107"/>
      <c r="M202" s="107"/>
      <c r="N202" s="107"/>
      <c r="O202" s="107"/>
      <c r="P202" s="107"/>
      <c r="Q202" s="107"/>
      <c r="R202" s="107"/>
      <c r="S202" s="107"/>
      <c r="T202" s="107"/>
      <c r="U202" s="107"/>
      <c r="V202" s="107"/>
      <c r="W202" s="107"/>
      <c r="X202" s="107"/>
      <c r="Y202" s="107"/>
      <c r="Z202" s="107"/>
      <c r="AA202" s="107"/>
      <c r="AB202" s="107"/>
      <c r="AC202" s="107"/>
      <c r="AD202" s="107"/>
    </row>
    <row r="203">
      <c r="A203" s="107"/>
      <c r="B203" s="107"/>
      <c r="C203" s="124" t="s">
        <v>889</v>
      </c>
      <c r="D203" s="15"/>
      <c r="E203" s="109"/>
      <c r="F203" s="126" t="s">
        <v>880</v>
      </c>
      <c r="G203" s="126" t="s">
        <v>890</v>
      </c>
      <c r="H203" s="126" t="s">
        <v>882</v>
      </c>
      <c r="I203" s="130" t="s">
        <v>36</v>
      </c>
      <c r="J203" s="111"/>
      <c r="K203" s="107"/>
      <c r="L203" s="107"/>
      <c r="M203" s="107"/>
      <c r="N203" s="107"/>
      <c r="O203" s="107"/>
      <c r="P203" s="107"/>
      <c r="Q203" s="107"/>
      <c r="R203" s="107"/>
      <c r="S203" s="107"/>
      <c r="T203" s="107"/>
      <c r="U203" s="107"/>
      <c r="V203" s="107"/>
      <c r="W203" s="107"/>
      <c r="X203" s="107"/>
      <c r="Y203" s="107"/>
      <c r="Z203" s="107"/>
      <c r="AA203" s="107"/>
      <c r="AB203" s="107"/>
      <c r="AC203" s="107"/>
      <c r="AD203" s="107"/>
    </row>
    <row r="204">
      <c r="A204" s="107"/>
      <c r="B204" s="107"/>
      <c r="C204" s="124" t="s">
        <v>891</v>
      </c>
      <c r="D204" s="15"/>
      <c r="E204" s="133" t="s">
        <v>892</v>
      </c>
      <c r="F204" s="126" t="s">
        <v>893</v>
      </c>
      <c r="G204" s="126" t="s">
        <v>894</v>
      </c>
      <c r="H204" s="126" t="s">
        <v>895</v>
      </c>
      <c r="I204" s="130" t="s">
        <v>36</v>
      </c>
      <c r="J204" s="111"/>
      <c r="K204" s="107"/>
      <c r="L204" s="107"/>
      <c r="M204" s="107"/>
      <c r="N204" s="107"/>
      <c r="O204" s="107"/>
      <c r="P204" s="107"/>
      <c r="Q204" s="107"/>
      <c r="R204" s="107"/>
      <c r="S204" s="107"/>
      <c r="T204" s="107"/>
      <c r="U204" s="107"/>
      <c r="V204" s="107"/>
      <c r="W204" s="107"/>
      <c r="X204" s="107"/>
      <c r="Y204" s="107"/>
      <c r="Z204" s="107"/>
      <c r="AA204" s="107"/>
      <c r="AB204" s="107"/>
      <c r="AC204" s="107"/>
      <c r="AD204" s="107"/>
    </row>
    <row r="205">
      <c r="A205" s="107"/>
      <c r="B205" s="107"/>
      <c r="C205" s="124" t="s">
        <v>896</v>
      </c>
      <c r="D205" s="15"/>
      <c r="E205" s="108"/>
      <c r="F205" s="126" t="s">
        <v>893</v>
      </c>
      <c r="G205" s="126" t="s">
        <v>897</v>
      </c>
      <c r="H205" s="126" t="s">
        <v>895</v>
      </c>
      <c r="I205" s="130" t="s">
        <v>36</v>
      </c>
      <c r="J205" s="111"/>
      <c r="K205" s="107"/>
      <c r="L205" s="107"/>
      <c r="M205" s="107"/>
      <c r="N205" s="107"/>
      <c r="O205" s="107"/>
      <c r="P205" s="107"/>
      <c r="Q205" s="107"/>
      <c r="R205" s="107"/>
      <c r="S205" s="107"/>
      <c r="T205" s="107"/>
      <c r="U205" s="107"/>
      <c r="V205" s="107"/>
      <c r="W205" s="107"/>
      <c r="X205" s="107"/>
      <c r="Y205" s="107"/>
      <c r="Z205" s="107"/>
      <c r="AA205" s="107"/>
      <c r="AB205" s="107"/>
      <c r="AC205" s="107"/>
      <c r="AD205" s="107"/>
    </row>
    <row r="206">
      <c r="A206" s="107"/>
      <c r="B206" s="107"/>
      <c r="C206" s="124" t="s">
        <v>898</v>
      </c>
      <c r="D206" s="15"/>
      <c r="E206" s="108"/>
      <c r="F206" s="126" t="s">
        <v>899</v>
      </c>
      <c r="G206" s="126" t="s">
        <v>900</v>
      </c>
      <c r="H206" s="126" t="s">
        <v>624</v>
      </c>
      <c r="I206" s="130" t="s">
        <v>36</v>
      </c>
      <c r="J206" s="111"/>
      <c r="K206" s="107"/>
      <c r="L206" s="107"/>
      <c r="M206" s="107"/>
      <c r="N206" s="107"/>
      <c r="O206" s="107"/>
      <c r="P206" s="107"/>
      <c r="Q206" s="107"/>
      <c r="R206" s="107"/>
      <c r="S206" s="107"/>
      <c r="T206" s="107"/>
      <c r="U206" s="107"/>
      <c r="V206" s="107"/>
      <c r="W206" s="107"/>
      <c r="X206" s="107"/>
      <c r="Y206" s="107"/>
      <c r="Z206" s="107"/>
      <c r="AA206" s="107"/>
      <c r="AB206" s="107"/>
      <c r="AC206" s="107"/>
      <c r="AD206" s="107"/>
    </row>
    <row r="207">
      <c r="A207" s="107"/>
      <c r="B207" s="107"/>
      <c r="C207" s="124" t="s">
        <v>901</v>
      </c>
      <c r="D207" s="15"/>
      <c r="E207" s="108"/>
      <c r="F207" s="126" t="s">
        <v>899</v>
      </c>
      <c r="G207" s="126" t="s">
        <v>902</v>
      </c>
      <c r="H207" s="126" t="s">
        <v>624</v>
      </c>
      <c r="I207" s="130" t="s">
        <v>36</v>
      </c>
      <c r="J207" s="111"/>
      <c r="K207" s="107"/>
      <c r="L207" s="107"/>
      <c r="M207" s="107"/>
      <c r="N207" s="107"/>
      <c r="O207" s="107"/>
      <c r="P207" s="107"/>
      <c r="Q207" s="107"/>
      <c r="R207" s="107"/>
      <c r="S207" s="107"/>
      <c r="T207" s="107"/>
      <c r="U207" s="107"/>
      <c r="V207" s="107"/>
      <c r="W207" s="107"/>
      <c r="X207" s="107"/>
      <c r="Y207" s="107"/>
      <c r="Z207" s="107"/>
      <c r="AA207" s="107"/>
      <c r="AB207" s="107"/>
      <c r="AC207" s="107"/>
      <c r="AD207" s="107"/>
    </row>
    <row r="208">
      <c r="A208" s="107"/>
      <c r="B208" s="107"/>
      <c r="C208" s="124" t="s">
        <v>903</v>
      </c>
      <c r="D208" s="15"/>
      <c r="E208" s="108"/>
      <c r="F208" s="126" t="s">
        <v>904</v>
      </c>
      <c r="G208" s="126" t="s">
        <v>905</v>
      </c>
      <c r="H208" s="126" t="s">
        <v>906</v>
      </c>
      <c r="I208" s="130" t="s">
        <v>36</v>
      </c>
      <c r="J208" s="111"/>
      <c r="K208" s="107"/>
      <c r="L208" s="107"/>
      <c r="M208" s="107"/>
      <c r="N208" s="107"/>
      <c r="O208" s="107"/>
      <c r="P208" s="107"/>
      <c r="Q208" s="107"/>
      <c r="R208" s="107"/>
      <c r="S208" s="107"/>
      <c r="T208" s="107"/>
      <c r="U208" s="107"/>
      <c r="V208" s="107"/>
      <c r="W208" s="107"/>
      <c r="X208" s="107"/>
      <c r="Y208" s="107"/>
      <c r="Z208" s="107"/>
      <c r="AA208" s="107"/>
      <c r="AB208" s="107"/>
      <c r="AC208" s="107"/>
      <c r="AD208" s="107"/>
    </row>
    <row r="209">
      <c r="A209" s="107"/>
      <c r="B209" s="107"/>
      <c r="C209" s="124" t="s">
        <v>907</v>
      </c>
      <c r="D209" s="15"/>
      <c r="E209" s="109"/>
      <c r="F209" s="126" t="s">
        <v>904</v>
      </c>
      <c r="G209" s="126" t="s">
        <v>908</v>
      </c>
      <c r="H209" s="126" t="s">
        <v>906</v>
      </c>
      <c r="I209" s="130" t="s">
        <v>36</v>
      </c>
      <c r="J209" s="111"/>
      <c r="K209" s="107"/>
      <c r="L209" s="107"/>
      <c r="M209" s="107"/>
      <c r="N209" s="107"/>
      <c r="O209" s="107"/>
      <c r="P209" s="107"/>
      <c r="Q209" s="107"/>
      <c r="R209" s="107"/>
      <c r="S209" s="107"/>
      <c r="T209" s="107"/>
      <c r="U209" s="107"/>
      <c r="V209" s="107"/>
      <c r="W209" s="107"/>
      <c r="X209" s="107"/>
      <c r="Y209" s="107"/>
      <c r="Z209" s="107"/>
      <c r="AA209" s="107"/>
      <c r="AB209" s="107"/>
      <c r="AC209" s="107"/>
      <c r="AD209" s="107"/>
    </row>
    <row r="210">
      <c r="A210" s="107"/>
      <c r="B210" s="107"/>
      <c r="C210" s="124" t="s">
        <v>909</v>
      </c>
      <c r="D210" s="15"/>
      <c r="E210" s="131" t="s">
        <v>214</v>
      </c>
      <c r="F210" s="126" t="s">
        <v>910</v>
      </c>
      <c r="G210" s="126" t="s">
        <v>911</v>
      </c>
      <c r="H210" s="126" t="s">
        <v>912</v>
      </c>
      <c r="I210" s="130" t="s">
        <v>36</v>
      </c>
      <c r="J210" s="107"/>
      <c r="K210" s="107"/>
      <c r="L210" s="107"/>
      <c r="M210" s="107"/>
      <c r="N210" s="107"/>
      <c r="O210" s="107"/>
      <c r="P210" s="107"/>
      <c r="Q210" s="107"/>
      <c r="R210" s="107"/>
      <c r="S210" s="107"/>
      <c r="T210" s="107"/>
      <c r="U210" s="107"/>
      <c r="V210" s="107"/>
      <c r="W210" s="107"/>
      <c r="X210" s="107"/>
      <c r="Y210" s="107"/>
      <c r="Z210" s="107"/>
      <c r="AA210" s="107"/>
      <c r="AB210" s="107"/>
      <c r="AC210" s="107"/>
      <c r="AD210" s="107"/>
    </row>
    <row r="211">
      <c r="A211" s="107"/>
      <c r="B211" s="107"/>
      <c r="C211" s="124" t="s">
        <v>913</v>
      </c>
      <c r="D211" s="15"/>
      <c r="E211" s="108"/>
      <c r="F211" s="126" t="s">
        <v>914</v>
      </c>
      <c r="G211" s="126" t="s">
        <v>911</v>
      </c>
      <c r="H211" s="126" t="s">
        <v>915</v>
      </c>
      <c r="I211" s="130" t="s">
        <v>36</v>
      </c>
      <c r="J211" s="107"/>
      <c r="K211" s="107"/>
      <c r="L211" s="107"/>
      <c r="M211" s="107"/>
      <c r="N211" s="107"/>
      <c r="O211" s="107"/>
      <c r="P211" s="107"/>
      <c r="Q211" s="107"/>
      <c r="R211" s="107"/>
      <c r="S211" s="107"/>
      <c r="T211" s="107"/>
      <c r="U211" s="107"/>
      <c r="V211" s="107"/>
      <c r="W211" s="107"/>
      <c r="X211" s="107"/>
      <c r="Y211" s="107"/>
      <c r="Z211" s="107"/>
      <c r="AA211" s="107"/>
      <c r="AB211" s="107"/>
      <c r="AC211" s="107"/>
      <c r="AD211" s="107"/>
    </row>
    <row r="212">
      <c r="A212" s="107"/>
      <c r="B212" s="107"/>
      <c r="C212" s="124" t="s">
        <v>916</v>
      </c>
      <c r="D212" s="15"/>
      <c r="E212" s="108"/>
      <c r="F212" s="126" t="s">
        <v>917</v>
      </c>
      <c r="G212" s="126" t="s">
        <v>911</v>
      </c>
      <c r="H212" s="126" t="s">
        <v>918</v>
      </c>
      <c r="I212" s="130" t="s">
        <v>36</v>
      </c>
      <c r="J212" s="107"/>
      <c r="K212" s="107"/>
      <c r="L212" s="107"/>
      <c r="M212" s="107"/>
      <c r="N212" s="107"/>
      <c r="O212" s="107"/>
      <c r="P212" s="107"/>
      <c r="Q212" s="107"/>
      <c r="R212" s="107"/>
      <c r="S212" s="107"/>
      <c r="T212" s="107"/>
      <c r="U212" s="107"/>
      <c r="V212" s="107"/>
      <c r="W212" s="107"/>
      <c r="X212" s="107"/>
      <c r="Y212" s="107"/>
      <c r="Z212" s="107"/>
      <c r="AA212" s="107"/>
      <c r="AB212" s="107"/>
      <c r="AC212" s="107"/>
      <c r="AD212" s="107"/>
    </row>
    <row r="213">
      <c r="A213" s="107"/>
      <c r="B213" s="107"/>
      <c r="C213" s="124" t="s">
        <v>919</v>
      </c>
      <c r="D213" s="15"/>
      <c r="E213" s="108"/>
      <c r="F213" s="126" t="s">
        <v>920</v>
      </c>
      <c r="G213" s="126" t="s">
        <v>921</v>
      </c>
      <c r="H213" s="126" t="s">
        <v>922</v>
      </c>
      <c r="I213" s="130" t="s">
        <v>36</v>
      </c>
      <c r="J213" s="107"/>
      <c r="K213" s="107"/>
      <c r="L213" s="107"/>
      <c r="M213" s="107"/>
      <c r="N213" s="107"/>
      <c r="O213" s="107"/>
      <c r="P213" s="107"/>
      <c r="Q213" s="107"/>
      <c r="R213" s="107"/>
      <c r="S213" s="107"/>
      <c r="T213" s="107"/>
      <c r="U213" s="107"/>
      <c r="V213" s="107"/>
      <c r="W213" s="107"/>
      <c r="X213" s="107"/>
      <c r="Y213" s="107"/>
      <c r="Z213" s="107"/>
      <c r="AA213" s="107"/>
      <c r="AB213" s="107"/>
      <c r="AC213" s="107"/>
      <c r="AD213" s="107"/>
    </row>
    <row r="214">
      <c r="A214" s="107"/>
      <c r="B214" s="107"/>
      <c r="C214" s="124" t="s">
        <v>923</v>
      </c>
      <c r="D214" s="15"/>
      <c r="E214" s="108"/>
      <c r="F214" s="126" t="s">
        <v>924</v>
      </c>
      <c r="G214" s="126" t="s">
        <v>925</v>
      </c>
      <c r="H214" s="126" t="s">
        <v>922</v>
      </c>
      <c r="I214" s="130" t="s">
        <v>36</v>
      </c>
      <c r="J214" s="107"/>
      <c r="K214" s="107"/>
      <c r="L214" s="107"/>
      <c r="M214" s="107"/>
      <c r="N214" s="107"/>
      <c r="O214" s="107"/>
      <c r="P214" s="107"/>
      <c r="Q214" s="107"/>
      <c r="R214" s="107"/>
      <c r="S214" s="107"/>
      <c r="T214" s="107"/>
      <c r="U214" s="107"/>
      <c r="V214" s="107"/>
      <c r="W214" s="107"/>
      <c r="X214" s="107"/>
      <c r="Y214" s="107"/>
      <c r="Z214" s="107"/>
      <c r="AA214" s="107"/>
      <c r="AB214" s="107"/>
      <c r="AC214" s="107"/>
      <c r="AD214" s="107"/>
    </row>
    <row r="215">
      <c r="A215" s="107"/>
      <c r="B215" s="107"/>
      <c r="C215" s="124" t="s">
        <v>926</v>
      </c>
      <c r="D215" s="15"/>
      <c r="E215" s="108"/>
      <c r="F215" s="126" t="s">
        <v>927</v>
      </c>
      <c r="G215" s="126" t="s">
        <v>928</v>
      </c>
      <c r="H215" s="126" t="s">
        <v>922</v>
      </c>
      <c r="I215" s="130" t="s">
        <v>36</v>
      </c>
      <c r="J215" s="107"/>
      <c r="K215" s="107"/>
      <c r="L215" s="107"/>
      <c r="M215" s="107"/>
      <c r="N215" s="107"/>
      <c r="O215" s="107"/>
      <c r="P215" s="107"/>
      <c r="Q215" s="107"/>
      <c r="R215" s="107"/>
      <c r="S215" s="107"/>
      <c r="T215" s="107"/>
      <c r="U215" s="107"/>
      <c r="V215" s="107"/>
      <c r="W215" s="107"/>
      <c r="X215" s="107"/>
      <c r="Y215" s="107"/>
      <c r="Z215" s="107"/>
      <c r="AA215" s="107"/>
      <c r="AB215" s="107"/>
      <c r="AC215" s="107"/>
      <c r="AD215" s="107"/>
    </row>
    <row r="216">
      <c r="A216" s="107"/>
      <c r="B216" s="107"/>
      <c r="C216" s="124" t="s">
        <v>929</v>
      </c>
      <c r="D216" s="15"/>
      <c r="E216" s="108"/>
      <c r="F216" s="126" t="s">
        <v>920</v>
      </c>
      <c r="G216" s="126" t="s">
        <v>930</v>
      </c>
      <c r="H216" s="126" t="s">
        <v>931</v>
      </c>
      <c r="I216" s="127" t="s">
        <v>317</v>
      </c>
      <c r="J216" s="107"/>
      <c r="K216" s="107"/>
      <c r="L216" s="107"/>
      <c r="M216" s="107"/>
      <c r="N216" s="107"/>
      <c r="O216" s="107"/>
      <c r="P216" s="107"/>
      <c r="Q216" s="107"/>
      <c r="R216" s="107"/>
      <c r="S216" s="107"/>
      <c r="T216" s="107"/>
      <c r="U216" s="107"/>
      <c r="V216" s="107"/>
      <c r="W216" s="107"/>
      <c r="X216" s="107"/>
      <c r="Y216" s="107"/>
      <c r="Z216" s="107"/>
      <c r="AA216" s="107"/>
      <c r="AB216" s="107"/>
      <c r="AC216" s="107"/>
      <c r="AD216" s="107"/>
    </row>
    <row r="217">
      <c r="A217" s="107"/>
      <c r="B217" s="107"/>
      <c r="C217" s="124" t="s">
        <v>932</v>
      </c>
      <c r="D217" s="15"/>
      <c r="E217" s="108"/>
      <c r="F217" s="126" t="s">
        <v>924</v>
      </c>
      <c r="G217" s="126" t="s">
        <v>933</v>
      </c>
      <c r="H217" s="126" t="s">
        <v>934</v>
      </c>
      <c r="I217" s="130" t="s">
        <v>36</v>
      </c>
      <c r="J217" s="107"/>
      <c r="K217" s="107"/>
      <c r="L217" s="107"/>
      <c r="M217" s="107"/>
      <c r="N217" s="107"/>
      <c r="O217" s="107"/>
      <c r="P217" s="107"/>
      <c r="Q217" s="107"/>
      <c r="R217" s="107"/>
      <c r="S217" s="107"/>
      <c r="T217" s="107"/>
      <c r="U217" s="107"/>
      <c r="V217" s="107"/>
      <c r="W217" s="107"/>
      <c r="X217" s="107"/>
      <c r="Y217" s="107"/>
      <c r="Z217" s="107"/>
      <c r="AA217" s="107"/>
      <c r="AB217" s="107"/>
      <c r="AC217" s="107"/>
      <c r="AD217" s="107"/>
    </row>
    <row r="218">
      <c r="A218" s="107"/>
      <c r="B218" s="107"/>
      <c r="C218" s="124" t="s">
        <v>935</v>
      </c>
      <c r="D218" s="15"/>
      <c r="E218" s="108"/>
      <c r="F218" s="126" t="s">
        <v>927</v>
      </c>
      <c r="G218" s="126" t="s">
        <v>936</v>
      </c>
      <c r="H218" s="126" t="s">
        <v>937</v>
      </c>
      <c r="I218" s="130" t="s">
        <v>317</v>
      </c>
      <c r="J218" s="107"/>
      <c r="K218" s="107"/>
      <c r="L218" s="107"/>
      <c r="M218" s="107"/>
      <c r="N218" s="107"/>
      <c r="O218" s="107"/>
      <c r="P218" s="107"/>
      <c r="Q218" s="107"/>
      <c r="R218" s="107"/>
      <c r="S218" s="107"/>
      <c r="T218" s="107"/>
      <c r="U218" s="107"/>
      <c r="V218" s="107"/>
      <c r="W218" s="107"/>
      <c r="X218" s="107"/>
      <c r="Y218" s="107"/>
      <c r="Z218" s="107"/>
      <c r="AA218" s="107"/>
      <c r="AB218" s="107"/>
      <c r="AC218" s="107"/>
      <c r="AD218" s="107"/>
    </row>
    <row r="219">
      <c r="A219" s="107"/>
      <c r="B219" s="107"/>
      <c r="C219" s="124" t="s">
        <v>938</v>
      </c>
      <c r="D219" s="15"/>
      <c r="E219" s="108"/>
      <c r="F219" s="126" t="s">
        <v>939</v>
      </c>
      <c r="G219" s="126" t="s">
        <v>940</v>
      </c>
      <c r="H219" s="126" t="s">
        <v>941</v>
      </c>
      <c r="I219" s="130" t="s">
        <v>317</v>
      </c>
      <c r="J219" s="107"/>
      <c r="K219" s="107"/>
      <c r="L219" s="107"/>
      <c r="M219" s="107"/>
      <c r="N219" s="107"/>
      <c r="O219" s="107"/>
      <c r="P219" s="107"/>
      <c r="Q219" s="107"/>
      <c r="R219" s="107"/>
      <c r="S219" s="107"/>
      <c r="T219" s="107"/>
      <c r="U219" s="107"/>
      <c r="V219" s="107"/>
      <c r="W219" s="107"/>
      <c r="X219" s="107"/>
      <c r="Y219" s="107"/>
      <c r="Z219" s="107"/>
      <c r="AA219" s="107"/>
      <c r="AB219" s="107"/>
      <c r="AC219" s="107"/>
      <c r="AD219" s="107"/>
    </row>
    <row r="220">
      <c r="A220" s="107"/>
      <c r="B220" s="107"/>
      <c r="C220" s="124" t="s">
        <v>942</v>
      </c>
      <c r="D220" s="15"/>
      <c r="E220" s="108"/>
      <c r="F220" s="126" t="s">
        <v>939</v>
      </c>
      <c r="G220" s="126" t="s">
        <v>943</v>
      </c>
      <c r="H220" s="126" t="s">
        <v>944</v>
      </c>
      <c r="I220" s="130" t="s">
        <v>36</v>
      </c>
      <c r="J220" s="107"/>
      <c r="K220" s="107"/>
      <c r="L220" s="107"/>
      <c r="M220" s="107"/>
      <c r="N220" s="107"/>
      <c r="O220" s="107"/>
      <c r="P220" s="107"/>
      <c r="Q220" s="107"/>
      <c r="R220" s="107"/>
      <c r="S220" s="107"/>
      <c r="T220" s="107"/>
      <c r="U220" s="107"/>
      <c r="V220" s="107"/>
      <c r="W220" s="107"/>
      <c r="X220" s="107"/>
      <c r="Y220" s="107"/>
      <c r="Z220" s="107"/>
      <c r="AA220" s="107"/>
      <c r="AB220" s="107"/>
      <c r="AC220" s="107"/>
      <c r="AD220" s="107"/>
    </row>
    <row r="221">
      <c r="A221" s="107"/>
      <c r="B221" s="107"/>
      <c r="C221" s="124" t="s">
        <v>945</v>
      </c>
      <c r="D221" s="15"/>
      <c r="E221" s="108"/>
      <c r="F221" s="126" t="s">
        <v>939</v>
      </c>
      <c r="G221" s="126" t="s">
        <v>946</v>
      </c>
      <c r="H221" s="126" t="s">
        <v>947</v>
      </c>
      <c r="I221" s="130" t="s">
        <v>36</v>
      </c>
      <c r="J221" s="107"/>
      <c r="K221" s="107"/>
      <c r="L221" s="107"/>
      <c r="M221" s="107"/>
      <c r="N221" s="107"/>
      <c r="O221" s="107"/>
      <c r="P221" s="107"/>
      <c r="Q221" s="107"/>
      <c r="R221" s="107"/>
      <c r="S221" s="107"/>
      <c r="T221" s="107"/>
      <c r="U221" s="107"/>
      <c r="V221" s="107"/>
      <c r="W221" s="107"/>
      <c r="X221" s="107"/>
      <c r="Y221" s="107"/>
      <c r="Z221" s="107"/>
      <c r="AA221" s="107"/>
      <c r="AB221" s="107"/>
      <c r="AC221" s="107"/>
      <c r="AD221" s="107"/>
    </row>
    <row r="222">
      <c r="A222" s="107"/>
      <c r="B222" s="107"/>
      <c r="C222" s="124" t="s">
        <v>948</v>
      </c>
      <c r="D222" s="15"/>
      <c r="E222" s="109"/>
      <c r="F222" s="126" t="s">
        <v>939</v>
      </c>
      <c r="G222" s="126" t="s">
        <v>949</v>
      </c>
      <c r="H222" s="126" t="s">
        <v>950</v>
      </c>
      <c r="I222" s="130" t="s">
        <v>36</v>
      </c>
      <c r="J222" s="107"/>
      <c r="K222" s="107"/>
      <c r="L222" s="107"/>
      <c r="M222" s="107"/>
      <c r="N222" s="107"/>
      <c r="O222" s="107"/>
      <c r="P222" s="107"/>
      <c r="Q222" s="107"/>
      <c r="R222" s="107"/>
      <c r="S222" s="107"/>
      <c r="T222" s="107"/>
      <c r="U222" s="107"/>
      <c r="V222" s="107"/>
      <c r="W222" s="107"/>
      <c r="X222" s="107"/>
      <c r="Y222" s="107"/>
      <c r="Z222" s="107"/>
      <c r="AA222" s="107"/>
      <c r="AB222" s="107"/>
      <c r="AC222" s="107"/>
      <c r="AD222" s="107"/>
    </row>
    <row r="223">
      <c r="A223" s="107"/>
      <c r="B223" s="107"/>
      <c r="C223" s="124" t="s">
        <v>951</v>
      </c>
      <c r="D223" s="15"/>
      <c r="E223" s="131" t="s">
        <v>216</v>
      </c>
      <c r="F223" s="126" t="s">
        <v>952</v>
      </c>
      <c r="G223" s="126" t="s">
        <v>953</v>
      </c>
      <c r="H223" s="126" t="s">
        <v>954</v>
      </c>
      <c r="I223" s="130" t="s">
        <v>36</v>
      </c>
      <c r="J223" s="107"/>
      <c r="K223" s="107"/>
      <c r="L223" s="107"/>
      <c r="M223" s="107"/>
      <c r="N223" s="107"/>
      <c r="O223" s="107"/>
      <c r="P223" s="107"/>
      <c r="Q223" s="107"/>
      <c r="R223" s="107"/>
      <c r="S223" s="107"/>
      <c r="T223" s="107"/>
      <c r="U223" s="107"/>
      <c r="V223" s="107"/>
      <c r="W223" s="107"/>
      <c r="X223" s="107"/>
      <c r="Y223" s="107"/>
      <c r="Z223" s="107"/>
      <c r="AA223" s="107"/>
      <c r="AB223" s="107"/>
      <c r="AC223" s="107"/>
      <c r="AD223" s="107"/>
    </row>
    <row r="224">
      <c r="A224" s="107"/>
      <c r="B224" s="107"/>
      <c r="C224" s="124" t="s">
        <v>955</v>
      </c>
      <c r="D224" s="15"/>
      <c r="E224" s="108"/>
      <c r="F224" s="126" t="s">
        <v>956</v>
      </c>
      <c r="G224" s="126" t="s">
        <v>957</v>
      </c>
      <c r="H224" s="126" t="s">
        <v>958</v>
      </c>
      <c r="I224" s="130" t="s">
        <v>36</v>
      </c>
      <c r="J224" s="107"/>
      <c r="K224" s="107"/>
      <c r="L224" s="107"/>
      <c r="M224" s="107"/>
      <c r="N224" s="107"/>
      <c r="O224" s="107"/>
      <c r="P224" s="107"/>
      <c r="Q224" s="107"/>
      <c r="R224" s="107"/>
      <c r="S224" s="107"/>
      <c r="T224" s="107"/>
      <c r="U224" s="107"/>
      <c r="V224" s="107"/>
      <c r="W224" s="107"/>
      <c r="X224" s="107"/>
      <c r="Y224" s="107"/>
      <c r="Z224" s="107"/>
      <c r="AA224" s="107"/>
      <c r="AB224" s="107"/>
      <c r="AC224" s="107"/>
      <c r="AD224" s="107"/>
    </row>
    <row r="225">
      <c r="A225" s="107"/>
      <c r="B225" s="107"/>
      <c r="C225" s="124" t="s">
        <v>959</v>
      </c>
      <c r="D225" s="15"/>
      <c r="E225" s="108"/>
      <c r="F225" s="129" t="s">
        <v>960</v>
      </c>
      <c r="G225" s="126" t="s">
        <v>961</v>
      </c>
      <c r="H225" s="126" t="s">
        <v>962</v>
      </c>
      <c r="I225" s="130" t="s">
        <v>36</v>
      </c>
      <c r="J225" s="107"/>
      <c r="K225" s="107"/>
      <c r="L225" s="107"/>
      <c r="M225" s="107"/>
      <c r="N225" s="107"/>
      <c r="O225" s="107"/>
      <c r="P225" s="107"/>
      <c r="Q225" s="107"/>
      <c r="R225" s="107"/>
      <c r="S225" s="107"/>
      <c r="T225" s="107"/>
      <c r="U225" s="107"/>
      <c r="V225" s="107"/>
      <c r="W225" s="107"/>
      <c r="X225" s="107"/>
      <c r="Y225" s="107"/>
      <c r="Z225" s="107"/>
      <c r="AA225" s="107"/>
      <c r="AB225" s="107"/>
      <c r="AC225" s="107"/>
      <c r="AD225" s="107"/>
    </row>
    <row r="226">
      <c r="A226" s="107"/>
      <c r="B226" s="107"/>
      <c r="C226" s="124" t="s">
        <v>963</v>
      </c>
      <c r="D226" s="15"/>
      <c r="E226" s="108"/>
      <c r="F226" s="126" t="s">
        <v>964</v>
      </c>
      <c r="G226" s="126" t="s">
        <v>965</v>
      </c>
      <c r="H226" s="126" t="s">
        <v>966</v>
      </c>
      <c r="I226" s="130" t="s">
        <v>36</v>
      </c>
      <c r="J226" s="107"/>
      <c r="K226" s="107"/>
      <c r="L226" s="107"/>
      <c r="M226" s="107"/>
      <c r="N226" s="107"/>
      <c r="O226" s="107"/>
      <c r="P226" s="107"/>
      <c r="Q226" s="107"/>
      <c r="R226" s="107"/>
      <c r="S226" s="107"/>
      <c r="T226" s="107"/>
      <c r="U226" s="107"/>
      <c r="V226" s="107"/>
      <c r="W226" s="107"/>
      <c r="X226" s="107"/>
      <c r="Y226" s="107"/>
      <c r="Z226" s="107"/>
      <c r="AA226" s="107"/>
      <c r="AB226" s="107"/>
      <c r="AC226" s="107"/>
      <c r="AD226" s="107"/>
    </row>
    <row r="227">
      <c r="A227" s="107"/>
      <c r="B227" s="107"/>
      <c r="C227" s="124" t="s">
        <v>967</v>
      </c>
      <c r="D227" s="15"/>
      <c r="E227" s="108"/>
      <c r="F227" s="126" t="s">
        <v>968</v>
      </c>
      <c r="G227" s="126" t="s">
        <v>969</v>
      </c>
      <c r="H227" s="126" t="s">
        <v>970</v>
      </c>
      <c r="I227" s="130" t="s">
        <v>36</v>
      </c>
      <c r="J227" s="107"/>
      <c r="K227" s="107"/>
      <c r="L227" s="107"/>
      <c r="M227" s="107"/>
      <c r="N227" s="107"/>
      <c r="O227" s="107"/>
      <c r="P227" s="107"/>
      <c r="Q227" s="107"/>
      <c r="R227" s="107"/>
      <c r="S227" s="107"/>
      <c r="T227" s="107"/>
      <c r="U227" s="107"/>
      <c r="V227" s="107"/>
      <c r="W227" s="107"/>
      <c r="X227" s="107"/>
      <c r="Y227" s="107"/>
      <c r="Z227" s="107"/>
      <c r="AA227" s="107"/>
      <c r="AB227" s="107"/>
      <c r="AC227" s="107"/>
      <c r="AD227" s="107"/>
    </row>
    <row r="228">
      <c r="A228" s="107"/>
      <c r="B228" s="107"/>
      <c r="C228" s="124" t="s">
        <v>971</v>
      </c>
      <c r="D228" s="15"/>
      <c r="E228" s="108"/>
      <c r="F228" s="126" t="s">
        <v>972</v>
      </c>
      <c r="G228" s="126" t="s">
        <v>973</v>
      </c>
      <c r="H228" s="126" t="s">
        <v>974</v>
      </c>
      <c r="I228" s="130" t="s">
        <v>36</v>
      </c>
      <c r="J228" s="107"/>
      <c r="K228" s="107"/>
      <c r="L228" s="107"/>
      <c r="M228" s="107"/>
      <c r="N228" s="107"/>
      <c r="O228" s="107"/>
      <c r="P228" s="107"/>
      <c r="Q228" s="107"/>
      <c r="R228" s="107"/>
      <c r="S228" s="107"/>
      <c r="T228" s="107"/>
      <c r="U228" s="107"/>
      <c r="V228" s="107"/>
      <c r="W228" s="107"/>
      <c r="X228" s="107"/>
      <c r="Y228" s="107"/>
      <c r="Z228" s="107"/>
      <c r="AA228" s="107"/>
      <c r="AB228" s="107"/>
      <c r="AC228" s="107"/>
      <c r="AD228" s="107"/>
    </row>
    <row r="229">
      <c r="A229" s="107"/>
      <c r="B229" s="107"/>
      <c r="C229" s="124" t="s">
        <v>975</v>
      </c>
      <c r="D229" s="15"/>
      <c r="E229" s="108"/>
      <c r="F229" s="126" t="s">
        <v>976</v>
      </c>
      <c r="G229" s="126" t="s">
        <v>977</v>
      </c>
      <c r="H229" s="126" t="s">
        <v>978</v>
      </c>
      <c r="I229" s="130" t="s">
        <v>36</v>
      </c>
      <c r="J229" s="107"/>
      <c r="K229" s="107"/>
      <c r="L229" s="107"/>
      <c r="M229" s="107"/>
      <c r="N229" s="107"/>
      <c r="O229" s="107"/>
      <c r="P229" s="107"/>
      <c r="Q229" s="107"/>
      <c r="R229" s="107"/>
      <c r="S229" s="107"/>
      <c r="T229" s="107"/>
      <c r="U229" s="107"/>
      <c r="V229" s="107"/>
      <c r="W229" s="107"/>
      <c r="X229" s="107"/>
      <c r="Y229" s="107"/>
      <c r="Z229" s="107"/>
      <c r="AA229" s="107"/>
      <c r="AB229" s="107"/>
      <c r="AC229" s="107"/>
      <c r="AD229" s="107"/>
    </row>
    <row r="230">
      <c r="A230" s="107"/>
      <c r="B230" s="107"/>
      <c r="C230" s="124" t="s">
        <v>979</v>
      </c>
      <c r="D230" s="15"/>
      <c r="E230" s="108"/>
      <c r="F230" s="126" t="s">
        <v>976</v>
      </c>
      <c r="G230" s="126" t="s">
        <v>980</v>
      </c>
      <c r="H230" s="126" t="s">
        <v>981</v>
      </c>
      <c r="I230" s="130" t="s">
        <v>36</v>
      </c>
      <c r="J230" s="107"/>
      <c r="K230" s="107"/>
      <c r="L230" s="107"/>
      <c r="M230" s="107"/>
      <c r="N230" s="107"/>
      <c r="O230" s="107"/>
      <c r="P230" s="107"/>
      <c r="Q230" s="107"/>
      <c r="R230" s="107"/>
      <c r="S230" s="107"/>
      <c r="T230" s="107"/>
      <c r="U230" s="107"/>
      <c r="V230" s="107"/>
      <c r="W230" s="107"/>
      <c r="X230" s="107"/>
      <c r="Y230" s="107"/>
      <c r="Z230" s="107"/>
      <c r="AA230" s="107"/>
      <c r="AB230" s="107"/>
      <c r="AC230" s="107"/>
      <c r="AD230" s="107"/>
    </row>
    <row r="231">
      <c r="A231" s="107"/>
      <c r="B231" s="107"/>
      <c r="C231" s="124" t="s">
        <v>982</v>
      </c>
      <c r="D231" s="15"/>
      <c r="E231" s="108"/>
      <c r="F231" s="126" t="s">
        <v>976</v>
      </c>
      <c r="G231" s="126" t="s">
        <v>983</v>
      </c>
      <c r="H231" s="126" t="s">
        <v>981</v>
      </c>
      <c r="I231" s="130" t="s">
        <v>36</v>
      </c>
      <c r="J231" s="107"/>
      <c r="K231" s="107"/>
      <c r="L231" s="107"/>
      <c r="M231" s="107"/>
      <c r="N231" s="107"/>
      <c r="O231" s="107"/>
      <c r="P231" s="107"/>
      <c r="Q231" s="107"/>
      <c r="R231" s="107"/>
      <c r="S231" s="107"/>
      <c r="T231" s="107"/>
      <c r="U231" s="107"/>
      <c r="V231" s="107"/>
      <c r="W231" s="107"/>
      <c r="X231" s="107"/>
      <c r="Y231" s="107"/>
      <c r="Z231" s="107"/>
      <c r="AA231" s="107"/>
      <c r="AB231" s="107"/>
      <c r="AC231" s="107"/>
      <c r="AD231" s="107"/>
    </row>
    <row r="232">
      <c r="A232" s="107"/>
      <c r="B232" s="107"/>
      <c r="C232" s="124" t="s">
        <v>984</v>
      </c>
      <c r="D232" s="15"/>
      <c r="E232" s="109"/>
      <c r="F232" s="126" t="s">
        <v>985</v>
      </c>
      <c r="G232" s="126" t="s">
        <v>986</v>
      </c>
      <c r="H232" s="126" t="s">
        <v>987</v>
      </c>
      <c r="I232" s="130" t="s">
        <v>36</v>
      </c>
      <c r="J232" s="107"/>
      <c r="K232" s="107"/>
      <c r="L232" s="107"/>
      <c r="M232" s="107"/>
      <c r="N232" s="107"/>
      <c r="O232" s="107"/>
      <c r="P232" s="107"/>
      <c r="Q232" s="107"/>
      <c r="R232" s="107"/>
      <c r="S232" s="107"/>
      <c r="T232" s="107"/>
      <c r="U232" s="107"/>
      <c r="V232" s="107"/>
      <c r="W232" s="107"/>
      <c r="X232" s="107"/>
      <c r="Y232" s="107"/>
      <c r="Z232" s="107"/>
      <c r="AA232" s="107"/>
      <c r="AB232" s="107"/>
      <c r="AC232" s="107"/>
      <c r="AD232" s="107"/>
    </row>
    <row r="233">
      <c r="A233" s="107"/>
      <c r="B233" s="107"/>
      <c r="C233" s="124" t="s">
        <v>988</v>
      </c>
      <c r="D233" s="15"/>
      <c r="E233" s="131" t="s">
        <v>989</v>
      </c>
      <c r="F233" s="129" t="s">
        <v>990</v>
      </c>
      <c r="G233" s="129" t="s">
        <v>991</v>
      </c>
      <c r="H233" s="129" t="s">
        <v>992</v>
      </c>
      <c r="I233" s="130" t="s">
        <v>36</v>
      </c>
      <c r="J233" s="107"/>
      <c r="K233" s="107"/>
      <c r="L233" s="107"/>
      <c r="M233" s="107"/>
      <c r="N233" s="107"/>
      <c r="O233" s="107"/>
      <c r="P233" s="107"/>
      <c r="Q233" s="107"/>
      <c r="R233" s="107"/>
      <c r="S233" s="107"/>
      <c r="T233" s="107"/>
      <c r="U233" s="107"/>
      <c r="V233" s="107"/>
      <c r="W233" s="107"/>
      <c r="X233" s="107"/>
      <c r="Y233" s="107"/>
      <c r="Z233" s="107"/>
      <c r="AA233" s="107"/>
      <c r="AB233" s="107"/>
      <c r="AC233" s="107"/>
      <c r="AD233" s="107"/>
    </row>
    <row r="234">
      <c r="A234" s="107"/>
      <c r="B234" s="107"/>
      <c r="C234" s="124" t="s">
        <v>993</v>
      </c>
      <c r="D234" s="15"/>
      <c r="E234" s="108"/>
      <c r="F234" s="129" t="s">
        <v>994</v>
      </c>
      <c r="G234" s="129" t="s">
        <v>995</v>
      </c>
      <c r="H234" s="129" t="s">
        <v>996</v>
      </c>
      <c r="I234" s="130" t="s">
        <v>36</v>
      </c>
      <c r="J234" s="107"/>
      <c r="K234" s="107"/>
      <c r="L234" s="107"/>
      <c r="M234" s="107"/>
      <c r="N234" s="107"/>
      <c r="O234" s="107"/>
      <c r="P234" s="107"/>
      <c r="Q234" s="107"/>
      <c r="R234" s="107"/>
      <c r="S234" s="107"/>
      <c r="T234" s="107"/>
      <c r="U234" s="107"/>
      <c r="V234" s="107"/>
      <c r="W234" s="107"/>
      <c r="X234" s="107"/>
      <c r="Y234" s="107"/>
      <c r="Z234" s="107"/>
      <c r="AA234" s="107"/>
      <c r="AB234" s="107"/>
      <c r="AC234" s="107"/>
      <c r="AD234" s="107"/>
    </row>
    <row r="235">
      <c r="A235" s="107"/>
      <c r="B235" s="107"/>
      <c r="C235" s="124" t="s">
        <v>997</v>
      </c>
      <c r="D235" s="15"/>
      <c r="E235" s="108"/>
      <c r="F235" s="126" t="s">
        <v>998</v>
      </c>
      <c r="G235" s="126" t="s">
        <v>999</v>
      </c>
      <c r="H235" s="126" t="s">
        <v>1000</v>
      </c>
      <c r="I235" s="130" t="s">
        <v>36</v>
      </c>
      <c r="J235" s="107"/>
      <c r="K235" s="107"/>
      <c r="L235" s="107"/>
      <c r="M235" s="107"/>
      <c r="N235" s="107"/>
      <c r="O235" s="107"/>
      <c r="P235" s="107"/>
      <c r="Q235" s="107"/>
      <c r="R235" s="107"/>
      <c r="S235" s="107"/>
      <c r="T235" s="107"/>
      <c r="U235" s="107"/>
      <c r="V235" s="107"/>
      <c r="W235" s="107"/>
      <c r="X235" s="107"/>
      <c r="Y235" s="107"/>
      <c r="Z235" s="107"/>
      <c r="AA235" s="107"/>
      <c r="AB235" s="107"/>
      <c r="AC235" s="107"/>
      <c r="AD235" s="107"/>
    </row>
    <row r="236">
      <c r="A236" s="107"/>
      <c r="B236" s="107"/>
      <c r="C236" s="124" t="s">
        <v>1001</v>
      </c>
      <c r="D236" s="15"/>
      <c r="E236" s="108"/>
      <c r="F236" s="129" t="s">
        <v>1002</v>
      </c>
      <c r="G236" s="129" t="s">
        <v>1003</v>
      </c>
      <c r="H236" s="126" t="s">
        <v>1004</v>
      </c>
      <c r="I236" s="130" t="s">
        <v>36</v>
      </c>
      <c r="J236" s="107"/>
      <c r="K236" s="107"/>
      <c r="L236" s="107"/>
      <c r="M236" s="107"/>
      <c r="N236" s="107"/>
      <c r="O236" s="107"/>
      <c r="P236" s="107"/>
      <c r="Q236" s="107"/>
      <c r="R236" s="107"/>
      <c r="S236" s="107"/>
      <c r="T236" s="107"/>
      <c r="U236" s="107"/>
      <c r="V236" s="107"/>
      <c r="W236" s="107"/>
      <c r="X236" s="107"/>
      <c r="Y236" s="107"/>
      <c r="Z236" s="107"/>
      <c r="AA236" s="107"/>
      <c r="AB236" s="107"/>
      <c r="AC236" s="107"/>
      <c r="AD236" s="107"/>
    </row>
    <row r="237">
      <c r="A237" s="107"/>
      <c r="B237" s="107"/>
      <c r="C237" s="124" t="s">
        <v>1005</v>
      </c>
      <c r="D237" s="15"/>
      <c r="E237" s="108"/>
      <c r="F237" s="129" t="s">
        <v>1006</v>
      </c>
      <c r="G237" s="129" t="s">
        <v>1007</v>
      </c>
      <c r="H237" s="126" t="s">
        <v>1008</v>
      </c>
      <c r="I237" s="130" t="s">
        <v>36</v>
      </c>
      <c r="J237" s="107"/>
      <c r="K237" s="107"/>
      <c r="L237" s="107"/>
      <c r="M237" s="107"/>
      <c r="N237" s="107"/>
      <c r="O237" s="107"/>
      <c r="P237" s="107"/>
      <c r="Q237" s="107"/>
      <c r="R237" s="107"/>
      <c r="S237" s="107"/>
      <c r="T237" s="107"/>
      <c r="U237" s="107"/>
      <c r="V237" s="107"/>
      <c r="W237" s="107"/>
      <c r="X237" s="107"/>
      <c r="Y237" s="107"/>
      <c r="Z237" s="107"/>
      <c r="AA237" s="107"/>
      <c r="AB237" s="107"/>
      <c r="AC237" s="107"/>
      <c r="AD237" s="107"/>
    </row>
    <row r="238">
      <c r="A238" s="107"/>
      <c r="B238" s="107"/>
      <c r="C238" s="124" t="s">
        <v>1009</v>
      </c>
      <c r="D238" s="15"/>
      <c r="E238" s="108"/>
      <c r="F238" s="126" t="s">
        <v>1010</v>
      </c>
      <c r="G238" s="126" t="s">
        <v>1011</v>
      </c>
      <c r="H238" s="126" t="s">
        <v>1008</v>
      </c>
      <c r="I238" s="130" t="s">
        <v>36</v>
      </c>
      <c r="J238" s="107"/>
      <c r="K238" s="107"/>
      <c r="L238" s="107"/>
      <c r="M238" s="107"/>
      <c r="N238" s="107"/>
      <c r="O238" s="107"/>
      <c r="P238" s="107"/>
      <c r="Q238" s="107"/>
      <c r="R238" s="107"/>
      <c r="S238" s="107"/>
      <c r="T238" s="107"/>
      <c r="U238" s="107"/>
      <c r="V238" s="107"/>
      <c r="W238" s="107"/>
      <c r="X238" s="107"/>
      <c r="Y238" s="107"/>
      <c r="Z238" s="107"/>
      <c r="AA238" s="107"/>
      <c r="AB238" s="107"/>
      <c r="AC238" s="107"/>
      <c r="AD238" s="107"/>
    </row>
    <row r="239">
      <c r="A239" s="107"/>
      <c r="B239" s="107"/>
      <c r="C239" s="124" t="s">
        <v>1012</v>
      </c>
      <c r="D239" s="15"/>
      <c r="E239" s="108"/>
      <c r="F239" s="126" t="s">
        <v>1013</v>
      </c>
      <c r="G239" s="126" t="s">
        <v>1014</v>
      </c>
      <c r="H239" s="126" t="s">
        <v>966</v>
      </c>
      <c r="I239" s="130" t="s">
        <v>36</v>
      </c>
      <c r="J239" s="107"/>
      <c r="K239" s="107"/>
      <c r="L239" s="107"/>
      <c r="M239" s="107"/>
      <c r="N239" s="107"/>
      <c r="O239" s="107"/>
      <c r="P239" s="107"/>
      <c r="Q239" s="107"/>
      <c r="R239" s="107"/>
      <c r="S239" s="107"/>
      <c r="T239" s="107"/>
      <c r="U239" s="107"/>
      <c r="V239" s="107"/>
      <c r="W239" s="107"/>
      <c r="X239" s="107"/>
      <c r="Y239" s="107"/>
      <c r="Z239" s="107"/>
      <c r="AA239" s="107"/>
      <c r="AB239" s="107"/>
      <c r="AC239" s="107"/>
      <c r="AD239" s="107"/>
    </row>
    <row r="240">
      <c r="A240" s="107"/>
      <c r="B240" s="107"/>
      <c r="C240" s="124" t="s">
        <v>1015</v>
      </c>
      <c r="D240" s="15"/>
      <c r="E240" s="108"/>
      <c r="F240" s="129" t="s">
        <v>1016</v>
      </c>
      <c r="G240" s="126" t="s">
        <v>1017</v>
      </c>
      <c r="H240" s="126" t="s">
        <v>1018</v>
      </c>
      <c r="I240" s="130" t="s">
        <v>36</v>
      </c>
      <c r="J240" s="107"/>
      <c r="K240" s="107"/>
      <c r="L240" s="107"/>
      <c r="M240" s="107"/>
      <c r="N240" s="107"/>
      <c r="O240" s="107"/>
      <c r="P240" s="107"/>
      <c r="Q240" s="107"/>
      <c r="R240" s="107"/>
      <c r="S240" s="107"/>
      <c r="T240" s="107"/>
      <c r="U240" s="107"/>
      <c r="V240" s="107"/>
      <c r="W240" s="107"/>
      <c r="X240" s="107"/>
      <c r="Y240" s="107"/>
      <c r="Z240" s="107"/>
      <c r="AA240" s="107"/>
      <c r="AB240" s="107"/>
      <c r="AC240" s="107"/>
      <c r="AD240" s="107"/>
    </row>
    <row r="241">
      <c r="A241" s="107"/>
      <c r="B241" s="107"/>
      <c r="C241" s="124" t="s">
        <v>1019</v>
      </c>
      <c r="D241" s="15"/>
      <c r="E241" s="108"/>
      <c r="F241" s="129" t="s">
        <v>1020</v>
      </c>
      <c r="G241" s="126" t="s">
        <v>1021</v>
      </c>
      <c r="H241" s="126" t="s">
        <v>1022</v>
      </c>
      <c r="I241" s="130" t="s">
        <v>36</v>
      </c>
      <c r="J241" s="107"/>
      <c r="K241" s="107"/>
      <c r="L241" s="107"/>
      <c r="M241" s="107"/>
      <c r="N241" s="107"/>
      <c r="O241" s="107"/>
      <c r="P241" s="107"/>
      <c r="Q241" s="107"/>
      <c r="R241" s="107"/>
      <c r="S241" s="107"/>
      <c r="T241" s="107"/>
      <c r="U241" s="107"/>
      <c r="V241" s="107"/>
      <c r="W241" s="107"/>
      <c r="X241" s="107"/>
      <c r="Y241" s="107"/>
      <c r="Z241" s="107"/>
      <c r="AA241" s="107"/>
      <c r="AB241" s="107"/>
      <c r="AC241" s="107"/>
      <c r="AD241" s="107"/>
    </row>
    <row r="242">
      <c r="A242" s="107"/>
      <c r="B242" s="107"/>
      <c r="C242" s="124" t="s">
        <v>1023</v>
      </c>
      <c r="D242" s="15"/>
      <c r="E242" s="108"/>
      <c r="F242" s="126" t="s">
        <v>1024</v>
      </c>
      <c r="G242" s="126" t="s">
        <v>1025</v>
      </c>
      <c r="H242" s="126" t="s">
        <v>1022</v>
      </c>
      <c r="I242" s="130" t="s">
        <v>36</v>
      </c>
      <c r="J242" s="107"/>
      <c r="K242" s="107"/>
      <c r="L242" s="107"/>
      <c r="M242" s="107"/>
      <c r="N242" s="107"/>
      <c r="O242" s="107"/>
      <c r="P242" s="107"/>
      <c r="Q242" s="107"/>
      <c r="R242" s="107"/>
      <c r="S242" s="107"/>
      <c r="T242" s="107"/>
      <c r="U242" s="107"/>
      <c r="V242" s="107"/>
      <c r="W242" s="107"/>
      <c r="X242" s="107"/>
      <c r="Y242" s="107"/>
      <c r="Z242" s="107"/>
      <c r="AA242" s="107"/>
      <c r="AB242" s="107"/>
      <c r="AC242" s="107"/>
      <c r="AD242" s="107"/>
    </row>
    <row r="243">
      <c r="A243" s="107"/>
      <c r="B243" s="107"/>
      <c r="C243" s="124" t="s">
        <v>1026</v>
      </c>
      <c r="D243" s="15"/>
      <c r="E243" s="108"/>
      <c r="F243" s="126" t="s">
        <v>1027</v>
      </c>
      <c r="G243" s="126" t="s">
        <v>1028</v>
      </c>
      <c r="H243" s="126" t="s">
        <v>1029</v>
      </c>
      <c r="I243" s="130" t="s">
        <v>36</v>
      </c>
      <c r="J243" s="107"/>
      <c r="K243" s="107"/>
      <c r="L243" s="107"/>
      <c r="M243" s="107"/>
      <c r="N243" s="107"/>
      <c r="O243" s="107"/>
      <c r="P243" s="107"/>
      <c r="Q243" s="107"/>
      <c r="R243" s="107"/>
      <c r="S243" s="107"/>
      <c r="T243" s="107"/>
      <c r="U243" s="107"/>
      <c r="V243" s="107"/>
      <c r="W243" s="107"/>
      <c r="X243" s="107"/>
      <c r="Y243" s="107"/>
      <c r="Z243" s="107"/>
      <c r="AA243" s="107"/>
      <c r="AB243" s="107"/>
      <c r="AC243" s="107"/>
      <c r="AD243" s="107"/>
    </row>
    <row r="244">
      <c r="A244" s="107"/>
      <c r="B244" s="107"/>
      <c r="C244" s="124" t="s">
        <v>1030</v>
      </c>
      <c r="D244" s="15"/>
      <c r="E244" s="108"/>
      <c r="F244" s="126" t="s">
        <v>1031</v>
      </c>
      <c r="G244" s="126" t="s">
        <v>977</v>
      </c>
      <c r="H244" s="126" t="s">
        <v>978</v>
      </c>
      <c r="I244" s="130" t="s">
        <v>36</v>
      </c>
      <c r="J244" s="107"/>
      <c r="K244" s="107"/>
      <c r="L244" s="107"/>
      <c r="M244" s="107"/>
      <c r="N244" s="107"/>
      <c r="O244" s="107"/>
      <c r="P244" s="107"/>
      <c r="Q244" s="107"/>
      <c r="R244" s="107"/>
      <c r="S244" s="107"/>
      <c r="T244" s="107"/>
      <c r="U244" s="107"/>
      <c r="V244" s="107"/>
      <c r="W244" s="107"/>
      <c r="X244" s="107"/>
      <c r="Y244" s="107"/>
      <c r="Z244" s="107"/>
      <c r="AA244" s="107"/>
      <c r="AB244" s="107"/>
      <c r="AC244" s="107"/>
      <c r="AD244" s="107"/>
    </row>
    <row r="245">
      <c r="A245" s="107"/>
      <c r="B245" s="107"/>
      <c r="C245" s="124" t="s">
        <v>1032</v>
      </c>
      <c r="D245" s="15"/>
      <c r="E245" s="108"/>
      <c r="F245" s="126" t="s">
        <v>1031</v>
      </c>
      <c r="G245" s="126" t="s">
        <v>983</v>
      </c>
      <c r="H245" s="126" t="s">
        <v>981</v>
      </c>
      <c r="I245" s="130" t="s">
        <v>36</v>
      </c>
      <c r="J245" s="107"/>
      <c r="K245" s="107"/>
      <c r="L245" s="107"/>
      <c r="M245" s="107"/>
      <c r="N245" s="107"/>
      <c r="O245" s="107"/>
      <c r="P245" s="107"/>
      <c r="Q245" s="107"/>
      <c r="R245" s="107"/>
      <c r="S245" s="107"/>
      <c r="T245" s="107"/>
      <c r="U245" s="107"/>
      <c r="V245" s="107"/>
      <c r="W245" s="107"/>
      <c r="X245" s="107"/>
      <c r="Y245" s="107"/>
      <c r="Z245" s="107"/>
      <c r="AA245" s="107"/>
      <c r="AB245" s="107"/>
      <c r="AC245" s="107"/>
      <c r="AD245" s="107"/>
    </row>
    <row r="246">
      <c r="A246" s="107"/>
      <c r="B246" s="107"/>
      <c r="C246" s="124" t="s">
        <v>1033</v>
      </c>
      <c r="D246" s="15"/>
      <c r="E246" s="109"/>
      <c r="F246" s="126" t="s">
        <v>1031</v>
      </c>
      <c r="G246" s="126" t="s">
        <v>980</v>
      </c>
      <c r="H246" s="126" t="s">
        <v>981</v>
      </c>
      <c r="I246" s="130" t="s">
        <v>36</v>
      </c>
      <c r="J246" s="107"/>
      <c r="K246" s="107"/>
      <c r="L246" s="107"/>
      <c r="M246" s="107"/>
      <c r="N246" s="107"/>
      <c r="O246" s="107"/>
      <c r="P246" s="107"/>
      <c r="Q246" s="107"/>
      <c r="R246" s="107"/>
      <c r="S246" s="107"/>
      <c r="T246" s="107"/>
      <c r="U246" s="107"/>
      <c r="V246" s="107"/>
      <c r="W246" s="107"/>
      <c r="X246" s="107"/>
      <c r="Y246" s="107"/>
      <c r="Z246" s="107"/>
      <c r="AA246" s="107"/>
      <c r="AB246" s="107"/>
      <c r="AC246" s="107"/>
      <c r="AD246" s="107"/>
    </row>
    <row r="247">
      <c r="A247" s="107"/>
      <c r="B247" s="107"/>
      <c r="C247" s="124" t="s">
        <v>1034</v>
      </c>
      <c r="D247" s="15"/>
      <c r="E247" s="140" t="s">
        <v>220</v>
      </c>
      <c r="F247" s="129" t="s">
        <v>1035</v>
      </c>
      <c r="G247" s="129" t="s">
        <v>1036</v>
      </c>
      <c r="H247" s="126" t="s">
        <v>1037</v>
      </c>
      <c r="I247" s="130" t="s">
        <v>36</v>
      </c>
      <c r="J247" s="107"/>
      <c r="K247" s="107"/>
      <c r="L247" s="107"/>
      <c r="M247" s="107"/>
      <c r="N247" s="107"/>
      <c r="O247" s="107"/>
      <c r="P247" s="107"/>
      <c r="Q247" s="107"/>
      <c r="R247" s="107"/>
      <c r="S247" s="107"/>
      <c r="T247" s="107"/>
      <c r="U247" s="107"/>
      <c r="V247" s="107"/>
      <c r="W247" s="107"/>
      <c r="X247" s="107"/>
      <c r="Y247" s="107"/>
      <c r="Z247" s="107"/>
      <c r="AA247" s="107"/>
      <c r="AB247" s="107"/>
      <c r="AC247" s="107"/>
      <c r="AD247" s="107"/>
    </row>
    <row r="248">
      <c r="A248" s="107"/>
      <c r="B248" s="107"/>
      <c r="C248" s="124" t="s">
        <v>1038</v>
      </c>
      <c r="D248" s="15"/>
      <c r="E248" s="108"/>
      <c r="F248" s="129" t="s">
        <v>1035</v>
      </c>
      <c r="G248" s="129" t="s">
        <v>1039</v>
      </c>
      <c r="H248" s="126" t="s">
        <v>1037</v>
      </c>
      <c r="I248" s="130" t="s">
        <v>36</v>
      </c>
      <c r="J248" s="107"/>
      <c r="K248" s="107"/>
      <c r="L248" s="107"/>
      <c r="M248" s="107"/>
      <c r="N248" s="107"/>
      <c r="O248" s="107"/>
      <c r="P248" s="107"/>
      <c r="Q248" s="107"/>
      <c r="R248" s="107"/>
      <c r="S248" s="107"/>
      <c r="T248" s="107"/>
      <c r="U248" s="107"/>
      <c r="V248" s="107"/>
      <c r="W248" s="107"/>
      <c r="X248" s="107"/>
      <c r="Y248" s="107"/>
      <c r="Z248" s="107"/>
      <c r="AA248" s="107"/>
      <c r="AB248" s="107"/>
      <c r="AC248" s="107"/>
      <c r="AD248" s="107"/>
    </row>
    <row r="249">
      <c r="A249" s="107"/>
      <c r="B249" s="107"/>
      <c r="C249" s="124" t="s">
        <v>1040</v>
      </c>
      <c r="D249" s="15"/>
      <c r="E249" s="108"/>
      <c r="F249" s="129" t="s">
        <v>1035</v>
      </c>
      <c r="G249" s="129" t="s">
        <v>1041</v>
      </c>
      <c r="H249" s="126" t="s">
        <v>1037</v>
      </c>
      <c r="I249" s="130" t="s">
        <v>717</v>
      </c>
      <c r="J249" s="107"/>
      <c r="K249" s="107"/>
      <c r="L249" s="107"/>
      <c r="M249" s="107"/>
      <c r="N249" s="107"/>
      <c r="O249" s="107"/>
      <c r="P249" s="107"/>
      <c r="Q249" s="107"/>
      <c r="R249" s="107"/>
      <c r="S249" s="107"/>
      <c r="T249" s="107"/>
      <c r="U249" s="107"/>
      <c r="V249" s="107"/>
      <c r="W249" s="107"/>
      <c r="X249" s="107"/>
      <c r="Y249" s="107"/>
      <c r="Z249" s="107"/>
      <c r="AA249" s="107"/>
      <c r="AB249" s="107"/>
      <c r="AC249" s="107"/>
      <c r="AD249" s="107"/>
    </row>
    <row r="250">
      <c r="A250" s="107"/>
      <c r="B250" s="107"/>
      <c r="C250" s="124" t="s">
        <v>1042</v>
      </c>
      <c r="D250" s="15"/>
      <c r="E250" s="108"/>
      <c r="F250" s="129" t="s">
        <v>1035</v>
      </c>
      <c r="G250" s="129" t="s">
        <v>1043</v>
      </c>
      <c r="H250" s="129" t="s">
        <v>1044</v>
      </c>
      <c r="I250" s="130" t="s">
        <v>36</v>
      </c>
      <c r="J250" s="107"/>
      <c r="K250" s="107"/>
      <c r="L250" s="107"/>
      <c r="M250" s="107"/>
      <c r="N250" s="107"/>
      <c r="O250" s="107"/>
      <c r="P250" s="107"/>
      <c r="Q250" s="107"/>
      <c r="R250" s="107"/>
      <c r="S250" s="107"/>
      <c r="T250" s="107"/>
      <c r="U250" s="107"/>
      <c r="V250" s="107"/>
      <c r="W250" s="107"/>
      <c r="X250" s="107"/>
      <c r="Y250" s="107"/>
      <c r="Z250" s="107"/>
      <c r="AA250" s="107"/>
      <c r="AB250" s="107"/>
      <c r="AC250" s="107"/>
      <c r="AD250" s="107"/>
    </row>
    <row r="251">
      <c r="A251" s="107"/>
      <c r="B251" s="107"/>
      <c r="C251" s="124" t="s">
        <v>1045</v>
      </c>
      <c r="D251" s="15"/>
      <c r="E251" s="108"/>
      <c r="F251" s="129" t="s">
        <v>1035</v>
      </c>
      <c r="G251" s="129" t="s">
        <v>1046</v>
      </c>
      <c r="H251" s="129" t="s">
        <v>1047</v>
      </c>
      <c r="I251" s="130" t="s">
        <v>36</v>
      </c>
      <c r="J251" s="107"/>
      <c r="K251" s="107"/>
      <c r="L251" s="107"/>
      <c r="M251" s="107"/>
      <c r="N251" s="107"/>
      <c r="O251" s="107"/>
      <c r="P251" s="107"/>
      <c r="Q251" s="107"/>
      <c r="R251" s="107"/>
      <c r="S251" s="107"/>
      <c r="T251" s="107"/>
      <c r="U251" s="107"/>
      <c r="V251" s="107"/>
      <c r="W251" s="107"/>
      <c r="X251" s="107"/>
      <c r="Y251" s="107"/>
      <c r="Z251" s="107"/>
      <c r="AA251" s="107"/>
      <c r="AB251" s="107"/>
      <c r="AC251" s="107"/>
      <c r="AD251" s="107"/>
    </row>
    <row r="252">
      <c r="A252" s="107"/>
      <c r="B252" s="107"/>
      <c r="C252" s="124" t="s">
        <v>1048</v>
      </c>
      <c r="D252" s="15"/>
      <c r="E252" s="108"/>
      <c r="F252" s="129" t="s">
        <v>1035</v>
      </c>
      <c r="G252" s="129" t="s">
        <v>1049</v>
      </c>
      <c r="H252" s="129" t="s">
        <v>1047</v>
      </c>
      <c r="I252" s="130" t="s">
        <v>717</v>
      </c>
      <c r="J252" s="107"/>
      <c r="K252" s="107"/>
      <c r="L252" s="107"/>
      <c r="M252" s="107"/>
      <c r="N252" s="107"/>
      <c r="O252" s="107"/>
      <c r="P252" s="107"/>
      <c r="Q252" s="107"/>
      <c r="R252" s="107"/>
      <c r="S252" s="107"/>
      <c r="T252" s="107"/>
      <c r="U252" s="107"/>
      <c r="V252" s="107"/>
      <c r="W252" s="107"/>
      <c r="X252" s="107"/>
      <c r="Y252" s="107"/>
      <c r="Z252" s="107"/>
      <c r="AA252" s="107"/>
      <c r="AB252" s="107"/>
      <c r="AC252" s="107"/>
      <c r="AD252" s="107"/>
    </row>
    <row r="253">
      <c r="A253" s="107"/>
      <c r="B253" s="107"/>
      <c r="C253" s="124" t="s">
        <v>1050</v>
      </c>
      <c r="D253" s="15"/>
      <c r="E253" s="108"/>
      <c r="F253" s="129" t="s">
        <v>1051</v>
      </c>
      <c r="G253" s="129" t="s">
        <v>1052</v>
      </c>
      <c r="H253" s="126" t="s">
        <v>1037</v>
      </c>
      <c r="I253" s="130" t="s">
        <v>36</v>
      </c>
      <c r="J253" s="107"/>
      <c r="K253" s="107"/>
      <c r="L253" s="107"/>
      <c r="M253" s="107"/>
      <c r="N253" s="107"/>
      <c r="O253" s="107"/>
      <c r="P253" s="107"/>
      <c r="Q253" s="107"/>
      <c r="R253" s="107"/>
      <c r="S253" s="107"/>
      <c r="T253" s="107"/>
      <c r="U253" s="107"/>
      <c r="V253" s="107"/>
      <c r="W253" s="107"/>
      <c r="X253" s="107"/>
      <c r="Y253" s="107"/>
      <c r="Z253" s="107"/>
      <c r="AA253" s="107"/>
      <c r="AB253" s="107"/>
      <c r="AC253" s="107"/>
      <c r="AD253" s="107"/>
    </row>
    <row r="254">
      <c r="A254" s="107"/>
      <c r="B254" s="107"/>
      <c r="C254" s="124" t="s">
        <v>1053</v>
      </c>
      <c r="D254" s="15"/>
      <c r="E254" s="108"/>
      <c r="F254" s="129" t="s">
        <v>1051</v>
      </c>
      <c r="G254" s="129" t="s">
        <v>1054</v>
      </c>
      <c r="H254" s="126" t="s">
        <v>1037</v>
      </c>
      <c r="I254" s="130" t="s">
        <v>36</v>
      </c>
      <c r="J254" s="107"/>
      <c r="K254" s="107"/>
      <c r="L254" s="107"/>
      <c r="M254" s="107"/>
      <c r="N254" s="107"/>
      <c r="O254" s="107"/>
      <c r="P254" s="107"/>
      <c r="Q254" s="107"/>
      <c r="R254" s="107"/>
      <c r="S254" s="107"/>
      <c r="T254" s="107"/>
      <c r="U254" s="107"/>
      <c r="V254" s="107"/>
      <c r="W254" s="107"/>
      <c r="X254" s="107"/>
      <c r="Y254" s="107"/>
      <c r="Z254" s="107"/>
      <c r="AA254" s="107"/>
      <c r="AB254" s="107"/>
      <c r="AC254" s="107"/>
      <c r="AD254" s="107"/>
    </row>
    <row r="255">
      <c r="A255" s="107"/>
      <c r="B255" s="107"/>
      <c r="C255" s="124" t="s">
        <v>1055</v>
      </c>
      <c r="D255" s="15"/>
      <c r="E255" s="108"/>
      <c r="F255" s="129" t="s">
        <v>1051</v>
      </c>
      <c r="G255" s="129" t="s">
        <v>1056</v>
      </c>
      <c r="H255" s="126" t="s">
        <v>1037</v>
      </c>
      <c r="I255" s="130" t="s">
        <v>717</v>
      </c>
      <c r="J255" s="107"/>
      <c r="K255" s="107"/>
      <c r="L255" s="107"/>
      <c r="M255" s="107"/>
      <c r="N255" s="107"/>
      <c r="O255" s="107"/>
      <c r="P255" s="107"/>
      <c r="Q255" s="107"/>
      <c r="R255" s="107"/>
      <c r="S255" s="107"/>
      <c r="T255" s="107"/>
      <c r="U255" s="107"/>
      <c r="V255" s="107"/>
      <c r="W255" s="107"/>
      <c r="X255" s="107"/>
      <c r="Y255" s="107"/>
      <c r="Z255" s="107"/>
      <c r="AA255" s="107"/>
      <c r="AB255" s="107"/>
      <c r="AC255" s="107"/>
      <c r="AD255" s="107"/>
    </row>
    <row r="256">
      <c r="A256" s="107"/>
      <c r="B256" s="107"/>
      <c r="C256" s="124" t="s">
        <v>1057</v>
      </c>
      <c r="D256" s="15"/>
      <c r="E256" s="108"/>
      <c r="F256" s="129" t="s">
        <v>1051</v>
      </c>
      <c r="G256" s="129" t="s">
        <v>1058</v>
      </c>
      <c r="H256" s="129" t="s">
        <v>1059</v>
      </c>
      <c r="I256" s="130" t="s">
        <v>36</v>
      </c>
      <c r="J256" s="107"/>
      <c r="K256" s="107"/>
      <c r="L256" s="107"/>
      <c r="M256" s="107"/>
      <c r="N256" s="107"/>
      <c r="O256" s="107"/>
      <c r="P256" s="107"/>
      <c r="Q256" s="107"/>
      <c r="R256" s="107"/>
      <c r="S256" s="107"/>
      <c r="T256" s="107"/>
      <c r="U256" s="107"/>
      <c r="V256" s="107"/>
      <c r="W256" s="107"/>
      <c r="X256" s="107"/>
      <c r="Y256" s="107"/>
      <c r="Z256" s="107"/>
      <c r="AA256" s="107"/>
      <c r="AB256" s="107"/>
      <c r="AC256" s="107"/>
      <c r="AD256" s="107"/>
    </row>
    <row r="257">
      <c r="A257" s="107"/>
      <c r="B257" s="107"/>
      <c r="C257" s="124" t="s">
        <v>1060</v>
      </c>
      <c r="D257" s="15"/>
      <c r="E257" s="108"/>
      <c r="F257" s="129" t="s">
        <v>1051</v>
      </c>
      <c r="G257" s="129" t="s">
        <v>1061</v>
      </c>
      <c r="H257" s="129" t="s">
        <v>1062</v>
      </c>
      <c r="I257" s="130" t="s">
        <v>36</v>
      </c>
      <c r="J257" s="107"/>
      <c r="K257" s="107"/>
      <c r="L257" s="107"/>
      <c r="M257" s="107"/>
      <c r="N257" s="107"/>
      <c r="O257" s="107"/>
      <c r="P257" s="107"/>
      <c r="Q257" s="107"/>
      <c r="R257" s="107"/>
      <c r="S257" s="107"/>
      <c r="T257" s="107"/>
      <c r="U257" s="107"/>
      <c r="V257" s="107"/>
      <c r="W257" s="107"/>
      <c r="X257" s="107"/>
      <c r="Y257" s="107"/>
      <c r="Z257" s="107"/>
      <c r="AA257" s="107"/>
      <c r="AB257" s="107"/>
      <c r="AC257" s="107"/>
      <c r="AD257" s="107"/>
    </row>
    <row r="258">
      <c r="A258" s="107"/>
      <c r="B258" s="107"/>
      <c r="C258" s="124" t="s">
        <v>1063</v>
      </c>
      <c r="D258" s="15"/>
      <c r="E258" s="108"/>
      <c r="F258" s="129" t="s">
        <v>1051</v>
      </c>
      <c r="G258" s="129" t="s">
        <v>1064</v>
      </c>
      <c r="H258" s="129" t="s">
        <v>1062</v>
      </c>
      <c r="I258" s="130" t="s">
        <v>36</v>
      </c>
      <c r="J258" s="107"/>
      <c r="K258" s="107"/>
      <c r="L258" s="107"/>
      <c r="M258" s="107"/>
      <c r="N258" s="107"/>
      <c r="O258" s="107"/>
      <c r="P258" s="107"/>
      <c r="Q258" s="107"/>
      <c r="R258" s="107"/>
      <c r="S258" s="107"/>
      <c r="T258" s="107"/>
      <c r="U258" s="107"/>
      <c r="V258" s="107"/>
      <c r="W258" s="107"/>
      <c r="X258" s="107"/>
      <c r="Y258" s="107"/>
      <c r="Z258" s="107"/>
      <c r="AA258" s="107"/>
      <c r="AB258" s="107"/>
      <c r="AC258" s="107"/>
      <c r="AD258" s="107"/>
    </row>
    <row r="259">
      <c r="A259" s="107"/>
      <c r="B259" s="107"/>
      <c r="C259" s="124" t="s">
        <v>1065</v>
      </c>
      <c r="D259" s="15"/>
      <c r="E259" s="108"/>
      <c r="F259" s="129" t="s">
        <v>1051</v>
      </c>
      <c r="G259" s="129" t="s">
        <v>1066</v>
      </c>
      <c r="H259" s="129" t="s">
        <v>1062</v>
      </c>
      <c r="I259" s="130" t="s">
        <v>717</v>
      </c>
      <c r="J259" s="107"/>
      <c r="K259" s="107"/>
      <c r="L259" s="107"/>
      <c r="M259" s="107"/>
      <c r="N259" s="107"/>
      <c r="O259" s="107"/>
      <c r="P259" s="107"/>
      <c r="Q259" s="107"/>
      <c r="R259" s="107"/>
      <c r="S259" s="107"/>
      <c r="T259" s="107"/>
      <c r="U259" s="107"/>
      <c r="V259" s="107"/>
      <c r="W259" s="107"/>
      <c r="X259" s="107"/>
      <c r="Y259" s="107"/>
      <c r="Z259" s="107"/>
      <c r="AA259" s="107"/>
      <c r="AB259" s="107"/>
      <c r="AC259" s="107"/>
      <c r="AD259" s="107"/>
    </row>
    <row r="260">
      <c r="A260" s="107"/>
      <c r="B260" s="107"/>
      <c r="C260" s="124" t="s">
        <v>1067</v>
      </c>
      <c r="D260" s="15"/>
      <c r="E260" s="108"/>
      <c r="F260" s="126" t="s">
        <v>1068</v>
      </c>
      <c r="G260" s="129" t="s">
        <v>1069</v>
      </c>
      <c r="H260" s="126" t="s">
        <v>1037</v>
      </c>
      <c r="I260" s="130" t="s">
        <v>36</v>
      </c>
      <c r="J260" s="107"/>
      <c r="K260" s="107"/>
      <c r="L260" s="107"/>
      <c r="M260" s="107"/>
      <c r="N260" s="107"/>
      <c r="O260" s="107"/>
      <c r="P260" s="107"/>
      <c r="Q260" s="107"/>
      <c r="R260" s="107"/>
      <c r="S260" s="107"/>
      <c r="T260" s="107"/>
      <c r="U260" s="107"/>
      <c r="V260" s="107"/>
      <c r="W260" s="107"/>
      <c r="X260" s="107"/>
      <c r="Y260" s="107"/>
      <c r="Z260" s="107"/>
      <c r="AA260" s="107"/>
      <c r="AB260" s="107"/>
      <c r="AC260" s="107"/>
      <c r="AD260" s="107"/>
    </row>
    <row r="261">
      <c r="A261" s="107"/>
      <c r="B261" s="107"/>
      <c r="C261" s="124" t="s">
        <v>1070</v>
      </c>
      <c r="D261" s="15"/>
      <c r="E261" s="108"/>
      <c r="F261" s="126" t="s">
        <v>1068</v>
      </c>
      <c r="G261" s="129" t="s">
        <v>1071</v>
      </c>
      <c r="H261" s="129" t="s">
        <v>1044</v>
      </c>
      <c r="I261" s="130" t="s">
        <v>317</v>
      </c>
      <c r="J261" s="107"/>
      <c r="K261" s="107"/>
      <c r="L261" s="107"/>
      <c r="M261" s="107"/>
      <c r="N261" s="107"/>
      <c r="O261" s="107"/>
      <c r="P261" s="107"/>
      <c r="Q261" s="107"/>
      <c r="R261" s="107"/>
      <c r="S261" s="107"/>
      <c r="T261" s="107"/>
      <c r="U261" s="107"/>
      <c r="V261" s="107"/>
      <c r="W261" s="107"/>
      <c r="X261" s="107"/>
      <c r="Y261" s="107"/>
      <c r="Z261" s="107"/>
      <c r="AA261" s="107"/>
      <c r="AB261" s="107"/>
      <c r="AC261" s="107"/>
      <c r="AD261" s="107"/>
    </row>
    <row r="262">
      <c r="A262" s="107"/>
      <c r="B262" s="107"/>
      <c r="C262" s="124" t="s">
        <v>1072</v>
      </c>
      <c r="D262" s="15"/>
      <c r="E262" s="108"/>
      <c r="F262" s="129" t="s">
        <v>1073</v>
      </c>
      <c r="G262" s="129" t="s">
        <v>1074</v>
      </c>
      <c r="H262" s="129" t="s">
        <v>1075</v>
      </c>
      <c r="I262" s="130" t="s">
        <v>36</v>
      </c>
      <c r="J262" s="107"/>
      <c r="K262" s="107"/>
      <c r="L262" s="107"/>
      <c r="M262" s="107"/>
      <c r="N262" s="107"/>
      <c r="O262" s="107"/>
      <c r="P262" s="107"/>
      <c r="Q262" s="107"/>
      <c r="R262" s="107"/>
      <c r="S262" s="107"/>
      <c r="T262" s="107"/>
      <c r="U262" s="107"/>
      <c r="V262" s="107"/>
      <c r="W262" s="107"/>
      <c r="X262" s="107"/>
      <c r="Y262" s="107"/>
      <c r="Z262" s="107"/>
      <c r="AA262" s="107"/>
      <c r="AB262" s="107"/>
      <c r="AC262" s="107"/>
      <c r="AD262" s="107"/>
    </row>
    <row r="263">
      <c r="A263" s="107"/>
      <c r="B263" s="107"/>
      <c r="C263" s="124" t="s">
        <v>1076</v>
      </c>
      <c r="D263" s="15"/>
      <c r="E263" s="108"/>
      <c r="F263" s="126" t="s">
        <v>1077</v>
      </c>
      <c r="G263" s="126" t="s">
        <v>1078</v>
      </c>
      <c r="H263" s="126" t="s">
        <v>1037</v>
      </c>
      <c r="I263" s="130" t="s">
        <v>317</v>
      </c>
      <c r="J263" s="107"/>
      <c r="K263" s="107"/>
      <c r="L263" s="107"/>
      <c r="M263" s="107"/>
      <c r="N263" s="107"/>
      <c r="O263" s="107"/>
      <c r="P263" s="107"/>
      <c r="Q263" s="107"/>
      <c r="R263" s="107"/>
      <c r="S263" s="107"/>
      <c r="T263" s="107"/>
      <c r="U263" s="107"/>
      <c r="V263" s="107"/>
      <c r="W263" s="107"/>
      <c r="X263" s="107"/>
      <c r="Y263" s="107"/>
      <c r="Z263" s="107"/>
      <c r="AA263" s="107"/>
      <c r="AB263" s="107"/>
      <c r="AC263" s="107"/>
      <c r="AD263" s="107"/>
    </row>
    <row r="264">
      <c r="A264" s="107"/>
      <c r="B264" s="107"/>
      <c r="C264" s="124" t="s">
        <v>1079</v>
      </c>
      <c r="D264" s="15"/>
      <c r="E264" s="109"/>
      <c r="F264" s="126" t="s">
        <v>1077</v>
      </c>
      <c r="G264" s="126" t="s">
        <v>1080</v>
      </c>
      <c r="H264" s="126" t="s">
        <v>1044</v>
      </c>
      <c r="I264" s="130" t="s">
        <v>317</v>
      </c>
      <c r="J264" s="107"/>
      <c r="K264" s="107"/>
      <c r="L264" s="107"/>
      <c r="M264" s="107"/>
      <c r="N264" s="107"/>
      <c r="O264" s="107"/>
      <c r="P264" s="107"/>
      <c r="Q264" s="107"/>
      <c r="R264" s="107"/>
      <c r="S264" s="107"/>
      <c r="T264" s="107"/>
      <c r="U264" s="107"/>
      <c r="V264" s="107"/>
      <c r="W264" s="107"/>
      <c r="X264" s="107"/>
      <c r="Y264" s="107"/>
      <c r="Z264" s="107"/>
      <c r="AA264" s="107"/>
      <c r="AB264" s="107"/>
      <c r="AC264" s="107"/>
      <c r="AD264" s="107"/>
    </row>
    <row r="265">
      <c r="A265" s="107"/>
      <c r="B265" s="107"/>
      <c r="C265" s="124" t="s">
        <v>1081</v>
      </c>
      <c r="D265" s="15"/>
      <c r="E265" s="131" t="s">
        <v>222</v>
      </c>
      <c r="F265" s="126" t="s">
        <v>1082</v>
      </c>
      <c r="G265" s="129" t="s">
        <v>1036</v>
      </c>
      <c r="H265" s="126" t="s">
        <v>1037</v>
      </c>
      <c r="I265" s="130" t="s">
        <v>36</v>
      </c>
      <c r="J265" s="107"/>
      <c r="K265" s="107"/>
      <c r="L265" s="107"/>
      <c r="M265" s="107"/>
      <c r="N265" s="107"/>
      <c r="O265" s="107"/>
      <c r="P265" s="107"/>
      <c r="Q265" s="107"/>
      <c r="R265" s="107"/>
      <c r="S265" s="107"/>
      <c r="T265" s="107"/>
      <c r="U265" s="107"/>
      <c r="V265" s="107"/>
      <c r="W265" s="107"/>
      <c r="X265" s="107"/>
      <c r="Y265" s="107"/>
      <c r="Z265" s="107"/>
      <c r="AA265" s="107"/>
      <c r="AB265" s="107"/>
      <c r="AC265" s="107"/>
      <c r="AD265" s="107"/>
    </row>
    <row r="266">
      <c r="A266" s="107"/>
      <c r="B266" s="107"/>
      <c r="C266" s="124" t="s">
        <v>1083</v>
      </c>
      <c r="D266" s="15"/>
      <c r="E266" s="108"/>
      <c r="F266" s="126" t="s">
        <v>1082</v>
      </c>
      <c r="G266" s="129" t="s">
        <v>1039</v>
      </c>
      <c r="H266" s="126" t="s">
        <v>1037</v>
      </c>
      <c r="I266" s="130" t="s">
        <v>36</v>
      </c>
      <c r="J266" s="107"/>
      <c r="K266" s="107"/>
      <c r="L266" s="107"/>
      <c r="M266" s="107"/>
      <c r="N266" s="107"/>
      <c r="O266" s="107"/>
      <c r="P266" s="107"/>
      <c r="Q266" s="107"/>
      <c r="R266" s="107"/>
      <c r="S266" s="107"/>
      <c r="T266" s="107"/>
      <c r="U266" s="107"/>
      <c r="V266" s="107"/>
      <c r="W266" s="107"/>
      <c r="X266" s="107"/>
      <c r="Y266" s="107"/>
      <c r="Z266" s="107"/>
      <c r="AA266" s="107"/>
      <c r="AB266" s="107"/>
      <c r="AC266" s="107"/>
      <c r="AD266" s="107"/>
    </row>
    <row r="267">
      <c r="A267" s="107"/>
      <c r="B267" s="107"/>
      <c r="C267" s="124" t="s">
        <v>1084</v>
      </c>
      <c r="D267" s="15"/>
      <c r="E267" s="108"/>
      <c r="F267" s="126" t="s">
        <v>1082</v>
      </c>
      <c r="G267" s="129" t="s">
        <v>1041</v>
      </c>
      <c r="H267" s="126" t="s">
        <v>1037</v>
      </c>
      <c r="I267" s="130" t="s">
        <v>717</v>
      </c>
      <c r="J267" s="107"/>
      <c r="K267" s="107"/>
      <c r="L267" s="107"/>
      <c r="M267" s="107"/>
      <c r="N267" s="107"/>
      <c r="O267" s="107"/>
      <c r="P267" s="107"/>
      <c r="Q267" s="107"/>
      <c r="R267" s="107"/>
      <c r="S267" s="107"/>
      <c r="T267" s="107"/>
      <c r="U267" s="107"/>
      <c r="V267" s="107"/>
      <c r="W267" s="107"/>
      <c r="X267" s="107"/>
      <c r="Y267" s="107"/>
      <c r="Z267" s="107"/>
      <c r="AA267" s="107"/>
      <c r="AB267" s="107"/>
      <c r="AC267" s="107"/>
      <c r="AD267" s="107"/>
    </row>
    <row r="268">
      <c r="A268" s="107"/>
      <c r="B268" s="107"/>
      <c r="C268" s="124" t="s">
        <v>1085</v>
      </c>
      <c r="D268" s="15"/>
      <c r="E268" s="108"/>
      <c r="F268" s="126" t="s">
        <v>1082</v>
      </c>
      <c r="G268" s="129" t="s">
        <v>1043</v>
      </c>
      <c r="H268" s="129" t="s">
        <v>1044</v>
      </c>
      <c r="I268" s="130" t="s">
        <v>36</v>
      </c>
      <c r="J268" s="107"/>
      <c r="K268" s="107"/>
      <c r="L268" s="107"/>
      <c r="M268" s="107"/>
      <c r="N268" s="107"/>
      <c r="O268" s="107"/>
      <c r="P268" s="107"/>
      <c r="Q268" s="107"/>
      <c r="R268" s="107"/>
      <c r="S268" s="107"/>
      <c r="T268" s="107"/>
      <c r="U268" s="107"/>
      <c r="V268" s="107"/>
      <c r="W268" s="107"/>
      <c r="X268" s="107"/>
      <c r="Y268" s="107"/>
      <c r="Z268" s="107"/>
      <c r="AA268" s="107"/>
      <c r="AB268" s="107"/>
      <c r="AC268" s="107"/>
      <c r="AD268" s="107"/>
    </row>
    <row r="269">
      <c r="A269" s="107"/>
      <c r="B269" s="107"/>
      <c r="C269" s="124" t="s">
        <v>1086</v>
      </c>
      <c r="D269" s="15"/>
      <c r="E269" s="108"/>
      <c r="F269" s="126" t="s">
        <v>1082</v>
      </c>
      <c r="G269" s="129" t="s">
        <v>1046</v>
      </c>
      <c r="H269" s="129" t="s">
        <v>1047</v>
      </c>
      <c r="I269" s="130" t="s">
        <v>36</v>
      </c>
      <c r="J269" s="107"/>
      <c r="K269" s="107"/>
      <c r="L269" s="107"/>
      <c r="M269" s="107"/>
      <c r="N269" s="107"/>
      <c r="O269" s="107"/>
      <c r="P269" s="107"/>
      <c r="Q269" s="107"/>
      <c r="R269" s="107"/>
      <c r="S269" s="107"/>
      <c r="T269" s="107"/>
      <c r="U269" s="107"/>
      <c r="V269" s="107"/>
      <c r="W269" s="107"/>
      <c r="X269" s="107"/>
      <c r="Y269" s="107"/>
      <c r="Z269" s="107"/>
      <c r="AA269" s="107"/>
      <c r="AB269" s="107"/>
      <c r="AC269" s="107"/>
      <c r="AD269" s="107"/>
    </row>
    <row r="270">
      <c r="A270" s="107"/>
      <c r="B270" s="107"/>
      <c r="C270" s="124" t="s">
        <v>1087</v>
      </c>
      <c r="D270" s="15"/>
      <c r="E270" s="108"/>
      <c r="F270" s="126" t="s">
        <v>1082</v>
      </c>
      <c r="G270" s="129" t="s">
        <v>1049</v>
      </c>
      <c r="H270" s="129" t="s">
        <v>1047</v>
      </c>
      <c r="I270" s="130" t="s">
        <v>717</v>
      </c>
      <c r="J270" s="107"/>
      <c r="K270" s="107"/>
      <c r="L270" s="107"/>
      <c r="M270" s="107"/>
      <c r="N270" s="107"/>
      <c r="O270" s="107"/>
      <c r="P270" s="107"/>
      <c r="Q270" s="107"/>
      <c r="R270" s="107"/>
      <c r="S270" s="107"/>
      <c r="T270" s="107"/>
      <c r="U270" s="107"/>
      <c r="V270" s="107"/>
      <c r="W270" s="107"/>
      <c r="X270" s="107"/>
      <c r="Y270" s="107"/>
      <c r="Z270" s="107"/>
      <c r="AA270" s="107"/>
      <c r="AB270" s="107"/>
      <c r="AC270" s="107"/>
      <c r="AD270" s="107"/>
    </row>
    <row r="271">
      <c r="A271" s="107"/>
      <c r="B271" s="107"/>
      <c r="C271" s="124" t="s">
        <v>1088</v>
      </c>
      <c r="D271" s="15"/>
      <c r="E271" s="108"/>
      <c r="F271" s="126" t="s">
        <v>1089</v>
      </c>
      <c r="G271" s="129" t="s">
        <v>1090</v>
      </c>
      <c r="H271" s="126" t="s">
        <v>1037</v>
      </c>
      <c r="I271" s="130" t="s">
        <v>36</v>
      </c>
      <c r="J271" s="107"/>
      <c r="K271" s="107"/>
      <c r="L271" s="107"/>
      <c r="M271" s="107"/>
      <c r="N271" s="107"/>
      <c r="O271" s="107"/>
      <c r="P271" s="107"/>
      <c r="Q271" s="107"/>
      <c r="R271" s="107"/>
      <c r="S271" s="107"/>
      <c r="T271" s="107"/>
      <c r="U271" s="107"/>
      <c r="V271" s="107"/>
      <c r="W271" s="107"/>
      <c r="X271" s="107"/>
      <c r="Y271" s="107"/>
      <c r="Z271" s="107"/>
      <c r="AA271" s="107"/>
      <c r="AB271" s="107"/>
      <c r="AC271" s="107"/>
      <c r="AD271" s="107"/>
    </row>
    <row r="272">
      <c r="A272" s="107"/>
      <c r="B272" s="107"/>
      <c r="C272" s="124" t="s">
        <v>1091</v>
      </c>
      <c r="D272" s="15"/>
      <c r="E272" s="108"/>
      <c r="F272" s="126" t="s">
        <v>1089</v>
      </c>
      <c r="G272" s="129" t="s">
        <v>1092</v>
      </c>
      <c r="H272" s="126" t="s">
        <v>1037</v>
      </c>
      <c r="I272" s="130" t="s">
        <v>36</v>
      </c>
      <c r="J272" s="107"/>
      <c r="K272" s="107"/>
      <c r="L272" s="107"/>
      <c r="M272" s="107"/>
      <c r="N272" s="107"/>
      <c r="O272" s="107"/>
      <c r="P272" s="107"/>
      <c r="Q272" s="107"/>
      <c r="R272" s="107"/>
      <c r="S272" s="107"/>
      <c r="T272" s="107"/>
      <c r="U272" s="107"/>
      <c r="V272" s="107"/>
      <c r="W272" s="107"/>
      <c r="X272" s="107"/>
      <c r="Y272" s="107"/>
      <c r="Z272" s="107"/>
      <c r="AA272" s="107"/>
      <c r="AB272" s="107"/>
      <c r="AC272" s="107"/>
      <c r="AD272" s="107"/>
    </row>
    <row r="273">
      <c r="A273" s="107"/>
      <c r="B273" s="107"/>
      <c r="C273" s="124" t="s">
        <v>1093</v>
      </c>
      <c r="D273" s="15"/>
      <c r="E273" s="108"/>
      <c r="F273" s="126" t="s">
        <v>1089</v>
      </c>
      <c r="G273" s="129" t="s">
        <v>1094</v>
      </c>
      <c r="H273" s="126" t="s">
        <v>1037</v>
      </c>
      <c r="I273" s="130" t="s">
        <v>717</v>
      </c>
      <c r="J273" s="107"/>
      <c r="K273" s="107"/>
      <c r="L273" s="107"/>
      <c r="M273" s="107"/>
      <c r="N273" s="107"/>
      <c r="O273" s="107"/>
      <c r="P273" s="107"/>
      <c r="Q273" s="107"/>
      <c r="R273" s="107"/>
      <c r="S273" s="107"/>
      <c r="T273" s="107"/>
      <c r="U273" s="107"/>
      <c r="V273" s="107"/>
      <c r="W273" s="107"/>
      <c r="X273" s="107"/>
      <c r="Y273" s="107"/>
      <c r="Z273" s="107"/>
      <c r="AA273" s="107"/>
      <c r="AB273" s="107"/>
      <c r="AC273" s="107"/>
      <c r="AD273" s="107"/>
    </row>
    <row r="274">
      <c r="A274" s="107"/>
      <c r="B274" s="107"/>
      <c r="C274" s="124" t="s">
        <v>1095</v>
      </c>
      <c r="D274" s="15"/>
      <c r="E274" s="108"/>
      <c r="F274" s="126" t="s">
        <v>1089</v>
      </c>
      <c r="G274" s="129" t="s">
        <v>1096</v>
      </c>
      <c r="H274" s="129" t="s">
        <v>1059</v>
      </c>
      <c r="I274" s="130" t="s">
        <v>36</v>
      </c>
      <c r="J274" s="107"/>
      <c r="K274" s="107"/>
      <c r="L274" s="107"/>
      <c r="M274" s="107"/>
      <c r="N274" s="107"/>
      <c r="O274" s="107"/>
      <c r="P274" s="107"/>
      <c r="Q274" s="107"/>
      <c r="R274" s="107"/>
      <c r="S274" s="107"/>
      <c r="T274" s="107"/>
      <c r="U274" s="107"/>
      <c r="V274" s="107"/>
      <c r="W274" s="107"/>
      <c r="X274" s="107"/>
      <c r="Y274" s="107"/>
      <c r="Z274" s="107"/>
      <c r="AA274" s="107"/>
      <c r="AB274" s="107"/>
      <c r="AC274" s="107"/>
      <c r="AD274" s="107"/>
    </row>
    <row r="275">
      <c r="A275" s="107"/>
      <c r="B275" s="107"/>
      <c r="C275" s="124" t="s">
        <v>1097</v>
      </c>
      <c r="D275" s="15"/>
      <c r="E275" s="108"/>
      <c r="F275" s="126" t="s">
        <v>1089</v>
      </c>
      <c r="G275" s="129" t="s">
        <v>1098</v>
      </c>
      <c r="H275" s="129" t="s">
        <v>1062</v>
      </c>
      <c r="I275" s="130" t="s">
        <v>36</v>
      </c>
      <c r="J275" s="107"/>
      <c r="K275" s="107"/>
      <c r="L275" s="107"/>
      <c r="M275" s="107"/>
      <c r="N275" s="107"/>
      <c r="O275" s="107"/>
      <c r="P275" s="107"/>
      <c r="Q275" s="107"/>
      <c r="R275" s="107"/>
      <c r="S275" s="107"/>
      <c r="T275" s="107"/>
      <c r="U275" s="107"/>
      <c r="V275" s="107"/>
      <c r="W275" s="107"/>
      <c r="X275" s="107"/>
      <c r="Y275" s="107"/>
      <c r="Z275" s="107"/>
      <c r="AA275" s="107"/>
      <c r="AB275" s="107"/>
      <c r="AC275" s="107"/>
      <c r="AD275" s="107"/>
    </row>
    <row r="276">
      <c r="A276" s="107"/>
      <c r="B276" s="107"/>
      <c r="C276" s="124" t="s">
        <v>1099</v>
      </c>
      <c r="D276" s="15"/>
      <c r="E276" s="108"/>
      <c r="F276" s="126" t="s">
        <v>1100</v>
      </c>
      <c r="G276" s="129" t="s">
        <v>1101</v>
      </c>
      <c r="H276" s="129" t="s">
        <v>1062</v>
      </c>
      <c r="I276" s="130" t="s">
        <v>36</v>
      </c>
      <c r="J276" s="107"/>
      <c r="K276" s="107"/>
      <c r="L276" s="107"/>
      <c r="M276" s="107"/>
      <c r="N276" s="107"/>
      <c r="O276" s="107"/>
      <c r="P276" s="107"/>
      <c r="Q276" s="107"/>
      <c r="R276" s="107"/>
      <c r="S276" s="107"/>
      <c r="T276" s="107"/>
      <c r="U276" s="107"/>
      <c r="V276" s="107"/>
      <c r="W276" s="107"/>
      <c r="X276" s="107"/>
      <c r="Y276" s="107"/>
      <c r="Z276" s="107"/>
      <c r="AA276" s="107"/>
      <c r="AB276" s="107"/>
      <c r="AC276" s="107"/>
      <c r="AD276" s="107"/>
    </row>
    <row r="277">
      <c r="A277" s="107"/>
      <c r="B277" s="107"/>
      <c r="C277" s="124" t="s">
        <v>1102</v>
      </c>
      <c r="D277" s="15"/>
      <c r="E277" s="108"/>
      <c r="F277" s="126" t="s">
        <v>1082</v>
      </c>
      <c r="G277" s="129" t="s">
        <v>1103</v>
      </c>
      <c r="H277" s="129" t="s">
        <v>1062</v>
      </c>
      <c r="I277" s="130" t="s">
        <v>717</v>
      </c>
      <c r="J277" s="107"/>
      <c r="K277" s="107"/>
      <c r="L277" s="107"/>
      <c r="M277" s="107"/>
      <c r="N277" s="107"/>
      <c r="O277" s="107"/>
      <c r="P277" s="107"/>
      <c r="Q277" s="107"/>
      <c r="R277" s="107"/>
      <c r="S277" s="107"/>
      <c r="T277" s="107"/>
      <c r="U277" s="107"/>
      <c r="V277" s="107"/>
      <c r="W277" s="107"/>
      <c r="X277" s="107"/>
      <c r="Y277" s="107"/>
      <c r="Z277" s="107"/>
      <c r="AA277" s="107"/>
      <c r="AB277" s="107"/>
      <c r="AC277" s="107"/>
      <c r="AD277" s="107"/>
    </row>
    <row r="278">
      <c r="A278" s="107"/>
      <c r="B278" s="107"/>
      <c r="C278" s="124" t="s">
        <v>1104</v>
      </c>
      <c r="D278" s="15"/>
      <c r="E278" s="108"/>
      <c r="F278" s="129" t="s">
        <v>1105</v>
      </c>
      <c r="G278" s="129" t="s">
        <v>1106</v>
      </c>
      <c r="H278" s="129" t="s">
        <v>1107</v>
      </c>
      <c r="I278" s="130" t="s">
        <v>317</v>
      </c>
      <c r="J278" s="107"/>
      <c r="K278" s="107"/>
      <c r="L278" s="107"/>
      <c r="M278" s="107"/>
      <c r="N278" s="107"/>
      <c r="O278" s="107"/>
      <c r="P278" s="107"/>
      <c r="Q278" s="107"/>
      <c r="R278" s="107"/>
      <c r="S278" s="107"/>
      <c r="T278" s="107"/>
      <c r="U278" s="107"/>
      <c r="V278" s="107"/>
      <c r="W278" s="107"/>
      <c r="X278" s="107"/>
      <c r="Y278" s="107"/>
      <c r="Z278" s="107"/>
      <c r="AA278" s="107"/>
      <c r="AB278" s="107"/>
      <c r="AC278" s="107"/>
      <c r="AD278" s="107"/>
    </row>
    <row r="279">
      <c r="A279" s="107"/>
      <c r="B279" s="107"/>
      <c r="C279" s="124" t="s">
        <v>1108</v>
      </c>
      <c r="D279" s="15"/>
      <c r="E279" s="108"/>
      <c r="F279" s="126" t="s">
        <v>1109</v>
      </c>
      <c r="G279" s="126" t="s">
        <v>1110</v>
      </c>
      <c r="H279" s="126" t="s">
        <v>1111</v>
      </c>
      <c r="I279" s="130" t="s">
        <v>36</v>
      </c>
      <c r="J279" s="107"/>
      <c r="K279" s="107"/>
      <c r="L279" s="107"/>
      <c r="M279" s="107"/>
      <c r="N279" s="107"/>
      <c r="O279" s="107"/>
      <c r="P279" s="107"/>
      <c r="Q279" s="107"/>
      <c r="R279" s="107"/>
      <c r="S279" s="107"/>
      <c r="T279" s="107"/>
      <c r="U279" s="107"/>
      <c r="V279" s="107"/>
      <c r="W279" s="107"/>
      <c r="X279" s="107"/>
      <c r="Y279" s="107"/>
      <c r="Z279" s="107"/>
      <c r="AA279" s="107"/>
      <c r="AB279" s="107"/>
      <c r="AC279" s="107"/>
      <c r="AD279" s="107"/>
    </row>
    <row r="280">
      <c r="A280" s="107"/>
      <c r="B280" s="107"/>
      <c r="C280" s="124" t="s">
        <v>1112</v>
      </c>
      <c r="D280" s="15"/>
      <c r="E280" s="108"/>
      <c r="F280" s="126" t="s">
        <v>1109</v>
      </c>
      <c r="G280" s="126" t="s">
        <v>1113</v>
      </c>
      <c r="H280" s="126" t="s">
        <v>1111</v>
      </c>
      <c r="I280" s="130" t="s">
        <v>36</v>
      </c>
      <c r="J280" s="107"/>
      <c r="K280" s="107"/>
      <c r="L280" s="107"/>
      <c r="M280" s="107"/>
      <c r="N280" s="107"/>
      <c r="O280" s="107"/>
      <c r="P280" s="107"/>
      <c r="Q280" s="107"/>
      <c r="R280" s="107"/>
      <c r="S280" s="107"/>
      <c r="T280" s="107"/>
      <c r="U280" s="107"/>
      <c r="V280" s="107"/>
      <c r="W280" s="107"/>
      <c r="X280" s="107"/>
      <c r="Y280" s="107"/>
      <c r="Z280" s="107"/>
      <c r="AA280" s="107"/>
      <c r="AB280" s="107"/>
      <c r="AC280" s="107"/>
      <c r="AD280" s="107"/>
    </row>
    <row r="281">
      <c r="A281" s="107"/>
      <c r="B281" s="107"/>
      <c r="C281" s="124" t="s">
        <v>1114</v>
      </c>
      <c r="D281" s="15"/>
      <c r="E281" s="108"/>
      <c r="F281" s="126" t="s">
        <v>1115</v>
      </c>
      <c r="G281" s="126" t="s">
        <v>1116</v>
      </c>
      <c r="H281" s="126" t="s">
        <v>1111</v>
      </c>
      <c r="I281" s="130" t="s">
        <v>317</v>
      </c>
      <c r="J281" s="107"/>
      <c r="K281" s="107"/>
      <c r="L281" s="107"/>
      <c r="M281" s="107"/>
      <c r="N281" s="107"/>
      <c r="O281" s="107"/>
      <c r="P281" s="107"/>
      <c r="Q281" s="107"/>
      <c r="R281" s="107"/>
      <c r="S281" s="107"/>
      <c r="T281" s="107"/>
      <c r="U281" s="107"/>
      <c r="V281" s="107"/>
      <c r="W281" s="107"/>
      <c r="X281" s="107"/>
      <c r="Y281" s="107"/>
      <c r="Z281" s="107"/>
      <c r="AA281" s="107"/>
      <c r="AB281" s="107"/>
      <c r="AC281" s="107"/>
      <c r="AD281" s="107"/>
    </row>
    <row r="282">
      <c r="A282" s="107"/>
      <c r="B282" s="107"/>
      <c r="C282" s="124" t="s">
        <v>1117</v>
      </c>
      <c r="D282" s="15"/>
      <c r="E282" s="108"/>
      <c r="F282" s="126" t="s">
        <v>1118</v>
      </c>
      <c r="G282" s="126" t="s">
        <v>1119</v>
      </c>
      <c r="H282" s="126" t="s">
        <v>1120</v>
      </c>
      <c r="I282" s="130" t="s">
        <v>36</v>
      </c>
      <c r="J282" s="107"/>
      <c r="K282" s="107"/>
      <c r="L282" s="107"/>
      <c r="M282" s="107"/>
      <c r="N282" s="107"/>
      <c r="O282" s="107"/>
      <c r="P282" s="107"/>
      <c r="Q282" s="107"/>
      <c r="R282" s="107"/>
      <c r="S282" s="107"/>
      <c r="T282" s="107"/>
      <c r="U282" s="107"/>
      <c r="V282" s="107"/>
      <c r="W282" s="107"/>
      <c r="X282" s="107"/>
      <c r="Y282" s="107"/>
      <c r="Z282" s="107"/>
      <c r="AA282" s="107"/>
      <c r="AB282" s="107"/>
      <c r="AC282" s="107"/>
      <c r="AD282" s="107"/>
    </row>
    <row r="283">
      <c r="A283" s="107"/>
      <c r="B283" s="107"/>
      <c r="C283" s="124" t="s">
        <v>1121</v>
      </c>
      <c r="D283" s="15"/>
      <c r="E283" s="108"/>
      <c r="F283" s="126" t="s">
        <v>1122</v>
      </c>
      <c r="G283" s="126" t="s">
        <v>1123</v>
      </c>
      <c r="H283" s="126" t="s">
        <v>1111</v>
      </c>
      <c r="I283" s="130" t="s">
        <v>317</v>
      </c>
      <c r="J283" s="107"/>
      <c r="K283" s="107"/>
      <c r="L283" s="107"/>
      <c r="M283" s="107"/>
      <c r="N283" s="107"/>
      <c r="O283" s="107"/>
      <c r="P283" s="107"/>
      <c r="Q283" s="107"/>
      <c r="R283" s="107"/>
      <c r="S283" s="107"/>
      <c r="T283" s="107"/>
      <c r="U283" s="107"/>
      <c r="V283" s="107"/>
      <c r="W283" s="107"/>
      <c r="X283" s="107"/>
      <c r="Y283" s="107"/>
      <c r="Z283" s="107"/>
      <c r="AA283" s="107"/>
      <c r="AB283" s="107"/>
      <c r="AC283" s="107"/>
      <c r="AD283" s="107"/>
    </row>
    <row r="284">
      <c r="A284" s="107"/>
      <c r="B284" s="107"/>
      <c r="C284" s="124" t="s">
        <v>1124</v>
      </c>
      <c r="D284" s="15"/>
      <c r="E284" s="109"/>
      <c r="F284" s="126" t="s">
        <v>1122</v>
      </c>
      <c r="G284" s="126" t="s">
        <v>1125</v>
      </c>
      <c r="H284" s="126" t="s">
        <v>1120</v>
      </c>
      <c r="I284" s="130" t="s">
        <v>317</v>
      </c>
      <c r="J284" s="107"/>
      <c r="K284" s="107"/>
      <c r="L284" s="107"/>
      <c r="M284" s="107"/>
      <c r="N284" s="107"/>
      <c r="O284" s="107"/>
      <c r="P284" s="107"/>
      <c r="Q284" s="107"/>
      <c r="R284" s="107"/>
      <c r="S284" s="107"/>
      <c r="T284" s="107"/>
      <c r="U284" s="107"/>
      <c r="V284" s="107"/>
      <c r="W284" s="107"/>
      <c r="X284" s="107"/>
      <c r="Y284" s="107"/>
      <c r="Z284" s="107"/>
      <c r="AA284" s="107"/>
      <c r="AB284" s="107"/>
      <c r="AC284" s="107"/>
      <c r="AD284" s="107"/>
    </row>
    <row r="285">
      <c r="A285" s="107"/>
      <c r="B285" s="107"/>
      <c r="C285" s="124" t="s">
        <v>1126</v>
      </c>
      <c r="D285" s="15"/>
      <c r="E285" s="133" t="s">
        <v>224</v>
      </c>
      <c r="F285" s="126" t="s">
        <v>1127</v>
      </c>
      <c r="G285" s="129" t="s">
        <v>1036</v>
      </c>
      <c r="H285" s="126" t="s">
        <v>1037</v>
      </c>
      <c r="I285" s="130" t="s">
        <v>36</v>
      </c>
      <c r="J285" s="111"/>
      <c r="K285" s="107"/>
      <c r="L285" s="107"/>
      <c r="M285" s="107"/>
      <c r="N285" s="107"/>
      <c r="O285" s="107"/>
      <c r="P285" s="107"/>
      <c r="Q285" s="107"/>
      <c r="R285" s="107"/>
      <c r="S285" s="107"/>
      <c r="T285" s="107"/>
      <c r="U285" s="107"/>
      <c r="V285" s="107"/>
      <c r="W285" s="107"/>
      <c r="X285" s="107"/>
      <c r="Y285" s="107"/>
      <c r="Z285" s="107"/>
      <c r="AA285" s="107"/>
      <c r="AB285" s="107"/>
      <c r="AC285" s="107"/>
      <c r="AD285" s="107"/>
    </row>
    <row r="286">
      <c r="A286" s="107"/>
      <c r="B286" s="107"/>
      <c r="C286" s="124" t="s">
        <v>1128</v>
      </c>
      <c r="D286" s="15"/>
      <c r="E286" s="108"/>
      <c r="F286" s="126" t="s">
        <v>1127</v>
      </c>
      <c r="G286" s="129" t="s">
        <v>1039</v>
      </c>
      <c r="H286" s="126" t="s">
        <v>1037</v>
      </c>
      <c r="I286" s="130" t="s">
        <v>36</v>
      </c>
      <c r="J286" s="111"/>
      <c r="K286" s="107"/>
      <c r="L286" s="107"/>
      <c r="M286" s="107"/>
      <c r="N286" s="107"/>
      <c r="O286" s="107"/>
      <c r="P286" s="107"/>
      <c r="Q286" s="107"/>
      <c r="R286" s="107"/>
      <c r="S286" s="107"/>
      <c r="T286" s="107"/>
      <c r="U286" s="107"/>
      <c r="V286" s="107"/>
      <c r="W286" s="107"/>
      <c r="X286" s="107"/>
      <c r="Y286" s="107"/>
      <c r="Z286" s="107"/>
      <c r="AA286" s="107"/>
      <c r="AB286" s="107"/>
      <c r="AC286" s="107"/>
      <c r="AD286" s="107"/>
    </row>
    <row r="287">
      <c r="A287" s="107"/>
      <c r="B287" s="107"/>
      <c r="C287" s="124" t="s">
        <v>1129</v>
      </c>
      <c r="D287" s="15"/>
      <c r="E287" s="108"/>
      <c r="F287" s="126" t="s">
        <v>1127</v>
      </c>
      <c r="G287" s="129" t="s">
        <v>1041</v>
      </c>
      <c r="H287" s="126" t="s">
        <v>1037</v>
      </c>
      <c r="I287" s="130" t="s">
        <v>717</v>
      </c>
      <c r="J287" s="111"/>
      <c r="K287" s="107"/>
      <c r="L287" s="107"/>
      <c r="M287" s="107"/>
      <c r="N287" s="107"/>
      <c r="O287" s="107"/>
      <c r="P287" s="107"/>
      <c r="Q287" s="107"/>
      <c r="R287" s="107"/>
      <c r="S287" s="107"/>
      <c r="T287" s="107"/>
      <c r="U287" s="107"/>
      <c r="V287" s="107"/>
      <c r="W287" s="107"/>
      <c r="X287" s="107"/>
      <c r="Y287" s="107"/>
      <c r="Z287" s="107"/>
      <c r="AA287" s="107"/>
      <c r="AB287" s="107"/>
      <c r="AC287" s="107"/>
      <c r="AD287" s="107"/>
    </row>
    <row r="288">
      <c r="A288" s="107"/>
      <c r="B288" s="107"/>
      <c r="C288" s="124" t="s">
        <v>1130</v>
      </c>
      <c r="D288" s="15"/>
      <c r="E288" s="108"/>
      <c r="F288" s="126" t="s">
        <v>1127</v>
      </c>
      <c r="G288" s="129" t="s">
        <v>1043</v>
      </c>
      <c r="H288" s="129" t="s">
        <v>1044</v>
      </c>
      <c r="I288" s="130" t="s">
        <v>36</v>
      </c>
      <c r="J288" s="111"/>
      <c r="K288" s="107"/>
      <c r="L288" s="107"/>
      <c r="M288" s="107"/>
      <c r="N288" s="107"/>
      <c r="O288" s="107"/>
      <c r="P288" s="107"/>
      <c r="Q288" s="107"/>
      <c r="R288" s="107"/>
      <c r="S288" s="107"/>
      <c r="T288" s="107"/>
      <c r="U288" s="107"/>
      <c r="V288" s="107"/>
      <c r="W288" s="107"/>
      <c r="X288" s="107"/>
      <c r="Y288" s="107"/>
      <c r="Z288" s="107"/>
      <c r="AA288" s="107"/>
      <c r="AB288" s="107"/>
      <c r="AC288" s="107"/>
      <c r="AD288" s="107"/>
    </row>
    <row r="289">
      <c r="A289" s="107"/>
      <c r="B289" s="107"/>
      <c r="C289" s="124" t="s">
        <v>1131</v>
      </c>
      <c r="D289" s="15"/>
      <c r="E289" s="108"/>
      <c r="F289" s="126" t="s">
        <v>1127</v>
      </c>
      <c r="G289" s="129" t="s">
        <v>1046</v>
      </c>
      <c r="H289" s="129" t="s">
        <v>1047</v>
      </c>
      <c r="I289" s="130" t="s">
        <v>36</v>
      </c>
      <c r="J289" s="111"/>
      <c r="K289" s="107"/>
      <c r="L289" s="107"/>
      <c r="M289" s="107"/>
      <c r="N289" s="107"/>
      <c r="O289" s="107"/>
      <c r="P289" s="107"/>
      <c r="Q289" s="107"/>
      <c r="R289" s="107"/>
      <c r="S289" s="107"/>
      <c r="T289" s="107"/>
      <c r="U289" s="107"/>
      <c r="V289" s="107"/>
      <c r="W289" s="107"/>
      <c r="X289" s="107"/>
      <c r="Y289" s="107"/>
      <c r="Z289" s="107"/>
      <c r="AA289" s="107"/>
      <c r="AB289" s="107"/>
      <c r="AC289" s="107"/>
      <c r="AD289" s="107"/>
    </row>
    <row r="290">
      <c r="A290" s="107"/>
      <c r="B290" s="107"/>
      <c r="C290" s="124" t="s">
        <v>1132</v>
      </c>
      <c r="D290" s="15"/>
      <c r="E290" s="108"/>
      <c r="F290" s="126" t="s">
        <v>1133</v>
      </c>
      <c r="G290" s="129" t="s">
        <v>1049</v>
      </c>
      <c r="H290" s="129" t="s">
        <v>1047</v>
      </c>
      <c r="I290" s="130" t="s">
        <v>717</v>
      </c>
      <c r="J290" s="111"/>
      <c r="K290" s="107"/>
      <c r="L290" s="107"/>
      <c r="M290" s="107"/>
      <c r="N290" s="107"/>
      <c r="O290" s="107"/>
      <c r="P290" s="107"/>
      <c r="Q290" s="107"/>
      <c r="R290" s="107"/>
      <c r="S290" s="107"/>
      <c r="T290" s="107"/>
      <c r="U290" s="107"/>
      <c r="V290" s="107"/>
      <c r="W290" s="107"/>
      <c r="X290" s="107"/>
      <c r="Y290" s="107"/>
      <c r="Z290" s="107"/>
      <c r="AA290" s="107"/>
      <c r="AB290" s="107"/>
      <c r="AC290" s="107"/>
      <c r="AD290" s="107"/>
    </row>
    <row r="291">
      <c r="A291" s="107"/>
      <c r="B291" s="107"/>
      <c r="C291" s="124" t="s">
        <v>1134</v>
      </c>
      <c r="D291" s="15"/>
      <c r="E291" s="108"/>
      <c r="F291" s="126" t="s">
        <v>1127</v>
      </c>
      <c r="G291" s="129" t="s">
        <v>1090</v>
      </c>
      <c r="H291" s="126" t="s">
        <v>1037</v>
      </c>
      <c r="I291" s="130" t="s">
        <v>36</v>
      </c>
      <c r="J291" s="111"/>
      <c r="K291" s="107"/>
      <c r="L291" s="107"/>
      <c r="M291" s="107"/>
      <c r="N291" s="107"/>
      <c r="O291" s="107"/>
      <c r="P291" s="107"/>
      <c r="Q291" s="107"/>
      <c r="R291" s="107"/>
      <c r="S291" s="107"/>
      <c r="T291" s="107"/>
      <c r="U291" s="107"/>
      <c r="V291" s="107"/>
      <c r="W291" s="107"/>
      <c r="X291" s="107"/>
      <c r="Y291" s="107"/>
      <c r="Z291" s="107"/>
      <c r="AA291" s="107"/>
      <c r="AB291" s="107"/>
      <c r="AC291" s="107"/>
      <c r="AD291" s="107"/>
    </row>
    <row r="292">
      <c r="A292" s="107"/>
      <c r="B292" s="107"/>
      <c r="C292" s="124" t="s">
        <v>1135</v>
      </c>
      <c r="D292" s="15"/>
      <c r="E292" s="108"/>
      <c r="F292" s="126" t="s">
        <v>1127</v>
      </c>
      <c r="G292" s="129" t="s">
        <v>1092</v>
      </c>
      <c r="H292" s="126" t="s">
        <v>1037</v>
      </c>
      <c r="I292" s="130" t="s">
        <v>36</v>
      </c>
      <c r="J292" s="111"/>
      <c r="K292" s="107"/>
      <c r="L292" s="107"/>
      <c r="M292" s="107"/>
      <c r="N292" s="107"/>
      <c r="O292" s="107"/>
      <c r="P292" s="107"/>
      <c r="Q292" s="107"/>
      <c r="R292" s="107"/>
      <c r="S292" s="107"/>
      <c r="T292" s="107"/>
      <c r="U292" s="107"/>
      <c r="V292" s="107"/>
      <c r="W292" s="107"/>
      <c r="X292" s="107"/>
      <c r="Y292" s="107"/>
      <c r="Z292" s="107"/>
      <c r="AA292" s="107"/>
      <c r="AB292" s="107"/>
      <c r="AC292" s="107"/>
      <c r="AD292" s="107"/>
    </row>
    <row r="293">
      <c r="A293" s="107"/>
      <c r="B293" s="107"/>
      <c r="C293" s="124" t="s">
        <v>1136</v>
      </c>
      <c r="D293" s="15"/>
      <c r="E293" s="108"/>
      <c r="F293" s="126" t="s">
        <v>1127</v>
      </c>
      <c r="G293" s="129" t="s">
        <v>1094</v>
      </c>
      <c r="H293" s="126" t="s">
        <v>1037</v>
      </c>
      <c r="I293" s="130" t="s">
        <v>717</v>
      </c>
      <c r="J293" s="111"/>
      <c r="K293" s="107"/>
      <c r="L293" s="107"/>
      <c r="M293" s="107"/>
      <c r="N293" s="107"/>
      <c r="O293" s="107"/>
      <c r="P293" s="107"/>
      <c r="Q293" s="107"/>
      <c r="R293" s="107"/>
      <c r="S293" s="107"/>
      <c r="T293" s="107"/>
      <c r="U293" s="107"/>
      <c r="V293" s="107"/>
      <c r="W293" s="107"/>
      <c r="X293" s="107"/>
      <c r="Y293" s="107"/>
      <c r="Z293" s="107"/>
      <c r="AA293" s="107"/>
      <c r="AB293" s="107"/>
      <c r="AC293" s="107"/>
      <c r="AD293" s="107"/>
    </row>
    <row r="294">
      <c r="A294" s="107"/>
      <c r="B294" s="107"/>
      <c r="C294" s="124" t="s">
        <v>1137</v>
      </c>
      <c r="D294" s="15"/>
      <c r="E294" s="108"/>
      <c r="F294" s="126" t="s">
        <v>1127</v>
      </c>
      <c r="G294" s="129" t="s">
        <v>1096</v>
      </c>
      <c r="H294" s="129" t="s">
        <v>1059</v>
      </c>
      <c r="I294" s="130" t="s">
        <v>36</v>
      </c>
      <c r="J294" s="111"/>
      <c r="K294" s="107"/>
      <c r="L294" s="107"/>
      <c r="M294" s="107"/>
      <c r="N294" s="107"/>
      <c r="O294" s="107"/>
      <c r="P294" s="107"/>
      <c r="Q294" s="107"/>
      <c r="R294" s="107"/>
      <c r="S294" s="107"/>
      <c r="T294" s="107"/>
      <c r="U294" s="107"/>
      <c r="V294" s="107"/>
      <c r="W294" s="107"/>
      <c r="X294" s="107"/>
      <c r="Y294" s="107"/>
      <c r="Z294" s="107"/>
      <c r="AA294" s="107"/>
      <c r="AB294" s="107"/>
      <c r="AC294" s="107"/>
      <c r="AD294" s="107"/>
    </row>
    <row r="295">
      <c r="A295" s="107"/>
      <c r="B295" s="107"/>
      <c r="C295" s="124" t="s">
        <v>1138</v>
      </c>
      <c r="D295" s="15"/>
      <c r="E295" s="108"/>
      <c r="F295" s="126" t="s">
        <v>1127</v>
      </c>
      <c r="G295" s="129" t="s">
        <v>1098</v>
      </c>
      <c r="H295" s="129" t="s">
        <v>1062</v>
      </c>
      <c r="I295" s="130" t="s">
        <v>36</v>
      </c>
      <c r="J295" s="111"/>
      <c r="K295" s="107"/>
      <c r="L295" s="107"/>
      <c r="M295" s="107"/>
      <c r="N295" s="107"/>
      <c r="O295" s="107"/>
      <c r="P295" s="107"/>
      <c r="Q295" s="107"/>
      <c r="R295" s="107"/>
      <c r="S295" s="107"/>
      <c r="T295" s="107"/>
      <c r="U295" s="107"/>
      <c r="V295" s="107"/>
      <c r="W295" s="107"/>
      <c r="X295" s="107"/>
      <c r="Y295" s="107"/>
      <c r="Z295" s="107"/>
      <c r="AA295" s="107"/>
      <c r="AB295" s="107"/>
      <c r="AC295" s="107"/>
      <c r="AD295" s="107"/>
    </row>
    <row r="296">
      <c r="A296" s="107"/>
      <c r="B296" s="107"/>
      <c r="C296" s="124" t="s">
        <v>1139</v>
      </c>
      <c r="D296" s="15"/>
      <c r="E296" s="108"/>
      <c r="F296" s="126" t="s">
        <v>1127</v>
      </c>
      <c r="G296" s="129" t="s">
        <v>1101</v>
      </c>
      <c r="H296" s="129" t="s">
        <v>1062</v>
      </c>
      <c r="I296" s="130" t="s">
        <v>36</v>
      </c>
      <c r="J296" s="111"/>
      <c r="K296" s="107"/>
      <c r="L296" s="107"/>
      <c r="M296" s="107"/>
      <c r="N296" s="107"/>
      <c r="O296" s="107"/>
      <c r="P296" s="107"/>
      <c r="Q296" s="107"/>
      <c r="R296" s="107"/>
      <c r="S296" s="107"/>
      <c r="T296" s="107"/>
      <c r="U296" s="107"/>
      <c r="V296" s="107"/>
      <c r="W296" s="107"/>
      <c r="X296" s="107"/>
      <c r="Y296" s="107"/>
      <c r="Z296" s="107"/>
      <c r="AA296" s="107"/>
      <c r="AB296" s="107"/>
      <c r="AC296" s="107"/>
      <c r="AD296" s="107"/>
    </row>
    <row r="297">
      <c r="A297" s="107"/>
      <c r="B297" s="107"/>
      <c r="C297" s="124" t="s">
        <v>1140</v>
      </c>
      <c r="D297" s="15"/>
      <c r="E297" s="108"/>
      <c r="F297" s="129" t="s">
        <v>1141</v>
      </c>
      <c r="G297" s="129" t="s">
        <v>1103</v>
      </c>
      <c r="H297" s="129" t="s">
        <v>1062</v>
      </c>
      <c r="I297" s="130" t="s">
        <v>717</v>
      </c>
      <c r="J297" s="111"/>
      <c r="K297" s="107"/>
      <c r="L297" s="107"/>
      <c r="M297" s="107"/>
      <c r="N297" s="107"/>
      <c r="O297" s="107"/>
      <c r="P297" s="107"/>
      <c r="Q297" s="107"/>
      <c r="R297" s="107"/>
      <c r="S297" s="107"/>
      <c r="T297" s="107"/>
      <c r="U297" s="107"/>
      <c r="V297" s="107"/>
      <c r="W297" s="107"/>
      <c r="X297" s="107"/>
      <c r="Y297" s="107"/>
      <c r="Z297" s="107"/>
      <c r="AA297" s="107"/>
      <c r="AB297" s="107"/>
      <c r="AC297" s="107"/>
      <c r="AD297" s="107"/>
    </row>
    <row r="298">
      <c r="A298" s="107"/>
      <c r="B298" s="107"/>
      <c r="C298" s="124" t="s">
        <v>1142</v>
      </c>
      <c r="D298" s="15"/>
      <c r="E298" s="108"/>
      <c r="F298" s="129" t="s">
        <v>1143</v>
      </c>
      <c r="G298" s="129" t="s">
        <v>1144</v>
      </c>
      <c r="H298" s="129" t="s">
        <v>1145</v>
      </c>
      <c r="I298" s="130" t="s">
        <v>317</v>
      </c>
      <c r="J298" s="111"/>
      <c r="K298" s="107"/>
      <c r="L298" s="107"/>
      <c r="M298" s="107"/>
      <c r="N298" s="107"/>
      <c r="O298" s="107"/>
      <c r="P298" s="107"/>
      <c r="Q298" s="107"/>
      <c r="R298" s="107"/>
      <c r="S298" s="107"/>
      <c r="T298" s="107"/>
      <c r="U298" s="107"/>
      <c r="V298" s="107"/>
      <c r="W298" s="107"/>
      <c r="X298" s="107"/>
      <c r="Y298" s="107"/>
      <c r="Z298" s="107"/>
      <c r="AA298" s="107"/>
      <c r="AB298" s="107"/>
      <c r="AC298" s="107"/>
      <c r="AD298" s="107"/>
    </row>
    <row r="299">
      <c r="A299" s="107"/>
      <c r="B299" s="107"/>
      <c r="C299" s="124" t="s">
        <v>1146</v>
      </c>
      <c r="D299" s="15"/>
      <c r="E299" s="108"/>
      <c r="F299" s="126" t="s">
        <v>1133</v>
      </c>
      <c r="G299" s="126" t="s">
        <v>1147</v>
      </c>
      <c r="H299" s="126" t="s">
        <v>1148</v>
      </c>
      <c r="I299" s="130" t="s">
        <v>36</v>
      </c>
      <c r="J299" s="111"/>
      <c r="K299" s="107"/>
      <c r="L299" s="107"/>
      <c r="M299" s="107"/>
      <c r="N299" s="107"/>
      <c r="O299" s="107"/>
      <c r="P299" s="107"/>
      <c r="Q299" s="107"/>
      <c r="R299" s="107"/>
      <c r="S299" s="107"/>
      <c r="T299" s="107"/>
      <c r="U299" s="107"/>
      <c r="V299" s="107"/>
      <c r="W299" s="107"/>
      <c r="X299" s="107"/>
      <c r="Y299" s="107"/>
      <c r="Z299" s="107"/>
      <c r="AA299" s="107"/>
      <c r="AB299" s="107"/>
      <c r="AC299" s="107"/>
      <c r="AD299" s="107"/>
    </row>
    <row r="300">
      <c r="A300" s="107"/>
      <c r="B300" s="107"/>
      <c r="C300" s="124" t="s">
        <v>1149</v>
      </c>
      <c r="D300" s="15"/>
      <c r="E300" s="108"/>
      <c r="F300" s="141" t="s">
        <v>1150</v>
      </c>
      <c r="G300" s="126" t="s">
        <v>1151</v>
      </c>
      <c r="H300" s="126" t="s">
        <v>1145</v>
      </c>
      <c r="I300" s="130" t="s">
        <v>36</v>
      </c>
      <c r="J300" s="111"/>
      <c r="K300" s="107"/>
      <c r="L300" s="107"/>
      <c r="M300" s="107"/>
      <c r="N300" s="107"/>
      <c r="O300" s="107"/>
      <c r="P300" s="107"/>
      <c r="Q300" s="107"/>
      <c r="R300" s="107"/>
      <c r="S300" s="107"/>
      <c r="T300" s="107"/>
      <c r="U300" s="107"/>
      <c r="V300" s="107"/>
      <c r="W300" s="107"/>
      <c r="X300" s="107"/>
      <c r="Y300" s="107"/>
      <c r="Z300" s="107"/>
      <c r="AA300" s="107"/>
      <c r="AB300" s="107"/>
      <c r="AC300" s="107"/>
      <c r="AD300" s="107"/>
    </row>
    <row r="301">
      <c r="A301" s="107"/>
      <c r="B301" s="107"/>
      <c r="C301" s="124" t="s">
        <v>1152</v>
      </c>
      <c r="D301" s="15"/>
      <c r="E301" s="108"/>
      <c r="F301" s="126" t="s">
        <v>1153</v>
      </c>
      <c r="G301" s="126" t="s">
        <v>1154</v>
      </c>
      <c r="H301" s="126" t="s">
        <v>1145</v>
      </c>
      <c r="I301" s="130" t="s">
        <v>36</v>
      </c>
      <c r="J301" s="111"/>
      <c r="K301" s="107"/>
      <c r="L301" s="107"/>
      <c r="M301" s="107"/>
      <c r="N301" s="107"/>
      <c r="O301" s="107"/>
      <c r="P301" s="107"/>
      <c r="Q301" s="107"/>
      <c r="R301" s="107"/>
      <c r="S301" s="107"/>
      <c r="T301" s="107"/>
      <c r="U301" s="107"/>
      <c r="V301" s="107"/>
      <c r="W301" s="107"/>
      <c r="X301" s="107"/>
      <c r="Y301" s="107"/>
      <c r="Z301" s="107"/>
      <c r="AA301" s="107"/>
      <c r="AB301" s="107"/>
      <c r="AC301" s="107"/>
      <c r="AD301" s="107"/>
    </row>
    <row r="302">
      <c r="A302" s="107"/>
      <c r="B302" s="107"/>
      <c r="C302" s="124" t="s">
        <v>1155</v>
      </c>
      <c r="D302" s="15"/>
      <c r="E302" s="108"/>
      <c r="F302" s="126" t="s">
        <v>1156</v>
      </c>
      <c r="G302" s="126" t="s">
        <v>1157</v>
      </c>
      <c r="H302" s="126" t="s">
        <v>1148</v>
      </c>
      <c r="I302" s="130" t="s">
        <v>36</v>
      </c>
      <c r="J302" s="111"/>
      <c r="K302" s="107"/>
      <c r="L302" s="107"/>
      <c r="M302" s="107"/>
      <c r="N302" s="107"/>
      <c r="O302" s="107"/>
      <c r="P302" s="107"/>
      <c r="Q302" s="107"/>
      <c r="R302" s="107"/>
      <c r="S302" s="107"/>
      <c r="T302" s="107"/>
      <c r="U302" s="107"/>
      <c r="V302" s="107"/>
      <c r="W302" s="107"/>
      <c r="X302" s="107"/>
      <c r="Y302" s="107"/>
      <c r="Z302" s="107"/>
      <c r="AA302" s="107"/>
      <c r="AB302" s="107"/>
      <c r="AC302" s="107"/>
      <c r="AD302" s="107"/>
    </row>
    <row r="303">
      <c r="A303" s="107"/>
      <c r="B303" s="107"/>
      <c r="C303" s="124" t="s">
        <v>1158</v>
      </c>
      <c r="D303" s="15"/>
      <c r="E303" s="108"/>
      <c r="F303" s="126" t="s">
        <v>1159</v>
      </c>
      <c r="G303" s="126" t="s">
        <v>1160</v>
      </c>
      <c r="H303" s="126" t="s">
        <v>1145</v>
      </c>
      <c r="I303" s="130" t="s">
        <v>317</v>
      </c>
      <c r="J303" s="111"/>
      <c r="K303" s="107"/>
      <c r="L303" s="107"/>
      <c r="M303" s="107"/>
      <c r="N303" s="107"/>
      <c r="O303" s="107"/>
      <c r="P303" s="107"/>
      <c r="Q303" s="107"/>
      <c r="R303" s="107"/>
      <c r="S303" s="107"/>
      <c r="T303" s="107"/>
      <c r="U303" s="107"/>
      <c r="V303" s="107"/>
      <c r="W303" s="107"/>
      <c r="X303" s="107"/>
      <c r="Y303" s="107"/>
      <c r="Z303" s="107"/>
      <c r="AA303" s="107"/>
      <c r="AB303" s="107"/>
      <c r="AC303" s="107"/>
      <c r="AD303" s="107"/>
    </row>
    <row r="304">
      <c r="A304" s="107"/>
      <c r="B304" s="107"/>
      <c r="C304" s="124" t="s">
        <v>1161</v>
      </c>
      <c r="D304" s="15"/>
      <c r="E304" s="108"/>
      <c r="F304" s="126" t="s">
        <v>1162</v>
      </c>
      <c r="G304" s="126" t="s">
        <v>1163</v>
      </c>
      <c r="H304" s="126" t="s">
        <v>1148</v>
      </c>
      <c r="I304" s="130" t="s">
        <v>36</v>
      </c>
      <c r="J304" s="111"/>
      <c r="K304" s="107"/>
      <c r="L304" s="107"/>
      <c r="M304" s="107"/>
      <c r="N304" s="107"/>
      <c r="O304" s="107"/>
      <c r="P304" s="107"/>
      <c r="Q304" s="107"/>
      <c r="R304" s="107"/>
      <c r="S304" s="107"/>
      <c r="T304" s="107"/>
      <c r="U304" s="107"/>
      <c r="V304" s="107"/>
      <c r="W304" s="107"/>
      <c r="X304" s="107"/>
      <c r="Y304" s="107"/>
      <c r="Z304" s="107"/>
      <c r="AA304" s="107"/>
      <c r="AB304" s="107"/>
      <c r="AC304" s="107"/>
      <c r="AD304" s="107"/>
    </row>
    <row r="305">
      <c r="A305" s="107"/>
      <c r="B305" s="107"/>
      <c r="C305" s="124" t="s">
        <v>1164</v>
      </c>
      <c r="D305" s="15"/>
      <c r="E305" s="108"/>
      <c r="F305" s="141" t="s">
        <v>1165</v>
      </c>
      <c r="G305" s="126" t="s">
        <v>1166</v>
      </c>
      <c r="H305" s="126" t="s">
        <v>1145</v>
      </c>
      <c r="I305" s="130" t="s">
        <v>317</v>
      </c>
      <c r="J305" s="111"/>
      <c r="K305" s="107"/>
      <c r="L305" s="107"/>
      <c r="M305" s="107"/>
      <c r="N305" s="107"/>
      <c r="O305" s="107"/>
      <c r="P305" s="107"/>
      <c r="Q305" s="107"/>
      <c r="R305" s="107"/>
      <c r="S305" s="107"/>
      <c r="T305" s="107"/>
      <c r="U305" s="107"/>
      <c r="V305" s="107"/>
      <c r="W305" s="107"/>
      <c r="X305" s="107"/>
      <c r="Y305" s="107"/>
      <c r="Z305" s="107"/>
      <c r="AA305" s="107"/>
      <c r="AB305" s="107"/>
      <c r="AC305" s="107"/>
      <c r="AD305" s="107"/>
    </row>
    <row r="306">
      <c r="A306" s="107"/>
      <c r="B306" s="107"/>
      <c r="C306" s="124" t="s">
        <v>1167</v>
      </c>
      <c r="D306" s="15"/>
      <c r="E306" s="109"/>
      <c r="F306" s="126" t="s">
        <v>1168</v>
      </c>
      <c r="G306" s="126" t="s">
        <v>1169</v>
      </c>
      <c r="H306" s="126" t="s">
        <v>1148</v>
      </c>
      <c r="I306" s="130" t="s">
        <v>317</v>
      </c>
      <c r="J306" s="111"/>
      <c r="K306" s="107"/>
      <c r="L306" s="107"/>
      <c r="M306" s="107"/>
      <c r="N306" s="107"/>
      <c r="O306" s="107"/>
      <c r="P306" s="107"/>
      <c r="Q306" s="107"/>
      <c r="R306" s="107"/>
      <c r="S306" s="107"/>
      <c r="T306" s="107"/>
      <c r="U306" s="107"/>
      <c r="V306" s="107"/>
      <c r="W306" s="107"/>
      <c r="X306" s="107"/>
      <c r="Y306" s="107"/>
      <c r="Z306" s="107"/>
      <c r="AA306" s="107"/>
      <c r="AB306" s="107"/>
      <c r="AC306" s="107"/>
      <c r="AD306" s="107"/>
    </row>
    <row r="307">
      <c r="A307" s="107"/>
      <c r="B307" s="107"/>
      <c r="C307" s="124" t="s">
        <v>1170</v>
      </c>
      <c r="D307" s="15"/>
      <c r="E307" s="133" t="s">
        <v>226</v>
      </c>
      <c r="F307" s="141" t="s">
        <v>1171</v>
      </c>
      <c r="G307" s="129" t="s">
        <v>1036</v>
      </c>
      <c r="H307" s="126" t="s">
        <v>1037</v>
      </c>
      <c r="I307" s="130" t="s">
        <v>36</v>
      </c>
      <c r="J307" s="107"/>
      <c r="K307" s="107"/>
      <c r="L307" s="107"/>
      <c r="M307" s="107"/>
      <c r="N307" s="107"/>
      <c r="O307" s="107"/>
      <c r="P307" s="107"/>
      <c r="Q307" s="107"/>
      <c r="R307" s="107"/>
      <c r="S307" s="107"/>
      <c r="T307" s="107"/>
      <c r="U307" s="107"/>
      <c r="V307" s="107"/>
      <c r="W307" s="107"/>
      <c r="X307" s="107"/>
      <c r="Y307" s="107"/>
      <c r="Z307" s="107"/>
      <c r="AA307" s="107"/>
      <c r="AB307" s="107"/>
      <c r="AC307" s="107"/>
      <c r="AD307" s="107"/>
    </row>
    <row r="308">
      <c r="A308" s="107"/>
      <c r="B308" s="107"/>
      <c r="C308" s="124" t="s">
        <v>1172</v>
      </c>
      <c r="D308" s="15"/>
      <c r="E308" s="108"/>
      <c r="F308" s="126" t="s">
        <v>1173</v>
      </c>
      <c r="G308" s="129" t="s">
        <v>1039</v>
      </c>
      <c r="H308" s="126" t="s">
        <v>1037</v>
      </c>
      <c r="I308" s="130" t="s">
        <v>36</v>
      </c>
      <c r="J308" s="107"/>
      <c r="K308" s="107"/>
      <c r="L308" s="107"/>
      <c r="M308" s="107"/>
      <c r="N308" s="107"/>
      <c r="O308" s="107"/>
      <c r="P308" s="107"/>
      <c r="Q308" s="107"/>
      <c r="R308" s="107"/>
      <c r="S308" s="107"/>
      <c r="T308" s="107"/>
      <c r="U308" s="107"/>
      <c r="V308" s="107"/>
      <c r="W308" s="107"/>
      <c r="X308" s="107"/>
      <c r="Y308" s="107"/>
      <c r="Z308" s="107"/>
      <c r="AA308" s="107"/>
      <c r="AB308" s="107"/>
      <c r="AC308" s="107"/>
      <c r="AD308" s="107"/>
    </row>
    <row r="309">
      <c r="A309" s="107"/>
      <c r="B309" s="107"/>
      <c r="C309" s="124" t="s">
        <v>1174</v>
      </c>
      <c r="D309" s="15"/>
      <c r="E309" s="108"/>
      <c r="F309" s="126" t="s">
        <v>1175</v>
      </c>
      <c r="G309" s="129" t="s">
        <v>1041</v>
      </c>
      <c r="H309" s="126" t="s">
        <v>1037</v>
      </c>
      <c r="I309" s="130" t="s">
        <v>717</v>
      </c>
      <c r="J309" s="107"/>
      <c r="K309" s="107"/>
      <c r="L309" s="107"/>
      <c r="M309" s="107"/>
      <c r="N309" s="107"/>
      <c r="O309" s="107"/>
      <c r="P309" s="107"/>
      <c r="Q309" s="107"/>
      <c r="R309" s="107"/>
      <c r="S309" s="107"/>
      <c r="T309" s="107"/>
      <c r="U309" s="107"/>
      <c r="V309" s="107"/>
      <c r="W309" s="107"/>
      <c r="X309" s="107"/>
      <c r="Y309" s="107"/>
      <c r="Z309" s="107"/>
      <c r="AA309" s="107"/>
      <c r="AB309" s="107"/>
      <c r="AC309" s="107"/>
      <c r="AD309" s="107"/>
    </row>
    <row r="310">
      <c r="A310" s="107"/>
      <c r="B310" s="107"/>
      <c r="C310" s="124" t="s">
        <v>1176</v>
      </c>
      <c r="D310" s="15"/>
      <c r="E310" s="108"/>
      <c r="F310" s="126" t="s">
        <v>1177</v>
      </c>
      <c r="G310" s="129" t="s">
        <v>1043</v>
      </c>
      <c r="H310" s="129" t="s">
        <v>1044</v>
      </c>
      <c r="I310" s="130" t="s">
        <v>36</v>
      </c>
      <c r="J310" s="107"/>
      <c r="K310" s="107"/>
      <c r="L310" s="107"/>
      <c r="M310" s="107"/>
      <c r="N310" s="107"/>
      <c r="O310" s="107"/>
      <c r="P310" s="107"/>
      <c r="Q310" s="107"/>
      <c r="R310" s="107"/>
      <c r="S310" s="107"/>
      <c r="T310" s="107"/>
      <c r="U310" s="107"/>
      <c r="V310" s="107"/>
      <c r="W310" s="107"/>
      <c r="X310" s="107"/>
      <c r="Y310" s="107"/>
      <c r="Z310" s="107"/>
      <c r="AA310" s="107"/>
      <c r="AB310" s="107"/>
      <c r="AC310" s="107"/>
      <c r="AD310" s="107"/>
    </row>
    <row r="311">
      <c r="A311" s="107"/>
      <c r="B311" s="107"/>
      <c r="C311" s="124" t="s">
        <v>1178</v>
      </c>
      <c r="D311" s="15"/>
      <c r="E311" s="108"/>
      <c r="F311" s="126" t="s">
        <v>1179</v>
      </c>
      <c r="G311" s="129" t="s">
        <v>1046</v>
      </c>
      <c r="H311" s="129" t="s">
        <v>1047</v>
      </c>
      <c r="I311" s="130" t="s">
        <v>36</v>
      </c>
      <c r="J311" s="107"/>
      <c r="K311" s="107"/>
      <c r="L311" s="107"/>
      <c r="M311" s="107"/>
      <c r="N311" s="107"/>
      <c r="O311" s="107"/>
      <c r="P311" s="107"/>
      <c r="Q311" s="107"/>
      <c r="R311" s="107"/>
      <c r="S311" s="107"/>
      <c r="T311" s="107"/>
      <c r="U311" s="107"/>
      <c r="V311" s="107"/>
      <c r="W311" s="107"/>
      <c r="X311" s="107"/>
      <c r="Y311" s="107"/>
      <c r="Z311" s="107"/>
      <c r="AA311" s="107"/>
      <c r="AB311" s="107"/>
      <c r="AC311" s="107"/>
      <c r="AD311" s="107"/>
    </row>
    <row r="312">
      <c r="A312" s="107"/>
      <c r="B312" s="107"/>
      <c r="C312" s="124" t="s">
        <v>1180</v>
      </c>
      <c r="D312" s="15"/>
      <c r="E312" s="108"/>
      <c r="F312" s="126" t="s">
        <v>1181</v>
      </c>
      <c r="G312" s="129" t="s">
        <v>1049</v>
      </c>
      <c r="H312" s="129" t="s">
        <v>1047</v>
      </c>
      <c r="I312" s="130" t="s">
        <v>717</v>
      </c>
      <c r="J312" s="107"/>
      <c r="K312" s="107"/>
      <c r="L312" s="107"/>
      <c r="M312" s="107"/>
      <c r="N312" s="107"/>
      <c r="O312" s="107"/>
      <c r="P312" s="107"/>
      <c r="Q312" s="107"/>
      <c r="R312" s="107"/>
      <c r="S312" s="107"/>
      <c r="T312" s="107"/>
      <c r="U312" s="107"/>
      <c r="V312" s="107"/>
      <c r="W312" s="107"/>
      <c r="X312" s="107"/>
      <c r="Y312" s="107"/>
      <c r="Z312" s="107"/>
      <c r="AA312" s="107"/>
      <c r="AB312" s="107"/>
      <c r="AC312" s="107"/>
      <c r="AD312" s="107"/>
    </row>
    <row r="313">
      <c r="A313" s="107"/>
      <c r="B313" s="107"/>
      <c r="C313" s="124" t="s">
        <v>1182</v>
      </c>
      <c r="D313" s="15"/>
      <c r="E313" s="108"/>
      <c r="F313" s="126" t="s">
        <v>1183</v>
      </c>
      <c r="G313" s="129" t="s">
        <v>1090</v>
      </c>
      <c r="H313" s="126" t="s">
        <v>1037</v>
      </c>
      <c r="I313" s="130" t="s">
        <v>36</v>
      </c>
      <c r="J313" s="107"/>
      <c r="K313" s="107"/>
      <c r="L313" s="107"/>
      <c r="M313" s="107"/>
      <c r="N313" s="107"/>
      <c r="O313" s="107"/>
      <c r="P313" s="107"/>
      <c r="Q313" s="107"/>
      <c r="R313" s="107"/>
      <c r="S313" s="107"/>
      <c r="T313" s="107"/>
      <c r="U313" s="107"/>
      <c r="V313" s="107"/>
      <c r="W313" s="107"/>
      <c r="X313" s="107"/>
      <c r="Y313" s="107"/>
      <c r="Z313" s="107"/>
      <c r="AA313" s="107"/>
      <c r="AB313" s="107"/>
      <c r="AC313" s="107"/>
      <c r="AD313" s="107"/>
    </row>
    <row r="314">
      <c r="A314" s="107"/>
      <c r="B314" s="107"/>
      <c r="C314" s="124" t="s">
        <v>1184</v>
      </c>
      <c r="D314" s="15"/>
      <c r="E314" s="108"/>
      <c r="F314" s="142" t="s">
        <v>1173</v>
      </c>
      <c r="G314" s="129" t="s">
        <v>1092</v>
      </c>
      <c r="H314" s="126" t="s">
        <v>1037</v>
      </c>
      <c r="I314" s="130" t="s">
        <v>36</v>
      </c>
      <c r="J314" s="107"/>
      <c r="K314" s="107"/>
      <c r="L314" s="107"/>
      <c r="M314" s="107"/>
      <c r="N314" s="107"/>
      <c r="O314" s="107"/>
      <c r="P314" s="107"/>
      <c r="Q314" s="107"/>
      <c r="R314" s="107"/>
      <c r="S314" s="107"/>
      <c r="T314" s="107"/>
      <c r="U314" s="107"/>
      <c r="V314" s="107"/>
      <c r="W314" s="107"/>
      <c r="X314" s="107"/>
      <c r="Y314" s="107"/>
      <c r="Z314" s="107"/>
      <c r="AA314" s="107"/>
      <c r="AB314" s="107"/>
      <c r="AC314" s="107"/>
      <c r="AD314" s="107"/>
    </row>
    <row r="315">
      <c r="A315" s="107"/>
      <c r="B315" s="107"/>
      <c r="C315" s="124" t="s">
        <v>1185</v>
      </c>
      <c r="D315" s="15"/>
      <c r="E315" s="108"/>
      <c r="F315" s="129" t="s">
        <v>1173</v>
      </c>
      <c r="G315" s="129" t="s">
        <v>1094</v>
      </c>
      <c r="H315" s="126" t="s">
        <v>1037</v>
      </c>
      <c r="I315" s="130" t="s">
        <v>717</v>
      </c>
      <c r="J315" s="107"/>
      <c r="K315" s="107"/>
      <c r="L315" s="107"/>
      <c r="M315" s="107"/>
      <c r="N315" s="107"/>
      <c r="O315" s="107"/>
      <c r="P315" s="107"/>
      <c r="Q315" s="107"/>
      <c r="R315" s="107"/>
      <c r="S315" s="107"/>
      <c r="T315" s="107"/>
      <c r="U315" s="107"/>
      <c r="V315" s="107"/>
      <c r="W315" s="107"/>
      <c r="X315" s="107"/>
      <c r="Y315" s="107"/>
      <c r="Z315" s="107"/>
      <c r="AA315" s="107"/>
      <c r="AB315" s="107"/>
      <c r="AC315" s="107"/>
      <c r="AD315" s="107"/>
    </row>
    <row r="316">
      <c r="A316" s="107"/>
      <c r="B316" s="107"/>
      <c r="C316" s="124" t="s">
        <v>1186</v>
      </c>
      <c r="D316" s="15"/>
      <c r="E316" s="108"/>
      <c r="F316" s="129" t="s">
        <v>1173</v>
      </c>
      <c r="G316" s="129" t="s">
        <v>1096</v>
      </c>
      <c r="H316" s="129" t="s">
        <v>1059</v>
      </c>
      <c r="I316" s="130" t="s">
        <v>36</v>
      </c>
      <c r="J316" s="107"/>
      <c r="K316" s="107"/>
      <c r="L316" s="107"/>
      <c r="M316" s="107"/>
      <c r="N316" s="107"/>
      <c r="O316" s="107"/>
      <c r="P316" s="107"/>
      <c r="Q316" s="107"/>
      <c r="R316" s="107"/>
      <c r="S316" s="107"/>
      <c r="T316" s="107"/>
      <c r="U316" s="107"/>
      <c r="V316" s="107"/>
      <c r="W316" s="107"/>
      <c r="X316" s="107"/>
      <c r="Y316" s="107"/>
      <c r="Z316" s="107"/>
      <c r="AA316" s="107"/>
      <c r="AB316" s="107"/>
      <c r="AC316" s="107"/>
      <c r="AD316" s="107"/>
    </row>
    <row r="317">
      <c r="A317" s="107"/>
      <c r="B317" s="107"/>
      <c r="C317" s="124" t="s">
        <v>1187</v>
      </c>
      <c r="D317" s="15"/>
      <c r="E317" s="108"/>
      <c r="F317" s="129" t="s">
        <v>1173</v>
      </c>
      <c r="G317" s="129" t="s">
        <v>1098</v>
      </c>
      <c r="H317" s="129" t="s">
        <v>1062</v>
      </c>
      <c r="I317" s="130" t="s">
        <v>36</v>
      </c>
      <c r="J317" s="107"/>
      <c r="K317" s="107"/>
      <c r="L317" s="107"/>
      <c r="M317" s="107"/>
      <c r="N317" s="107"/>
      <c r="O317" s="107"/>
      <c r="P317" s="107"/>
      <c r="Q317" s="107"/>
      <c r="R317" s="107"/>
      <c r="S317" s="107"/>
      <c r="T317" s="107"/>
      <c r="U317" s="107"/>
      <c r="V317" s="107"/>
      <c r="W317" s="107"/>
      <c r="X317" s="107"/>
      <c r="Y317" s="107"/>
      <c r="Z317" s="107"/>
      <c r="AA317" s="107"/>
      <c r="AB317" s="107"/>
      <c r="AC317" s="107"/>
      <c r="AD317" s="107"/>
    </row>
    <row r="318">
      <c r="A318" s="107"/>
      <c r="B318" s="107"/>
      <c r="C318" s="124" t="s">
        <v>1188</v>
      </c>
      <c r="D318" s="15"/>
      <c r="E318" s="108"/>
      <c r="F318" s="129" t="s">
        <v>1173</v>
      </c>
      <c r="G318" s="129" t="s">
        <v>1101</v>
      </c>
      <c r="H318" s="129" t="s">
        <v>1062</v>
      </c>
      <c r="I318" s="130" t="s">
        <v>36</v>
      </c>
      <c r="J318" s="107"/>
      <c r="K318" s="107"/>
      <c r="L318" s="107"/>
      <c r="M318" s="107"/>
      <c r="N318" s="107"/>
      <c r="O318" s="107"/>
      <c r="P318" s="107"/>
      <c r="Q318" s="107"/>
      <c r="R318" s="107"/>
      <c r="S318" s="107"/>
      <c r="T318" s="107"/>
      <c r="U318" s="107"/>
      <c r="V318" s="107"/>
      <c r="W318" s="107"/>
      <c r="X318" s="107"/>
      <c r="Y318" s="107"/>
      <c r="Z318" s="107"/>
      <c r="AA318" s="107"/>
      <c r="AB318" s="107"/>
      <c r="AC318" s="107"/>
      <c r="AD318" s="107"/>
    </row>
    <row r="319">
      <c r="A319" s="107"/>
      <c r="B319" s="107"/>
      <c r="C319" s="124" t="s">
        <v>1189</v>
      </c>
      <c r="D319" s="15"/>
      <c r="E319" s="108"/>
      <c r="F319" s="129" t="s">
        <v>1173</v>
      </c>
      <c r="G319" s="129" t="s">
        <v>1103</v>
      </c>
      <c r="H319" s="129" t="s">
        <v>1062</v>
      </c>
      <c r="I319" s="130" t="s">
        <v>717</v>
      </c>
      <c r="J319" s="107"/>
      <c r="K319" s="107"/>
      <c r="L319" s="107"/>
      <c r="M319" s="107"/>
      <c r="N319" s="107"/>
      <c r="O319" s="107"/>
      <c r="P319" s="107"/>
      <c r="Q319" s="107"/>
      <c r="R319" s="107"/>
      <c r="S319" s="107"/>
      <c r="T319" s="107"/>
      <c r="U319" s="107"/>
      <c r="V319" s="107"/>
      <c r="W319" s="107"/>
      <c r="X319" s="107"/>
      <c r="Y319" s="107"/>
      <c r="Z319" s="107"/>
      <c r="AA319" s="107"/>
      <c r="AB319" s="107"/>
      <c r="AC319" s="107"/>
      <c r="AD319" s="107"/>
    </row>
    <row r="320">
      <c r="A320" s="107"/>
      <c r="B320" s="107"/>
      <c r="C320" s="124" t="s">
        <v>1190</v>
      </c>
      <c r="D320" s="15"/>
      <c r="E320" s="108"/>
      <c r="F320" s="141" t="s">
        <v>1191</v>
      </c>
      <c r="G320" s="126" t="s">
        <v>1192</v>
      </c>
      <c r="H320" s="126" t="s">
        <v>1193</v>
      </c>
      <c r="I320" s="130" t="s">
        <v>317</v>
      </c>
      <c r="J320" s="107"/>
      <c r="K320" s="107"/>
      <c r="L320" s="107"/>
      <c r="M320" s="107"/>
      <c r="N320" s="107"/>
      <c r="O320" s="107"/>
      <c r="P320" s="107"/>
      <c r="Q320" s="107"/>
      <c r="R320" s="107"/>
      <c r="S320" s="107"/>
      <c r="T320" s="107"/>
      <c r="U320" s="107"/>
      <c r="V320" s="107"/>
      <c r="W320" s="107"/>
      <c r="X320" s="107"/>
      <c r="Y320" s="107"/>
      <c r="Z320" s="107"/>
      <c r="AA320" s="107"/>
      <c r="AB320" s="107"/>
      <c r="AC320" s="107"/>
      <c r="AD320" s="107"/>
    </row>
    <row r="321">
      <c r="A321" s="107"/>
      <c r="B321" s="107"/>
      <c r="C321" s="124" t="s">
        <v>1194</v>
      </c>
      <c r="D321" s="15"/>
      <c r="E321" s="109"/>
      <c r="F321" s="126" t="s">
        <v>1195</v>
      </c>
      <c r="G321" s="126" t="s">
        <v>1196</v>
      </c>
      <c r="H321" s="126" t="s">
        <v>1197</v>
      </c>
      <c r="I321" s="130" t="s">
        <v>317</v>
      </c>
      <c r="J321" s="107"/>
      <c r="K321" s="107"/>
      <c r="L321" s="107"/>
      <c r="M321" s="107"/>
      <c r="N321" s="107"/>
      <c r="O321" s="107"/>
      <c r="P321" s="107"/>
      <c r="Q321" s="107"/>
      <c r="R321" s="107"/>
      <c r="S321" s="107"/>
      <c r="T321" s="107"/>
      <c r="U321" s="107"/>
      <c r="V321" s="107"/>
      <c r="W321" s="107"/>
      <c r="X321" s="107"/>
      <c r="Y321" s="107"/>
      <c r="Z321" s="107"/>
      <c r="AA321" s="107"/>
      <c r="AB321" s="107"/>
      <c r="AC321" s="107"/>
      <c r="AD321" s="107"/>
    </row>
    <row r="322">
      <c r="A322" s="107"/>
      <c r="B322" s="107"/>
      <c r="C322" s="124" t="s">
        <v>1198</v>
      </c>
      <c r="D322" s="15"/>
      <c r="E322" s="143" t="s">
        <v>228</v>
      </c>
      <c r="F322" s="129" t="s">
        <v>1199</v>
      </c>
      <c r="G322" s="126" t="s">
        <v>1200</v>
      </c>
      <c r="H322" s="126" t="s">
        <v>1201</v>
      </c>
      <c r="I322" s="130" t="s">
        <v>36</v>
      </c>
      <c r="J322" s="107"/>
      <c r="K322" s="107"/>
      <c r="L322" s="107"/>
      <c r="M322" s="107"/>
      <c r="N322" s="107"/>
      <c r="O322" s="107"/>
      <c r="P322" s="107"/>
      <c r="Q322" s="107"/>
      <c r="R322" s="107"/>
      <c r="S322" s="107"/>
      <c r="T322" s="107"/>
      <c r="U322" s="107"/>
      <c r="V322" s="107"/>
      <c r="W322" s="107"/>
      <c r="X322" s="107"/>
      <c r="Y322" s="107"/>
      <c r="Z322" s="107"/>
      <c r="AA322" s="107"/>
      <c r="AB322" s="107"/>
      <c r="AC322" s="107"/>
      <c r="AD322" s="107"/>
    </row>
    <row r="323">
      <c r="A323" s="107"/>
      <c r="B323" s="107"/>
      <c r="C323" s="124" t="s">
        <v>1202</v>
      </c>
      <c r="D323" s="15"/>
      <c r="E323" s="108"/>
      <c r="F323" s="129" t="s">
        <v>1203</v>
      </c>
      <c r="G323" s="126" t="s">
        <v>1204</v>
      </c>
      <c r="H323" s="126" t="s">
        <v>1201</v>
      </c>
      <c r="I323" s="130" t="s">
        <v>36</v>
      </c>
      <c r="J323" s="107"/>
      <c r="K323" s="107"/>
      <c r="L323" s="107"/>
      <c r="M323" s="107"/>
      <c r="N323" s="107"/>
      <c r="O323" s="107"/>
      <c r="P323" s="107"/>
      <c r="Q323" s="107"/>
      <c r="R323" s="107"/>
      <c r="S323" s="107"/>
      <c r="T323" s="107"/>
      <c r="U323" s="107"/>
      <c r="V323" s="107"/>
      <c r="W323" s="107"/>
      <c r="X323" s="107"/>
      <c r="Y323" s="107"/>
      <c r="Z323" s="107"/>
      <c r="AA323" s="107"/>
      <c r="AB323" s="107"/>
      <c r="AC323" s="107"/>
      <c r="AD323" s="107"/>
    </row>
    <row r="324">
      <c r="A324" s="107"/>
      <c r="B324" s="107"/>
      <c r="C324" s="124" t="s">
        <v>1205</v>
      </c>
      <c r="D324" s="15"/>
      <c r="E324" s="108"/>
      <c r="F324" s="126" t="s">
        <v>1206</v>
      </c>
      <c r="G324" s="126" t="s">
        <v>1207</v>
      </c>
      <c r="H324" s="126" t="s">
        <v>1208</v>
      </c>
      <c r="I324" s="130" t="s">
        <v>36</v>
      </c>
      <c r="J324" s="107"/>
      <c r="K324" s="107"/>
      <c r="L324" s="107"/>
      <c r="M324" s="107"/>
      <c r="N324" s="107"/>
      <c r="O324" s="107"/>
      <c r="P324" s="107"/>
      <c r="Q324" s="107"/>
      <c r="R324" s="107"/>
      <c r="S324" s="107"/>
      <c r="T324" s="107"/>
      <c r="U324" s="107"/>
      <c r="V324" s="107"/>
      <c r="W324" s="107"/>
      <c r="X324" s="107"/>
      <c r="Y324" s="107"/>
      <c r="Z324" s="107"/>
      <c r="AA324" s="107"/>
      <c r="AB324" s="107"/>
      <c r="AC324" s="107"/>
      <c r="AD324" s="107"/>
    </row>
    <row r="325">
      <c r="A325" s="107"/>
      <c r="B325" s="107"/>
      <c r="C325" s="124" t="s">
        <v>1209</v>
      </c>
      <c r="D325" s="15"/>
      <c r="E325" s="108"/>
      <c r="F325" s="126" t="s">
        <v>1210</v>
      </c>
      <c r="G325" s="126" t="s">
        <v>1211</v>
      </c>
      <c r="H325" s="126" t="s">
        <v>1208</v>
      </c>
      <c r="I325" s="130" t="s">
        <v>36</v>
      </c>
      <c r="J325" s="107"/>
      <c r="K325" s="107"/>
      <c r="L325" s="107"/>
      <c r="M325" s="107"/>
      <c r="N325" s="107"/>
      <c r="O325" s="107"/>
      <c r="P325" s="107"/>
      <c r="Q325" s="107"/>
      <c r="R325" s="107"/>
      <c r="S325" s="107"/>
      <c r="T325" s="107"/>
      <c r="U325" s="107"/>
      <c r="V325" s="107"/>
      <c r="W325" s="107"/>
      <c r="X325" s="107"/>
      <c r="Y325" s="107"/>
      <c r="Z325" s="107"/>
      <c r="AA325" s="107"/>
      <c r="AB325" s="107"/>
      <c r="AC325" s="107"/>
      <c r="AD325" s="107"/>
    </row>
    <row r="326">
      <c r="A326" s="107"/>
      <c r="B326" s="107"/>
      <c r="C326" s="124" t="s">
        <v>1212</v>
      </c>
      <c r="D326" s="15"/>
      <c r="E326" s="108"/>
      <c r="F326" s="126" t="s">
        <v>1213</v>
      </c>
      <c r="G326" s="126" t="s">
        <v>1214</v>
      </c>
      <c r="H326" s="126" t="s">
        <v>1215</v>
      </c>
      <c r="I326" s="130" t="s">
        <v>36</v>
      </c>
      <c r="J326" s="107"/>
      <c r="K326" s="107"/>
      <c r="L326" s="107"/>
      <c r="M326" s="107"/>
      <c r="N326" s="107"/>
      <c r="O326" s="107"/>
      <c r="P326" s="107"/>
      <c r="Q326" s="107"/>
      <c r="R326" s="107"/>
      <c r="S326" s="107"/>
      <c r="T326" s="107"/>
      <c r="U326" s="107"/>
      <c r="V326" s="107"/>
      <c r="W326" s="107"/>
      <c r="X326" s="107"/>
      <c r="Y326" s="107"/>
      <c r="Z326" s="107"/>
      <c r="AA326" s="107"/>
      <c r="AB326" s="107"/>
      <c r="AC326" s="107"/>
      <c r="AD326" s="107"/>
    </row>
    <row r="327">
      <c r="A327" s="107"/>
      <c r="B327" s="107"/>
      <c r="C327" s="124" t="s">
        <v>1216</v>
      </c>
      <c r="D327" s="15"/>
      <c r="E327" s="108"/>
      <c r="F327" s="126" t="s">
        <v>1217</v>
      </c>
      <c r="G327" s="126" t="s">
        <v>1218</v>
      </c>
      <c r="H327" s="126" t="s">
        <v>1215</v>
      </c>
      <c r="I327" s="130" t="s">
        <v>36</v>
      </c>
      <c r="J327" s="107"/>
      <c r="K327" s="107"/>
      <c r="L327" s="107"/>
      <c r="M327" s="107"/>
      <c r="N327" s="107"/>
      <c r="O327" s="107"/>
      <c r="P327" s="107"/>
      <c r="Q327" s="107"/>
      <c r="R327" s="107"/>
      <c r="S327" s="107"/>
      <c r="T327" s="107"/>
      <c r="U327" s="107"/>
      <c r="V327" s="107"/>
      <c r="W327" s="107"/>
      <c r="X327" s="107"/>
      <c r="Y327" s="107"/>
      <c r="Z327" s="107"/>
      <c r="AA327" s="107"/>
      <c r="AB327" s="107"/>
      <c r="AC327" s="107"/>
      <c r="AD327" s="107"/>
    </row>
    <row r="328">
      <c r="A328" s="107"/>
      <c r="B328" s="107"/>
      <c r="C328" s="124" t="s">
        <v>1219</v>
      </c>
      <c r="D328" s="15"/>
      <c r="E328" s="109"/>
      <c r="F328" s="126" t="s">
        <v>1220</v>
      </c>
      <c r="G328" s="126" t="s">
        <v>1221</v>
      </c>
      <c r="H328" s="126" t="s">
        <v>1222</v>
      </c>
      <c r="I328" s="130" t="s">
        <v>304</v>
      </c>
      <c r="J328" s="128" t="s">
        <v>1223</v>
      </c>
      <c r="K328" s="107"/>
      <c r="L328" s="107"/>
      <c r="M328" s="107"/>
      <c r="N328" s="107"/>
      <c r="O328" s="107"/>
      <c r="P328" s="107"/>
      <c r="Q328" s="107"/>
      <c r="R328" s="107"/>
      <c r="S328" s="107"/>
      <c r="T328" s="107"/>
      <c r="U328" s="107"/>
      <c r="V328" s="107"/>
      <c r="W328" s="107"/>
      <c r="X328" s="107"/>
      <c r="Y328" s="107"/>
      <c r="Z328" s="107"/>
      <c r="AA328" s="107"/>
      <c r="AB328" s="107"/>
      <c r="AC328" s="107"/>
      <c r="AD328" s="107"/>
    </row>
    <row r="329">
      <c r="A329" s="107"/>
      <c r="B329" s="107"/>
      <c r="C329" s="124" t="s">
        <v>1224</v>
      </c>
      <c r="D329" s="15"/>
      <c r="E329" s="131" t="s">
        <v>230</v>
      </c>
      <c r="F329" s="126" t="s">
        <v>1225</v>
      </c>
      <c r="G329" s="126" t="s">
        <v>1226</v>
      </c>
      <c r="H329" s="126" t="s">
        <v>1227</v>
      </c>
      <c r="I329" s="130" t="s">
        <v>36</v>
      </c>
      <c r="J329" s="111"/>
      <c r="K329" s="107"/>
      <c r="L329" s="107"/>
      <c r="M329" s="107"/>
      <c r="N329" s="107"/>
      <c r="O329" s="107"/>
      <c r="P329" s="107"/>
      <c r="Q329" s="107"/>
      <c r="R329" s="107"/>
      <c r="S329" s="107"/>
      <c r="T329" s="107"/>
      <c r="U329" s="107"/>
      <c r="V329" s="107"/>
      <c r="W329" s="107"/>
      <c r="X329" s="107"/>
      <c r="Y329" s="107"/>
      <c r="Z329" s="107"/>
      <c r="AA329" s="107"/>
      <c r="AB329" s="107"/>
      <c r="AC329" s="107"/>
      <c r="AD329" s="107"/>
    </row>
    <row r="330">
      <c r="A330" s="107"/>
      <c r="B330" s="107"/>
      <c r="C330" s="124" t="s">
        <v>1228</v>
      </c>
      <c r="D330" s="15"/>
      <c r="E330" s="108"/>
      <c r="F330" s="126" t="s">
        <v>1229</v>
      </c>
      <c r="G330" s="126" t="s">
        <v>1226</v>
      </c>
      <c r="H330" s="126" t="s">
        <v>1230</v>
      </c>
      <c r="I330" s="130" t="s">
        <v>36</v>
      </c>
      <c r="J330" s="111"/>
      <c r="K330" s="107"/>
      <c r="L330" s="107"/>
      <c r="M330" s="107"/>
      <c r="N330" s="107"/>
      <c r="O330" s="107"/>
      <c r="P330" s="107"/>
      <c r="Q330" s="107"/>
      <c r="R330" s="107"/>
      <c r="S330" s="107"/>
      <c r="T330" s="107"/>
      <c r="U330" s="107"/>
      <c r="V330" s="107"/>
      <c r="W330" s="107"/>
      <c r="X330" s="107"/>
      <c r="Y330" s="107"/>
      <c r="Z330" s="107"/>
      <c r="AA330" s="107"/>
      <c r="AB330" s="107"/>
      <c r="AC330" s="107"/>
      <c r="AD330" s="107"/>
    </row>
    <row r="331">
      <c r="A331" s="107"/>
      <c r="B331" s="107"/>
      <c r="C331" s="124" t="s">
        <v>1231</v>
      </c>
      <c r="D331" s="15"/>
      <c r="E331" s="108"/>
      <c r="F331" s="126" t="s">
        <v>1232</v>
      </c>
      <c r="G331" s="126" t="s">
        <v>1226</v>
      </c>
      <c r="H331" s="126" t="s">
        <v>1227</v>
      </c>
      <c r="I331" s="130" t="s">
        <v>36</v>
      </c>
      <c r="J331" s="111"/>
      <c r="K331" s="107"/>
      <c r="L331" s="107"/>
      <c r="M331" s="107"/>
      <c r="N331" s="107"/>
      <c r="O331" s="107"/>
      <c r="P331" s="107"/>
      <c r="Q331" s="107"/>
      <c r="R331" s="107"/>
      <c r="S331" s="107"/>
      <c r="T331" s="107"/>
      <c r="U331" s="107"/>
      <c r="V331" s="107"/>
      <c r="W331" s="107"/>
      <c r="X331" s="107"/>
      <c r="Y331" s="107"/>
      <c r="Z331" s="107"/>
      <c r="AA331" s="107"/>
      <c r="AB331" s="107"/>
      <c r="AC331" s="107"/>
      <c r="AD331" s="107"/>
    </row>
    <row r="332">
      <c r="A332" s="107"/>
      <c r="B332" s="107"/>
      <c r="C332" s="124" t="s">
        <v>1233</v>
      </c>
      <c r="D332" s="15"/>
      <c r="E332" s="108"/>
      <c r="F332" s="126" t="s">
        <v>1234</v>
      </c>
      <c r="G332" s="126" t="s">
        <v>1226</v>
      </c>
      <c r="H332" s="126" t="s">
        <v>1230</v>
      </c>
      <c r="I332" s="130" t="s">
        <v>36</v>
      </c>
      <c r="J332" s="111"/>
      <c r="K332" s="107"/>
      <c r="L332" s="107"/>
      <c r="M332" s="107"/>
      <c r="N332" s="107"/>
      <c r="O332" s="107"/>
      <c r="P332" s="107"/>
      <c r="Q332" s="107"/>
      <c r="R332" s="107"/>
      <c r="S332" s="107"/>
      <c r="T332" s="107"/>
      <c r="U332" s="107"/>
      <c r="V332" s="107"/>
      <c r="W332" s="107"/>
      <c r="X332" s="107"/>
      <c r="Y332" s="107"/>
      <c r="Z332" s="107"/>
      <c r="AA332" s="107"/>
      <c r="AB332" s="107"/>
      <c r="AC332" s="107"/>
      <c r="AD332" s="107"/>
    </row>
    <row r="333">
      <c r="A333" s="107"/>
      <c r="B333" s="107"/>
      <c r="C333" s="124" t="s">
        <v>1235</v>
      </c>
      <c r="D333" s="15"/>
      <c r="E333" s="108"/>
      <c r="F333" s="126" t="s">
        <v>1236</v>
      </c>
      <c r="G333" s="126" t="s">
        <v>1226</v>
      </c>
      <c r="H333" s="126" t="s">
        <v>1227</v>
      </c>
      <c r="I333" s="130" t="s">
        <v>36</v>
      </c>
      <c r="J333" s="111"/>
      <c r="K333" s="107"/>
      <c r="L333" s="107"/>
      <c r="M333" s="107"/>
      <c r="N333" s="107"/>
      <c r="O333" s="107"/>
      <c r="P333" s="107"/>
      <c r="Q333" s="107"/>
      <c r="R333" s="107"/>
      <c r="S333" s="107"/>
      <c r="T333" s="107"/>
      <c r="U333" s="107"/>
      <c r="V333" s="107"/>
      <c r="W333" s="107"/>
      <c r="X333" s="107"/>
      <c r="Y333" s="107"/>
      <c r="Z333" s="107"/>
      <c r="AA333" s="107"/>
      <c r="AB333" s="107"/>
      <c r="AC333" s="107"/>
      <c r="AD333" s="107"/>
    </row>
    <row r="334">
      <c r="A334" s="107"/>
      <c r="B334" s="107"/>
      <c r="C334" s="124" t="s">
        <v>1237</v>
      </c>
      <c r="D334" s="15"/>
      <c r="E334" s="109"/>
      <c r="F334" s="126" t="s">
        <v>1238</v>
      </c>
      <c r="G334" s="126" t="s">
        <v>1226</v>
      </c>
      <c r="H334" s="126" t="s">
        <v>1230</v>
      </c>
      <c r="I334" s="130" t="s">
        <v>36</v>
      </c>
      <c r="J334" s="111"/>
      <c r="K334" s="107"/>
      <c r="L334" s="107"/>
      <c r="M334" s="107"/>
      <c r="N334" s="107"/>
      <c r="O334" s="107"/>
      <c r="P334" s="107"/>
      <c r="Q334" s="107"/>
      <c r="R334" s="107"/>
      <c r="S334" s="107"/>
      <c r="T334" s="107"/>
      <c r="U334" s="107"/>
      <c r="V334" s="107"/>
      <c r="W334" s="107"/>
      <c r="X334" s="107"/>
      <c r="Y334" s="107"/>
      <c r="Z334" s="107"/>
      <c r="AA334" s="107"/>
      <c r="AB334" s="107"/>
      <c r="AC334" s="107"/>
      <c r="AD334" s="107"/>
    </row>
    <row r="335">
      <c r="A335" s="107"/>
      <c r="B335" s="107"/>
      <c r="C335" s="124" t="s">
        <v>1239</v>
      </c>
      <c r="D335" s="15"/>
      <c r="E335" s="125" t="s">
        <v>233</v>
      </c>
      <c r="F335" s="126" t="s">
        <v>1240</v>
      </c>
      <c r="G335" s="126" t="s">
        <v>1241</v>
      </c>
      <c r="H335" s="126" t="s">
        <v>1242</v>
      </c>
      <c r="I335" s="130" t="s">
        <v>36</v>
      </c>
      <c r="J335" s="107"/>
      <c r="K335" s="107"/>
      <c r="L335" s="107"/>
      <c r="M335" s="107"/>
      <c r="N335" s="107"/>
      <c r="O335" s="107"/>
      <c r="P335" s="107"/>
      <c r="Q335" s="107"/>
      <c r="R335" s="107"/>
      <c r="S335" s="107"/>
      <c r="T335" s="107"/>
      <c r="U335" s="107"/>
      <c r="V335" s="107"/>
      <c r="W335" s="107"/>
      <c r="X335" s="107"/>
      <c r="Y335" s="107"/>
      <c r="Z335" s="107"/>
      <c r="AA335" s="107"/>
      <c r="AB335" s="107"/>
      <c r="AC335" s="107"/>
      <c r="AD335" s="107"/>
    </row>
    <row r="336">
      <c r="A336" s="107"/>
      <c r="B336" s="107"/>
      <c r="C336" s="124" t="s">
        <v>1243</v>
      </c>
      <c r="D336" s="15"/>
      <c r="E336" s="108"/>
      <c r="F336" s="126" t="s">
        <v>1244</v>
      </c>
      <c r="G336" s="126" t="s">
        <v>1245</v>
      </c>
      <c r="H336" s="126" t="s">
        <v>1246</v>
      </c>
      <c r="I336" s="130" t="s">
        <v>36</v>
      </c>
      <c r="J336" s="107"/>
      <c r="K336" s="107"/>
      <c r="L336" s="107"/>
      <c r="M336" s="107"/>
      <c r="N336" s="107"/>
      <c r="O336" s="107"/>
      <c r="P336" s="107"/>
      <c r="Q336" s="107"/>
      <c r="R336" s="107"/>
      <c r="S336" s="107"/>
      <c r="T336" s="107"/>
      <c r="U336" s="107"/>
      <c r="V336" s="107"/>
      <c r="W336" s="107"/>
      <c r="X336" s="107"/>
      <c r="Y336" s="107"/>
      <c r="Z336" s="107"/>
      <c r="AA336" s="107"/>
      <c r="AB336" s="107"/>
      <c r="AC336" s="107"/>
      <c r="AD336" s="107"/>
    </row>
    <row r="337">
      <c r="A337" s="107"/>
      <c r="B337" s="107"/>
      <c r="C337" s="124" t="s">
        <v>1247</v>
      </c>
      <c r="D337" s="15"/>
      <c r="E337" s="108"/>
      <c r="F337" s="126" t="s">
        <v>1248</v>
      </c>
      <c r="G337" s="126" t="s">
        <v>1249</v>
      </c>
      <c r="H337" s="126" t="s">
        <v>1250</v>
      </c>
      <c r="I337" s="130" t="s">
        <v>36</v>
      </c>
      <c r="J337" s="107"/>
      <c r="K337" s="107"/>
      <c r="L337" s="107"/>
      <c r="M337" s="107"/>
      <c r="N337" s="107"/>
      <c r="O337" s="107"/>
      <c r="P337" s="107"/>
      <c r="Q337" s="107"/>
      <c r="R337" s="107"/>
      <c r="S337" s="107"/>
      <c r="T337" s="107"/>
      <c r="U337" s="107"/>
      <c r="V337" s="107"/>
      <c r="W337" s="107"/>
      <c r="X337" s="107"/>
      <c r="Y337" s="107"/>
      <c r="Z337" s="107"/>
      <c r="AA337" s="107"/>
      <c r="AB337" s="107"/>
      <c r="AC337" s="107"/>
      <c r="AD337" s="107"/>
    </row>
    <row r="338">
      <c r="A338" s="107"/>
      <c r="B338" s="107"/>
      <c r="C338" s="124" t="s">
        <v>1251</v>
      </c>
      <c r="D338" s="15"/>
      <c r="E338" s="108"/>
      <c r="F338" s="126" t="s">
        <v>1252</v>
      </c>
      <c r="G338" s="126" t="s">
        <v>1253</v>
      </c>
      <c r="H338" s="126" t="s">
        <v>1254</v>
      </c>
      <c r="I338" s="130" t="s">
        <v>36</v>
      </c>
      <c r="J338" s="107"/>
      <c r="K338" s="107"/>
      <c r="L338" s="107"/>
      <c r="M338" s="107"/>
      <c r="N338" s="107"/>
      <c r="O338" s="107"/>
      <c r="P338" s="107"/>
      <c r="Q338" s="107"/>
      <c r="R338" s="107"/>
      <c r="S338" s="107"/>
      <c r="T338" s="107"/>
      <c r="U338" s="107"/>
      <c r="V338" s="107"/>
      <c r="W338" s="107"/>
      <c r="X338" s="107"/>
      <c r="Y338" s="107"/>
      <c r="Z338" s="107"/>
      <c r="AA338" s="107"/>
      <c r="AB338" s="107"/>
      <c r="AC338" s="107"/>
      <c r="AD338" s="107"/>
    </row>
    <row r="339">
      <c r="A339" s="107"/>
      <c r="B339" s="107"/>
      <c r="C339" s="124" t="s">
        <v>1255</v>
      </c>
      <c r="D339" s="15"/>
      <c r="E339" s="108"/>
      <c r="F339" s="126" t="s">
        <v>1256</v>
      </c>
      <c r="G339" s="126" t="s">
        <v>1257</v>
      </c>
      <c r="H339" s="126" t="s">
        <v>1258</v>
      </c>
      <c r="I339" s="130" t="s">
        <v>36</v>
      </c>
      <c r="J339" s="107"/>
      <c r="K339" s="107"/>
      <c r="L339" s="107"/>
      <c r="M339" s="107"/>
      <c r="N339" s="107"/>
      <c r="O339" s="107"/>
      <c r="P339" s="107"/>
      <c r="Q339" s="107"/>
      <c r="R339" s="107"/>
      <c r="S339" s="107"/>
      <c r="T339" s="107"/>
      <c r="U339" s="107"/>
      <c r="V339" s="107"/>
      <c r="W339" s="107"/>
      <c r="X339" s="107"/>
      <c r="Y339" s="107"/>
      <c r="Z339" s="107"/>
      <c r="AA339" s="107"/>
      <c r="AB339" s="107"/>
      <c r="AC339" s="107"/>
      <c r="AD339" s="107"/>
    </row>
    <row r="340">
      <c r="A340" s="107"/>
      <c r="B340" s="107"/>
      <c r="C340" s="124" t="s">
        <v>1259</v>
      </c>
      <c r="D340" s="15"/>
      <c r="E340" s="108"/>
      <c r="F340" s="126" t="s">
        <v>1260</v>
      </c>
      <c r="G340" s="126" t="s">
        <v>1261</v>
      </c>
      <c r="H340" s="126" t="s">
        <v>1262</v>
      </c>
      <c r="I340" s="130" t="s">
        <v>36</v>
      </c>
      <c r="J340" s="107"/>
      <c r="K340" s="107"/>
      <c r="L340" s="107"/>
      <c r="M340" s="107"/>
      <c r="N340" s="107"/>
      <c r="O340" s="107"/>
      <c r="P340" s="107"/>
      <c r="Q340" s="107"/>
      <c r="R340" s="107"/>
      <c r="S340" s="107"/>
      <c r="T340" s="107"/>
      <c r="U340" s="107"/>
      <c r="V340" s="107"/>
      <c r="W340" s="107"/>
      <c r="X340" s="107"/>
      <c r="Y340" s="107"/>
      <c r="Z340" s="107"/>
      <c r="AA340" s="107"/>
      <c r="AB340" s="107"/>
      <c r="AC340" s="107"/>
      <c r="AD340" s="107"/>
    </row>
    <row r="341">
      <c r="A341" s="107"/>
      <c r="B341" s="107"/>
      <c r="C341" s="124" t="s">
        <v>1263</v>
      </c>
      <c r="D341" s="15"/>
      <c r="E341" s="108"/>
      <c r="F341" s="126" t="s">
        <v>1264</v>
      </c>
      <c r="G341" s="126" t="s">
        <v>1249</v>
      </c>
      <c r="H341" s="126" t="s">
        <v>1265</v>
      </c>
      <c r="I341" s="130" t="s">
        <v>36</v>
      </c>
      <c r="J341" s="107"/>
      <c r="K341" s="107"/>
      <c r="L341" s="107"/>
      <c r="M341" s="107"/>
      <c r="N341" s="107"/>
      <c r="O341" s="107"/>
      <c r="P341" s="107"/>
      <c r="Q341" s="107"/>
      <c r="R341" s="107"/>
      <c r="S341" s="107"/>
      <c r="T341" s="107"/>
      <c r="U341" s="107"/>
      <c r="V341" s="107"/>
      <c r="W341" s="107"/>
      <c r="X341" s="107"/>
      <c r="Y341" s="107"/>
      <c r="Z341" s="107"/>
      <c r="AA341" s="107"/>
      <c r="AB341" s="107"/>
      <c r="AC341" s="107"/>
      <c r="AD341" s="107"/>
    </row>
    <row r="342">
      <c r="A342" s="107"/>
      <c r="B342" s="107"/>
      <c r="C342" s="124" t="s">
        <v>1266</v>
      </c>
      <c r="D342" s="15"/>
      <c r="E342" s="108"/>
      <c r="F342" s="126" t="s">
        <v>1267</v>
      </c>
      <c r="G342" s="126" t="s">
        <v>1268</v>
      </c>
      <c r="H342" s="126" t="s">
        <v>1269</v>
      </c>
      <c r="I342" s="130" t="s">
        <v>36</v>
      </c>
      <c r="J342" s="107"/>
      <c r="K342" s="107"/>
      <c r="L342" s="107"/>
      <c r="M342" s="107"/>
      <c r="N342" s="107"/>
      <c r="O342" s="107"/>
      <c r="P342" s="107"/>
      <c r="Q342" s="107"/>
      <c r="R342" s="107"/>
      <c r="S342" s="107"/>
      <c r="T342" s="107"/>
      <c r="U342" s="107"/>
      <c r="V342" s="107"/>
      <c r="W342" s="107"/>
      <c r="X342" s="107"/>
      <c r="Y342" s="107"/>
      <c r="Z342" s="107"/>
      <c r="AA342" s="107"/>
      <c r="AB342" s="107"/>
      <c r="AC342" s="107"/>
      <c r="AD342" s="107"/>
    </row>
    <row r="343">
      <c r="A343" s="107"/>
      <c r="B343" s="107"/>
      <c r="C343" s="124" t="s">
        <v>1270</v>
      </c>
      <c r="D343" s="15"/>
      <c r="E343" s="108"/>
      <c r="F343" s="126" t="s">
        <v>1271</v>
      </c>
      <c r="G343" s="126" t="s">
        <v>1272</v>
      </c>
      <c r="H343" s="126" t="s">
        <v>1273</v>
      </c>
      <c r="I343" s="130" t="s">
        <v>36</v>
      </c>
      <c r="J343" s="107"/>
      <c r="K343" s="107"/>
      <c r="L343" s="107"/>
      <c r="M343" s="107"/>
      <c r="N343" s="107"/>
      <c r="O343" s="107"/>
      <c r="P343" s="107"/>
      <c r="Q343" s="107"/>
      <c r="R343" s="107"/>
      <c r="S343" s="107"/>
      <c r="T343" s="107"/>
      <c r="U343" s="107"/>
      <c r="V343" s="107"/>
      <c r="W343" s="107"/>
      <c r="X343" s="107"/>
      <c r="Y343" s="107"/>
      <c r="Z343" s="107"/>
      <c r="AA343" s="107"/>
      <c r="AB343" s="107"/>
      <c r="AC343" s="107"/>
      <c r="AD343" s="107"/>
    </row>
    <row r="344">
      <c r="A344" s="107"/>
      <c r="B344" s="107"/>
      <c r="C344" s="124" t="s">
        <v>1274</v>
      </c>
      <c r="D344" s="15"/>
      <c r="E344" s="108"/>
      <c r="F344" s="126" t="s">
        <v>1275</v>
      </c>
      <c r="G344" s="126" t="s">
        <v>1276</v>
      </c>
      <c r="H344" s="126" t="s">
        <v>843</v>
      </c>
      <c r="I344" s="130" t="s">
        <v>36</v>
      </c>
      <c r="J344" s="107"/>
      <c r="K344" s="107"/>
      <c r="L344" s="107"/>
      <c r="M344" s="107"/>
      <c r="N344" s="107"/>
      <c r="O344" s="107"/>
      <c r="P344" s="107"/>
      <c r="Q344" s="107"/>
      <c r="R344" s="107"/>
      <c r="S344" s="107"/>
      <c r="T344" s="107"/>
      <c r="U344" s="107"/>
      <c r="V344" s="107"/>
      <c r="W344" s="107"/>
      <c r="X344" s="107"/>
      <c r="Y344" s="107"/>
      <c r="Z344" s="107"/>
      <c r="AA344" s="107"/>
      <c r="AB344" s="107"/>
      <c r="AC344" s="107"/>
      <c r="AD344" s="107"/>
    </row>
    <row r="345">
      <c r="A345" s="107"/>
      <c r="B345" s="107"/>
      <c r="C345" s="124" t="s">
        <v>1277</v>
      </c>
      <c r="D345" s="15"/>
      <c r="E345" s="108"/>
      <c r="F345" s="126" t="s">
        <v>1278</v>
      </c>
      <c r="G345" s="126" t="s">
        <v>1249</v>
      </c>
      <c r="H345" s="126" t="s">
        <v>1279</v>
      </c>
      <c r="I345" s="130" t="s">
        <v>36</v>
      </c>
      <c r="J345" s="107"/>
      <c r="K345" s="107"/>
      <c r="L345" s="107"/>
      <c r="M345" s="107"/>
      <c r="N345" s="107"/>
      <c r="O345" s="107"/>
      <c r="P345" s="107"/>
      <c r="Q345" s="107"/>
      <c r="R345" s="107"/>
      <c r="S345" s="107"/>
      <c r="T345" s="107"/>
      <c r="U345" s="107"/>
      <c r="V345" s="107"/>
      <c r="W345" s="107"/>
      <c r="X345" s="107"/>
      <c r="Y345" s="107"/>
      <c r="Z345" s="107"/>
      <c r="AA345" s="107"/>
      <c r="AB345" s="107"/>
      <c r="AC345" s="107"/>
      <c r="AD345" s="107"/>
    </row>
    <row r="346">
      <c r="A346" s="107"/>
      <c r="B346" s="107"/>
      <c r="C346" s="124" t="s">
        <v>1280</v>
      </c>
      <c r="D346" s="15"/>
      <c r="E346" s="108"/>
      <c r="F346" s="126" t="s">
        <v>1281</v>
      </c>
      <c r="G346" s="126" t="s">
        <v>1253</v>
      </c>
      <c r="H346" s="126" t="s">
        <v>1282</v>
      </c>
      <c r="I346" s="130" t="s">
        <v>36</v>
      </c>
      <c r="J346" s="107"/>
      <c r="K346" s="107"/>
      <c r="L346" s="107"/>
      <c r="M346" s="107"/>
      <c r="N346" s="107"/>
      <c r="O346" s="107"/>
      <c r="P346" s="107"/>
      <c r="Q346" s="107"/>
      <c r="R346" s="107"/>
      <c r="S346" s="107"/>
      <c r="T346" s="107"/>
      <c r="U346" s="107"/>
      <c r="V346" s="107"/>
      <c r="W346" s="107"/>
      <c r="X346" s="107"/>
      <c r="Y346" s="107"/>
      <c r="Z346" s="107"/>
      <c r="AA346" s="107"/>
      <c r="AB346" s="107"/>
      <c r="AC346" s="107"/>
      <c r="AD346" s="107"/>
    </row>
    <row r="347">
      <c r="A347" s="107"/>
      <c r="B347" s="107"/>
      <c r="C347" s="124" t="s">
        <v>1283</v>
      </c>
      <c r="D347" s="15"/>
      <c r="E347" s="108"/>
      <c r="F347" s="126" t="s">
        <v>1284</v>
      </c>
      <c r="G347" s="126" t="s">
        <v>1285</v>
      </c>
      <c r="H347" s="126" t="s">
        <v>1286</v>
      </c>
      <c r="I347" s="130" t="s">
        <v>36</v>
      </c>
      <c r="J347" s="107"/>
      <c r="K347" s="107"/>
      <c r="L347" s="107"/>
      <c r="M347" s="107"/>
      <c r="N347" s="107"/>
      <c r="O347" s="107"/>
      <c r="P347" s="107"/>
      <c r="Q347" s="107"/>
      <c r="R347" s="107"/>
      <c r="S347" s="107"/>
      <c r="T347" s="107"/>
      <c r="U347" s="107"/>
      <c r="V347" s="107"/>
      <c r="W347" s="107"/>
      <c r="X347" s="107"/>
      <c r="Y347" s="107"/>
      <c r="Z347" s="107"/>
      <c r="AA347" s="107"/>
      <c r="AB347" s="107"/>
      <c r="AC347" s="107"/>
      <c r="AD347" s="107"/>
    </row>
    <row r="348">
      <c r="A348" s="107"/>
      <c r="B348" s="107"/>
      <c r="C348" s="124" t="s">
        <v>1287</v>
      </c>
      <c r="D348" s="15"/>
      <c r="E348" s="108"/>
      <c r="F348" s="126" t="s">
        <v>1288</v>
      </c>
      <c r="G348" s="126" t="s">
        <v>1289</v>
      </c>
      <c r="H348" s="126" t="s">
        <v>1286</v>
      </c>
      <c r="I348" s="130" t="s">
        <v>36</v>
      </c>
      <c r="J348" s="107"/>
      <c r="K348" s="107"/>
      <c r="L348" s="107"/>
      <c r="M348" s="107"/>
      <c r="N348" s="107"/>
      <c r="O348" s="107"/>
      <c r="P348" s="107"/>
      <c r="Q348" s="107"/>
      <c r="R348" s="107"/>
      <c r="S348" s="107"/>
      <c r="T348" s="107"/>
      <c r="U348" s="107"/>
      <c r="V348" s="107"/>
      <c r="W348" s="107"/>
      <c r="X348" s="107"/>
      <c r="Y348" s="107"/>
      <c r="Z348" s="107"/>
      <c r="AA348" s="107"/>
      <c r="AB348" s="107"/>
      <c r="AC348" s="107"/>
      <c r="AD348" s="107"/>
    </row>
    <row r="349">
      <c r="A349" s="107"/>
      <c r="B349" s="107"/>
      <c r="C349" s="124" t="s">
        <v>1290</v>
      </c>
      <c r="D349" s="15"/>
      <c r="E349" s="108"/>
      <c r="F349" s="126" t="s">
        <v>1291</v>
      </c>
      <c r="G349" s="126" t="s">
        <v>1292</v>
      </c>
      <c r="H349" s="126" t="s">
        <v>1293</v>
      </c>
      <c r="I349" s="130" t="s">
        <v>36</v>
      </c>
      <c r="J349" s="107"/>
      <c r="K349" s="107"/>
      <c r="L349" s="107"/>
      <c r="M349" s="107"/>
      <c r="N349" s="107"/>
      <c r="O349" s="107"/>
      <c r="P349" s="107"/>
      <c r="Q349" s="107"/>
      <c r="R349" s="107"/>
      <c r="S349" s="107"/>
      <c r="T349" s="107"/>
      <c r="U349" s="107"/>
      <c r="V349" s="107"/>
      <c r="W349" s="107"/>
      <c r="X349" s="107"/>
      <c r="Y349" s="107"/>
      <c r="Z349" s="107"/>
      <c r="AA349" s="107"/>
      <c r="AB349" s="107"/>
      <c r="AC349" s="107"/>
      <c r="AD349" s="107"/>
    </row>
    <row r="350">
      <c r="A350" s="107"/>
      <c r="B350" s="107"/>
      <c r="C350" s="124" t="s">
        <v>1294</v>
      </c>
      <c r="D350" s="15"/>
      <c r="E350" s="108"/>
      <c r="F350" s="126" t="s">
        <v>1295</v>
      </c>
      <c r="G350" s="126" t="s">
        <v>1296</v>
      </c>
      <c r="H350" s="126" t="s">
        <v>1297</v>
      </c>
      <c r="I350" s="130" t="s">
        <v>36</v>
      </c>
      <c r="J350" s="107"/>
      <c r="K350" s="107"/>
      <c r="L350" s="107"/>
      <c r="M350" s="107"/>
      <c r="N350" s="107"/>
      <c r="O350" s="107"/>
      <c r="P350" s="107"/>
      <c r="Q350" s="107"/>
      <c r="R350" s="107"/>
      <c r="S350" s="107"/>
      <c r="T350" s="107"/>
      <c r="U350" s="107"/>
      <c r="V350" s="107"/>
      <c r="W350" s="107"/>
      <c r="X350" s="107"/>
      <c r="Y350" s="107"/>
      <c r="Z350" s="107"/>
      <c r="AA350" s="107"/>
      <c r="AB350" s="107"/>
      <c r="AC350" s="107"/>
      <c r="AD350" s="107"/>
    </row>
    <row r="351">
      <c r="A351" s="107"/>
      <c r="B351" s="107"/>
      <c r="C351" s="124" t="s">
        <v>1298</v>
      </c>
      <c r="D351" s="15"/>
      <c r="E351" s="108"/>
      <c r="F351" s="126" t="s">
        <v>1291</v>
      </c>
      <c r="G351" s="126" t="s">
        <v>1299</v>
      </c>
      <c r="H351" s="126" t="s">
        <v>1300</v>
      </c>
      <c r="I351" s="130" t="s">
        <v>36</v>
      </c>
      <c r="J351" s="107"/>
      <c r="K351" s="107"/>
      <c r="L351" s="107"/>
      <c r="M351" s="107"/>
      <c r="N351" s="107"/>
      <c r="O351" s="107"/>
      <c r="P351" s="107"/>
      <c r="Q351" s="107"/>
      <c r="R351" s="107"/>
      <c r="S351" s="107"/>
      <c r="T351" s="107"/>
      <c r="U351" s="107"/>
      <c r="V351" s="107"/>
      <c r="W351" s="107"/>
      <c r="X351" s="107"/>
      <c r="Y351" s="107"/>
      <c r="Z351" s="107"/>
      <c r="AA351" s="107"/>
      <c r="AB351" s="107"/>
      <c r="AC351" s="107"/>
      <c r="AD351" s="107"/>
    </row>
    <row r="352">
      <c r="A352" s="107"/>
      <c r="B352" s="107"/>
      <c r="C352" s="124" t="s">
        <v>1301</v>
      </c>
      <c r="D352" s="15"/>
      <c r="E352" s="108"/>
      <c r="F352" s="126" t="s">
        <v>1302</v>
      </c>
      <c r="G352" s="126" t="s">
        <v>1303</v>
      </c>
      <c r="H352" s="126" t="s">
        <v>1300</v>
      </c>
      <c r="I352" s="130" t="s">
        <v>36</v>
      </c>
      <c r="J352" s="107"/>
      <c r="K352" s="107"/>
      <c r="L352" s="107"/>
      <c r="M352" s="107"/>
      <c r="N352" s="107"/>
      <c r="O352" s="107"/>
      <c r="P352" s="107"/>
      <c r="Q352" s="107"/>
      <c r="R352" s="107"/>
      <c r="S352" s="107"/>
      <c r="T352" s="107"/>
      <c r="U352" s="107"/>
      <c r="V352" s="107"/>
      <c r="W352" s="107"/>
      <c r="X352" s="107"/>
      <c r="Y352" s="107"/>
      <c r="Z352" s="107"/>
      <c r="AA352" s="107"/>
      <c r="AB352" s="107"/>
      <c r="AC352" s="107"/>
      <c r="AD352" s="107"/>
    </row>
    <row r="353">
      <c r="A353" s="107"/>
      <c r="B353" s="107"/>
      <c r="C353" s="124" t="s">
        <v>1304</v>
      </c>
      <c r="D353" s="15"/>
      <c r="E353" s="108"/>
      <c r="F353" s="126" t="s">
        <v>1302</v>
      </c>
      <c r="G353" s="126" t="s">
        <v>1305</v>
      </c>
      <c r="H353" s="126" t="s">
        <v>1306</v>
      </c>
      <c r="I353" s="130" t="s">
        <v>304</v>
      </c>
      <c r="J353" s="107"/>
      <c r="K353" s="107"/>
      <c r="L353" s="107"/>
      <c r="M353" s="107"/>
      <c r="N353" s="107"/>
      <c r="O353" s="107"/>
      <c r="P353" s="107"/>
      <c r="Q353" s="107"/>
      <c r="R353" s="107"/>
      <c r="S353" s="107"/>
      <c r="T353" s="107"/>
      <c r="U353" s="107"/>
      <c r="V353" s="107"/>
      <c r="W353" s="107"/>
      <c r="X353" s="107"/>
      <c r="Y353" s="107"/>
      <c r="Z353" s="107"/>
      <c r="AA353" s="107"/>
      <c r="AB353" s="107"/>
      <c r="AC353" s="107"/>
      <c r="AD353" s="107"/>
    </row>
    <row r="354">
      <c r="A354" s="107"/>
      <c r="B354" s="107"/>
      <c r="C354" s="124" t="s">
        <v>1307</v>
      </c>
      <c r="D354" s="15"/>
      <c r="E354" s="108"/>
      <c r="F354" s="126" t="s">
        <v>1302</v>
      </c>
      <c r="G354" s="126" t="s">
        <v>1308</v>
      </c>
      <c r="H354" s="129" t="s">
        <v>1309</v>
      </c>
      <c r="I354" s="130" t="s">
        <v>304</v>
      </c>
      <c r="J354" s="107"/>
      <c r="K354" s="107"/>
      <c r="L354" s="107"/>
      <c r="M354" s="107"/>
      <c r="N354" s="107"/>
      <c r="O354" s="107"/>
      <c r="P354" s="107"/>
      <c r="Q354" s="107"/>
      <c r="R354" s="107"/>
      <c r="S354" s="107"/>
      <c r="T354" s="107"/>
      <c r="U354" s="107"/>
      <c r="V354" s="107"/>
      <c r="W354" s="107"/>
      <c r="X354" s="107"/>
      <c r="Y354" s="107"/>
      <c r="Z354" s="107"/>
      <c r="AA354" s="107"/>
      <c r="AB354" s="107"/>
      <c r="AC354" s="107"/>
      <c r="AD354" s="107"/>
    </row>
    <row r="355">
      <c r="A355" s="107"/>
      <c r="B355" s="107"/>
      <c r="C355" s="124" t="s">
        <v>1310</v>
      </c>
      <c r="D355" s="15"/>
      <c r="E355" s="108"/>
      <c r="F355" s="126" t="s">
        <v>1302</v>
      </c>
      <c r="G355" s="126" t="s">
        <v>1311</v>
      </c>
      <c r="H355" s="126" t="s">
        <v>1312</v>
      </c>
      <c r="I355" s="130" t="s">
        <v>36</v>
      </c>
      <c r="J355" s="107"/>
      <c r="K355" s="107"/>
      <c r="L355" s="107"/>
      <c r="M355" s="107"/>
      <c r="N355" s="107"/>
      <c r="O355" s="107"/>
      <c r="P355" s="107"/>
      <c r="Q355" s="107"/>
      <c r="R355" s="107"/>
      <c r="S355" s="107"/>
      <c r="T355" s="107"/>
      <c r="U355" s="107"/>
      <c r="V355" s="107"/>
      <c r="W355" s="107"/>
      <c r="X355" s="107"/>
      <c r="Y355" s="107"/>
      <c r="Z355" s="107"/>
      <c r="AA355" s="107"/>
      <c r="AB355" s="107"/>
      <c r="AC355" s="107"/>
      <c r="AD355" s="107"/>
    </row>
    <row r="356">
      <c r="A356" s="107"/>
      <c r="B356" s="107"/>
      <c r="C356" s="124" t="s">
        <v>1313</v>
      </c>
      <c r="D356" s="15"/>
      <c r="E356" s="109"/>
      <c r="F356" s="126" t="s">
        <v>1302</v>
      </c>
      <c r="G356" s="129" t="s">
        <v>1314</v>
      </c>
      <c r="H356" s="126" t="s">
        <v>1315</v>
      </c>
      <c r="I356" s="130" t="s">
        <v>36</v>
      </c>
      <c r="J356" s="107"/>
      <c r="K356" s="107"/>
      <c r="L356" s="107"/>
      <c r="M356" s="107"/>
      <c r="N356" s="107"/>
      <c r="O356" s="107"/>
      <c r="P356" s="107"/>
      <c r="Q356" s="107"/>
      <c r="R356" s="107"/>
      <c r="S356" s="107"/>
      <c r="T356" s="107"/>
      <c r="U356" s="107"/>
      <c r="V356" s="107"/>
      <c r="W356" s="107"/>
      <c r="X356" s="107"/>
      <c r="Y356" s="107"/>
      <c r="Z356" s="107"/>
      <c r="AA356" s="107"/>
      <c r="AB356" s="107"/>
      <c r="AC356" s="107"/>
      <c r="AD356" s="107"/>
    </row>
    <row r="357">
      <c r="A357" s="107"/>
      <c r="B357" s="107"/>
      <c r="C357" s="124" t="s">
        <v>1316</v>
      </c>
      <c r="D357" s="15"/>
      <c r="E357" s="125" t="s">
        <v>236</v>
      </c>
      <c r="F357" s="137" t="s">
        <v>1225</v>
      </c>
      <c r="G357" s="137" t="s">
        <v>1317</v>
      </c>
      <c r="H357" s="137" t="s">
        <v>1318</v>
      </c>
      <c r="I357" s="127" t="s">
        <v>36</v>
      </c>
      <c r="J357" s="107"/>
      <c r="K357" s="107"/>
      <c r="L357" s="107"/>
      <c r="M357" s="107"/>
      <c r="N357" s="107"/>
      <c r="O357" s="107"/>
      <c r="P357" s="107"/>
      <c r="Q357" s="107"/>
      <c r="R357" s="107"/>
      <c r="S357" s="107"/>
      <c r="T357" s="107"/>
      <c r="U357" s="107"/>
      <c r="V357" s="107"/>
      <c r="W357" s="107"/>
      <c r="X357" s="107"/>
      <c r="Y357" s="107"/>
      <c r="Z357" s="107"/>
      <c r="AA357" s="107"/>
      <c r="AB357" s="107"/>
      <c r="AC357" s="107"/>
      <c r="AD357" s="107"/>
    </row>
    <row r="358">
      <c r="A358" s="107"/>
      <c r="B358" s="107"/>
      <c r="C358" s="124" t="s">
        <v>1319</v>
      </c>
      <c r="D358" s="15"/>
      <c r="E358" s="108"/>
      <c r="F358" s="137" t="s">
        <v>1229</v>
      </c>
      <c r="G358" s="137" t="s">
        <v>1317</v>
      </c>
      <c r="H358" s="137" t="s">
        <v>1320</v>
      </c>
      <c r="I358" s="127" t="s">
        <v>36</v>
      </c>
      <c r="J358" s="107"/>
      <c r="K358" s="107"/>
      <c r="L358" s="107"/>
      <c r="M358" s="107"/>
      <c r="N358" s="107"/>
      <c r="O358" s="107"/>
      <c r="P358" s="107"/>
      <c r="Q358" s="107"/>
      <c r="R358" s="107"/>
      <c r="S358" s="107"/>
      <c r="T358" s="107"/>
      <c r="U358" s="107"/>
      <c r="V358" s="107"/>
      <c r="W358" s="107"/>
      <c r="X358" s="107"/>
      <c r="Y358" s="107"/>
      <c r="Z358" s="107"/>
      <c r="AA358" s="107"/>
      <c r="AB358" s="107"/>
      <c r="AC358" s="107"/>
      <c r="AD358" s="107"/>
    </row>
    <row r="359">
      <c r="A359" s="107"/>
      <c r="B359" s="107"/>
      <c r="C359" s="124" t="s">
        <v>1321</v>
      </c>
      <c r="D359" s="15"/>
      <c r="E359" s="108"/>
      <c r="F359" s="137" t="s">
        <v>1232</v>
      </c>
      <c r="G359" s="137" t="s">
        <v>1322</v>
      </c>
      <c r="H359" s="137" t="s">
        <v>1323</v>
      </c>
      <c r="I359" s="127" t="s">
        <v>36</v>
      </c>
      <c r="J359" s="107"/>
      <c r="K359" s="107"/>
      <c r="L359" s="107"/>
      <c r="M359" s="107"/>
      <c r="N359" s="107"/>
      <c r="O359" s="107"/>
      <c r="P359" s="107"/>
      <c r="Q359" s="107"/>
      <c r="R359" s="107"/>
      <c r="S359" s="107"/>
      <c r="T359" s="107"/>
      <c r="U359" s="107"/>
      <c r="V359" s="107"/>
      <c r="W359" s="107"/>
      <c r="X359" s="107"/>
      <c r="Y359" s="107"/>
      <c r="Z359" s="107"/>
      <c r="AA359" s="107"/>
      <c r="AB359" s="107"/>
      <c r="AC359" s="107"/>
      <c r="AD359" s="107"/>
    </row>
    <row r="360">
      <c r="A360" s="107"/>
      <c r="B360" s="107"/>
      <c r="C360" s="124" t="s">
        <v>1324</v>
      </c>
      <c r="D360" s="15"/>
      <c r="E360" s="108"/>
      <c r="F360" s="137" t="s">
        <v>1234</v>
      </c>
      <c r="G360" s="137" t="s">
        <v>1322</v>
      </c>
      <c r="H360" s="137" t="s">
        <v>1325</v>
      </c>
      <c r="I360" s="127" t="s">
        <v>36</v>
      </c>
      <c r="J360" s="107"/>
      <c r="K360" s="107"/>
      <c r="L360" s="107"/>
      <c r="M360" s="107"/>
      <c r="N360" s="107"/>
      <c r="O360" s="107"/>
      <c r="P360" s="107"/>
      <c r="Q360" s="107"/>
      <c r="R360" s="107"/>
      <c r="S360" s="107"/>
      <c r="T360" s="107"/>
      <c r="U360" s="107"/>
      <c r="V360" s="107"/>
      <c r="W360" s="107"/>
      <c r="X360" s="107"/>
      <c r="Y360" s="107"/>
      <c r="Z360" s="107"/>
      <c r="AA360" s="107"/>
      <c r="AB360" s="107"/>
      <c r="AC360" s="107"/>
      <c r="AD360" s="107"/>
    </row>
    <row r="361">
      <c r="A361" s="107"/>
      <c r="B361" s="107"/>
      <c r="C361" s="124" t="s">
        <v>1326</v>
      </c>
      <c r="D361" s="15"/>
      <c r="E361" s="108"/>
      <c r="F361" s="137" t="s">
        <v>1236</v>
      </c>
      <c r="G361" s="137" t="s">
        <v>1327</v>
      </c>
      <c r="H361" s="137" t="s">
        <v>1323</v>
      </c>
      <c r="I361" s="127" t="s">
        <v>36</v>
      </c>
      <c r="J361" s="107"/>
      <c r="K361" s="107"/>
      <c r="L361" s="107"/>
      <c r="M361" s="107"/>
      <c r="N361" s="107"/>
      <c r="O361" s="107"/>
      <c r="P361" s="107"/>
      <c r="Q361" s="107"/>
      <c r="R361" s="107"/>
      <c r="S361" s="107"/>
      <c r="T361" s="107"/>
      <c r="U361" s="107"/>
      <c r="V361" s="107"/>
      <c r="W361" s="107"/>
      <c r="X361" s="107"/>
      <c r="Y361" s="107"/>
      <c r="Z361" s="107"/>
      <c r="AA361" s="107"/>
      <c r="AB361" s="107"/>
      <c r="AC361" s="107"/>
      <c r="AD361" s="107"/>
    </row>
    <row r="362">
      <c r="A362" s="107"/>
      <c r="B362" s="107"/>
      <c r="C362" s="124" t="s">
        <v>1328</v>
      </c>
      <c r="D362" s="15"/>
      <c r="E362" s="109"/>
      <c r="F362" s="137" t="s">
        <v>1238</v>
      </c>
      <c r="G362" s="137" t="s">
        <v>1329</v>
      </c>
      <c r="H362" s="137" t="s">
        <v>1330</v>
      </c>
      <c r="I362" s="127" t="s">
        <v>36</v>
      </c>
      <c r="J362" s="107"/>
      <c r="K362" s="107"/>
      <c r="L362" s="107"/>
      <c r="M362" s="107"/>
      <c r="N362" s="107"/>
      <c r="O362" s="107"/>
      <c r="P362" s="107"/>
      <c r="Q362" s="107"/>
      <c r="R362" s="107"/>
      <c r="S362" s="107"/>
      <c r="T362" s="107"/>
      <c r="U362" s="107"/>
      <c r="V362" s="107"/>
      <c r="W362" s="107"/>
      <c r="X362" s="107"/>
      <c r="Y362" s="107"/>
      <c r="Z362" s="107"/>
      <c r="AA362" s="107"/>
      <c r="AB362" s="107"/>
      <c r="AC362" s="107"/>
      <c r="AD362" s="107"/>
    </row>
    <row r="363">
      <c r="A363" s="107"/>
      <c r="B363" s="107"/>
      <c r="C363" s="124" t="s">
        <v>1331</v>
      </c>
      <c r="D363" s="15"/>
      <c r="E363" s="125" t="s">
        <v>1332</v>
      </c>
      <c r="F363" s="137" t="s">
        <v>1333</v>
      </c>
      <c r="G363" s="137" t="s">
        <v>1334</v>
      </c>
      <c r="H363" s="137" t="s">
        <v>843</v>
      </c>
      <c r="I363" s="144" t="s">
        <v>36</v>
      </c>
      <c r="J363" s="107"/>
      <c r="K363" s="107"/>
      <c r="L363" s="107"/>
      <c r="M363" s="107"/>
      <c r="N363" s="107"/>
      <c r="O363" s="107"/>
      <c r="P363" s="107"/>
      <c r="Q363" s="107"/>
      <c r="R363" s="107"/>
      <c r="S363" s="107"/>
      <c r="T363" s="107"/>
      <c r="U363" s="107"/>
      <c r="V363" s="107"/>
      <c r="W363" s="107"/>
      <c r="X363" s="107"/>
      <c r="Y363" s="107"/>
      <c r="Z363" s="107"/>
      <c r="AA363" s="107"/>
      <c r="AB363" s="107"/>
      <c r="AC363" s="107"/>
      <c r="AD363" s="107"/>
    </row>
    <row r="364">
      <c r="A364" s="107"/>
      <c r="B364" s="107"/>
      <c r="C364" s="124" t="s">
        <v>1335</v>
      </c>
      <c r="D364" s="15"/>
      <c r="E364" s="108"/>
      <c r="F364" s="137" t="s">
        <v>1336</v>
      </c>
      <c r="G364" s="137" t="s">
        <v>1337</v>
      </c>
      <c r="H364" s="137" t="s">
        <v>1338</v>
      </c>
      <c r="I364" s="144" t="s">
        <v>36</v>
      </c>
      <c r="J364" s="107"/>
      <c r="K364" s="107"/>
      <c r="L364" s="107"/>
      <c r="M364" s="107"/>
      <c r="N364" s="107"/>
      <c r="O364" s="107"/>
      <c r="P364" s="107"/>
      <c r="Q364" s="107"/>
      <c r="R364" s="107"/>
      <c r="S364" s="107"/>
      <c r="T364" s="107"/>
      <c r="U364" s="107"/>
      <c r="V364" s="107"/>
      <c r="W364" s="107"/>
      <c r="X364" s="107"/>
      <c r="Y364" s="107"/>
      <c r="Z364" s="107"/>
      <c r="AA364" s="107"/>
      <c r="AB364" s="107"/>
      <c r="AC364" s="107"/>
      <c r="AD364" s="107"/>
    </row>
    <row r="365">
      <c r="A365" s="107"/>
      <c r="B365" s="107"/>
      <c r="C365" s="124" t="s">
        <v>1339</v>
      </c>
      <c r="D365" s="15"/>
      <c r="E365" s="108"/>
      <c r="F365" s="137" t="s">
        <v>1340</v>
      </c>
      <c r="G365" s="137" t="s">
        <v>1341</v>
      </c>
      <c r="H365" s="137" t="s">
        <v>1342</v>
      </c>
      <c r="I365" s="144" t="s">
        <v>36</v>
      </c>
      <c r="J365" s="107"/>
      <c r="K365" s="107"/>
      <c r="L365" s="107"/>
      <c r="M365" s="107"/>
      <c r="N365" s="107"/>
      <c r="O365" s="107"/>
      <c r="P365" s="107"/>
      <c r="Q365" s="107"/>
      <c r="R365" s="107"/>
      <c r="S365" s="107"/>
      <c r="T365" s="107"/>
      <c r="U365" s="107"/>
      <c r="V365" s="107"/>
      <c r="W365" s="107"/>
      <c r="X365" s="107"/>
      <c r="Y365" s="107"/>
      <c r="Z365" s="107"/>
      <c r="AA365" s="107"/>
      <c r="AB365" s="107"/>
      <c r="AC365" s="107"/>
      <c r="AD365" s="107"/>
    </row>
    <row r="366">
      <c r="A366" s="107"/>
      <c r="B366" s="107"/>
      <c r="C366" s="124" t="s">
        <v>1343</v>
      </c>
      <c r="D366" s="15"/>
      <c r="E366" s="108"/>
      <c r="F366" s="137" t="s">
        <v>1344</v>
      </c>
      <c r="G366" s="137" t="s">
        <v>1345</v>
      </c>
      <c r="H366" s="137" t="s">
        <v>1346</v>
      </c>
      <c r="I366" s="144" t="s">
        <v>36</v>
      </c>
      <c r="J366" s="107"/>
      <c r="K366" s="107"/>
      <c r="L366" s="107"/>
      <c r="M366" s="107"/>
      <c r="N366" s="107"/>
      <c r="O366" s="107"/>
      <c r="P366" s="107"/>
      <c r="Q366" s="107"/>
      <c r="R366" s="107"/>
      <c r="S366" s="107"/>
      <c r="T366" s="107"/>
      <c r="U366" s="107"/>
      <c r="V366" s="107"/>
      <c r="W366" s="107"/>
      <c r="X366" s="107"/>
      <c r="Y366" s="107"/>
      <c r="Z366" s="107"/>
      <c r="AA366" s="107"/>
      <c r="AB366" s="107"/>
      <c r="AC366" s="107"/>
      <c r="AD366" s="107"/>
    </row>
    <row r="367">
      <c r="A367" s="107"/>
      <c r="B367" s="107"/>
      <c r="C367" s="124" t="s">
        <v>1347</v>
      </c>
      <c r="D367" s="15"/>
      <c r="E367" s="108"/>
      <c r="F367" s="137" t="s">
        <v>1348</v>
      </c>
      <c r="G367" s="137" t="s">
        <v>1349</v>
      </c>
      <c r="H367" s="137" t="s">
        <v>1350</v>
      </c>
      <c r="I367" s="144" t="s">
        <v>36</v>
      </c>
      <c r="J367" s="107"/>
      <c r="K367" s="107"/>
      <c r="L367" s="107"/>
      <c r="M367" s="107"/>
      <c r="N367" s="107"/>
      <c r="O367" s="107"/>
      <c r="P367" s="107"/>
      <c r="Q367" s="107"/>
      <c r="R367" s="107"/>
      <c r="S367" s="107"/>
      <c r="T367" s="107"/>
      <c r="U367" s="107"/>
      <c r="V367" s="107"/>
      <c r="W367" s="107"/>
      <c r="X367" s="107"/>
      <c r="Y367" s="107"/>
      <c r="Z367" s="107"/>
      <c r="AA367" s="107"/>
      <c r="AB367" s="107"/>
      <c r="AC367" s="107"/>
      <c r="AD367" s="107"/>
    </row>
    <row r="368">
      <c r="A368" s="107"/>
      <c r="B368" s="107"/>
      <c r="C368" s="124" t="s">
        <v>1351</v>
      </c>
      <c r="D368" s="15"/>
      <c r="E368" s="108"/>
      <c r="F368" s="137" t="s">
        <v>1352</v>
      </c>
      <c r="G368" s="137" t="s">
        <v>1353</v>
      </c>
      <c r="H368" s="137" t="s">
        <v>1354</v>
      </c>
      <c r="I368" s="144" t="s">
        <v>36</v>
      </c>
      <c r="J368" s="107"/>
      <c r="K368" s="107"/>
      <c r="L368" s="107"/>
      <c r="M368" s="107"/>
      <c r="N368" s="107"/>
      <c r="O368" s="107"/>
      <c r="P368" s="107"/>
      <c r="Q368" s="107"/>
      <c r="R368" s="107"/>
      <c r="S368" s="107"/>
      <c r="T368" s="107"/>
      <c r="U368" s="107"/>
      <c r="V368" s="107"/>
      <c r="W368" s="107"/>
      <c r="X368" s="107"/>
      <c r="Y368" s="107"/>
      <c r="Z368" s="107"/>
      <c r="AA368" s="107"/>
      <c r="AB368" s="107"/>
      <c r="AC368" s="107"/>
      <c r="AD368" s="107"/>
    </row>
    <row r="369">
      <c r="A369" s="107"/>
      <c r="B369" s="107"/>
      <c r="C369" s="124" t="s">
        <v>1355</v>
      </c>
      <c r="D369" s="15"/>
      <c r="E369" s="108"/>
      <c r="F369" s="137" t="s">
        <v>1356</v>
      </c>
      <c r="G369" s="137" t="s">
        <v>1357</v>
      </c>
      <c r="H369" s="137" t="s">
        <v>1358</v>
      </c>
      <c r="I369" s="144" t="s">
        <v>36</v>
      </c>
      <c r="J369" s="107"/>
      <c r="K369" s="107"/>
      <c r="L369" s="107"/>
      <c r="M369" s="107"/>
      <c r="N369" s="107"/>
      <c r="O369" s="107"/>
      <c r="P369" s="107"/>
      <c r="Q369" s="107"/>
      <c r="R369" s="107"/>
      <c r="S369" s="107"/>
      <c r="T369" s="107"/>
      <c r="U369" s="107"/>
      <c r="V369" s="107"/>
      <c r="W369" s="107"/>
      <c r="X369" s="107"/>
      <c r="Y369" s="107"/>
      <c r="Z369" s="107"/>
      <c r="AA369" s="107"/>
      <c r="AB369" s="107"/>
      <c r="AC369" s="107"/>
      <c r="AD369" s="107"/>
    </row>
    <row r="370">
      <c r="A370" s="107"/>
      <c r="B370" s="107"/>
      <c r="C370" s="124" t="s">
        <v>1359</v>
      </c>
      <c r="D370" s="15"/>
      <c r="E370" s="109"/>
      <c r="F370" s="137" t="s">
        <v>1360</v>
      </c>
      <c r="G370" s="137" t="s">
        <v>1361</v>
      </c>
      <c r="H370" s="137" t="s">
        <v>1362</v>
      </c>
      <c r="I370" s="144" t="s">
        <v>36</v>
      </c>
      <c r="J370" s="107"/>
      <c r="K370" s="107"/>
      <c r="L370" s="107"/>
      <c r="M370" s="107"/>
      <c r="N370" s="107"/>
      <c r="O370" s="107"/>
      <c r="P370" s="107"/>
      <c r="Q370" s="107"/>
      <c r="R370" s="107"/>
      <c r="S370" s="107"/>
      <c r="T370" s="107"/>
      <c r="U370" s="107"/>
      <c r="V370" s="107"/>
      <c r="W370" s="107"/>
      <c r="X370" s="107"/>
      <c r="Y370" s="107"/>
      <c r="Z370" s="107"/>
      <c r="AA370" s="107"/>
      <c r="AB370" s="107"/>
      <c r="AC370" s="107"/>
      <c r="AD370" s="107"/>
    </row>
    <row r="371">
      <c r="A371" s="107"/>
      <c r="B371" s="107"/>
      <c r="C371" s="124" t="s">
        <v>1363</v>
      </c>
      <c r="D371" s="15"/>
      <c r="E371" s="125" t="s">
        <v>1364</v>
      </c>
      <c r="F371" s="137" t="s">
        <v>1365</v>
      </c>
      <c r="G371" s="137" t="s">
        <v>1366</v>
      </c>
      <c r="H371" s="137" t="s">
        <v>1367</v>
      </c>
      <c r="I371" s="130" t="s">
        <v>36</v>
      </c>
      <c r="J371" s="107"/>
      <c r="K371" s="107"/>
      <c r="L371" s="107"/>
      <c r="M371" s="107"/>
      <c r="N371" s="107"/>
      <c r="O371" s="107"/>
      <c r="P371" s="107"/>
      <c r="Q371" s="107"/>
      <c r="R371" s="107"/>
      <c r="S371" s="107"/>
      <c r="T371" s="107"/>
      <c r="U371" s="107"/>
      <c r="V371" s="107"/>
      <c r="W371" s="107"/>
      <c r="X371" s="107"/>
      <c r="Y371" s="107"/>
      <c r="Z371" s="107"/>
      <c r="AA371" s="107"/>
      <c r="AB371" s="107"/>
      <c r="AC371" s="107"/>
      <c r="AD371" s="107"/>
    </row>
    <row r="372">
      <c r="A372" s="107"/>
      <c r="B372" s="107"/>
      <c r="C372" s="124" t="s">
        <v>1368</v>
      </c>
      <c r="D372" s="15"/>
      <c r="E372" s="108"/>
      <c r="F372" s="137" t="s">
        <v>1369</v>
      </c>
      <c r="G372" s="137" t="s">
        <v>1370</v>
      </c>
      <c r="H372" s="137" t="s">
        <v>1371</v>
      </c>
      <c r="I372" s="130" t="s">
        <v>36</v>
      </c>
      <c r="J372" s="107"/>
      <c r="K372" s="107"/>
      <c r="L372" s="107"/>
      <c r="M372" s="107"/>
      <c r="N372" s="107"/>
      <c r="O372" s="107"/>
      <c r="P372" s="107"/>
      <c r="Q372" s="107"/>
      <c r="R372" s="107"/>
      <c r="S372" s="107"/>
      <c r="T372" s="107"/>
      <c r="U372" s="107"/>
      <c r="V372" s="107"/>
      <c r="W372" s="107"/>
      <c r="X372" s="107"/>
      <c r="Y372" s="107"/>
      <c r="Z372" s="107"/>
      <c r="AA372" s="107"/>
      <c r="AB372" s="107"/>
      <c r="AC372" s="107"/>
      <c r="AD372" s="107"/>
    </row>
    <row r="373">
      <c r="A373" s="107"/>
      <c r="B373" s="107"/>
      <c r="C373" s="124" t="s">
        <v>1372</v>
      </c>
      <c r="D373" s="15"/>
      <c r="E373" s="108"/>
      <c r="F373" s="137" t="s">
        <v>1373</v>
      </c>
      <c r="G373" s="137" t="s">
        <v>1374</v>
      </c>
      <c r="H373" s="137" t="s">
        <v>843</v>
      </c>
      <c r="I373" s="130" t="s">
        <v>36</v>
      </c>
      <c r="J373" s="107"/>
      <c r="K373" s="107"/>
      <c r="L373" s="107"/>
      <c r="M373" s="107"/>
      <c r="N373" s="107"/>
      <c r="O373" s="107"/>
      <c r="P373" s="107"/>
      <c r="Q373" s="107"/>
      <c r="R373" s="107"/>
      <c r="S373" s="107"/>
      <c r="T373" s="107"/>
      <c r="U373" s="107"/>
      <c r="V373" s="107"/>
      <c r="W373" s="107"/>
      <c r="X373" s="107"/>
      <c r="Y373" s="107"/>
      <c r="Z373" s="107"/>
      <c r="AA373" s="107"/>
      <c r="AB373" s="107"/>
      <c r="AC373" s="107"/>
      <c r="AD373" s="107"/>
    </row>
    <row r="374">
      <c r="A374" s="107"/>
      <c r="B374" s="107"/>
      <c r="C374" s="124" t="s">
        <v>1375</v>
      </c>
      <c r="D374" s="15"/>
      <c r="E374" s="108"/>
      <c r="F374" s="137" t="s">
        <v>1376</v>
      </c>
      <c r="G374" s="137" t="s">
        <v>1337</v>
      </c>
      <c r="H374" s="137" t="s">
        <v>1377</v>
      </c>
      <c r="I374" s="130" t="s">
        <v>317</v>
      </c>
      <c r="J374" s="128" t="s">
        <v>1378</v>
      </c>
      <c r="K374" s="107"/>
      <c r="L374" s="107"/>
      <c r="M374" s="107"/>
      <c r="N374" s="107"/>
      <c r="O374" s="107"/>
      <c r="P374" s="107"/>
      <c r="Q374" s="107"/>
      <c r="R374" s="107"/>
      <c r="S374" s="107"/>
      <c r="T374" s="107"/>
      <c r="U374" s="107"/>
      <c r="V374" s="107"/>
      <c r="W374" s="107"/>
      <c r="X374" s="107"/>
      <c r="Y374" s="107"/>
      <c r="Z374" s="107"/>
      <c r="AA374" s="107"/>
      <c r="AB374" s="107"/>
      <c r="AC374" s="107"/>
      <c r="AD374" s="107"/>
    </row>
    <row r="375">
      <c r="A375" s="107"/>
      <c r="B375" s="107"/>
      <c r="C375" s="124" t="s">
        <v>1379</v>
      </c>
      <c r="D375" s="15"/>
      <c r="E375" s="108"/>
      <c r="F375" s="137" t="s">
        <v>1380</v>
      </c>
      <c r="G375" s="137" t="s">
        <v>1341</v>
      </c>
      <c r="H375" s="137" t="s">
        <v>1381</v>
      </c>
      <c r="I375" s="130" t="s">
        <v>317</v>
      </c>
      <c r="J375" s="128" t="s">
        <v>1378</v>
      </c>
      <c r="K375" s="107"/>
      <c r="L375" s="107"/>
      <c r="M375" s="107"/>
      <c r="N375" s="107"/>
      <c r="O375" s="107"/>
      <c r="P375" s="107"/>
      <c r="Q375" s="107"/>
      <c r="R375" s="107"/>
      <c r="S375" s="107"/>
      <c r="T375" s="107"/>
      <c r="U375" s="107"/>
      <c r="V375" s="107"/>
      <c r="W375" s="107"/>
      <c r="X375" s="107"/>
      <c r="Y375" s="107"/>
      <c r="Z375" s="107"/>
      <c r="AA375" s="107"/>
      <c r="AB375" s="107"/>
      <c r="AC375" s="107"/>
      <c r="AD375" s="107"/>
    </row>
    <row r="376">
      <c r="A376" s="107"/>
      <c r="B376" s="107"/>
      <c r="C376" s="124" t="s">
        <v>1382</v>
      </c>
      <c r="D376" s="15"/>
      <c r="E376" s="108"/>
      <c r="F376" s="137" t="s">
        <v>1383</v>
      </c>
      <c r="G376" s="137" t="s">
        <v>1345</v>
      </c>
      <c r="H376" s="137" t="s">
        <v>1384</v>
      </c>
      <c r="I376" s="130" t="s">
        <v>317</v>
      </c>
      <c r="J376" s="128" t="s">
        <v>1378</v>
      </c>
      <c r="K376" s="107"/>
      <c r="L376" s="107"/>
      <c r="M376" s="107"/>
      <c r="N376" s="107"/>
      <c r="O376" s="107"/>
      <c r="P376" s="107"/>
      <c r="Q376" s="107"/>
      <c r="R376" s="107"/>
      <c r="S376" s="107"/>
      <c r="T376" s="107"/>
      <c r="U376" s="107"/>
      <c r="V376" s="107"/>
      <c r="W376" s="107"/>
      <c r="X376" s="107"/>
      <c r="Y376" s="107"/>
      <c r="Z376" s="107"/>
      <c r="AA376" s="107"/>
      <c r="AB376" s="107"/>
      <c r="AC376" s="107"/>
      <c r="AD376" s="107"/>
    </row>
    <row r="377">
      <c r="A377" s="107"/>
      <c r="B377" s="107"/>
      <c r="C377" s="124" t="s">
        <v>1385</v>
      </c>
      <c r="D377" s="15"/>
      <c r="E377" s="108"/>
      <c r="F377" s="137" t="s">
        <v>1386</v>
      </c>
      <c r="G377" s="137" t="s">
        <v>1349</v>
      </c>
      <c r="H377" s="137" t="s">
        <v>1350</v>
      </c>
      <c r="I377" s="130" t="s">
        <v>317</v>
      </c>
      <c r="J377" s="128" t="s">
        <v>1378</v>
      </c>
      <c r="K377" s="107"/>
      <c r="L377" s="107"/>
      <c r="M377" s="107"/>
      <c r="N377" s="107"/>
      <c r="O377" s="107"/>
      <c r="P377" s="107"/>
      <c r="Q377" s="107"/>
      <c r="R377" s="107"/>
      <c r="S377" s="107"/>
      <c r="T377" s="107"/>
      <c r="U377" s="107"/>
      <c r="V377" s="107"/>
      <c r="W377" s="107"/>
      <c r="X377" s="107"/>
      <c r="Y377" s="107"/>
      <c r="Z377" s="107"/>
      <c r="AA377" s="107"/>
      <c r="AB377" s="107"/>
      <c r="AC377" s="107"/>
      <c r="AD377" s="107"/>
    </row>
    <row r="378">
      <c r="A378" s="107"/>
      <c r="B378" s="107"/>
      <c r="C378" s="124" t="s">
        <v>1387</v>
      </c>
      <c r="D378" s="15"/>
      <c r="E378" s="108"/>
      <c r="F378" s="137" t="s">
        <v>1388</v>
      </c>
      <c r="G378" s="137" t="s">
        <v>1353</v>
      </c>
      <c r="H378" s="137" t="s">
        <v>1389</v>
      </c>
      <c r="I378" s="130" t="s">
        <v>317</v>
      </c>
      <c r="J378" s="128" t="s">
        <v>1378</v>
      </c>
      <c r="K378" s="107"/>
      <c r="L378" s="107"/>
      <c r="M378" s="107"/>
      <c r="N378" s="107"/>
      <c r="O378" s="107"/>
      <c r="P378" s="107"/>
      <c r="Q378" s="107"/>
      <c r="R378" s="107"/>
      <c r="S378" s="107"/>
      <c r="T378" s="107"/>
      <c r="U378" s="107"/>
      <c r="V378" s="107"/>
      <c r="W378" s="107"/>
      <c r="X378" s="107"/>
      <c r="Y378" s="107"/>
      <c r="Z378" s="107"/>
      <c r="AA378" s="107"/>
      <c r="AB378" s="107"/>
      <c r="AC378" s="107"/>
      <c r="AD378" s="107"/>
    </row>
    <row r="379">
      <c r="A379" s="107"/>
      <c r="B379" s="107"/>
      <c r="C379" s="124" t="s">
        <v>1390</v>
      </c>
      <c r="D379" s="15"/>
      <c r="E379" s="108"/>
      <c r="F379" s="137" t="s">
        <v>1391</v>
      </c>
      <c r="G379" s="137" t="s">
        <v>1392</v>
      </c>
      <c r="H379" s="137" t="s">
        <v>1393</v>
      </c>
      <c r="I379" s="130" t="s">
        <v>317</v>
      </c>
      <c r="J379" s="128" t="s">
        <v>1378</v>
      </c>
      <c r="K379" s="107"/>
      <c r="L379" s="107"/>
      <c r="M379" s="107"/>
      <c r="N379" s="107"/>
      <c r="O379" s="107"/>
      <c r="P379" s="107"/>
      <c r="Q379" s="107"/>
      <c r="R379" s="107"/>
      <c r="S379" s="107"/>
      <c r="T379" s="107"/>
      <c r="U379" s="107"/>
      <c r="V379" s="107"/>
      <c r="W379" s="107"/>
      <c r="X379" s="107"/>
      <c r="Y379" s="107"/>
      <c r="Z379" s="107"/>
      <c r="AA379" s="107"/>
      <c r="AB379" s="107"/>
      <c r="AC379" s="107"/>
      <c r="AD379" s="107"/>
    </row>
    <row r="380">
      <c r="A380" s="107"/>
      <c r="B380" s="107"/>
      <c r="C380" s="124" t="s">
        <v>1394</v>
      </c>
      <c r="D380" s="15"/>
      <c r="E380" s="109"/>
      <c r="F380" s="137" t="s">
        <v>1395</v>
      </c>
      <c r="G380" s="137" t="s">
        <v>1361</v>
      </c>
      <c r="H380" s="137" t="s">
        <v>1396</v>
      </c>
      <c r="I380" s="130" t="s">
        <v>317</v>
      </c>
      <c r="J380" s="128" t="s">
        <v>1378</v>
      </c>
      <c r="K380" s="107"/>
      <c r="L380" s="107"/>
      <c r="M380" s="107"/>
      <c r="N380" s="107"/>
      <c r="O380" s="107"/>
      <c r="P380" s="107"/>
      <c r="Q380" s="107"/>
      <c r="R380" s="107"/>
      <c r="S380" s="107"/>
      <c r="T380" s="107"/>
      <c r="U380" s="107"/>
      <c r="V380" s="107"/>
      <c r="W380" s="107"/>
      <c r="X380" s="107"/>
      <c r="Y380" s="107"/>
      <c r="Z380" s="107"/>
      <c r="AA380" s="107"/>
      <c r="AB380" s="107"/>
      <c r="AC380" s="107"/>
      <c r="AD380" s="107"/>
    </row>
    <row r="381">
      <c r="A381" s="107"/>
      <c r="B381" s="107"/>
      <c r="C381" s="124" t="s">
        <v>1397</v>
      </c>
      <c r="D381" s="15"/>
      <c r="E381" s="125" t="s">
        <v>1398</v>
      </c>
      <c r="F381" s="137" t="s">
        <v>1399</v>
      </c>
      <c r="G381" s="137" t="s">
        <v>1400</v>
      </c>
      <c r="H381" s="137" t="s">
        <v>1401</v>
      </c>
      <c r="I381" s="127" t="s">
        <v>36</v>
      </c>
      <c r="J381" s="107"/>
      <c r="K381" s="107"/>
      <c r="L381" s="107"/>
      <c r="M381" s="107"/>
      <c r="N381" s="107"/>
      <c r="O381" s="107"/>
      <c r="P381" s="107"/>
      <c r="Q381" s="107"/>
      <c r="R381" s="107"/>
      <c r="S381" s="107"/>
      <c r="T381" s="107"/>
      <c r="U381" s="107"/>
      <c r="V381" s="107"/>
      <c r="W381" s="107"/>
      <c r="X381" s="107"/>
      <c r="Y381" s="107"/>
      <c r="Z381" s="107"/>
      <c r="AA381" s="107"/>
      <c r="AB381" s="107"/>
      <c r="AC381" s="107"/>
      <c r="AD381" s="107"/>
    </row>
    <row r="382">
      <c r="A382" s="107"/>
      <c r="B382" s="107"/>
      <c r="C382" s="124" t="s">
        <v>1402</v>
      </c>
      <c r="D382" s="15"/>
      <c r="E382" s="108"/>
      <c r="F382" s="137" t="s">
        <v>1403</v>
      </c>
      <c r="G382" s="137" t="s">
        <v>1404</v>
      </c>
      <c r="H382" s="137" t="s">
        <v>1405</v>
      </c>
      <c r="I382" s="127" t="s">
        <v>36</v>
      </c>
      <c r="J382" s="107"/>
      <c r="K382" s="107"/>
      <c r="L382" s="107"/>
      <c r="M382" s="107"/>
      <c r="N382" s="107"/>
      <c r="O382" s="107"/>
      <c r="P382" s="107"/>
      <c r="Q382" s="107"/>
      <c r="R382" s="107"/>
      <c r="S382" s="107"/>
      <c r="T382" s="107"/>
      <c r="U382" s="107"/>
      <c r="V382" s="107"/>
      <c r="W382" s="107"/>
      <c r="X382" s="107"/>
      <c r="Y382" s="107"/>
      <c r="Z382" s="107"/>
      <c r="AA382" s="107"/>
      <c r="AB382" s="107"/>
      <c r="AC382" s="107"/>
      <c r="AD382" s="107"/>
    </row>
    <row r="383">
      <c r="A383" s="107"/>
      <c r="B383" s="107"/>
      <c r="C383" s="124" t="s">
        <v>1406</v>
      </c>
      <c r="D383" s="15"/>
      <c r="E383" s="108"/>
      <c r="F383" s="137" t="s">
        <v>1407</v>
      </c>
      <c r="G383" s="137" t="s">
        <v>1408</v>
      </c>
      <c r="H383" s="137" t="s">
        <v>1409</v>
      </c>
      <c r="I383" s="127" t="s">
        <v>36</v>
      </c>
      <c r="J383" s="107"/>
      <c r="K383" s="107"/>
      <c r="L383" s="107"/>
      <c r="M383" s="107"/>
      <c r="N383" s="107"/>
      <c r="O383" s="107"/>
      <c r="P383" s="107"/>
      <c r="Q383" s="107"/>
      <c r="R383" s="107"/>
      <c r="S383" s="107"/>
      <c r="T383" s="107"/>
      <c r="U383" s="107"/>
      <c r="V383" s="107"/>
      <c r="W383" s="107"/>
      <c r="X383" s="107"/>
      <c r="Y383" s="107"/>
      <c r="Z383" s="107"/>
      <c r="AA383" s="107"/>
      <c r="AB383" s="107"/>
      <c r="AC383" s="107"/>
      <c r="AD383" s="107"/>
    </row>
    <row r="384">
      <c r="A384" s="107"/>
      <c r="B384" s="107"/>
      <c r="C384" s="124" t="s">
        <v>1410</v>
      </c>
      <c r="D384" s="15"/>
      <c r="E384" s="108"/>
      <c r="F384" s="137" t="s">
        <v>1411</v>
      </c>
      <c r="G384" s="137" t="s">
        <v>1412</v>
      </c>
      <c r="H384" s="137" t="s">
        <v>1413</v>
      </c>
      <c r="I384" s="127" t="s">
        <v>36</v>
      </c>
      <c r="J384" s="107"/>
      <c r="K384" s="107"/>
      <c r="L384" s="107"/>
      <c r="M384" s="107"/>
      <c r="N384" s="107"/>
      <c r="O384" s="107"/>
      <c r="P384" s="107"/>
      <c r="Q384" s="107"/>
      <c r="R384" s="107"/>
      <c r="S384" s="107"/>
      <c r="T384" s="107"/>
      <c r="U384" s="107"/>
      <c r="V384" s="107"/>
      <c r="W384" s="107"/>
      <c r="X384" s="107"/>
      <c r="Y384" s="107"/>
      <c r="Z384" s="107"/>
      <c r="AA384" s="107"/>
      <c r="AB384" s="107"/>
      <c r="AC384" s="107"/>
      <c r="AD384" s="107"/>
    </row>
    <row r="385">
      <c r="A385" s="107"/>
      <c r="B385" s="107"/>
      <c r="C385" s="124" t="s">
        <v>1414</v>
      </c>
      <c r="D385" s="15"/>
      <c r="E385" s="108"/>
      <c r="F385" s="137" t="s">
        <v>1415</v>
      </c>
      <c r="G385" s="137" t="s">
        <v>1416</v>
      </c>
      <c r="H385" s="137" t="s">
        <v>1417</v>
      </c>
      <c r="I385" s="127" t="s">
        <v>36</v>
      </c>
      <c r="J385" s="107"/>
      <c r="K385" s="107"/>
      <c r="L385" s="107"/>
      <c r="M385" s="107"/>
      <c r="N385" s="107"/>
      <c r="O385" s="107"/>
      <c r="P385" s="107"/>
      <c r="Q385" s="107"/>
      <c r="R385" s="107"/>
      <c r="S385" s="107"/>
      <c r="T385" s="107"/>
      <c r="U385" s="107"/>
      <c r="V385" s="107"/>
      <c r="W385" s="107"/>
      <c r="X385" s="107"/>
      <c r="Y385" s="107"/>
      <c r="Z385" s="107"/>
      <c r="AA385" s="107"/>
      <c r="AB385" s="107"/>
      <c r="AC385" s="107"/>
      <c r="AD385" s="107"/>
    </row>
    <row r="386">
      <c r="A386" s="107"/>
      <c r="B386" s="107"/>
      <c r="C386" s="124" t="s">
        <v>1418</v>
      </c>
      <c r="D386" s="15"/>
      <c r="E386" s="108"/>
      <c r="F386" s="137" t="s">
        <v>1419</v>
      </c>
      <c r="G386" s="137" t="s">
        <v>1420</v>
      </c>
      <c r="H386" s="137" t="s">
        <v>1421</v>
      </c>
      <c r="I386" s="127" t="s">
        <v>36</v>
      </c>
      <c r="J386" s="107"/>
      <c r="K386" s="107"/>
      <c r="L386" s="107"/>
      <c r="M386" s="107"/>
      <c r="N386" s="107"/>
      <c r="O386" s="107"/>
      <c r="P386" s="107"/>
      <c r="Q386" s="107"/>
      <c r="R386" s="107"/>
      <c r="S386" s="107"/>
      <c r="T386" s="107"/>
      <c r="U386" s="107"/>
      <c r="V386" s="107"/>
      <c r="W386" s="107"/>
      <c r="X386" s="107"/>
      <c r="Y386" s="107"/>
      <c r="Z386" s="107"/>
      <c r="AA386" s="107"/>
      <c r="AB386" s="107"/>
      <c r="AC386" s="107"/>
      <c r="AD386" s="107"/>
    </row>
    <row r="387">
      <c r="A387" s="107"/>
      <c r="B387" s="107"/>
      <c r="C387" s="124" t="s">
        <v>1422</v>
      </c>
      <c r="D387" s="15"/>
      <c r="E387" s="108"/>
      <c r="F387" s="137" t="s">
        <v>1369</v>
      </c>
      <c r="G387" s="137" t="s">
        <v>1423</v>
      </c>
      <c r="H387" s="137" t="s">
        <v>1371</v>
      </c>
      <c r="I387" s="127" t="s">
        <v>36</v>
      </c>
      <c r="J387" s="107"/>
      <c r="K387" s="107"/>
      <c r="L387" s="107"/>
      <c r="M387" s="107"/>
      <c r="N387" s="107"/>
      <c r="O387" s="107"/>
      <c r="P387" s="107"/>
      <c r="Q387" s="107"/>
      <c r="R387" s="107"/>
      <c r="S387" s="107"/>
      <c r="T387" s="107"/>
      <c r="U387" s="107"/>
      <c r="V387" s="107"/>
      <c r="W387" s="107"/>
      <c r="X387" s="107"/>
      <c r="Y387" s="107"/>
      <c r="Z387" s="107"/>
      <c r="AA387" s="107"/>
      <c r="AB387" s="107"/>
      <c r="AC387" s="107"/>
      <c r="AD387" s="107"/>
    </row>
    <row r="388">
      <c r="A388" s="107"/>
      <c r="B388" s="107"/>
      <c r="C388" s="124" t="s">
        <v>1424</v>
      </c>
      <c r="D388" s="15"/>
      <c r="E388" s="108"/>
      <c r="F388" s="137" t="s">
        <v>1425</v>
      </c>
      <c r="G388" s="137" t="s">
        <v>1426</v>
      </c>
      <c r="H388" s="137" t="s">
        <v>1427</v>
      </c>
      <c r="I388" s="127" t="s">
        <v>36</v>
      </c>
      <c r="J388" s="107"/>
      <c r="K388" s="107"/>
      <c r="L388" s="107"/>
      <c r="M388" s="107"/>
      <c r="N388" s="107"/>
      <c r="O388" s="107"/>
      <c r="P388" s="107"/>
      <c r="Q388" s="107"/>
      <c r="R388" s="107"/>
      <c r="S388" s="107"/>
      <c r="T388" s="107"/>
      <c r="U388" s="107"/>
      <c r="V388" s="107"/>
      <c r="W388" s="107"/>
      <c r="X388" s="107"/>
      <c r="Y388" s="107"/>
      <c r="Z388" s="107"/>
      <c r="AA388" s="107"/>
      <c r="AB388" s="107"/>
      <c r="AC388" s="107"/>
      <c r="AD388" s="107"/>
    </row>
    <row r="389">
      <c r="A389" s="107"/>
      <c r="B389" s="107"/>
      <c r="C389" s="124" t="s">
        <v>1428</v>
      </c>
      <c r="D389" s="15"/>
      <c r="E389" s="109"/>
      <c r="F389" s="137" t="s">
        <v>1373</v>
      </c>
      <c r="G389" s="137" t="s">
        <v>1429</v>
      </c>
      <c r="H389" s="137" t="s">
        <v>843</v>
      </c>
      <c r="I389" s="127" t="s">
        <v>36</v>
      </c>
      <c r="J389" s="107"/>
      <c r="K389" s="107"/>
      <c r="L389" s="107"/>
      <c r="M389" s="107"/>
      <c r="N389" s="107"/>
      <c r="O389" s="107"/>
      <c r="P389" s="107"/>
      <c r="Q389" s="107"/>
      <c r="R389" s="107"/>
      <c r="S389" s="107"/>
      <c r="T389" s="107"/>
      <c r="U389" s="107"/>
      <c r="V389" s="107"/>
      <c r="W389" s="107"/>
      <c r="X389" s="107"/>
      <c r="Y389" s="107"/>
      <c r="Z389" s="107"/>
      <c r="AA389" s="107"/>
      <c r="AB389" s="107"/>
      <c r="AC389" s="107"/>
      <c r="AD389" s="107"/>
    </row>
    <row r="390">
      <c r="A390" s="107"/>
      <c r="B390" s="107"/>
      <c r="C390" s="124" t="s">
        <v>1430</v>
      </c>
      <c r="D390" s="15"/>
      <c r="E390" s="125" t="s">
        <v>1431</v>
      </c>
      <c r="F390" s="126" t="s">
        <v>1432</v>
      </c>
      <c r="G390" s="126" t="s">
        <v>1433</v>
      </c>
      <c r="H390" s="129" t="s">
        <v>1434</v>
      </c>
      <c r="I390" s="127" t="s">
        <v>36</v>
      </c>
      <c r="J390" s="107"/>
      <c r="K390" s="107"/>
      <c r="L390" s="107"/>
      <c r="M390" s="107"/>
      <c r="N390" s="107"/>
      <c r="O390" s="107"/>
      <c r="P390" s="107"/>
      <c r="Q390" s="107"/>
      <c r="R390" s="107"/>
      <c r="S390" s="107"/>
      <c r="T390" s="107"/>
      <c r="U390" s="107"/>
      <c r="V390" s="107"/>
      <c r="W390" s="107"/>
      <c r="X390" s="107"/>
      <c r="Y390" s="107"/>
      <c r="Z390" s="107"/>
      <c r="AA390" s="107"/>
      <c r="AB390" s="107"/>
      <c r="AC390" s="107"/>
      <c r="AD390" s="107"/>
    </row>
    <row r="391">
      <c r="A391" s="107"/>
      <c r="B391" s="107"/>
      <c r="C391" s="124" t="s">
        <v>1435</v>
      </c>
      <c r="D391" s="15"/>
      <c r="E391" s="108"/>
      <c r="F391" s="129" t="s">
        <v>1436</v>
      </c>
      <c r="G391" s="126" t="s">
        <v>1437</v>
      </c>
      <c r="H391" s="129" t="s">
        <v>1434</v>
      </c>
      <c r="I391" s="130" t="s">
        <v>317</v>
      </c>
      <c r="J391" s="107"/>
      <c r="K391" s="107"/>
      <c r="L391" s="107"/>
      <c r="M391" s="107"/>
      <c r="N391" s="107"/>
      <c r="O391" s="107"/>
      <c r="P391" s="107"/>
      <c r="Q391" s="107"/>
      <c r="R391" s="107"/>
      <c r="S391" s="107"/>
      <c r="T391" s="107"/>
      <c r="U391" s="107"/>
      <c r="V391" s="107"/>
      <c r="W391" s="107"/>
      <c r="X391" s="107"/>
      <c r="Y391" s="107"/>
      <c r="Z391" s="107"/>
      <c r="AA391" s="107"/>
      <c r="AB391" s="107"/>
      <c r="AC391" s="107"/>
      <c r="AD391" s="107"/>
    </row>
    <row r="392">
      <c r="A392" s="107"/>
      <c r="B392" s="107"/>
      <c r="C392" s="124" t="s">
        <v>1438</v>
      </c>
      <c r="D392" s="15"/>
      <c r="E392" s="108"/>
      <c r="F392" s="126" t="s">
        <v>1439</v>
      </c>
      <c r="G392" s="126" t="s">
        <v>1440</v>
      </c>
      <c r="H392" s="129" t="s">
        <v>1434</v>
      </c>
      <c r="I392" s="130" t="s">
        <v>317</v>
      </c>
      <c r="J392" s="107"/>
      <c r="K392" s="107"/>
      <c r="L392" s="107"/>
      <c r="M392" s="107"/>
      <c r="N392" s="107"/>
      <c r="O392" s="107"/>
      <c r="P392" s="107"/>
      <c r="Q392" s="107"/>
      <c r="R392" s="107"/>
      <c r="S392" s="107"/>
      <c r="T392" s="107"/>
      <c r="U392" s="107"/>
      <c r="V392" s="107"/>
      <c r="W392" s="107"/>
      <c r="X392" s="107"/>
      <c r="Y392" s="107"/>
      <c r="Z392" s="107"/>
      <c r="AA392" s="107"/>
      <c r="AB392" s="107"/>
      <c r="AC392" s="107"/>
      <c r="AD392" s="107"/>
    </row>
    <row r="393">
      <c r="A393" s="107"/>
      <c r="B393" s="107"/>
      <c r="C393" s="124" t="s">
        <v>1441</v>
      </c>
      <c r="D393" s="15"/>
      <c r="E393" s="108"/>
      <c r="F393" s="129" t="s">
        <v>1336</v>
      </c>
      <c r="G393" s="129" t="s">
        <v>1442</v>
      </c>
      <c r="H393" s="129" t="s">
        <v>1443</v>
      </c>
      <c r="I393" s="127" t="s">
        <v>36</v>
      </c>
      <c r="J393" s="107"/>
      <c r="K393" s="107"/>
      <c r="L393" s="107"/>
      <c r="M393" s="107"/>
      <c r="N393" s="107"/>
      <c r="O393" s="107"/>
      <c r="P393" s="107"/>
      <c r="Q393" s="107"/>
      <c r="R393" s="107"/>
      <c r="S393" s="107"/>
      <c r="T393" s="107"/>
      <c r="U393" s="107"/>
      <c r="V393" s="107"/>
      <c r="W393" s="107"/>
      <c r="X393" s="107"/>
      <c r="Y393" s="107"/>
      <c r="Z393" s="107"/>
      <c r="AA393" s="107"/>
      <c r="AB393" s="107"/>
      <c r="AC393" s="107"/>
      <c r="AD393" s="107"/>
    </row>
    <row r="394">
      <c r="A394" s="107"/>
      <c r="B394" s="107"/>
      <c r="C394" s="124" t="s">
        <v>1444</v>
      </c>
      <c r="D394" s="15"/>
      <c r="E394" s="108"/>
      <c r="F394" s="126" t="s">
        <v>1340</v>
      </c>
      <c r="G394" s="129" t="s">
        <v>1445</v>
      </c>
      <c r="H394" s="129" t="s">
        <v>1381</v>
      </c>
      <c r="I394" s="127" t="s">
        <v>36</v>
      </c>
      <c r="J394" s="107"/>
      <c r="K394" s="107"/>
      <c r="L394" s="107"/>
      <c r="M394" s="107"/>
      <c r="N394" s="107"/>
      <c r="O394" s="107"/>
      <c r="P394" s="107"/>
      <c r="Q394" s="107"/>
      <c r="R394" s="107"/>
      <c r="S394" s="107"/>
      <c r="T394" s="107"/>
      <c r="U394" s="107"/>
      <c r="V394" s="107"/>
      <c r="W394" s="107"/>
      <c r="X394" s="107"/>
      <c r="Y394" s="107"/>
      <c r="Z394" s="107"/>
      <c r="AA394" s="107"/>
      <c r="AB394" s="107"/>
      <c r="AC394" s="107"/>
      <c r="AD394" s="107"/>
    </row>
    <row r="395">
      <c r="A395" s="107"/>
      <c r="B395" s="107"/>
      <c r="C395" s="124" t="s">
        <v>1446</v>
      </c>
      <c r="D395" s="15"/>
      <c r="E395" s="108"/>
      <c r="F395" s="126" t="s">
        <v>1344</v>
      </c>
      <c r="G395" s="126" t="s">
        <v>1447</v>
      </c>
      <c r="H395" s="126" t="s">
        <v>1384</v>
      </c>
      <c r="I395" s="127" t="s">
        <v>36</v>
      </c>
      <c r="J395" s="107"/>
      <c r="K395" s="107"/>
      <c r="L395" s="107"/>
      <c r="M395" s="107"/>
      <c r="N395" s="107"/>
      <c r="O395" s="107"/>
      <c r="P395" s="107"/>
      <c r="Q395" s="107"/>
      <c r="R395" s="107"/>
      <c r="S395" s="107"/>
      <c r="T395" s="107"/>
      <c r="U395" s="107"/>
      <c r="V395" s="107"/>
      <c r="W395" s="107"/>
      <c r="X395" s="107"/>
      <c r="Y395" s="107"/>
      <c r="Z395" s="107"/>
      <c r="AA395" s="107"/>
      <c r="AB395" s="107"/>
      <c r="AC395" s="107"/>
      <c r="AD395" s="107"/>
    </row>
    <row r="396">
      <c r="A396" s="107"/>
      <c r="B396" s="107"/>
      <c r="C396" s="124" t="s">
        <v>1448</v>
      </c>
      <c r="D396" s="15"/>
      <c r="E396" s="108"/>
      <c r="F396" s="126" t="s">
        <v>1348</v>
      </c>
      <c r="G396" s="126" t="s">
        <v>1449</v>
      </c>
      <c r="H396" s="126" t="s">
        <v>1350</v>
      </c>
      <c r="I396" s="127" t="s">
        <v>36</v>
      </c>
      <c r="J396" s="107"/>
      <c r="K396" s="107"/>
      <c r="L396" s="107"/>
      <c r="M396" s="107"/>
      <c r="N396" s="107"/>
      <c r="O396" s="107"/>
      <c r="P396" s="107"/>
      <c r="Q396" s="107"/>
      <c r="R396" s="107"/>
      <c r="S396" s="107"/>
      <c r="T396" s="107"/>
      <c r="U396" s="107"/>
      <c r="V396" s="107"/>
      <c r="W396" s="107"/>
      <c r="X396" s="107"/>
      <c r="Y396" s="107"/>
      <c r="Z396" s="107"/>
      <c r="AA396" s="107"/>
      <c r="AB396" s="107"/>
      <c r="AC396" s="107"/>
      <c r="AD396" s="107"/>
    </row>
    <row r="397">
      <c r="A397" s="107"/>
      <c r="B397" s="107"/>
      <c r="C397" s="124" t="s">
        <v>1450</v>
      </c>
      <c r="D397" s="15"/>
      <c r="E397" s="108"/>
      <c r="F397" s="126" t="s">
        <v>1352</v>
      </c>
      <c r="G397" s="126" t="s">
        <v>1451</v>
      </c>
      <c r="H397" s="126" t="s">
        <v>1389</v>
      </c>
      <c r="I397" s="127" t="s">
        <v>36</v>
      </c>
      <c r="J397" s="107"/>
      <c r="K397" s="107"/>
      <c r="L397" s="107"/>
      <c r="M397" s="107"/>
      <c r="N397" s="107"/>
      <c r="O397" s="107"/>
      <c r="P397" s="107"/>
      <c r="Q397" s="107"/>
      <c r="R397" s="107"/>
      <c r="S397" s="107"/>
      <c r="T397" s="107"/>
      <c r="U397" s="107"/>
      <c r="V397" s="107"/>
      <c r="W397" s="107"/>
      <c r="X397" s="107"/>
      <c r="Y397" s="107"/>
      <c r="Z397" s="107"/>
      <c r="AA397" s="107"/>
      <c r="AB397" s="107"/>
      <c r="AC397" s="107"/>
      <c r="AD397" s="107"/>
    </row>
    <row r="398">
      <c r="A398" s="107"/>
      <c r="B398" s="107"/>
      <c r="C398" s="124" t="s">
        <v>1452</v>
      </c>
      <c r="D398" s="15"/>
      <c r="E398" s="108"/>
      <c r="F398" s="126" t="s">
        <v>1356</v>
      </c>
      <c r="G398" s="126" t="s">
        <v>1357</v>
      </c>
      <c r="H398" s="126" t="s">
        <v>1453</v>
      </c>
      <c r="I398" s="127" t="s">
        <v>36</v>
      </c>
      <c r="J398" s="107"/>
      <c r="K398" s="107"/>
      <c r="L398" s="107"/>
      <c r="M398" s="107"/>
      <c r="N398" s="107"/>
      <c r="O398" s="107"/>
      <c r="P398" s="107"/>
      <c r="Q398" s="107"/>
      <c r="R398" s="107"/>
      <c r="S398" s="107"/>
      <c r="T398" s="107"/>
      <c r="U398" s="107"/>
      <c r="V398" s="107"/>
      <c r="W398" s="107"/>
      <c r="X398" s="107"/>
      <c r="Y398" s="107"/>
      <c r="Z398" s="107"/>
      <c r="AA398" s="107"/>
      <c r="AB398" s="107"/>
      <c r="AC398" s="107"/>
      <c r="AD398" s="107"/>
    </row>
    <row r="399">
      <c r="A399" s="107"/>
      <c r="B399" s="107"/>
      <c r="C399" s="124" t="s">
        <v>1454</v>
      </c>
      <c r="D399" s="15"/>
      <c r="E399" s="108"/>
      <c r="F399" s="126" t="s">
        <v>1455</v>
      </c>
      <c r="G399" s="126" t="s">
        <v>1456</v>
      </c>
      <c r="H399" s="126" t="s">
        <v>1457</v>
      </c>
      <c r="I399" s="127" t="s">
        <v>36</v>
      </c>
      <c r="J399" s="107"/>
      <c r="K399" s="107"/>
      <c r="L399" s="107"/>
      <c r="M399" s="107"/>
      <c r="N399" s="107"/>
      <c r="O399" s="107"/>
      <c r="P399" s="107"/>
      <c r="Q399" s="107"/>
      <c r="R399" s="107"/>
      <c r="S399" s="107"/>
      <c r="T399" s="107"/>
      <c r="U399" s="107"/>
      <c r="V399" s="107"/>
      <c r="W399" s="107"/>
      <c r="X399" s="107"/>
      <c r="Y399" s="107"/>
      <c r="Z399" s="107"/>
      <c r="AA399" s="107"/>
      <c r="AB399" s="107"/>
      <c r="AC399" s="107"/>
      <c r="AD399" s="107"/>
    </row>
    <row r="400">
      <c r="A400" s="107"/>
      <c r="B400" s="107"/>
      <c r="C400" s="124" t="s">
        <v>1458</v>
      </c>
      <c r="D400" s="15"/>
      <c r="E400" s="108"/>
      <c r="F400" s="126" t="s">
        <v>1348</v>
      </c>
      <c r="G400" s="126" t="s">
        <v>1459</v>
      </c>
      <c r="H400" s="126" t="s">
        <v>1460</v>
      </c>
      <c r="I400" s="127" t="s">
        <v>36</v>
      </c>
      <c r="J400" s="107"/>
      <c r="K400" s="107"/>
      <c r="L400" s="107"/>
      <c r="M400" s="107"/>
      <c r="N400" s="107"/>
      <c r="O400" s="107"/>
      <c r="P400" s="107"/>
      <c r="Q400" s="107"/>
      <c r="R400" s="107"/>
      <c r="S400" s="107"/>
      <c r="T400" s="107"/>
      <c r="U400" s="107"/>
      <c r="V400" s="107"/>
      <c r="W400" s="107"/>
      <c r="X400" s="107"/>
      <c r="Y400" s="107"/>
      <c r="Z400" s="107"/>
      <c r="AA400" s="107"/>
      <c r="AB400" s="107"/>
      <c r="AC400" s="107"/>
      <c r="AD400" s="107"/>
    </row>
    <row r="401">
      <c r="A401" s="107"/>
      <c r="B401" s="107"/>
      <c r="C401" s="124" t="s">
        <v>1461</v>
      </c>
      <c r="D401" s="15"/>
      <c r="E401" s="108"/>
      <c r="F401" s="126" t="s">
        <v>1348</v>
      </c>
      <c r="G401" s="126" t="s">
        <v>1462</v>
      </c>
      <c r="H401" s="126" t="s">
        <v>1463</v>
      </c>
      <c r="I401" s="127" t="s">
        <v>36</v>
      </c>
      <c r="J401" s="107"/>
      <c r="K401" s="107"/>
      <c r="L401" s="107"/>
      <c r="M401" s="107"/>
      <c r="N401" s="107"/>
      <c r="O401" s="107"/>
      <c r="P401" s="107"/>
      <c r="Q401" s="107"/>
      <c r="R401" s="107"/>
      <c r="S401" s="107"/>
      <c r="T401" s="107"/>
      <c r="U401" s="107"/>
      <c r="V401" s="107"/>
      <c r="W401" s="107"/>
      <c r="X401" s="107"/>
      <c r="Y401" s="107"/>
      <c r="Z401" s="107"/>
      <c r="AA401" s="107"/>
      <c r="AB401" s="107"/>
      <c r="AC401" s="107"/>
      <c r="AD401" s="107"/>
    </row>
    <row r="402">
      <c r="A402" s="107"/>
      <c r="B402" s="107"/>
      <c r="C402" s="124" t="s">
        <v>1464</v>
      </c>
      <c r="D402" s="15"/>
      <c r="E402" s="108"/>
      <c r="F402" s="129" t="s">
        <v>1465</v>
      </c>
      <c r="G402" s="126" t="s">
        <v>1466</v>
      </c>
      <c r="H402" s="126" t="s">
        <v>1463</v>
      </c>
      <c r="I402" s="127" t="s">
        <v>36</v>
      </c>
      <c r="J402" s="107"/>
      <c r="K402" s="107"/>
      <c r="L402" s="107"/>
      <c r="M402" s="107"/>
      <c r="N402" s="107"/>
      <c r="O402" s="107"/>
      <c r="P402" s="107"/>
      <c r="Q402" s="107"/>
      <c r="R402" s="107"/>
      <c r="S402" s="107"/>
      <c r="T402" s="107"/>
      <c r="U402" s="107"/>
      <c r="V402" s="107"/>
      <c r="W402" s="107"/>
      <c r="X402" s="107"/>
      <c r="Y402" s="107"/>
      <c r="Z402" s="107"/>
      <c r="AA402" s="107"/>
      <c r="AB402" s="107"/>
      <c r="AC402" s="107"/>
      <c r="AD402" s="107"/>
    </row>
    <row r="403">
      <c r="A403" s="107"/>
      <c r="B403" s="107"/>
      <c r="C403" s="124" t="s">
        <v>1467</v>
      </c>
      <c r="D403" s="15"/>
      <c r="E403" s="108"/>
      <c r="F403" s="126" t="s">
        <v>1468</v>
      </c>
      <c r="G403" s="129" t="s">
        <v>1469</v>
      </c>
      <c r="H403" s="129" t="s">
        <v>1470</v>
      </c>
      <c r="I403" s="127" t="s">
        <v>36</v>
      </c>
      <c r="J403" s="107"/>
      <c r="K403" s="107"/>
      <c r="L403" s="107"/>
      <c r="M403" s="107"/>
      <c r="N403" s="107"/>
      <c r="O403" s="107"/>
      <c r="P403" s="107"/>
      <c r="Q403" s="107"/>
      <c r="R403" s="107"/>
      <c r="S403" s="107"/>
      <c r="T403" s="107"/>
      <c r="U403" s="107"/>
      <c r="V403" s="107"/>
      <c r="W403" s="107"/>
      <c r="X403" s="107"/>
      <c r="Y403" s="107"/>
      <c r="Z403" s="107"/>
      <c r="AA403" s="107"/>
      <c r="AB403" s="107"/>
      <c r="AC403" s="107"/>
      <c r="AD403" s="107"/>
    </row>
    <row r="404">
      <c r="A404" s="107"/>
      <c r="B404" s="107"/>
      <c r="C404" s="124" t="s">
        <v>1471</v>
      </c>
      <c r="D404" s="15"/>
      <c r="E404" s="108"/>
      <c r="F404" s="126" t="s">
        <v>1468</v>
      </c>
      <c r="G404" s="129" t="s">
        <v>1472</v>
      </c>
      <c r="H404" s="129" t="s">
        <v>1470</v>
      </c>
      <c r="I404" s="127" t="s">
        <v>36</v>
      </c>
      <c r="J404" s="107"/>
      <c r="K404" s="107"/>
      <c r="L404" s="107"/>
      <c r="M404" s="107"/>
      <c r="N404" s="107"/>
      <c r="O404" s="107"/>
      <c r="P404" s="107"/>
      <c r="Q404" s="107"/>
      <c r="R404" s="107"/>
      <c r="S404" s="107"/>
      <c r="T404" s="107"/>
      <c r="U404" s="107"/>
      <c r="V404" s="107"/>
      <c r="W404" s="107"/>
      <c r="X404" s="107"/>
      <c r="Y404" s="107"/>
      <c r="Z404" s="107"/>
      <c r="AA404" s="107"/>
      <c r="AB404" s="107"/>
      <c r="AC404" s="107"/>
      <c r="AD404" s="107"/>
    </row>
    <row r="405">
      <c r="A405" s="107"/>
      <c r="B405" s="107"/>
      <c r="C405" s="124" t="s">
        <v>1473</v>
      </c>
      <c r="D405" s="15"/>
      <c r="E405" s="108"/>
      <c r="F405" s="126" t="s">
        <v>1468</v>
      </c>
      <c r="G405" s="126" t="s">
        <v>1474</v>
      </c>
      <c r="H405" s="129" t="s">
        <v>1470</v>
      </c>
      <c r="I405" s="127" t="s">
        <v>36</v>
      </c>
      <c r="J405" s="107"/>
      <c r="K405" s="107"/>
      <c r="L405" s="107"/>
      <c r="M405" s="107"/>
      <c r="N405" s="107"/>
      <c r="O405" s="107"/>
      <c r="P405" s="107"/>
      <c r="Q405" s="107"/>
      <c r="R405" s="107"/>
      <c r="S405" s="107"/>
      <c r="T405" s="107"/>
      <c r="U405" s="107"/>
      <c r="V405" s="107"/>
      <c r="W405" s="107"/>
      <c r="X405" s="107"/>
      <c r="Y405" s="107"/>
      <c r="Z405" s="107"/>
      <c r="AA405" s="107"/>
      <c r="AB405" s="107"/>
      <c r="AC405" s="107"/>
      <c r="AD405" s="107"/>
    </row>
    <row r="406">
      <c r="A406" s="107"/>
      <c r="B406" s="107"/>
      <c r="C406" s="124" t="s">
        <v>1475</v>
      </c>
      <c r="D406" s="15"/>
      <c r="E406" s="108"/>
      <c r="F406" s="126" t="s">
        <v>1476</v>
      </c>
      <c r="G406" s="126" t="s">
        <v>1477</v>
      </c>
      <c r="H406" s="126" t="s">
        <v>1478</v>
      </c>
      <c r="I406" s="127" t="s">
        <v>36</v>
      </c>
      <c r="J406" s="138"/>
      <c r="K406" s="107"/>
      <c r="L406" s="107"/>
      <c r="M406" s="107"/>
      <c r="N406" s="107"/>
      <c r="O406" s="107"/>
      <c r="P406" s="107"/>
      <c r="Q406" s="107"/>
      <c r="R406" s="107"/>
      <c r="S406" s="107"/>
      <c r="T406" s="107"/>
      <c r="U406" s="107"/>
      <c r="V406" s="107"/>
      <c r="W406" s="107"/>
      <c r="X406" s="107"/>
      <c r="Y406" s="107"/>
      <c r="Z406" s="107"/>
      <c r="AA406" s="107"/>
      <c r="AB406" s="107"/>
      <c r="AC406" s="107"/>
      <c r="AD406" s="107"/>
    </row>
    <row r="407">
      <c r="A407" s="107"/>
      <c r="B407" s="107"/>
      <c r="C407" s="124" t="s">
        <v>1479</v>
      </c>
      <c r="D407" s="15"/>
      <c r="E407" s="109"/>
      <c r="F407" s="126" t="s">
        <v>1476</v>
      </c>
      <c r="G407" s="126" t="s">
        <v>1480</v>
      </c>
      <c r="H407" s="126" t="s">
        <v>1478</v>
      </c>
      <c r="I407" s="130" t="s">
        <v>317</v>
      </c>
      <c r="J407" s="138"/>
      <c r="K407" s="107"/>
      <c r="L407" s="107"/>
      <c r="M407" s="107"/>
      <c r="N407" s="107"/>
      <c r="O407" s="107"/>
      <c r="P407" s="107"/>
      <c r="Q407" s="107"/>
      <c r="R407" s="107"/>
      <c r="S407" s="107"/>
      <c r="T407" s="107"/>
      <c r="U407" s="107"/>
      <c r="V407" s="107"/>
      <c r="W407" s="107"/>
      <c r="X407" s="107"/>
      <c r="Y407" s="107"/>
      <c r="Z407" s="107"/>
      <c r="AA407" s="107"/>
      <c r="AB407" s="107"/>
      <c r="AC407" s="107"/>
      <c r="AD407" s="107"/>
    </row>
    <row r="408">
      <c r="A408" s="107"/>
      <c r="B408" s="107"/>
      <c r="C408" s="124" t="s">
        <v>1481</v>
      </c>
      <c r="D408" s="15"/>
      <c r="E408" s="125" t="s">
        <v>1482</v>
      </c>
      <c r="F408" s="126" t="s">
        <v>1476</v>
      </c>
      <c r="G408" s="126" t="s">
        <v>1483</v>
      </c>
      <c r="H408" s="126" t="s">
        <v>1478</v>
      </c>
      <c r="I408" s="130" t="s">
        <v>317</v>
      </c>
      <c r="J408" s="138"/>
      <c r="K408" s="107"/>
      <c r="L408" s="107"/>
      <c r="M408" s="107"/>
      <c r="N408" s="107"/>
      <c r="O408" s="107"/>
      <c r="P408" s="107"/>
      <c r="Q408" s="107"/>
      <c r="R408" s="107"/>
      <c r="S408" s="107"/>
      <c r="T408" s="107"/>
      <c r="U408" s="107"/>
      <c r="V408" s="107"/>
      <c r="W408" s="107"/>
      <c r="X408" s="107"/>
      <c r="Y408" s="107"/>
      <c r="Z408" s="107"/>
      <c r="AA408" s="107"/>
      <c r="AB408" s="107"/>
      <c r="AC408" s="107"/>
      <c r="AD408" s="107"/>
    </row>
    <row r="409">
      <c r="A409" s="107"/>
      <c r="B409" s="107"/>
      <c r="C409" s="124" t="s">
        <v>1484</v>
      </c>
      <c r="D409" s="15"/>
      <c r="E409" s="108"/>
      <c r="F409" s="126" t="s">
        <v>1485</v>
      </c>
      <c r="G409" s="126" t="s">
        <v>1486</v>
      </c>
      <c r="H409" s="126" t="s">
        <v>1478</v>
      </c>
      <c r="I409" s="130" t="s">
        <v>317</v>
      </c>
      <c r="J409" s="138"/>
      <c r="K409" s="107"/>
      <c r="L409" s="107"/>
      <c r="M409" s="107"/>
      <c r="N409" s="107"/>
      <c r="O409" s="107"/>
      <c r="P409" s="107"/>
      <c r="Q409" s="107"/>
      <c r="R409" s="107"/>
      <c r="S409" s="107"/>
      <c r="T409" s="107"/>
      <c r="U409" s="107"/>
      <c r="V409" s="107"/>
      <c r="W409" s="107"/>
      <c r="X409" s="107"/>
      <c r="Y409" s="107"/>
      <c r="Z409" s="107"/>
      <c r="AA409" s="107"/>
      <c r="AB409" s="107"/>
      <c r="AC409" s="107"/>
      <c r="AD409" s="107"/>
    </row>
    <row r="410">
      <c r="A410" s="107"/>
      <c r="B410" s="107"/>
      <c r="C410" s="124" t="s">
        <v>1487</v>
      </c>
      <c r="D410" s="15"/>
      <c r="E410" s="108"/>
      <c r="F410" s="126" t="s">
        <v>1488</v>
      </c>
      <c r="G410" s="126" t="s">
        <v>1489</v>
      </c>
      <c r="H410" s="126" t="s">
        <v>1490</v>
      </c>
      <c r="I410" s="127" t="s">
        <v>36</v>
      </c>
      <c r="J410" s="138"/>
      <c r="K410" s="107"/>
      <c r="L410" s="107"/>
      <c r="M410" s="107"/>
      <c r="N410" s="107"/>
      <c r="O410" s="107"/>
      <c r="P410" s="107"/>
      <c r="Q410" s="107"/>
      <c r="R410" s="107"/>
      <c r="S410" s="107"/>
      <c r="T410" s="107"/>
      <c r="U410" s="107"/>
      <c r="V410" s="107"/>
      <c r="W410" s="107"/>
      <c r="X410" s="107"/>
      <c r="Y410" s="107"/>
      <c r="Z410" s="107"/>
      <c r="AA410" s="107"/>
      <c r="AB410" s="107"/>
      <c r="AC410" s="107"/>
      <c r="AD410" s="107"/>
    </row>
    <row r="411">
      <c r="A411" s="107"/>
      <c r="B411" s="107"/>
      <c r="C411" s="124" t="s">
        <v>1491</v>
      </c>
      <c r="D411" s="15"/>
      <c r="E411" s="108"/>
      <c r="F411" s="129" t="s">
        <v>1492</v>
      </c>
      <c r="G411" s="126" t="s">
        <v>1493</v>
      </c>
      <c r="H411" s="126" t="s">
        <v>1494</v>
      </c>
      <c r="I411" s="127" t="s">
        <v>36</v>
      </c>
      <c r="J411" s="138"/>
      <c r="K411" s="107"/>
      <c r="L411" s="107"/>
      <c r="M411" s="107"/>
      <c r="N411" s="107"/>
      <c r="O411" s="107"/>
      <c r="P411" s="107"/>
      <c r="Q411" s="107"/>
      <c r="R411" s="107"/>
      <c r="S411" s="107"/>
      <c r="T411" s="107"/>
      <c r="U411" s="107"/>
      <c r="V411" s="107"/>
      <c r="W411" s="107"/>
      <c r="X411" s="107"/>
      <c r="Y411" s="107"/>
      <c r="Z411" s="107"/>
      <c r="AA411" s="107"/>
      <c r="AB411" s="107"/>
      <c r="AC411" s="107"/>
      <c r="AD411" s="107"/>
    </row>
    <row r="412">
      <c r="A412" s="107"/>
      <c r="B412" s="107"/>
      <c r="C412" s="124" t="s">
        <v>1495</v>
      </c>
      <c r="D412" s="15"/>
      <c r="E412" s="108"/>
      <c r="F412" s="126" t="s">
        <v>1488</v>
      </c>
      <c r="G412" s="126" t="s">
        <v>1496</v>
      </c>
      <c r="H412" s="126" t="s">
        <v>1478</v>
      </c>
      <c r="I412" s="127" t="s">
        <v>36</v>
      </c>
      <c r="J412" s="138"/>
      <c r="K412" s="107"/>
      <c r="L412" s="107"/>
      <c r="M412" s="107"/>
      <c r="N412" s="107"/>
      <c r="O412" s="107"/>
      <c r="P412" s="107"/>
      <c r="Q412" s="107"/>
      <c r="R412" s="107"/>
      <c r="S412" s="107"/>
      <c r="T412" s="107"/>
      <c r="U412" s="107"/>
      <c r="V412" s="107"/>
      <c r="W412" s="107"/>
      <c r="X412" s="107"/>
      <c r="Y412" s="107"/>
      <c r="Z412" s="107"/>
      <c r="AA412" s="107"/>
      <c r="AB412" s="107"/>
      <c r="AC412" s="107"/>
      <c r="AD412" s="107"/>
    </row>
    <row r="413">
      <c r="A413" s="107"/>
      <c r="B413" s="107"/>
      <c r="C413" s="124" t="s">
        <v>1497</v>
      </c>
      <c r="D413" s="15"/>
      <c r="E413" s="108"/>
      <c r="F413" s="126" t="s">
        <v>1498</v>
      </c>
      <c r="G413" s="126" t="s">
        <v>1499</v>
      </c>
      <c r="H413" s="126" t="s">
        <v>1500</v>
      </c>
      <c r="I413" s="127" t="s">
        <v>36</v>
      </c>
      <c r="J413" s="138"/>
      <c r="K413" s="107"/>
      <c r="L413" s="107"/>
      <c r="M413" s="107"/>
      <c r="N413" s="107"/>
      <c r="O413" s="107"/>
      <c r="P413" s="107"/>
      <c r="Q413" s="107"/>
      <c r="R413" s="107"/>
      <c r="S413" s="107"/>
      <c r="T413" s="107"/>
      <c r="U413" s="107"/>
      <c r="V413" s="107"/>
      <c r="W413" s="107"/>
      <c r="X413" s="107"/>
      <c r="Y413" s="107"/>
      <c r="Z413" s="107"/>
      <c r="AA413" s="107"/>
      <c r="AB413" s="107"/>
      <c r="AC413" s="107"/>
      <c r="AD413" s="107"/>
    </row>
    <row r="414">
      <c r="A414" s="107"/>
      <c r="B414" s="107"/>
      <c r="C414" s="124" t="s">
        <v>1501</v>
      </c>
      <c r="D414" s="15"/>
      <c r="E414" s="108"/>
      <c r="F414" s="126" t="s">
        <v>1502</v>
      </c>
      <c r="G414" s="126" t="s">
        <v>1503</v>
      </c>
      <c r="H414" s="126" t="s">
        <v>1494</v>
      </c>
      <c r="I414" s="127" t="s">
        <v>36</v>
      </c>
      <c r="J414" s="138"/>
      <c r="K414" s="107"/>
      <c r="L414" s="107"/>
      <c r="M414" s="107"/>
      <c r="N414" s="107"/>
      <c r="O414" s="107"/>
      <c r="P414" s="107"/>
      <c r="Q414" s="107"/>
      <c r="R414" s="107"/>
      <c r="S414" s="107"/>
      <c r="T414" s="107"/>
      <c r="U414" s="107"/>
      <c r="V414" s="107"/>
      <c r="W414" s="107"/>
      <c r="X414" s="107"/>
      <c r="Y414" s="107"/>
      <c r="Z414" s="107"/>
      <c r="AA414" s="107"/>
      <c r="AB414" s="107"/>
      <c r="AC414" s="107"/>
      <c r="AD414" s="107"/>
    </row>
    <row r="415">
      <c r="A415" s="107"/>
      <c r="B415" s="107"/>
      <c r="C415" s="124" t="s">
        <v>1504</v>
      </c>
      <c r="D415" s="15"/>
      <c r="E415" s="108"/>
      <c r="F415" s="126" t="s">
        <v>1505</v>
      </c>
      <c r="G415" s="126" t="s">
        <v>1506</v>
      </c>
      <c r="H415" s="126" t="s">
        <v>1500</v>
      </c>
      <c r="I415" s="127" t="s">
        <v>36</v>
      </c>
      <c r="J415" s="138"/>
      <c r="K415" s="107"/>
      <c r="L415" s="107"/>
      <c r="M415" s="107"/>
      <c r="N415" s="107"/>
      <c r="O415" s="107"/>
      <c r="P415" s="107"/>
      <c r="Q415" s="107"/>
      <c r="R415" s="107"/>
      <c r="S415" s="107"/>
      <c r="T415" s="107"/>
      <c r="U415" s="107"/>
      <c r="V415" s="107"/>
      <c r="W415" s="107"/>
      <c r="X415" s="107"/>
      <c r="Y415" s="107"/>
      <c r="Z415" s="107"/>
      <c r="AA415" s="107"/>
      <c r="AB415" s="107"/>
      <c r="AC415" s="107"/>
      <c r="AD415" s="107"/>
    </row>
    <row r="416">
      <c r="A416" s="107"/>
      <c r="B416" s="107"/>
      <c r="C416" s="124" t="s">
        <v>1507</v>
      </c>
      <c r="D416" s="15"/>
      <c r="E416" s="109"/>
      <c r="F416" s="126" t="s">
        <v>1508</v>
      </c>
      <c r="G416" s="126" t="s">
        <v>1509</v>
      </c>
      <c r="H416" s="126" t="s">
        <v>1500</v>
      </c>
      <c r="I416" s="127" t="s">
        <v>36</v>
      </c>
      <c r="J416" s="138"/>
      <c r="K416" s="107"/>
      <c r="L416" s="107"/>
      <c r="M416" s="107"/>
      <c r="N416" s="107"/>
      <c r="O416" s="107"/>
      <c r="P416" s="107"/>
      <c r="Q416" s="107"/>
      <c r="R416" s="107"/>
      <c r="S416" s="107"/>
      <c r="T416" s="107"/>
      <c r="U416" s="107"/>
      <c r="V416" s="107"/>
      <c r="W416" s="107"/>
      <c r="X416" s="107"/>
      <c r="Y416" s="107"/>
      <c r="Z416" s="107"/>
      <c r="AA416" s="107"/>
      <c r="AB416" s="107"/>
      <c r="AC416" s="107"/>
      <c r="AD416" s="107"/>
    </row>
    <row r="417">
      <c r="A417" s="107"/>
      <c r="B417" s="107"/>
      <c r="C417" s="124" t="s">
        <v>1510</v>
      </c>
      <c r="D417" s="15"/>
      <c r="E417" s="125" t="s">
        <v>1511</v>
      </c>
      <c r="F417" s="137" t="s">
        <v>1512</v>
      </c>
      <c r="G417" s="137" t="s">
        <v>1513</v>
      </c>
      <c r="H417" s="137" t="s">
        <v>1514</v>
      </c>
      <c r="I417" s="130" t="s">
        <v>317</v>
      </c>
      <c r="J417" s="107"/>
      <c r="K417" s="107"/>
      <c r="L417" s="107"/>
      <c r="M417" s="107"/>
      <c r="N417" s="107"/>
      <c r="O417" s="107"/>
      <c r="P417" s="107"/>
      <c r="Q417" s="107"/>
      <c r="R417" s="107"/>
      <c r="S417" s="107"/>
      <c r="T417" s="107"/>
      <c r="U417" s="107"/>
      <c r="V417" s="107"/>
      <c r="W417" s="107"/>
      <c r="X417" s="107"/>
      <c r="Y417" s="107"/>
      <c r="Z417" s="107"/>
      <c r="AA417" s="107"/>
      <c r="AB417" s="107"/>
      <c r="AC417" s="107"/>
      <c r="AD417" s="107"/>
    </row>
    <row r="418">
      <c r="A418" s="107"/>
      <c r="B418" s="107"/>
      <c r="C418" s="124" t="s">
        <v>1515</v>
      </c>
      <c r="D418" s="15"/>
      <c r="E418" s="108"/>
      <c r="F418" s="137" t="s">
        <v>1516</v>
      </c>
      <c r="G418" s="137" t="s">
        <v>1517</v>
      </c>
      <c r="H418" s="137" t="s">
        <v>1518</v>
      </c>
      <c r="I418" s="130" t="s">
        <v>317</v>
      </c>
      <c r="J418" s="107"/>
      <c r="K418" s="107"/>
      <c r="L418" s="107"/>
      <c r="M418" s="107"/>
      <c r="N418" s="107"/>
      <c r="O418" s="107"/>
      <c r="P418" s="107"/>
      <c r="Q418" s="107"/>
      <c r="R418" s="107"/>
      <c r="S418" s="107"/>
      <c r="T418" s="107"/>
      <c r="U418" s="107"/>
      <c r="V418" s="107"/>
      <c r="W418" s="107"/>
      <c r="X418" s="107"/>
      <c r="Y418" s="107"/>
      <c r="Z418" s="107"/>
      <c r="AA418" s="107"/>
      <c r="AB418" s="107"/>
      <c r="AC418" s="107"/>
      <c r="AD418" s="107"/>
    </row>
    <row r="419">
      <c r="A419" s="107"/>
      <c r="B419" s="107"/>
      <c r="C419" s="124" t="s">
        <v>1519</v>
      </c>
      <c r="D419" s="15"/>
      <c r="E419" s="108"/>
      <c r="F419" s="137" t="s">
        <v>1520</v>
      </c>
      <c r="G419" s="137" t="s">
        <v>1521</v>
      </c>
      <c r="H419" s="137" t="s">
        <v>1514</v>
      </c>
      <c r="I419" s="130" t="s">
        <v>317</v>
      </c>
      <c r="J419" s="107"/>
      <c r="K419" s="107"/>
      <c r="L419" s="107"/>
      <c r="M419" s="107"/>
      <c r="N419" s="107"/>
      <c r="O419" s="107"/>
      <c r="P419" s="107"/>
      <c r="Q419" s="107"/>
      <c r="R419" s="107"/>
      <c r="S419" s="107"/>
      <c r="T419" s="107"/>
      <c r="U419" s="107"/>
      <c r="V419" s="107"/>
      <c r="W419" s="107"/>
      <c r="X419" s="107"/>
      <c r="Y419" s="107"/>
      <c r="Z419" s="107"/>
      <c r="AA419" s="107"/>
      <c r="AB419" s="107"/>
      <c r="AC419" s="107"/>
      <c r="AD419" s="107"/>
    </row>
    <row r="420">
      <c r="A420" s="107"/>
      <c r="B420" s="107"/>
      <c r="C420" s="124" t="s">
        <v>1522</v>
      </c>
      <c r="D420" s="15"/>
      <c r="E420" s="108"/>
      <c r="F420" s="137" t="s">
        <v>1523</v>
      </c>
      <c r="G420" s="137" t="s">
        <v>1524</v>
      </c>
      <c r="H420" s="137" t="s">
        <v>1518</v>
      </c>
      <c r="I420" s="130" t="s">
        <v>317</v>
      </c>
      <c r="J420" s="107"/>
      <c r="K420" s="107"/>
      <c r="L420" s="107"/>
      <c r="M420" s="107"/>
      <c r="N420" s="107"/>
      <c r="O420" s="107"/>
      <c r="P420" s="107"/>
      <c r="Q420" s="107"/>
      <c r="R420" s="107"/>
      <c r="S420" s="107"/>
      <c r="T420" s="107"/>
      <c r="U420" s="107"/>
      <c r="V420" s="107"/>
      <c r="W420" s="107"/>
      <c r="X420" s="107"/>
      <c r="Y420" s="107"/>
      <c r="Z420" s="107"/>
      <c r="AA420" s="107"/>
      <c r="AB420" s="107"/>
      <c r="AC420" s="107"/>
      <c r="AD420" s="107"/>
    </row>
    <row r="421">
      <c r="A421" s="107"/>
      <c r="B421" s="107"/>
      <c r="C421" s="124" t="s">
        <v>1525</v>
      </c>
      <c r="D421" s="15"/>
      <c r="E421" s="108"/>
      <c r="F421" s="137" t="s">
        <v>1526</v>
      </c>
      <c r="G421" s="137" t="s">
        <v>1527</v>
      </c>
      <c r="H421" s="137" t="s">
        <v>1514</v>
      </c>
      <c r="I421" s="130" t="s">
        <v>317</v>
      </c>
      <c r="J421" s="107"/>
      <c r="K421" s="107"/>
      <c r="L421" s="107"/>
      <c r="M421" s="107"/>
      <c r="N421" s="107"/>
      <c r="O421" s="107"/>
      <c r="P421" s="107"/>
      <c r="Q421" s="107"/>
      <c r="R421" s="107"/>
      <c r="S421" s="107"/>
      <c r="T421" s="107"/>
      <c r="U421" s="107"/>
      <c r="V421" s="107"/>
      <c r="W421" s="107"/>
      <c r="X421" s="107"/>
      <c r="Y421" s="107"/>
      <c r="Z421" s="107"/>
      <c r="AA421" s="107"/>
      <c r="AB421" s="107"/>
      <c r="AC421" s="107"/>
      <c r="AD421" s="107"/>
    </row>
    <row r="422">
      <c r="A422" s="107"/>
      <c r="B422" s="107"/>
      <c r="C422" s="124" t="s">
        <v>1528</v>
      </c>
      <c r="D422" s="15"/>
      <c r="E422" s="108"/>
      <c r="F422" s="137" t="s">
        <v>1529</v>
      </c>
      <c r="G422" s="137" t="s">
        <v>1530</v>
      </c>
      <c r="H422" s="137" t="s">
        <v>1518</v>
      </c>
      <c r="I422" s="130" t="s">
        <v>317</v>
      </c>
      <c r="J422" s="107"/>
      <c r="K422" s="107"/>
      <c r="L422" s="107"/>
      <c r="M422" s="107"/>
      <c r="N422" s="107"/>
      <c r="O422" s="107"/>
      <c r="P422" s="107"/>
      <c r="Q422" s="107"/>
      <c r="R422" s="107"/>
      <c r="S422" s="107"/>
      <c r="T422" s="107"/>
      <c r="U422" s="107"/>
      <c r="V422" s="107"/>
      <c r="W422" s="107"/>
      <c r="X422" s="107"/>
      <c r="Y422" s="107"/>
      <c r="Z422" s="107"/>
      <c r="AA422" s="107"/>
      <c r="AB422" s="107"/>
      <c r="AC422" s="107"/>
      <c r="AD422" s="107"/>
    </row>
    <row r="423">
      <c r="A423" s="107"/>
      <c r="B423" s="107"/>
      <c r="C423" s="124" t="s">
        <v>1531</v>
      </c>
      <c r="D423" s="15"/>
      <c r="E423" s="108"/>
      <c r="F423" s="137" t="s">
        <v>1532</v>
      </c>
      <c r="G423" s="137" t="s">
        <v>1533</v>
      </c>
      <c r="H423" s="137" t="s">
        <v>1534</v>
      </c>
      <c r="I423" s="130" t="s">
        <v>317</v>
      </c>
      <c r="J423" s="107"/>
      <c r="K423" s="107"/>
      <c r="L423" s="107"/>
      <c r="M423" s="107"/>
      <c r="N423" s="107"/>
      <c r="O423" s="107"/>
      <c r="P423" s="107"/>
      <c r="Q423" s="107"/>
      <c r="R423" s="107"/>
      <c r="S423" s="107"/>
      <c r="T423" s="107"/>
      <c r="U423" s="107"/>
      <c r="V423" s="107"/>
      <c r="W423" s="107"/>
      <c r="X423" s="107"/>
      <c r="Y423" s="107"/>
      <c r="Z423" s="107"/>
      <c r="AA423" s="107"/>
      <c r="AB423" s="107"/>
      <c r="AC423" s="107"/>
      <c r="AD423" s="107"/>
    </row>
    <row r="424">
      <c r="A424" s="107"/>
      <c r="B424" s="107"/>
      <c r="C424" s="124" t="s">
        <v>1535</v>
      </c>
      <c r="D424" s="15"/>
      <c r="E424" s="108"/>
      <c r="F424" s="137" t="s">
        <v>1536</v>
      </c>
      <c r="G424" s="137" t="s">
        <v>1537</v>
      </c>
      <c r="H424" s="137" t="s">
        <v>1538</v>
      </c>
      <c r="I424" s="130" t="s">
        <v>317</v>
      </c>
      <c r="J424" s="107"/>
      <c r="K424" s="107"/>
      <c r="L424" s="107"/>
      <c r="M424" s="107"/>
      <c r="N424" s="107"/>
      <c r="O424" s="107"/>
      <c r="P424" s="107"/>
      <c r="Q424" s="107"/>
      <c r="R424" s="107"/>
      <c r="S424" s="107"/>
      <c r="T424" s="107"/>
      <c r="U424" s="107"/>
      <c r="V424" s="107"/>
      <c r="W424" s="107"/>
      <c r="X424" s="107"/>
      <c r="Y424" s="107"/>
      <c r="Z424" s="107"/>
      <c r="AA424" s="107"/>
      <c r="AB424" s="107"/>
      <c r="AC424" s="107"/>
      <c r="AD424" s="107"/>
    </row>
    <row r="425">
      <c r="A425" s="107"/>
      <c r="B425" s="107"/>
      <c r="C425" s="124" t="s">
        <v>1539</v>
      </c>
      <c r="D425" s="15"/>
      <c r="E425" s="108"/>
      <c r="F425" s="137" t="s">
        <v>1540</v>
      </c>
      <c r="G425" s="137" t="s">
        <v>1541</v>
      </c>
      <c r="H425" s="137" t="s">
        <v>1542</v>
      </c>
      <c r="I425" s="130" t="s">
        <v>317</v>
      </c>
      <c r="J425" s="107"/>
      <c r="K425" s="107"/>
      <c r="L425" s="107"/>
      <c r="M425" s="107"/>
      <c r="N425" s="107"/>
      <c r="O425" s="107"/>
      <c r="P425" s="107"/>
      <c r="Q425" s="107"/>
      <c r="R425" s="107"/>
      <c r="S425" s="107"/>
      <c r="T425" s="107"/>
      <c r="U425" s="107"/>
      <c r="V425" s="107"/>
      <c r="W425" s="107"/>
      <c r="X425" s="107"/>
      <c r="Y425" s="107"/>
      <c r="Z425" s="107"/>
      <c r="AA425" s="107"/>
      <c r="AB425" s="107"/>
      <c r="AC425" s="107"/>
      <c r="AD425" s="107"/>
    </row>
    <row r="426">
      <c r="A426" s="107"/>
      <c r="B426" s="107"/>
      <c r="C426" s="124" t="s">
        <v>1543</v>
      </c>
      <c r="D426" s="15"/>
      <c r="E426" s="109"/>
      <c r="F426" s="137" t="s">
        <v>1540</v>
      </c>
      <c r="G426" s="137" t="s">
        <v>1544</v>
      </c>
      <c r="H426" s="137" t="s">
        <v>1545</v>
      </c>
      <c r="I426" s="130" t="s">
        <v>317</v>
      </c>
      <c r="J426" s="107"/>
      <c r="K426" s="107"/>
      <c r="L426" s="107"/>
      <c r="M426" s="107"/>
      <c r="N426" s="107"/>
      <c r="O426" s="107"/>
      <c r="P426" s="107"/>
      <c r="Q426" s="107"/>
      <c r="R426" s="107"/>
      <c r="S426" s="107"/>
      <c r="T426" s="107"/>
      <c r="U426" s="107"/>
      <c r="V426" s="107"/>
      <c r="W426" s="107"/>
      <c r="X426" s="107"/>
      <c r="Y426" s="107"/>
      <c r="Z426" s="107"/>
      <c r="AA426" s="107"/>
      <c r="AB426" s="107"/>
      <c r="AC426" s="107"/>
      <c r="AD426" s="107"/>
    </row>
    <row r="427">
      <c r="A427" s="107"/>
      <c r="B427" s="107"/>
      <c r="C427" s="124" t="s">
        <v>1546</v>
      </c>
      <c r="D427" s="15"/>
      <c r="E427" s="125" t="s">
        <v>243</v>
      </c>
      <c r="F427" s="137" t="s">
        <v>1547</v>
      </c>
      <c r="G427" s="137" t="s">
        <v>1548</v>
      </c>
      <c r="H427" s="137" t="s">
        <v>1549</v>
      </c>
      <c r="I427" s="130" t="s">
        <v>717</v>
      </c>
      <c r="J427" s="128" t="s">
        <v>1550</v>
      </c>
      <c r="K427" s="107"/>
      <c r="L427" s="107"/>
      <c r="M427" s="107"/>
      <c r="N427" s="107"/>
      <c r="O427" s="107"/>
      <c r="P427" s="107"/>
      <c r="Q427" s="107"/>
      <c r="R427" s="107"/>
      <c r="S427" s="107"/>
      <c r="T427" s="107"/>
      <c r="U427" s="107"/>
      <c r="V427" s="107"/>
      <c r="W427" s="107"/>
      <c r="X427" s="107"/>
      <c r="Y427" s="107"/>
      <c r="Z427" s="107"/>
      <c r="AA427" s="107"/>
      <c r="AB427" s="107"/>
      <c r="AC427" s="107"/>
      <c r="AD427" s="107"/>
    </row>
    <row r="428">
      <c r="A428" s="107"/>
      <c r="B428" s="107"/>
      <c r="C428" s="124" t="s">
        <v>1551</v>
      </c>
      <c r="D428" s="15"/>
      <c r="E428" s="108"/>
      <c r="F428" s="137" t="s">
        <v>1547</v>
      </c>
      <c r="G428" s="137" t="s">
        <v>1552</v>
      </c>
      <c r="H428" s="137" t="s">
        <v>1553</v>
      </c>
      <c r="I428" s="130" t="s">
        <v>717</v>
      </c>
      <c r="J428" s="128" t="s">
        <v>1550</v>
      </c>
      <c r="K428" s="107"/>
      <c r="L428" s="107"/>
      <c r="M428" s="107"/>
      <c r="N428" s="107"/>
      <c r="O428" s="107"/>
      <c r="P428" s="107"/>
      <c r="Q428" s="107"/>
      <c r="R428" s="107"/>
      <c r="S428" s="107"/>
      <c r="T428" s="107"/>
      <c r="U428" s="107"/>
      <c r="V428" s="107"/>
      <c r="W428" s="107"/>
      <c r="X428" s="107"/>
      <c r="Y428" s="107"/>
      <c r="Z428" s="107"/>
      <c r="AA428" s="107"/>
      <c r="AB428" s="107"/>
      <c r="AC428" s="107"/>
      <c r="AD428" s="107"/>
    </row>
    <row r="429">
      <c r="A429" s="107"/>
      <c r="B429" s="107"/>
      <c r="C429" s="124" t="s">
        <v>1554</v>
      </c>
      <c r="D429" s="15"/>
      <c r="E429" s="108"/>
      <c r="F429" s="137" t="s">
        <v>1555</v>
      </c>
      <c r="G429" s="137" t="s">
        <v>1552</v>
      </c>
      <c r="H429" s="137" t="s">
        <v>1549</v>
      </c>
      <c r="I429" s="130" t="s">
        <v>717</v>
      </c>
      <c r="J429" s="128" t="s">
        <v>1550</v>
      </c>
      <c r="K429" s="107"/>
      <c r="L429" s="107"/>
      <c r="M429" s="107"/>
      <c r="N429" s="107"/>
      <c r="O429" s="107"/>
      <c r="P429" s="107"/>
      <c r="Q429" s="107"/>
      <c r="R429" s="107"/>
      <c r="S429" s="107"/>
      <c r="T429" s="107"/>
      <c r="U429" s="107"/>
      <c r="V429" s="107"/>
      <c r="W429" s="107"/>
      <c r="X429" s="107"/>
      <c r="Y429" s="107"/>
      <c r="Z429" s="107"/>
      <c r="AA429" s="107"/>
      <c r="AB429" s="107"/>
      <c r="AC429" s="107"/>
      <c r="AD429" s="107"/>
    </row>
    <row r="430">
      <c r="A430" s="107"/>
      <c r="B430" s="107"/>
      <c r="C430" s="124" t="s">
        <v>1556</v>
      </c>
      <c r="D430" s="15"/>
      <c r="E430" s="108"/>
      <c r="F430" s="137" t="s">
        <v>1555</v>
      </c>
      <c r="G430" s="137" t="s">
        <v>1548</v>
      </c>
      <c r="H430" s="137" t="s">
        <v>1553</v>
      </c>
      <c r="I430" s="130" t="s">
        <v>717</v>
      </c>
      <c r="J430" s="128" t="s">
        <v>1550</v>
      </c>
      <c r="K430" s="107"/>
      <c r="L430" s="107"/>
      <c r="M430" s="107"/>
      <c r="N430" s="107"/>
      <c r="O430" s="107"/>
      <c r="P430" s="107"/>
      <c r="Q430" s="107"/>
      <c r="R430" s="107"/>
      <c r="S430" s="107"/>
      <c r="T430" s="107"/>
      <c r="U430" s="107"/>
      <c r="V430" s="107"/>
      <c r="W430" s="107"/>
      <c r="X430" s="107"/>
      <c r="Y430" s="107"/>
      <c r="Z430" s="107"/>
      <c r="AA430" s="107"/>
      <c r="AB430" s="107"/>
      <c r="AC430" s="107"/>
      <c r="AD430" s="107"/>
    </row>
    <row r="431">
      <c r="A431" s="107"/>
      <c r="B431" s="107"/>
      <c r="C431" s="124" t="s">
        <v>1557</v>
      </c>
      <c r="D431" s="15"/>
      <c r="E431" s="108"/>
      <c r="F431" s="137" t="s">
        <v>1558</v>
      </c>
      <c r="G431" s="137" t="s">
        <v>1559</v>
      </c>
      <c r="H431" s="137" t="s">
        <v>1549</v>
      </c>
      <c r="I431" s="130" t="s">
        <v>717</v>
      </c>
      <c r="J431" s="128" t="s">
        <v>1550</v>
      </c>
      <c r="K431" s="107"/>
      <c r="L431" s="107"/>
      <c r="M431" s="107"/>
      <c r="N431" s="107"/>
      <c r="O431" s="107"/>
      <c r="P431" s="107"/>
      <c r="Q431" s="107"/>
      <c r="R431" s="107"/>
      <c r="S431" s="107"/>
      <c r="T431" s="107"/>
      <c r="U431" s="107"/>
      <c r="V431" s="107"/>
      <c r="W431" s="107"/>
      <c r="X431" s="107"/>
      <c r="Y431" s="107"/>
      <c r="Z431" s="107"/>
      <c r="AA431" s="107"/>
      <c r="AB431" s="107"/>
      <c r="AC431" s="107"/>
      <c r="AD431" s="107"/>
    </row>
    <row r="432">
      <c r="A432" s="107"/>
      <c r="B432" s="107"/>
      <c r="C432" s="124" t="s">
        <v>1560</v>
      </c>
      <c r="D432" s="15"/>
      <c r="E432" s="108"/>
      <c r="F432" s="137" t="s">
        <v>1561</v>
      </c>
      <c r="G432" s="137" t="s">
        <v>1562</v>
      </c>
      <c r="H432" s="137" t="s">
        <v>1549</v>
      </c>
      <c r="I432" s="130" t="s">
        <v>717</v>
      </c>
      <c r="J432" s="128" t="s">
        <v>1550</v>
      </c>
      <c r="K432" s="107"/>
      <c r="L432" s="107"/>
      <c r="M432" s="107"/>
      <c r="N432" s="107"/>
      <c r="O432" s="107"/>
      <c r="P432" s="107"/>
      <c r="Q432" s="107"/>
      <c r="R432" s="107"/>
      <c r="S432" s="107"/>
      <c r="T432" s="107"/>
      <c r="U432" s="107"/>
      <c r="V432" s="107"/>
      <c r="W432" s="107"/>
      <c r="X432" s="107"/>
      <c r="Y432" s="107"/>
      <c r="Z432" s="107"/>
      <c r="AA432" s="107"/>
      <c r="AB432" s="107"/>
      <c r="AC432" s="107"/>
      <c r="AD432" s="107"/>
    </row>
    <row r="433">
      <c r="A433" s="107"/>
      <c r="B433" s="107"/>
      <c r="C433" s="124" t="s">
        <v>1563</v>
      </c>
      <c r="D433" s="15"/>
      <c r="E433" s="109"/>
      <c r="F433" s="137" t="s">
        <v>1564</v>
      </c>
      <c r="G433" s="137" t="s">
        <v>1565</v>
      </c>
      <c r="H433" s="137" t="s">
        <v>1553</v>
      </c>
      <c r="I433" s="130" t="s">
        <v>717</v>
      </c>
      <c r="J433" s="128" t="s">
        <v>1550</v>
      </c>
      <c r="K433" s="107"/>
      <c r="L433" s="107"/>
      <c r="M433" s="107"/>
      <c r="N433" s="107"/>
      <c r="O433" s="107"/>
      <c r="P433" s="107"/>
      <c r="Q433" s="107"/>
      <c r="R433" s="107"/>
      <c r="S433" s="107"/>
      <c r="T433" s="107"/>
      <c r="U433" s="107"/>
      <c r="V433" s="107"/>
      <c r="W433" s="107"/>
      <c r="X433" s="107"/>
      <c r="Y433" s="107"/>
      <c r="Z433" s="107"/>
      <c r="AA433" s="107"/>
      <c r="AB433" s="107"/>
      <c r="AC433" s="107"/>
      <c r="AD433" s="107"/>
    </row>
    <row r="434">
      <c r="A434" s="107"/>
      <c r="B434" s="107"/>
      <c r="C434" s="124" t="s">
        <v>1566</v>
      </c>
      <c r="D434" s="15"/>
      <c r="E434" s="125" t="s">
        <v>247</v>
      </c>
      <c r="F434" s="137" t="s">
        <v>1567</v>
      </c>
      <c r="G434" s="137" t="s">
        <v>1568</v>
      </c>
      <c r="H434" s="137" t="s">
        <v>1569</v>
      </c>
      <c r="I434" s="127" t="s">
        <v>36</v>
      </c>
      <c r="J434" s="128"/>
      <c r="K434" s="107"/>
      <c r="L434" s="107"/>
      <c r="M434" s="107"/>
      <c r="N434" s="107"/>
      <c r="O434" s="107"/>
      <c r="P434" s="107"/>
      <c r="Q434" s="107"/>
      <c r="R434" s="107"/>
      <c r="S434" s="107"/>
      <c r="T434" s="107"/>
      <c r="U434" s="107"/>
      <c r="V434" s="107"/>
      <c r="W434" s="107"/>
      <c r="X434" s="107"/>
      <c r="Y434" s="107"/>
      <c r="Z434" s="107"/>
      <c r="AA434" s="107"/>
      <c r="AB434" s="107"/>
      <c r="AC434" s="107"/>
      <c r="AD434" s="107"/>
    </row>
    <row r="435">
      <c r="A435" s="107"/>
      <c r="B435" s="107"/>
      <c r="C435" s="124" t="s">
        <v>1570</v>
      </c>
      <c r="D435" s="15"/>
      <c r="E435" s="108"/>
      <c r="F435" s="137" t="s">
        <v>1571</v>
      </c>
      <c r="G435" s="137" t="s">
        <v>1572</v>
      </c>
      <c r="H435" s="137" t="s">
        <v>1569</v>
      </c>
      <c r="I435" s="127" t="s">
        <v>36</v>
      </c>
      <c r="J435" s="107"/>
      <c r="K435" s="107"/>
      <c r="L435" s="107"/>
      <c r="M435" s="107"/>
      <c r="N435" s="107"/>
      <c r="O435" s="107"/>
      <c r="P435" s="107"/>
      <c r="Q435" s="107"/>
      <c r="R435" s="107"/>
      <c r="S435" s="107"/>
      <c r="T435" s="107"/>
      <c r="U435" s="107"/>
      <c r="V435" s="107"/>
      <c r="W435" s="107"/>
      <c r="X435" s="107"/>
      <c r="Y435" s="107"/>
      <c r="Z435" s="107"/>
      <c r="AA435" s="107"/>
      <c r="AB435" s="107"/>
      <c r="AC435" s="107"/>
      <c r="AD435" s="107"/>
    </row>
    <row r="436">
      <c r="A436" s="107"/>
      <c r="B436" s="107"/>
      <c r="C436" s="124" t="s">
        <v>1573</v>
      </c>
      <c r="D436" s="15"/>
      <c r="E436" s="108"/>
      <c r="F436" s="137" t="s">
        <v>1574</v>
      </c>
      <c r="G436" s="137" t="s">
        <v>1575</v>
      </c>
      <c r="H436" s="137" t="s">
        <v>1569</v>
      </c>
      <c r="I436" s="127" t="s">
        <v>36</v>
      </c>
      <c r="J436" s="107"/>
      <c r="K436" s="107"/>
      <c r="L436" s="107"/>
      <c r="M436" s="107"/>
      <c r="N436" s="107"/>
      <c r="O436" s="107"/>
      <c r="P436" s="107"/>
      <c r="Q436" s="107"/>
      <c r="R436" s="107"/>
      <c r="S436" s="107"/>
      <c r="T436" s="107"/>
      <c r="U436" s="107"/>
      <c r="V436" s="107"/>
      <c r="W436" s="107"/>
      <c r="X436" s="107"/>
      <c r="Y436" s="107"/>
      <c r="Z436" s="107"/>
      <c r="AA436" s="107"/>
      <c r="AB436" s="107"/>
      <c r="AC436" s="107"/>
      <c r="AD436" s="107"/>
    </row>
    <row r="437">
      <c r="A437" s="107"/>
      <c r="B437" s="107"/>
      <c r="C437" s="124" t="s">
        <v>1576</v>
      </c>
      <c r="D437" s="15"/>
      <c r="E437" s="108"/>
      <c r="F437" s="137" t="s">
        <v>1577</v>
      </c>
      <c r="G437" s="137" t="s">
        <v>1578</v>
      </c>
      <c r="H437" s="137" t="s">
        <v>1569</v>
      </c>
      <c r="I437" s="127" t="s">
        <v>36</v>
      </c>
      <c r="J437" s="107"/>
      <c r="K437" s="107"/>
      <c r="L437" s="107"/>
      <c r="M437" s="107"/>
      <c r="N437" s="107"/>
      <c r="O437" s="107"/>
      <c r="P437" s="107"/>
      <c r="Q437" s="107"/>
      <c r="R437" s="107"/>
      <c r="S437" s="107"/>
      <c r="T437" s="107"/>
      <c r="U437" s="107"/>
      <c r="V437" s="107"/>
      <c r="W437" s="107"/>
      <c r="X437" s="107"/>
      <c r="Y437" s="107"/>
      <c r="Z437" s="107"/>
      <c r="AA437" s="107"/>
      <c r="AB437" s="107"/>
      <c r="AC437" s="107"/>
      <c r="AD437" s="107"/>
    </row>
    <row r="438">
      <c r="A438" s="107"/>
      <c r="B438" s="107"/>
      <c r="C438" s="124" t="s">
        <v>1579</v>
      </c>
      <c r="D438" s="15"/>
      <c r="E438" s="108"/>
      <c r="F438" s="137" t="s">
        <v>1580</v>
      </c>
      <c r="G438" s="137" t="s">
        <v>1581</v>
      </c>
      <c r="H438" s="137" t="s">
        <v>1569</v>
      </c>
      <c r="I438" s="127" t="s">
        <v>36</v>
      </c>
      <c r="J438" s="107"/>
      <c r="K438" s="107"/>
      <c r="L438" s="107"/>
      <c r="M438" s="107"/>
      <c r="N438" s="107"/>
      <c r="O438" s="107"/>
      <c r="P438" s="107"/>
      <c r="Q438" s="107"/>
      <c r="R438" s="107"/>
      <c r="S438" s="107"/>
      <c r="T438" s="107"/>
      <c r="U438" s="107"/>
      <c r="V438" s="107"/>
      <c r="W438" s="107"/>
      <c r="X438" s="107"/>
      <c r="Y438" s="107"/>
      <c r="Z438" s="107"/>
      <c r="AA438" s="107"/>
      <c r="AB438" s="107"/>
      <c r="AC438" s="107"/>
      <c r="AD438" s="107"/>
    </row>
    <row r="439">
      <c r="A439" s="107"/>
      <c r="B439" s="107"/>
      <c r="C439" s="124" t="s">
        <v>1582</v>
      </c>
      <c r="D439" s="15"/>
      <c r="E439" s="109"/>
      <c r="F439" s="137" t="s">
        <v>1583</v>
      </c>
      <c r="G439" s="137" t="s">
        <v>1584</v>
      </c>
      <c r="H439" s="137" t="s">
        <v>1569</v>
      </c>
      <c r="I439" s="127" t="s">
        <v>36</v>
      </c>
      <c r="J439" s="107"/>
      <c r="K439" s="107"/>
      <c r="L439" s="107"/>
      <c r="M439" s="107"/>
      <c r="N439" s="107"/>
      <c r="O439" s="107"/>
      <c r="P439" s="107"/>
      <c r="Q439" s="107"/>
      <c r="R439" s="107"/>
      <c r="S439" s="107"/>
      <c r="T439" s="107"/>
      <c r="U439" s="107"/>
      <c r="V439" s="107"/>
      <c r="W439" s="107"/>
      <c r="X439" s="107"/>
      <c r="Y439" s="107"/>
      <c r="Z439" s="107"/>
      <c r="AA439" s="107"/>
      <c r="AB439" s="107"/>
      <c r="AC439" s="107"/>
      <c r="AD439" s="107"/>
    </row>
    <row r="440">
      <c r="A440" s="107"/>
      <c r="B440" s="107"/>
      <c r="C440" s="124" t="s">
        <v>1585</v>
      </c>
      <c r="D440" s="15"/>
      <c r="E440" s="125" t="s">
        <v>249</v>
      </c>
      <c r="F440" s="129" t="s">
        <v>1586</v>
      </c>
      <c r="G440" s="126" t="s">
        <v>1587</v>
      </c>
      <c r="H440" s="126" t="s">
        <v>1588</v>
      </c>
      <c r="I440" s="145" t="s">
        <v>36</v>
      </c>
      <c r="J440" s="107"/>
      <c r="K440" s="107"/>
      <c r="L440" s="107"/>
      <c r="M440" s="107"/>
      <c r="N440" s="107"/>
      <c r="O440" s="107"/>
      <c r="P440" s="107"/>
      <c r="Q440" s="107"/>
      <c r="R440" s="107"/>
      <c r="S440" s="107"/>
      <c r="T440" s="107"/>
      <c r="U440" s="107"/>
      <c r="V440" s="107"/>
      <c r="W440" s="107"/>
      <c r="X440" s="107"/>
      <c r="Y440" s="107"/>
      <c r="Z440" s="107"/>
      <c r="AA440" s="107"/>
      <c r="AB440" s="107"/>
      <c r="AC440" s="107"/>
      <c r="AD440" s="107"/>
    </row>
    <row r="441">
      <c r="A441" s="107"/>
      <c r="B441" s="107"/>
      <c r="C441" s="124" t="s">
        <v>1589</v>
      </c>
      <c r="D441" s="15"/>
      <c r="E441" s="108"/>
      <c r="F441" s="126" t="s">
        <v>1590</v>
      </c>
      <c r="G441" s="126" t="s">
        <v>1591</v>
      </c>
      <c r="H441" s="126" t="s">
        <v>1592</v>
      </c>
      <c r="I441" s="145" t="s">
        <v>36</v>
      </c>
      <c r="J441" s="107"/>
      <c r="K441" s="107"/>
      <c r="L441" s="107"/>
      <c r="M441" s="107"/>
      <c r="N441" s="107"/>
      <c r="O441" s="107"/>
      <c r="P441" s="107"/>
      <c r="Q441" s="107"/>
      <c r="R441" s="107"/>
      <c r="S441" s="107"/>
      <c r="T441" s="107"/>
      <c r="U441" s="107"/>
      <c r="V441" s="107"/>
      <c r="W441" s="107"/>
      <c r="X441" s="107"/>
      <c r="Y441" s="107"/>
      <c r="Z441" s="107"/>
      <c r="AA441" s="107"/>
      <c r="AB441" s="107"/>
      <c r="AC441" s="107"/>
      <c r="AD441" s="107"/>
    </row>
    <row r="442">
      <c r="A442" s="107"/>
      <c r="B442" s="107"/>
      <c r="C442" s="124" t="s">
        <v>1593</v>
      </c>
      <c r="D442" s="15"/>
      <c r="E442" s="108"/>
      <c r="F442" s="126" t="s">
        <v>1594</v>
      </c>
      <c r="G442" s="126" t="s">
        <v>1595</v>
      </c>
      <c r="H442" s="126" t="s">
        <v>1592</v>
      </c>
      <c r="I442" s="145" t="s">
        <v>36</v>
      </c>
      <c r="J442" s="107"/>
      <c r="K442" s="107"/>
      <c r="L442" s="107"/>
      <c r="M442" s="107"/>
      <c r="N442" s="107"/>
      <c r="O442" s="107"/>
      <c r="P442" s="107"/>
      <c r="Q442" s="107"/>
      <c r="R442" s="107"/>
      <c r="S442" s="107"/>
      <c r="T442" s="107"/>
      <c r="U442" s="107"/>
      <c r="V442" s="107"/>
      <c r="W442" s="107"/>
      <c r="X442" s="107"/>
      <c r="Y442" s="107"/>
      <c r="Z442" s="107"/>
      <c r="AA442" s="107"/>
      <c r="AB442" s="107"/>
      <c r="AC442" s="107"/>
      <c r="AD442" s="107"/>
    </row>
    <row r="443">
      <c r="A443" s="107"/>
      <c r="B443" s="107"/>
      <c r="C443" s="124" t="s">
        <v>1596</v>
      </c>
      <c r="D443" s="15"/>
      <c r="E443" s="108"/>
      <c r="F443" s="126" t="s">
        <v>1594</v>
      </c>
      <c r="G443" s="126" t="s">
        <v>1597</v>
      </c>
      <c r="H443" s="126" t="s">
        <v>1592</v>
      </c>
      <c r="I443" s="145" t="s">
        <v>36</v>
      </c>
      <c r="J443" s="107"/>
      <c r="K443" s="107"/>
      <c r="L443" s="107"/>
      <c r="M443" s="107"/>
      <c r="N443" s="107"/>
      <c r="O443" s="107"/>
      <c r="P443" s="107"/>
      <c r="Q443" s="107"/>
      <c r="R443" s="107"/>
      <c r="S443" s="107"/>
      <c r="T443" s="107"/>
      <c r="U443" s="107"/>
      <c r="V443" s="107"/>
      <c r="W443" s="107"/>
      <c r="X443" s="107"/>
      <c r="Y443" s="107"/>
      <c r="Z443" s="107"/>
      <c r="AA443" s="107"/>
      <c r="AB443" s="107"/>
      <c r="AC443" s="107"/>
      <c r="AD443" s="107"/>
    </row>
    <row r="444">
      <c r="A444" s="107"/>
      <c r="B444" s="107"/>
      <c r="C444" s="124" t="s">
        <v>1598</v>
      </c>
      <c r="D444" s="15"/>
      <c r="E444" s="108"/>
      <c r="F444" s="126" t="s">
        <v>1594</v>
      </c>
      <c r="G444" s="126" t="s">
        <v>1599</v>
      </c>
      <c r="H444" s="126" t="s">
        <v>287</v>
      </c>
      <c r="I444" s="145" t="s">
        <v>36</v>
      </c>
      <c r="J444" s="107"/>
      <c r="K444" s="107"/>
      <c r="L444" s="107"/>
      <c r="M444" s="107"/>
      <c r="N444" s="107"/>
      <c r="O444" s="107"/>
      <c r="P444" s="107"/>
      <c r="Q444" s="107"/>
      <c r="R444" s="107"/>
      <c r="S444" s="107"/>
      <c r="T444" s="107"/>
      <c r="U444" s="107"/>
      <c r="V444" s="107"/>
      <c r="W444" s="107"/>
      <c r="X444" s="107"/>
      <c r="Y444" s="107"/>
      <c r="Z444" s="107"/>
      <c r="AA444" s="107"/>
      <c r="AB444" s="107"/>
      <c r="AC444" s="107"/>
      <c r="AD444" s="107"/>
    </row>
    <row r="445">
      <c r="A445" s="107"/>
      <c r="B445" s="107"/>
      <c r="C445" s="124" t="s">
        <v>1600</v>
      </c>
      <c r="D445" s="15"/>
      <c r="E445" s="108"/>
      <c r="F445" s="126" t="s">
        <v>1594</v>
      </c>
      <c r="G445" s="126" t="s">
        <v>1601</v>
      </c>
      <c r="H445" s="126" t="s">
        <v>1602</v>
      </c>
      <c r="I445" s="145" t="s">
        <v>36</v>
      </c>
      <c r="J445" s="107"/>
      <c r="K445" s="107"/>
      <c r="L445" s="107"/>
      <c r="M445" s="107"/>
      <c r="N445" s="107"/>
      <c r="O445" s="107"/>
      <c r="P445" s="107"/>
      <c r="Q445" s="107"/>
      <c r="R445" s="107"/>
      <c r="S445" s="107"/>
      <c r="T445" s="107"/>
      <c r="U445" s="107"/>
      <c r="V445" s="107"/>
      <c r="W445" s="107"/>
      <c r="X445" s="107"/>
      <c r="Y445" s="107"/>
      <c r="Z445" s="107"/>
      <c r="AA445" s="107"/>
      <c r="AB445" s="107"/>
      <c r="AC445" s="107"/>
      <c r="AD445" s="107"/>
    </row>
    <row r="446">
      <c r="A446" s="107"/>
      <c r="B446" s="107"/>
      <c r="C446" s="124" t="s">
        <v>1603</v>
      </c>
      <c r="D446" s="15"/>
      <c r="E446" s="108"/>
      <c r="F446" s="126" t="s">
        <v>1594</v>
      </c>
      <c r="G446" s="126" t="s">
        <v>1604</v>
      </c>
      <c r="H446" s="126" t="s">
        <v>1605</v>
      </c>
      <c r="I446" s="145" t="s">
        <v>317</v>
      </c>
      <c r="J446" s="107"/>
      <c r="K446" s="107"/>
      <c r="L446" s="107"/>
      <c r="M446" s="107"/>
      <c r="N446" s="107"/>
      <c r="O446" s="107"/>
      <c r="P446" s="107"/>
      <c r="Q446" s="107"/>
      <c r="R446" s="107"/>
      <c r="S446" s="107"/>
      <c r="T446" s="107"/>
      <c r="U446" s="107"/>
      <c r="V446" s="107"/>
      <c r="W446" s="107"/>
      <c r="X446" s="107"/>
      <c r="Y446" s="107"/>
      <c r="Z446" s="107"/>
      <c r="AA446" s="107"/>
      <c r="AB446" s="107"/>
      <c r="AC446" s="107"/>
      <c r="AD446" s="107"/>
    </row>
    <row r="447">
      <c r="A447" s="107"/>
      <c r="B447" s="107"/>
      <c r="C447" s="124" t="s">
        <v>1606</v>
      </c>
      <c r="D447" s="15"/>
      <c r="E447" s="108"/>
      <c r="F447" s="126" t="s">
        <v>1607</v>
      </c>
      <c r="G447" s="126" t="s">
        <v>1608</v>
      </c>
      <c r="H447" s="126" t="s">
        <v>1609</v>
      </c>
      <c r="I447" s="145" t="s">
        <v>317</v>
      </c>
      <c r="J447" s="107"/>
      <c r="K447" s="107"/>
      <c r="L447" s="107"/>
      <c r="M447" s="107"/>
      <c r="N447" s="107"/>
      <c r="O447" s="107"/>
      <c r="P447" s="107"/>
      <c r="Q447" s="107"/>
      <c r="R447" s="107"/>
      <c r="S447" s="107"/>
      <c r="T447" s="107"/>
      <c r="U447" s="107"/>
      <c r="V447" s="107"/>
      <c r="W447" s="107"/>
      <c r="X447" s="107"/>
      <c r="Y447" s="107"/>
      <c r="Z447" s="107"/>
      <c r="AA447" s="107"/>
      <c r="AB447" s="107"/>
      <c r="AC447" s="107"/>
      <c r="AD447" s="107"/>
    </row>
    <row r="448">
      <c r="A448" s="107"/>
      <c r="B448" s="107"/>
      <c r="C448" s="124" t="s">
        <v>1610</v>
      </c>
      <c r="D448" s="15"/>
      <c r="E448" s="108"/>
      <c r="F448" s="126" t="s">
        <v>1611</v>
      </c>
      <c r="G448" s="129" t="s">
        <v>1612</v>
      </c>
      <c r="H448" s="126" t="s">
        <v>1609</v>
      </c>
      <c r="I448" s="145" t="s">
        <v>36</v>
      </c>
      <c r="J448" s="107"/>
      <c r="K448" s="107"/>
      <c r="L448" s="107"/>
      <c r="M448" s="107"/>
      <c r="N448" s="107"/>
      <c r="O448" s="107"/>
      <c r="P448" s="107"/>
      <c r="Q448" s="107"/>
      <c r="R448" s="107"/>
      <c r="S448" s="107"/>
      <c r="T448" s="107"/>
      <c r="U448" s="107"/>
      <c r="V448" s="107"/>
      <c r="W448" s="107"/>
      <c r="X448" s="107"/>
      <c r="Y448" s="107"/>
      <c r="Z448" s="107"/>
      <c r="AA448" s="107"/>
      <c r="AB448" s="107"/>
      <c r="AC448" s="107"/>
      <c r="AD448" s="107"/>
    </row>
    <row r="449">
      <c r="A449" s="107"/>
      <c r="B449" s="107"/>
      <c r="C449" s="124" t="s">
        <v>1613</v>
      </c>
      <c r="D449" s="15"/>
      <c r="E449" s="108"/>
      <c r="F449" s="126" t="s">
        <v>1594</v>
      </c>
      <c r="G449" s="126" t="s">
        <v>1614</v>
      </c>
      <c r="H449" s="126" t="s">
        <v>287</v>
      </c>
      <c r="I449" s="145" t="s">
        <v>36</v>
      </c>
      <c r="J449" s="107"/>
      <c r="K449" s="107"/>
      <c r="L449" s="107"/>
      <c r="M449" s="107"/>
      <c r="N449" s="107"/>
      <c r="O449" s="107"/>
      <c r="P449" s="107"/>
      <c r="Q449" s="107"/>
      <c r="R449" s="107"/>
      <c r="S449" s="107"/>
      <c r="T449" s="107"/>
      <c r="U449" s="107"/>
      <c r="V449" s="107"/>
      <c r="W449" s="107"/>
      <c r="X449" s="107"/>
      <c r="Y449" s="107"/>
      <c r="Z449" s="107"/>
      <c r="AA449" s="107"/>
      <c r="AB449" s="107"/>
      <c r="AC449" s="107"/>
      <c r="AD449" s="107"/>
    </row>
    <row r="450">
      <c r="A450" s="107"/>
      <c r="B450" s="107"/>
      <c r="C450" s="124" t="s">
        <v>1615</v>
      </c>
      <c r="D450" s="15"/>
      <c r="E450" s="108"/>
      <c r="F450" s="126" t="s">
        <v>1594</v>
      </c>
      <c r="G450" s="126" t="s">
        <v>1616</v>
      </c>
      <c r="H450" s="126" t="s">
        <v>1617</v>
      </c>
      <c r="I450" s="145" t="s">
        <v>317</v>
      </c>
      <c r="J450" s="107"/>
      <c r="K450" s="107"/>
      <c r="L450" s="107"/>
      <c r="M450" s="107"/>
      <c r="N450" s="107"/>
      <c r="O450" s="107"/>
      <c r="P450" s="107"/>
      <c r="Q450" s="107"/>
      <c r="R450" s="107"/>
      <c r="S450" s="107"/>
      <c r="T450" s="107"/>
      <c r="U450" s="107"/>
      <c r="V450" s="107"/>
      <c r="W450" s="107"/>
      <c r="X450" s="107"/>
      <c r="Y450" s="107"/>
      <c r="Z450" s="107"/>
      <c r="AA450" s="107"/>
      <c r="AB450" s="107"/>
      <c r="AC450" s="107"/>
      <c r="AD450" s="107"/>
    </row>
    <row r="451">
      <c r="A451" s="107"/>
      <c r="B451" s="107"/>
      <c r="C451" s="124" t="s">
        <v>1618</v>
      </c>
      <c r="D451" s="15"/>
      <c r="E451" s="108"/>
      <c r="F451" s="126" t="s">
        <v>1594</v>
      </c>
      <c r="G451" s="126" t="s">
        <v>1619</v>
      </c>
      <c r="H451" s="126" t="s">
        <v>287</v>
      </c>
      <c r="I451" s="145" t="s">
        <v>317</v>
      </c>
      <c r="J451" s="107"/>
      <c r="K451" s="107"/>
      <c r="L451" s="107"/>
      <c r="M451" s="107"/>
      <c r="N451" s="107"/>
      <c r="O451" s="107"/>
      <c r="P451" s="107"/>
      <c r="Q451" s="107"/>
      <c r="R451" s="107"/>
      <c r="S451" s="107"/>
      <c r="T451" s="107"/>
      <c r="U451" s="107"/>
      <c r="V451" s="107"/>
      <c r="W451" s="107"/>
      <c r="X451" s="107"/>
      <c r="Y451" s="107"/>
      <c r="Z451" s="107"/>
      <c r="AA451" s="107"/>
      <c r="AB451" s="107"/>
      <c r="AC451" s="107"/>
      <c r="AD451" s="107"/>
    </row>
    <row r="452">
      <c r="A452" s="107"/>
      <c r="B452" s="107"/>
      <c r="C452" s="124" t="s">
        <v>1620</v>
      </c>
      <c r="D452" s="15"/>
      <c r="E452" s="108"/>
      <c r="F452" s="126" t="s">
        <v>1594</v>
      </c>
      <c r="G452" s="126" t="s">
        <v>358</v>
      </c>
      <c r="H452" s="126" t="s">
        <v>1592</v>
      </c>
      <c r="I452" s="145" t="s">
        <v>317</v>
      </c>
      <c r="J452" s="107"/>
      <c r="K452" s="107"/>
      <c r="L452" s="107"/>
      <c r="M452" s="107"/>
      <c r="N452" s="107"/>
      <c r="O452" s="107"/>
      <c r="P452" s="107"/>
      <c r="Q452" s="107"/>
      <c r="R452" s="107"/>
      <c r="S452" s="107"/>
      <c r="T452" s="107"/>
      <c r="U452" s="107"/>
      <c r="V452" s="107"/>
      <c r="W452" s="107"/>
      <c r="X452" s="107"/>
      <c r="Y452" s="107"/>
      <c r="Z452" s="107"/>
      <c r="AA452" s="107"/>
      <c r="AB452" s="107"/>
      <c r="AC452" s="107"/>
      <c r="AD452" s="107"/>
    </row>
    <row r="453">
      <c r="A453" s="107"/>
      <c r="B453" s="107"/>
      <c r="C453" s="124" t="s">
        <v>1621</v>
      </c>
      <c r="D453" s="15"/>
      <c r="E453" s="108"/>
      <c r="F453" s="126" t="s">
        <v>1594</v>
      </c>
      <c r="G453" s="126" t="s">
        <v>369</v>
      </c>
      <c r="H453" s="126" t="s">
        <v>287</v>
      </c>
      <c r="I453" s="145" t="s">
        <v>36</v>
      </c>
      <c r="J453" s="107"/>
      <c r="K453" s="107"/>
      <c r="L453" s="107"/>
      <c r="M453" s="107"/>
      <c r="N453" s="107"/>
      <c r="O453" s="107"/>
      <c r="P453" s="107"/>
      <c r="Q453" s="107"/>
      <c r="R453" s="107"/>
      <c r="S453" s="107"/>
      <c r="T453" s="107"/>
      <c r="U453" s="107"/>
      <c r="V453" s="107"/>
      <c r="W453" s="107"/>
      <c r="X453" s="107"/>
      <c r="Y453" s="107"/>
      <c r="Z453" s="107"/>
      <c r="AA453" s="107"/>
      <c r="AB453" s="107"/>
      <c r="AC453" s="107"/>
      <c r="AD453" s="107"/>
    </row>
    <row r="454">
      <c r="A454" s="107"/>
      <c r="B454" s="107"/>
      <c r="C454" s="124" t="s">
        <v>1622</v>
      </c>
      <c r="D454" s="15"/>
      <c r="E454" s="108"/>
      <c r="F454" s="126" t="s">
        <v>1594</v>
      </c>
      <c r="G454" s="126" t="s">
        <v>372</v>
      </c>
      <c r="H454" s="126" t="s">
        <v>1623</v>
      </c>
      <c r="I454" s="145" t="s">
        <v>36</v>
      </c>
      <c r="J454" s="107"/>
      <c r="K454" s="107"/>
      <c r="L454" s="107"/>
      <c r="M454" s="107"/>
      <c r="N454" s="107"/>
      <c r="O454" s="107"/>
      <c r="P454" s="107"/>
      <c r="Q454" s="107"/>
      <c r="R454" s="107"/>
      <c r="S454" s="107"/>
      <c r="T454" s="107"/>
      <c r="U454" s="107"/>
      <c r="V454" s="107"/>
      <c r="W454" s="107"/>
      <c r="X454" s="107"/>
      <c r="Y454" s="107"/>
      <c r="Z454" s="107"/>
      <c r="AA454" s="107"/>
      <c r="AB454" s="107"/>
      <c r="AC454" s="107"/>
      <c r="AD454" s="107"/>
    </row>
    <row r="455">
      <c r="A455" s="107"/>
      <c r="B455" s="107"/>
      <c r="C455" s="124" t="s">
        <v>1624</v>
      </c>
      <c r="D455" s="15"/>
      <c r="E455" s="108"/>
      <c r="F455" s="126" t="s">
        <v>1594</v>
      </c>
      <c r="G455" s="126" t="s">
        <v>1625</v>
      </c>
      <c r="H455" s="126" t="s">
        <v>1626</v>
      </c>
      <c r="I455" s="145" t="s">
        <v>36</v>
      </c>
      <c r="J455" s="107"/>
      <c r="K455" s="107"/>
      <c r="L455" s="107"/>
      <c r="M455" s="107"/>
      <c r="N455" s="107"/>
      <c r="O455" s="107"/>
      <c r="P455" s="107"/>
      <c r="Q455" s="107"/>
      <c r="R455" s="107"/>
      <c r="S455" s="107"/>
      <c r="T455" s="107"/>
      <c r="U455" s="107"/>
      <c r="V455" s="107"/>
      <c r="W455" s="107"/>
      <c r="X455" s="107"/>
      <c r="Y455" s="107"/>
      <c r="Z455" s="107"/>
      <c r="AA455" s="107"/>
      <c r="AB455" s="107"/>
      <c r="AC455" s="107"/>
      <c r="AD455" s="107"/>
    </row>
    <row r="456">
      <c r="A456" s="107"/>
      <c r="B456" s="107"/>
      <c r="C456" s="124" t="s">
        <v>1627</v>
      </c>
      <c r="D456" s="15"/>
      <c r="E456" s="108"/>
      <c r="F456" s="126" t="s">
        <v>1594</v>
      </c>
      <c r="G456" s="126" t="s">
        <v>1628</v>
      </c>
      <c r="H456" s="126" t="s">
        <v>287</v>
      </c>
      <c r="I456" s="145" t="s">
        <v>36</v>
      </c>
      <c r="J456" s="107"/>
      <c r="K456" s="107"/>
      <c r="L456" s="107"/>
      <c r="M456" s="107"/>
      <c r="N456" s="107"/>
      <c r="O456" s="107"/>
      <c r="P456" s="107"/>
      <c r="Q456" s="107"/>
      <c r="R456" s="107"/>
      <c r="S456" s="107"/>
      <c r="T456" s="107"/>
      <c r="U456" s="107"/>
      <c r="V456" s="107"/>
      <c r="W456" s="107"/>
      <c r="X456" s="107"/>
      <c r="Y456" s="107"/>
      <c r="Z456" s="107"/>
      <c r="AA456" s="107"/>
      <c r="AB456" s="107"/>
      <c r="AC456" s="107"/>
      <c r="AD456" s="107"/>
    </row>
    <row r="457">
      <c r="A457" s="107"/>
      <c r="B457" s="107"/>
      <c r="C457" s="124" t="s">
        <v>1629</v>
      </c>
      <c r="D457" s="15"/>
      <c r="E457" s="108"/>
      <c r="F457" s="126" t="s">
        <v>1594</v>
      </c>
      <c r="G457" s="126" t="s">
        <v>1630</v>
      </c>
      <c r="H457" s="126" t="s">
        <v>1631</v>
      </c>
      <c r="I457" s="145" t="s">
        <v>36</v>
      </c>
      <c r="J457" s="107"/>
      <c r="K457" s="107"/>
      <c r="L457" s="107"/>
      <c r="M457" s="107"/>
      <c r="N457" s="107"/>
      <c r="O457" s="107"/>
      <c r="P457" s="107"/>
      <c r="Q457" s="107"/>
      <c r="R457" s="107"/>
      <c r="S457" s="107"/>
      <c r="T457" s="107"/>
      <c r="U457" s="107"/>
      <c r="V457" s="107"/>
      <c r="W457" s="107"/>
      <c r="X457" s="107"/>
      <c r="Y457" s="107"/>
      <c r="Z457" s="107"/>
      <c r="AA457" s="107"/>
      <c r="AB457" s="107"/>
      <c r="AC457" s="107"/>
      <c r="AD457" s="107"/>
    </row>
    <row r="458">
      <c r="A458" s="107"/>
      <c r="B458" s="107"/>
      <c r="C458" s="124" t="s">
        <v>1632</v>
      </c>
      <c r="D458" s="15"/>
      <c r="E458" s="108"/>
      <c r="F458" s="126" t="s">
        <v>1633</v>
      </c>
      <c r="G458" s="126" t="s">
        <v>1634</v>
      </c>
      <c r="H458" s="126" t="s">
        <v>1635</v>
      </c>
      <c r="I458" s="145" t="s">
        <v>36</v>
      </c>
      <c r="J458" s="107"/>
      <c r="K458" s="107"/>
      <c r="L458" s="107"/>
      <c r="M458" s="107"/>
      <c r="N458" s="107"/>
      <c r="O458" s="107"/>
      <c r="P458" s="107"/>
      <c r="Q458" s="107"/>
      <c r="R458" s="107"/>
      <c r="S458" s="107"/>
      <c r="T458" s="107"/>
      <c r="U458" s="107"/>
      <c r="V458" s="107"/>
      <c r="W458" s="107"/>
      <c r="X458" s="107"/>
      <c r="Y458" s="107"/>
      <c r="Z458" s="107"/>
      <c r="AA458" s="107"/>
      <c r="AB458" s="107"/>
      <c r="AC458" s="107"/>
      <c r="AD458" s="107"/>
    </row>
    <row r="459">
      <c r="A459" s="107"/>
      <c r="B459" s="107"/>
      <c r="C459" s="124" t="s">
        <v>1636</v>
      </c>
      <c r="D459" s="15"/>
      <c r="E459" s="108"/>
      <c r="F459" s="126" t="s">
        <v>1633</v>
      </c>
      <c r="G459" s="126" t="s">
        <v>1637</v>
      </c>
      <c r="H459" s="126" t="s">
        <v>1638</v>
      </c>
      <c r="I459" s="145" t="s">
        <v>36</v>
      </c>
      <c r="J459" s="107"/>
      <c r="K459" s="107"/>
      <c r="L459" s="107"/>
      <c r="M459" s="107"/>
      <c r="N459" s="107"/>
      <c r="O459" s="107"/>
      <c r="P459" s="107"/>
      <c r="Q459" s="107"/>
      <c r="R459" s="107"/>
      <c r="S459" s="107"/>
      <c r="T459" s="107"/>
      <c r="U459" s="107"/>
      <c r="V459" s="107"/>
      <c r="W459" s="107"/>
      <c r="X459" s="107"/>
      <c r="Y459" s="107"/>
      <c r="Z459" s="107"/>
      <c r="AA459" s="107"/>
      <c r="AB459" s="107"/>
      <c r="AC459" s="107"/>
      <c r="AD459" s="107"/>
    </row>
    <row r="460">
      <c r="A460" s="107"/>
      <c r="B460" s="107"/>
      <c r="C460" s="124" t="s">
        <v>1639</v>
      </c>
      <c r="D460" s="15"/>
      <c r="E460" s="108"/>
      <c r="F460" s="126" t="s">
        <v>1633</v>
      </c>
      <c r="G460" s="126" t="s">
        <v>1640</v>
      </c>
      <c r="H460" s="126" t="s">
        <v>1641</v>
      </c>
      <c r="I460" s="145" t="s">
        <v>317</v>
      </c>
      <c r="J460" s="107"/>
      <c r="K460" s="107"/>
      <c r="L460" s="107"/>
      <c r="M460" s="107"/>
      <c r="N460" s="107"/>
      <c r="O460" s="107"/>
      <c r="P460" s="107"/>
      <c r="Q460" s="107"/>
      <c r="R460" s="107"/>
      <c r="S460" s="107"/>
      <c r="T460" s="107"/>
      <c r="U460" s="107"/>
      <c r="V460" s="107"/>
      <c r="W460" s="107"/>
      <c r="X460" s="107"/>
      <c r="Y460" s="107"/>
      <c r="Z460" s="107"/>
      <c r="AA460" s="107"/>
      <c r="AB460" s="107"/>
      <c r="AC460" s="107"/>
      <c r="AD460" s="107"/>
    </row>
    <row r="461">
      <c r="A461" s="107"/>
      <c r="B461" s="107"/>
      <c r="C461" s="124" t="s">
        <v>1642</v>
      </c>
      <c r="D461" s="15"/>
      <c r="E461" s="108"/>
      <c r="F461" s="126" t="s">
        <v>1643</v>
      </c>
      <c r="G461" s="126" t="s">
        <v>1644</v>
      </c>
      <c r="H461" s="129" t="s">
        <v>1645</v>
      </c>
      <c r="I461" s="146" t="s">
        <v>36</v>
      </c>
      <c r="J461" s="107"/>
      <c r="K461" s="107"/>
      <c r="L461" s="107"/>
      <c r="M461" s="107"/>
      <c r="N461" s="107"/>
      <c r="O461" s="107"/>
      <c r="P461" s="107"/>
      <c r="Q461" s="107"/>
      <c r="R461" s="107"/>
      <c r="S461" s="107"/>
      <c r="T461" s="107"/>
      <c r="U461" s="107"/>
      <c r="V461" s="107"/>
      <c r="W461" s="107"/>
      <c r="X461" s="107"/>
      <c r="Y461" s="107"/>
      <c r="Z461" s="107"/>
      <c r="AA461" s="107"/>
      <c r="AB461" s="107"/>
      <c r="AC461" s="107"/>
      <c r="AD461" s="107"/>
    </row>
    <row r="462">
      <c r="A462" s="107"/>
      <c r="B462" s="107"/>
      <c r="C462" s="124" t="s">
        <v>1646</v>
      </c>
      <c r="D462" s="15"/>
      <c r="E462" s="108"/>
      <c r="F462" s="126" t="s">
        <v>1647</v>
      </c>
      <c r="G462" s="126" t="s">
        <v>1648</v>
      </c>
      <c r="H462" s="129" t="s">
        <v>1649</v>
      </c>
      <c r="I462" s="146" t="s">
        <v>36</v>
      </c>
      <c r="J462" s="107"/>
      <c r="K462" s="107"/>
      <c r="L462" s="107"/>
      <c r="M462" s="107"/>
      <c r="N462" s="107"/>
      <c r="O462" s="107"/>
      <c r="P462" s="107"/>
      <c r="Q462" s="107"/>
      <c r="R462" s="107"/>
      <c r="S462" s="107"/>
      <c r="T462" s="107"/>
      <c r="U462" s="107"/>
      <c r="V462" s="107"/>
      <c r="W462" s="107"/>
      <c r="X462" s="107"/>
      <c r="Y462" s="107"/>
      <c r="Z462" s="107"/>
      <c r="AA462" s="107"/>
      <c r="AB462" s="107"/>
      <c r="AC462" s="107"/>
      <c r="AD462" s="107"/>
    </row>
    <row r="463">
      <c r="A463" s="107"/>
      <c r="B463" s="107"/>
      <c r="C463" s="124" t="s">
        <v>1650</v>
      </c>
      <c r="D463" s="15"/>
      <c r="E463" s="108"/>
      <c r="F463" s="126" t="s">
        <v>1651</v>
      </c>
      <c r="G463" s="126" t="s">
        <v>1652</v>
      </c>
      <c r="H463" s="129" t="s">
        <v>1649</v>
      </c>
      <c r="I463" s="146" t="s">
        <v>36</v>
      </c>
      <c r="J463" s="107"/>
      <c r="K463" s="107"/>
      <c r="L463" s="107"/>
      <c r="M463" s="107"/>
      <c r="N463" s="107"/>
      <c r="O463" s="107"/>
      <c r="P463" s="107"/>
      <c r="Q463" s="107"/>
      <c r="R463" s="107"/>
      <c r="S463" s="107"/>
      <c r="T463" s="107"/>
      <c r="U463" s="107"/>
      <c r="V463" s="107"/>
      <c r="W463" s="107"/>
      <c r="X463" s="107"/>
      <c r="Y463" s="107"/>
      <c r="Z463" s="107"/>
      <c r="AA463" s="107"/>
      <c r="AB463" s="107"/>
      <c r="AC463" s="107"/>
      <c r="AD463" s="107"/>
    </row>
    <row r="464">
      <c r="A464" s="107"/>
      <c r="B464" s="107"/>
      <c r="C464" s="124" t="s">
        <v>1653</v>
      </c>
      <c r="D464" s="15"/>
      <c r="E464" s="109"/>
      <c r="F464" s="126" t="s">
        <v>1654</v>
      </c>
      <c r="G464" s="126" t="s">
        <v>1655</v>
      </c>
      <c r="H464" s="126" t="s">
        <v>1656</v>
      </c>
      <c r="I464" s="146" t="s">
        <v>36</v>
      </c>
      <c r="J464" s="107"/>
      <c r="K464" s="107"/>
      <c r="L464" s="107"/>
      <c r="M464" s="107"/>
      <c r="N464" s="107"/>
      <c r="O464" s="107"/>
      <c r="P464" s="107"/>
      <c r="Q464" s="107"/>
      <c r="R464" s="107"/>
      <c r="S464" s="107"/>
      <c r="T464" s="107"/>
      <c r="U464" s="107"/>
      <c r="V464" s="107"/>
      <c r="W464" s="107"/>
      <c r="X464" s="107"/>
      <c r="Y464" s="107"/>
      <c r="Z464" s="107"/>
      <c r="AA464" s="107"/>
      <c r="AB464" s="107"/>
      <c r="AC464" s="107"/>
      <c r="AD464" s="107"/>
    </row>
    <row r="465">
      <c r="A465" s="107"/>
      <c r="B465" s="107"/>
      <c r="C465" s="124" t="s">
        <v>1657</v>
      </c>
      <c r="D465" s="15"/>
      <c r="E465" s="140" t="s">
        <v>251</v>
      </c>
      <c r="F465" s="137" t="s">
        <v>1658</v>
      </c>
      <c r="G465" s="137" t="s">
        <v>1659</v>
      </c>
      <c r="H465" s="137" t="s">
        <v>1660</v>
      </c>
      <c r="I465" s="146" t="s">
        <v>36</v>
      </c>
      <c r="J465" s="107"/>
      <c r="K465" s="107"/>
      <c r="L465" s="107"/>
      <c r="M465" s="107"/>
      <c r="N465" s="107"/>
      <c r="O465" s="107"/>
      <c r="P465" s="107"/>
      <c r="Q465" s="107"/>
      <c r="R465" s="107"/>
      <c r="S465" s="107"/>
      <c r="T465" s="107"/>
      <c r="U465" s="107"/>
      <c r="V465" s="107"/>
      <c r="W465" s="107"/>
      <c r="X465" s="107"/>
      <c r="Y465" s="107"/>
      <c r="Z465" s="107"/>
      <c r="AA465" s="107"/>
      <c r="AB465" s="107"/>
      <c r="AC465" s="107"/>
      <c r="AD465" s="107"/>
    </row>
    <row r="466">
      <c r="A466" s="107"/>
      <c r="B466" s="107"/>
      <c r="C466" s="124" t="s">
        <v>1661</v>
      </c>
      <c r="D466" s="15"/>
      <c r="E466" s="108"/>
      <c r="F466" s="137" t="s">
        <v>1658</v>
      </c>
      <c r="G466" s="137" t="s">
        <v>1662</v>
      </c>
      <c r="H466" s="137" t="s">
        <v>1663</v>
      </c>
      <c r="I466" s="146" t="s">
        <v>36</v>
      </c>
      <c r="J466" s="107"/>
      <c r="K466" s="107"/>
      <c r="L466" s="107"/>
      <c r="M466" s="107"/>
      <c r="N466" s="107"/>
      <c r="O466" s="107"/>
      <c r="P466" s="107"/>
      <c r="Q466" s="107"/>
      <c r="R466" s="107"/>
      <c r="S466" s="107"/>
      <c r="T466" s="107"/>
      <c r="U466" s="107"/>
      <c r="V466" s="107"/>
      <c r="W466" s="107"/>
      <c r="X466" s="107"/>
      <c r="Y466" s="107"/>
      <c r="Z466" s="107"/>
      <c r="AA466" s="107"/>
      <c r="AB466" s="107"/>
      <c r="AC466" s="107"/>
      <c r="AD466" s="107"/>
    </row>
    <row r="467">
      <c r="A467" s="107"/>
      <c r="B467" s="107"/>
      <c r="C467" s="124" t="s">
        <v>1664</v>
      </c>
      <c r="D467" s="15"/>
      <c r="E467" s="108"/>
      <c r="F467" s="137" t="s">
        <v>1665</v>
      </c>
      <c r="G467" s="137" t="s">
        <v>1666</v>
      </c>
      <c r="H467" s="137" t="s">
        <v>1667</v>
      </c>
      <c r="I467" s="146" t="s">
        <v>36</v>
      </c>
      <c r="J467" s="107"/>
      <c r="K467" s="107"/>
      <c r="L467" s="107"/>
      <c r="M467" s="107"/>
      <c r="N467" s="107"/>
      <c r="O467" s="107"/>
      <c r="P467" s="107"/>
      <c r="Q467" s="107"/>
      <c r="R467" s="107"/>
      <c r="S467" s="107"/>
      <c r="T467" s="107"/>
      <c r="U467" s="107"/>
      <c r="V467" s="107"/>
      <c r="W467" s="107"/>
      <c r="X467" s="107"/>
      <c r="Y467" s="107"/>
      <c r="Z467" s="107"/>
      <c r="AA467" s="107"/>
      <c r="AB467" s="107"/>
      <c r="AC467" s="107"/>
      <c r="AD467" s="107"/>
    </row>
    <row r="468">
      <c r="A468" s="107"/>
      <c r="B468" s="107"/>
      <c r="C468" s="124" t="s">
        <v>1668</v>
      </c>
      <c r="D468" s="15"/>
      <c r="E468" s="108"/>
      <c r="F468" s="137" t="s">
        <v>1669</v>
      </c>
      <c r="G468" s="137" t="s">
        <v>1670</v>
      </c>
      <c r="H468" s="137" t="s">
        <v>1671</v>
      </c>
      <c r="I468" s="146" t="s">
        <v>36</v>
      </c>
      <c r="J468" s="107"/>
      <c r="K468" s="107"/>
      <c r="L468" s="107"/>
      <c r="M468" s="107"/>
      <c r="N468" s="107"/>
      <c r="O468" s="107"/>
      <c r="P468" s="107"/>
      <c r="Q468" s="107"/>
      <c r="R468" s="107"/>
      <c r="S468" s="107"/>
      <c r="T468" s="107"/>
      <c r="U468" s="107"/>
      <c r="V468" s="107"/>
      <c r="W468" s="107"/>
      <c r="X468" s="107"/>
      <c r="Y468" s="107"/>
      <c r="Z468" s="107"/>
      <c r="AA468" s="107"/>
      <c r="AB468" s="107"/>
      <c r="AC468" s="107"/>
      <c r="AD468" s="107"/>
    </row>
    <row r="469">
      <c r="A469" s="107"/>
      <c r="B469" s="107"/>
      <c r="C469" s="124" t="s">
        <v>1672</v>
      </c>
      <c r="D469" s="15"/>
      <c r="E469" s="108"/>
      <c r="F469" s="137" t="s">
        <v>1673</v>
      </c>
      <c r="G469" s="137" t="s">
        <v>1674</v>
      </c>
      <c r="H469" s="137" t="s">
        <v>1675</v>
      </c>
      <c r="I469" s="146" t="s">
        <v>36</v>
      </c>
      <c r="J469" s="107"/>
      <c r="K469" s="107"/>
      <c r="L469" s="107"/>
      <c r="M469" s="107"/>
      <c r="N469" s="107"/>
      <c r="O469" s="107"/>
      <c r="P469" s="107"/>
      <c r="Q469" s="107"/>
      <c r="R469" s="107"/>
      <c r="S469" s="107"/>
      <c r="T469" s="107"/>
      <c r="U469" s="107"/>
      <c r="V469" s="107"/>
      <c r="W469" s="107"/>
      <c r="X469" s="107"/>
      <c r="Y469" s="107"/>
      <c r="Z469" s="107"/>
      <c r="AA469" s="107"/>
      <c r="AB469" s="107"/>
      <c r="AC469" s="107"/>
      <c r="AD469" s="107"/>
    </row>
    <row r="470">
      <c r="A470" s="107"/>
      <c r="B470" s="107"/>
      <c r="C470" s="124" t="s">
        <v>1676</v>
      </c>
      <c r="D470" s="15"/>
      <c r="E470" s="109"/>
      <c r="F470" s="137" t="s">
        <v>1677</v>
      </c>
      <c r="G470" s="137" t="s">
        <v>1678</v>
      </c>
      <c r="H470" s="137" t="s">
        <v>1679</v>
      </c>
      <c r="I470" s="146" t="s">
        <v>36</v>
      </c>
      <c r="J470" s="107"/>
      <c r="K470" s="107"/>
      <c r="L470" s="107"/>
      <c r="M470" s="107"/>
      <c r="N470" s="107"/>
      <c r="O470" s="107"/>
      <c r="P470" s="107"/>
      <c r="Q470" s="107"/>
      <c r="R470" s="107"/>
      <c r="S470" s="107"/>
      <c r="T470" s="107"/>
      <c r="U470" s="107"/>
      <c r="V470" s="107"/>
      <c r="W470" s="107"/>
      <c r="X470" s="107"/>
      <c r="Y470" s="107"/>
      <c r="Z470" s="107"/>
      <c r="AA470" s="107"/>
      <c r="AB470" s="107"/>
      <c r="AC470" s="107"/>
      <c r="AD470" s="107"/>
    </row>
    <row r="471">
      <c r="A471" s="107"/>
      <c r="B471" s="107"/>
      <c r="C471" s="124" t="s">
        <v>1680</v>
      </c>
      <c r="D471" s="15"/>
      <c r="E471" s="140" t="s">
        <v>254</v>
      </c>
      <c r="F471" s="137" t="s">
        <v>1681</v>
      </c>
      <c r="G471" s="137" t="s">
        <v>1682</v>
      </c>
      <c r="H471" s="137" t="s">
        <v>1683</v>
      </c>
      <c r="I471" s="146" t="s">
        <v>717</v>
      </c>
      <c r="J471" s="107"/>
      <c r="K471" s="107"/>
      <c r="L471" s="107"/>
      <c r="M471" s="107"/>
      <c r="N471" s="107"/>
      <c r="O471" s="107"/>
      <c r="P471" s="107"/>
      <c r="Q471" s="107"/>
      <c r="R471" s="107"/>
      <c r="S471" s="107"/>
      <c r="T471" s="107"/>
      <c r="U471" s="107"/>
      <c r="V471" s="107"/>
      <c r="W471" s="107"/>
      <c r="X471" s="107"/>
      <c r="Y471" s="107"/>
      <c r="Z471" s="107"/>
      <c r="AA471" s="107"/>
      <c r="AB471" s="107"/>
      <c r="AC471" s="107"/>
      <c r="AD471" s="107"/>
    </row>
    <row r="472">
      <c r="A472" s="107"/>
      <c r="B472" s="107"/>
      <c r="C472" s="124" t="s">
        <v>1684</v>
      </c>
      <c r="D472" s="15"/>
      <c r="E472" s="108"/>
      <c r="F472" s="137" t="s">
        <v>1685</v>
      </c>
      <c r="G472" s="137" t="s">
        <v>1686</v>
      </c>
      <c r="H472" s="137" t="s">
        <v>1687</v>
      </c>
      <c r="I472" s="146" t="s">
        <v>717</v>
      </c>
      <c r="J472" s="107"/>
      <c r="K472" s="107"/>
      <c r="L472" s="107"/>
      <c r="M472" s="107"/>
      <c r="N472" s="107"/>
      <c r="O472" s="107"/>
      <c r="P472" s="107"/>
      <c r="Q472" s="107"/>
      <c r="R472" s="107"/>
      <c r="S472" s="107"/>
      <c r="T472" s="107"/>
      <c r="U472" s="107"/>
      <c r="V472" s="107"/>
      <c r="W472" s="107"/>
      <c r="X472" s="107"/>
      <c r="Y472" s="107"/>
      <c r="Z472" s="107"/>
      <c r="AA472" s="107"/>
      <c r="AB472" s="107"/>
      <c r="AC472" s="107"/>
      <c r="AD472" s="107"/>
    </row>
    <row r="473">
      <c r="A473" s="107"/>
      <c r="B473" s="107"/>
      <c r="C473" s="124" t="s">
        <v>1688</v>
      </c>
      <c r="D473" s="15"/>
      <c r="E473" s="109"/>
      <c r="F473" s="137" t="s">
        <v>1685</v>
      </c>
      <c r="G473" s="137" t="s">
        <v>1689</v>
      </c>
      <c r="H473" s="137" t="s">
        <v>1687</v>
      </c>
      <c r="I473" s="144" t="s">
        <v>717</v>
      </c>
      <c r="J473" s="107"/>
      <c r="K473" s="107"/>
      <c r="L473" s="107"/>
      <c r="M473" s="107"/>
      <c r="N473" s="107"/>
      <c r="O473" s="107"/>
      <c r="P473" s="107"/>
      <c r="Q473" s="107"/>
      <c r="R473" s="107"/>
      <c r="S473" s="107"/>
      <c r="T473" s="107"/>
      <c r="U473" s="107"/>
      <c r="V473" s="107"/>
      <c r="W473" s="107"/>
      <c r="X473" s="107"/>
      <c r="Y473" s="107"/>
      <c r="Z473" s="107"/>
      <c r="AA473" s="107"/>
      <c r="AB473" s="107"/>
      <c r="AC473" s="107"/>
      <c r="AD473" s="107"/>
    </row>
    <row r="474">
      <c r="A474" s="107"/>
      <c r="B474" s="107"/>
      <c r="C474" s="124" t="s">
        <v>1690</v>
      </c>
      <c r="D474" s="15"/>
      <c r="E474" s="140" t="s">
        <v>256</v>
      </c>
      <c r="F474" s="137" t="s">
        <v>1691</v>
      </c>
      <c r="G474" s="147" t="s">
        <v>1692</v>
      </c>
      <c r="H474" s="137" t="s">
        <v>1693</v>
      </c>
      <c r="I474" s="144" t="s">
        <v>717</v>
      </c>
      <c r="J474" s="107"/>
      <c r="K474" s="107"/>
      <c r="L474" s="107"/>
      <c r="M474" s="107"/>
      <c r="N474" s="107"/>
      <c r="O474" s="107"/>
      <c r="P474" s="107"/>
      <c r="Q474" s="107"/>
      <c r="R474" s="107"/>
      <c r="S474" s="107"/>
      <c r="T474" s="107"/>
      <c r="U474" s="107"/>
      <c r="V474" s="107"/>
      <c r="W474" s="107"/>
      <c r="X474" s="107"/>
      <c r="Y474" s="107"/>
      <c r="Z474" s="107"/>
      <c r="AA474" s="107"/>
      <c r="AB474" s="107"/>
      <c r="AC474" s="107"/>
      <c r="AD474" s="107"/>
    </row>
    <row r="475">
      <c r="A475" s="107"/>
      <c r="B475" s="107"/>
      <c r="C475" s="124" t="s">
        <v>1694</v>
      </c>
      <c r="D475" s="15"/>
      <c r="E475" s="108"/>
      <c r="F475" s="137" t="s">
        <v>1695</v>
      </c>
      <c r="G475" s="147" t="s">
        <v>1696</v>
      </c>
      <c r="H475" s="137" t="s">
        <v>1693</v>
      </c>
      <c r="I475" s="144" t="s">
        <v>717</v>
      </c>
      <c r="J475" s="107"/>
      <c r="K475" s="107"/>
      <c r="L475" s="107"/>
      <c r="M475" s="107"/>
      <c r="N475" s="107"/>
      <c r="O475" s="107"/>
      <c r="P475" s="107"/>
      <c r="Q475" s="107"/>
      <c r="R475" s="107"/>
      <c r="S475" s="107"/>
      <c r="T475" s="107"/>
      <c r="U475" s="107"/>
      <c r="V475" s="107"/>
      <c r="W475" s="107"/>
      <c r="X475" s="107"/>
      <c r="Y475" s="107"/>
      <c r="Z475" s="107"/>
      <c r="AA475" s="107"/>
      <c r="AB475" s="107"/>
      <c r="AC475" s="107"/>
      <c r="AD475" s="107"/>
    </row>
    <row r="476">
      <c r="A476" s="107"/>
      <c r="B476" s="107"/>
      <c r="C476" s="124" t="s">
        <v>1697</v>
      </c>
      <c r="D476" s="15"/>
      <c r="E476" s="109"/>
      <c r="F476" s="137" t="s">
        <v>1698</v>
      </c>
      <c r="G476" s="147" t="s">
        <v>1699</v>
      </c>
      <c r="H476" s="137" t="s">
        <v>1693</v>
      </c>
      <c r="I476" s="144" t="s">
        <v>717</v>
      </c>
      <c r="J476" s="107"/>
      <c r="K476" s="107"/>
      <c r="L476" s="107"/>
      <c r="M476" s="107"/>
      <c r="N476" s="107"/>
      <c r="O476" s="107"/>
      <c r="P476" s="107"/>
      <c r="Q476" s="107"/>
      <c r="R476" s="107"/>
      <c r="S476" s="107"/>
      <c r="T476" s="107"/>
      <c r="U476" s="107"/>
      <c r="V476" s="107"/>
      <c r="W476" s="107"/>
      <c r="X476" s="107"/>
      <c r="Y476" s="107"/>
      <c r="Z476" s="107"/>
      <c r="AA476" s="107"/>
      <c r="AB476" s="107"/>
      <c r="AC476" s="107"/>
      <c r="AD476" s="107"/>
    </row>
    <row r="477">
      <c r="A477" s="107"/>
      <c r="B477" s="107"/>
      <c r="C477" s="148"/>
      <c r="D477" s="15"/>
      <c r="E477" s="149"/>
      <c r="F477" s="137"/>
      <c r="G477" s="137"/>
      <c r="H477" s="137"/>
      <c r="I477" s="144"/>
      <c r="J477" s="107"/>
      <c r="K477" s="107"/>
      <c r="L477" s="107"/>
      <c r="M477" s="107"/>
      <c r="N477" s="107"/>
      <c r="O477" s="107"/>
      <c r="P477" s="107"/>
      <c r="Q477" s="107"/>
      <c r="R477" s="107"/>
      <c r="S477" s="107"/>
      <c r="T477" s="107"/>
      <c r="U477" s="107"/>
      <c r="V477" s="107"/>
      <c r="W477" s="107"/>
      <c r="X477" s="107"/>
      <c r="Y477" s="107"/>
      <c r="Z477" s="107"/>
      <c r="AA477" s="107"/>
      <c r="AB477" s="107"/>
      <c r="AC477" s="107"/>
      <c r="AD477" s="107"/>
    </row>
    <row r="478">
      <c r="A478" s="107"/>
      <c r="B478" s="107"/>
      <c r="C478" s="148"/>
      <c r="D478" s="15"/>
      <c r="E478" s="149"/>
      <c r="F478" s="137"/>
      <c r="G478" s="137"/>
      <c r="H478" s="137"/>
      <c r="I478" s="144"/>
      <c r="J478" s="107"/>
      <c r="K478" s="107"/>
      <c r="L478" s="107"/>
      <c r="M478" s="107"/>
      <c r="N478" s="107"/>
      <c r="O478" s="107"/>
      <c r="P478" s="107"/>
      <c r="Q478" s="107"/>
      <c r="R478" s="107"/>
      <c r="S478" s="107"/>
      <c r="T478" s="107"/>
      <c r="U478" s="107"/>
      <c r="V478" s="107"/>
      <c r="W478" s="107"/>
      <c r="X478" s="107"/>
      <c r="Y478" s="107"/>
      <c r="Z478" s="107"/>
      <c r="AA478" s="107"/>
      <c r="AB478" s="107"/>
      <c r="AC478" s="107"/>
      <c r="AD478" s="107"/>
    </row>
    <row r="479">
      <c r="A479" s="107"/>
      <c r="B479" s="107"/>
      <c r="C479" s="148"/>
      <c r="D479" s="15"/>
      <c r="E479" s="149"/>
      <c r="F479" s="137"/>
      <c r="G479" s="137"/>
      <c r="H479" s="137"/>
      <c r="I479" s="144"/>
      <c r="J479" s="107"/>
      <c r="K479" s="107"/>
      <c r="L479" s="107"/>
      <c r="M479" s="107"/>
      <c r="N479" s="107"/>
      <c r="O479" s="107"/>
      <c r="P479" s="107"/>
      <c r="Q479" s="107"/>
      <c r="R479" s="107"/>
      <c r="S479" s="107"/>
      <c r="T479" s="107"/>
      <c r="U479" s="107"/>
      <c r="V479" s="107"/>
      <c r="W479" s="107"/>
      <c r="X479" s="107"/>
      <c r="Y479" s="107"/>
      <c r="Z479" s="107"/>
      <c r="AA479" s="107"/>
      <c r="AB479" s="107"/>
      <c r="AC479" s="107"/>
      <c r="AD479" s="107"/>
    </row>
    <row r="480">
      <c r="A480" s="107"/>
      <c r="B480" s="107"/>
      <c r="C480" s="148"/>
      <c r="D480" s="15"/>
      <c r="E480" s="149"/>
      <c r="F480" s="137"/>
      <c r="G480" s="137"/>
      <c r="H480" s="137"/>
      <c r="I480" s="144"/>
      <c r="J480" s="107"/>
      <c r="K480" s="107"/>
      <c r="L480" s="107"/>
      <c r="M480" s="107"/>
      <c r="N480" s="107"/>
      <c r="O480" s="107"/>
      <c r="P480" s="107"/>
      <c r="Q480" s="107"/>
      <c r="R480" s="107"/>
      <c r="S480" s="107"/>
      <c r="T480" s="107"/>
      <c r="U480" s="107"/>
      <c r="V480" s="107"/>
      <c r="W480" s="107"/>
      <c r="X480" s="107"/>
      <c r="Y480" s="107"/>
      <c r="Z480" s="107"/>
      <c r="AA480" s="107"/>
      <c r="AB480" s="107"/>
      <c r="AC480" s="107"/>
      <c r="AD480" s="107"/>
    </row>
    <row r="481">
      <c r="A481" s="107"/>
      <c r="B481" s="107"/>
      <c r="C481" s="148"/>
      <c r="D481" s="15"/>
      <c r="E481" s="149"/>
      <c r="F481" s="137"/>
      <c r="G481" s="137"/>
      <c r="H481" s="137"/>
      <c r="I481" s="144"/>
      <c r="J481" s="107"/>
      <c r="K481" s="107"/>
      <c r="L481" s="107"/>
      <c r="M481" s="107"/>
      <c r="N481" s="107"/>
      <c r="O481" s="107"/>
      <c r="P481" s="107"/>
      <c r="Q481" s="107"/>
      <c r="R481" s="107"/>
      <c r="S481" s="107"/>
      <c r="T481" s="107"/>
      <c r="U481" s="107"/>
      <c r="V481" s="107"/>
      <c r="W481" s="107"/>
      <c r="X481" s="107"/>
      <c r="Y481" s="107"/>
      <c r="Z481" s="107"/>
      <c r="AA481" s="107"/>
      <c r="AB481" s="107"/>
      <c r="AC481" s="107"/>
      <c r="AD481" s="107"/>
    </row>
    <row r="482">
      <c r="A482" s="107"/>
      <c r="B482" s="107"/>
      <c r="C482" s="148"/>
      <c r="D482" s="15"/>
      <c r="E482" s="149"/>
      <c r="F482" s="137"/>
      <c r="G482" s="137"/>
      <c r="H482" s="137"/>
      <c r="I482" s="144"/>
      <c r="J482" s="107"/>
      <c r="K482" s="107"/>
      <c r="L482" s="107"/>
      <c r="M482" s="107"/>
      <c r="N482" s="107"/>
      <c r="O482" s="107"/>
      <c r="P482" s="107"/>
      <c r="Q482" s="107"/>
      <c r="R482" s="107"/>
      <c r="S482" s="107"/>
      <c r="T482" s="107"/>
      <c r="U482" s="107"/>
      <c r="V482" s="107"/>
      <c r="W482" s="107"/>
      <c r="X482" s="107"/>
      <c r="Y482" s="107"/>
      <c r="Z482" s="107"/>
      <c r="AA482" s="107"/>
      <c r="AB482" s="107"/>
      <c r="AC482" s="107"/>
      <c r="AD482" s="107"/>
    </row>
    <row r="483">
      <c r="A483" s="107"/>
      <c r="B483" s="107"/>
      <c r="C483" s="148"/>
      <c r="D483" s="15"/>
      <c r="E483" s="149"/>
      <c r="F483" s="137"/>
      <c r="G483" s="137"/>
      <c r="H483" s="137"/>
      <c r="I483" s="144"/>
      <c r="J483" s="107"/>
      <c r="K483" s="107"/>
      <c r="L483" s="107"/>
      <c r="M483" s="107"/>
      <c r="N483" s="107"/>
      <c r="O483" s="107"/>
      <c r="P483" s="107"/>
      <c r="Q483" s="107"/>
      <c r="R483" s="107"/>
      <c r="S483" s="107"/>
      <c r="T483" s="107"/>
      <c r="U483" s="107"/>
      <c r="V483" s="107"/>
      <c r="W483" s="107"/>
      <c r="X483" s="107"/>
      <c r="Y483" s="107"/>
      <c r="Z483" s="107"/>
      <c r="AA483" s="107"/>
      <c r="AB483" s="107"/>
      <c r="AC483" s="107"/>
      <c r="AD483" s="107"/>
    </row>
    <row r="484">
      <c r="A484" s="107"/>
      <c r="B484" s="107"/>
      <c r="C484" s="148"/>
      <c r="D484" s="15"/>
      <c r="E484" s="149"/>
      <c r="F484" s="137"/>
      <c r="G484" s="137"/>
      <c r="H484" s="137"/>
      <c r="I484" s="144"/>
      <c r="J484" s="107"/>
      <c r="K484" s="107"/>
      <c r="L484" s="107"/>
      <c r="M484" s="107"/>
      <c r="N484" s="107"/>
      <c r="O484" s="107"/>
      <c r="P484" s="107"/>
      <c r="Q484" s="107"/>
      <c r="R484" s="107"/>
      <c r="S484" s="107"/>
      <c r="T484" s="107"/>
      <c r="U484" s="107"/>
      <c r="V484" s="107"/>
      <c r="W484" s="107"/>
      <c r="X484" s="107"/>
      <c r="Y484" s="107"/>
      <c r="Z484" s="107"/>
      <c r="AA484" s="107"/>
      <c r="AB484" s="107"/>
      <c r="AC484" s="107"/>
      <c r="AD484" s="107"/>
    </row>
    <row r="485">
      <c r="A485" s="107"/>
      <c r="B485" s="107"/>
      <c r="C485" s="148"/>
      <c r="D485" s="15"/>
      <c r="E485" s="149"/>
      <c r="F485" s="137"/>
      <c r="G485" s="137"/>
      <c r="H485" s="137"/>
      <c r="I485" s="144"/>
      <c r="J485" s="107"/>
      <c r="K485" s="107"/>
      <c r="L485" s="107"/>
      <c r="M485" s="107"/>
      <c r="N485" s="107"/>
      <c r="O485" s="107"/>
      <c r="P485" s="107"/>
      <c r="Q485" s="107"/>
      <c r="R485" s="107"/>
      <c r="S485" s="107"/>
      <c r="T485" s="107"/>
      <c r="U485" s="107"/>
      <c r="V485" s="107"/>
      <c r="W485" s="107"/>
      <c r="X485" s="107"/>
      <c r="Y485" s="107"/>
      <c r="Z485" s="107"/>
      <c r="AA485" s="107"/>
      <c r="AB485" s="107"/>
      <c r="AC485" s="107"/>
      <c r="AD485" s="107"/>
    </row>
    <row r="486">
      <c r="A486" s="107"/>
      <c r="B486" s="107"/>
      <c r="C486" s="148"/>
      <c r="D486" s="15"/>
      <c r="E486" s="149"/>
      <c r="F486" s="137"/>
      <c r="G486" s="137"/>
      <c r="H486" s="137"/>
      <c r="I486" s="144"/>
      <c r="J486" s="107"/>
      <c r="K486" s="107"/>
      <c r="L486" s="107"/>
      <c r="M486" s="107"/>
      <c r="N486" s="107"/>
      <c r="O486" s="107"/>
      <c r="P486" s="107"/>
      <c r="Q486" s="107"/>
      <c r="R486" s="107"/>
      <c r="S486" s="107"/>
      <c r="T486" s="107"/>
      <c r="U486" s="107"/>
      <c r="V486" s="107"/>
      <c r="W486" s="107"/>
      <c r="X486" s="107"/>
      <c r="Y486" s="107"/>
      <c r="Z486" s="107"/>
      <c r="AA486" s="107"/>
      <c r="AB486" s="107"/>
      <c r="AC486" s="107"/>
      <c r="AD486" s="107"/>
    </row>
    <row r="487">
      <c r="A487" s="107"/>
      <c r="B487" s="107"/>
      <c r="C487" s="148"/>
      <c r="D487" s="15"/>
      <c r="E487" s="149"/>
      <c r="F487" s="137"/>
      <c r="G487" s="137"/>
      <c r="H487" s="137"/>
      <c r="I487" s="144"/>
      <c r="J487" s="107"/>
      <c r="K487" s="107"/>
      <c r="L487" s="107"/>
      <c r="M487" s="107"/>
      <c r="N487" s="107"/>
      <c r="O487" s="107"/>
      <c r="P487" s="107"/>
      <c r="Q487" s="107"/>
      <c r="R487" s="107"/>
      <c r="S487" s="107"/>
      <c r="T487" s="107"/>
      <c r="U487" s="107"/>
      <c r="V487" s="107"/>
      <c r="W487" s="107"/>
      <c r="X487" s="107"/>
      <c r="Y487" s="107"/>
      <c r="Z487" s="107"/>
      <c r="AA487" s="107"/>
      <c r="AB487" s="107"/>
      <c r="AC487" s="107"/>
      <c r="AD487" s="107"/>
    </row>
    <row r="488">
      <c r="A488" s="107"/>
      <c r="B488" s="107"/>
      <c r="C488" s="148"/>
      <c r="D488" s="15"/>
      <c r="E488" s="149"/>
      <c r="F488" s="137"/>
      <c r="G488" s="137"/>
      <c r="H488" s="137"/>
      <c r="I488" s="144"/>
      <c r="J488" s="107"/>
      <c r="K488" s="107"/>
      <c r="L488" s="107"/>
      <c r="M488" s="107"/>
      <c r="N488" s="107"/>
      <c r="O488" s="107"/>
      <c r="P488" s="107"/>
      <c r="Q488" s="107"/>
      <c r="R488" s="107"/>
      <c r="S488" s="107"/>
      <c r="T488" s="107"/>
      <c r="U488" s="107"/>
      <c r="V488" s="107"/>
      <c r="W488" s="107"/>
      <c r="X488" s="107"/>
      <c r="Y488" s="107"/>
      <c r="Z488" s="107"/>
      <c r="AA488" s="107"/>
      <c r="AB488" s="107"/>
      <c r="AC488" s="107"/>
      <c r="AD488" s="107"/>
    </row>
    <row r="489">
      <c r="A489" s="107"/>
      <c r="B489" s="107"/>
      <c r="C489" s="148"/>
      <c r="D489" s="15"/>
      <c r="E489" s="149"/>
      <c r="F489" s="137"/>
      <c r="G489" s="137"/>
      <c r="H489" s="137"/>
      <c r="I489" s="144"/>
      <c r="J489" s="107"/>
      <c r="K489" s="107"/>
      <c r="L489" s="107"/>
      <c r="M489" s="107"/>
      <c r="N489" s="107"/>
      <c r="O489" s="107"/>
      <c r="P489" s="107"/>
      <c r="Q489" s="107"/>
      <c r="R489" s="107"/>
      <c r="S489" s="107"/>
      <c r="T489" s="107"/>
      <c r="U489" s="107"/>
      <c r="V489" s="107"/>
      <c r="W489" s="107"/>
      <c r="X489" s="107"/>
      <c r="Y489" s="107"/>
      <c r="Z489" s="107"/>
      <c r="AA489" s="107"/>
      <c r="AB489" s="107"/>
      <c r="AC489" s="107"/>
      <c r="AD489" s="107"/>
    </row>
    <row r="490">
      <c r="A490" s="107"/>
      <c r="B490" s="107"/>
      <c r="C490" s="148"/>
      <c r="D490" s="15"/>
      <c r="E490" s="149"/>
      <c r="F490" s="137"/>
      <c r="G490" s="137"/>
      <c r="H490" s="137"/>
      <c r="I490" s="144"/>
      <c r="J490" s="107"/>
      <c r="K490" s="107"/>
      <c r="L490" s="107"/>
      <c r="M490" s="107"/>
      <c r="N490" s="107"/>
      <c r="O490" s="107"/>
      <c r="P490" s="107"/>
      <c r="Q490" s="107"/>
      <c r="R490" s="107"/>
      <c r="S490" s="107"/>
      <c r="T490" s="107"/>
      <c r="U490" s="107"/>
      <c r="V490" s="107"/>
      <c r="W490" s="107"/>
      <c r="X490" s="107"/>
      <c r="Y490" s="107"/>
      <c r="Z490" s="107"/>
      <c r="AA490" s="107"/>
      <c r="AB490" s="107"/>
      <c r="AC490" s="107"/>
      <c r="AD490" s="107"/>
    </row>
    <row r="491">
      <c r="A491" s="107"/>
      <c r="B491" s="107"/>
      <c r="C491" s="148"/>
      <c r="D491" s="15"/>
      <c r="E491" s="149"/>
      <c r="F491" s="137"/>
      <c r="G491" s="137"/>
      <c r="H491" s="137"/>
      <c r="I491" s="144"/>
      <c r="J491" s="107"/>
      <c r="K491" s="107"/>
      <c r="L491" s="107"/>
      <c r="M491" s="107"/>
      <c r="N491" s="107"/>
      <c r="O491" s="107"/>
      <c r="P491" s="107"/>
      <c r="Q491" s="107"/>
      <c r="R491" s="107"/>
      <c r="S491" s="107"/>
      <c r="T491" s="107"/>
      <c r="U491" s="107"/>
      <c r="V491" s="107"/>
      <c r="W491" s="107"/>
      <c r="X491" s="107"/>
      <c r="Y491" s="107"/>
      <c r="Z491" s="107"/>
      <c r="AA491" s="107"/>
      <c r="AB491" s="107"/>
      <c r="AC491" s="107"/>
      <c r="AD491" s="107"/>
    </row>
    <row r="492">
      <c r="A492" s="107"/>
      <c r="B492" s="107"/>
      <c r="C492" s="148"/>
      <c r="D492" s="15"/>
      <c r="E492" s="149"/>
      <c r="F492" s="137"/>
      <c r="G492" s="137"/>
      <c r="H492" s="137"/>
      <c r="I492" s="144"/>
      <c r="J492" s="107"/>
      <c r="K492" s="107"/>
      <c r="L492" s="107"/>
      <c r="M492" s="107"/>
      <c r="N492" s="107"/>
      <c r="O492" s="107"/>
      <c r="P492" s="107"/>
      <c r="Q492" s="107"/>
      <c r="R492" s="107"/>
      <c r="S492" s="107"/>
      <c r="T492" s="107"/>
      <c r="U492" s="107"/>
      <c r="V492" s="107"/>
      <c r="W492" s="107"/>
      <c r="X492" s="107"/>
      <c r="Y492" s="107"/>
      <c r="Z492" s="107"/>
      <c r="AA492" s="107"/>
      <c r="AB492" s="107"/>
      <c r="AC492" s="107"/>
      <c r="AD492" s="107"/>
    </row>
    <row r="493">
      <c r="A493" s="107"/>
      <c r="B493" s="107"/>
      <c r="C493" s="148"/>
      <c r="D493" s="15"/>
      <c r="E493" s="149"/>
      <c r="F493" s="137"/>
      <c r="G493" s="137"/>
      <c r="H493" s="137"/>
      <c r="I493" s="144"/>
      <c r="J493" s="107"/>
      <c r="K493" s="107"/>
      <c r="L493" s="107"/>
      <c r="M493" s="107"/>
      <c r="N493" s="107"/>
      <c r="O493" s="107"/>
      <c r="P493" s="107"/>
      <c r="Q493" s="107"/>
      <c r="R493" s="107"/>
      <c r="S493" s="107"/>
      <c r="T493" s="107"/>
      <c r="U493" s="107"/>
      <c r="V493" s="107"/>
      <c r="W493" s="107"/>
      <c r="X493" s="107"/>
      <c r="Y493" s="107"/>
      <c r="Z493" s="107"/>
      <c r="AA493" s="107"/>
      <c r="AB493" s="107"/>
      <c r="AC493" s="107"/>
      <c r="AD493" s="107"/>
    </row>
    <row r="494">
      <c r="A494" s="107"/>
      <c r="B494" s="107"/>
      <c r="C494" s="148"/>
      <c r="D494" s="15"/>
      <c r="E494" s="149"/>
      <c r="F494" s="137"/>
      <c r="G494" s="137"/>
      <c r="H494" s="137"/>
      <c r="I494" s="144"/>
      <c r="J494" s="107"/>
      <c r="K494" s="107"/>
      <c r="L494" s="107"/>
      <c r="M494" s="107"/>
      <c r="N494" s="107"/>
      <c r="O494" s="107"/>
      <c r="P494" s="107"/>
      <c r="Q494" s="107"/>
      <c r="R494" s="107"/>
      <c r="S494" s="107"/>
      <c r="T494" s="107"/>
      <c r="U494" s="107"/>
      <c r="V494" s="107"/>
      <c r="W494" s="107"/>
      <c r="X494" s="107"/>
      <c r="Y494" s="107"/>
      <c r="Z494" s="107"/>
      <c r="AA494" s="107"/>
      <c r="AB494" s="107"/>
      <c r="AC494" s="107"/>
      <c r="AD494" s="107"/>
    </row>
    <row r="495">
      <c r="A495" s="107"/>
      <c r="B495" s="107"/>
      <c r="C495" s="148"/>
      <c r="D495" s="15"/>
      <c r="E495" s="149"/>
      <c r="F495" s="137"/>
      <c r="G495" s="137"/>
      <c r="H495" s="137"/>
      <c r="I495" s="144"/>
      <c r="J495" s="107"/>
      <c r="K495" s="107"/>
      <c r="L495" s="107"/>
      <c r="M495" s="107"/>
      <c r="N495" s="107"/>
      <c r="O495" s="107"/>
      <c r="P495" s="107"/>
      <c r="Q495" s="107"/>
      <c r="R495" s="107"/>
      <c r="S495" s="107"/>
      <c r="T495" s="107"/>
      <c r="U495" s="107"/>
      <c r="V495" s="107"/>
      <c r="W495" s="107"/>
      <c r="X495" s="107"/>
      <c r="Y495" s="107"/>
      <c r="Z495" s="107"/>
      <c r="AA495" s="107"/>
      <c r="AB495" s="107"/>
      <c r="AC495" s="107"/>
      <c r="AD495" s="107"/>
    </row>
    <row r="496">
      <c r="A496" s="107"/>
      <c r="B496" s="107"/>
      <c r="C496" s="148"/>
      <c r="D496" s="15"/>
      <c r="E496" s="149"/>
      <c r="F496" s="137"/>
      <c r="G496" s="137"/>
      <c r="H496" s="137"/>
      <c r="I496" s="144"/>
      <c r="J496" s="107"/>
      <c r="K496" s="107"/>
      <c r="L496" s="107"/>
      <c r="M496" s="107"/>
      <c r="N496" s="107"/>
      <c r="O496" s="107"/>
      <c r="P496" s="107"/>
      <c r="Q496" s="107"/>
      <c r="R496" s="107"/>
      <c r="S496" s="107"/>
      <c r="T496" s="107"/>
      <c r="U496" s="107"/>
      <c r="V496" s="107"/>
      <c r="W496" s="107"/>
      <c r="X496" s="107"/>
      <c r="Y496" s="107"/>
      <c r="Z496" s="107"/>
      <c r="AA496" s="107"/>
      <c r="AB496" s="107"/>
      <c r="AC496" s="107"/>
      <c r="AD496" s="107"/>
    </row>
    <row r="497">
      <c r="A497" s="107"/>
      <c r="B497" s="107"/>
      <c r="C497" s="148"/>
      <c r="D497" s="15"/>
      <c r="E497" s="149"/>
      <c r="F497" s="137"/>
      <c r="G497" s="137"/>
      <c r="H497" s="137"/>
      <c r="I497" s="144"/>
      <c r="J497" s="107"/>
      <c r="K497" s="107"/>
      <c r="L497" s="107"/>
      <c r="M497" s="107"/>
      <c r="N497" s="107"/>
      <c r="O497" s="107"/>
      <c r="P497" s="107"/>
      <c r="Q497" s="107"/>
      <c r="R497" s="107"/>
      <c r="S497" s="107"/>
      <c r="T497" s="107"/>
      <c r="U497" s="107"/>
      <c r="V497" s="107"/>
      <c r="W497" s="107"/>
      <c r="X497" s="107"/>
      <c r="Y497" s="107"/>
      <c r="Z497" s="107"/>
      <c r="AA497" s="107"/>
      <c r="AB497" s="107"/>
      <c r="AC497" s="107"/>
      <c r="AD497" s="107"/>
    </row>
    <row r="498">
      <c r="A498" s="107"/>
      <c r="B498" s="107"/>
      <c r="C498" s="148"/>
      <c r="D498" s="15"/>
      <c r="E498" s="149"/>
      <c r="F498" s="137"/>
      <c r="G498" s="137"/>
      <c r="H498" s="137"/>
      <c r="I498" s="144"/>
      <c r="J498" s="107"/>
      <c r="K498" s="107"/>
      <c r="L498" s="107"/>
      <c r="M498" s="107"/>
      <c r="N498" s="107"/>
      <c r="O498" s="107"/>
      <c r="P498" s="107"/>
      <c r="Q498" s="107"/>
      <c r="R498" s="107"/>
      <c r="S498" s="107"/>
      <c r="T498" s="107"/>
      <c r="U498" s="107"/>
      <c r="V498" s="107"/>
      <c r="W498" s="107"/>
      <c r="X498" s="107"/>
      <c r="Y498" s="107"/>
      <c r="Z498" s="107"/>
      <c r="AA498" s="107"/>
      <c r="AB498" s="107"/>
      <c r="AC498" s="107"/>
      <c r="AD498" s="107"/>
    </row>
    <row r="499">
      <c r="A499" s="107"/>
      <c r="B499" s="107"/>
      <c r="C499" s="148"/>
      <c r="D499" s="15"/>
      <c r="E499" s="149"/>
      <c r="F499" s="137"/>
      <c r="G499" s="137"/>
      <c r="H499" s="137"/>
      <c r="I499" s="144"/>
      <c r="J499" s="107"/>
      <c r="K499" s="107"/>
      <c r="L499" s="107"/>
      <c r="M499" s="107"/>
      <c r="N499" s="107"/>
      <c r="O499" s="107"/>
      <c r="P499" s="107"/>
      <c r="Q499" s="107"/>
      <c r="R499" s="107"/>
      <c r="S499" s="107"/>
      <c r="T499" s="107"/>
      <c r="U499" s="107"/>
      <c r="V499" s="107"/>
      <c r="W499" s="107"/>
      <c r="X499" s="107"/>
      <c r="Y499" s="107"/>
      <c r="Z499" s="107"/>
      <c r="AA499" s="107"/>
      <c r="AB499" s="107"/>
      <c r="AC499" s="107"/>
      <c r="AD499" s="107"/>
    </row>
    <row r="500">
      <c r="A500" s="107"/>
      <c r="B500" s="107"/>
      <c r="C500" s="148"/>
      <c r="D500" s="15"/>
      <c r="E500" s="149"/>
      <c r="F500" s="137"/>
      <c r="G500" s="137"/>
      <c r="H500" s="137"/>
      <c r="I500" s="144"/>
      <c r="J500" s="107"/>
      <c r="K500" s="107"/>
      <c r="L500" s="107"/>
      <c r="M500" s="107"/>
      <c r="N500" s="107"/>
      <c r="O500" s="107"/>
      <c r="P500" s="107"/>
      <c r="Q500" s="107"/>
      <c r="R500" s="107"/>
      <c r="S500" s="107"/>
      <c r="T500" s="107"/>
      <c r="U500" s="107"/>
      <c r="V500" s="107"/>
      <c r="W500" s="107"/>
      <c r="X500" s="107"/>
      <c r="Y500" s="107"/>
      <c r="Z500" s="107"/>
      <c r="AA500" s="107"/>
      <c r="AB500" s="107"/>
      <c r="AC500" s="107"/>
      <c r="AD500" s="107"/>
    </row>
    <row r="501">
      <c r="A501" s="107"/>
      <c r="B501" s="107"/>
      <c r="C501" s="148"/>
      <c r="D501" s="15"/>
      <c r="E501" s="149"/>
      <c r="F501" s="137"/>
      <c r="G501" s="137"/>
      <c r="H501" s="137"/>
      <c r="I501" s="144"/>
      <c r="J501" s="107"/>
      <c r="K501" s="107"/>
      <c r="L501" s="107"/>
      <c r="M501" s="107"/>
      <c r="N501" s="107"/>
      <c r="O501" s="107"/>
      <c r="P501" s="107"/>
      <c r="Q501" s="107"/>
      <c r="R501" s="107"/>
      <c r="S501" s="107"/>
      <c r="T501" s="107"/>
      <c r="U501" s="107"/>
      <c r="V501" s="107"/>
      <c r="W501" s="107"/>
      <c r="X501" s="107"/>
      <c r="Y501" s="107"/>
      <c r="Z501" s="107"/>
      <c r="AA501" s="107"/>
      <c r="AB501" s="107"/>
      <c r="AC501" s="107"/>
      <c r="AD501" s="107"/>
    </row>
    <row r="502">
      <c r="A502" s="107"/>
      <c r="B502" s="107"/>
      <c r="C502" s="148"/>
      <c r="D502" s="15"/>
      <c r="E502" s="149"/>
      <c r="F502" s="137"/>
      <c r="G502" s="137"/>
      <c r="H502" s="137"/>
      <c r="I502" s="144"/>
      <c r="J502" s="107"/>
      <c r="K502" s="107"/>
      <c r="L502" s="107"/>
      <c r="M502" s="107"/>
      <c r="N502" s="107"/>
      <c r="O502" s="107"/>
      <c r="P502" s="107"/>
      <c r="Q502" s="107"/>
      <c r="R502" s="107"/>
      <c r="S502" s="107"/>
      <c r="T502" s="107"/>
      <c r="U502" s="107"/>
      <c r="V502" s="107"/>
      <c r="W502" s="107"/>
      <c r="X502" s="107"/>
      <c r="Y502" s="107"/>
      <c r="Z502" s="107"/>
      <c r="AA502" s="107"/>
      <c r="AB502" s="107"/>
      <c r="AC502" s="107"/>
      <c r="AD502" s="107"/>
    </row>
    <row r="503">
      <c r="A503" s="107"/>
      <c r="B503" s="107"/>
      <c r="C503" s="148"/>
      <c r="D503" s="15"/>
      <c r="E503" s="149"/>
      <c r="F503" s="137"/>
      <c r="G503" s="137"/>
      <c r="H503" s="137"/>
      <c r="I503" s="144"/>
      <c r="J503" s="107"/>
      <c r="K503" s="107"/>
      <c r="L503" s="107"/>
      <c r="M503" s="107"/>
      <c r="N503" s="107"/>
      <c r="O503" s="107"/>
      <c r="P503" s="107"/>
      <c r="Q503" s="107"/>
      <c r="R503" s="107"/>
      <c r="S503" s="107"/>
      <c r="T503" s="107"/>
      <c r="U503" s="107"/>
      <c r="V503" s="107"/>
      <c r="W503" s="107"/>
      <c r="X503" s="107"/>
      <c r="Y503" s="107"/>
      <c r="Z503" s="107"/>
      <c r="AA503" s="107"/>
      <c r="AB503" s="107"/>
      <c r="AC503" s="107"/>
      <c r="AD503" s="107"/>
    </row>
    <row r="504">
      <c r="A504" s="107"/>
      <c r="B504" s="107"/>
      <c r="C504" s="148"/>
      <c r="D504" s="15"/>
      <c r="E504" s="149"/>
      <c r="F504" s="137"/>
      <c r="G504" s="137"/>
      <c r="H504" s="137"/>
      <c r="I504" s="144"/>
      <c r="J504" s="107"/>
      <c r="K504" s="107"/>
      <c r="L504" s="107"/>
      <c r="M504" s="107"/>
      <c r="N504" s="107"/>
      <c r="O504" s="107"/>
      <c r="P504" s="107"/>
      <c r="Q504" s="107"/>
      <c r="R504" s="107"/>
      <c r="S504" s="107"/>
      <c r="T504" s="107"/>
      <c r="U504" s="107"/>
      <c r="V504" s="107"/>
      <c r="W504" s="107"/>
      <c r="X504" s="107"/>
      <c r="Y504" s="107"/>
      <c r="Z504" s="107"/>
      <c r="AA504" s="107"/>
      <c r="AB504" s="107"/>
      <c r="AC504" s="107"/>
      <c r="AD504" s="107"/>
    </row>
    <row r="505">
      <c r="A505" s="107"/>
      <c r="B505" s="107"/>
      <c r="C505" s="148"/>
      <c r="D505" s="15"/>
      <c r="E505" s="149"/>
      <c r="F505" s="137"/>
      <c r="G505" s="137"/>
      <c r="H505" s="137"/>
      <c r="I505" s="144"/>
      <c r="J505" s="107"/>
      <c r="K505" s="107"/>
      <c r="L505" s="107"/>
      <c r="M505" s="107"/>
      <c r="N505" s="107"/>
      <c r="O505" s="107"/>
      <c r="P505" s="107"/>
      <c r="Q505" s="107"/>
      <c r="R505" s="107"/>
      <c r="S505" s="107"/>
      <c r="T505" s="107"/>
      <c r="U505" s="107"/>
      <c r="V505" s="107"/>
      <c r="W505" s="107"/>
      <c r="X505" s="107"/>
      <c r="Y505" s="107"/>
      <c r="Z505" s="107"/>
      <c r="AA505" s="107"/>
      <c r="AB505" s="107"/>
      <c r="AC505" s="107"/>
      <c r="AD505" s="107"/>
    </row>
    <row r="506">
      <c r="A506" s="107"/>
      <c r="B506" s="107"/>
      <c r="C506" s="148"/>
      <c r="D506" s="15"/>
      <c r="E506" s="149"/>
      <c r="F506" s="137"/>
      <c r="G506" s="137"/>
      <c r="H506" s="137"/>
      <c r="I506" s="144"/>
      <c r="J506" s="107"/>
      <c r="K506" s="107"/>
      <c r="L506" s="107"/>
      <c r="M506" s="107"/>
      <c r="N506" s="107"/>
      <c r="O506" s="107"/>
      <c r="P506" s="107"/>
      <c r="Q506" s="107"/>
      <c r="R506" s="107"/>
      <c r="S506" s="107"/>
      <c r="T506" s="107"/>
      <c r="U506" s="107"/>
      <c r="V506" s="107"/>
      <c r="W506" s="107"/>
      <c r="X506" s="107"/>
      <c r="Y506" s="107"/>
      <c r="Z506" s="107"/>
      <c r="AA506" s="107"/>
      <c r="AB506" s="107"/>
      <c r="AC506" s="107"/>
      <c r="AD506" s="107"/>
    </row>
    <row r="507">
      <c r="A507" s="107"/>
      <c r="B507" s="107"/>
      <c r="C507" s="148"/>
      <c r="D507" s="15"/>
      <c r="E507" s="149"/>
      <c r="F507" s="137"/>
      <c r="G507" s="137"/>
      <c r="H507" s="137"/>
      <c r="I507" s="144"/>
      <c r="J507" s="107"/>
      <c r="K507" s="107"/>
      <c r="L507" s="107"/>
      <c r="M507" s="107"/>
      <c r="N507" s="107"/>
      <c r="O507" s="107"/>
      <c r="P507" s="107"/>
      <c r="Q507" s="107"/>
      <c r="R507" s="107"/>
      <c r="S507" s="107"/>
      <c r="T507" s="107"/>
      <c r="U507" s="107"/>
      <c r="V507" s="107"/>
      <c r="W507" s="107"/>
      <c r="X507" s="107"/>
      <c r="Y507" s="107"/>
      <c r="Z507" s="107"/>
      <c r="AA507" s="107"/>
      <c r="AB507" s="107"/>
      <c r="AC507" s="107"/>
      <c r="AD507" s="107"/>
    </row>
    <row r="508">
      <c r="A508" s="107"/>
      <c r="B508" s="107"/>
      <c r="C508" s="148"/>
      <c r="D508" s="15"/>
      <c r="E508" s="149"/>
      <c r="F508" s="137"/>
      <c r="G508" s="137"/>
      <c r="H508" s="137"/>
      <c r="I508" s="144"/>
      <c r="J508" s="107"/>
      <c r="K508" s="107"/>
      <c r="L508" s="107"/>
      <c r="M508" s="107"/>
      <c r="N508" s="107"/>
      <c r="O508" s="107"/>
      <c r="P508" s="107"/>
      <c r="Q508" s="107"/>
      <c r="R508" s="107"/>
      <c r="S508" s="107"/>
      <c r="T508" s="107"/>
      <c r="U508" s="107"/>
      <c r="V508" s="107"/>
      <c r="W508" s="107"/>
      <c r="X508" s="107"/>
      <c r="Y508" s="107"/>
      <c r="Z508" s="107"/>
      <c r="AA508" s="107"/>
      <c r="AB508" s="107"/>
      <c r="AC508" s="107"/>
      <c r="AD508" s="107"/>
    </row>
    <row r="509">
      <c r="A509" s="107"/>
      <c r="B509" s="107"/>
      <c r="C509" s="148"/>
      <c r="D509" s="15"/>
      <c r="E509" s="149"/>
      <c r="F509" s="137"/>
      <c r="G509" s="137"/>
      <c r="H509" s="137"/>
      <c r="I509" s="144"/>
      <c r="J509" s="107"/>
      <c r="K509" s="107"/>
      <c r="L509" s="107"/>
      <c r="M509" s="107"/>
      <c r="N509" s="107"/>
      <c r="O509" s="107"/>
      <c r="P509" s="107"/>
      <c r="Q509" s="107"/>
      <c r="R509" s="107"/>
      <c r="S509" s="107"/>
      <c r="T509" s="107"/>
      <c r="U509" s="107"/>
      <c r="V509" s="107"/>
      <c r="W509" s="107"/>
      <c r="X509" s="107"/>
      <c r="Y509" s="107"/>
      <c r="Z509" s="107"/>
      <c r="AA509" s="107"/>
      <c r="AB509" s="107"/>
      <c r="AC509" s="107"/>
      <c r="AD509" s="107"/>
    </row>
    <row r="510">
      <c r="A510" s="107"/>
      <c r="B510" s="107"/>
      <c r="C510" s="148"/>
      <c r="D510" s="15"/>
      <c r="E510" s="149"/>
      <c r="F510" s="137"/>
      <c r="G510" s="137"/>
      <c r="H510" s="137"/>
      <c r="I510" s="144"/>
      <c r="J510" s="107"/>
      <c r="K510" s="107"/>
      <c r="L510" s="107"/>
      <c r="M510" s="107"/>
      <c r="N510" s="107"/>
      <c r="O510" s="107"/>
      <c r="P510" s="107"/>
      <c r="Q510" s="107"/>
      <c r="R510" s="107"/>
      <c r="S510" s="107"/>
      <c r="T510" s="107"/>
      <c r="U510" s="107"/>
      <c r="V510" s="107"/>
      <c r="W510" s="107"/>
      <c r="X510" s="107"/>
      <c r="Y510" s="107"/>
      <c r="Z510" s="107"/>
      <c r="AA510" s="107"/>
      <c r="AB510" s="107"/>
      <c r="AC510" s="107"/>
      <c r="AD510" s="107"/>
    </row>
    <row r="511">
      <c r="A511" s="107"/>
      <c r="B511" s="107"/>
      <c r="C511" s="148"/>
      <c r="D511" s="15"/>
      <c r="E511" s="149"/>
      <c r="F511" s="137"/>
      <c r="G511" s="137"/>
      <c r="H511" s="137"/>
      <c r="I511" s="144"/>
      <c r="J511" s="107"/>
      <c r="K511" s="107"/>
      <c r="L511" s="107"/>
      <c r="M511" s="107"/>
      <c r="N511" s="107"/>
      <c r="O511" s="107"/>
      <c r="P511" s="107"/>
      <c r="Q511" s="107"/>
      <c r="R511" s="107"/>
      <c r="S511" s="107"/>
      <c r="T511" s="107"/>
      <c r="U511" s="107"/>
      <c r="V511" s="107"/>
      <c r="W511" s="107"/>
      <c r="X511" s="107"/>
      <c r="Y511" s="107"/>
      <c r="Z511" s="107"/>
      <c r="AA511" s="107"/>
      <c r="AB511" s="107"/>
      <c r="AC511" s="107"/>
      <c r="AD511" s="107"/>
    </row>
    <row r="512">
      <c r="A512" s="107"/>
      <c r="B512" s="107"/>
      <c r="C512" s="148"/>
      <c r="D512" s="15"/>
      <c r="E512" s="149"/>
      <c r="F512" s="137"/>
      <c r="G512" s="137"/>
      <c r="H512" s="137"/>
      <c r="I512" s="144"/>
      <c r="J512" s="107"/>
      <c r="K512" s="107"/>
      <c r="L512" s="107"/>
      <c r="M512" s="107"/>
      <c r="N512" s="107"/>
      <c r="O512" s="107"/>
      <c r="P512" s="107"/>
      <c r="Q512" s="107"/>
      <c r="R512" s="107"/>
      <c r="S512" s="107"/>
      <c r="T512" s="107"/>
      <c r="U512" s="107"/>
      <c r="V512" s="107"/>
      <c r="W512" s="107"/>
      <c r="X512" s="107"/>
      <c r="Y512" s="107"/>
      <c r="Z512" s="107"/>
      <c r="AA512" s="107"/>
      <c r="AB512" s="107"/>
      <c r="AC512" s="107"/>
      <c r="AD512" s="107"/>
    </row>
    <row r="513">
      <c r="A513" s="107"/>
      <c r="B513" s="107"/>
      <c r="C513" s="148"/>
      <c r="D513" s="15"/>
      <c r="E513" s="149"/>
      <c r="F513" s="137"/>
      <c r="G513" s="137"/>
      <c r="H513" s="137"/>
      <c r="I513" s="144"/>
      <c r="J513" s="107"/>
      <c r="K513" s="107"/>
      <c r="L513" s="107"/>
      <c r="M513" s="107"/>
      <c r="N513" s="107"/>
      <c r="O513" s="107"/>
      <c r="P513" s="107"/>
      <c r="Q513" s="107"/>
      <c r="R513" s="107"/>
      <c r="S513" s="107"/>
      <c r="T513" s="107"/>
      <c r="U513" s="107"/>
      <c r="V513" s="107"/>
      <c r="W513" s="107"/>
      <c r="X513" s="107"/>
      <c r="Y513" s="107"/>
      <c r="Z513" s="107"/>
      <c r="AA513" s="107"/>
      <c r="AB513" s="107"/>
      <c r="AC513" s="107"/>
      <c r="AD513" s="107"/>
    </row>
    <row r="514">
      <c r="A514" s="107"/>
      <c r="B514" s="107"/>
      <c r="C514" s="148"/>
      <c r="D514" s="15"/>
      <c r="E514" s="149"/>
      <c r="F514" s="137"/>
      <c r="G514" s="137"/>
      <c r="H514" s="137"/>
      <c r="I514" s="144"/>
      <c r="J514" s="107"/>
      <c r="K514" s="107"/>
      <c r="L514" s="107"/>
      <c r="M514" s="107"/>
      <c r="N514" s="107"/>
      <c r="O514" s="107"/>
      <c r="P514" s="107"/>
      <c r="Q514" s="107"/>
      <c r="R514" s="107"/>
      <c r="S514" s="107"/>
      <c r="T514" s="107"/>
      <c r="U514" s="107"/>
      <c r="V514" s="107"/>
      <c r="W514" s="107"/>
      <c r="X514" s="107"/>
      <c r="Y514" s="107"/>
      <c r="Z514" s="107"/>
      <c r="AA514" s="107"/>
      <c r="AB514" s="107"/>
      <c r="AC514" s="107"/>
      <c r="AD514" s="107"/>
    </row>
    <row r="515">
      <c r="A515" s="107"/>
      <c r="B515" s="107"/>
      <c r="C515" s="148"/>
      <c r="D515" s="15"/>
      <c r="E515" s="149"/>
      <c r="F515" s="137"/>
      <c r="G515" s="137"/>
      <c r="H515" s="137"/>
      <c r="I515" s="144"/>
      <c r="J515" s="107"/>
      <c r="K515" s="107"/>
      <c r="L515" s="107"/>
      <c r="M515" s="107"/>
      <c r="N515" s="107"/>
      <c r="O515" s="107"/>
      <c r="P515" s="107"/>
      <c r="Q515" s="107"/>
      <c r="R515" s="107"/>
      <c r="S515" s="107"/>
      <c r="T515" s="107"/>
      <c r="U515" s="107"/>
      <c r="V515" s="107"/>
      <c r="W515" s="107"/>
      <c r="X515" s="107"/>
      <c r="Y515" s="107"/>
      <c r="Z515" s="107"/>
      <c r="AA515" s="107"/>
      <c r="AB515" s="107"/>
      <c r="AC515" s="107"/>
      <c r="AD515" s="107"/>
    </row>
    <row r="516">
      <c r="A516" s="107"/>
      <c r="B516" s="107"/>
      <c r="C516" s="148"/>
      <c r="D516" s="15"/>
      <c r="E516" s="149"/>
      <c r="F516" s="137"/>
      <c r="G516" s="137"/>
      <c r="H516" s="137"/>
      <c r="I516" s="144"/>
      <c r="J516" s="107"/>
      <c r="K516" s="107"/>
      <c r="L516" s="107"/>
      <c r="M516" s="107"/>
      <c r="N516" s="107"/>
      <c r="O516" s="107"/>
      <c r="P516" s="107"/>
      <c r="Q516" s="107"/>
      <c r="R516" s="107"/>
      <c r="S516" s="107"/>
      <c r="T516" s="107"/>
      <c r="U516" s="107"/>
      <c r="V516" s="107"/>
      <c r="W516" s="107"/>
      <c r="X516" s="107"/>
      <c r="Y516" s="107"/>
      <c r="Z516" s="107"/>
      <c r="AA516" s="107"/>
      <c r="AB516" s="107"/>
      <c r="AC516" s="107"/>
      <c r="AD516" s="107"/>
    </row>
    <row r="517">
      <c r="A517" s="107"/>
      <c r="B517" s="107"/>
      <c r="C517" s="148"/>
      <c r="D517" s="15"/>
      <c r="E517" s="149"/>
      <c r="F517" s="137"/>
      <c r="G517" s="137"/>
      <c r="H517" s="137"/>
      <c r="I517" s="144"/>
      <c r="J517" s="107"/>
      <c r="K517" s="107"/>
      <c r="L517" s="107"/>
      <c r="M517" s="107"/>
      <c r="N517" s="107"/>
      <c r="O517" s="107"/>
      <c r="P517" s="107"/>
      <c r="Q517" s="107"/>
      <c r="R517" s="107"/>
      <c r="S517" s="107"/>
      <c r="T517" s="107"/>
      <c r="U517" s="107"/>
      <c r="V517" s="107"/>
      <c r="W517" s="107"/>
      <c r="X517" s="107"/>
      <c r="Y517" s="107"/>
      <c r="Z517" s="107"/>
      <c r="AA517" s="107"/>
      <c r="AB517" s="107"/>
      <c r="AC517" s="107"/>
      <c r="AD517" s="107"/>
    </row>
    <row r="518">
      <c r="A518" s="107"/>
      <c r="B518" s="107"/>
      <c r="C518" s="148"/>
      <c r="D518" s="15"/>
      <c r="E518" s="149"/>
      <c r="F518" s="137"/>
      <c r="G518" s="137"/>
      <c r="H518" s="137"/>
      <c r="I518" s="144"/>
      <c r="J518" s="107"/>
      <c r="K518" s="107"/>
      <c r="L518" s="107"/>
      <c r="M518" s="107"/>
      <c r="N518" s="107"/>
      <c r="O518" s="107"/>
      <c r="P518" s="107"/>
      <c r="Q518" s="107"/>
      <c r="R518" s="107"/>
      <c r="S518" s="107"/>
      <c r="T518" s="107"/>
      <c r="U518" s="107"/>
      <c r="V518" s="107"/>
      <c r="W518" s="107"/>
      <c r="X518" s="107"/>
      <c r="Y518" s="107"/>
      <c r="Z518" s="107"/>
      <c r="AA518" s="107"/>
      <c r="AB518" s="107"/>
      <c r="AC518" s="107"/>
      <c r="AD518" s="107"/>
    </row>
    <row r="519">
      <c r="A519" s="107"/>
      <c r="B519" s="107"/>
      <c r="C519" s="148"/>
      <c r="D519" s="15"/>
      <c r="E519" s="149"/>
      <c r="F519" s="137"/>
      <c r="G519" s="137"/>
      <c r="H519" s="137"/>
      <c r="I519" s="144"/>
      <c r="J519" s="107"/>
      <c r="K519" s="107"/>
      <c r="L519" s="107"/>
      <c r="M519" s="107"/>
      <c r="N519" s="107"/>
      <c r="O519" s="107"/>
      <c r="P519" s="107"/>
      <c r="Q519" s="107"/>
      <c r="R519" s="107"/>
      <c r="S519" s="107"/>
      <c r="T519" s="107"/>
      <c r="U519" s="107"/>
      <c r="V519" s="107"/>
      <c r="W519" s="107"/>
      <c r="X519" s="107"/>
      <c r="Y519" s="107"/>
      <c r="Z519" s="107"/>
      <c r="AA519" s="107"/>
      <c r="AB519" s="107"/>
      <c r="AC519" s="107"/>
      <c r="AD519" s="107"/>
    </row>
    <row r="520">
      <c r="A520" s="107"/>
      <c r="B520" s="107"/>
      <c r="C520" s="148"/>
      <c r="D520" s="15"/>
      <c r="E520" s="149"/>
      <c r="F520" s="137"/>
      <c r="G520" s="137"/>
      <c r="H520" s="137"/>
      <c r="I520" s="144"/>
      <c r="J520" s="107"/>
      <c r="K520" s="107"/>
      <c r="L520" s="107"/>
      <c r="M520" s="107"/>
      <c r="N520" s="107"/>
      <c r="O520" s="107"/>
      <c r="P520" s="107"/>
      <c r="Q520" s="107"/>
      <c r="R520" s="107"/>
      <c r="S520" s="107"/>
      <c r="T520" s="107"/>
      <c r="U520" s="107"/>
      <c r="V520" s="107"/>
      <c r="W520" s="107"/>
      <c r="X520" s="107"/>
      <c r="Y520" s="107"/>
      <c r="Z520" s="107"/>
      <c r="AA520" s="107"/>
      <c r="AB520" s="107"/>
      <c r="AC520" s="107"/>
      <c r="AD520" s="107"/>
    </row>
    <row r="521">
      <c r="A521" s="107"/>
      <c r="B521" s="107"/>
      <c r="C521" s="148"/>
      <c r="D521" s="15"/>
      <c r="E521" s="149"/>
      <c r="F521" s="137"/>
      <c r="G521" s="137"/>
      <c r="H521" s="137"/>
      <c r="I521" s="144"/>
      <c r="J521" s="107"/>
      <c r="K521" s="107"/>
      <c r="L521" s="107"/>
      <c r="M521" s="107"/>
      <c r="N521" s="107"/>
      <c r="O521" s="107"/>
      <c r="P521" s="107"/>
      <c r="Q521" s="107"/>
      <c r="R521" s="107"/>
      <c r="S521" s="107"/>
      <c r="T521" s="107"/>
      <c r="U521" s="107"/>
      <c r="V521" s="107"/>
      <c r="W521" s="107"/>
      <c r="X521" s="107"/>
      <c r="Y521" s="107"/>
      <c r="Z521" s="107"/>
      <c r="AA521" s="107"/>
      <c r="AB521" s="107"/>
      <c r="AC521" s="107"/>
      <c r="AD521" s="107"/>
    </row>
    <row r="522">
      <c r="A522" s="107"/>
      <c r="B522" s="107"/>
      <c r="C522" s="148"/>
      <c r="D522" s="15"/>
      <c r="E522" s="149"/>
      <c r="F522" s="137"/>
      <c r="G522" s="137"/>
      <c r="H522" s="137"/>
      <c r="I522" s="144"/>
      <c r="J522" s="107"/>
      <c r="K522" s="107"/>
      <c r="L522" s="107"/>
      <c r="M522" s="107"/>
      <c r="N522" s="107"/>
      <c r="O522" s="107"/>
      <c r="P522" s="107"/>
      <c r="Q522" s="107"/>
      <c r="R522" s="107"/>
      <c r="S522" s="107"/>
      <c r="T522" s="107"/>
      <c r="U522" s="107"/>
      <c r="V522" s="107"/>
      <c r="W522" s="107"/>
      <c r="X522" s="107"/>
      <c r="Y522" s="107"/>
      <c r="Z522" s="107"/>
      <c r="AA522" s="107"/>
      <c r="AB522" s="107"/>
      <c r="AC522" s="107"/>
      <c r="AD522" s="107"/>
    </row>
    <row r="523">
      <c r="A523" s="107"/>
      <c r="B523" s="107"/>
      <c r="C523" s="148"/>
      <c r="D523" s="15"/>
      <c r="E523" s="149"/>
      <c r="F523" s="137"/>
      <c r="G523" s="137"/>
      <c r="H523" s="137"/>
      <c r="I523" s="144"/>
      <c r="J523" s="107"/>
      <c r="K523" s="107"/>
      <c r="L523" s="107"/>
      <c r="M523" s="107"/>
      <c r="N523" s="107"/>
      <c r="O523" s="107"/>
      <c r="P523" s="107"/>
      <c r="Q523" s="107"/>
      <c r="R523" s="107"/>
      <c r="S523" s="107"/>
      <c r="T523" s="107"/>
      <c r="U523" s="107"/>
      <c r="V523" s="107"/>
      <c r="W523" s="107"/>
      <c r="X523" s="107"/>
      <c r="Y523" s="107"/>
      <c r="Z523" s="107"/>
      <c r="AA523" s="107"/>
      <c r="AB523" s="107"/>
      <c r="AC523" s="107"/>
      <c r="AD523" s="107"/>
    </row>
    <row r="524">
      <c r="A524" s="107"/>
      <c r="B524" s="107"/>
      <c r="C524" s="148"/>
      <c r="D524" s="15"/>
      <c r="E524" s="149"/>
      <c r="F524" s="137"/>
      <c r="G524" s="137"/>
      <c r="H524" s="137"/>
      <c r="I524" s="144"/>
      <c r="J524" s="107"/>
      <c r="K524" s="107"/>
      <c r="L524" s="107"/>
      <c r="M524" s="107"/>
      <c r="N524" s="107"/>
      <c r="O524" s="107"/>
      <c r="P524" s="107"/>
      <c r="Q524" s="107"/>
      <c r="R524" s="107"/>
      <c r="S524" s="107"/>
      <c r="T524" s="107"/>
      <c r="U524" s="107"/>
      <c r="V524" s="107"/>
      <c r="W524" s="107"/>
      <c r="X524" s="107"/>
      <c r="Y524" s="107"/>
      <c r="Z524" s="107"/>
      <c r="AA524" s="107"/>
      <c r="AB524" s="107"/>
      <c r="AC524" s="107"/>
      <c r="AD524" s="107"/>
    </row>
    <row r="525">
      <c r="A525" s="107"/>
      <c r="B525" s="107"/>
      <c r="C525" s="148"/>
      <c r="D525" s="15"/>
      <c r="E525" s="149"/>
      <c r="F525" s="137"/>
      <c r="G525" s="137"/>
      <c r="H525" s="137"/>
      <c r="I525" s="144"/>
      <c r="J525" s="107"/>
      <c r="K525" s="107"/>
      <c r="L525" s="107"/>
      <c r="M525" s="107"/>
      <c r="N525" s="107"/>
      <c r="O525" s="107"/>
      <c r="P525" s="107"/>
      <c r="Q525" s="107"/>
      <c r="R525" s="107"/>
      <c r="S525" s="107"/>
      <c r="T525" s="107"/>
      <c r="U525" s="107"/>
      <c r="V525" s="107"/>
      <c r="W525" s="107"/>
      <c r="X525" s="107"/>
      <c r="Y525" s="107"/>
      <c r="Z525" s="107"/>
      <c r="AA525" s="107"/>
      <c r="AB525" s="107"/>
      <c r="AC525" s="107"/>
      <c r="AD525" s="107"/>
    </row>
    <row r="526">
      <c r="A526" s="107"/>
      <c r="B526" s="107"/>
      <c r="C526" s="148"/>
      <c r="D526" s="15"/>
      <c r="E526" s="149"/>
      <c r="F526" s="137"/>
      <c r="G526" s="137"/>
      <c r="H526" s="137"/>
      <c r="I526" s="144"/>
      <c r="J526" s="107"/>
      <c r="K526" s="107"/>
      <c r="L526" s="107"/>
      <c r="M526" s="107"/>
      <c r="N526" s="107"/>
      <c r="O526" s="107"/>
      <c r="P526" s="107"/>
      <c r="Q526" s="107"/>
      <c r="R526" s="107"/>
      <c r="S526" s="107"/>
      <c r="T526" s="107"/>
      <c r="U526" s="107"/>
      <c r="V526" s="107"/>
      <c r="W526" s="107"/>
      <c r="X526" s="107"/>
      <c r="Y526" s="107"/>
      <c r="Z526" s="107"/>
      <c r="AA526" s="107"/>
      <c r="AB526" s="107"/>
      <c r="AC526" s="107"/>
      <c r="AD526" s="107"/>
    </row>
    <row r="527">
      <c r="A527" s="107"/>
      <c r="B527" s="107"/>
      <c r="C527" s="148"/>
      <c r="D527" s="15"/>
      <c r="E527" s="149"/>
      <c r="F527" s="137"/>
      <c r="G527" s="137"/>
      <c r="H527" s="137"/>
      <c r="I527" s="144"/>
      <c r="J527" s="107"/>
      <c r="K527" s="107"/>
      <c r="L527" s="107"/>
      <c r="M527" s="107"/>
      <c r="N527" s="107"/>
      <c r="O527" s="107"/>
      <c r="P527" s="107"/>
      <c r="Q527" s="107"/>
      <c r="R527" s="107"/>
      <c r="S527" s="107"/>
      <c r="T527" s="107"/>
      <c r="U527" s="107"/>
      <c r="V527" s="107"/>
      <c r="W527" s="107"/>
      <c r="X527" s="107"/>
      <c r="Y527" s="107"/>
      <c r="Z527" s="107"/>
      <c r="AA527" s="107"/>
      <c r="AB527" s="107"/>
      <c r="AC527" s="107"/>
      <c r="AD527" s="107"/>
    </row>
    <row r="528">
      <c r="A528" s="107"/>
      <c r="B528" s="107"/>
      <c r="C528" s="148"/>
      <c r="D528" s="15"/>
      <c r="E528" s="149"/>
      <c r="F528" s="137"/>
      <c r="G528" s="137"/>
      <c r="H528" s="137"/>
      <c r="I528" s="144"/>
      <c r="J528" s="107"/>
      <c r="K528" s="107"/>
      <c r="L528" s="107"/>
      <c r="M528" s="107"/>
      <c r="N528" s="107"/>
      <c r="O528" s="107"/>
      <c r="P528" s="107"/>
      <c r="Q528" s="107"/>
      <c r="R528" s="107"/>
      <c r="S528" s="107"/>
      <c r="T528" s="107"/>
      <c r="U528" s="107"/>
      <c r="V528" s="107"/>
      <c r="W528" s="107"/>
      <c r="X528" s="107"/>
      <c r="Y528" s="107"/>
      <c r="Z528" s="107"/>
      <c r="AA528" s="107"/>
      <c r="AB528" s="107"/>
      <c r="AC528" s="107"/>
      <c r="AD528" s="107"/>
    </row>
    <row r="529">
      <c r="A529" s="107"/>
      <c r="B529" s="107"/>
      <c r="C529" s="148"/>
      <c r="D529" s="15"/>
      <c r="E529" s="149"/>
      <c r="F529" s="137"/>
      <c r="G529" s="137"/>
      <c r="H529" s="137"/>
      <c r="I529" s="144"/>
      <c r="J529" s="107"/>
      <c r="K529" s="107"/>
      <c r="L529" s="107"/>
      <c r="M529" s="107"/>
      <c r="N529" s="107"/>
      <c r="O529" s="107"/>
      <c r="P529" s="107"/>
      <c r="Q529" s="107"/>
      <c r="R529" s="107"/>
      <c r="S529" s="107"/>
      <c r="T529" s="107"/>
      <c r="U529" s="107"/>
      <c r="V529" s="107"/>
      <c r="W529" s="107"/>
      <c r="X529" s="107"/>
      <c r="Y529" s="107"/>
      <c r="Z529" s="107"/>
      <c r="AA529" s="107"/>
      <c r="AB529" s="107"/>
      <c r="AC529" s="107"/>
      <c r="AD529" s="107"/>
    </row>
    <row r="530">
      <c r="A530" s="107"/>
      <c r="B530" s="107"/>
      <c r="C530" s="148"/>
      <c r="D530" s="15"/>
      <c r="E530" s="149"/>
      <c r="F530" s="137"/>
      <c r="G530" s="137"/>
      <c r="H530" s="137"/>
      <c r="I530" s="144"/>
      <c r="J530" s="107"/>
      <c r="K530" s="107"/>
      <c r="L530" s="107"/>
      <c r="M530" s="107"/>
      <c r="N530" s="107"/>
      <c r="O530" s="107"/>
      <c r="P530" s="107"/>
      <c r="Q530" s="107"/>
      <c r="R530" s="107"/>
      <c r="S530" s="107"/>
      <c r="T530" s="107"/>
      <c r="U530" s="107"/>
      <c r="V530" s="107"/>
      <c r="W530" s="107"/>
      <c r="X530" s="107"/>
      <c r="Y530" s="107"/>
      <c r="Z530" s="107"/>
      <c r="AA530" s="107"/>
      <c r="AB530" s="107"/>
      <c r="AC530" s="107"/>
      <c r="AD530" s="107"/>
    </row>
    <row r="531">
      <c r="A531" s="107"/>
      <c r="B531" s="107"/>
      <c r="C531" s="148"/>
      <c r="D531" s="15"/>
      <c r="E531" s="149"/>
      <c r="F531" s="137"/>
      <c r="G531" s="137"/>
      <c r="H531" s="137"/>
      <c r="I531" s="144"/>
      <c r="J531" s="107"/>
      <c r="K531" s="107"/>
      <c r="L531" s="107"/>
      <c r="M531" s="107"/>
      <c r="N531" s="107"/>
      <c r="O531" s="107"/>
      <c r="P531" s="107"/>
      <c r="Q531" s="107"/>
      <c r="R531" s="107"/>
      <c r="S531" s="107"/>
      <c r="T531" s="107"/>
      <c r="U531" s="107"/>
      <c r="V531" s="107"/>
      <c r="W531" s="107"/>
      <c r="X531" s="107"/>
      <c r="Y531" s="107"/>
      <c r="Z531" s="107"/>
      <c r="AA531" s="107"/>
      <c r="AB531" s="107"/>
      <c r="AC531" s="107"/>
      <c r="AD531" s="107"/>
    </row>
    <row r="532">
      <c r="A532" s="107"/>
      <c r="B532" s="107"/>
      <c r="C532" s="148"/>
      <c r="D532" s="15"/>
      <c r="E532" s="149"/>
      <c r="F532" s="137"/>
      <c r="G532" s="137"/>
      <c r="H532" s="137"/>
      <c r="I532" s="144"/>
      <c r="J532" s="107"/>
      <c r="K532" s="107"/>
      <c r="L532" s="107"/>
      <c r="M532" s="107"/>
      <c r="N532" s="107"/>
      <c r="O532" s="107"/>
      <c r="P532" s="107"/>
      <c r="Q532" s="107"/>
      <c r="R532" s="107"/>
      <c r="S532" s="107"/>
      <c r="T532" s="107"/>
      <c r="U532" s="107"/>
      <c r="V532" s="107"/>
      <c r="W532" s="107"/>
      <c r="X532" s="107"/>
      <c r="Y532" s="107"/>
      <c r="Z532" s="107"/>
      <c r="AA532" s="107"/>
      <c r="AB532" s="107"/>
      <c r="AC532" s="107"/>
      <c r="AD532" s="107"/>
    </row>
    <row r="533">
      <c r="A533" s="107"/>
      <c r="B533" s="107"/>
      <c r="C533" s="148"/>
      <c r="D533" s="15"/>
      <c r="E533" s="149"/>
      <c r="F533" s="137"/>
      <c r="G533" s="137"/>
      <c r="H533" s="137"/>
      <c r="I533" s="144"/>
      <c r="J533" s="107"/>
      <c r="K533" s="107"/>
      <c r="L533" s="107"/>
      <c r="M533" s="107"/>
      <c r="N533" s="107"/>
      <c r="O533" s="107"/>
      <c r="P533" s="107"/>
      <c r="Q533" s="107"/>
      <c r="R533" s="107"/>
      <c r="S533" s="107"/>
      <c r="T533" s="107"/>
      <c r="U533" s="107"/>
      <c r="V533" s="107"/>
      <c r="W533" s="107"/>
      <c r="X533" s="107"/>
      <c r="Y533" s="107"/>
      <c r="Z533" s="107"/>
      <c r="AA533" s="107"/>
      <c r="AB533" s="107"/>
      <c r="AC533" s="107"/>
      <c r="AD533" s="107"/>
    </row>
    <row r="534">
      <c r="A534" s="107"/>
      <c r="B534" s="107"/>
      <c r="C534" s="148"/>
      <c r="D534" s="15"/>
      <c r="E534" s="149"/>
      <c r="F534" s="137"/>
      <c r="G534" s="137"/>
      <c r="H534" s="137"/>
      <c r="I534" s="144"/>
      <c r="J534" s="107"/>
      <c r="K534" s="107"/>
      <c r="L534" s="107"/>
      <c r="M534" s="107"/>
      <c r="N534" s="107"/>
      <c r="O534" s="107"/>
      <c r="P534" s="107"/>
      <c r="Q534" s="107"/>
      <c r="R534" s="107"/>
      <c r="S534" s="107"/>
      <c r="T534" s="107"/>
      <c r="U534" s="107"/>
      <c r="V534" s="107"/>
      <c r="W534" s="107"/>
      <c r="X534" s="107"/>
      <c r="Y534" s="107"/>
      <c r="Z534" s="107"/>
      <c r="AA534" s="107"/>
      <c r="AB534" s="107"/>
      <c r="AC534" s="107"/>
      <c r="AD534" s="107"/>
    </row>
    <row r="535">
      <c r="A535" s="107"/>
      <c r="B535" s="107"/>
      <c r="C535" s="148"/>
      <c r="D535" s="15"/>
      <c r="E535" s="149"/>
      <c r="F535" s="137"/>
      <c r="G535" s="137"/>
      <c r="H535" s="137"/>
      <c r="I535" s="144"/>
      <c r="J535" s="107"/>
      <c r="K535" s="107"/>
      <c r="L535" s="107"/>
      <c r="M535" s="107"/>
      <c r="N535" s="107"/>
      <c r="O535" s="107"/>
      <c r="P535" s="107"/>
      <c r="Q535" s="107"/>
      <c r="R535" s="107"/>
      <c r="S535" s="107"/>
      <c r="T535" s="107"/>
      <c r="U535" s="107"/>
      <c r="V535" s="107"/>
      <c r="W535" s="107"/>
      <c r="X535" s="107"/>
      <c r="Y535" s="107"/>
      <c r="Z535" s="107"/>
      <c r="AA535" s="107"/>
      <c r="AB535" s="107"/>
      <c r="AC535" s="107"/>
      <c r="AD535" s="107"/>
    </row>
    <row r="536">
      <c r="A536" s="107"/>
      <c r="B536" s="107"/>
      <c r="C536" s="148"/>
      <c r="D536" s="15"/>
      <c r="E536" s="149"/>
      <c r="F536" s="137"/>
      <c r="G536" s="137"/>
      <c r="H536" s="137"/>
      <c r="I536" s="144"/>
      <c r="J536" s="107"/>
      <c r="K536" s="107"/>
      <c r="L536" s="107"/>
      <c r="M536" s="107"/>
      <c r="N536" s="107"/>
      <c r="O536" s="107"/>
      <c r="P536" s="107"/>
      <c r="Q536" s="107"/>
      <c r="R536" s="107"/>
      <c r="S536" s="107"/>
      <c r="T536" s="107"/>
      <c r="U536" s="107"/>
      <c r="V536" s="107"/>
      <c r="W536" s="107"/>
      <c r="X536" s="107"/>
      <c r="Y536" s="107"/>
      <c r="Z536" s="107"/>
      <c r="AA536" s="107"/>
      <c r="AB536" s="107"/>
      <c r="AC536" s="107"/>
      <c r="AD536" s="107"/>
    </row>
    <row r="537">
      <c r="A537" s="107"/>
      <c r="B537" s="107"/>
      <c r="C537" s="148"/>
      <c r="D537" s="15"/>
      <c r="E537" s="149"/>
      <c r="F537" s="137"/>
      <c r="G537" s="137"/>
      <c r="H537" s="137"/>
      <c r="I537" s="144"/>
      <c r="J537" s="107"/>
      <c r="K537" s="107"/>
      <c r="L537" s="107"/>
      <c r="M537" s="107"/>
      <c r="N537" s="107"/>
      <c r="O537" s="107"/>
      <c r="P537" s="107"/>
      <c r="Q537" s="107"/>
      <c r="R537" s="107"/>
      <c r="S537" s="107"/>
      <c r="T537" s="107"/>
      <c r="U537" s="107"/>
      <c r="V537" s="107"/>
      <c r="W537" s="107"/>
      <c r="X537" s="107"/>
      <c r="Y537" s="107"/>
      <c r="Z537" s="107"/>
      <c r="AA537" s="107"/>
      <c r="AB537" s="107"/>
      <c r="AC537" s="107"/>
      <c r="AD537" s="107"/>
    </row>
    <row r="538">
      <c r="A538" s="107"/>
      <c r="B538" s="107"/>
      <c r="C538" s="148"/>
      <c r="D538" s="15"/>
      <c r="E538" s="149"/>
      <c r="F538" s="137"/>
      <c r="G538" s="137"/>
      <c r="H538" s="137"/>
      <c r="I538" s="144"/>
      <c r="J538" s="107"/>
      <c r="K538" s="107"/>
      <c r="L538" s="107"/>
      <c r="M538" s="107"/>
      <c r="N538" s="107"/>
      <c r="O538" s="107"/>
      <c r="P538" s="107"/>
      <c r="Q538" s="107"/>
      <c r="R538" s="107"/>
      <c r="S538" s="107"/>
      <c r="T538" s="107"/>
      <c r="U538" s="107"/>
      <c r="V538" s="107"/>
      <c r="W538" s="107"/>
      <c r="X538" s="107"/>
      <c r="Y538" s="107"/>
      <c r="Z538" s="107"/>
      <c r="AA538" s="107"/>
      <c r="AB538" s="107"/>
      <c r="AC538" s="107"/>
      <c r="AD538" s="107"/>
    </row>
    <row r="539">
      <c r="A539" s="107"/>
      <c r="B539" s="107"/>
      <c r="C539" s="148"/>
      <c r="D539" s="15"/>
      <c r="E539" s="149"/>
      <c r="F539" s="137"/>
      <c r="G539" s="137"/>
      <c r="H539" s="137"/>
      <c r="I539" s="144"/>
      <c r="J539" s="107"/>
      <c r="K539" s="107"/>
      <c r="L539" s="107"/>
      <c r="M539" s="107"/>
      <c r="N539" s="107"/>
      <c r="O539" s="107"/>
      <c r="P539" s="107"/>
      <c r="Q539" s="107"/>
      <c r="R539" s="107"/>
      <c r="S539" s="107"/>
      <c r="T539" s="107"/>
      <c r="U539" s="107"/>
      <c r="V539" s="107"/>
      <c r="W539" s="107"/>
      <c r="X539" s="107"/>
      <c r="Y539" s="107"/>
      <c r="Z539" s="107"/>
      <c r="AA539" s="107"/>
      <c r="AB539" s="107"/>
      <c r="AC539" s="107"/>
      <c r="AD539" s="107"/>
    </row>
    <row r="540">
      <c r="A540" s="107"/>
      <c r="B540" s="107"/>
      <c r="C540" s="148"/>
      <c r="D540" s="15"/>
      <c r="E540" s="149"/>
      <c r="F540" s="137"/>
      <c r="G540" s="137"/>
      <c r="H540" s="137"/>
      <c r="I540" s="144"/>
      <c r="J540" s="107"/>
      <c r="K540" s="107"/>
      <c r="L540" s="107"/>
      <c r="M540" s="107"/>
      <c r="N540" s="107"/>
      <c r="O540" s="107"/>
      <c r="P540" s="107"/>
      <c r="Q540" s="107"/>
      <c r="R540" s="107"/>
      <c r="S540" s="107"/>
      <c r="T540" s="107"/>
      <c r="U540" s="107"/>
      <c r="V540" s="107"/>
      <c r="W540" s="107"/>
      <c r="X540" s="107"/>
      <c r="Y540" s="107"/>
      <c r="Z540" s="107"/>
      <c r="AA540" s="107"/>
      <c r="AB540" s="107"/>
      <c r="AC540" s="107"/>
      <c r="AD540" s="107"/>
    </row>
    <row r="541">
      <c r="A541" s="107"/>
      <c r="B541" s="107"/>
      <c r="C541" s="148"/>
      <c r="D541" s="15"/>
      <c r="E541" s="149"/>
      <c r="F541" s="137"/>
      <c r="G541" s="137"/>
      <c r="H541" s="137"/>
      <c r="I541" s="144"/>
      <c r="J541" s="107"/>
      <c r="K541" s="107"/>
      <c r="L541" s="107"/>
      <c r="M541" s="107"/>
      <c r="N541" s="107"/>
      <c r="O541" s="107"/>
      <c r="P541" s="107"/>
      <c r="Q541" s="107"/>
      <c r="R541" s="107"/>
      <c r="S541" s="107"/>
      <c r="T541" s="107"/>
      <c r="U541" s="107"/>
      <c r="V541" s="107"/>
      <c r="W541" s="107"/>
      <c r="X541" s="107"/>
      <c r="Y541" s="107"/>
      <c r="Z541" s="107"/>
      <c r="AA541" s="107"/>
      <c r="AB541" s="107"/>
      <c r="AC541" s="107"/>
      <c r="AD541" s="107"/>
    </row>
    <row r="542">
      <c r="A542" s="107"/>
      <c r="B542" s="107"/>
      <c r="C542" s="148"/>
      <c r="D542" s="15"/>
      <c r="E542" s="149"/>
      <c r="F542" s="137"/>
      <c r="G542" s="137"/>
      <c r="H542" s="137"/>
      <c r="I542" s="144"/>
      <c r="J542" s="107"/>
      <c r="K542" s="107"/>
      <c r="L542" s="107"/>
      <c r="M542" s="107"/>
      <c r="N542" s="107"/>
      <c r="O542" s="107"/>
      <c r="P542" s="107"/>
      <c r="Q542" s="107"/>
      <c r="R542" s="107"/>
      <c r="S542" s="107"/>
      <c r="T542" s="107"/>
      <c r="U542" s="107"/>
      <c r="V542" s="107"/>
      <c r="W542" s="107"/>
      <c r="X542" s="107"/>
      <c r="Y542" s="107"/>
      <c r="Z542" s="107"/>
      <c r="AA542" s="107"/>
      <c r="AB542" s="107"/>
      <c r="AC542" s="107"/>
      <c r="AD542" s="107"/>
    </row>
    <row r="543">
      <c r="A543" s="107"/>
      <c r="B543" s="107"/>
      <c r="C543" s="148"/>
      <c r="D543" s="15"/>
      <c r="E543" s="149"/>
      <c r="F543" s="137"/>
      <c r="G543" s="137"/>
      <c r="H543" s="137"/>
      <c r="I543" s="144"/>
      <c r="J543" s="107"/>
      <c r="K543" s="107"/>
      <c r="L543" s="107"/>
      <c r="M543" s="107"/>
      <c r="N543" s="107"/>
      <c r="O543" s="107"/>
      <c r="P543" s="107"/>
      <c r="Q543" s="107"/>
      <c r="R543" s="107"/>
      <c r="S543" s="107"/>
      <c r="T543" s="107"/>
      <c r="U543" s="107"/>
      <c r="V543" s="107"/>
      <c r="W543" s="107"/>
      <c r="X543" s="107"/>
      <c r="Y543" s="107"/>
      <c r="Z543" s="107"/>
      <c r="AA543" s="107"/>
      <c r="AB543" s="107"/>
      <c r="AC543" s="107"/>
      <c r="AD543" s="107"/>
    </row>
    <row r="544">
      <c r="A544" s="107"/>
      <c r="B544" s="107"/>
      <c r="C544" s="148"/>
      <c r="D544" s="15"/>
      <c r="E544" s="149"/>
      <c r="F544" s="137"/>
      <c r="G544" s="137"/>
      <c r="H544" s="137"/>
      <c r="I544" s="144"/>
      <c r="J544" s="107"/>
      <c r="K544" s="107"/>
      <c r="L544" s="107"/>
      <c r="M544" s="107"/>
      <c r="N544" s="107"/>
      <c r="O544" s="107"/>
      <c r="P544" s="107"/>
      <c r="Q544" s="107"/>
      <c r="R544" s="107"/>
      <c r="S544" s="107"/>
      <c r="T544" s="107"/>
      <c r="U544" s="107"/>
      <c r="V544" s="107"/>
      <c r="W544" s="107"/>
      <c r="X544" s="107"/>
      <c r="Y544" s="107"/>
      <c r="Z544" s="107"/>
      <c r="AA544" s="107"/>
      <c r="AB544" s="107"/>
      <c r="AC544" s="107"/>
      <c r="AD544" s="107"/>
    </row>
    <row r="545">
      <c r="A545" s="107"/>
      <c r="B545" s="107"/>
      <c r="C545" s="148"/>
      <c r="D545" s="15"/>
      <c r="E545" s="149"/>
      <c r="F545" s="137"/>
      <c r="G545" s="137"/>
      <c r="H545" s="137"/>
      <c r="I545" s="144"/>
      <c r="J545" s="107"/>
      <c r="K545" s="107"/>
      <c r="L545" s="107"/>
      <c r="M545" s="107"/>
      <c r="N545" s="107"/>
      <c r="O545" s="107"/>
      <c r="P545" s="107"/>
      <c r="Q545" s="107"/>
      <c r="R545" s="107"/>
      <c r="S545" s="107"/>
      <c r="T545" s="107"/>
      <c r="U545" s="107"/>
      <c r="V545" s="107"/>
      <c r="W545" s="107"/>
      <c r="X545" s="107"/>
      <c r="Y545" s="107"/>
      <c r="Z545" s="107"/>
      <c r="AA545" s="107"/>
      <c r="AB545" s="107"/>
      <c r="AC545" s="107"/>
      <c r="AD545" s="107"/>
    </row>
    <row r="546">
      <c r="A546" s="107"/>
      <c r="B546" s="107"/>
      <c r="C546" s="148"/>
      <c r="D546" s="15"/>
      <c r="E546" s="149"/>
      <c r="F546" s="137"/>
      <c r="G546" s="137"/>
      <c r="H546" s="137"/>
      <c r="I546" s="144"/>
      <c r="J546" s="107"/>
      <c r="K546" s="107"/>
      <c r="L546" s="107"/>
      <c r="M546" s="107"/>
      <c r="N546" s="107"/>
      <c r="O546" s="107"/>
      <c r="P546" s="107"/>
      <c r="Q546" s="107"/>
      <c r="R546" s="107"/>
      <c r="S546" s="107"/>
      <c r="T546" s="107"/>
      <c r="U546" s="107"/>
      <c r="V546" s="107"/>
      <c r="W546" s="107"/>
      <c r="X546" s="107"/>
      <c r="Y546" s="107"/>
      <c r="Z546" s="107"/>
      <c r="AA546" s="107"/>
      <c r="AB546" s="107"/>
      <c r="AC546" s="107"/>
      <c r="AD546" s="107"/>
    </row>
    <row r="547">
      <c r="A547" s="107"/>
      <c r="B547" s="107"/>
      <c r="C547" s="148"/>
      <c r="D547" s="15"/>
      <c r="E547" s="149"/>
      <c r="F547" s="137"/>
      <c r="G547" s="137"/>
      <c r="H547" s="137"/>
      <c r="I547" s="144"/>
      <c r="J547" s="107"/>
      <c r="K547" s="107"/>
      <c r="L547" s="107"/>
      <c r="M547" s="107"/>
      <c r="N547" s="107"/>
      <c r="O547" s="107"/>
      <c r="P547" s="107"/>
      <c r="Q547" s="107"/>
      <c r="R547" s="107"/>
      <c r="S547" s="107"/>
      <c r="T547" s="107"/>
      <c r="U547" s="107"/>
      <c r="V547" s="107"/>
      <c r="W547" s="107"/>
      <c r="X547" s="107"/>
      <c r="Y547" s="107"/>
      <c r="Z547" s="107"/>
      <c r="AA547" s="107"/>
      <c r="AB547" s="107"/>
      <c r="AC547" s="107"/>
      <c r="AD547" s="107"/>
    </row>
    <row r="548">
      <c r="A548" s="107"/>
      <c r="B548" s="107"/>
      <c r="C548" s="148"/>
      <c r="D548" s="15"/>
      <c r="E548" s="149"/>
      <c r="F548" s="137"/>
      <c r="G548" s="137"/>
      <c r="H548" s="137"/>
      <c r="I548" s="144"/>
      <c r="J548" s="107"/>
      <c r="K548" s="107"/>
      <c r="L548" s="107"/>
      <c r="M548" s="107"/>
      <c r="N548" s="107"/>
      <c r="O548" s="107"/>
      <c r="P548" s="107"/>
      <c r="Q548" s="107"/>
      <c r="R548" s="107"/>
      <c r="S548" s="107"/>
      <c r="T548" s="107"/>
      <c r="U548" s="107"/>
      <c r="V548" s="107"/>
      <c r="W548" s="107"/>
      <c r="X548" s="107"/>
      <c r="Y548" s="107"/>
      <c r="Z548" s="107"/>
      <c r="AA548" s="107"/>
      <c r="AB548" s="107"/>
      <c r="AC548" s="107"/>
      <c r="AD548" s="107"/>
    </row>
    <row r="549">
      <c r="A549" s="107"/>
      <c r="B549" s="107"/>
      <c r="C549" s="148"/>
      <c r="D549" s="15"/>
      <c r="E549" s="149"/>
      <c r="F549" s="137"/>
      <c r="G549" s="137"/>
      <c r="H549" s="137"/>
      <c r="I549" s="144"/>
      <c r="J549" s="107"/>
      <c r="K549" s="107"/>
      <c r="L549" s="107"/>
      <c r="M549" s="107"/>
      <c r="N549" s="107"/>
      <c r="O549" s="107"/>
      <c r="P549" s="107"/>
      <c r="Q549" s="107"/>
      <c r="R549" s="107"/>
      <c r="S549" s="107"/>
      <c r="T549" s="107"/>
      <c r="U549" s="107"/>
      <c r="V549" s="107"/>
      <c r="W549" s="107"/>
      <c r="X549" s="107"/>
      <c r="Y549" s="107"/>
      <c r="Z549" s="107"/>
      <c r="AA549" s="107"/>
      <c r="AB549" s="107"/>
      <c r="AC549" s="107"/>
      <c r="AD549" s="107"/>
    </row>
    <row r="550">
      <c r="A550" s="107"/>
      <c r="B550" s="107"/>
      <c r="C550" s="148"/>
      <c r="D550" s="15"/>
      <c r="E550" s="149"/>
      <c r="F550" s="137"/>
      <c r="G550" s="137"/>
      <c r="H550" s="137"/>
      <c r="I550" s="144"/>
      <c r="J550" s="107"/>
      <c r="K550" s="107"/>
      <c r="L550" s="107"/>
      <c r="M550" s="107"/>
      <c r="N550" s="107"/>
      <c r="O550" s="107"/>
      <c r="P550" s="107"/>
      <c r="Q550" s="107"/>
      <c r="R550" s="107"/>
      <c r="S550" s="107"/>
      <c r="T550" s="107"/>
      <c r="U550" s="107"/>
      <c r="V550" s="107"/>
      <c r="W550" s="107"/>
      <c r="X550" s="107"/>
      <c r="Y550" s="107"/>
      <c r="Z550" s="107"/>
      <c r="AA550" s="107"/>
      <c r="AB550" s="107"/>
      <c r="AC550" s="107"/>
      <c r="AD550" s="107"/>
    </row>
    <row r="551">
      <c r="A551" s="107"/>
      <c r="B551" s="107"/>
      <c r="C551" s="148"/>
      <c r="D551" s="15"/>
      <c r="E551" s="149"/>
      <c r="F551" s="137"/>
      <c r="G551" s="137"/>
      <c r="H551" s="137"/>
      <c r="I551" s="144"/>
      <c r="J551" s="107"/>
      <c r="K551" s="107"/>
      <c r="L551" s="107"/>
      <c r="M551" s="107"/>
      <c r="N551" s="107"/>
      <c r="O551" s="107"/>
      <c r="P551" s="107"/>
      <c r="Q551" s="107"/>
      <c r="R551" s="107"/>
      <c r="S551" s="107"/>
      <c r="T551" s="107"/>
      <c r="U551" s="107"/>
      <c r="V551" s="107"/>
      <c r="W551" s="107"/>
      <c r="X551" s="107"/>
      <c r="Y551" s="107"/>
      <c r="Z551" s="107"/>
      <c r="AA551" s="107"/>
      <c r="AB551" s="107"/>
      <c r="AC551" s="107"/>
      <c r="AD551" s="107"/>
    </row>
    <row r="552">
      <c r="A552" s="107"/>
      <c r="B552" s="107"/>
      <c r="C552" s="148"/>
      <c r="D552" s="15"/>
      <c r="E552" s="149"/>
      <c r="F552" s="137"/>
      <c r="G552" s="137"/>
      <c r="H552" s="137"/>
      <c r="I552" s="144"/>
      <c r="J552" s="107"/>
      <c r="K552" s="107"/>
      <c r="L552" s="107"/>
      <c r="M552" s="107"/>
      <c r="N552" s="107"/>
      <c r="O552" s="107"/>
      <c r="P552" s="107"/>
      <c r="Q552" s="107"/>
      <c r="R552" s="107"/>
      <c r="S552" s="107"/>
      <c r="T552" s="107"/>
      <c r="U552" s="107"/>
      <c r="V552" s="107"/>
      <c r="W552" s="107"/>
      <c r="X552" s="107"/>
      <c r="Y552" s="107"/>
      <c r="Z552" s="107"/>
      <c r="AA552" s="107"/>
      <c r="AB552" s="107"/>
      <c r="AC552" s="107"/>
      <c r="AD552" s="107"/>
    </row>
    <row r="553">
      <c r="A553" s="107"/>
      <c r="B553" s="107"/>
      <c r="C553" s="148"/>
      <c r="D553" s="15"/>
      <c r="E553" s="149"/>
      <c r="F553" s="137"/>
      <c r="G553" s="137"/>
      <c r="H553" s="137"/>
      <c r="I553" s="144"/>
      <c r="J553" s="107"/>
      <c r="K553" s="107"/>
      <c r="L553" s="107"/>
      <c r="M553" s="107"/>
      <c r="N553" s="107"/>
      <c r="O553" s="107"/>
      <c r="P553" s="107"/>
      <c r="Q553" s="107"/>
      <c r="R553" s="107"/>
      <c r="S553" s="107"/>
      <c r="T553" s="107"/>
      <c r="U553" s="107"/>
      <c r="V553" s="107"/>
      <c r="W553" s="107"/>
      <c r="X553" s="107"/>
      <c r="Y553" s="107"/>
      <c r="Z553" s="107"/>
      <c r="AA553" s="107"/>
      <c r="AB553" s="107"/>
      <c r="AC553" s="107"/>
      <c r="AD553" s="107"/>
    </row>
    <row r="554">
      <c r="A554" s="107"/>
      <c r="B554" s="107"/>
      <c r="C554" s="148"/>
      <c r="D554" s="15"/>
      <c r="E554" s="149"/>
      <c r="F554" s="137"/>
      <c r="G554" s="137"/>
      <c r="H554" s="137"/>
      <c r="I554" s="144"/>
      <c r="J554" s="107"/>
      <c r="K554" s="107"/>
      <c r="L554" s="107"/>
      <c r="M554" s="107"/>
      <c r="N554" s="107"/>
      <c r="O554" s="107"/>
      <c r="P554" s="107"/>
      <c r="Q554" s="107"/>
      <c r="R554" s="107"/>
      <c r="S554" s="107"/>
      <c r="T554" s="107"/>
      <c r="U554" s="107"/>
      <c r="V554" s="107"/>
      <c r="W554" s="107"/>
      <c r="X554" s="107"/>
      <c r="Y554" s="107"/>
      <c r="Z554" s="107"/>
      <c r="AA554" s="107"/>
      <c r="AB554" s="107"/>
      <c r="AC554" s="107"/>
      <c r="AD554" s="107"/>
    </row>
    <row r="555">
      <c r="A555" s="107"/>
      <c r="B555" s="107"/>
      <c r="C555" s="148"/>
      <c r="D555" s="15"/>
      <c r="E555" s="149"/>
      <c r="F555" s="137"/>
      <c r="G555" s="137"/>
      <c r="H555" s="137"/>
      <c r="I555" s="144"/>
      <c r="J555" s="107"/>
      <c r="K555" s="107"/>
      <c r="L555" s="107"/>
      <c r="M555" s="107"/>
      <c r="N555" s="107"/>
      <c r="O555" s="107"/>
      <c r="P555" s="107"/>
      <c r="Q555" s="107"/>
      <c r="R555" s="107"/>
      <c r="S555" s="107"/>
      <c r="T555" s="107"/>
      <c r="U555" s="107"/>
      <c r="V555" s="107"/>
      <c r="W555" s="107"/>
      <c r="X555" s="107"/>
      <c r="Y555" s="107"/>
      <c r="Z555" s="107"/>
      <c r="AA555" s="107"/>
      <c r="AB555" s="107"/>
      <c r="AC555" s="107"/>
      <c r="AD555" s="107"/>
    </row>
    <row r="556">
      <c r="A556" s="107"/>
      <c r="B556" s="107"/>
      <c r="C556" s="148"/>
      <c r="D556" s="15"/>
      <c r="E556" s="149"/>
      <c r="F556" s="137"/>
      <c r="G556" s="137"/>
      <c r="H556" s="137"/>
      <c r="I556" s="144"/>
      <c r="J556" s="107"/>
      <c r="K556" s="107"/>
      <c r="L556" s="107"/>
      <c r="M556" s="107"/>
      <c r="N556" s="107"/>
      <c r="O556" s="107"/>
      <c r="P556" s="107"/>
      <c r="Q556" s="107"/>
      <c r="R556" s="107"/>
      <c r="S556" s="107"/>
      <c r="T556" s="107"/>
      <c r="U556" s="107"/>
      <c r="V556" s="107"/>
      <c r="W556" s="107"/>
      <c r="X556" s="107"/>
      <c r="Y556" s="107"/>
      <c r="Z556" s="107"/>
      <c r="AA556" s="107"/>
      <c r="AB556" s="107"/>
      <c r="AC556" s="107"/>
      <c r="AD556" s="107"/>
    </row>
    <row r="557">
      <c r="A557" s="107"/>
      <c r="B557" s="107"/>
      <c r="C557" s="148"/>
      <c r="D557" s="15"/>
      <c r="E557" s="149"/>
      <c r="F557" s="137"/>
      <c r="G557" s="137"/>
      <c r="H557" s="137"/>
      <c r="I557" s="144"/>
      <c r="J557" s="107"/>
      <c r="K557" s="107"/>
      <c r="L557" s="107"/>
      <c r="M557" s="107"/>
      <c r="N557" s="107"/>
      <c r="O557" s="107"/>
      <c r="P557" s="107"/>
      <c r="Q557" s="107"/>
      <c r="R557" s="107"/>
      <c r="S557" s="107"/>
      <c r="T557" s="107"/>
      <c r="U557" s="107"/>
      <c r="V557" s="107"/>
      <c r="W557" s="107"/>
      <c r="X557" s="107"/>
      <c r="Y557" s="107"/>
      <c r="Z557" s="107"/>
      <c r="AA557" s="107"/>
      <c r="AB557" s="107"/>
      <c r="AC557" s="107"/>
      <c r="AD557" s="107"/>
    </row>
    <row r="558">
      <c r="A558" s="107"/>
      <c r="B558" s="107"/>
      <c r="C558" s="148"/>
      <c r="D558" s="15"/>
      <c r="E558" s="149"/>
      <c r="F558" s="137"/>
      <c r="G558" s="137"/>
      <c r="H558" s="137"/>
      <c r="I558" s="144"/>
      <c r="J558" s="107"/>
      <c r="K558" s="107"/>
      <c r="L558" s="107"/>
      <c r="M558" s="107"/>
      <c r="N558" s="107"/>
      <c r="O558" s="107"/>
      <c r="P558" s="107"/>
      <c r="Q558" s="107"/>
      <c r="R558" s="107"/>
      <c r="S558" s="107"/>
      <c r="T558" s="107"/>
      <c r="U558" s="107"/>
      <c r="V558" s="107"/>
      <c r="W558" s="107"/>
      <c r="X558" s="107"/>
      <c r="Y558" s="107"/>
      <c r="Z558" s="107"/>
      <c r="AA558" s="107"/>
      <c r="AB558" s="107"/>
      <c r="AC558" s="107"/>
      <c r="AD558" s="107"/>
    </row>
    <row r="559">
      <c r="A559" s="107"/>
      <c r="B559" s="107"/>
      <c r="C559" s="148"/>
      <c r="D559" s="15"/>
      <c r="E559" s="149"/>
      <c r="F559" s="137"/>
      <c r="G559" s="137"/>
      <c r="H559" s="137"/>
      <c r="I559" s="144"/>
      <c r="J559" s="107"/>
      <c r="K559" s="107"/>
      <c r="L559" s="107"/>
      <c r="M559" s="107"/>
      <c r="N559" s="107"/>
      <c r="O559" s="107"/>
      <c r="P559" s="107"/>
      <c r="Q559" s="107"/>
      <c r="R559" s="107"/>
      <c r="S559" s="107"/>
      <c r="T559" s="107"/>
      <c r="U559" s="107"/>
      <c r="V559" s="107"/>
      <c r="W559" s="107"/>
      <c r="X559" s="107"/>
      <c r="Y559" s="107"/>
      <c r="Z559" s="107"/>
      <c r="AA559" s="107"/>
      <c r="AB559" s="107"/>
      <c r="AC559" s="107"/>
      <c r="AD559" s="107"/>
    </row>
    <row r="560">
      <c r="A560" s="107"/>
      <c r="B560" s="107"/>
      <c r="C560" s="148"/>
      <c r="D560" s="15"/>
      <c r="E560" s="149"/>
      <c r="F560" s="137"/>
      <c r="G560" s="137"/>
      <c r="H560" s="137"/>
      <c r="I560" s="144"/>
      <c r="J560" s="107"/>
      <c r="K560" s="107"/>
      <c r="L560" s="107"/>
      <c r="M560" s="107"/>
      <c r="N560" s="107"/>
      <c r="O560" s="107"/>
      <c r="P560" s="107"/>
      <c r="Q560" s="107"/>
      <c r="R560" s="107"/>
      <c r="S560" s="107"/>
      <c r="T560" s="107"/>
      <c r="U560" s="107"/>
      <c r="V560" s="107"/>
      <c r="W560" s="107"/>
      <c r="X560" s="107"/>
      <c r="Y560" s="107"/>
      <c r="Z560" s="107"/>
      <c r="AA560" s="107"/>
      <c r="AB560" s="107"/>
      <c r="AC560" s="107"/>
      <c r="AD560" s="107"/>
    </row>
    <row r="561">
      <c r="A561" s="107"/>
      <c r="B561" s="107"/>
      <c r="C561" s="148"/>
      <c r="D561" s="15"/>
      <c r="E561" s="149"/>
      <c r="F561" s="137"/>
      <c r="G561" s="137"/>
      <c r="H561" s="137"/>
      <c r="I561" s="144"/>
      <c r="J561" s="107"/>
      <c r="K561" s="107"/>
      <c r="L561" s="107"/>
      <c r="M561" s="107"/>
      <c r="N561" s="107"/>
      <c r="O561" s="107"/>
      <c r="P561" s="107"/>
      <c r="Q561" s="107"/>
      <c r="R561" s="107"/>
      <c r="S561" s="107"/>
      <c r="T561" s="107"/>
      <c r="U561" s="107"/>
      <c r="V561" s="107"/>
      <c r="W561" s="107"/>
      <c r="X561" s="107"/>
      <c r="Y561" s="107"/>
      <c r="Z561" s="107"/>
      <c r="AA561" s="107"/>
      <c r="AB561" s="107"/>
      <c r="AC561" s="107"/>
      <c r="AD561" s="107"/>
    </row>
    <row r="562">
      <c r="A562" s="107"/>
      <c r="B562" s="107"/>
      <c r="C562" s="148"/>
      <c r="D562" s="15"/>
      <c r="E562" s="149"/>
      <c r="F562" s="137"/>
      <c r="G562" s="137"/>
      <c r="H562" s="137"/>
      <c r="I562" s="144"/>
      <c r="J562" s="107"/>
      <c r="K562" s="107"/>
      <c r="L562" s="107"/>
      <c r="M562" s="107"/>
      <c r="N562" s="107"/>
      <c r="O562" s="107"/>
      <c r="P562" s="107"/>
      <c r="Q562" s="107"/>
      <c r="R562" s="107"/>
      <c r="S562" s="107"/>
      <c r="T562" s="107"/>
      <c r="U562" s="107"/>
      <c r="V562" s="107"/>
      <c r="W562" s="107"/>
      <c r="X562" s="107"/>
      <c r="Y562" s="107"/>
      <c r="Z562" s="107"/>
      <c r="AA562" s="107"/>
      <c r="AB562" s="107"/>
      <c r="AC562" s="107"/>
      <c r="AD562" s="107"/>
    </row>
    <row r="563">
      <c r="A563" s="107"/>
      <c r="B563" s="107"/>
      <c r="C563" s="148"/>
      <c r="D563" s="15"/>
      <c r="E563" s="149"/>
      <c r="F563" s="137"/>
      <c r="G563" s="137"/>
      <c r="H563" s="137"/>
      <c r="I563" s="144"/>
      <c r="J563" s="107"/>
      <c r="K563" s="107"/>
      <c r="L563" s="107"/>
      <c r="M563" s="107"/>
      <c r="N563" s="107"/>
      <c r="O563" s="107"/>
      <c r="P563" s="107"/>
      <c r="Q563" s="107"/>
      <c r="R563" s="107"/>
      <c r="S563" s="107"/>
      <c r="T563" s="107"/>
      <c r="U563" s="107"/>
      <c r="V563" s="107"/>
      <c r="W563" s="107"/>
      <c r="X563" s="107"/>
      <c r="Y563" s="107"/>
      <c r="Z563" s="107"/>
      <c r="AA563" s="107"/>
      <c r="AB563" s="107"/>
      <c r="AC563" s="107"/>
      <c r="AD563" s="107"/>
    </row>
    <row r="564">
      <c r="A564" s="107"/>
      <c r="B564" s="107"/>
      <c r="C564" s="148"/>
      <c r="D564" s="15"/>
      <c r="E564" s="149"/>
      <c r="F564" s="137"/>
      <c r="G564" s="137"/>
      <c r="H564" s="137"/>
      <c r="I564" s="144"/>
      <c r="J564" s="107"/>
      <c r="K564" s="107"/>
      <c r="L564" s="107"/>
      <c r="M564" s="107"/>
      <c r="N564" s="107"/>
      <c r="O564" s="107"/>
      <c r="P564" s="107"/>
      <c r="Q564" s="107"/>
      <c r="R564" s="107"/>
      <c r="S564" s="107"/>
      <c r="T564" s="107"/>
      <c r="U564" s="107"/>
      <c r="V564" s="107"/>
      <c r="W564" s="107"/>
      <c r="X564" s="107"/>
      <c r="Y564" s="107"/>
      <c r="Z564" s="107"/>
      <c r="AA564" s="107"/>
      <c r="AB564" s="107"/>
      <c r="AC564" s="107"/>
      <c r="AD564" s="107"/>
    </row>
    <row r="565">
      <c r="A565" s="107"/>
      <c r="B565" s="107"/>
      <c r="C565" s="148"/>
      <c r="D565" s="15"/>
      <c r="E565" s="149"/>
      <c r="F565" s="137"/>
      <c r="G565" s="137"/>
      <c r="H565" s="137"/>
      <c r="I565" s="144"/>
      <c r="J565" s="107"/>
      <c r="K565" s="107"/>
      <c r="L565" s="107"/>
      <c r="M565" s="107"/>
      <c r="N565" s="107"/>
      <c r="O565" s="107"/>
      <c r="P565" s="107"/>
      <c r="Q565" s="107"/>
      <c r="R565" s="107"/>
      <c r="S565" s="107"/>
      <c r="T565" s="107"/>
      <c r="U565" s="107"/>
      <c r="V565" s="107"/>
      <c r="W565" s="107"/>
      <c r="X565" s="107"/>
      <c r="Y565" s="107"/>
      <c r="Z565" s="107"/>
      <c r="AA565" s="107"/>
      <c r="AB565" s="107"/>
      <c r="AC565" s="107"/>
      <c r="AD565" s="107"/>
    </row>
    <row r="566">
      <c r="A566" s="107"/>
      <c r="B566" s="107"/>
      <c r="C566" s="148"/>
      <c r="D566" s="15"/>
      <c r="E566" s="149"/>
      <c r="F566" s="137"/>
      <c r="G566" s="137"/>
      <c r="H566" s="137"/>
      <c r="I566" s="144"/>
      <c r="J566" s="107"/>
      <c r="K566" s="107"/>
      <c r="L566" s="107"/>
      <c r="M566" s="107"/>
      <c r="N566" s="107"/>
      <c r="O566" s="107"/>
      <c r="P566" s="107"/>
      <c r="Q566" s="107"/>
      <c r="R566" s="107"/>
      <c r="S566" s="107"/>
      <c r="T566" s="107"/>
      <c r="U566" s="107"/>
      <c r="V566" s="107"/>
      <c r="W566" s="107"/>
      <c r="X566" s="107"/>
      <c r="Y566" s="107"/>
      <c r="Z566" s="107"/>
      <c r="AA566" s="107"/>
      <c r="AB566" s="107"/>
      <c r="AC566" s="107"/>
      <c r="AD566" s="107"/>
    </row>
    <row r="567">
      <c r="A567" s="107"/>
      <c r="B567" s="107"/>
      <c r="C567" s="148"/>
      <c r="D567" s="15"/>
      <c r="E567" s="149"/>
      <c r="F567" s="137"/>
      <c r="G567" s="137"/>
      <c r="H567" s="137"/>
      <c r="I567" s="144"/>
      <c r="J567" s="107"/>
      <c r="K567" s="107"/>
      <c r="L567" s="107"/>
      <c r="M567" s="107"/>
      <c r="N567" s="107"/>
      <c r="O567" s="107"/>
      <c r="P567" s="107"/>
      <c r="Q567" s="107"/>
      <c r="R567" s="107"/>
      <c r="S567" s="107"/>
      <c r="T567" s="107"/>
      <c r="U567" s="107"/>
      <c r="V567" s="107"/>
      <c r="W567" s="107"/>
      <c r="X567" s="107"/>
      <c r="Y567" s="107"/>
      <c r="Z567" s="107"/>
      <c r="AA567" s="107"/>
      <c r="AB567" s="107"/>
      <c r="AC567" s="107"/>
      <c r="AD567" s="107"/>
    </row>
    <row r="568">
      <c r="A568" s="107"/>
      <c r="B568" s="107"/>
      <c r="C568" s="148"/>
      <c r="D568" s="15"/>
      <c r="E568" s="149"/>
      <c r="F568" s="137"/>
      <c r="G568" s="137"/>
      <c r="H568" s="137"/>
      <c r="I568" s="144"/>
      <c r="J568" s="107"/>
      <c r="K568" s="107"/>
      <c r="L568" s="107"/>
      <c r="M568" s="107"/>
      <c r="N568" s="107"/>
      <c r="O568" s="107"/>
      <c r="P568" s="107"/>
      <c r="Q568" s="107"/>
      <c r="R568" s="107"/>
      <c r="S568" s="107"/>
      <c r="T568" s="107"/>
      <c r="U568" s="107"/>
      <c r="V568" s="107"/>
      <c r="W568" s="107"/>
      <c r="X568" s="107"/>
      <c r="Y568" s="107"/>
      <c r="Z568" s="107"/>
      <c r="AA568" s="107"/>
      <c r="AB568" s="107"/>
      <c r="AC568" s="107"/>
      <c r="AD568" s="107"/>
    </row>
    <row r="569">
      <c r="A569" s="107"/>
      <c r="B569" s="107"/>
      <c r="C569" s="148"/>
      <c r="D569" s="15"/>
      <c r="E569" s="149"/>
      <c r="F569" s="137"/>
      <c r="G569" s="137"/>
      <c r="H569" s="137"/>
      <c r="I569" s="144"/>
      <c r="J569" s="107"/>
      <c r="K569" s="107"/>
      <c r="L569" s="107"/>
      <c r="M569" s="107"/>
      <c r="N569" s="107"/>
      <c r="O569" s="107"/>
      <c r="P569" s="107"/>
      <c r="Q569" s="107"/>
      <c r="R569" s="107"/>
      <c r="S569" s="107"/>
      <c r="T569" s="107"/>
      <c r="U569" s="107"/>
      <c r="V569" s="107"/>
      <c r="W569" s="107"/>
      <c r="X569" s="107"/>
      <c r="Y569" s="107"/>
      <c r="Z569" s="107"/>
      <c r="AA569" s="107"/>
      <c r="AB569" s="107"/>
      <c r="AC569" s="107"/>
      <c r="AD569" s="107"/>
    </row>
    <row r="570">
      <c r="A570" s="107"/>
      <c r="B570" s="107"/>
      <c r="C570" s="148"/>
      <c r="D570" s="15"/>
      <c r="E570" s="149"/>
      <c r="F570" s="137"/>
      <c r="G570" s="137"/>
      <c r="H570" s="137"/>
      <c r="I570" s="144"/>
      <c r="J570" s="107"/>
      <c r="K570" s="107"/>
      <c r="L570" s="107"/>
      <c r="M570" s="107"/>
      <c r="N570" s="107"/>
      <c r="O570" s="107"/>
      <c r="P570" s="107"/>
      <c r="Q570" s="107"/>
      <c r="R570" s="107"/>
      <c r="S570" s="107"/>
      <c r="T570" s="107"/>
      <c r="U570" s="107"/>
      <c r="V570" s="107"/>
      <c r="W570" s="107"/>
      <c r="X570" s="107"/>
      <c r="Y570" s="107"/>
      <c r="Z570" s="107"/>
      <c r="AA570" s="107"/>
      <c r="AB570" s="107"/>
      <c r="AC570" s="107"/>
      <c r="AD570" s="107"/>
    </row>
    <row r="571">
      <c r="A571" s="107"/>
      <c r="B571" s="107"/>
      <c r="C571" s="148"/>
      <c r="D571" s="15"/>
      <c r="E571" s="149"/>
      <c r="F571" s="137"/>
      <c r="G571" s="137"/>
      <c r="H571" s="137"/>
      <c r="I571" s="144"/>
      <c r="J571" s="107"/>
      <c r="K571" s="107"/>
      <c r="L571" s="107"/>
      <c r="M571" s="107"/>
      <c r="N571" s="107"/>
      <c r="O571" s="107"/>
      <c r="P571" s="107"/>
      <c r="Q571" s="107"/>
      <c r="R571" s="107"/>
      <c r="S571" s="107"/>
      <c r="T571" s="107"/>
      <c r="U571" s="107"/>
      <c r="V571" s="107"/>
      <c r="W571" s="107"/>
      <c r="X571" s="107"/>
      <c r="Y571" s="107"/>
      <c r="Z571" s="107"/>
      <c r="AA571" s="107"/>
      <c r="AB571" s="107"/>
      <c r="AC571" s="107"/>
      <c r="AD571" s="107"/>
    </row>
    <row r="572">
      <c r="A572" s="107"/>
      <c r="B572" s="107"/>
      <c r="C572" s="148"/>
      <c r="D572" s="15"/>
      <c r="E572" s="149"/>
      <c r="F572" s="137"/>
      <c r="G572" s="137"/>
      <c r="H572" s="137"/>
      <c r="I572" s="144"/>
      <c r="J572" s="107"/>
      <c r="K572" s="107"/>
      <c r="L572" s="107"/>
      <c r="M572" s="107"/>
      <c r="N572" s="107"/>
      <c r="O572" s="107"/>
      <c r="P572" s="107"/>
      <c r="Q572" s="107"/>
      <c r="R572" s="107"/>
      <c r="S572" s="107"/>
      <c r="T572" s="107"/>
      <c r="U572" s="107"/>
      <c r="V572" s="107"/>
      <c r="W572" s="107"/>
      <c r="X572" s="107"/>
      <c r="Y572" s="107"/>
      <c r="Z572" s="107"/>
      <c r="AA572" s="107"/>
      <c r="AB572" s="107"/>
      <c r="AC572" s="107"/>
      <c r="AD572" s="107"/>
    </row>
    <row r="573">
      <c r="A573" s="107"/>
      <c r="B573" s="107"/>
      <c r="C573" s="148"/>
      <c r="D573" s="15"/>
      <c r="E573" s="149"/>
      <c r="F573" s="137"/>
      <c r="G573" s="137"/>
      <c r="H573" s="137"/>
      <c r="I573" s="144"/>
      <c r="J573" s="107"/>
      <c r="K573" s="107"/>
      <c r="L573" s="107"/>
      <c r="M573" s="107"/>
      <c r="N573" s="107"/>
      <c r="O573" s="107"/>
      <c r="P573" s="107"/>
      <c r="Q573" s="107"/>
      <c r="R573" s="107"/>
      <c r="S573" s="107"/>
      <c r="T573" s="107"/>
      <c r="U573" s="107"/>
      <c r="V573" s="107"/>
      <c r="W573" s="107"/>
      <c r="X573" s="107"/>
      <c r="Y573" s="107"/>
      <c r="Z573" s="107"/>
      <c r="AA573" s="107"/>
      <c r="AB573" s="107"/>
      <c r="AC573" s="107"/>
      <c r="AD573" s="107"/>
    </row>
    <row r="574">
      <c r="A574" s="107"/>
      <c r="B574" s="107"/>
      <c r="C574" s="148"/>
      <c r="D574" s="15"/>
      <c r="E574" s="149"/>
      <c r="F574" s="137"/>
      <c r="G574" s="137"/>
      <c r="H574" s="137"/>
      <c r="I574" s="144"/>
      <c r="J574" s="107"/>
      <c r="K574" s="107"/>
      <c r="L574" s="107"/>
      <c r="M574" s="107"/>
      <c r="N574" s="107"/>
      <c r="O574" s="107"/>
      <c r="P574" s="107"/>
      <c r="Q574" s="107"/>
      <c r="R574" s="107"/>
      <c r="S574" s="107"/>
      <c r="T574" s="107"/>
      <c r="U574" s="107"/>
      <c r="V574" s="107"/>
      <c r="W574" s="107"/>
      <c r="X574" s="107"/>
      <c r="Y574" s="107"/>
      <c r="Z574" s="107"/>
      <c r="AA574" s="107"/>
      <c r="AB574" s="107"/>
      <c r="AC574" s="107"/>
      <c r="AD574" s="107"/>
    </row>
    <row r="575">
      <c r="A575" s="107"/>
      <c r="B575" s="107"/>
      <c r="C575" s="148"/>
      <c r="D575" s="15"/>
      <c r="E575" s="149"/>
      <c r="F575" s="137"/>
      <c r="G575" s="137"/>
      <c r="H575" s="137"/>
      <c r="I575" s="144"/>
      <c r="J575" s="107"/>
      <c r="K575" s="107"/>
      <c r="L575" s="107"/>
      <c r="M575" s="107"/>
      <c r="N575" s="107"/>
      <c r="O575" s="107"/>
      <c r="P575" s="107"/>
      <c r="Q575" s="107"/>
      <c r="R575" s="107"/>
      <c r="S575" s="107"/>
      <c r="T575" s="107"/>
      <c r="U575" s="107"/>
      <c r="V575" s="107"/>
      <c r="W575" s="107"/>
      <c r="X575" s="107"/>
      <c r="Y575" s="107"/>
      <c r="Z575" s="107"/>
      <c r="AA575" s="107"/>
      <c r="AB575" s="107"/>
      <c r="AC575" s="107"/>
      <c r="AD575" s="107"/>
    </row>
    <row r="576">
      <c r="A576" s="107"/>
      <c r="B576" s="107"/>
      <c r="C576" s="148"/>
      <c r="D576" s="15"/>
      <c r="E576" s="149"/>
      <c r="F576" s="137"/>
      <c r="G576" s="137"/>
      <c r="H576" s="137"/>
      <c r="I576" s="144"/>
      <c r="J576" s="107"/>
      <c r="K576" s="107"/>
      <c r="L576" s="107"/>
      <c r="M576" s="107"/>
      <c r="N576" s="107"/>
      <c r="O576" s="107"/>
      <c r="P576" s="107"/>
      <c r="Q576" s="107"/>
      <c r="R576" s="107"/>
      <c r="S576" s="107"/>
      <c r="T576" s="107"/>
      <c r="U576" s="107"/>
      <c r="V576" s="107"/>
      <c r="W576" s="107"/>
      <c r="X576" s="107"/>
      <c r="Y576" s="107"/>
      <c r="Z576" s="107"/>
      <c r="AA576" s="107"/>
      <c r="AB576" s="107"/>
      <c r="AC576" s="107"/>
      <c r="AD576" s="107"/>
    </row>
    <row r="577">
      <c r="A577" s="107"/>
      <c r="B577" s="107"/>
      <c r="C577" s="148"/>
      <c r="D577" s="15"/>
      <c r="E577" s="149"/>
      <c r="F577" s="137"/>
      <c r="G577" s="137"/>
      <c r="H577" s="137"/>
      <c r="I577" s="144"/>
      <c r="J577" s="107"/>
      <c r="K577" s="107"/>
      <c r="L577" s="107"/>
      <c r="M577" s="107"/>
      <c r="N577" s="107"/>
      <c r="O577" s="107"/>
      <c r="P577" s="107"/>
      <c r="Q577" s="107"/>
      <c r="R577" s="107"/>
      <c r="S577" s="107"/>
      <c r="T577" s="107"/>
      <c r="U577" s="107"/>
      <c r="V577" s="107"/>
      <c r="W577" s="107"/>
      <c r="X577" s="107"/>
      <c r="Y577" s="107"/>
      <c r="Z577" s="107"/>
      <c r="AA577" s="107"/>
      <c r="AB577" s="107"/>
      <c r="AC577" s="107"/>
      <c r="AD577" s="107"/>
    </row>
    <row r="578">
      <c r="A578" s="107"/>
      <c r="B578" s="107"/>
      <c r="C578" s="148"/>
      <c r="D578" s="15"/>
      <c r="E578" s="149"/>
      <c r="F578" s="137"/>
      <c r="G578" s="137"/>
      <c r="H578" s="137"/>
      <c r="I578" s="144"/>
      <c r="J578" s="107"/>
      <c r="K578" s="107"/>
      <c r="L578" s="107"/>
      <c r="M578" s="107"/>
      <c r="N578" s="107"/>
      <c r="O578" s="107"/>
      <c r="P578" s="107"/>
      <c r="Q578" s="107"/>
      <c r="R578" s="107"/>
      <c r="S578" s="107"/>
      <c r="T578" s="107"/>
      <c r="U578" s="107"/>
      <c r="V578" s="107"/>
      <c r="W578" s="107"/>
      <c r="X578" s="107"/>
      <c r="Y578" s="107"/>
      <c r="Z578" s="107"/>
      <c r="AA578" s="107"/>
      <c r="AB578" s="107"/>
      <c r="AC578" s="107"/>
      <c r="AD578" s="107"/>
    </row>
    <row r="579">
      <c r="A579" s="107"/>
      <c r="B579" s="107"/>
      <c r="C579" s="148"/>
      <c r="D579" s="15"/>
      <c r="E579" s="149"/>
      <c r="F579" s="137"/>
      <c r="G579" s="137"/>
      <c r="H579" s="137"/>
      <c r="I579" s="144"/>
      <c r="J579" s="107"/>
      <c r="K579" s="107"/>
      <c r="L579" s="107"/>
      <c r="M579" s="107"/>
      <c r="N579" s="107"/>
      <c r="O579" s="107"/>
      <c r="P579" s="107"/>
      <c r="Q579" s="107"/>
      <c r="R579" s="107"/>
      <c r="S579" s="107"/>
      <c r="T579" s="107"/>
      <c r="U579" s="107"/>
      <c r="V579" s="107"/>
      <c r="W579" s="107"/>
      <c r="X579" s="107"/>
      <c r="Y579" s="107"/>
      <c r="Z579" s="107"/>
      <c r="AA579" s="107"/>
      <c r="AB579" s="107"/>
      <c r="AC579" s="107"/>
      <c r="AD579" s="107"/>
    </row>
    <row r="580">
      <c r="A580" s="107"/>
      <c r="B580" s="107"/>
      <c r="C580" s="148"/>
      <c r="D580" s="15"/>
      <c r="E580" s="149"/>
      <c r="F580" s="137"/>
      <c r="G580" s="137"/>
      <c r="H580" s="137"/>
      <c r="I580" s="144"/>
      <c r="J580" s="107"/>
      <c r="K580" s="107"/>
      <c r="L580" s="107"/>
      <c r="M580" s="107"/>
      <c r="N580" s="107"/>
      <c r="O580" s="107"/>
      <c r="P580" s="107"/>
      <c r="Q580" s="107"/>
      <c r="R580" s="107"/>
      <c r="S580" s="107"/>
      <c r="T580" s="107"/>
      <c r="U580" s="107"/>
      <c r="V580" s="107"/>
      <c r="W580" s="107"/>
      <c r="X580" s="107"/>
      <c r="Y580" s="107"/>
      <c r="Z580" s="107"/>
      <c r="AA580" s="107"/>
      <c r="AB580" s="107"/>
      <c r="AC580" s="107"/>
      <c r="AD580" s="107"/>
    </row>
    <row r="581">
      <c r="A581" s="107"/>
      <c r="B581" s="107"/>
      <c r="C581" s="148"/>
      <c r="D581" s="15"/>
      <c r="E581" s="149"/>
      <c r="F581" s="137"/>
      <c r="G581" s="137"/>
      <c r="H581" s="137"/>
      <c r="I581" s="144"/>
      <c r="J581" s="107"/>
      <c r="K581" s="107"/>
      <c r="L581" s="107"/>
      <c r="M581" s="107"/>
      <c r="N581" s="107"/>
      <c r="O581" s="107"/>
      <c r="P581" s="107"/>
      <c r="Q581" s="107"/>
      <c r="R581" s="107"/>
      <c r="S581" s="107"/>
      <c r="T581" s="107"/>
      <c r="U581" s="107"/>
      <c r="V581" s="107"/>
      <c r="W581" s="107"/>
      <c r="X581" s="107"/>
      <c r="Y581" s="107"/>
      <c r="Z581" s="107"/>
      <c r="AA581" s="107"/>
      <c r="AB581" s="107"/>
      <c r="AC581" s="107"/>
      <c r="AD581" s="107"/>
    </row>
    <row r="582">
      <c r="A582" s="107"/>
      <c r="B582" s="107"/>
      <c r="C582" s="148"/>
      <c r="D582" s="15"/>
      <c r="E582" s="149"/>
      <c r="F582" s="137"/>
      <c r="G582" s="137"/>
      <c r="H582" s="137"/>
      <c r="I582" s="144"/>
      <c r="J582" s="107"/>
      <c r="K582" s="107"/>
      <c r="L582" s="107"/>
      <c r="M582" s="107"/>
      <c r="N582" s="107"/>
      <c r="O582" s="107"/>
      <c r="P582" s="107"/>
      <c r="Q582" s="107"/>
      <c r="R582" s="107"/>
      <c r="S582" s="107"/>
      <c r="T582" s="107"/>
      <c r="U582" s="107"/>
      <c r="V582" s="107"/>
      <c r="W582" s="107"/>
      <c r="X582" s="107"/>
      <c r="Y582" s="107"/>
      <c r="Z582" s="107"/>
      <c r="AA582" s="107"/>
      <c r="AB582" s="107"/>
      <c r="AC582" s="107"/>
      <c r="AD582" s="107"/>
    </row>
    <row r="583">
      <c r="A583" s="107"/>
      <c r="B583" s="107"/>
      <c r="C583" s="148"/>
      <c r="D583" s="15"/>
      <c r="E583" s="149"/>
      <c r="F583" s="137"/>
      <c r="G583" s="137"/>
      <c r="H583" s="137"/>
      <c r="I583" s="144"/>
      <c r="J583" s="107"/>
      <c r="K583" s="107"/>
      <c r="L583" s="107"/>
      <c r="M583" s="107"/>
      <c r="N583" s="107"/>
      <c r="O583" s="107"/>
      <c r="P583" s="107"/>
      <c r="Q583" s="107"/>
      <c r="R583" s="107"/>
      <c r="S583" s="107"/>
      <c r="T583" s="107"/>
      <c r="U583" s="107"/>
      <c r="V583" s="107"/>
      <c r="W583" s="107"/>
      <c r="X583" s="107"/>
      <c r="Y583" s="107"/>
      <c r="Z583" s="107"/>
      <c r="AA583" s="107"/>
      <c r="AB583" s="107"/>
      <c r="AC583" s="107"/>
      <c r="AD583" s="107"/>
    </row>
    <row r="584">
      <c r="A584" s="107"/>
      <c r="B584" s="107"/>
      <c r="C584" s="148"/>
      <c r="D584" s="15"/>
      <c r="E584" s="149"/>
      <c r="F584" s="137"/>
      <c r="G584" s="137"/>
      <c r="H584" s="137"/>
      <c r="I584" s="144"/>
      <c r="J584" s="107"/>
      <c r="K584" s="107"/>
      <c r="L584" s="107"/>
      <c r="M584" s="107"/>
      <c r="N584" s="107"/>
      <c r="O584" s="107"/>
      <c r="P584" s="107"/>
      <c r="Q584" s="107"/>
      <c r="R584" s="107"/>
      <c r="S584" s="107"/>
      <c r="T584" s="107"/>
      <c r="U584" s="107"/>
      <c r="V584" s="107"/>
      <c r="W584" s="107"/>
      <c r="X584" s="107"/>
      <c r="Y584" s="107"/>
      <c r="Z584" s="107"/>
      <c r="AA584" s="107"/>
      <c r="AB584" s="107"/>
      <c r="AC584" s="107"/>
      <c r="AD584" s="107"/>
    </row>
    <row r="585">
      <c r="A585" s="107"/>
      <c r="B585" s="107"/>
      <c r="C585" s="148"/>
      <c r="D585" s="15"/>
      <c r="E585" s="149"/>
      <c r="F585" s="137"/>
      <c r="G585" s="137"/>
      <c r="H585" s="137"/>
      <c r="I585" s="144"/>
      <c r="J585" s="107"/>
      <c r="K585" s="107"/>
      <c r="L585" s="107"/>
      <c r="M585" s="107"/>
      <c r="N585" s="107"/>
      <c r="O585" s="107"/>
      <c r="P585" s="107"/>
      <c r="Q585" s="107"/>
      <c r="R585" s="107"/>
      <c r="S585" s="107"/>
      <c r="T585" s="107"/>
      <c r="U585" s="107"/>
      <c r="V585" s="107"/>
      <c r="W585" s="107"/>
      <c r="X585" s="107"/>
      <c r="Y585" s="107"/>
      <c r="Z585" s="107"/>
      <c r="AA585" s="107"/>
      <c r="AB585" s="107"/>
      <c r="AC585" s="107"/>
      <c r="AD585" s="107"/>
    </row>
    <row r="586">
      <c r="A586" s="107"/>
      <c r="B586" s="107"/>
      <c r="C586" s="148"/>
      <c r="D586" s="15"/>
      <c r="E586" s="149"/>
      <c r="F586" s="137"/>
      <c r="G586" s="137"/>
      <c r="H586" s="137"/>
      <c r="I586" s="144"/>
      <c r="J586" s="107"/>
      <c r="K586" s="107"/>
      <c r="L586" s="107"/>
      <c r="M586" s="107"/>
      <c r="N586" s="107"/>
      <c r="O586" s="107"/>
      <c r="P586" s="107"/>
      <c r="Q586" s="107"/>
      <c r="R586" s="107"/>
      <c r="S586" s="107"/>
      <c r="T586" s="107"/>
      <c r="U586" s="107"/>
      <c r="V586" s="107"/>
      <c r="W586" s="107"/>
      <c r="X586" s="107"/>
      <c r="Y586" s="107"/>
      <c r="Z586" s="107"/>
      <c r="AA586" s="107"/>
      <c r="AB586" s="107"/>
      <c r="AC586" s="107"/>
      <c r="AD586" s="107"/>
    </row>
    <row r="587">
      <c r="A587" s="107"/>
      <c r="B587" s="107"/>
      <c r="C587" s="148"/>
      <c r="D587" s="15"/>
      <c r="E587" s="149"/>
      <c r="F587" s="137"/>
      <c r="G587" s="137"/>
      <c r="H587" s="137"/>
      <c r="I587" s="144"/>
      <c r="J587" s="107"/>
      <c r="K587" s="107"/>
      <c r="L587" s="107"/>
      <c r="M587" s="107"/>
      <c r="N587" s="107"/>
      <c r="O587" s="107"/>
      <c r="P587" s="107"/>
      <c r="Q587" s="107"/>
      <c r="R587" s="107"/>
      <c r="S587" s="107"/>
      <c r="T587" s="107"/>
      <c r="U587" s="107"/>
      <c r="V587" s="107"/>
      <c r="W587" s="107"/>
      <c r="X587" s="107"/>
      <c r="Y587" s="107"/>
      <c r="Z587" s="107"/>
      <c r="AA587" s="107"/>
      <c r="AB587" s="107"/>
      <c r="AC587" s="107"/>
      <c r="AD587" s="107"/>
    </row>
    <row r="588">
      <c r="A588" s="107"/>
      <c r="B588" s="107"/>
      <c r="C588" s="148"/>
      <c r="D588" s="15"/>
      <c r="E588" s="149"/>
      <c r="F588" s="137"/>
      <c r="G588" s="137"/>
      <c r="H588" s="137"/>
      <c r="I588" s="144"/>
      <c r="J588" s="107"/>
      <c r="K588" s="107"/>
      <c r="L588" s="107"/>
      <c r="M588" s="107"/>
      <c r="N588" s="107"/>
      <c r="O588" s="107"/>
      <c r="P588" s="107"/>
      <c r="Q588" s="107"/>
      <c r="R588" s="107"/>
      <c r="S588" s="107"/>
      <c r="T588" s="107"/>
      <c r="U588" s="107"/>
      <c r="V588" s="107"/>
      <c r="W588" s="107"/>
      <c r="X588" s="107"/>
      <c r="Y588" s="107"/>
      <c r="Z588" s="107"/>
      <c r="AA588" s="107"/>
      <c r="AB588" s="107"/>
      <c r="AC588" s="107"/>
      <c r="AD588" s="107"/>
    </row>
    <row r="589">
      <c r="A589" s="107"/>
      <c r="B589" s="107"/>
      <c r="C589" s="148"/>
      <c r="D589" s="15"/>
      <c r="E589" s="149"/>
      <c r="F589" s="137"/>
      <c r="G589" s="137"/>
      <c r="H589" s="137"/>
      <c r="I589" s="144"/>
      <c r="J589" s="107"/>
      <c r="K589" s="107"/>
      <c r="L589" s="107"/>
      <c r="M589" s="107"/>
      <c r="N589" s="107"/>
      <c r="O589" s="107"/>
      <c r="P589" s="107"/>
      <c r="Q589" s="107"/>
      <c r="R589" s="107"/>
      <c r="S589" s="107"/>
      <c r="T589" s="107"/>
      <c r="U589" s="107"/>
      <c r="V589" s="107"/>
      <c r="W589" s="107"/>
      <c r="X589" s="107"/>
      <c r="Y589" s="107"/>
      <c r="Z589" s="107"/>
      <c r="AA589" s="107"/>
      <c r="AB589" s="107"/>
      <c r="AC589" s="107"/>
      <c r="AD589" s="107"/>
    </row>
    <row r="590">
      <c r="A590" s="107"/>
      <c r="B590" s="107"/>
      <c r="C590" s="148"/>
      <c r="D590" s="15"/>
      <c r="E590" s="149"/>
      <c r="F590" s="137"/>
      <c r="G590" s="137"/>
      <c r="H590" s="137"/>
      <c r="I590" s="144"/>
      <c r="J590" s="107"/>
      <c r="K590" s="107"/>
      <c r="L590" s="107"/>
      <c r="M590" s="107"/>
      <c r="N590" s="107"/>
      <c r="O590" s="107"/>
      <c r="P590" s="107"/>
      <c r="Q590" s="107"/>
      <c r="R590" s="107"/>
      <c r="S590" s="107"/>
      <c r="T590" s="107"/>
      <c r="U590" s="107"/>
      <c r="V590" s="107"/>
      <c r="W590" s="107"/>
      <c r="X590" s="107"/>
      <c r="Y590" s="107"/>
      <c r="Z590" s="107"/>
      <c r="AA590" s="107"/>
      <c r="AB590" s="107"/>
      <c r="AC590" s="107"/>
      <c r="AD590" s="107"/>
    </row>
    <row r="591">
      <c r="A591" s="107"/>
      <c r="B591" s="107"/>
      <c r="C591" s="148"/>
      <c r="D591" s="15"/>
      <c r="E591" s="149"/>
      <c r="F591" s="137"/>
      <c r="G591" s="137"/>
      <c r="H591" s="137"/>
      <c r="I591" s="144"/>
      <c r="J591" s="107"/>
      <c r="K591" s="107"/>
      <c r="L591" s="107"/>
      <c r="M591" s="107"/>
      <c r="N591" s="107"/>
      <c r="O591" s="107"/>
      <c r="P591" s="107"/>
      <c r="Q591" s="107"/>
      <c r="R591" s="107"/>
      <c r="S591" s="107"/>
      <c r="T591" s="107"/>
      <c r="U591" s="107"/>
      <c r="V591" s="107"/>
      <c r="W591" s="107"/>
      <c r="X591" s="107"/>
      <c r="Y591" s="107"/>
      <c r="Z591" s="107"/>
      <c r="AA591" s="107"/>
      <c r="AB591" s="107"/>
      <c r="AC591" s="107"/>
      <c r="AD591" s="107"/>
    </row>
    <row r="592">
      <c r="A592" s="107"/>
      <c r="B592" s="107"/>
      <c r="C592" s="148"/>
      <c r="D592" s="15"/>
      <c r="E592" s="149"/>
      <c r="F592" s="137"/>
      <c r="G592" s="137"/>
      <c r="H592" s="137"/>
      <c r="I592" s="144"/>
      <c r="J592" s="107"/>
      <c r="K592" s="107"/>
      <c r="L592" s="107"/>
      <c r="M592" s="107"/>
      <c r="N592" s="107"/>
      <c r="O592" s="107"/>
      <c r="P592" s="107"/>
      <c r="Q592" s="107"/>
      <c r="R592" s="107"/>
      <c r="S592" s="107"/>
      <c r="T592" s="107"/>
      <c r="U592" s="107"/>
      <c r="V592" s="107"/>
      <c r="W592" s="107"/>
      <c r="X592" s="107"/>
      <c r="Y592" s="107"/>
      <c r="Z592" s="107"/>
      <c r="AA592" s="107"/>
      <c r="AB592" s="107"/>
      <c r="AC592" s="107"/>
      <c r="AD592" s="107"/>
    </row>
    <row r="593">
      <c r="A593" s="107"/>
      <c r="B593" s="107"/>
      <c r="C593" s="148"/>
      <c r="D593" s="15"/>
      <c r="E593" s="149"/>
      <c r="F593" s="137"/>
      <c r="G593" s="137"/>
      <c r="H593" s="137"/>
      <c r="I593" s="144"/>
      <c r="J593" s="107"/>
      <c r="K593" s="107"/>
      <c r="L593" s="107"/>
      <c r="M593" s="107"/>
      <c r="N593" s="107"/>
      <c r="O593" s="107"/>
      <c r="P593" s="107"/>
      <c r="Q593" s="107"/>
      <c r="R593" s="107"/>
      <c r="S593" s="107"/>
      <c r="T593" s="107"/>
      <c r="U593" s="107"/>
      <c r="V593" s="107"/>
      <c r="W593" s="107"/>
      <c r="X593" s="107"/>
      <c r="Y593" s="107"/>
      <c r="Z593" s="107"/>
      <c r="AA593" s="107"/>
      <c r="AB593" s="107"/>
      <c r="AC593" s="107"/>
      <c r="AD593" s="107"/>
    </row>
    <row r="594">
      <c r="A594" s="107"/>
      <c r="B594" s="107"/>
      <c r="C594" s="148"/>
      <c r="D594" s="15"/>
      <c r="E594" s="149"/>
      <c r="F594" s="137"/>
      <c r="G594" s="137"/>
      <c r="H594" s="137"/>
      <c r="I594" s="144"/>
      <c r="J594" s="107"/>
      <c r="K594" s="107"/>
      <c r="L594" s="107"/>
      <c r="M594" s="107"/>
      <c r="N594" s="107"/>
      <c r="O594" s="107"/>
      <c r="P594" s="107"/>
      <c r="Q594" s="107"/>
      <c r="R594" s="107"/>
      <c r="S594" s="107"/>
      <c r="T594" s="107"/>
      <c r="U594" s="107"/>
      <c r="V594" s="107"/>
      <c r="W594" s="107"/>
      <c r="X594" s="107"/>
      <c r="Y594" s="107"/>
      <c r="Z594" s="107"/>
      <c r="AA594" s="107"/>
      <c r="AB594" s="107"/>
      <c r="AC594" s="107"/>
      <c r="AD594" s="107"/>
    </row>
    <row r="595">
      <c r="A595" s="107"/>
      <c r="B595" s="107"/>
      <c r="C595" s="148"/>
      <c r="D595" s="15"/>
      <c r="E595" s="149"/>
      <c r="F595" s="137"/>
      <c r="G595" s="137"/>
      <c r="H595" s="137"/>
      <c r="I595" s="144"/>
      <c r="J595" s="107"/>
      <c r="K595" s="107"/>
      <c r="L595" s="107"/>
      <c r="M595" s="107"/>
      <c r="N595" s="107"/>
      <c r="O595" s="107"/>
      <c r="P595" s="107"/>
      <c r="Q595" s="107"/>
      <c r="R595" s="107"/>
      <c r="S595" s="107"/>
      <c r="T595" s="107"/>
      <c r="U595" s="107"/>
      <c r="V595" s="107"/>
      <c r="W595" s="107"/>
      <c r="X595" s="107"/>
      <c r="Y595" s="107"/>
      <c r="Z595" s="107"/>
      <c r="AA595" s="107"/>
      <c r="AB595" s="107"/>
      <c r="AC595" s="107"/>
      <c r="AD595" s="107"/>
    </row>
    <row r="596">
      <c r="A596" s="107"/>
      <c r="B596" s="107"/>
      <c r="C596" s="148"/>
      <c r="D596" s="15"/>
      <c r="E596" s="149"/>
      <c r="F596" s="137"/>
      <c r="G596" s="137"/>
      <c r="H596" s="137"/>
      <c r="I596" s="144"/>
      <c r="J596" s="107"/>
      <c r="K596" s="107"/>
      <c r="L596" s="107"/>
      <c r="M596" s="107"/>
      <c r="N596" s="107"/>
      <c r="O596" s="107"/>
      <c r="P596" s="107"/>
      <c r="Q596" s="107"/>
      <c r="R596" s="107"/>
      <c r="S596" s="107"/>
      <c r="T596" s="107"/>
      <c r="U596" s="107"/>
      <c r="V596" s="107"/>
      <c r="W596" s="107"/>
      <c r="X596" s="107"/>
      <c r="Y596" s="107"/>
      <c r="Z596" s="107"/>
      <c r="AA596" s="107"/>
      <c r="AB596" s="107"/>
      <c r="AC596" s="107"/>
      <c r="AD596" s="107"/>
    </row>
    <row r="597">
      <c r="A597" s="107"/>
      <c r="B597" s="107"/>
      <c r="C597" s="148"/>
      <c r="D597" s="15"/>
      <c r="E597" s="149"/>
      <c r="F597" s="137"/>
      <c r="G597" s="137"/>
      <c r="H597" s="137"/>
      <c r="I597" s="144"/>
      <c r="J597" s="107"/>
      <c r="K597" s="107"/>
      <c r="L597" s="107"/>
      <c r="M597" s="107"/>
      <c r="N597" s="107"/>
      <c r="O597" s="107"/>
      <c r="P597" s="107"/>
      <c r="Q597" s="107"/>
      <c r="R597" s="107"/>
      <c r="S597" s="107"/>
      <c r="T597" s="107"/>
      <c r="U597" s="107"/>
      <c r="V597" s="107"/>
      <c r="W597" s="107"/>
      <c r="X597" s="107"/>
      <c r="Y597" s="107"/>
      <c r="Z597" s="107"/>
      <c r="AA597" s="107"/>
      <c r="AB597" s="107"/>
      <c r="AC597" s="107"/>
      <c r="AD597" s="107"/>
    </row>
    <row r="598">
      <c r="A598" s="107"/>
      <c r="B598" s="107"/>
      <c r="C598" s="148"/>
      <c r="D598" s="15"/>
      <c r="E598" s="149"/>
      <c r="F598" s="137"/>
      <c r="G598" s="137"/>
      <c r="H598" s="137"/>
      <c r="I598" s="144"/>
      <c r="J598" s="107"/>
      <c r="K598" s="107"/>
      <c r="L598" s="107"/>
      <c r="M598" s="107"/>
      <c r="N598" s="107"/>
      <c r="O598" s="107"/>
      <c r="P598" s="107"/>
      <c r="Q598" s="107"/>
      <c r="R598" s="107"/>
      <c r="S598" s="107"/>
      <c r="T598" s="107"/>
      <c r="U598" s="107"/>
      <c r="V598" s="107"/>
      <c r="W598" s="107"/>
      <c r="X598" s="107"/>
      <c r="Y598" s="107"/>
      <c r="Z598" s="107"/>
      <c r="AA598" s="107"/>
      <c r="AB598" s="107"/>
      <c r="AC598" s="107"/>
      <c r="AD598" s="107"/>
    </row>
    <row r="599">
      <c r="A599" s="107"/>
      <c r="B599" s="107"/>
      <c r="C599" s="148"/>
      <c r="D599" s="15"/>
      <c r="E599" s="149"/>
      <c r="F599" s="137"/>
      <c r="G599" s="137"/>
      <c r="H599" s="137"/>
      <c r="I599" s="144"/>
      <c r="J599" s="107"/>
      <c r="K599" s="107"/>
      <c r="L599" s="107"/>
      <c r="M599" s="107"/>
      <c r="N599" s="107"/>
      <c r="O599" s="107"/>
      <c r="P599" s="107"/>
      <c r="Q599" s="107"/>
      <c r="R599" s="107"/>
      <c r="S599" s="107"/>
      <c r="T599" s="107"/>
      <c r="U599" s="107"/>
      <c r="V599" s="107"/>
      <c r="W599" s="107"/>
      <c r="X599" s="107"/>
      <c r="Y599" s="107"/>
      <c r="Z599" s="107"/>
      <c r="AA599" s="107"/>
      <c r="AB599" s="107"/>
      <c r="AC599" s="107"/>
      <c r="AD599" s="107"/>
    </row>
    <row r="600">
      <c r="A600" s="107"/>
      <c r="B600" s="107"/>
      <c r="C600" s="148"/>
      <c r="D600" s="15"/>
      <c r="E600" s="149"/>
      <c r="F600" s="137"/>
      <c r="G600" s="137"/>
      <c r="H600" s="137"/>
      <c r="I600" s="144"/>
      <c r="J600" s="107"/>
      <c r="K600" s="107"/>
      <c r="L600" s="107"/>
      <c r="M600" s="107"/>
      <c r="N600" s="107"/>
      <c r="O600" s="107"/>
      <c r="P600" s="107"/>
      <c r="Q600" s="107"/>
      <c r="R600" s="107"/>
      <c r="S600" s="107"/>
      <c r="T600" s="107"/>
      <c r="U600" s="107"/>
      <c r="V600" s="107"/>
      <c r="W600" s="107"/>
      <c r="X600" s="107"/>
      <c r="Y600" s="107"/>
      <c r="Z600" s="107"/>
      <c r="AA600" s="107"/>
      <c r="AB600" s="107"/>
      <c r="AC600" s="107"/>
      <c r="AD600" s="107"/>
    </row>
    <row r="601">
      <c r="A601" s="107"/>
      <c r="B601" s="107"/>
      <c r="C601" s="148"/>
      <c r="D601" s="15"/>
      <c r="E601" s="149"/>
      <c r="F601" s="137"/>
      <c r="G601" s="137"/>
      <c r="H601" s="137"/>
      <c r="I601" s="144"/>
      <c r="J601" s="107"/>
      <c r="K601" s="107"/>
      <c r="L601" s="107"/>
      <c r="M601" s="107"/>
      <c r="N601" s="107"/>
      <c r="O601" s="107"/>
      <c r="P601" s="107"/>
      <c r="Q601" s="107"/>
      <c r="R601" s="107"/>
      <c r="S601" s="107"/>
      <c r="T601" s="107"/>
      <c r="U601" s="107"/>
      <c r="V601" s="107"/>
      <c r="W601" s="107"/>
      <c r="X601" s="107"/>
      <c r="Y601" s="107"/>
      <c r="Z601" s="107"/>
      <c r="AA601" s="107"/>
      <c r="AB601" s="107"/>
      <c r="AC601" s="107"/>
      <c r="AD601" s="107"/>
    </row>
    <row r="602">
      <c r="A602" s="107"/>
      <c r="B602" s="107"/>
      <c r="C602" s="148"/>
      <c r="D602" s="15"/>
      <c r="E602" s="149"/>
      <c r="F602" s="137"/>
      <c r="G602" s="137"/>
      <c r="H602" s="137"/>
      <c r="I602" s="144"/>
      <c r="J602" s="107"/>
      <c r="K602" s="107"/>
      <c r="L602" s="107"/>
      <c r="M602" s="107"/>
      <c r="N602" s="107"/>
      <c r="O602" s="107"/>
      <c r="P602" s="107"/>
      <c r="Q602" s="107"/>
      <c r="R602" s="107"/>
      <c r="S602" s="107"/>
      <c r="T602" s="107"/>
      <c r="U602" s="107"/>
      <c r="V602" s="107"/>
      <c r="W602" s="107"/>
      <c r="X602" s="107"/>
      <c r="Y602" s="107"/>
      <c r="Z602" s="107"/>
      <c r="AA602" s="107"/>
      <c r="AB602" s="107"/>
      <c r="AC602" s="107"/>
      <c r="AD602" s="107"/>
    </row>
    <row r="603">
      <c r="A603" s="107"/>
      <c r="B603" s="107"/>
      <c r="C603" s="148"/>
      <c r="D603" s="15"/>
      <c r="E603" s="149"/>
      <c r="F603" s="137"/>
      <c r="G603" s="137"/>
      <c r="H603" s="137"/>
      <c r="I603" s="144"/>
      <c r="J603" s="107"/>
      <c r="K603" s="107"/>
      <c r="L603" s="107"/>
      <c r="M603" s="107"/>
      <c r="N603" s="107"/>
      <c r="O603" s="107"/>
      <c r="P603" s="107"/>
      <c r="Q603" s="107"/>
      <c r="R603" s="107"/>
      <c r="S603" s="107"/>
      <c r="T603" s="107"/>
      <c r="U603" s="107"/>
      <c r="V603" s="107"/>
      <c r="W603" s="107"/>
      <c r="X603" s="107"/>
      <c r="Y603" s="107"/>
      <c r="Z603" s="107"/>
      <c r="AA603" s="107"/>
      <c r="AB603" s="107"/>
      <c r="AC603" s="107"/>
      <c r="AD603" s="107"/>
    </row>
    <row r="604">
      <c r="A604" s="107"/>
      <c r="B604" s="107"/>
      <c r="C604" s="148"/>
      <c r="D604" s="15"/>
      <c r="E604" s="149"/>
      <c r="F604" s="137"/>
      <c r="G604" s="137"/>
      <c r="H604" s="137"/>
      <c r="I604" s="144"/>
      <c r="J604" s="107"/>
      <c r="K604" s="107"/>
      <c r="L604" s="107"/>
      <c r="M604" s="107"/>
      <c r="N604" s="107"/>
      <c r="O604" s="107"/>
      <c r="P604" s="107"/>
      <c r="Q604" s="107"/>
      <c r="R604" s="107"/>
      <c r="S604" s="107"/>
      <c r="T604" s="107"/>
      <c r="U604" s="107"/>
      <c r="V604" s="107"/>
      <c r="W604" s="107"/>
      <c r="X604" s="107"/>
      <c r="Y604" s="107"/>
      <c r="Z604" s="107"/>
      <c r="AA604" s="107"/>
      <c r="AB604" s="107"/>
      <c r="AC604" s="107"/>
      <c r="AD604" s="107"/>
    </row>
    <row r="605">
      <c r="A605" s="107"/>
      <c r="B605" s="107"/>
      <c r="C605" s="107"/>
      <c r="D605" s="107"/>
      <c r="E605" s="149"/>
      <c r="F605" s="137"/>
      <c r="G605" s="137"/>
      <c r="H605" s="137"/>
      <c r="I605" s="144"/>
      <c r="J605" s="107"/>
      <c r="K605" s="107"/>
      <c r="L605" s="107"/>
      <c r="M605" s="107"/>
      <c r="N605" s="107"/>
      <c r="O605" s="107"/>
      <c r="P605" s="107"/>
      <c r="Q605" s="107"/>
      <c r="R605" s="107"/>
      <c r="S605" s="107"/>
      <c r="T605" s="107"/>
      <c r="U605" s="107"/>
      <c r="V605" s="107"/>
      <c r="W605" s="107"/>
      <c r="X605" s="107"/>
      <c r="Y605" s="107"/>
      <c r="Z605" s="107"/>
      <c r="AA605" s="107"/>
      <c r="AB605" s="107"/>
      <c r="AC605" s="107"/>
      <c r="AD605" s="107"/>
    </row>
    <row r="606">
      <c r="A606" s="107"/>
      <c r="B606" s="107"/>
      <c r="C606" s="107"/>
      <c r="D606" s="107"/>
      <c r="E606" s="149"/>
      <c r="F606" s="137"/>
      <c r="G606" s="137"/>
      <c r="H606" s="137"/>
      <c r="I606" s="144"/>
      <c r="J606" s="107"/>
      <c r="K606" s="107"/>
      <c r="L606" s="107"/>
      <c r="M606" s="107"/>
      <c r="N606" s="107"/>
      <c r="O606" s="107"/>
      <c r="P606" s="107"/>
      <c r="Q606" s="107"/>
      <c r="R606" s="107"/>
      <c r="S606" s="107"/>
      <c r="T606" s="107"/>
      <c r="U606" s="107"/>
      <c r="V606" s="107"/>
      <c r="W606" s="107"/>
      <c r="X606" s="107"/>
      <c r="Y606" s="107"/>
      <c r="Z606" s="107"/>
      <c r="AA606" s="107"/>
      <c r="AB606" s="107"/>
      <c r="AC606" s="107"/>
      <c r="AD606" s="107"/>
    </row>
    <row r="607">
      <c r="A607" s="107"/>
      <c r="B607" s="107"/>
      <c r="C607" s="107"/>
      <c r="D607" s="107"/>
      <c r="E607" s="149"/>
      <c r="F607" s="137"/>
      <c r="G607" s="137"/>
      <c r="H607" s="137"/>
      <c r="I607" s="144"/>
      <c r="J607" s="107"/>
      <c r="K607" s="107"/>
      <c r="L607" s="107"/>
      <c r="M607" s="107"/>
      <c r="N607" s="107"/>
      <c r="O607" s="107"/>
      <c r="P607" s="107"/>
      <c r="Q607" s="107"/>
      <c r="R607" s="107"/>
      <c r="S607" s="107"/>
      <c r="T607" s="107"/>
      <c r="U607" s="107"/>
      <c r="V607" s="107"/>
      <c r="W607" s="107"/>
      <c r="X607" s="107"/>
      <c r="Y607" s="107"/>
      <c r="Z607" s="107"/>
      <c r="AA607" s="107"/>
      <c r="AB607" s="107"/>
      <c r="AC607" s="107"/>
      <c r="AD607" s="107"/>
    </row>
    <row r="608">
      <c r="A608" s="107"/>
      <c r="B608" s="107"/>
      <c r="C608" s="107"/>
      <c r="D608" s="107"/>
      <c r="E608" s="149"/>
      <c r="F608" s="137"/>
      <c r="G608" s="137"/>
      <c r="H608" s="137"/>
      <c r="I608" s="144"/>
      <c r="J608" s="107"/>
      <c r="K608" s="107"/>
      <c r="L608" s="107"/>
      <c r="M608" s="107"/>
      <c r="N608" s="107"/>
      <c r="O608" s="107"/>
      <c r="P608" s="107"/>
      <c r="Q608" s="107"/>
      <c r="R608" s="107"/>
      <c r="S608" s="107"/>
      <c r="T608" s="107"/>
      <c r="U608" s="107"/>
      <c r="V608" s="107"/>
      <c r="W608" s="107"/>
      <c r="X608" s="107"/>
      <c r="Y608" s="107"/>
      <c r="Z608" s="107"/>
      <c r="AA608" s="107"/>
      <c r="AB608" s="107"/>
      <c r="AC608" s="107"/>
      <c r="AD608" s="107"/>
    </row>
    <row r="609">
      <c r="A609" s="107"/>
      <c r="B609" s="107"/>
      <c r="C609" s="107"/>
      <c r="D609" s="107"/>
      <c r="E609" s="149"/>
      <c r="F609" s="137"/>
      <c r="G609" s="137"/>
      <c r="H609" s="137"/>
      <c r="I609" s="144"/>
      <c r="J609" s="107"/>
      <c r="K609" s="107"/>
      <c r="L609" s="107"/>
      <c r="M609" s="107"/>
      <c r="N609" s="107"/>
      <c r="O609" s="107"/>
      <c r="P609" s="107"/>
      <c r="Q609" s="107"/>
      <c r="R609" s="107"/>
      <c r="S609" s="107"/>
      <c r="T609" s="107"/>
      <c r="U609" s="107"/>
      <c r="V609" s="107"/>
      <c r="W609" s="107"/>
      <c r="X609" s="107"/>
      <c r="Y609" s="107"/>
      <c r="Z609" s="107"/>
      <c r="AA609" s="107"/>
      <c r="AB609" s="107"/>
      <c r="AC609" s="107"/>
      <c r="AD609" s="107"/>
    </row>
    <row r="610">
      <c r="A610" s="107"/>
      <c r="B610" s="107"/>
      <c r="C610" s="107"/>
      <c r="D610" s="107"/>
      <c r="E610" s="149"/>
      <c r="F610" s="137"/>
      <c r="G610" s="137"/>
      <c r="H610" s="137"/>
      <c r="I610" s="144"/>
      <c r="J610" s="107"/>
      <c r="K610" s="107"/>
      <c r="L610" s="107"/>
      <c r="M610" s="107"/>
      <c r="N610" s="107"/>
      <c r="O610" s="107"/>
      <c r="P610" s="107"/>
      <c r="Q610" s="107"/>
      <c r="R610" s="107"/>
      <c r="S610" s="107"/>
      <c r="T610" s="107"/>
      <c r="U610" s="107"/>
      <c r="V610" s="107"/>
      <c r="W610" s="107"/>
      <c r="X610" s="107"/>
      <c r="Y610" s="107"/>
      <c r="Z610" s="107"/>
      <c r="AA610" s="107"/>
      <c r="AB610" s="107"/>
      <c r="AC610" s="107"/>
      <c r="AD610" s="107"/>
    </row>
    <row r="611">
      <c r="A611" s="107"/>
      <c r="B611" s="107"/>
      <c r="C611" s="107"/>
      <c r="D611" s="107"/>
      <c r="E611" s="149"/>
      <c r="F611" s="137"/>
      <c r="G611" s="137"/>
      <c r="H611" s="137"/>
      <c r="I611" s="144"/>
      <c r="J611" s="107"/>
      <c r="K611" s="107"/>
      <c r="L611" s="107"/>
      <c r="M611" s="107"/>
      <c r="N611" s="107"/>
      <c r="O611" s="107"/>
      <c r="P611" s="107"/>
      <c r="Q611" s="107"/>
      <c r="R611" s="107"/>
      <c r="S611" s="107"/>
      <c r="T611" s="107"/>
      <c r="U611" s="107"/>
      <c r="V611" s="107"/>
      <c r="W611" s="107"/>
      <c r="X611" s="107"/>
      <c r="Y611" s="107"/>
      <c r="Z611" s="107"/>
      <c r="AA611" s="107"/>
      <c r="AB611" s="107"/>
      <c r="AC611" s="107"/>
      <c r="AD611" s="107"/>
    </row>
    <row r="612">
      <c r="A612" s="107"/>
      <c r="B612" s="107"/>
      <c r="C612" s="107"/>
      <c r="D612" s="107"/>
      <c r="E612" s="149"/>
      <c r="F612" s="137"/>
      <c r="G612" s="137"/>
      <c r="H612" s="137"/>
      <c r="I612" s="144"/>
      <c r="J612" s="107"/>
      <c r="K612" s="107"/>
      <c r="L612" s="107"/>
      <c r="M612" s="107"/>
      <c r="N612" s="107"/>
      <c r="O612" s="107"/>
      <c r="P612" s="107"/>
      <c r="Q612" s="107"/>
      <c r="R612" s="107"/>
      <c r="S612" s="107"/>
      <c r="T612" s="107"/>
      <c r="U612" s="107"/>
      <c r="V612" s="107"/>
      <c r="W612" s="107"/>
      <c r="X612" s="107"/>
      <c r="Y612" s="107"/>
      <c r="Z612" s="107"/>
      <c r="AA612" s="107"/>
      <c r="AB612" s="107"/>
      <c r="AC612" s="107"/>
      <c r="AD612" s="107"/>
    </row>
    <row r="613">
      <c r="A613" s="107"/>
      <c r="B613" s="107"/>
      <c r="C613" s="107"/>
      <c r="D613" s="107"/>
      <c r="E613" s="149"/>
      <c r="F613" s="137"/>
      <c r="G613" s="137"/>
      <c r="H613" s="137"/>
      <c r="I613" s="144"/>
      <c r="J613" s="107"/>
      <c r="K613" s="107"/>
      <c r="L613" s="107"/>
      <c r="M613" s="107"/>
      <c r="N613" s="107"/>
      <c r="O613" s="107"/>
      <c r="P613" s="107"/>
      <c r="Q613" s="107"/>
      <c r="R613" s="107"/>
      <c r="S613" s="107"/>
      <c r="T613" s="107"/>
      <c r="U613" s="107"/>
      <c r="V613" s="107"/>
      <c r="W613" s="107"/>
      <c r="X613" s="107"/>
      <c r="Y613" s="107"/>
      <c r="Z613" s="107"/>
      <c r="AA613" s="107"/>
      <c r="AB613" s="107"/>
      <c r="AC613" s="107"/>
      <c r="AD613" s="107"/>
    </row>
    <row r="614">
      <c r="A614" s="107"/>
      <c r="B614" s="107"/>
      <c r="C614" s="107"/>
      <c r="D614" s="107"/>
      <c r="E614" s="149"/>
      <c r="F614" s="137"/>
      <c r="G614" s="137"/>
      <c r="H614" s="137"/>
      <c r="I614" s="144"/>
      <c r="J614" s="107"/>
      <c r="K614" s="107"/>
      <c r="L614" s="107"/>
      <c r="M614" s="107"/>
      <c r="N614" s="107"/>
      <c r="O614" s="107"/>
      <c r="P614" s="107"/>
      <c r="Q614" s="107"/>
      <c r="R614" s="107"/>
      <c r="S614" s="107"/>
      <c r="T614" s="107"/>
      <c r="U614" s="107"/>
      <c r="V614" s="107"/>
      <c r="W614" s="107"/>
      <c r="X614" s="107"/>
      <c r="Y614" s="107"/>
      <c r="Z614" s="107"/>
      <c r="AA614" s="107"/>
      <c r="AB614" s="107"/>
      <c r="AC614" s="107"/>
      <c r="AD614" s="107"/>
    </row>
    <row r="615">
      <c r="A615" s="107"/>
      <c r="B615" s="107"/>
      <c r="C615" s="107"/>
      <c r="D615" s="107"/>
      <c r="E615" s="149"/>
      <c r="F615" s="137"/>
      <c r="G615" s="137"/>
      <c r="H615" s="137"/>
      <c r="I615" s="144"/>
      <c r="J615" s="107"/>
      <c r="K615" s="107"/>
      <c r="L615" s="107"/>
      <c r="M615" s="107"/>
      <c r="N615" s="107"/>
      <c r="O615" s="107"/>
      <c r="P615" s="107"/>
      <c r="Q615" s="107"/>
      <c r="R615" s="107"/>
      <c r="S615" s="107"/>
      <c r="T615" s="107"/>
      <c r="U615" s="107"/>
      <c r="V615" s="107"/>
      <c r="W615" s="107"/>
      <c r="X615" s="107"/>
      <c r="Y615" s="107"/>
      <c r="Z615" s="107"/>
      <c r="AA615" s="107"/>
      <c r="AB615" s="107"/>
      <c r="AC615" s="107"/>
      <c r="AD615" s="107"/>
    </row>
    <row r="616">
      <c r="A616" s="107"/>
      <c r="B616" s="107"/>
      <c r="C616" s="107"/>
      <c r="D616" s="107"/>
      <c r="E616" s="149"/>
      <c r="F616" s="137"/>
      <c r="G616" s="137"/>
      <c r="H616" s="137"/>
      <c r="I616" s="144"/>
      <c r="J616" s="107"/>
      <c r="K616" s="107"/>
      <c r="L616" s="107"/>
      <c r="M616" s="107"/>
      <c r="N616" s="107"/>
      <c r="O616" s="107"/>
      <c r="P616" s="107"/>
      <c r="Q616" s="107"/>
      <c r="R616" s="107"/>
      <c r="S616" s="107"/>
      <c r="T616" s="107"/>
      <c r="U616" s="107"/>
      <c r="V616" s="107"/>
      <c r="W616" s="107"/>
      <c r="X616" s="107"/>
      <c r="Y616" s="107"/>
      <c r="Z616" s="107"/>
      <c r="AA616" s="107"/>
      <c r="AB616" s="107"/>
      <c r="AC616" s="107"/>
      <c r="AD616" s="107"/>
    </row>
    <row r="617">
      <c r="A617" s="107"/>
      <c r="B617" s="107"/>
      <c r="C617" s="107"/>
      <c r="D617" s="107"/>
      <c r="E617" s="149"/>
      <c r="F617" s="137"/>
      <c r="G617" s="137"/>
      <c r="H617" s="137"/>
      <c r="I617" s="144"/>
      <c r="J617" s="107"/>
      <c r="K617" s="107"/>
      <c r="L617" s="107"/>
      <c r="M617" s="107"/>
      <c r="N617" s="107"/>
      <c r="O617" s="107"/>
      <c r="P617" s="107"/>
      <c r="Q617" s="107"/>
      <c r="R617" s="107"/>
      <c r="S617" s="107"/>
      <c r="T617" s="107"/>
      <c r="U617" s="107"/>
      <c r="V617" s="107"/>
      <c r="W617" s="107"/>
      <c r="X617" s="107"/>
      <c r="Y617" s="107"/>
      <c r="Z617" s="107"/>
      <c r="AA617" s="107"/>
      <c r="AB617" s="107"/>
      <c r="AC617" s="107"/>
      <c r="AD617" s="107"/>
    </row>
    <row r="618">
      <c r="A618" s="107"/>
      <c r="B618" s="107"/>
      <c r="C618" s="107"/>
      <c r="D618" s="107"/>
      <c r="E618" s="149"/>
      <c r="F618" s="137"/>
      <c r="G618" s="137"/>
      <c r="H618" s="137"/>
      <c r="I618" s="144"/>
      <c r="J618" s="107"/>
      <c r="K618" s="107"/>
      <c r="L618" s="107"/>
      <c r="M618" s="107"/>
      <c r="N618" s="107"/>
      <c r="O618" s="107"/>
      <c r="P618" s="107"/>
      <c r="Q618" s="107"/>
      <c r="R618" s="107"/>
      <c r="S618" s="107"/>
      <c r="T618" s="107"/>
      <c r="U618" s="107"/>
      <c r="V618" s="107"/>
      <c r="W618" s="107"/>
      <c r="X618" s="107"/>
      <c r="Y618" s="107"/>
      <c r="Z618" s="107"/>
      <c r="AA618" s="107"/>
      <c r="AB618" s="107"/>
      <c r="AC618" s="107"/>
      <c r="AD618" s="107"/>
    </row>
    <row r="619">
      <c r="A619" s="107"/>
      <c r="B619" s="107"/>
      <c r="C619" s="107"/>
      <c r="D619" s="107"/>
      <c r="E619" s="149"/>
      <c r="F619" s="137"/>
      <c r="G619" s="137"/>
      <c r="H619" s="137"/>
      <c r="I619" s="144"/>
      <c r="J619" s="107"/>
      <c r="K619" s="107"/>
      <c r="L619" s="107"/>
      <c r="M619" s="107"/>
      <c r="N619" s="107"/>
      <c r="O619" s="107"/>
      <c r="P619" s="107"/>
      <c r="Q619" s="107"/>
      <c r="R619" s="107"/>
      <c r="S619" s="107"/>
      <c r="T619" s="107"/>
      <c r="U619" s="107"/>
      <c r="V619" s="107"/>
      <c r="W619" s="107"/>
      <c r="X619" s="107"/>
      <c r="Y619" s="107"/>
      <c r="Z619" s="107"/>
      <c r="AA619" s="107"/>
      <c r="AB619" s="107"/>
      <c r="AC619" s="107"/>
      <c r="AD619" s="107"/>
    </row>
    <row r="620">
      <c r="A620" s="107"/>
      <c r="B620" s="107"/>
      <c r="C620" s="107"/>
      <c r="D620" s="107"/>
      <c r="E620" s="149"/>
      <c r="F620" s="137"/>
      <c r="G620" s="137"/>
      <c r="H620" s="137"/>
      <c r="I620" s="144"/>
      <c r="J620" s="107"/>
      <c r="K620" s="107"/>
      <c r="L620" s="107"/>
      <c r="M620" s="107"/>
      <c r="N620" s="107"/>
      <c r="O620" s="107"/>
      <c r="P620" s="107"/>
      <c r="Q620" s="107"/>
      <c r="R620" s="107"/>
      <c r="S620" s="107"/>
      <c r="T620" s="107"/>
      <c r="U620" s="107"/>
      <c r="V620" s="107"/>
      <c r="W620" s="107"/>
      <c r="X620" s="107"/>
      <c r="Y620" s="107"/>
      <c r="Z620" s="107"/>
      <c r="AA620" s="107"/>
      <c r="AB620" s="107"/>
      <c r="AC620" s="107"/>
      <c r="AD620" s="107"/>
    </row>
    <row r="621">
      <c r="A621" s="107"/>
      <c r="B621" s="107"/>
      <c r="C621" s="107"/>
      <c r="D621" s="107"/>
      <c r="E621" s="149"/>
      <c r="F621" s="137"/>
      <c r="G621" s="137"/>
      <c r="H621" s="137"/>
      <c r="I621" s="144"/>
      <c r="J621" s="107"/>
      <c r="K621" s="107"/>
      <c r="L621" s="107"/>
      <c r="M621" s="107"/>
      <c r="N621" s="107"/>
      <c r="O621" s="107"/>
      <c r="P621" s="107"/>
      <c r="Q621" s="107"/>
      <c r="R621" s="107"/>
      <c r="S621" s="107"/>
      <c r="T621" s="107"/>
      <c r="U621" s="107"/>
      <c r="V621" s="107"/>
      <c r="W621" s="107"/>
      <c r="X621" s="107"/>
      <c r="Y621" s="107"/>
      <c r="Z621" s="107"/>
      <c r="AA621" s="107"/>
      <c r="AB621" s="107"/>
      <c r="AC621" s="107"/>
      <c r="AD621" s="107"/>
    </row>
    <row r="622">
      <c r="A622" s="107"/>
      <c r="B622" s="107"/>
      <c r="C622" s="107"/>
      <c r="D622" s="107"/>
      <c r="E622" s="149"/>
      <c r="F622" s="137"/>
      <c r="G622" s="137"/>
      <c r="H622" s="137"/>
      <c r="I622" s="144"/>
      <c r="J622" s="107"/>
      <c r="K622" s="107"/>
      <c r="L622" s="107"/>
      <c r="M622" s="107"/>
      <c r="N622" s="107"/>
      <c r="O622" s="107"/>
      <c r="P622" s="107"/>
      <c r="Q622" s="107"/>
      <c r="R622" s="107"/>
      <c r="S622" s="107"/>
      <c r="T622" s="107"/>
      <c r="U622" s="107"/>
      <c r="V622" s="107"/>
      <c r="W622" s="107"/>
      <c r="X622" s="107"/>
      <c r="Y622" s="107"/>
      <c r="Z622" s="107"/>
      <c r="AA622" s="107"/>
      <c r="AB622" s="107"/>
      <c r="AC622" s="107"/>
      <c r="AD622" s="107"/>
    </row>
    <row r="623">
      <c r="A623" s="107"/>
      <c r="B623" s="107"/>
      <c r="C623" s="107"/>
      <c r="D623" s="107"/>
      <c r="E623" s="149"/>
      <c r="F623" s="137"/>
      <c r="G623" s="137"/>
      <c r="H623" s="137"/>
      <c r="I623" s="144"/>
      <c r="J623" s="107"/>
      <c r="K623" s="107"/>
      <c r="L623" s="107"/>
      <c r="M623" s="107"/>
      <c r="N623" s="107"/>
      <c r="O623" s="107"/>
      <c r="P623" s="107"/>
      <c r="Q623" s="107"/>
      <c r="R623" s="107"/>
      <c r="S623" s="107"/>
      <c r="T623" s="107"/>
      <c r="U623" s="107"/>
      <c r="V623" s="107"/>
      <c r="W623" s="107"/>
      <c r="X623" s="107"/>
      <c r="Y623" s="107"/>
      <c r="Z623" s="107"/>
      <c r="AA623" s="107"/>
      <c r="AB623" s="107"/>
      <c r="AC623" s="107"/>
      <c r="AD623" s="107"/>
    </row>
    <row r="624">
      <c r="A624" s="107"/>
      <c r="B624" s="107"/>
      <c r="C624" s="107"/>
      <c r="D624" s="107"/>
      <c r="E624" s="149"/>
      <c r="F624" s="137"/>
      <c r="G624" s="137"/>
      <c r="H624" s="137"/>
      <c r="I624" s="144"/>
      <c r="J624" s="107"/>
      <c r="K624" s="107"/>
      <c r="L624" s="107"/>
      <c r="M624" s="107"/>
      <c r="N624" s="107"/>
      <c r="O624" s="107"/>
      <c r="P624" s="107"/>
      <c r="Q624" s="107"/>
      <c r="R624" s="107"/>
      <c r="S624" s="107"/>
      <c r="T624" s="107"/>
      <c r="U624" s="107"/>
      <c r="V624" s="107"/>
      <c r="W624" s="107"/>
      <c r="X624" s="107"/>
      <c r="Y624" s="107"/>
      <c r="Z624" s="107"/>
      <c r="AA624" s="107"/>
      <c r="AB624" s="107"/>
      <c r="AC624" s="107"/>
      <c r="AD624" s="107"/>
    </row>
    <row r="625">
      <c r="A625" s="107"/>
      <c r="B625" s="107"/>
      <c r="C625" s="107"/>
      <c r="D625" s="107"/>
      <c r="E625" s="149"/>
      <c r="F625" s="137"/>
      <c r="G625" s="137"/>
      <c r="H625" s="137"/>
      <c r="I625" s="144"/>
      <c r="J625" s="107"/>
      <c r="K625" s="107"/>
      <c r="L625" s="107"/>
      <c r="M625" s="107"/>
      <c r="N625" s="107"/>
      <c r="O625" s="107"/>
      <c r="P625" s="107"/>
      <c r="Q625" s="107"/>
      <c r="R625" s="107"/>
      <c r="S625" s="107"/>
      <c r="T625" s="107"/>
      <c r="U625" s="107"/>
      <c r="V625" s="107"/>
      <c r="W625" s="107"/>
      <c r="X625" s="107"/>
      <c r="Y625" s="107"/>
      <c r="Z625" s="107"/>
      <c r="AA625" s="107"/>
      <c r="AB625" s="107"/>
      <c r="AC625" s="107"/>
      <c r="AD625" s="107"/>
    </row>
    <row r="626">
      <c r="A626" s="107"/>
      <c r="B626" s="107"/>
      <c r="C626" s="107"/>
      <c r="D626" s="107"/>
      <c r="E626" s="149"/>
      <c r="F626" s="137"/>
      <c r="G626" s="137"/>
      <c r="H626" s="137"/>
      <c r="I626" s="144"/>
      <c r="J626" s="107"/>
      <c r="K626" s="107"/>
      <c r="L626" s="107"/>
      <c r="M626" s="107"/>
      <c r="N626" s="107"/>
      <c r="O626" s="107"/>
      <c r="P626" s="107"/>
      <c r="Q626" s="107"/>
      <c r="R626" s="107"/>
      <c r="S626" s="107"/>
      <c r="T626" s="107"/>
      <c r="U626" s="107"/>
      <c r="V626" s="107"/>
      <c r="W626" s="107"/>
      <c r="X626" s="107"/>
      <c r="Y626" s="107"/>
      <c r="Z626" s="107"/>
      <c r="AA626" s="107"/>
      <c r="AB626" s="107"/>
      <c r="AC626" s="107"/>
      <c r="AD626" s="107"/>
    </row>
    <row r="627">
      <c r="A627" s="107"/>
      <c r="B627" s="107"/>
      <c r="C627" s="107"/>
      <c r="D627" s="107"/>
      <c r="E627" s="149"/>
      <c r="F627" s="137"/>
      <c r="G627" s="137"/>
      <c r="H627" s="137"/>
      <c r="I627" s="144"/>
      <c r="J627" s="107"/>
      <c r="K627" s="107"/>
      <c r="L627" s="107"/>
      <c r="M627" s="107"/>
      <c r="N627" s="107"/>
      <c r="O627" s="107"/>
      <c r="P627" s="107"/>
      <c r="Q627" s="107"/>
      <c r="R627" s="107"/>
      <c r="S627" s="107"/>
      <c r="T627" s="107"/>
      <c r="U627" s="107"/>
      <c r="V627" s="107"/>
      <c r="W627" s="107"/>
      <c r="X627" s="107"/>
      <c r="Y627" s="107"/>
      <c r="Z627" s="107"/>
      <c r="AA627" s="107"/>
      <c r="AB627" s="107"/>
      <c r="AC627" s="107"/>
      <c r="AD627" s="107"/>
    </row>
    <row r="628">
      <c r="A628" s="107"/>
      <c r="B628" s="107"/>
      <c r="C628" s="107"/>
      <c r="D628" s="107"/>
      <c r="E628" s="149"/>
      <c r="F628" s="137"/>
      <c r="G628" s="137"/>
      <c r="H628" s="137"/>
      <c r="I628" s="144"/>
      <c r="J628" s="107"/>
      <c r="K628" s="107"/>
      <c r="L628" s="107"/>
      <c r="M628" s="107"/>
      <c r="N628" s="107"/>
      <c r="O628" s="107"/>
      <c r="P628" s="107"/>
      <c r="Q628" s="107"/>
      <c r="R628" s="107"/>
      <c r="S628" s="107"/>
      <c r="T628" s="107"/>
      <c r="U628" s="107"/>
      <c r="V628" s="107"/>
      <c r="W628" s="107"/>
      <c r="X628" s="107"/>
      <c r="Y628" s="107"/>
      <c r="Z628" s="107"/>
      <c r="AA628" s="107"/>
      <c r="AB628" s="107"/>
      <c r="AC628" s="107"/>
      <c r="AD628" s="107"/>
    </row>
    <row r="629">
      <c r="A629" s="107"/>
      <c r="B629" s="107"/>
      <c r="C629" s="107"/>
      <c r="D629" s="107"/>
      <c r="E629" s="149"/>
      <c r="F629" s="137"/>
      <c r="G629" s="137"/>
      <c r="H629" s="137"/>
      <c r="I629" s="144"/>
      <c r="J629" s="107"/>
      <c r="K629" s="107"/>
      <c r="L629" s="107"/>
      <c r="M629" s="107"/>
      <c r="N629" s="107"/>
      <c r="O629" s="107"/>
      <c r="P629" s="107"/>
      <c r="Q629" s="107"/>
      <c r="R629" s="107"/>
      <c r="S629" s="107"/>
      <c r="T629" s="107"/>
      <c r="U629" s="107"/>
      <c r="V629" s="107"/>
      <c r="W629" s="107"/>
      <c r="X629" s="107"/>
      <c r="Y629" s="107"/>
      <c r="Z629" s="107"/>
      <c r="AA629" s="107"/>
      <c r="AB629" s="107"/>
      <c r="AC629" s="107"/>
      <c r="AD629" s="107"/>
    </row>
    <row r="630">
      <c r="A630" s="107"/>
      <c r="B630" s="107"/>
      <c r="C630" s="107"/>
      <c r="D630" s="107"/>
      <c r="E630" s="149"/>
      <c r="F630" s="137"/>
      <c r="G630" s="137"/>
      <c r="H630" s="137"/>
      <c r="I630" s="144"/>
      <c r="J630" s="107"/>
      <c r="K630" s="107"/>
      <c r="L630" s="107"/>
      <c r="M630" s="107"/>
      <c r="N630" s="107"/>
      <c r="O630" s="107"/>
      <c r="P630" s="107"/>
      <c r="Q630" s="107"/>
      <c r="R630" s="107"/>
      <c r="S630" s="107"/>
      <c r="T630" s="107"/>
      <c r="U630" s="107"/>
      <c r="V630" s="107"/>
      <c r="W630" s="107"/>
      <c r="X630" s="107"/>
      <c r="Y630" s="107"/>
      <c r="Z630" s="107"/>
      <c r="AA630" s="107"/>
      <c r="AB630" s="107"/>
      <c r="AC630" s="107"/>
      <c r="AD630" s="107"/>
    </row>
    <row r="631">
      <c r="A631" s="107"/>
      <c r="B631" s="107"/>
      <c r="C631" s="107"/>
      <c r="D631" s="107"/>
      <c r="E631" s="149"/>
      <c r="F631" s="137"/>
      <c r="G631" s="137"/>
      <c r="H631" s="137"/>
      <c r="I631" s="144"/>
      <c r="J631" s="107"/>
      <c r="K631" s="107"/>
      <c r="L631" s="107"/>
      <c r="M631" s="107"/>
      <c r="N631" s="107"/>
      <c r="O631" s="107"/>
      <c r="P631" s="107"/>
      <c r="Q631" s="107"/>
      <c r="R631" s="107"/>
      <c r="S631" s="107"/>
      <c r="T631" s="107"/>
      <c r="U631" s="107"/>
      <c r="V631" s="107"/>
      <c r="W631" s="107"/>
      <c r="X631" s="107"/>
      <c r="Y631" s="107"/>
      <c r="Z631" s="107"/>
      <c r="AA631" s="107"/>
      <c r="AB631" s="107"/>
      <c r="AC631" s="107"/>
      <c r="AD631" s="107"/>
    </row>
    <row r="632">
      <c r="A632" s="107"/>
      <c r="B632" s="107"/>
      <c r="C632" s="107"/>
      <c r="D632" s="107"/>
      <c r="E632" s="149"/>
      <c r="F632" s="137"/>
      <c r="G632" s="137"/>
      <c r="H632" s="137"/>
      <c r="I632" s="144"/>
      <c r="J632" s="107"/>
      <c r="K632" s="107"/>
      <c r="L632" s="107"/>
      <c r="M632" s="107"/>
      <c r="N632" s="107"/>
      <c r="O632" s="107"/>
      <c r="P632" s="107"/>
      <c r="Q632" s="107"/>
      <c r="R632" s="107"/>
      <c r="S632" s="107"/>
      <c r="T632" s="107"/>
      <c r="U632" s="107"/>
      <c r="V632" s="107"/>
      <c r="W632" s="107"/>
      <c r="X632" s="107"/>
      <c r="Y632" s="107"/>
      <c r="Z632" s="107"/>
      <c r="AA632" s="107"/>
      <c r="AB632" s="107"/>
      <c r="AC632" s="107"/>
      <c r="AD632" s="107"/>
    </row>
    <row r="633">
      <c r="A633" s="107"/>
      <c r="B633" s="107"/>
      <c r="C633" s="107"/>
      <c r="D633" s="107"/>
      <c r="E633" s="149"/>
      <c r="F633" s="137"/>
      <c r="G633" s="137"/>
      <c r="H633" s="137"/>
      <c r="I633" s="144"/>
      <c r="J633" s="107"/>
      <c r="K633" s="107"/>
      <c r="L633" s="107"/>
      <c r="M633" s="107"/>
      <c r="N633" s="107"/>
      <c r="O633" s="107"/>
      <c r="P633" s="107"/>
      <c r="Q633" s="107"/>
      <c r="R633" s="107"/>
      <c r="S633" s="107"/>
      <c r="T633" s="107"/>
      <c r="U633" s="107"/>
      <c r="V633" s="107"/>
      <c r="W633" s="107"/>
      <c r="X633" s="107"/>
      <c r="Y633" s="107"/>
      <c r="Z633" s="107"/>
      <c r="AA633" s="107"/>
      <c r="AB633" s="107"/>
      <c r="AC633" s="107"/>
      <c r="AD633" s="107"/>
    </row>
    <row r="634">
      <c r="A634" s="107"/>
      <c r="B634" s="107"/>
      <c r="C634" s="107"/>
      <c r="D634" s="107"/>
      <c r="E634" s="149"/>
      <c r="F634" s="137"/>
      <c r="G634" s="137"/>
      <c r="H634" s="137"/>
      <c r="I634" s="144"/>
      <c r="J634" s="107"/>
      <c r="K634" s="107"/>
      <c r="L634" s="107"/>
      <c r="M634" s="107"/>
      <c r="N634" s="107"/>
      <c r="O634" s="107"/>
      <c r="P634" s="107"/>
      <c r="Q634" s="107"/>
      <c r="R634" s="107"/>
      <c r="S634" s="107"/>
      <c r="T634" s="107"/>
      <c r="U634" s="107"/>
      <c r="V634" s="107"/>
      <c r="W634" s="107"/>
      <c r="X634" s="107"/>
      <c r="Y634" s="107"/>
      <c r="Z634" s="107"/>
      <c r="AA634" s="107"/>
      <c r="AB634" s="107"/>
      <c r="AC634" s="107"/>
      <c r="AD634" s="107"/>
    </row>
    <row r="635">
      <c r="A635" s="107"/>
      <c r="B635" s="107"/>
      <c r="C635" s="107"/>
      <c r="D635" s="107"/>
      <c r="E635" s="149"/>
      <c r="F635" s="137"/>
      <c r="G635" s="137"/>
      <c r="H635" s="137"/>
      <c r="I635" s="144"/>
      <c r="J635" s="107"/>
      <c r="K635" s="107"/>
      <c r="L635" s="107"/>
      <c r="M635" s="107"/>
      <c r="N635" s="107"/>
      <c r="O635" s="107"/>
      <c r="P635" s="107"/>
      <c r="Q635" s="107"/>
      <c r="R635" s="107"/>
      <c r="S635" s="107"/>
      <c r="T635" s="107"/>
      <c r="U635" s="107"/>
      <c r="V635" s="107"/>
      <c r="W635" s="107"/>
      <c r="X635" s="107"/>
      <c r="Y635" s="107"/>
      <c r="Z635" s="107"/>
      <c r="AA635" s="107"/>
      <c r="AB635" s="107"/>
      <c r="AC635" s="107"/>
      <c r="AD635" s="107"/>
    </row>
    <row r="636">
      <c r="A636" s="107"/>
      <c r="B636" s="107"/>
      <c r="C636" s="107"/>
      <c r="D636" s="107"/>
      <c r="E636" s="149"/>
      <c r="F636" s="137"/>
      <c r="G636" s="137"/>
      <c r="H636" s="137"/>
      <c r="I636" s="144"/>
      <c r="J636" s="107"/>
      <c r="K636" s="107"/>
      <c r="L636" s="107"/>
      <c r="M636" s="107"/>
      <c r="N636" s="107"/>
      <c r="O636" s="107"/>
      <c r="P636" s="107"/>
      <c r="Q636" s="107"/>
      <c r="R636" s="107"/>
      <c r="S636" s="107"/>
      <c r="T636" s="107"/>
      <c r="U636" s="107"/>
      <c r="V636" s="107"/>
      <c r="W636" s="107"/>
      <c r="X636" s="107"/>
      <c r="Y636" s="107"/>
      <c r="Z636" s="107"/>
      <c r="AA636" s="107"/>
      <c r="AB636" s="107"/>
      <c r="AC636" s="107"/>
      <c r="AD636" s="107"/>
    </row>
    <row r="637">
      <c r="A637" s="107"/>
      <c r="B637" s="107"/>
      <c r="C637" s="107"/>
      <c r="D637" s="107"/>
      <c r="E637" s="149"/>
      <c r="F637" s="137"/>
      <c r="G637" s="137"/>
      <c r="H637" s="137"/>
      <c r="I637" s="144"/>
      <c r="J637" s="107"/>
      <c r="K637" s="107"/>
      <c r="L637" s="107"/>
      <c r="M637" s="107"/>
      <c r="N637" s="107"/>
      <c r="O637" s="107"/>
      <c r="P637" s="107"/>
      <c r="Q637" s="107"/>
      <c r="R637" s="107"/>
      <c r="S637" s="107"/>
      <c r="T637" s="107"/>
      <c r="U637" s="107"/>
      <c r="V637" s="107"/>
      <c r="W637" s="107"/>
      <c r="X637" s="107"/>
      <c r="Y637" s="107"/>
      <c r="Z637" s="107"/>
      <c r="AA637" s="107"/>
      <c r="AB637" s="107"/>
      <c r="AC637" s="107"/>
      <c r="AD637" s="107"/>
    </row>
    <row r="638">
      <c r="A638" s="107"/>
      <c r="B638" s="107"/>
      <c r="C638" s="107"/>
      <c r="D638" s="107"/>
      <c r="E638" s="149"/>
      <c r="F638" s="137"/>
      <c r="G638" s="137"/>
      <c r="H638" s="137"/>
      <c r="I638" s="144"/>
      <c r="J638" s="107"/>
      <c r="K638" s="107"/>
      <c r="L638" s="107"/>
      <c r="M638" s="107"/>
      <c r="N638" s="107"/>
      <c r="O638" s="107"/>
      <c r="P638" s="107"/>
      <c r="Q638" s="107"/>
      <c r="R638" s="107"/>
      <c r="S638" s="107"/>
      <c r="T638" s="107"/>
      <c r="U638" s="107"/>
      <c r="V638" s="107"/>
      <c r="W638" s="107"/>
      <c r="X638" s="107"/>
      <c r="Y638" s="107"/>
      <c r="Z638" s="107"/>
      <c r="AA638" s="107"/>
      <c r="AB638" s="107"/>
      <c r="AC638" s="107"/>
      <c r="AD638" s="107"/>
    </row>
    <row r="639">
      <c r="A639" s="107"/>
      <c r="B639" s="107"/>
      <c r="C639" s="107"/>
      <c r="D639" s="107"/>
      <c r="E639" s="149"/>
      <c r="F639" s="137"/>
      <c r="G639" s="137"/>
      <c r="H639" s="137"/>
      <c r="I639" s="144"/>
      <c r="J639" s="107"/>
      <c r="K639" s="107"/>
      <c r="L639" s="107"/>
      <c r="M639" s="107"/>
      <c r="N639" s="107"/>
      <c r="O639" s="107"/>
      <c r="P639" s="107"/>
      <c r="Q639" s="107"/>
      <c r="R639" s="107"/>
      <c r="S639" s="107"/>
      <c r="T639" s="107"/>
      <c r="U639" s="107"/>
      <c r="V639" s="107"/>
      <c r="W639" s="107"/>
      <c r="X639" s="107"/>
      <c r="Y639" s="107"/>
      <c r="Z639" s="107"/>
      <c r="AA639" s="107"/>
      <c r="AB639" s="107"/>
      <c r="AC639" s="107"/>
      <c r="AD639" s="107"/>
    </row>
    <row r="640">
      <c r="A640" s="107"/>
      <c r="B640" s="107"/>
      <c r="C640" s="107"/>
      <c r="D640" s="107"/>
      <c r="E640" s="149"/>
      <c r="F640" s="137"/>
      <c r="G640" s="137"/>
      <c r="H640" s="137"/>
      <c r="I640" s="144"/>
      <c r="J640" s="107"/>
      <c r="K640" s="107"/>
      <c r="L640" s="107"/>
      <c r="M640" s="107"/>
      <c r="N640" s="107"/>
      <c r="O640" s="107"/>
      <c r="P640" s="107"/>
      <c r="Q640" s="107"/>
      <c r="R640" s="107"/>
      <c r="S640" s="107"/>
      <c r="T640" s="107"/>
      <c r="U640" s="107"/>
      <c r="V640" s="107"/>
      <c r="W640" s="107"/>
      <c r="X640" s="107"/>
      <c r="Y640" s="107"/>
      <c r="Z640" s="107"/>
      <c r="AA640" s="107"/>
      <c r="AB640" s="107"/>
      <c r="AC640" s="107"/>
      <c r="AD640" s="107"/>
    </row>
    <row r="641">
      <c r="A641" s="107"/>
      <c r="B641" s="107"/>
      <c r="C641" s="107"/>
      <c r="D641" s="107"/>
      <c r="E641" s="149"/>
      <c r="F641" s="137"/>
      <c r="G641" s="137"/>
      <c r="H641" s="137"/>
      <c r="I641" s="144"/>
      <c r="J641" s="107"/>
      <c r="K641" s="107"/>
      <c r="L641" s="107"/>
      <c r="M641" s="107"/>
      <c r="N641" s="107"/>
      <c r="O641" s="107"/>
      <c r="P641" s="107"/>
      <c r="Q641" s="107"/>
      <c r="R641" s="107"/>
      <c r="S641" s="107"/>
      <c r="T641" s="107"/>
      <c r="U641" s="107"/>
      <c r="V641" s="107"/>
      <c r="W641" s="107"/>
      <c r="X641" s="107"/>
      <c r="Y641" s="107"/>
      <c r="Z641" s="107"/>
      <c r="AA641" s="107"/>
      <c r="AB641" s="107"/>
      <c r="AC641" s="107"/>
      <c r="AD641" s="107"/>
    </row>
    <row r="642">
      <c r="A642" s="107"/>
      <c r="B642" s="107"/>
      <c r="C642" s="107"/>
      <c r="D642" s="107"/>
      <c r="E642" s="149"/>
      <c r="F642" s="137"/>
      <c r="G642" s="137"/>
      <c r="H642" s="137"/>
      <c r="I642" s="144"/>
      <c r="J642" s="107"/>
      <c r="K642" s="107"/>
      <c r="L642" s="107"/>
      <c r="M642" s="107"/>
      <c r="N642" s="107"/>
      <c r="O642" s="107"/>
      <c r="P642" s="107"/>
      <c r="Q642" s="107"/>
      <c r="R642" s="107"/>
      <c r="S642" s="107"/>
      <c r="T642" s="107"/>
      <c r="U642" s="107"/>
      <c r="V642" s="107"/>
      <c r="W642" s="107"/>
      <c r="X642" s="107"/>
      <c r="Y642" s="107"/>
      <c r="Z642" s="107"/>
      <c r="AA642" s="107"/>
      <c r="AB642" s="107"/>
      <c r="AC642" s="107"/>
      <c r="AD642" s="107"/>
    </row>
    <row r="643">
      <c r="A643" s="107"/>
      <c r="B643" s="107"/>
      <c r="C643" s="107"/>
      <c r="D643" s="107"/>
      <c r="E643" s="149"/>
      <c r="F643" s="137"/>
      <c r="G643" s="137"/>
      <c r="H643" s="137"/>
      <c r="I643" s="144"/>
      <c r="J643" s="107"/>
      <c r="K643" s="107"/>
      <c r="L643" s="107"/>
      <c r="M643" s="107"/>
      <c r="N643" s="107"/>
      <c r="O643" s="107"/>
      <c r="P643" s="107"/>
      <c r="Q643" s="107"/>
      <c r="R643" s="107"/>
      <c r="S643" s="107"/>
      <c r="T643" s="107"/>
      <c r="U643" s="107"/>
      <c r="V643" s="107"/>
      <c r="W643" s="107"/>
      <c r="X643" s="107"/>
      <c r="Y643" s="107"/>
      <c r="Z643" s="107"/>
      <c r="AA643" s="107"/>
      <c r="AB643" s="107"/>
      <c r="AC643" s="107"/>
      <c r="AD643" s="107"/>
    </row>
    <row r="644">
      <c r="A644" s="107"/>
      <c r="B644" s="107"/>
      <c r="C644" s="107"/>
      <c r="D644" s="107"/>
      <c r="E644" s="149"/>
      <c r="F644" s="137"/>
      <c r="G644" s="137"/>
      <c r="H644" s="137"/>
      <c r="I644" s="144"/>
      <c r="J644" s="107"/>
      <c r="K644" s="107"/>
      <c r="L644" s="107"/>
      <c r="M644" s="107"/>
      <c r="N644" s="107"/>
      <c r="O644" s="107"/>
      <c r="P644" s="107"/>
      <c r="Q644" s="107"/>
      <c r="R644" s="107"/>
      <c r="S644" s="107"/>
      <c r="T644" s="107"/>
      <c r="U644" s="107"/>
      <c r="V644" s="107"/>
      <c r="W644" s="107"/>
      <c r="X644" s="107"/>
      <c r="Y644" s="107"/>
      <c r="Z644" s="107"/>
      <c r="AA644" s="107"/>
      <c r="AB644" s="107"/>
      <c r="AC644" s="107"/>
      <c r="AD644" s="107"/>
    </row>
    <row r="645">
      <c r="A645" s="107"/>
      <c r="B645" s="107"/>
      <c r="C645" s="107"/>
      <c r="D645" s="107"/>
      <c r="E645" s="149"/>
      <c r="F645" s="137"/>
      <c r="G645" s="137"/>
      <c r="H645" s="137"/>
      <c r="I645" s="144"/>
      <c r="J645" s="107"/>
      <c r="K645" s="107"/>
      <c r="L645" s="107"/>
      <c r="M645" s="107"/>
      <c r="N645" s="107"/>
      <c r="O645" s="107"/>
      <c r="P645" s="107"/>
      <c r="Q645" s="107"/>
      <c r="R645" s="107"/>
      <c r="S645" s="107"/>
      <c r="T645" s="107"/>
      <c r="U645" s="107"/>
      <c r="V645" s="107"/>
      <c r="W645" s="107"/>
      <c r="X645" s="107"/>
      <c r="Y645" s="107"/>
      <c r="Z645" s="107"/>
      <c r="AA645" s="107"/>
      <c r="AB645" s="107"/>
      <c r="AC645" s="107"/>
      <c r="AD645" s="107"/>
    </row>
    <row r="646">
      <c r="A646" s="107"/>
      <c r="B646" s="107"/>
      <c r="C646" s="107"/>
      <c r="D646" s="107"/>
      <c r="E646" s="149"/>
      <c r="F646" s="137"/>
      <c r="G646" s="137"/>
      <c r="H646" s="137"/>
      <c r="I646" s="144"/>
      <c r="J646" s="107"/>
      <c r="K646" s="107"/>
      <c r="L646" s="107"/>
      <c r="M646" s="107"/>
      <c r="N646" s="107"/>
      <c r="O646" s="107"/>
      <c r="P646" s="107"/>
      <c r="Q646" s="107"/>
      <c r="R646" s="107"/>
      <c r="S646" s="107"/>
      <c r="T646" s="107"/>
      <c r="U646" s="107"/>
      <c r="V646" s="107"/>
      <c r="W646" s="107"/>
      <c r="X646" s="107"/>
      <c r="Y646" s="107"/>
      <c r="Z646" s="107"/>
      <c r="AA646" s="107"/>
      <c r="AB646" s="107"/>
      <c r="AC646" s="107"/>
      <c r="AD646" s="107"/>
    </row>
    <row r="647">
      <c r="A647" s="107"/>
      <c r="B647" s="107"/>
      <c r="C647" s="107"/>
      <c r="D647" s="107"/>
      <c r="E647" s="149"/>
      <c r="F647" s="137"/>
      <c r="G647" s="137"/>
      <c r="H647" s="137"/>
      <c r="I647" s="144"/>
      <c r="J647" s="107"/>
      <c r="K647" s="107"/>
      <c r="L647" s="107"/>
      <c r="M647" s="107"/>
      <c r="N647" s="107"/>
      <c r="O647" s="107"/>
      <c r="P647" s="107"/>
      <c r="Q647" s="107"/>
      <c r="R647" s="107"/>
      <c r="S647" s="107"/>
      <c r="T647" s="107"/>
      <c r="U647" s="107"/>
      <c r="V647" s="107"/>
      <c r="W647" s="107"/>
      <c r="X647" s="107"/>
      <c r="Y647" s="107"/>
      <c r="Z647" s="107"/>
      <c r="AA647" s="107"/>
      <c r="AB647" s="107"/>
      <c r="AC647" s="107"/>
      <c r="AD647" s="107"/>
    </row>
    <row r="648">
      <c r="A648" s="107"/>
      <c r="B648" s="107"/>
      <c r="C648" s="107"/>
      <c r="D648" s="107"/>
      <c r="E648" s="149"/>
      <c r="F648" s="137"/>
      <c r="G648" s="137"/>
      <c r="H648" s="137"/>
      <c r="I648" s="144"/>
      <c r="J648" s="107"/>
      <c r="K648" s="107"/>
      <c r="L648" s="107"/>
      <c r="M648" s="107"/>
      <c r="N648" s="107"/>
      <c r="O648" s="107"/>
      <c r="P648" s="107"/>
      <c r="Q648" s="107"/>
      <c r="R648" s="107"/>
      <c r="S648" s="107"/>
      <c r="T648" s="107"/>
      <c r="U648" s="107"/>
      <c r="V648" s="107"/>
      <c r="W648" s="107"/>
      <c r="X648" s="107"/>
      <c r="Y648" s="107"/>
      <c r="Z648" s="107"/>
      <c r="AA648" s="107"/>
      <c r="AB648" s="107"/>
      <c r="AC648" s="107"/>
      <c r="AD648" s="107"/>
    </row>
    <row r="649">
      <c r="A649" s="107"/>
      <c r="B649" s="107"/>
      <c r="C649" s="107"/>
      <c r="D649" s="107"/>
      <c r="E649" s="149"/>
      <c r="F649" s="137"/>
      <c r="G649" s="137"/>
      <c r="H649" s="137"/>
      <c r="I649" s="144"/>
      <c r="J649" s="107"/>
      <c r="K649" s="107"/>
      <c r="L649" s="107"/>
      <c r="M649" s="107"/>
      <c r="N649" s="107"/>
      <c r="O649" s="107"/>
      <c r="P649" s="107"/>
      <c r="Q649" s="107"/>
      <c r="R649" s="107"/>
      <c r="S649" s="107"/>
      <c r="T649" s="107"/>
      <c r="U649" s="107"/>
      <c r="V649" s="107"/>
      <c r="W649" s="107"/>
      <c r="X649" s="107"/>
      <c r="Y649" s="107"/>
      <c r="Z649" s="107"/>
      <c r="AA649" s="107"/>
      <c r="AB649" s="107"/>
      <c r="AC649" s="107"/>
      <c r="AD649" s="107"/>
    </row>
    <row r="650">
      <c r="A650" s="107"/>
      <c r="B650" s="107"/>
      <c r="C650" s="107"/>
      <c r="D650" s="107"/>
      <c r="E650" s="149"/>
      <c r="F650" s="137"/>
      <c r="G650" s="137"/>
      <c r="H650" s="137"/>
      <c r="I650" s="144"/>
      <c r="J650" s="107"/>
      <c r="K650" s="107"/>
      <c r="L650" s="107"/>
      <c r="M650" s="107"/>
      <c r="N650" s="107"/>
      <c r="O650" s="107"/>
      <c r="P650" s="107"/>
      <c r="Q650" s="107"/>
      <c r="R650" s="107"/>
      <c r="S650" s="107"/>
      <c r="T650" s="107"/>
      <c r="U650" s="107"/>
      <c r="V650" s="107"/>
      <c r="W650" s="107"/>
      <c r="X650" s="107"/>
      <c r="Y650" s="107"/>
      <c r="Z650" s="107"/>
      <c r="AA650" s="107"/>
      <c r="AB650" s="107"/>
      <c r="AC650" s="107"/>
      <c r="AD650" s="107"/>
    </row>
    <row r="651">
      <c r="A651" s="107"/>
      <c r="B651" s="107"/>
      <c r="C651" s="107"/>
      <c r="D651" s="107"/>
      <c r="E651" s="149"/>
      <c r="F651" s="137"/>
      <c r="G651" s="137"/>
      <c r="H651" s="137"/>
      <c r="I651" s="144"/>
      <c r="J651" s="107"/>
      <c r="K651" s="107"/>
      <c r="L651" s="107"/>
      <c r="M651" s="107"/>
      <c r="N651" s="107"/>
      <c r="O651" s="107"/>
      <c r="P651" s="107"/>
      <c r="Q651" s="107"/>
      <c r="R651" s="107"/>
      <c r="S651" s="107"/>
      <c r="T651" s="107"/>
      <c r="U651" s="107"/>
      <c r="V651" s="107"/>
      <c r="W651" s="107"/>
      <c r="X651" s="107"/>
      <c r="Y651" s="107"/>
      <c r="Z651" s="107"/>
      <c r="AA651" s="107"/>
      <c r="AB651" s="107"/>
      <c r="AC651" s="107"/>
      <c r="AD651" s="107"/>
    </row>
    <row r="652">
      <c r="A652" s="107"/>
      <c r="B652" s="107"/>
      <c r="C652" s="107"/>
      <c r="D652" s="107"/>
      <c r="E652" s="149"/>
      <c r="F652" s="137"/>
      <c r="G652" s="137"/>
      <c r="H652" s="137"/>
      <c r="I652" s="144"/>
      <c r="J652" s="107"/>
      <c r="K652" s="107"/>
      <c r="L652" s="107"/>
      <c r="M652" s="107"/>
      <c r="N652" s="107"/>
      <c r="O652" s="107"/>
      <c r="P652" s="107"/>
      <c r="Q652" s="107"/>
      <c r="R652" s="107"/>
      <c r="S652" s="107"/>
      <c r="T652" s="107"/>
      <c r="U652" s="107"/>
      <c r="V652" s="107"/>
      <c r="W652" s="107"/>
      <c r="X652" s="107"/>
      <c r="Y652" s="107"/>
      <c r="Z652" s="107"/>
      <c r="AA652" s="107"/>
      <c r="AB652" s="107"/>
      <c r="AC652" s="107"/>
      <c r="AD652" s="107"/>
    </row>
    <row r="653">
      <c r="A653" s="107"/>
      <c r="B653" s="107"/>
      <c r="C653" s="107"/>
      <c r="D653" s="107"/>
      <c r="E653" s="149"/>
      <c r="F653" s="137"/>
      <c r="G653" s="137"/>
      <c r="H653" s="137"/>
      <c r="I653" s="144"/>
      <c r="J653" s="107"/>
      <c r="K653" s="107"/>
      <c r="L653" s="107"/>
      <c r="M653" s="107"/>
      <c r="N653" s="107"/>
      <c r="O653" s="107"/>
      <c r="P653" s="107"/>
      <c r="Q653" s="107"/>
      <c r="R653" s="107"/>
      <c r="S653" s="107"/>
      <c r="T653" s="107"/>
      <c r="U653" s="107"/>
      <c r="V653" s="107"/>
      <c r="W653" s="107"/>
      <c r="X653" s="107"/>
      <c r="Y653" s="107"/>
      <c r="Z653" s="107"/>
      <c r="AA653" s="107"/>
      <c r="AB653" s="107"/>
      <c r="AC653" s="107"/>
      <c r="AD653" s="107"/>
    </row>
    <row r="654">
      <c r="A654" s="107"/>
      <c r="B654" s="107"/>
      <c r="C654" s="107"/>
      <c r="D654" s="107"/>
      <c r="E654" s="149"/>
      <c r="F654" s="137"/>
      <c r="G654" s="137"/>
      <c r="H654" s="137"/>
      <c r="I654" s="144"/>
      <c r="J654" s="107"/>
      <c r="K654" s="107"/>
      <c r="L654" s="107"/>
      <c r="M654" s="107"/>
      <c r="N654" s="107"/>
      <c r="O654" s="107"/>
      <c r="P654" s="107"/>
      <c r="Q654" s="107"/>
      <c r="R654" s="107"/>
      <c r="S654" s="107"/>
      <c r="T654" s="107"/>
      <c r="U654" s="107"/>
      <c r="V654" s="107"/>
      <c r="W654" s="107"/>
      <c r="X654" s="107"/>
      <c r="Y654" s="107"/>
      <c r="Z654" s="107"/>
      <c r="AA654" s="107"/>
      <c r="AB654" s="107"/>
      <c r="AC654" s="107"/>
      <c r="AD654" s="107"/>
    </row>
    <row r="655">
      <c r="A655" s="107"/>
      <c r="B655" s="107"/>
      <c r="C655" s="107"/>
      <c r="D655" s="107"/>
      <c r="E655" s="149"/>
      <c r="F655" s="137"/>
      <c r="G655" s="137"/>
      <c r="H655" s="137"/>
      <c r="I655" s="144"/>
      <c r="J655" s="107"/>
      <c r="K655" s="107"/>
      <c r="L655" s="107"/>
      <c r="M655" s="107"/>
      <c r="N655" s="107"/>
      <c r="O655" s="107"/>
      <c r="P655" s="107"/>
      <c r="Q655" s="107"/>
      <c r="R655" s="107"/>
      <c r="S655" s="107"/>
      <c r="T655" s="107"/>
      <c r="U655" s="107"/>
      <c r="V655" s="107"/>
      <c r="W655" s="107"/>
      <c r="X655" s="107"/>
      <c r="Y655" s="107"/>
      <c r="Z655" s="107"/>
      <c r="AA655" s="107"/>
      <c r="AB655" s="107"/>
      <c r="AC655" s="107"/>
      <c r="AD655" s="107"/>
    </row>
    <row r="656">
      <c r="A656" s="107"/>
      <c r="B656" s="107"/>
      <c r="C656" s="107"/>
      <c r="D656" s="107"/>
      <c r="E656" s="149"/>
      <c r="F656" s="137"/>
      <c r="G656" s="137"/>
      <c r="H656" s="137"/>
      <c r="I656" s="144"/>
      <c r="J656" s="107"/>
      <c r="K656" s="107"/>
      <c r="L656" s="107"/>
      <c r="M656" s="107"/>
      <c r="N656" s="107"/>
      <c r="O656" s="107"/>
      <c r="P656" s="107"/>
      <c r="Q656" s="107"/>
      <c r="R656" s="107"/>
      <c r="S656" s="107"/>
      <c r="T656" s="107"/>
      <c r="U656" s="107"/>
      <c r="V656" s="107"/>
      <c r="W656" s="107"/>
      <c r="X656" s="107"/>
      <c r="Y656" s="107"/>
      <c r="Z656" s="107"/>
      <c r="AA656" s="107"/>
      <c r="AB656" s="107"/>
      <c r="AC656" s="107"/>
      <c r="AD656" s="107"/>
    </row>
    <row r="657">
      <c r="A657" s="107"/>
      <c r="B657" s="107"/>
      <c r="C657" s="107"/>
      <c r="D657" s="107"/>
      <c r="E657" s="149"/>
      <c r="F657" s="137"/>
      <c r="G657" s="137"/>
      <c r="H657" s="137"/>
      <c r="I657" s="144"/>
      <c r="J657" s="107"/>
      <c r="K657" s="107"/>
      <c r="L657" s="107"/>
      <c r="M657" s="107"/>
      <c r="N657" s="107"/>
      <c r="O657" s="107"/>
      <c r="P657" s="107"/>
      <c r="Q657" s="107"/>
      <c r="R657" s="107"/>
      <c r="S657" s="107"/>
      <c r="T657" s="107"/>
      <c r="U657" s="107"/>
      <c r="V657" s="107"/>
      <c r="W657" s="107"/>
      <c r="X657" s="107"/>
      <c r="Y657" s="107"/>
      <c r="Z657" s="107"/>
      <c r="AA657" s="107"/>
      <c r="AB657" s="107"/>
      <c r="AC657" s="107"/>
      <c r="AD657" s="107"/>
    </row>
    <row r="658">
      <c r="A658" s="107"/>
      <c r="B658" s="107"/>
      <c r="C658" s="107"/>
      <c r="D658" s="107"/>
      <c r="E658" s="149"/>
      <c r="F658" s="137"/>
      <c r="G658" s="137"/>
      <c r="H658" s="137"/>
      <c r="I658" s="144"/>
      <c r="J658" s="107"/>
      <c r="K658" s="107"/>
      <c r="L658" s="107"/>
      <c r="M658" s="107"/>
      <c r="N658" s="107"/>
      <c r="O658" s="107"/>
      <c r="P658" s="107"/>
      <c r="Q658" s="107"/>
      <c r="R658" s="107"/>
      <c r="S658" s="107"/>
      <c r="T658" s="107"/>
      <c r="U658" s="107"/>
      <c r="V658" s="107"/>
      <c r="W658" s="107"/>
      <c r="X658" s="107"/>
      <c r="Y658" s="107"/>
      <c r="Z658" s="107"/>
      <c r="AA658" s="107"/>
      <c r="AB658" s="107"/>
      <c r="AC658" s="107"/>
      <c r="AD658" s="107"/>
    </row>
    <row r="659">
      <c r="A659" s="107"/>
      <c r="B659" s="107"/>
      <c r="C659" s="107"/>
      <c r="D659" s="107"/>
      <c r="E659" s="149"/>
      <c r="F659" s="137"/>
      <c r="G659" s="137"/>
      <c r="H659" s="137"/>
      <c r="I659" s="144"/>
      <c r="J659" s="107"/>
      <c r="K659" s="107"/>
      <c r="L659" s="107"/>
      <c r="M659" s="107"/>
      <c r="N659" s="107"/>
      <c r="O659" s="107"/>
      <c r="P659" s="107"/>
      <c r="Q659" s="107"/>
      <c r="R659" s="107"/>
      <c r="S659" s="107"/>
      <c r="T659" s="107"/>
      <c r="U659" s="107"/>
      <c r="V659" s="107"/>
      <c r="W659" s="107"/>
      <c r="X659" s="107"/>
      <c r="Y659" s="107"/>
      <c r="Z659" s="107"/>
      <c r="AA659" s="107"/>
      <c r="AB659" s="107"/>
      <c r="AC659" s="107"/>
      <c r="AD659" s="107"/>
    </row>
    <row r="660">
      <c r="A660" s="107"/>
      <c r="B660" s="107"/>
      <c r="C660" s="107"/>
      <c r="D660" s="107"/>
      <c r="E660" s="149"/>
      <c r="F660" s="137"/>
      <c r="G660" s="137"/>
      <c r="H660" s="137"/>
      <c r="I660" s="144"/>
      <c r="J660" s="107"/>
      <c r="K660" s="107"/>
      <c r="L660" s="107"/>
      <c r="M660" s="107"/>
      <c r="N660" s="107"/>
      <c r="O660" s="107"/>
      <c r="P660" s="107"/>
      <c r="Q660" s="107"/>
      <c r="R660" s="107"/>
      <c r="S660" s="107"/>
      <c r="T660" s="107"/>
      <c r="U660" s="107"/>
      <c r="V660" s="107"/>
      <c r="W660" s="107"/>
      <c r="X660" s="107"/>
      <c r="Y660" s="107"/>
      <c r="Z660" s="107"/>
      <c r="AA660" s="107"/>
      <c r="AB660" s="107"/>
      <c r="AC660" s="107"/>
      <c r="AD660" s="107"/>
    </row>
    <row r="661">
      <c r="A661" s="107"/>
      <c r="B661" s="107"/>
      <c r="C661" s="107"/>
      <c r="D661" s="107"/>
      <c r="E661" s="149"/>
      <c r="F661" s="137"/>
      <c r="G661" s="137"/>
      <c r="H661" s="137"/>
      <c r="I661" s="144"/>
      <c r="J661" s="107"/>
      <c r="K661" s="107"/>
      <c r="L661" s="107"/>
      <c r="M661" s="107"/>
      <c r="N661" s="107"/>
      <c r="O661" s="107"/>
      <c r="P661" s="107"/>
      <c r="Q661" s="107"/>
      <c r="R661" s="107"/>
      <c r="S661" s="107"/>
      <c r="T661" s="107"/>
      <c r="U661" s="107"/>
      <c r="V661" s="107"/>
      <c r="W661" s="107"/>
      <c r="X661" s="107"/>
      <c r="Y661" s="107"/>
      <c r="Z661" s="107"/>
      <c r="AA661" s="107"/>
      <c r="AB661" s="107"/>
      <c r="AC661" s="107"/>
      <c r="AD661" s="107"/>
    </row>
    <row r="662">
      <c r="A662" s="107"/>
      <c r="B662" s="107"/>
      <c r="C662" s="107"/>
      <c r="D662" s="107"/>
      <c r="E662" s="149"/>
      <c r="F662" s="137"/>
      <c r="G662" s="137"/>
      <c r="H662" s="137"/>
      <c r="I662" s="144"/>
      <c r="J662" s="107"/>
      <c r="K662" s="107"/>
      <c r="L662" s="107"/>
      <c r="M662" s="107"/>
      <c r="N662" s="107"/>
      <c r="O662" s="107"/>
      <c r="P662" s="107"/>
      <c r="Q662" s="107"/>
      <c r="R662" s="107"/>
      <c r="S662" s="107"/>
      <c r="T662" s="107"/>
      <c r="U662" s="107"/>
      <c r="V662" s="107"/>
      <c r="W662" s="107"/>
      <c r="X662" s="107"/>
      <c r="Y662" s="107"/>
      <c r="Z662" s="107"/>
      <c r="AA662" s="107"/>
      <c r="AB662" s="107"/>
      <c r="AC662" s="107"/>
      <c r="AD662" s="107"/>
    </row>
    <row r="663">
      <c r="A663" s="107"/>
      <c r="B663" s="107"/>
      <c r="C663" s="107"/>
      <c r="D663" s="107"/>
      <c r="E663" s="149"/>
      <c r="F663" s="137"/>
      <c r="G663" s="137"/>
      <c r="H663" s="137"/>
      <c r="I663" s="144"/>
      <c r="J663" s="107"/>
      <c r="K663" s="107"/>
      <c r="L663" s="107"/>
      <c r="M663" s="107"/>
      <c r="N663" s="107"/>
      <c r="O663" s="107"/>
      <c r="P663" s="107"/>
      <c r="Q663" s="107"/>
      <c r="R663" s="107"/>
      <c r="S663" s="107"/>
      <c r="T663" s="107"/>
      <c r="U663" s="107"/>
      <c r="V663" s="107"/>
      <c r="W663" s="107"/>
      <c r="X663" s="107"/>
      <c r="Y663" s="107"/>
      <c r="Z663" s="107"/>
      <c r="AA663" s="107"/>
      <c r="AB663" s="107"/>
      <c r="AC663" s="107"/>
      <c r="AD663" s="107"/>
    </row>
    <row r="664">
      <c r="A664" s="107"/>
      <c r="B664" s="107"/>
      <c r="C664" s="107"/>
      <c r="D664" s="107"/>
      <c r="E664" s="149"/>
      <c r="F664" s="137"/>
      <c r="G664" s="137"/>
      <c r="H664" s="137"/>
      <c r="I664" s="144"/>
      <c r="J664" s="107"/>
      <c r="K664" s="107"/>
      <c r="L664" s="107"/>
      <c r="M664" s="107"/>
      <c r="N664" s="107"/>
      <c r="O664" s="107"/>
      <c r="P664" s="107"/>
      <c r="Q664" s="107"/>
      <c r="R664" s="107"/>
      <c r="S664" s="107"/>
      <c r="T664" s="107"/>
      <c r="U664" s="107"/>
      <c r="V664" s="107"/>
      <c r="W664" s="107"/>
      <c r="X664" s="107"/>
      <c r="Y664" s="107"/>
      <c r="Z664" s="107"/>
      <c r="AA664" s="107"/>
      <c r="AB664" s="107"/>
      <c r="AC664" s="107"/>
      <c r="AD664" s="107"/>
    </row>
    <row r="665">
      <c r="A665" s="107"/>
      <c r="B665" s="107"/>
      <c r="C665" s="107"/>
      <c r="D665" s="107"/>
      <c r="E665" s="149"/>
      <c r="F665" s="137"/>
      <c r="G665" s="137"/>
      <c r="H665" s="137"/>
      <c r="I665" s="144"/>
      <c r="J665" s="107"/>
      <c r="K665" s="107"/>
      <c r="L665" s="107"/>
      <c r="M665" s="107"/>
      <c r="N665" s="107"/>
      <c r="O665" s="107"/>
      <c r="P665" s="107"/>
      <c r="Q665" s="107"/>
      <c r="R665" s="107"/>
      <c r="S665" s="107"/>
      <c r="T665" s="107"/>
      <c r="U665" s="107"/>
      <c r="V665" s="107"/>
      <c r="W665" s="107"/>
      <c r="X665" s="107"/>
      <c r="Y665" s="107"/>
      <c r="Z665" s="107"/>
      <c r="AA665" s="107"/>
      <c r="AB665" s="107"/>
      <c r="AC665" s="107"/>
      <c r="AD665" s="107"/>
    </row>
    <row r="666">
      <c r="A666" s="107"/>
      <c r="B666" s="107"/>
      <c r="C666" s="107"/>
      <c r="D666" s="107"/>
      <c r="E666" s="149"/>
      <c r="F666" s="137"/>
      <c r="G666" s="137"/>
      <c r="H666" s="137"/>
      <c r="I666" s="144"/>
      <c r="J666" s="107"/>
      <c r="K666" s="107"/>
      <c r="L666" s="107"/>
      <c r="M666" s="107"/>
      <c r="N666" s="107"/>
      <c r="O666" s="107"/>
      <c r="P666" s="107"/>
      <c r="Q666" s="107"/>
      <c r="R666" s="107"/>
      <c r="S666" s="107"/>
      <c r="T666" s="107"/>
      <c r="U666" s="107"/>
      <c r="V666" s="107"/>
      <c r="W666" s="107"/>
      <c r="X666" s="107"/>
      <c r="Y666" s="107"/>
      <c r="Z666" s="107"/>
      <c r="AA666" s="107"/>
      <c r="AB666" s="107"/>
      <c r="AC666" s="107"/>
      <c r="AD666" s="107"/>
    </row>
    <row r="667">
      <c r="A667" s="107"/>
      <c r="B667" s="107"/>
      <c r="C667" s="107"/>
      <c r="D667" s="107"/>
      <c r="E667" s="149"/>
      <c r="F667" s="137"/>
      <c r="G667" s="137"/>
      <c r="H667" s="137"/>
      <c r="I667" s="144"/>
      <c r="J667" s="107"/>
      <c r="K667" s="107"/>
      <c r="L667" s="107"/>
      <c r="M667" s="107"/>
      <c r="N667" s="107"/>
      <c r="O667" s="107"/>
      <c r="P667" s="107"/>
      <c r="Q667" s="107"/>
      <c r="R667" s="107"/>
      <c r="S667" s="107"/>
      <c r="T667" s="107"/>
      <c r="U667" s="107"/>
      <c r="V667" s="107"/>
      <c r="W667" s="107"/>
      <c r="X667" s="107"/>
      <c r="Y667" s="107"/>
      <c r="Z667" s="107"/>
      <c r="AA667" s="107"/>
      <c r="AB667" s="107"/>
      <c r="AC667" s="107"/>
      <c r="AD667" s="107"/>
    </row>
    <row r="668">
      <c r="A668" s="107"/>
      <c r="B668" s="107"/>
      <c r="C668" s="107"/>
      <c r="D668" s="107"/>
      <c r="E668" s="149"/>
      <c r="F668" s="137"/>
      <c r="G668" s="137"/>
      <c r="H668" s="137"/>
      <c r="I668" s="144"/>
      <c r="J668" s="107"/>
      <c r="K668" s="107"/>
      <c r="L668" s="107"/>
      <c r="M668" s="107"/>
      <c r="N668" s="107"/>
      <c r="O668" s="107"/>
      <c r="P668" s="107"/>
      <c r="Q668" s="107"/>
      <c r="R668" s="107"/>
      <c r="S668" s="107"/>
      <c r="T668" s="107"/>
      <c r="U668" s="107"/>
      <c r="V668" s="107"/>
      <c r="W668" s="107"/>
      <c r="X668" s="107"/>
      <c r="Y668" s="107"/>
      <c r="Z668" s="107"/>
      <c r="AA668" s="107"/>
      <c r="AB668" s="107"/>
      <c r="AC668" s="107"/>
      <c r="AD668" s="107"/>
    </row>
    <row r="669">
      <c r="A669" s="107"/>
      <c r="B669" s="107"/>
      <c r="C669" s="107"/>
      <c r="D669" s="107"/>
      <c r="E669" s="149"/>
      <c r="F669" s="137"/>
      <c r="G669" s="137"/>
      <c r="H669" s="137"/>
      <c r="I669" s="144"/>
      <c r="J669" s="107"/>
      <c r="K669" s="107"/>
      <c r="L669" s="107"/>
      <c r="M669" s="107"/>
      <c r="N669" s="107"/>
      <c r="O669" s="107"/>
      <c r="P669" s="107"/>
      <c r="Q669" s="107"/>
      <c r="R669" s="107"/>
      <c r="S669" s="107"/>
      <c r="T669" s="107"/>
      <c r="U669" s="107"/>
      <c r="V669" s="107"/>
      <c r="W669" s="107"/>
      <c r="X669" s="107"/>
      <c r="Y669" s="107"/>
      <c r="Z669" s="107"/>
      <c r="AA669" s="107"/>
      <c r="AB669" s="107"/>
      <c r="AC669" s="107"/>
      <c r="AD669" s="107"/>
    </row>
    <row r="670">
      <c r="A670" s="107"/>
      <c r="B670" s="107"/>
      <c r="C670" s="107"/>
      <c r="D670" s="107"/>
      <c r="E670" s="149"/>
      <c r="F670" s="137"/>
      <c r="G670" s="137"/>
      <c r="H670" s="137"/>
      <c r="I670" s="144"/>
      <c r="J670" s="107"/>
      <c r="K670" s="107"/>
      <c r="L670" s="107"/>
      <c r="M670" s="107"/>
      <c r="N670" s="107"/>
      <c r="O670" s="107"/>
      <c r="P670" s="107"/>
      <c r="Q670" s="107"/>
      <c r="R670" s="107"/>
      <c r="S670" s="107"/>
      <c r="T670" s="107"/>
      <c r="U670" s="107"/>
      <c r="V670" s="107"/>
      <c r="W670" s="107"/>
      <c r="X670" s="107"/>
      <c r="Y670" s="107"/>
      <c r="Z670" s="107"/>
      <c r="AA670" s="107"/>
      <c r="AB670" s="107"/>
      <c r="AC670" s="107"/>
      <c r="AD670" s="107"/>
    </row>
    <row r="671">
      <c r="A671" s="107"/>
      <c r="B671" s="107"/>
      <c r="C671" s="107"/>
      <c r="D671" s="107"/>
      <c r="E671" s="149"/>
      <c r="F671" s="137"/>
      <c r="G671" s="137"/>
      <c r="H671" s="137"/>
      <c r="I671" s="144"/>
      <c r="J671" s="107"/>
      <c r="K671" s="107"/>
      <c r="L671" s="107"/>
      <c r="M671" s="107"/>
      <c r="N671" s="107"/>
      <c r="O671" s="107"/>
      <c r="P671" s="107"/>
      <c r="Q671" s="107"/>
      <c r="R671" s="107"/>
      <c r="S671" s="107"/>
      <c r="T671" s="107"/>
      <c r="U671" s="107"/>
      <c r="V671" s="107"/>
      <c r="W671" s="107"/>
      <c r="X671" s="107"/>
      <c r="Y671" s="107"/>
      <c r="Z671" s="107"/>
      <c r="AA671" s="107"/>
      <c r="AB671" s="107"/>
      <c r="AC671" s="107"/>
      <c r="AD671" s="107"/>
    </row>
    <row r="672">
      <c r="A672" s="107"/>
      <c r="B672" s="107"/>
      <c r="C672" s="107"/>
      <c r="D672" s="107"/>
      <c r="E672" s="149"/>
      <c r="F672" s="137"/>
      <c r="G672" s="137"/>
      <c r="H672" s="137"/>
      <c r="I672" s="144"/>
      <c r="J672" s="107"/>
      <c r="K672" s="107"/>
      <c r="L672" s="107"/>
      <c r="M672" s="107"/>
      <c r="N672" s="107"/>
      <c r="O672" s="107"/>
      <c r="P672" s="107"/>
      <c r="Q672" s="107"/>
      <c r="R672" s="107"/>
      <c r="S672" s="107"/>
      <c r="T672" s="107"/>
      <c r="U672" s="107"/>
      <c r="V672" s="107"/>
      <c r="W672" s="107"/>
      <c r="X672" s="107"/>
      <c r="Y672" s="107"/>
      <c r="Z672" s="107"/>
      <c r="AA672" s="107"/>
      <c r="AB672" s="107"/>
      <c r="AC672" s="107"/>
      <c r="AD672" s="107"/>
    </row>
    <row r="673">
      <c r="A673" s="107"/>
      <c r="B673" s="107"/>
      <c r="C673" s="107"/>
      <c r="D673" s="107"/>
      <c r="E673" s="149"/>
      <c r="F673" s="137"/>
      <c r="G673" s="137"/>
      <c r="H673" s="137"/>
      <c r="I673" s="144"/>
      <c r="J673" s="107"/>
      <c r="K673" s="107"/>
      <c r="L673" s="107"/>
      <c r="M673" s="107"/>
      <c r="N673" s="107"/>
      <c r="O673" s="107"/>
      <c r="P673" s="107"/>
      <c r="Q673" s="107"/>
      <c r="R673" s="107"/>
      <c r="S673" s="107"/>
      <c r="T673" s="107"/>
      <c r="U673" s="107"/>
      <c r="V673" s="107"/>
      <c r="W673" s="107"/>
      <c r="X673" s="107"/>
      <c r="Y673" s="107"/>
      <c r="Z673" s="107"/>
      <c r="AA673" s="107"/>
      <c r="AB673" s="107"/>
      <c r="AC673" s="107"/>
      <c r="AD673" s="107"/>
    </row>
    <row r="674">
      <c r="A674" s="107"/>
      <c r="B674" s="107"/>
      <c r="C674" s="107"/>
      <c r="D674" s="107"/>
      <c r="E674" s="149"/>
      <c r="F674" s="137"/>
      <c r="G674" s="137"/>
      <c r="H674" s="137"/>
      <c r="I674" s="144"/>
      <c r="J674" s="107"/>
      <c r="K674" s="107"/>
      <c r="L674" s="107"/>
      <c r="M674" s="107"/>
      <c r="N674" s="107"/>
      <c r="O674" s="107"/>
      <c r="P674" s="107"/>
      <c r="Q674" s="107"/>
      <c r="R674" s="107"/>
      <c r="S674" s="107"/>
      <c r="T674" s="107"/>
      <c r="U674" s="107"/>
      <c r="V674" s="107"/>
      <c r="W674" s="107"/>
      <c r="X674" s="107"/>
      <c r="Y674" s="107"/>
      <c r="Z674" s="107"/>
      <c r="AA674" s="107"/>
      <c r="AB674" s="107"/>
      <c r="AC674" s="107"/>
      <c r="AD674" s="107"/>
    </row>
    <row r="675">
      <c r="A675" s="107"/>
      <c r="B675" s="107"/>
      <c r="C675" s="107"/>
      <c r="D675" s="107"/>
      <c r="E675" s="149"/>
      <c r="F675" s="137"/>
      <c r="G675" s="137"/>
      <c r="H675" s="137"/>
      <c r="I675" s="144"/>
      <c r="J675" s="107"/>
      <c r="K675" s="107"/>
      <c r="L675" s="107"/>
      <c r="M675" s="107"/>
      <c r="N675" s="107"/>
      <c r="O675" s="107"/>
      <c r="P675" s="107"/>
      <c r="Q675" s="107"/>
      <c r="R675" s="107"/>
      <c r="S675" s="107"/>
      <c r="T675" s="107"/>
      <c r="U675" s="107"/>
      <c r="V675" s="107"/>
      <c r="W675" s="107"/>
      <c r="X675" s="107"/>
      <c r="Y675" s="107"/>
      <c r="Z675" s="107"/>
      <c r="AA675" s="107"/>
      <c r="AB675" s="107"/>
      <c r="AC675" s="107"/>
      <c r="AD675" s="107"/>
    </row>
    <row r="676">
      <c r="A676" s="107"/>
      <c r="B676" s="107"/>
      <c r="C676" s="107"/>
      <c r="D676" s="107"/>
      <c r="E676" s="149"/>
      <c r="F676" s="137"/>
      <c r="G676" s="137"/>
      <c r="H676" s="137"/>
      <c r="I676" s="144"/>
      <c r="J676" s="107"/>
      <c r="K676" s="107"/>
      <c r="L676" s="107"/>
      <c r="M676" s="107"/>
      <c r="N676" s="107"/>
      <c r="O676" s="107"/>
      <c r="P676" s="107"/>
      <c r="Q676" s="107"/>
      <c r="R676" s="107"/>
      <c r="S676" s="107"/>
      <c r="T676" s="107"/>
      <c r="U676" s="107"/>
      <c r="V676" s="107"/>
      <c r="W676" s="107"/>
      <c r="X676" s="107"/>
      <c r="Y676" s="107"/>
      <c r="Z676" s="107"/>
      <c r="AA676" s="107"/>
      <c r="AB676" s="107"/>
      <c r="AC676" s="107"/>
      <c r="AD676" s="107"/>
    </row>
    <row r="677">
      <c r="A677" s="107"/>
      <c r="B677" s="107"/>
      <c r="C677" s="107"/>
      <c r="D677" s="107"/>
      <c r="E677" s="149"/>
      <c r="F677" s="137"/>
      <c r="G677" s="137"/>
      <c r="H677" s="137"/>
      <c r="I677" s="144"/>
      <c r="J677" s="107"/>
      <c r="K677" s="107"/>
      <c r="L677" s="107"/>
      <c r="M677" s="107"/>
      <c r="N677" s="107"/>
      <c r="O677" s="107"/>
      <c r="P677" s="107"/>
      <c r="Q677" s="107"/>
      <c r="R677" s="107"/>
      <c r="S677" s="107"/>
      <c r="T677" s="107"/>
      <c r="U677" s="107"/>
      <c r="V677" s="107"/>
      <c r="W677" s="107"/>
      <c r="X677" s="107"/>
      <c r="Y677" s="107"/>
      <c r="Z677" s="107"/>
      <c r="AA677" s="107"/>
      <c r="AB677" s="107"/>
      <c r="AC677" s="107"/>
      <c r="AD677" s="107"/>
    </row>
    <row r="678">
      <c r="A678" s="107"/>
      <c r="B678" s="107"/>
      <c r="C678" s="107"/>
      <c r="D678" s="107"/>
      <c r="E678" s="149"/>
      <c r="F678" s="137"/>
      <c r="G678" s="137"/>
      <c r="H678" s="137"/>
      <c r="I678" s="144"/>
      <c r="J678" s="107"/>
      <c r="K678" s="107"/>
      <c r="L678" s="107"/>
      <c r="M678" s="107"/>
      <c r="N678" s="107"/>
      <c r="O678" s="107"/>
      <c r="P678" s="107"/>
      <c r="Q678" s="107"/>
      <c r="R678" s="107"/>
      <c r="S678" s="107"/>
      <c r="T678" s="107"/>
      <c r="U678" s="107"/>
      <c r="V678" s="107"/>
      <c r="W678" s="107"/>
      <c r="X678" s="107"/>
      <c r="Y678" s="107"/>
      <c r="Z678" s="107"/>
      <c r="AA678" s="107"/>
      <c r="AB678" s="107"/>
      <c r="AC678" s="107"/>
      <c r="AD678" s="107"/>
    </row>
    <row r="679">
      <c r="A679" s="107"/>
      <c r="B679" s="107"/>
      <c r="C679" s="107"/>
      <c r="D679" s="107"/>
      <c r="E679" s="149"/>
      <c r="F679" s="137"/>
      <c r="G679" s="137"/>
      <c r="H679" s="137"/>
      <c r="I679" s="144"/>
      <c r="J679" s="107"/>
      <c r="K679" s="107"/>
      <c r="L679" s="107"/>
      <c r="M679" s="107"/>
      <c r="N679" s="107"/>
      <c r="O679" s="107"/>
      <c r="P679" s="107"/>
      <c r="Q679" s="107"/>
      <c r="R679" s="107"/>
      <c r="S679" s="107"/>
      <c r="T679" s="107"/>
      <c r="U679" s="107"/>
      <c r="V679" s="107"/>
      <c r="W679" s="107"/>
      <c r="X679" s="107"/>
      <c r="Y679" s="107"/>
      <c r="Z679" s="107"/>
      <c r="AA679" s="107"/>
      <c r="AB679" s="107"/>
      <c r="AC679" s="107"/>
      <c r="AD679" s="107"/>
    </row>
    <row r="680">
      <c r="A680" s="107"/>
      <c r="B680" s="107"/>
      <c r="C680" s="107"/>
      <c r="D680" s="107"/>
      <c r="E680" s="149"/>
      <c r="F680" s="137"/>
      <c r="G680" s="137"/>
      <c r="H680" s="137"/>
      <c r="I680" s="144"/>
      <c r="J680" s="107"/>
      <c r="K680" s="107"/>
      <c r="L680" s="107"/>
      <c r="M680" s="107"/>
      <c r="N680" s="107"/>
      <c r="O680" s="107"/>
      <c r="P680" s="107"/>
      <c r="Q680" s="107"/>
      <c r="R680" s="107"/>
      <c r="S680" s="107"/>
      <c r="T680" s="107"/>
      <c r="U680" s="107"/>
      <c r="V680" s="107"/>
      <c r="W680" s="107"/>
      <c r="X680" s="107"/>
      <c r="Y680" s="107"/>
      <c r="Z680" s="107"/>
      <c r="AA680" s="107"/>
      <c r="AB680" s="107"/>
      <c r="AC680" s="107"/>
      <c r="AD680" s="107"/>
    </row>
    <row r="681">
      <c r="A681" s="107"/>
      <c r="B681" s="107"/>
      <c r="C681" s="107"/>
      <c r="D681" s="107"/>
      <c r="E681" s="149"/>
      <c r="F681" s="137"/>
      <c r="G681" s="137"/>
      <c r="H681" s="137"/>
      <c r="I681" s="144"/>
      <c r="J681" s="107"/>
      <c r="K681" s="107"/>
      <c r="L681" s="107"/>
      <c r="M681" s="107"/>
      <c r="N681" s="107"/>
      <c r="O681" s="107"/>
      <c r="P681" s="107"/>
      <c r="Q681" s="107"/>
      <c r="R681" s="107"/>
      <c r="S681" s="107"/>
      <c r="T681" s="107"/>
      <c r="U681" s="107"/>
      <c r="V681" s="107"/>
      <c r="W681" s="107"/>
      <c r="X681" s="107"/>
      <c r="Y681" s="107"/>
      <c r="Z681" s="107"/>
      <c r="AA681" s="107"/>
      <c r="AB681" s="107"/>
      <c r="AC681" s="107"/>
      <c r="AD681" s="107"/>
    </row>
    <row r="682">
      <c r="A682" s="107"/>
      <c r="B682" s="107"/>
      <c r="C682" s="107"/>
      <c r="D682" s="107"/>
      <c r="E682" s="149"/>
      <c r="F682" s="137"/>
      <c r="G682" s="137"/>
      <c r="H682" s="137"/>
      <c r="I682" s="144"/>
      <c r="J682" s="107"/>
      <c r="K682" s="107"/>
      <c r="L682" s="107"/>
      <c r="M682" s="107"/>
      <c r="N682" s="107"/>
      <c r="O682" s="107"/>
      <c r="P682" s="107"/>
      <c r="Q682" s="107"/>
      <c r="R682" s="107"/>
      <c r="S682" s="107"/>
      <c r="T682" s="107"/>
      <c r="U682" s="107"/>
      <c r="V682" s="107"/>
      <c r="W682" s="107"/>
      <c r="X682" s="107"/>
      <c r="Y682" s="107"/>
      <c r="Z682" s="107"/>
      <c r="AA682" s="107"/>
      <c r="AB682" s="107"/>
      <c r="AC682" s="107"/>
      <c r="AD682" s="107"/>
    </row>
    <row r="683">
      <c r="A683" s="107"/>
      <c r="B683" s="107"/>
      <c r="C683" s="107"/>
      <c r="D683" s="107"/>
      <c r="E683" s="149"/>
      <c r="F683" s="137"/>
      <c r="G683" s="137"/>
      <c r="H683" s="137"/>
      <c r="I683" s="144"/>
      <c r="J683" s="107"/>
      <c r="K683" s="107"/>
      <c r="L683" s="107"/>
      <c r="M683" s="107"/>
      <c r="N683" s="107"/>
      <c r="O683" s="107"/>
      <c r="P683" s="107"/>
      <c r="Q683" s="107"/>
      <c r="R683" s="107"/>
      <c r="S683" s="107"/>
      <c r="T683" s="107"/>
      <c r="U683" s="107"/>
      <c r="V683" s="107"/>
      <c r="W683" s="107"/>
      <c r="X683" s="107"/>
      <c r="Y683" s="107"/>
      <c r="Z683" s="107"/>
      <c r="AA683" s="107"/>
      <c r="AB683" s="107"/>
      <c r="AC683" s="107"/>
      <c r="AD683" s="107"/>
    </row>
    <row r="684">
      <c r="A684" s="107"/>
      <c r="B684" s="107"/>
      <c r="C684" s="107"/>
      <c r="D684" s="107"/>
      <c r="E684" s="149"/>
      <c r="F684" s="137"/>
      <c r="G684" s="137"/>
      <c r="H684" s="137"/>
      <c r="I684" s="144"/>
      <c r="J684" s="107"/>
      <c r="K684" s="107"/>
      <c r="L684" s="107"/>
      <c r="M684" s="107"/>
      <c r="N684" s="107"/>
      <c r="O684" s="107"/>
      <c r="P684" s="107"/>
      <c r="Q684" s="107"/>
      <c r="R684" s="107"/>
      <c r="S684" s="107"/>
      <c r="T684" s="107"/>
      <c r="U684" s="107"/>
      <c r="V684" s="107"/>
      <c r="W684" s="107"/>
      <c r="X684" s="107"/>
      <c r="Y684" s="107"/>
      <c r="Z684" s="107"/>
      <c r="AA684" s="107"/>
      <c r="AB684" s="107"/>
      <c r="AC684" s="107"/>
      <c r="AD684" s="107"/>
    </row>
    <row r="685">
      <c r="A685" s="107"/>
      <c r="B685" s="107"/>
      <c r="C685" s="107"/>
      <c r="D685" s="107"/>
      <c r="E685" s="149"/>
      <c r="F685" s="137"/>
      <c r="G685" s="137"/>
      <c r="H685" s="137"/>
      <c r="I685" s="144"/>
      <c r="J685" s="107"/>
      <c r="K685" s="107"/>
      <c r="L685" s="107"/>
      <c r="M685" s="107"/>
      <c r="N685" s="107"/>
      <c r="O685" s="107"/>
      <c r="P685" s="107"/>
      <c r="Q685" s="107"/>
      <c r="R685" s="107"/>
      <c r="S685" s="107"/>
      <c r="T685" s="107"/>
      <c r="U685" s="107"/>
      <c r="V685" s="107"/>
      <c r="W685" s="107"/>
      <c r="X685" s="107"/>
      <c r="Y685" s="107"/>
      <c r="Z685" s="107"/>
      <c r="AA685" s="107"/>
      <c r="AB685" s="107"/>
      <c r="AC685" s="107"/>
      <c r="AD685" s="107"/>
    </row>
    <row r="686">
      <c r="A686" s="107"/>
      <c r="B686" s="107"/>
      <c r="C686" s="107"/>
      <c r="D686" s="107"/>
      <c r="E686" s="149"/>
      <c r="F686" s="137"/>
      <c r="G686" s="137"/>
      <c r="H686" s="137"/>
      <c r="I686" s="144"/>
      <c r="J686" s="107"/>
      <c r="K686" s="107"/>
      <c r="L686" s="107"/>
      <c r="M686" s="107"/>
      <c r="N686" s="107"/>
      <c r="O686" s="107"/>
      <c r="P686" s="107"/>
      <c r="Q686" s="107"/>
      <c r="R686" s="107"/>
      <c r="S686" s="107"/>
      <c r="T686" s="107"/>
      <c r="U686" s="107"/>
      <c r="V686" s="107"/>
      <c r="W686" s="107"/>
      <c r="X686" s="107"/>
      <c r="Y686" s="107"/>
      <c r="Z686" s="107"/>
      <c r="AA686" s="107"/>
      <c r="AB686" s="107"/>
      <c r="AC686" s="107"/>
      <c r="AD686" s="107"/>
    </row>
    <row r="687">
      <c r="A687" s="107"/>
      <c r="B687" s="107"/>
      <c r="C687" s="107"/>
      <c r="D687" s="107"/>
      <c r="E687" s="149"/>
      <c r="F687" s="137"/>
      <c r="G687" s="137"/>
      <c r="H687" s="137"/>
      <c r="I687" s="144"/>
      <c r="J687" s="107"/>
      <c r="K687" s="107"/>
      <c r="L687" s="107"/>
      <c r="M687" s="107"/>
      <c r="N687" s="107"/>
      <c r="O687" s="107"/>
      <c r="P687" s="107"/>
      <c r="Q687" s="107"/>
      <c r="R687" s="107"/>
      <c r="S687" s="107"/>
      <c r="T687" s="107"/>
      <c r="U687" s="107"/>
      <c r="V687" s="107"/>
      <c r="W687" s="107"/>
      <c r="X687" s="107"/>
      <c r="Y687" s="107"/>
      <c r="Z687" s="107"/>
      <c r="AA687" s="107"/>
      <c r="AB687" s="107"/>
      <c r="AC687" s="107"/>
      <c r="AD687" s="107"/>
    </row>
    <row r="688">
      <c r="A688" s="107"/>
      <c r="B688" s="107"/>
      <c r="C688" s="107"/>
      <c r="D688" s="107"/>
      <c r="E688" s="149"/>
      <c r="F688" s="137"/>
      <c r="G688" s="137"/>
      <c r="H688" s="137"/>
      <c r="I688" s="144"/>
      <c r="J688" s="107"/>
      <c r="K688" s="107"/>
      <c r="L688" s="107"/>
      <c r="M688" s="107"/>
      <c r="N688" s="107"/>
      <c r="O688" s="107"/>
      <c r="P688" s="107"/>
      <c r="Q688" s="107"/>
      <c r="R688" s="107"/>
      <c r="S688" s="107"/>
      <c r="T688" s="107"/>
      <c r="U688" s="107"/>
      <c r="V688" s="107"/>
      <c r="W688" s="107"/>
      <c r="X688" s="107"/>
      <c r="Y688" s="107"/>
      <c r="Z688" s="107"/>
      <c r="AA688" s="107"/>
      <c r="AB688" s="107"/>
      <c r="AC688" s="107"/>
      <c r="AD688" s="107"/>
    </row>
    <row r="689">
      <c r="A689" s="107"/>
      <c r="B689" s="107"/>
      <c r="C689" s="107"/>
      <c r="D689" s="107"/>
      <c r="E689" s="149"/>
      <c r="F689" s="137"/>
      <c r="G689" s="137"/>
      <c r="H689" s="137"/>
      <c r="I689" s="144"/>
      <c r="J689" s="107"/>
      <c r="K689" s="107"/>
      <c r="L689" s="107"/>
      <c r="M689" s="107"/>
      <c r="N689" s="107"/>
      <c r="O689" s="107"/>
      <c r="P689" s="107"/>
      <c r="Q689" s="107"/>
      <c r="R689" s="107"/>
      <c r="S689" s="107"/>
      <c r="T689" s="107"/>
      <c r="U689" s="107"/>
      <c r="V689" s="107"/>
      <c r="W689" s="107"/>
      <c r="X689" s="107"/>
      <c r="Y689" s="107"/>
      <c r="Z689" s="107"/>
      <c r="AA689" s="107"/>
      <c r="AB689" s="107"/>
      <c r="AC689" s="107"/>
      <c r="AD689" s="107"/>
    </row>
    <row r="690">
      <c r="A690" s="107"/>
      <c r="B690" s="107"/>
      <c r="C690" s="107"/>
      <c r="D690" s="107"/>
      <c r="E690" s="149"/>
      <c r="F690" s="137"/>
      <c r="G690" s="137"/>
      <c r="H690" s="137"/>
      <c r="I690" s="144"/>
      <c r="J690" s="107"/>
      <c r="K690" s="107"/>
      <c r="L690" s="107"/>
      <c r="M690" s="107"/>
      <c r="N690" s="107"/>
      <c r="O690" s="107"/>
      <c r="P690" s="107"/>
      <c r="Q690" s="107"/>
      <c r="R690" s="107"/>
      <c r="S690" s="107"/>
      <c r="T690" s="107"/>
      <c r="U690" s="107"/>
      <c r="V690" s="107"/>
      <c r="W690" s="107"/>
      <c r="X690" s="107"/>
      <c r="Y690" s="107"/>
      <c r="Z690" s="107"/>
      <c r="AA690" s="107"/>
      <c r="AB690" s="107"/>
      <c r="AC690" s="107"/>
      <c r="AD690" s="107"/>
    </row>
    <row r="691">
      <c r="A691" s="107"/>
      <c r="B691" s="107"/>
      <c r="C691" s="107"/>
      <c r="D691" s="107"/>
      <c r="E691" s="149"/>
      <c r="F691" s="137"/>
      <c r="G691" s="137"/>
      <c r="H691" s="137"/>
      <c r="I691" s="144"/>
      <c r="J691" s="107"/>
      <c r="K691" s="107"/>
      <c r="L691" s="107"/>
      <c r="M691" s="107"/>
      <c r="N691" s="107"/>
      <c r="O691" s="107"/>
      <c r="P691" s="107"/>
      <c r="Q691" s="107"/>
      <c r="R691" s="107"/>
      <c r="S691" s="107"/>
      <c r="T691" s="107"/>
      <c r="U691" s="107"/>
      <c r="V691" s="107"/>
      <c r="W691" s="107"/>
      <c r="X691" s="107"/>
      <c r="Y691" s="107"/>
      <c r="Z691" s="107"/>
      <c r="AA691" s="107"/>
      <c r="AB691" s="107"/>
      <c r="AC691" s="107"/>
      <c r="AD691" s="107"/>
    </row>
    <row r="692">
      <c r="A692" s="107"/>
      <c r="B692" s="107"/>
      <c r="C692" s="107"/>
      <c r="D692" s="107"/>
      <c r="E692" s="149"/>
      <c r="F692" s="137"/>
      <c r="G692" s="137"/>
      <c r="H692" s="137"/>
      <c r="I692" s="144"/>
      <c r="J692" s="107"/>
      <c r="K692" s="107"/>
      <c r="L692" s="107"/>
      <c r="M692" s="107"/>
      <c r="N692" s="107"/>
      <c r="O692" s="107"/>
      <c r="P692" s="107"/>
      <c r="Q692" s="107"/>
      <c r="R692" s="107"/>
      <c r="S692" s="107"/>
      <c r="T692" s="107"/>
      <c r="U692" s="107"/>
      <c r="V692" s="107"/>
      <c r="W692" s="107"/>
      <c r="X692" s="107"/>
      <c r="Y692" s="107"/>
      <c r="Z692" s="107"/>
      <c r="AA692" s="107"/>
      <c r="AB692" s="107"/>
      <c r="AC692" s="107"/>
      <c r="AD692" s="107"/>
    </row>
    <row r="693">
      <c r="A693" s="107"/>
      <c r="B693" s="107"/>
      <c r="C693" s="107"/>
      <c r="D693" s="107"/>
      <c r="E693" s="149"/>
      <c r="F693" s="137"/>
      <c r="G693" s="137"/>
      <c r="H693" s="137"/>
      <c r="I693" s="144"/>
      <c r="J693" s="107"/>
      <c r="K693" s="107"/>
      <c r="L693" s="107"/>
      <c r="M693" s="107"/>
      <c r="N693" s="107"/>
      <c r="O693" s="107"/>
      <c r="P693" s="107"/>
      <c r="Q693" s="107"/>
      <c r="R693" s="107"/>
      <c r="S693" s="107"/>
      <c r="T693" s="107"/>
      <c r="U693" s="107"/>
      <c r="V693" s="107"/>
      <c r="W693" s="107"/>
      <c r="X693" s="107"/>
      <c r="Y693" s="107"/>
      <c r="Z693" s="107"/>
      <c r="AA693" s="107"/>
      <c r="AB693" s="107"/>
      <c r="AC693" s="107"/>
      <c r="AD693" s="107"/>
    </row>
    <row r="694">
      <c r="A694" s="107"/>
      <c r="B694" s="107"/>
      <c r="C694" s="107"/>
      <c r="D694" s="107"/>
      <c r="E694" s="149"/>
      <c r="F694" s="137"/>
      <c r="G694" s="137"/>
      <c r="H694" s="137"/>
      <c r="I694" s="144"/>
      <c r="J694" s="107"/>
      <c r="K694" s="107"/>
      <c r="L694" s="107"/>
      <c r="M694" s="107"/>
      <c r="N694" s="107"/>
      <c r="O694" s="107"/>
      <c r="P694" s="107"/>
      <c r="Q694" s="107"/>
      <c r="R694" s="107"/>
      <c r="S694" s="107"/>
      <c r="T694" s="107"/>
      <c r="U694" s="107"/>
      <c r="V694" s="107"/>
      <c r="W694" s="107"/>
      <c r="X694" s="107"/>
      <c r="Y694" s="107"/>
      <c r="Z694" s="107"/>
      <c r="AA694" s="107"/>
      <c r="AB694" s="107"/>
      <c r="AC694" s="107"/>
      <c r="AD694" s="107"/>
    </row>
    <row r="695">
      <c r="A695" s="107"/>
      <c r="B695" s="107"/>
      <c r="C695" s="107"/>
      <c r="D695" s="107"/>
      <c r="E695" s="149"/>
      <c r="F695" s="137"/>
      <c r="G695" s="137"/>
      <c r="H695" s="137"/>
      <c r="I695" s="144"/>
      <c r="J695" s="107"/>
      <c r="K695" s="107"/>
      <c r="L695" s="107"/>
      <c r="M695" s="107"/>
      <c r="N695" s="107"/>
      <c r="O695" s="107"/>
      <c r="P695" s="107"/>
      <c r="Q695" s="107"/>
      <c r="R695" s="107"/>
      <c r="S695" s="107"/>
      <c r="T695" s="107"/>
      <c r="U695" s="107"/>
      <c r="V695" s="107"/>
      <c r="W695" s="107"/>
      <c r="X695" s="107"/>
      <c r="Y695" s="107"/>
      <c r="Z695" s="107"/>
      <c r="AA695" s="107"/>
      <c r="AB695" s="107"/>
      <c r="AC695" s="107"/>
      <c r="AD695" s="107"/>
    </row>
    <row r="696">
      <c r="A696" s="107"/>
      <c r="B696" s="107"/>
      <c r="C696" s="107"/>
      <c r="D696" s="107"/>
      <c r="E696" s="149"/>
      <c r="F696" s="137"/>
      <c r="G696" s="137"/>
      <c r="H696" s="137"/>
      <c r="I696" s="144"/>
      <c r="J696" s="107"/>
      <c r="K696" s="107"/>
      <c r="L696" s="107"/>
      <c r="M696" s="107"/>
      <c r="N696" s="107"/>
      <c r="O696" s="107"/>
      <c r="P696" s="107"/>
      <c r="Q696" s="107"/>
      <c r="R696" s="107"/>
      <c r="S696" s="107"/>
      <c r="T696" s="107"/>
      <c r="U696" s="107"/>
      <c r="V696" s="107"/>
      <c r="W696" s="107"/>
      <c r="X696" s="107"/>
      <c r="Y696" s="107"/>
      <c r="Z696" s="107"/>
      <c r="AA696" s="107"/>
      <c r="AB696" s="107"/>
      <c r="AC696" s="107"/>
      <c r="AD696" s="107"/>
    </row>
    <row r="697">
      <c r="A697" s="107"/>
      <c r="B697" s="107"/>
      <c r="C697" s="107"/>
      <c r="D697" s="107"/>
      <c r="E697" s="149"/>
      <c r="F697" s="137"/>
      <c r="G697" s="137"/>
      <c r="H697" s="137"/>
      <c r="I697" s="144"/>
      <c r="J697" s="107"/>
      <c r="K697" s="107"/>
      <c r="L697" s="107"/>
      <c r="M697" s="107"/>
      <c r="N697" s="107"/>
      <c r="O697" s="107"/>
      <c r="P697" s="107"/>
      <c r="Q697" s="107"/>
      <c r="R697" s="107"/>
      <c r="S697" s="107"/>
      <c r="T697" s="107"/>
      <c r="U697" s="107"/>
      <c r="V697" s="107"/>
      <c r="W697" s="107"/>
      <c r="X697" s="107"/>
      <c r="Y697" s="107"/>
      <c r="Z697" s="107"/>
      <c r="AA697" s="107"/>
      <c r="AB697" s="107"/>
      <c r="AC697" s="107"/>
      <c r="AD697" s="107"/>
    </row>
    <row r="698">
      <c r="A698" s="107"/>
      <c r="B698" s="107"/>
      <c r="C698" s="107"/>
      <c r="D698" s="107"/>
      <c r="E698" s="149"/>
      <c r="F698" s="137"/>
      <c r="G698" s="137"/>
      <c r="H698" s="137"/>
      <c r="I698" s="144"/>
      <c r="J698" s="107"/>
      <c r="K698" s="107"/>
      <c r="L698" s="107"/>
      <c r="M698" s="107"/>
      <c r="N698" s="107"/>
      <c r="O698" s="107"/>
      <c r="P698" s="107"/>
      <c r="Q698" s="107"/>
      <c r="R698" s="107"/>
      <c r="S698" s="107"/>
      <c r="T698" s="107"/>
      <c r="U698" s="107"/>
      <c r="V698" s="107"/>
      <c r="W698" s="107"/>
      <c r="X698" s="107"/>
      <c r="Y698" s="107"/>
      <c r="Z698" s="107"/>
      <c r="AA698" s="107"/>
      <c r="AB698" s="107"/>
      <c r="AC698" s="107"/>
      <c r="AD698" s="107"/>
    </row>
    <row r="699">
      <c r="A699" s="107"/>
      <c r="B699" s="107"/>
      <c r="C699" s="107"/>
      <c r="D699" s="107"/>
      <c r="E699" s="149"/>
      <c r="F699" s="137"/>
      <c r="G699" s="137"/>
      <c r="H699" s="137"/>
      <c r="I699" s="144"/>
      <c r="J699" s="107"/>
      <c r="K699" s="107"/>
      <c r="L699" s="107"/>
      <c r="M699" s="107"/>
      <c r="N699" s="107"/>
      <c r="O699" s="107"/>
      <c r="P699" s="107"/>
      <c r="Q699" s="107"/>
      <c r="R699" s="107"/>
      <c r="S699" s="107"/>
      <c r="T699" s="107"/>
      <c r="U699" s="107"/>
      <c r="V699" s="107"/>
      <c r="W699" s="107"/>
      <c r="X699" s="107"/>
      <c r="Y699" s="107"/>
      <c r="Z699" s="107"/>
      <c r="AA699" s="107"/>
      <c r="AB699" s="107"/>
      <c r="AC699" s="107"/>
      <c r="AD699" s="107"/>
    </row>
    <row r="700">
      <c r="A700" s="107"/>
      <c r="B700" s="107"/>
      <c r="C700" s="107"/>
      <c r="D700" s="107"/>
      <c r="E700" s="149"/>
      <c r="F700" s="137"/>
      <c r="G700" s="137"/>
      <c r="H700" s="137"/>
      <c r="I700" s="144"/>
      <c r="J700" s="107"/>
      <c r="K700" s="107"/>
      <c r="L700" s="107"/>
      <c r="M700" s="107"/>
      <c r="N700" s="107"/>
      <c r="O700" s="107"/>
      <c r="P700" s="107"/>
      <c r="Q700" s="107"/>
      <c r="R700" s="107"/>
      <c r="S700" s="107"/>
      <c r="T700" s="107"/>
      <c r="U700" s="107"/>
      <c r="V700" s="107"/>
      <c r="W700" s="107"/>
      <c r="X700" s="107"/>
      <c r="Y700" s="107"/>
      <c r="Z700" s="107"/>
      <c r="AA700" s="107"/>
      <c r="AB700" s="107"/>
      <c r="AC700" s="107"/>
      <c r="AD700" s="107"/>
    </row>
    <row r="701">
      <c r="A701" s="107"/>
      <c r="B701" s="107"/>
      <c r="C701" s="107"/>
      <c r="D701" s="107"/>
      <c r="E701" s="149"/>
      <c r="F701" s="137"/>
      <c r="G701" s="137"/>
      <c r="H701" s="137"/>
      <c r="I701" s="144"/>
      <c r="J701" s="107"/>
      <c r="K701" s="107"/>
      <c r="L701" s="107"/>
      <c r="M701" s="107"/>
      <c r="N701" s="107"/>
      <c r="O701" s="107"/>
      <c r="P701" s="107"/>
      <c r="Q701" s="107"/>
      <c r="R701" s="107"/>
      <c r="S701" s="107"/>
      <c r="T701" s="107"/>
      <c r="U701" s="107"/>
      <c r="V701" s="107"/>
      <c r="W701" s="107"/>
      <c r="X701" s="107"/>
      <c r="Y701" s="107"/>
      <c r="Z701" s="107"/>
      <c r="AA701" s="107"/>
      <c r="AB701" s="107"/>
      <c r="AC701" s="107"/>
      <c r="AD701" s="107"/>
    </row>
    <row r="702">
      <c r="A702" s="107"/>
      <c r="B702" s="107"/>
      <c r="C702" s="107"/>
      <c r="D702" s="107"/>
      <c r="E702" s="149"/>
      <c r="F702" s="137"/>
      <c r="G702" s="137"/>
      <c r="H702" s="137"/>
      <c r="I702" s="144"/>
      <c r="J702" s="107"/>
      <c r="K702" s="107"/>
      <c r="L702" s="107"/>
      <c r="M702" s="107"/>
      <c r="N702" s="107"/>
      <c r="O702" s="107"/>
      <c r="P702" s="107"/>
      <c r="Q702" s="107"/>
      <c r="R702" s="107"/>
      <c r="S702" s="107"/>
      <c r="T702" s="107"/>
      <c r="U702" s="107"/>
      <c r="V702" s="107"/>
      <c r="W702" s="107"/>
      <c r="X702" s="107"/>
      <c r="Y702" s="107"/>
      <c r="Z702" s="107"/>
      <c r="AA702" s="107"/>
      <c r="AB702" s="107"/>
      <c r="AC702" s="107"/>
      <c r="AD702" s="107"/>
    </row>
    <row r="703">
      <c r="A703" s="107"/>
      <c r="B703" s="107"/>
      <c r="C703" s="107"/>
      <c r="D703" s="107"/>
      <c r="E703" s="149"/>
      <c r="F703" s="137"/>
      <c r="G703" s="137"/>
      <c r="H703" s="137"/>
      <c r="I703" s="144"/>
      <c r="J703" s="107"/>
      <c r="K703" s="107"/>
      <c r="L703" s="107"/>
      <c r="M703" s="107"/>
      <c r="N703" s="107"/>
      <c r="O703" s="107"/>
      <c r="P703" s="107"/>
      <c r="Q703" s="107"/>
      <c r="R703" s="107"/>
      <c r="S703" s="107"/>
      <c r="T703" s="107"/>
      <c r="U703" s="107"/>
      <c r="V703" s="107"/>
      <c r="W703" s="107"/>
      <c r="X703" s="107"/>
      <c r="Y703" s="107"/>
      <c r="Z703" s="107"/>
      <c r="AA703" s="107"/>
      <c r="AB703" s="107"/>
      <c r="AC703" s="107"/>
      <c r="AD703" s="107"/>
    </row>
    <row r="704">
      <c r="A704" s="107"/>
      <c r="B704" s="107"/>
      <c r="C704" s="107"/>
      <c r="D704" s="107"/>
      <c r="E704" s="149"/>
      <c r="F704" s="137"/>
      <c r="G704" s="137"/>
      <c r="H704" s="137"/>
      <c r="I704" s="144"/>
      <c r="J704" s="107"/>
      <c r="K704" s="107"/>
      <c r="L704" s="107"/>
      <c r="M704" s="107"/>
      <c r="N704" s="107"/>
      <c r="O704" s="107"/>
      <c r="P704" s="107"/>
      <c r="Q704" s="107"/>
      <c r="R704" s="107"/>
      <c r="S704" s="107"/>
      <c r="T704" s="107"/>
      <c r="U704" s="107"/>
      <c r="V704" s="107"/>
      <c r="W704" s="107"/>
      <c r="X704" s="107"/>
      <c r="Y704" s="107"/>
      <c r="Z704" s="107"/>
      <c r="AA704" s="107"/>
      <c r="AB704" s="107"/>
      <c r="AC704" s="107"/>
      <c r="AD704" s="107"/>
    </row>
    <row r="705">
      <c r="A705" s="107"/>
      <c r="B705" s="107"/>
      <c r="C705" s="107"/>
      <c r="D705" s="107"/>
      <c r="E705" s="149"/>
      <c r="F705" s="137"/>
      <c r="G705" s="137"/>
      <c r="H705" s="137"/>
      <c r="I705" s="144"/>
      <c r="J705" s="107"/>
      <c r="K705" s="107"/>
      <c r="L705" s="107"/>
      <c r="M705" s="107"/>
      <c r="N705" s="107"/>
      <c r="O705" s="107"/>
      <c r="P705" s="107"/>
      <c r="Q705" s="107"/>
      <c r="R705" s="107"/>
      <c r="S705" s="107"/>
      <c r="T705" s="107"/>
      <c r="U705" s="107"/>
      <c r="V705" s="107"/>
      <c r="W705" s="107"/>
      <c r="X705" s="107"/>
      <c r="Y705" s="107"/>
      <c r="Z705" s="107"/>
      <c r="AA705" s="107"/>
      <c r="AB705" s="107"/>
      <c r="AC705" s="107"/>
      <c r="AD705" s="107"/>
    </row>
    <row r="706">
      <c r="A706" s="107"/>
      <c r="B706" s="107"/>
      <c r="C706" s="107"/>
      <c r="D706" s="107"/>
      <c r="E706" s="149"/>
      <c r="F706" s="137"/>
      <c r="G706" s="137"/>
      <c r="H706" s="137"/>
      <c r="I706" s="144"/>
      <c r="J706" s="107"/>
      <c r="K706" s="107"/>
      <c r="L706" s="107"/>
      <c r="M706" s="107"/>
      <c r="N706" s="107"/>
      <c r="O706" s="107"/>
      <c r="P706" s="107"/>
      <c r="Q706" s="107"/>
      <c r="R706" s="107"/>
      <c r="S706" s="107"/>
      <c r="T706" s="107"/>
      <c r="U706" s="107"/>
      <c r="V706" s="107"/>
      <c r="W706" s="107"/>
      <c r="X706" s="107"/>
      <c r="Y706" s="107"/>
      <c r="Z706" s="107"/>
      <c r="AA706" s="107"/>
      <c r="AB706" s="107"/>
      <c r="AC706" s="107"/>
      <c r="AD706" s="107"/>
    </row>
    <row r="707">
      <c r="A707" s="107"/>
      <c r="B707" s="107"/>
      <c r="C707" s="107"/>
      <c r="D707" s="107"/>
      <c r="E707" s="149"/>
      <c r="F707" s="137"/>
      <c r="G707" s="137"/>
      <c r="H707" s="137"/>
      <c r="I707" s="144"/>
      <c r="J707" s="107"/>
      <c r="K707" s="107"/>
      <c r="L707" s="107"/>
      <c r="M707" s="107"/>
      <c r="N707" s="107"/>
      <c r="O707" s="107"/>
      <c r="P707" s="107"/>
      <c r="Q707" s="107"/>
      <c r="R707" s="107"/>
      <c r="S707" s="107"/>
      <c r="T707" s="107"/>
      <c r="U707" s="107"/>
      <c r="V707" s="107"/>
      <c r="W707" s="107"/>
      <c r="X707" s="107"/>
      <c r="Y707" s="107"/>
      <c r="Z707" s="107"/>
      <c r="AA707" s="107"/>
      <c r="AB707" s="107"/>
      <c r="AC707" s="107"/>
      <c r="AD707" s="107"/>
    </row>
    <row r="708">
      <c r="A708" s="107"/>
      <c r="B708" s="107"/>
      <c r="C708" s="107"/>
      <c r="D708" s="107"/>
      <c r="E708" s="149"/>
      <c r="F708" s="137"/>
      <c r="G708" s="137"/>
      <c r="H708" s="137"/>
      <c r="I708" s="144"/>
      <c r="J708" s="107"/>
      <c r="K708" s="107"/>
      <c r="L708" s="107"/>
      <c r="M708" s="107"/>
      <c r="N708" s="107"/>
      <c r="O708" s="107"/>
      <c r="P708" s="107"/>
      <c r="Q708" s="107"/>
      <c r="R708" s="107"/>
      <c r="S708" s="107"/>
      <c r="T708" s="107"/>
      <c r="U708" s="107"/>
      <c r="V708" s="107"/>
      <c r="W708" s="107"/>
      <c r="X708" s="107"/>
      <c r="Y708" s="107"/>
      <c r="Z708" s="107"/>
      <c r="AA708" s="107"/>
      <c r="AB708" s="107"/>
      <c r="AC708" s="107"/>
      <c r="AD708" s="107"/>
    </row>
    <row r="709">
      <c r="A709" s="107"/>
      <c r="B709" s="107"/>
      <c r="C709" s="107"/>
      <c r="D709" s="107"/>
      <c r="E709" s="149"/>
      <c r="F709" s="137"/>
      <c r="G709" s="137"/>
      <c r="H709" s="137"/>
      <c r="I709" s="144"/>
      <c r="J709" s="107"/>
      <c r="K709" s="107"/>
      <c r="L709" s="107"/>
      <c r="M709" s="107"/>
      <c r="N709" s="107"/>
      <c r="O709" s="107"/>
      <c r="P709" s="107"/>
      <c r="Q709" s="107"/>
      <c r="R709" s="107"/>
      <c r="S709" s="107"/>
      <c r="T709" s="107"/>
      <c r="U709" s="107"/>
      <c r="V709" s="107"/>
      <c r="W709" s="107"/>
      <c r="X709" s="107"/>
      <c r="Y709" s="107"/>
      <c r="Z709" s="107"/>
      <c r="AA709" s="107"/>
      <c r="AB709" s="107"/>
      <c r="AC709" s="107"/>
      <c r="AD709" s="107"/>
    </row>
    <row r="710">
      <c r="A710" s="107"/>
      <c r="B710" s="107"/>
      <c r="C710" s="107"/>
      <c r="D710" s="107"/>
      <c r="E710" s="149"/>
      <c r="F710" s="137"/>
      <c r="G710" s="137"/>
      <c r="H710" s="137"/>
      <c r="I710" s="144"/>
      <c r="J710" s="107"/>
      <c r="K710" s="107"/>
      <c r="L710" s="107"/>
      <c r="M710" s="107"/>
      <c r="N710" s="107"/>
      <c r="O710" s="107"/>
      <c r="P710" s="107"/>
      <c r="Q710" s="107"/>
      <c r="R710" s="107"/>
      <c r="S710" s="107"/>
      <c r="T710" s="107"/>
      <c r="U710" s="107"/>
      <c r="V710" s="107"/>
      <c r="W710" s="107"/>
      <c r="X710" s="107"/>
      <c r="Y710" s="107"/>
      <c r="Z710" s="107"/>
      <c r="AA710" s="107"/>
      <c r="AB710" s="107"/>
      <c r="AC710" s="107"/>
      <c r="AD710" s="107"/>
    </row>
    <row r="711">
      <c r="A711" s="107"/>
      <c r="B711" s="107"/>
      <c r="C711" s="107"/>
      <c r="D711" s="107"/>
      <c r="E711" s="149"/>
      <c r="F711" s="137"/>
      <c r="G711" s="137"/>
      <c r="H711" s="137"/>
      <c r="I711" s="144"/>
      <c r="J711" s="107"/>
      <c r="K711" s="107"/>
      <c r="L711" s="107"/>
      <c r="M711" s="107"/>
      <c r="N711" s="107"/>
      <c r="O711" s="107"/>
      <c r="P711" s="107"/>
      <c r="Q711" s="107"/>
      <c r="R711" s="107"/>
      <c r="S711" s="107"/>
      <c r="T711" s="107"/>
      <c r="U711" s="107"/>
      <c r="V711" s="107"/>
      <c r="W711" s="107"/>
      <c r="X711" s="107"/>
      <c r="Y711" s="107"/>
      <c r="Z711" s="107"/>
      <c r="AA711" s="107"/>
      <c r="AB711" s="107"/>
      <c r="AC711" s="107"/>
      <c r="AD711" s="107"/>
    </row>
    <row r="712">
      <c r="A712" s="107"/>
      <c r="B712" s="107"/>
      <c r="C712" s="107"/>
      <c r="D712" s="107"/>
      <c r="E712" s="149"/>
      <c r="F712" s="137"/>
      <c r="G712" s="137"/>
      <c r="H712" s="137"/>
      <c r="I712" s="144"/>
      <c r="J712" s="107"/>
      <c r="K712" s="107"/>
      <c r="L712" s="107"/>
      <c r="M712" s="107"/>
      <c r="N712" s="107"/>
      <c r="O712" s="107"/>
      <c r="P712" s="107"/>
      <c r="Q712" s="107"/>
      <c r="R712" s="107"/>
      <c r="S712" s="107"/>
      <c r="T712" s="107"/>
      <c r="U712" s="107"/>
      <c r="V712" s="107"/>
      <c r="W712" s="107"/>
      <c r="X712" s="107"/>
      <c r="Y712" s="107"/>
      <c r="Z712" s="107"/>
      <c r="AA712" s="107"/>
      <c r="AB712" s="107"/>
      <c r="AC712" s="107"/>
      <c r="AD712" s="107"/>
    </row>
    <row r="713">
      <c r="A713" s="107"/>
      <c r="B713" s="107"/>
      <c r="C713" s="107"/>
      <c r="D713" s="107"/>
      <c r="E713" s="149"/>
      <c r="F713" s="137"/>
      <c r="G713" s="137"/>
      <c r="H713" s="137"/>
      <c r="I713" s="144"/>
      <c r="J713" s="107"/>
      <c r="K713" s="107"/>
      <c r="L713" s="107"/>
      <c r="M713" s="107"/>
      <c r="N713" s="107"/>
      <c r="O713" s="107"/>
      <c r="P713" s="107"/>
      <c r="Q713" s="107"/>
      <c r="R713" s="107"/>
      <c r="S713" s="107"/>
      <c r="T713" s="107"/>
      <c r="U713" s="107"/>
      <c r="V713" s="107"/>
      <c r="W713" s="107"/>
      <c r="X713" s="107"/>
      <c r="Y713" s="107"/>
      <c r="Z713" s="107"/>
      <c r="AA713" s="107"/>
      <c r="AB713" s="107"/>
      <c r="AC713" s="107"/>
      <c r="AD713" s="107"/>
    </row>
    <row r="714">
      <c r="A714" s="107"/>
      <c r="B714" s="107"/>
      <c r="C714" s="107"/>
      <c r="D714" s="107"/>
      <c r="E714" s="149"/>
      <c r="F714" s="137"/>
      <c r="G714" s="137"/>
      <c r="H714" s="137"/>
      <c r="I714" s="144"/>
      <c r="J714" s="107"/>
      <c r="K714" s="107"/>
      <c r="L714" s="107"/>
      <c r="M714" s="107"/>
      <c r="N714" s="107"/>
      <c r="O714" s="107"/>
      <c r="P714" s="107"/>
      <c r="Q714" s="107"/>
      <c r="R714" s="107"/>
      <c r="S714" s="107"/>
      <c r="T714" s="107"/>
      <c r="U714" s="107"/>
      <c r="V714" s="107"/>
      <c r="W714" s="107"/>
      <c r="X714" s="107"/>
      <c r="Y714" s="107"/>
      <c r="Z714" s="107"/>
      <c r="AA714" s="107"/>
      <c r="AB714" s="107"/>
      <c r="AC714" s="107"/>
      <c r="AD714" s="107"/>
    </row>
    <row r="715">
      <c r="A715" s="107"/>
      <c r="B715" s="107"/>
      <c r="C715" s="107"/>
      <c r="D715" s="107"/>
      <c r="E715" s="149"/>
      <c r="F715" s="137"/>
      <c r="G715" s="137"/>
      <c r="H715" s="137"/>
      <c r="I715" s="144"/>
      <c r="J715" s="107"/>
      <c r="K715" s="107"/>
      <c r="L715" s="107"/>
      <c r="M715" s="107"/>
      <c r="N715" s="107"/>
      <c r="O715" s="107"/>
      <c r="P715" s="107"/>
      <c r="Q715" s="107"/>
      <c r="R715" s="107"/>
      <c r="S715" s="107"/>
      <c r="T715" s="107"/>
      <c r="U715" s="107"/>
      <c r="V715" s="107"/>
      <c r="W715" s="107"/>
      <c r="X715" s="107"/>
      <c r="Y715" s="107"/>
      <c r="Z715" s="107"/>
      <c r="AA715" s="107"/>
      <c r="AB715" s="107"/>
      <c r="AC715" s="107"/>
      <c r="AD715" s="107"/>
    </row>
    <row r="716">
      <c r="A716" s="107"/>
      <c r="B716" s="107"/>
      <c r="C716" s="107"/>
      <c r="D716" s="107"/>
      <c r="E716" s="149"/>
      <c r="F716" s="137"/>
      <c r="G716" s="137"/>
      <c r="H716" s="137"/>
      <c r="I716" s="144"/>
      <c r="J716" s="107"/>
      <c r="K716" s="107"/>
      <c r="L716" s="107"/>
      <c r="M716" s="107"/>
      <c r="N716" s="107"/>
      <c r="O716" s="107"/>
      <c r="P716" s="107"/>
      <c r="Q716" s="107"/>
      <c r="R716" s="107"/>
      <c r="S716" s="107"/>
      <c r="T716" s="107"/>
      <c r="U716" s="107"/>
      <c r="V716" s="107"/>
      <c r="W716" s="107"/>
      <c r="X716" s="107"/>
      <c r="Y716" s="107"/>
      <c r="Z716" s="107"/>
      <c r="AA716" s="107"/>
      <c r="AB716" s="107"/>
      <c r="AC716" s="107"/>
      <c r="AD716" s="107"/>
    </row>
    <row r="717">
      <c r="A717" s="107"/>
      <c r="B717" s="107"/>
      <c r="C717" s="107"/>
      <c r="D717" s="107"/>
      <c r="E717" s="149"/>
      <c r="F717" s="137"/>
      <c r="G717" s="137"/>
      <c r="H717" s="137"/>
      <c r="I717" s="144"/>
      <c r="J717" s="107"/>
      <c r="K717" s="107"/>
      <c r="L717" s="107"/>
      <c r="M717" s="107"/>
      <c r="N717" s="107"/>
      <c r="O717" s="107"/>
      <c r="P717" s="107"/>
      <c r="Q717" s="107"/>
      <c r="R717" s="107"/>
      <c r="S717" s="107"/>
      <c r="T717" s="107"/>
      <c r="U717" s="107"/>
      <c r="V717" s="107"/>
      <c r="W717" s="107"/>
      <c r="X717" s="107"/>
      <c r="Y717" s="107"/>
      <c r="Z717" s="107"/>
      <c r="AA717" s="107"/>
      <c r="AB717" s="107"/>
      <c r="AC717" s="107"/>
      <c r="AD717" s="107"/>
    </row>
    <row r="718">
      <c r="A718" s="107"/>
      <c r="B718" s="107"/>
      <c r="C718" s="107"/>
      <c r="D718" s="107"/>
      <c r="E718" s="149"/>
      <c r="F718" s="137"/>
      <c r="G718" s="137"/>
      <c r="H718" s="137"/>
      <c r="I718" s="144"/>
      <c r="J718" s="107"/>
      <c r="K718" s="107"/>
      <c r="L718" s="107"/>
      <c r="M718" s="107"/>
      <c r="N718" s="107"/>
      <c r="O718" s="107"/>
      <c r="P718" s="107"/>
      <c r="Q718" s="107"/>
      <c r="R718" s="107"/>
      <c r="S718" s="107"/>
      <c r="T718" s="107"/>
      <c r="U718" s="107"/>
      <c r="V718" s="107"/>
      <c r="W718" s="107"/>
      <c r="X718" s="107"/>
      <c r="Y718" s="107"/>
      <c r="Z718" s="107"/>
      <c r="AA718" s="107"/>
      <c r="AB718" s="107"/>
      <c r="AC718" s="107"/>
      <c r="AD718" s="107"/>
    </row>
    <row r="719">
      <c r="A719" s="107"/>
      <c r="B719" s="107"/>
      <c r="C719" s="107"/>
      <c r="D719" s="107"/>
      <c r="E719" s="149"/>
      <c r="F719" s="137"/>
      <c r="G719" s="137"/>
      <c r="H719" s="137"/>
      <c r="I719" s="144"/>
      <c r="J719" s="107"/>
      <c r="K719" s="107"/>
      <c r="L719" s="107"/>
      <c r="M719" s="107"/>
      <c r="N719" s="107"/>
      <c r="O719" s="107"/>
      <c r="P719" s="107"/>
      <c r="Q719" s="107"/>
      <c r="R719" s="107"/>
      <c r="S719" s="107"/>
      <c r="T719" s="107"/>
      <c r="U719" s="107"/>
      <c r="V719" s="107"/>
      <c r="W719" s="107"/>
      <c r="X719" s="107"/>
      <c r="Y719" s="107"/>
      <c r="Z719" s="107"/>
      <c r="AA719" s="107"/>
      <c r="AB719" s="107"/>
      <c r="AC719" s="107"/>
      <c r="AD719" s="107"/>
    </row>
    <row r="720">
      <c r="A720" s="107"/>
      <c r="B720" s="107"/>
      <c r="C720" s="107"/>
      <c r="D720" s="107"/>
      <c r="E720" s="149"/>
      <c r="F720" s="137"/>
      <c r="G720" s="137"/>
      <c r="H720" s="137"/>
      <c r="I720" s="144"/>
      <c r="J720" s="107"/>
      <c r="K720" s="107"/>
      <c r="L720" s="107"/>
      <c r="M720" s="107"/>
      <c r="N720" s="107"/>
      <c r="O720" s="107"/>
      <c r="P720" s="107"/>
      <c r="Q720" s="107"/>
      <c r="R720" s="107"/>
      <c r="S720" s="107"/>
      <c r="T720" s="107"/>
      <c r="U720" s="107"/>
      <c r="V720" s="107"/>
      <c r="W720" s="107"/>
      <c r="X720" s="107"/>
      <c r="Y720" s="107"/>
      <c r="Z720" s="107"/>
      <c r="AA720" s="107"/>
      <c r="AB720" s="107"/>
      <c r="AC720" s="107"/>
      <c r="AD720" s="107"/>
    </row>
    <row r="721">
      <c r="A721" s="107"/>
      <c r="B721" s="107"/>
      <c r="C721" s="107"/>
      <c r="D721" s="107"/>
      <c r="E721" s="149"/>
      <c r="F721" s="137"/>
      <c r="G721" s="137"/>
      <c r="H721" s="137"/>
      <c r="I721" s="144"/>
      <c r="J721" s="107"/>
      <c r="K721" s="107"/>
      <c r="L721" s="107"/>
      <c r="M721" s="107"/>
      <c r="N721" s="107"/>
      <c r="O721" s="107"/>
      <c r="P721" s="107"/>
      <c r="Q721" s="107"/>
      <c r="R721" s="107"/>
      <c r="S721" s="107"/>
      <c r="T721" s="107"/>
      <c r="U721" s="107"/>
      <c r="V721" s="107"/>
      <c r="W721" s="107"/>
      <c r="X721" s="107"/>
      <c r="Y721" s="107"/>
      <c r="Z721" s="107"/>
      <c r="AA721" s="107"/>
      <c r="AB721" s="107"/>
      <c r="AC721" s="107"/>
      <c r="AD721" s="107"/>
    </row>
    <row r="722">
      <c r="A722" s="107"/>
      <c r="B722" s="107"/>
      <c r="C722" s="107"/>
      <c r="D722" s="107"/>
      <c r="E722" s="149"/>
      <c r="F722" s="137"/>
      <c r="G722" s="137"/>
      <c r="H722" s="137"/>
      <c r="I722" s="144"/>
      <c r="J722" s="107"/>
      <c r="K722" s="107"/>
      <c r="L722" s="107"/>
      <c r="M722" s="107"/>
      <c r="N722" s="107"/>
      <c r="O722" s="107"/>
      <c r="P722" s="107"/>
      <c r="Q722" s="107"/>
      <c r="R722" s="107"/>
      <c r="S722" s="107"/>
      <c r="T722" s="107"/>
      <c r="U722" s="107"/>
      <c r="V722" s="107"/>
      <c r="W722" s="107"/>
      <c r="X722" s="107"/>
      <c r="Y722" s="107"/>
      <c r="Z722" s="107"/>
      <c r="AA722" s="107"/>
      <c r="AB722" s="107"/>
      <c r="AC722" s="107"/>
      <c r="AD722" s="107"/>
    </row>
    <row r="723">
      <c r="A723" s="107"/>
      <c r="B723" s="107"/>
      <c r="C723" s="107"/>
      <c r="D723" s="107"/>
      <c r="E723" s="149"/>
      <c r="F723" s="137"/>
      <c r="G723" s="137"/>
      <c r="H723" s="137"/>
      <c r="I723" s="144"/>
      <c r="J723" s="107"/>
      <c r="K723" s="107"/>
      <c r="L723" s="107"/>
      <c r="M723" s="107"/>
      <c r="N723" s="107"/>
      <c r="O723" s="107"/>
      <c r="P723" s="107"/>
      <c r="Q723" s="107"/>
      <c r="R723" s="107"/>
      <c r="S723" s="107"/>
      <c r="T723" s="107"/>
      <c r="U723" s="107"/>
      <c r="V723" s="107"/>
      <c r="W723" s="107"/>
      <c r="X723" s="107"/>
      <c r="Y723" s="107"/>
      <c r="Z723" s="107"/>
      <c r="AA723" s="107"/>
      <c r="AB723" s="107"/>
      <c r="AC723" s="107"/>
      <c r="AD723" s="107"/>
    </row>
    <row r="724">
      <c r="A724" s="107"/>
      <c r="B724" s="107"/>
      <c r="C724" s="107"/>
      <c r="D724" s="107"/>
      <c r="E724" s="149"/>
      <c r="F724" s="137"/>
      <c r="G724" s="137"/>
      <c r="H724" s="137"/>
      <c r="I724" s="144"/>
      <c r="J724" s="107"/>
      <c r="K724" s="107"/>
      <c r="L724" s="107"/>
      <c r="M724" s="107"/>
      <c r="N724" s="107"/>
      <c r="O724" s="107"/>
      <c r="P724" s="107"/>
      <c r="Q724" s="107"/>
      <c r="R724" s="107"/>
      <c r="S724" s="107"/>
      <c r="T724" s="107"/>
      <c r="U724" s="107"/>
      <c r="V724" s="107"/>
      <c r="W724" s="107"/>
      <c r="X724" s="107"/>
      <c r="Y724" s="107"/>
      <c r="Z724" s="107"/>
      <c r="AA724" s="107"/>
      <c r="AB724" s="107"/>
      <c r="AC724" s="107"/>
      <c r="AD724" s="107"/>
    </row>
    <row r="725">
      <c r="A725" s="107"/>
      <c r="B725" s="107"/>
      <c r="C725" s="107"/>
      <c r="D725" s="107"/>
      <c r="E725" s="149"/>
      <c r="F725" s="137"/>
      <c r="G725" s="137"/>
      <c r="H725" s="137"/>
      <c r="I725" s="144"/>
      <c r="J725" s="107"/>
      <c r="K725" s="107"/>
      <c r="L725" s="107"/>
      <c r="M725" s="107"/>
      <c r="N725" s="107"/>
      <c r="O725" s="107"/>
      <c r="P725" s="107"/>
      <c r="Q725" s="107"/>
      <c r="R725" s="107"/>
      <c r="S725" s="107"/>
      <c r="T725" s="107"/>
      <c r="U725" s="107"/>
      <c r="V725" s="107"/>
      <c r="W725" s="107"/>
      <c r="X725" s="107"/>
      <c r="Y725" s="107"/>
      <c r="Z725" s="107"/>
      <c r="AA725" s="107"/>
      <c r="AB725" s="107"/>
      <c r="AC725" s="107"/>
      <c r="AD725" s="107"/>
    </row>
    <row r="726">
      <c r="A726" s="107"/>
      <c r="B726" s="107"/>
      <c r="C726" s="107"/>
      <c r="D726" s="107"/>
      <c r="E726" s="149"/>
      <c r="F726" s="137"/>
      <c r="G726" s="137"/>
      <c r="H726" s="137"/>
      <c r="I726" s="144"/>
      <c r="J726" s="107"/>
      <c r="K726" s="107"/>
      <c r="L726" s="107"/>
      <c r="M726" s="107"/>
      <c r="N726" s="107"/>
      <c r="O726" s="107"/>
      <c r="P726" s="107"/>
      <c r="Q726" s="107"/>
      <c r="R726" s="107"/>
      <c r="S726" s="107"/>
      <c r="T726" s="107"/>
      <c r="U726" s="107"/>
      <c r="V726" s="107"/>
      <c r="W726" s="107"/>
      <c r="X726" s="107"/>
      <c r="Y726" s="107"/>
      <c r="Z726" s="107"/>
      <c r="AA726" s="107"/>
      <c r="AB726" s="107"/>
      <c r="AC726" s="107"/>
      <c r="AD726" s="107"/>
    </row>
    <row r="727">
      <c r="A727" s="107"/>
      <c r="B727" s="107"/>
      <c r="C727" s="107"/>
      <c r="D727" s="107"/>
      <c r="E727" s="149"/>
      <c r="F727" s="137"/>
      <c r="G727" s="137"/>
      <c r="H727" s="137"/>
      <c r="I727" s="144"/>
      <c r="J727" s="107"/>
      <c r="K727" s="107"/>
      <c r="L727" s="107"/>
      <c r="M727" s="107"/>
      <c r="N727" s="107"/>
      <c r="O727" s="107"/>
      <c r="P727" s="107"/>
      <c r="Q727" s="107"/>
      <c r="R727" s="107"/>
      <c r="S727" s="107"/>
      <c r="T727" s="107"/>
      <c r="U727" s="107"/>
      <c r="V727" s="107"/>
      <c r="W727" s="107"/>
      <c r="X727" s="107"/>
      <c r="Y727" s="107"/>
      <c r="Z727" s="107"/>
      <c r="AA727" s="107"/>
      <c r="AB727" s="107"/>
      <c r="AC727" s="107"/>
      <c r="AD727" s="107"/>
    </row>
    <row r="728">
      <c r="A728" s="107"/>
      <c r="B728" s="107"/>
      <c r="C728" s="107"/>
      <c r="D728" s="107"/>
      <c r="E728" s="149"/>
      <c r="F728" s="137"/>
      <c r="G728" s="137"/>
      <c r="H728" s="137"/>
      <c r="I728" s="144"/>
      <c r="J728" s="107"/>
      <c r="K728" s="107"/>
      <c r="L728" s="107"/>
      <c r="M728" s="107"/>
      <c r="N728" s="107"/>
      <c r="O728" s="107"/>
      <c r="P728" s="107"/>
      <c r="Q728" s="107"/>
      <c r="R728" s="107"/>
      <c r="S728" s="107"/>
      <c r="T728" s="107"/>
      <c r="U728" s="107"/>
      <c r="V728" s="107"/>
      <c r="W728" s="107"/>
      <c r="X728" s="107"/>
      <c r="Y728" s="107"/>
      <c r="Z728" s="107"/>
      <c r="AA728" s="107"/>
      <c r="AB728" s="107"/>
      <c r="AC728" s="107"/>
      <c r="AD728" s="107"/>
    </row>
    <row r="729">
      <c r="A729" s="107"/>
      <c r="B729" s="107"/>
      <c r="C729" s="107"/>
      <c r="D729" s="107"/>
      <c r="E729" s="149"/>
      <c r="F729" s="137"/>
      <c r="G729" s="137"/>
      <c r="H729" s="137"/>
      <c r="I729" s="144"/>
      <c r="J729" s="107"/>
      <c r="K729" s="107"/>
      <c r="L729" s="107"/>
      <c r="M729" s="107"/>
      <c r="N729" s="107"/>
      <c r="O729" s="107"/>
      <c r="P729" s="107"/>
      <c r="Q729" s="107"/>
      <c r="R729" s="107"/>
      <c r="S729" s="107"/>
      <c r="T729" s="107"/>
      <c r="U729" s="107"/>
      <c r="V729" s="107"/>
      <c r="W729" s="107"/>
      <c r="X729" s="107"/>
      <c r="Y729" s="107"/>
      <c r="Z729" s="107"/>
      <c r="AA729" s="107"/>
      <c r="AB729" s="107"/>
      <c r="AC729" s="107"/>
      <c r="AD729" s="107"/>
    </row>
    <row r="730">
      <c r="A730" s="107"/>
      <c r="B730" s="107"/>
      <c r="C730" s="107"/>
      <c r="D730" s="107"/>
      <c r="E730" s="149"/>
      <c r="F730" s="137"/>
      <c r="G730" s="137"/>
      <c r="H730" s="137"/>
      <c r="I730" s="144"/>
      <c r="J730" s="107"/>
      <c r="K730" s="107"/>
      <c r="L730" s="107"/>
      <c r="M730" s="107"/>
      <c r="N730" s="107"/>
      <c r="O730" s="107"/>
      <c r="P730" s="107"/>
      <c r="Q730" s="107"/>
      <c r="R730" s="107"/>
      <c r="S730" s="107"/>
      <c r="T730" s="107"/>
      <c r="U730" s="107"/>
      <c r="V730" s="107"/>
      <c r="W730" s="107"/>
      <c r="X730" s="107"/>
      <c r="Y730" s="107"/>
      <c r="Z730" s="107"/>
      <c r="AA730" s="107"/>
      <c r="AB730" s="107"/>
      <c r="AC730" s="107"/>
      <c r="AD730" s="107"/>
    </row>
    <row r="731">
      <c r="A731" s="107"/>
      <c r="B731" s="107"/>
      <c r="C731" s="107"/>
      <c r="D731" s="107"/>
      <c r="E731" s="149"/>
      <c r="F731" s="137"/>
      <c r="G731" s="137"/>
      <c r="H731" s="137"/>
      <c r="I731" s="144"/>
      <c r="J731" s="107"/>
      <c r="K731" s="107"/>
      <c r="L731" s="107"/>
      <c r="M731" s="107"/>
      <c r="N731" s="107"/>
      <c r="O731" s="107"/>
      <c r="P731" s="107"/>
      <c r="Q731" s="107"/>
      <c r="R731" s="107"/>
      <c r="S731" s="107"/>
      <c r="T731" s="107"/>
      <c r="U731" s="107"/>
      <c r="V731" s="107"/>
      <c r="W731" s="107"/>
      <c r="X731" s="107"/>
      <c r="Y731" s="107"/>
      <c r="Z731" s="107"/>
      <c r="AA731" s="107"/>
      <c r="AB731" s="107"/>
      <c r="AC731" s="107"/>
      <c r="AD731" s="107"/>
    </row>
    <row r="732">
      <c r="A732" s="107"/>
      <c r="B732" s="107"/>
      <c r="C732" s="107"/>
      <c r="D732" s="107"/>
      <c r="E732" s="149"/>
      <c r="F732" s="137"/>
      <c r="G732" s="137"/>
      <c r="H732" s="137"/>
      <c r="I732" s="144"/>
      <c r="J732" s="107"/>
      <c r="K732" s="107"/>
      <c r="L732" s="107"/>
      <c r="M732" s="107"/>
      <c r="N732" s="107"/>
      <c r="O732" s="107"/>
      <c r="P732" s="107"/>
      <c r="Q732" s="107"/>
      <c r="R732" s="107"/>
      <c r="S732" s="107"/>
      <c r="T732" s="107"/>
      <c r="U732" s="107"/>
      <c r="V732" s="107"/>
      <c r="W732" s="107"/>
      <c r="X732" s="107"/>
      <c r="Y732" s="107"/>
      <c r="Z732" s="107"/>
      <c r="AA732" s="107"/>
      <c r="AB732" s="107"/>
      <c r="AC732" s="107"/>
      <c r="AD732" s="107"/>
    </row>
    <row r="733">
      <c r="A733" s="107"/>
      <c r="B733" s="107"/>
      <c r="C733" s="107"/>
      <c r="D733" s="107"/>
      <c r="E733" s="149"/>
      <c r="F733" s="137"/>
      <c r="G733" s="137"/>
      <c r="H733" s="137"/>
      <c r="I733" s="144"/>
      <c r="J733" s="107"/>
      <c r="K733" s="107"/>
      <c r="L733" s="107"/>
      <c r="M733" s="107"/>
      <c r="N733" s="107"/>
      <c r="O733" s="107"/>
      <c r="P733" s="107"/>
      <c r="Q733" s="107"/>
      <c r="R733" s="107"/>
      <c r="S733" s="107"/>
      <c r="T733" s="107"/>
      <c r="U733" s="107"/>
      <c r="V733" s="107"/>
      <c r="W733" s="107"/>
      <c r="X733" s="107"/>
      <c r="Y733" s="107"/>
      <c r="Z733" s="107"/>
      <c r="AA733" s="107"/>
      <c r="AB733" s="107"/>
      <c r="AC733" s="107"/>
      <c r="AD733" s="107"/>
    </row>
    <row r="734">
      <c r="A734" s="107"/>
      <c r="B734" s="107"/>
      <c r="C734" s="107"/>
      <c r="D734" s="107"/>
      <c r="E734" s="149"/>
      <c r="F734" s="137"/>
      <c r="G734" s="137"/>
      <c r="H734" s="137"/>
      <c r="I734" s="144"/>
      <c r="J734" s="107"/>
      <c r="K734" s="107"/>
      <c r="L734" s="107"/>
      <c r="M734" s="107"/>
      <c r="N734" s="107"/>
      <c r="O734" s="107"/>
      <c r="P734" s="107"/>
      <c r="Q734" s="107"/>
      <c r="R734" s="107"/>
      <c r="S734" s="107"/>
      <c r="T734" s="107"/>
      <c r="U734" s="107"/>
      <c r="V734" s="107"/>
      <c r="W734" s="107"/>
      <c r="X734" s="107"/>
      <c r="Y734" s="107"/>
      <c r="Z734" s="107"/>
      <c r="AA734" s="107"/>
      <c r="AB734" s="107"/>
      <c r="AC734" s="107"/>
      <c r="AD734" s="107"/>
    </row>
    <row r="735">
      <c r="A735" s="107"/>
      <c r="B735" s="107"/>
      <c r="C735" s="107"/>
      <c r="D735" s="107"/>
      <c r="E735" s="149"/>
      <c r="F735" s="137"/>
      <c r="G735" s="137"/>
      <c r="H735" s="137"/>
      <c r="I735" s="144"/>
      <c r="J735" s="107"/>
      <c r="K735" s="107"/>
      <c r="L735" s="107"/>
      <c r="M735" s="107"/>
      <c r="N735" s="107"/>
      <c r="O735" s="107"/>
      <c r="P735" s="107"/>
      <c r="Q735" s="107"/>
      <c r="R735" s="107"/>
      <c r="S735" s="107"/>
      <c r="T735" s="107"/>
      <c r="U735" s="107"/>
      <c r="V735" s="107"/>
      <c r="W735" s="107"/>
      <c r="X735" s="107"/>
      <c r="Y735" s="107"/>
      <c r="Z735" s="107"/>
      <c r="AA735" s="107"/>
      <c r="AB735" s="107"/>
      <c r="AC735" s="107"/>
      <c r="AD735" s="107"/>
    </row>
    <row r="736">
      <c r="A736" s="107"/>
      <c r="B736" s="107"/>
      <c r="C736" s="107"/>
      <c r="D736" s="107"/>
      <c r="E736" s="149"/>
      <c r="F736" s="137"/>
      <c r="G736" s="137"/>
      <c r="H736" s="137"/>
      <c r="I736" s="144"/>
      <c r="J736" s="107"/>
      <c r="K736" s="107"/>
      <c r="L736" s="107"/>
      <c r="M736" s="107"/>
      <c r="N736" s="107"/>
      <c r="O736" s="107"/>
      <c r="P736" s="107"/>
      <c r="Q736" s="107"/>
      <c r="R736" s="107"/>
      <c r="S736" s="107"/>
      <c r="T736" s="107"/>
      <c r="U736" s="107"/>
      <c r="V736" s="107"/>
      <c r="W736" s="107"/>
      <c r="X736" s="107"/>
      <c r="Y736" s="107"/>
      <c r="Z736" s="107"/>
      <c r="AA736" s="107"/>
      <c r="AB736" s="107"/>
      <c r="AC736" s="107"/>
      <c r="AD736" s="107"/>
    </row>
    <row r="737">
      <c r="A737" s="107"/>
      <c r="B737" s="107"/>
      <c r="C737" s="107"/>
      <c r="D737" s="107"/>
      <c r="E737" s="149"/>
      <c r="F737" s="137"/>
      <c r="G737" s="137"/>
      <c r="H737" s="137"/>
      <c r="I737" s="144"/>
      <c r="J737" s="107"/>
      <c r="K737" s="107"/>
      <c r="L737" s="107"/>
      <c r="M737" s="107"/>
      <c r="N737" s="107"/>
      <c r="O737" s="107"/>
      <c r="P737" s="107"/>
      <c r="Q737" s="107"/>
      <c r="R737" s="107"/>
      <c r="S737" s="107"/>
      <c r="T737" s="107"/>
      <c r="U737" s="107"/>
      <c r="V737" s="107"/>
      <c r="W737" s="107"/>
      <c r="X737" s="107"/>
      <c r="Y737" s="107"/>
      <c r="Z737" s="107"/>
      <c r="AA737" s="107"/>
      <c r="AB737" s="107"/>
      <c r="AC737" s="107"/>
      <c r="AD737" s="107"/>
    </row>
    <row r="738">
      <c r="A738" s="107"/>
      <c r="B738" s="107"/>
      <c r="C738" s="107"/>
      <c r="D738" s="107"/>
      <c r="E738" s="149"/>
      <c r="F738" s="137"/>
      <c r="G738" s="137"/>
      <c r="H738" s="137"/>
      <c r="I738" s="144"/>
      <c r="J738" s="107"/>
      <c r="K738" s="107"/>
      <c r="L738" s="107"/>
      <c r="M738" s="107"/>
      <c r="N738" s="107"/>
      <c r="O738" s="107"/>
      <c r="P738" s="107"/>
      <c r="Q738" s="107"/>
      <c r="R738" s="107"/>
      <c r="S738" s="107"/>
      <c r="T738" s="107"/>
      <c r="U738" s="107"/>
      <c r="V738" s="107"/>
      <c r="W738" s="107"/>
      <c r="X738" s="107"/>
      <c r="Y738" s="107"/>
      <c r="Z738" s="107"/>
      <c r="AA738" s="107"/>
      <c r="AB738" s="107"/>
      <c r="AC738" s="107"/>
      <c r="AD738" s="107"/>
    </row>
    <row r="739">
      <c r="A739" s="107"/>
      <c r="B739" s="107"/>
      <c r="C739" s="107"/>
      <c r="D739" s="107"/>
      <c r="E739" s="149"/>
      <c r="F739" s="137"/>
      <c r="G739" s="137"/>
      <c r="H739" s="137"/>
      <c r="I739" s="144"/>
      <c r="J739" s="107"/>
      <c r="K739" s="107"/>
      <c r="L739" s="107"/>
      <c r="M739" s="107"/>
      <c r="N739" s="107"/>
      <c r="O739" s="107"/>
      <c r="P739" s="107"/>
      <c r="Q739" s="107"/>
      <c r="R739" s="107"/>
      <c r="S739" s="107"/>
      <c r="T739" s="107"/>
      <c r="U739" s="107"/>
      <c r="V739" s="107"/>
      <c r="W739" s="107"/>
      <c r="X739" s="107"/>
      <c r="Y739" s="107"/>
      <c r="Z739" s="107"/>
      <c r="AA739" s="107"/>
      <c r="AB739" s="107"/>
      <c r="AC739" s="107"/>
      <c r="AD739" s="107"/>
    </row>
    <row r="740">
      <c r="A740" s="107"/>
      <c r="B740" s="107"/>
      <c r="C740" s="107"/>
      <c r="D740" s="107"/>
      <c r="E740" s="149"/>
      <c r="F740" s="137"/>
      <c r="G740" s="137"/>
      <c r="H740" s="137"/>
      <c r="I740" s="144"/>
      <c r="J740" s="107"/>
      <c r="K740" s="107"/>
      <c r="L740" s="107"/>
      <c r="M740" s="107"/>
      <c r="N740" s="107"/>
      <c r="O740" s="107"/>
      <c r="P740" s="107"/>
      <c r="Q740" s="107"/>
      <c r="R740" s="107"/>
      <c r="S740" s="107"/>
      <c r="T740" s="107"/>
      <c r="U740" s="107"/>
      <c r="V740" s="107"/>
      <c r="W740" s="107"/>
      <c r="X740" s="107"/>
      <c r="Y740" s="107"/>
      <c r="Z740" s="107"/>
      <c r="AA740" s="107"/>
      <c r="AB740" s="107"/>
      <c r="AC740" s="107"/>
      <c r="AD740" s="107"/>
    </row>
    <row r="741">
      <c r="A741" s="107"/>
      <c r="B741" s="107"/>
      <c r="C741" s="107"/>
      <c r="D741" s="107"/>
      <c r="E741" s="149"/>
      <c r="F741" s="137"/>
      <c r="G741" s="137"/>
      <c r="H741" s="137"/>
      <c r="I741" s="144"/>
      <c r="J741" s="107"/>
      <c r="K741" s="107"/>
      <c r="L741" s="107"/>
      <c r="M741" s="107"/>
      <c r="N741" s="107"/>
      <c r="O741" s="107"/>
      <c r="P741" s="107"/>
      <c r="Q741" s="107"/>
      <c r="R741" s="107"/>
      <c r="S741" s="107"/>
      <c r="T741" s="107"/>
      <c r="U741" s="107"/>
      <c r="V741" s="107"/>
      <c r="W741" s="107"/>
      <c r="X741" s="107"/>
      <c r="Y741" s="107"/>
      <c r="Z741" s="107"/>
      <c r="AA741" s="107"/>
      <c r="AB741" s="107"/>
      <c r="AC741" s="107"/>
      <c r="AD741" s="107"/>
    </row>
    <row r="742">
      <c r="A742" s="107"/>
      <c r="B742" s="107"/>
      <c r="C742" s="107"/>
      <c r="D742" s="107"/>
      <c r="E742" s="149"/>
      <c r="F742" s="137"/>
      <c r="G742" s="137"/>
      <c r="H742" s="137"/>
      <c r="I742" s="144"/>
      <c r="J742" s="107"/>
      <c r="K742" s="107"/>
      <c r="L742" s="107"/>
      <c r="M742" s="107"/>
      <c r="N742" s="107"/>
      <c r="O742" s="107"/>
      <c r="P742" s="107"/>
      <c r="Q742" s="107"/>
      <c r="R742" s="107"/>
      <c r="S742" s="107"/>
      <c r="T742" s="107"/>
      <c r="U742" s="107"/>
      <c r="V742" s="107"/>
      <c r="W742" s="107"/>
      <c r="X742" s="107"/>
      <c r="Y742" s="107"/>
      <c r="Z742" s="107"/>
      <c r="AA742" s="107"/>
      <c r="AB742" s="107"/>
      <c r="AC742" s="107"/>
      <c r="AD742" s="107"/>
    </row>
    <row r="743">
      <c r="A743" s="107"/>
      <c r="B743" s="107"/>
      <c r="C743" s="107"/>
      <c r="D743" s="107"/>
      <c r="E743" s="149"/>
      <c r="F743" s="137"/>
      <c r="G743" s="137"/>
      <c r="H743" s="137"/>
      <c r="I743" s="144"/>
      <c r="J743" s="107"/>
      <c r="K743" s="107"/>
      <c r="L743" s="107"/>
      <c r="M743" s="107"/>
      <c r="N743" s="107"/>
      <c r="O743" s="107"/>
      <c r="P743" s="107"/>
      <c r="Q743" s="107"/>
      <c r="R743" s="107"/>
      <c r="S743" s="107"/>
      <c r="T743" s="107"/>
      <c r="U743" s="107"/>
      <c r="V743" s="107"/>
      <c r="W743" s="107"/>
      <c r="X743" s="107"/>
      <c r="Y743" s="107"/>
      <c r="Z743" s="107"/>
      <c r="AA743" s="107"/>
      <c r="AB743" s="107"/>
      <c r="AC743" s="107"/>
      <c r="AD743" s="107"/>
    </row>
    <row r="744">
      <c r="A744" s="107"/>
      <c r="B744" s="107"/>
      <c r="C744" s="107"/>
      <c r="D744" s="107"/>
      <c r="E744" s="149"/>
      <c r="F744" s="137"/>
      <c r="G744" s="137"/>
      <c r="H744" s="137"/>
      <c r="I744" s="144"/>
      <c r="J744" s="107"/>
      <c r="K744" s="107"/>
      <c r="L744" s="107"/>
      <c r="M744" s="107"/>
      <c r="N744" s="107"/>
      <c r="O744" s="107"/>
      <c r="P744" s="107"/>
      <c r="Q744" s="107"/>
      <c r="R744" s="107"/>
      <c r="S744" s="107"/>
      <c r="T744" s="107"/>
      <c r="U744" s="107"/>
      <c r="V744" s="107"/>
      <c r="W744" s="107"/>
      <c r="X744" s="107"/>
      <c r="Y744" s="107"/>
      <c r="Z744" s="107"/>
      <c r="AA744" s="107"/>
      <c r="AB744" s="107"/>
      <c r="AC744" s="107"/>
      <c r="AD744" s="107"/>
    </row>
    <row r="745">
      <c r="A745" s="107"/>
      <c r="B745" s="107"/>
      <c r="C745" s="107"/>
      <c r="D745" s="107"/>
      <c r="E745" s="149"/>
      <c r="F745" s="137"/>
      <c r="G745" s="137"/>
      <c r="H745" s="137"/>
      <c r="I745" s="144"/>
      <c r="J745" s="107"/>
      <c r="K745" s="107"/>
      <c r="L745" s="107"/>
      <c r="M745" s="107"/>
      <c r="N745" s="107"/>
      <c r="O745" s="107"/>
      <c r="P745" s="107"/>
      <c r="Q745" s="107"/>
      <c r="R745" s="107"/>
      <c r="S745" s="107"/>
      <c r="T745" s="107"/>
      <c r="U745" s="107"/>
      <c r="V745" s="107"/>
      <c r="W745" s="107"/>
      <c r="X745" s="107"/>
      <c r="Y745" s="107"/>
      <c r="Z745" s="107"/>
      <c r="AA745" s="107"/>
      <c r="AB745" s="107"/>
      <c r="AC745" s="107"/>
      <c r="AD745" s="107"/>
    </row>
    <row r="746">
      <c r="A746" s="107"/>
      <c r="B746" s="107"/>
      <c r="C746" s="107"/>
      <c r="D746" s="107"/>
      <c r="E746" s="149"/>
      <c r="F746" s="137"/>
      <c r="G746" s="137"/>
      <c r="H746" s="137"/>
      <c r="I746" s="144"/>
      <c r="J746" s="107"/>
      <c r="K746" s="107"/>
      <c r="L746" s="107"/>
      <c r="M746" s="107"/>
      <c r="N746" s="107"/>
      <c r="O746" s="107"/>
      <c r="P746" s="107"/>
      <c r="Q746" s="107"/>
      <c r="R746" s="107"/>
      <c r="S746" s="107"/>
      <c r="T746" s="107"/>
      <c r="U746" s="107"/>
      <c r="V746" s="107"/>
      <c r="W746" s="107"/>
      <c r="X746" s="107"/>
      <c r="Y746" s="107"/>
      <c r="Z746" s="107"/>
      <c r="AA746" s="107"/>
      <c r="AB746" s="107"/>
      <c r="AC746" s="107"/>
      <c r="AD746" s="107"/>
    </row>
    <row r="747">
      <c r="A747" s="107"/>
      <c r="B747" s="107"/>
      <c r="C747" s="107"/>
      <c r="D747" s="107"/>
      <c r="E747" s="149"/>
      <c r="F747" s="137"/>
      <c r="G747" s="137"/>
      <c r="H747" s="137"/>
      <c r="I747" s="144"/>
      <c r="J747" s="107"/>
      <c r="K747" s="107"/>
      <c r="L747" s="107"/>
      <c r="M747" s="107"/>
      <c r="N747" s="107"/>
      <c r="O747" s="107"/>
      <c r="P747" s="107"/>
      <c r="Q747" s="107"/>
      <c r="R747" s="107"/>
      <c r="S747" s="107"/>
      <c r="T747" s="107"/>
      <c r="U747" s="107"/>
      <c r="V747" s="107"/>
      <c r="W747" s="107"/>
      <c r="X747" s="107"/>
      <c r="Y747" s="107"/>
      <c r="Z747" s="107"/>
      <c r="AA747" s="107"/>
      <c r="AB747" s="107"/>
      <c r="AC747" s="107"/>
      <c r="AD747" s="107"/>
    </row>
    <row r="748">
      <c r="A748" s="107"/>
      <c r="B748" s="107"/>
      <c r="C748" s="107"/>
      <c r="D748" s="107"/>
      <c r="E748" s="149"/>
      <c r="F748" s="137"/>
      <c r="G748" s="137"/>
      <c r="H748" s="137"/>
      <c r="I748" s="144"/>
      <c r="J748" s="107"/>
      <c r="K748" s="107"/>
      <c r="L748" s="107"/>
      <c r="M748" s="107"/>
      <c r="N748" s="107"/>
      <c r="O748" s="107"/>
      <c r="P748" s="107"/>
      <c r="Q748" s="107"/>
      <c r="R748" s="107"/>
      <c r="S748" s="107"/>
      <c r="T748" s="107"/>
      <c r="U748" s="107"/>
      <c r="V748" s="107"/>
      <c r="W748" s="107"/>
      <c r="X748" s="107"/>
      <c r="Y748" s="107"/>
      <c r="Z748" s="107"/>
      <c r="AA748" s="107"/>
      <c r="AB748" s="107"/>
      <c r="AC748" s="107"/>
      <c r="AD748" s="107"/>
    </row>
    <row r="749">
      <c r="A749" s="107"/>
      <c r="B749" s="107"/>
      <c r="C749" s="107"/>
      <c r="D749" s="107"/>
      <c r="E749" s="149"/>
      <c r="F749" s="137"/>
      <c r="G749" s="137"/>
      <c r="H749" s="137"/>
      <c r="I749" s="144"/>
      <c r="J749" s="107"/>
      <c r="K749" s="107"/>
      <c r="L749" s="107"/>
      <c r="M749" s="107"/>
      <c r="N749" s="107"/>
      <c r="O749" s="107"/>
      <c r="P749" s="107"/>
      <c r="Q749" s="107"/>
      <c r="R749" s="107"/>
      <c r="S749" s="107"/>
      <c r="T749" s="107"/>
      <c r="U749" s="107"/>
      <c r="V749" s="107"/>
      <c r="W749" s="107"/>
      <c r="X749" s="107"/>
      <c r="Y749" s="107"/>
      <c r="Z749" s="107"/>
      <c r="AA749" s="107"/>
      <c r="AB749" s="107"/>
      <c r="AC749" s="107"/>
      <c r="AD749" s="107"/>
    </row>
    <row r="750">
      <c r="A750" s="107"/>
      <c r="B750" s="107"/>
      <c r="C750" s="107"/>
      <c r="D750" s="107"/>
      <c r="E750" s="149"/>
      <c r="F750" s="137"/>
      <c r="G750" s="137"/>
      <c r="H750" s="137"/>
      <c r="I750" s="144"/>
      <c r="J750" s="107"/>
      <c r="K750" s="107"/>
      <c r="L750" s="107"/>
      <c r="M750" s="107"/>
      <c r="N750" s="107"/>
      <c r="O750" s="107"/>
      <c r="P750" s="107"/>
      <c r="Q750" s="107"/>
      <c r="R750" s="107"/>
      <c r="S750" s="107"/>
      <c r="T750" s="107"/>
      <c r="U750" s="107"/>
      <c r="V750" s="107"/>
      <c r="W750" s="107"/>
      <c r="X750" s="107"/>
      <c r="Y750" s="107"/>
      <c r="Z750" s="107"/>
      <c r="AA750" s="107"/>
      <c r="AB750" s="107"/>
      <c r="AC750" s="107"/>
      <c r="AD750" s="107"/>
    </row>
    <row r="751">
      <c r="A751" s="107"/>
      <c r="B751" s="107"/>
      <c r="C751" s="107"/>
      <c r="D751" s="107"/>
      <c r="E751" s="149"/>
      <c r="F751" s="137"/>
      <c r="G751" s="137"/>
      <c r="H751" s="137"/>
      <c r="I751" s="144"/>
      <c r="J751" s="107"/>
      <c r="K751" s="107"/>
      <c r="L751" s="107"/>
      <c r="M751" s="107"/>
      <c r="N751" s="107"/>
      <c r="O751" s="107"/>
      <c r="P751" s="107"/>
      <c r="Q751" s="107"/>
      <c r="R751" s="107"/>
      <c r="S751" s="107"/>
      <c r="T751" s="107"/>
      <c r="U751" s="107"/>
      <c r="V751" s="107"/>
      <c r="W751" s="107"/>
      <c r="X751" s="107"/>
      <c r="Y751" s="107"/>
      <c r="Z751" s="107"/>
      <c r="AA751" s="107"/>
      <c r="AB751" s="107"/>
      <c r="AC751" s="107"/>
      <c r="AD751" s="107"/>
    </row>
    <row r="752">
      <c r="A752" s="107"/>
      <c r="B752" s="107"/>
      <c r="C752" s="107"/>
      <c r="D752" s="107"/>
      <c r="E752" s="149"/>
      <c r="F752" s="137"/>
      <c r="G752" s="137"/>
      <c r="H752" s="137"/>
      <c r="I752" s="144"/>
      <c r="J752" s="107"/>
      <c r="K752" s="107"/>
      <c r="L752" s="107"/>
      <c r="M752" s="107"/>
      <c r="N752" s="107"/>
      <c r="O752" s="107"/>
      <c r="P752" s="107"/>
      <c r="Q752" s="107"/>
      <c r="R752" s="107"/>
      <c r="S752" s="107"/>
      <c r="T752" s="107"/>
      <c r="U752" s="107"/>
      <c r="V752" s="107"/>
      <c r="W752" s="107"/>
      <c r="X752" s="107"/>
      <c r="Y752" s="107"/>
      <c r="Z752" s="107"/>
      <c r="AA752" s="107"/>
      <c r="AB752" s="107"/>
      <c r="AC752" s="107"/>
      <c r="AD752" s="107"/>
    </row>
    <row r="753">
      <c r="A753" s="107"/>
      <c r="B753" s="107"/>
      <c r="C753" s="107"/>
      <c r="D753" s="107"/>
      <c r="E753" s="149"/>
      <c r="F753" s="137"/>
      <c r="G753" s="137"/>
      <c r="H753" s="137"/>
      <c r="I753" s="144"/>
      <c r="J753" s="107"/>
      <c r="K753" s="107"/>
      <c r="L753" s="107"/>
      <c r="M753" s="107"/>
      <c r="N753" s="107"/>
      <c r="O753" s="107"/>
      <c r="P753" s="107"/>
      <c r="Q753" s="107"/>
      <c r="R753" s="107"/>
      <c r="S753" s="107"/>
      <c r="T753" s="107"/>
      <c r="U753" s="107"/>
      <c r="V753" s="107"/>
      <c r="W753" s="107"/>
      <c r="X753" s="107"/>
      <c r="Y753" s="107"/>
      <c r="Z753" s="107"/>
      <c r="AA753" s="107"/>
      <c r="AB753" s="107"/>
      <c r="AC753" s="107"/>
      <c r="AD753" s="107"/>
    </row>
    <row r="754">
      <c r="A754" s="107"/>
      <c r="B754" s="107"/>
      <c r="C754" s="107"/>
      <c r="D754" s="107"/>
      <c r="E754" s="149"/>
      <c r="F754" s="137"/>
      <c r="G754" s="137"/>
      <c r="H754" s="137"/>
      <c r="I754" s="144"/>
      <c r="J754" s="107"/>
      <c r="K754" s="107"/>
      <c r="L754" s="107"/>
      <c r="M754" s="107"/>
      <c r="N754" s="107"/>
      <c r="O754" s="107"/>
      <c r="P754" s="107"/>
      <c r="Q754" s="107"/>
      <c r="R754" s="107"/>
      <c r="S754" s="107"/>
      <c r="T754" s="107"/>
      <c r="U754" s="107"/>
      <c r="V754" s="107"/>
      <c r="W754" s="107"/>
      <c r="X754" s="107"/>
      <c r="Y754" s="107"/>
      <c r="Z754" s="107"/>
      <c r="AA754" s="107"/>
      <c r="AB754" s="107"/>
      <c r="AC754" s="107"/>
      <c r="AD754" s="107"/>
    </row>
    <row r="755">
      <c r="A755" s="107"/>
      <c r="B755" s="107"/>
      <c r="C755" s="107"/>
      <c r="D755" s="107"/>
      <c r="E755" s="149"/>
      <c r="F755" s="137"/>
      <c r="G755" s="137"/>
      <c r="H755" s="137"/>
      <c r="I755" s="144"/>
      <c r="J755" s="107"/>
      <c r="K755" s="107"/>
      <c r="L755" s="107"/>
      <c r="M755" s="107"/>
      <c r="N755" s="107"/>
      <c r="O755" s="107"/>
      <c r="P755" s="107"/>
      <c r="Q755" s="107"/>
      <c r="R755" s="107"/>
      <c r="S755" s="107"/>
      <c r="T755" s="107"/>
      <c r="U755" s="107"/>
      <c r="V755" s="107"/>
      <c r="W755" s="107"/>
      <c r="X755" s="107"/>
      <c r="Y755" s="107"/>
      <c r="Z755" s="107"/>
      <c r="AA755" s="107"/>
      <c r="AB755" s="107"/>
      <c r="AC755" s="107"/>
      <c r="AD755" s="107"/>
    </row>
    <row r="756">
      <c r="A756" s="107"/>
      <c r="B756" s="107"/>
      <c r="C756" s="107"/>
      <c r="D756" s="107"/>
      <c r="E756" s="149"/>
      <c r="F756" s="137"/>
      <c r="G756" s="137"/>
      <c r="H756" s="137"/>
      <c r="I756" s="144"/>
      <c r="J756" s="107"/>
      <c r="K756" s="107"/>
      <c r="L756" s="107"/>
      <c r="M756" s="107"/>
      <c r="N756" s="107"/>
      <c r="O756" s="107"/>
      <c r="P756" s="107"/>
      <c r="Q756" s="107"/>
      <c r="R756" s="107"/>
      <c r="S756" s="107"/>
      <c r="T756" s="107"/>
      <c r="U756" s="107"/>
      <c r="V756" s="107"/>
      <c r="W756" s="107"/>
      <c r="X756" s="107"/>
      <c r="Y756" s="107"/>
      <c r="Z756" s="107"/>
      <c r="AA756" s="107"/>
      <c r="AB756" s="107"/>
      <c r="AC756" s="107"/>
      <c r="AD756" s="107"/>
    </row>
    <row r="757">
      <c r="A757" s="107"/>
      <c r="B757" s="107"/>
      <c r="C757" s="107"/>
      <c r="D757" s="107"/>
      <c r="E757" s="149"/>
      <c r="F757" s="137"/>
      <c r="G757" s="137"/>
      <c r="H757" s="137"/>
      <c r="I757" s="144"/>
      <c r="J757" s="107"/>
      <c r="K757" s="107"/>
      <c r="L757" s="107"/>
      <c r="M757" s="107"/>
      <c r="N757" s="107"/>
      <c r="O757" s="107"/>
      <c r="P757" s="107"/>
      <c r="Q757" s="107"/>
      <c r="R757" s="107"/>
      <c r="S757" s="107"/>
      <c r="T757" s="107"/>
      <c r="U757" s="107"/>
      <c r="V757" s="107"/>
      <c r="W757" s="107"/>
      <c r="X757" s="107"/>
      <c r="Y757" s="107"/>
      <c r="Z757" s="107"/>
      <c r="AA757" s="107"/>
      <c r="AB757" s="107"/>
      <c r="AC757" s="107"/>
      <c r="AD757" s="107"/>
    </row>
    <row r="758">
      <c r="A758" s="107"/>
      <c r="B758" s="107"/>
      <c r="C758" s="107"/>
      <c r="D758" s="107"/>
      <c r="E758" s="149"/>
      <c r="F758" s="137"/>
      <c r="G758" s="137"/>
      <c r="H758" s="137"/>
      <c r="I758" s="144"/>
      <c r="J758" s="107"/>
      <c r="K758" s="107"/>
      <c r="L758" s="107"/>
      <c r="M758" s="107"/>
      <c r="N758" s="107"/>
      <c r="O758" s="107"/>
      <c r="P758" s="107"/>
      <c r="Q758" s="107"/>
      <c r="R758" s="107"/>
      <c r="S758" s="107"/>
      <c r="T758" s="107"/>
      <c r="U758" s="107"/>
      <c r="V758" s="107"/>
      <c r="W758" s="107"/>
      <c r="X758" s="107"/>
      <c r="Y758" s="107"/>
      <c r="Z758" s="107"/>
      <c r="AA758" s="107"/>
      <c r="AB758" s="107"/>
      <c r="AC758" s="107"/>
      <c r="AD758" s="107"/>
    </row>
    <row r="759">
      <c r="A759" s="107"/>
      <c r="B759" s="107"/>
      <c r="C759" s="107"/>
      <c r="D759" s="107"/>
      <c r="E759" s="149"/>
      <c r="F759" s="137"/>
      <c r="G759" s="137"/>
      <c r="H759" s="137"/>
      <c r="I759" s="144"/>
      <c r="J759" s="107"/>
      <c r="K759" s="107"/>
      <c r="L759" s="107"/>
      <c r="M759" s="107"/>
      <c r="N759" s="107"/>
      <c r="O759" s="107"/>
      <c r="P759" s="107"/>
      <c r="Q759" s="107"/>
      <c r="R759" s="107"/>
      <c r="S759" s="107"/>
      <c r="T759" s="107"/>
      <c r="U759" s="107"/>
      <c r="V759" s="107"/>
      <c r="W759" s="107"/>
      <c r="X759" s="107"/>
      <c r="Y759" s="107"/>
      <c r="Z759" s="107"/>
      <c r="AA759" s="107"/>
      <c r="AB759" s="107"/>
      <c r="AC759" s="107"/>
      <c r="AD759" s="107"/>
    </row>
    <row r="760">
      <c r="A760" s="107"/>
      <c r="B760" s="107"/>
      <c r="C760" s="107"/>
      <c r="D760" s="107"/>
      <c r="E760" s="149"/>
      <c r="F760" s="137"/>
      <c r="G760" s="137"/>
      <c r="H760" s="137"/>
      <c r="I760" s="144"/>
      <c r="J760" s="107"/>
      <c r="K760" s="107"/>
      <c r="L760" s="107"/>
      <c r="M760" s="107"/>
      <c r="N760" s="107"/>
      <c r="O760" s="107"/>
      <c r="P760" s="107"/>
      <c r="Q760" s="107"/>
      <c r="R760" s="107"/>
      <c r="S760" s="107"/>
      <c r="T760" s="107"/>
      <c r="U760" s="107"/>
      <c r="V760" s="107"/>
      <c r="W760" s="107"/>
      <c r="X760" s="107"/>
      <c r="Y760" s="107"/>
      <c r="Z760" s="107"/>
      <c r="AA760" s="107"/>
      <c r="AB760" s="107"/>
      <c r="AC760" s="107"/>
      <c r="AD760" s="107"/>
    </row>
    <row r="761">
      <c r="A761" s="107"/>
      <c r="B761" s="107"/>
      <c r="C761" s="107"/>
      <c r="D761" s="107"/>
      <c r="E761" s="149"/>
      <c r="F761" s="137"/>
      <c r="G761" s="137"/>
      <c r="H761" s="137"/>
      <c r="I761" s="144"/>
      <c r="J761" s="107"/>
      <c r="K761" s="107"/>
      <c r="L761" s="107"/>
      <c r="M761" s="107"/>
      <c r="N761" s="107"/>
      <c r="O761" s="107"/>
      <c r="P761" s="107"/>
      <c r="Q761" s="107"/>
      <c r="R761" s="107"/>
      <c r="S761" s="107"/>
      <c r="T761" s="107"/>
      <c r="U761" s="107"/>
      <c r="V761" s="107"/>
      <c r="W761" s="107"/>
      <c r="X761" s="107"/>
      <c r="Y761" s="107"/>
      <c r="Z761" s="107"/>
      <c r="AA761" s="107"/>
      <c r="AB761" s="107"/>
      <c r="AC761" s="107"/>
      <c r="AD761" s="107"/>
    </row>
    <row r="762">
      <c r="A762" s="107"/>
      <c r="B762" s="107"/>
      <c r="C762" s="107"/>
      <c r="D762" s="107"/>
      <c r="E762" s="149"/>
      <c r="F762" s="137"/>
      <c r="G762" s="137"/>
      <c r="H762" s="137"/>
      <c r="I762" s="144"/>
      <c r="J762" s="107"/>
      <c r="K762" s="107"/>
      <c r="L762" s="107"/>
      <c r="M762" s="107"/>
      <c r="N762" s="107"/>
      <c r="O762" s="107"/>
      <c r="P762" s="107"/>
      <c r="Q762" s="107"/>
      <c r="R762" s="107"/>
      <c r="S762" s="107"/>
      <c r="T762" s="107"/>
      <c r="U762" s="107"/>
      <c r="V762" s="107"/>
      <c r="W762" s="107"/>
      <c r="X762" s="107"/>
      <c r="Y762" s="107"/>
      <c r="Z762" s="107"/>
      <c r="AA762" s="107"/>
      <c r="AB762" s="107"/>
      <c r="AC762" s="107"/>
      <c r="AD762" s="107"/>
    </row>
    <row r="763">
      <c r="A763" s="107"/>
      <c r="B763" s="107"/>
      <c r="C763" s="107"/>
      <c r="D763" s="107"/>
      <c r="E763" s="149"/>
      <c r="F763" s="137"/>
      <c r="G763" s="137"/>
      <c r="H763" s="137"/>
      <c r="I763" s="144"/>
      <c r="J763" s="107"/>
      <c r="K763" s="107"/>
      <c r="L763" s="107"/>
      <c r="M763" s="107"/>
      <c r="N763" s="107"/>
      <c r="O763" s="107"/>
      <c r="P763" s="107"/>
      <c r="Q763" s="107"/>
      <c r="R763" s="107"/>
      <c r="S763" s="107"/>
      <c r="T763" s="107"/>
      <c r="U763" s="107"/>
      <c r="V763" s="107"/>
      <c r="W763" s="107"/>
      <c r="X763" s="107"/>
      <c r="Y763" s="107"/>
      <c r="Z763" s="107"/>
      <c r="AA763" s="107"/>
      <c r="AB763" s="107"/>
      <c r="AC763" s="107"/>
      <c r="AD763" s="107"/>
    </row>
    <row r="764">
      <c r="A764" s="107"/>
      <c r="B764" s="107"/>
      <c r="C764" s="107"/>
      <c r="D764" s="107"/>
      <c r="E764" s="149"/>
      <c r="F764" s="137"/>
      <c r="G764" s="137"/>
      <c r="H764" s="137"/>
      <c r="I764" s="144"/>
      <c r="J764" s="107"/>
      <c r="K764" s="107"/>
      <c r="L764" s="107"/>
      <c r="M764" s="107"/>
      <c r="N764" s="107"/>
      <c r="O764" s="107"/>
      <c r="P764" s="107"/>
      <c r="Q764" s="107"/>
      <c r="R764" s="107"/>
      <c r="S764" s="107"/>
      <c r="T764" s="107"/>
      <c r="U764" s="107"/>
      <c r="V764" s="107"/>
      <c r="W764" s="107"/>
      <c r="X764" s="107"/>
      <c r="Y764" s="107"/>
      <c r="Z764" s="107"/>
      <c r="AA764" s="107"/>
      <c r="AB764" s="107"/>
      <c r="AC764" s="107"/>
      <c r="AD764" s="107"/>
    </row>
    <row r="765">
      <c r="A765" s="107"/>
      <c r="B765" s="107"/>
      <c r="C765" s="107"/>
      <c r="D765" s="107"/>
      <c r="E765" s="149"/>
      <c r="F765" s="137"/>
      <c r="G765" s="137"/>
      <c r="H765" s="137"/>
      <c r="I765" s="144"/>
      <c r="J765" s="107"/>
      <c r="K765" s="107"/>
      <c r="L765" s="107"/>
      <c r="M765" s="107"/>
      <c r="N765" s="107"/>
      <c r="O765" s="107"/>
      <c r="P765" s="107"/>
      <c r="Q765" s="107"/>
      <c r="R765" s="107"/>
      <c r="S765" s="107"/>
      <c r="T765" s="107"/>
      <c r="U765" s="107"/>
      <c r="V765" s="107"/>
      <c r="W765" s="107"/>
      <c r="X765" s="107"/>
      <c r="Y765" s="107"/>
      <c r="Z765" s="107"/>
      <c r="AA765" s="107"/>
      <c r="AB765" s="107"/>
      <c r="AC765" s="107"/>
      <c r="AD765" s="107"/>
    </row>
    <row r="766">
      <c r="A766" s="107"/>
      <c r="B766" s="107"/>
      <c r="C766" s="107"/>
      <c r="D766" s="107"/>
      <c r="E766" s="149"/>
      <c r="F766" s="137"/>
      <c r="G766" s="137"/>
      <c r="H766" s="137"/>
      <c r="I766" s="144"/>
      <c r="J766" s="107"/>
      <c r="K766" s="107"/>
      <c r="L766" s="107"/>
      <c r="M766" s="107"/>
      <c r="N766" s="107"/>
      <c r="O766" s="107"/>
      <c r="P766" s="107"/>
      <c r="Q766" s="107"/>
      <c r="R766" s="107"/>
      <c r="S766" s="107"/>
      <c r="T766" s="107"/>
      <c r="U766" s="107"/>
      <c r="V766" s="107"/>
      <c r="W766" s="107"/>
      <c r="X766" s="107"/>
      <c r="Y766" s="107"/>
      <c r="Z766" s="107"/>
      <c r="AA766" s="107"/>
      <c r="AB766" s="107"/>
      <c r="AC766" s="107"/>
      <c r="AD766" s="107"/>
    </row>
    <row r="767">
      <c r="A767" s="107"/>
      <c r="B767" s="107"/>
      <c r="C767" s="107"/>
      <c r="D767" s="107"/>
      <c r="E767" s="149"/>
      <c r="F767" s="137"/>
      <c r="G767" s="137"/>
      <c r="H767" s="137"/>
      <c r="I767" s="144"/>
      <c r="J767" s="107"/>
      <c r="K767" s="107"/>
      <c r="L767" s="107"/>
      <c r="M767" s="107"/>
      <c r="N767" s="107"/>
      <c r="O767" s="107"/>
      <c r="P767" s="107"/>
      <c r="Q767" s="107"/>
      <c r="R767" s="107"/>
      <c r="S767" s="107"/>
      <c r="T767" s="107"/>
      <c r="U767" s="107"/>
      <c r="V767" s="107"/>
      <c r="W767" s="107"/>
      <c r="X767" s="107"/>
      <c r="Y767" s="107"/>
      <c r="Z767" s="107"/>
      <c r="AA767" s="107"/>
      <c r="AB767" s="107"/>
      <c r="AC767" s="107"/>
      <c r="AD767" s="107"/>
    </row>
    <row r="768">
      <c r="A768" s="107"/>
      <c r="B768" s="107"/>
      <c r="C768" s="107"/>
      <c r="D768" s="107"/>
      <c r="E768" s="149"/>
      <c r="F768" s="137"/>
      <c r="G768" s="137"/>
      <c r="H768" s="137"/>
      <c r="I768" s="144"/>
      <c r="J768" s="107"/>
      <c r="K768" s="107"/>
      <c r="L768" s="107"/>
      <c r="M768" s="107"/>
      <c r="N768" s="107"/>
      <c r="O768" s="107"/>
      <c r="P768" s="107"/>
      <c r="Q768" s="107"/>
      <c r="R768" s="107"/>
      <c r="S768" s="107"/>
      <c r="T768" s="107"/>
      <c r="U768" s="107"/>
      <c r="V768" s="107"/>
      <c r="W768" s="107"/>
      <c r="X768" s="107"/>
      <c r="Y768" s="107"/>
      <c r="Z768" s="107"/>
      <c r="AA768" s="107"/>
      <c r="AB768" s="107"/>
      <c r="AC768" s="107"/>
      <c r="AD768" s="107"/>
    </row>
    <row r="769">
      <c r="A769" s="107"/>
      <c r="B769" s="107"/>
      <c r="C769" s="107"/>
      <c r="D769" s="107"/>
      <c r="E769" s="149"/>
      <c r="F769" s="137"/>
      <c r="G769" s="137"/>
      <c r="H769" s="137"/>
      <c r="I769" s="144"/>
      <c r="J769" s="107"/>
      <c r="K769" s="107"/>
      <c r="L769" s="107"/>
      <c r="M769" s="107"/>
      <c r="N769" s="107"/>
      <c r="O769" s="107"/>
      <c r="P769" s="107"/>
      <c r="Q769" s="107"/>
      <c r="R769" s="107"/>
      <c r="S769" s="107"/>
      <c r="T769" s="107"/>
      <c r="U769" s="107"/>
      <c r="V769" s="107"/>
      <c r="W769" s="107"/>
      <c r="X769" s="107"/>
      <c r="Y769" s="107"/>
      <c r="Z769" s="107"/>
      <c r="AA769" s="107"/>
      <c r="AB769" s="107"/>
      <c r="AC769" s="107"/>
      <c r="AD769" s="107"/>
    </row>
    <row r="770">
      <c r="A770" s="107"/>
      <c r="B770" s="107"/>
      <c r="C770" s="107"/>
      <c r="D770" s="107"/>
      <c r="E770" s="149"/>
      <c r="F770" s="137"/>
      <c r="G770" s="137"/>
      <c r="H770" s="137"/>
      <c r="I770" s="144"/>
      <c r="J770" s="107"/>
      <c r="K770" s="107"/>
      <c r="L770" s="107"/>
      <c r="M770" s="107"/>
      <c r="N770" s="107"/>
      <c r="O770" s="107"/>
      <c r="P770" s="107"/>
      <c r="Q770" s="107"/>
      <c r="R770" s="107"/>
      <c r="S770" s="107"/>
      <c r="T770" s="107"/>
      <c r="U770" s="107"/>
      <c r="V770" s="107"/>
      <c r="W770" s="107"/>
      <c r="X770" s="107"/>
      <c r="Y770" s="107"/>
      <c r="Z770" s="107"/>
      <c r="AA770" s="107"/>
      <c r="AB770" s="107"/>
      <c r="AC770" s="107"/>
      <c r="AD770" s="107"/>
    </row>
    <row r="771">
      <c r="A771" s="107"/>
      <c r="B771" s="107"/>
      <c r="C771" s="107"/>
      <c r="D771" s="107"/>
      <c r="E771" s="149"/>
      <c r="F771" s="137"/>
      <c r="G771" s="137"/>
      <c r="H771" s="137"/>
      <c r="I771" s="144"/>
      <c r="J771" s="107"/>
      <c r="K771" s="107"/>
      <c r="L771" s="107"/>
      <c r="M771" s="107"/>
      <c r="N771" s="107"/>
      <c r="O771" s="107"/>
      <c r="P771" s="107"/>
      <c r="Q771" s="107"/>
      <c r="R771" s="107"/>
      <c r="S771" s="107"/>
      <c r="T771" s="107"/>
      <c r="U771" s="107"/>
      <c r="V771" s="107"/>
      <c r="W771" s="107"/>
      <c r="X771" s="107"/>
      <c r="Y771" s="107"/>
      <c r="Z771" s="107"/>
      <c r="AA771" s="107"/>
      <c r="AB771" s="107"/>
      <c r="AC771" s="107"/>
      <c r="AD771" s="107"/>
    </row>
    <row r="772">
      <c r="A772" s="107"/>
      <c r="B772" s="107"/>
      <c r="C772" s="107"/>
      <c r="D772" s="107"/>
      <c r="E772" s="149"/>
      <c r="F772" s="137"/>
      <c r="G772" s="137"/>
      <c r="H772" s="137"/>
      <c r="I772" s="144"/>
      <c r="J772" s="107"/>
      <c r="K772" s="107"/>
      <c r="L772" s="107"/>
      <c r="M772" s="107"/>
      <c r="N772" s="107"/>
      <c r="O772" s="107"/>
      <c r="P772" s="107"/>
      <c r="Q772" s="107"/>
      <c r="R772" s="107"/>
      <c r="S772" s="107"/>
      <c r="T772" s="107"/>
      <c r="U772" s="107"/>
      <c r="V772" s="107"/>
      <c r="W772" s="107"/>
      <c r="X772" s="107"/>
      <c r="Y772" s="107"/>
      <c r="Z772" s="107"/>
      <c r="AA772" s="107"/>
      <c r="AB772" s="107"/>
      <c r="AC772" s="107"/>
      <c r="AD772" s="107"/>
    </row>
    <row r="773">
      <c r="A773" s="107"/>
      <c r="B773" s="107"/>
      <c r="C773" s="107"/>
      <c r="D773" s="107"/>
      <c r="E773" s="149"/>
      <c r="F773" s="137"/>
      <c r="G773" s="137"/>
      <c r="H773" s="137"/>
      <c r="I773" s="144"/>
      <c r="J773" s="107"/>
      <c r="K773" s="107"/>
      <c r="L773" s="107"/>
      <c r="M773" s="107"/>
      <c r="N773" s="107"/>
      <c r="O773" s="107"/>
      <c r="P773" s="107"/>
      <c r="Q773" s="107"/>
      <c r="R773" s="107"/>
      <c r="S773" s="107"/>
      <c r="T773" s="107"/>
      <c r="U773" s="107"/>
      <c r="V773" s="107"/>
      <c r="W773" s="107"/>
      <c r="X773" s="107"/>
      <c r="Y773" s="107"/>
      <c r="Z773" s="107"/>
      <c r="AA773" s="107"/>
      <c r="AB773" s="107"/>
      <c r="AC773" s="107"/>
      <c r="AD773" s="107"/>
    </row>
    <row r="774">
      <c r="A774" s="107"/>
      <c r="B774" s="107"/>
      <c r="C774" s="107"/>
      <c r="D774" s="107"/>
      <c r="E774" s="149"/>
      <c r="F774" s="137"/>
      <c r="G774" s="137"/>
      <c r="H774" s="137"/>
      <c r="I774" s="144"/>
      <c r="J774" s="107"/>
      <c r="K774" s="107"/>
      <c r="L774" s="107"/>
      <c r="M774" s="107"/>
      <c r="N774" s="107"/>
      <c r="O774" s="107"/>
      <c r="P774" s="107"/>
      <c r="Q774" s="107"/>
      <c r="R774" s="107"/>
      <c r="S774" s="107"/>
      <c r="T774" s="107"/>
      <c r="U774" s="107"/>
      <c r="V774" s="107"/>
      <c r="W774" s="107"/>
      <c r="X774" s="107"/>
      <c r="Y774" s="107"/>
      <c r="Z774" s="107"/>
      <c r="AA774" s="107"/>
      <c r="AB774" s="107"/>
      <c r="AC774" s="107"/>
      <c r="AD774" s="107"/>
    </row>
    <row r="775">
      <c r="A775" s="107"/>
      <c r="B775" s="107"/>
      <c r="C775" s="107"/>
      <c r="D775" s="107"/>
      <c r="E775" s="149"/>
      <c r="F775" s="137"/>
      <c r="G775" s="137"/>
      <c r="H775" s="137"/>
      <c r="I775" s="144"/>
      <c r="J775" s="107"/>
      <c r="K775" s="107"/>
      <c r="L775" s="107"/>
      <c r="M775" s="107"/>
      <c r="N775" s="107"/>
      <c r="O775" s="107"/>
      <c r="P775" s="107"/>
      <c r="Q775" s="107"/>
      <c r="R775" s="107"/>
      <c r="S775" s="107"/>
      <c r="T775" s="107"/>
      <c r="U775" s="107"/>
      <c r="V775" s="107"/>
      <c r="W775" s="107"/>
      <c r="X775" s="107"/>
      <c r="Y775" s="107"/>
      <c r="Z775" s="107"/>
      <c r="AA775" s="107"/>
      <c r="AB775" s="107"/>
      <c r="AC775" s="107"/>
      <c r="AD775" s="107"/>
    </row>
    <row r="776">
      <c r="A776" s="107"/>
      <c r="B776" s="107"/>
      <c r="C776" s="107"/>
      <c r="D776" s="107"/>
      <c r="E776" s="149"/>
      <c r="F776" s="137"/>
      <c r="G776" s="137"/>
      <c r="H776" s="137"/>
      <c r="I776" s="144"/>
      <c r="J776" s="107"/>
      <c r="K776" s="107"/>
      <c r="L776" s="107"/>
      <c r="M776" s="107"/>
      <c r="N776" s="107"/>
      <c r="O776" s="107"/>
      <c r="P776" s="107"/>
      <c r="Q776" s="107"/>
      <c r="R776" s="107"/>
      <c r="S776" s="107"/>
      <c r="T776" s="107"/>
      <c r="U776" s="107"/>
      <c r="V776" s="107"/>
      <c r="W776" s="107"/>
      <c r="X776" s="107"/>
      <c r="Y776" s="107"/>
      <c r="Z776" s="107"/>
      <c r="AA776" s="107"/>
      <c r="AB776" s="107"/>
      <c r="AC776" s="107"/>
      <c r="AD776" s="107"/>
    </row>
    <row r="777">
      <c r="A777" s="107"/>
      <c r="B777" s="107"/>
      <c r="C777" s="107"/>
      <c r="D777" s="107"/>
      <c r="E777" s="149"/>
      <c r="F777" s="137"/>
      <c r="G777" s="137"/>
      <c r="H777" s="137"/>
      <c r="I777" s="144"/>
      <c r="J777" s="107"/>
      <c r="K777" s="107"/>
      <c r="L777" s="107"/>
      <c r="M777" s="107"/>
      <c r="N777" s="107"/>
      <c r="O777" s="107"/>
      <c r="P777" s="107"/>
      <c r="Q777" s="107"/>
      <c r="R777" s="107"/>
      <c r="S777" s="107"/>
      <c r="T777" s="107"/>
      <c r="U777" s="107"/>
      <c r="V777" s="107"/>
      <c r="W777" s="107"/>
      <c r="X777" s="107"/>
      <c r="Y777" s="107"/>
      <c r="Z777" s="107"/>
      <c r="AA777" s="107"/>
      <c r="AB777" s="107"/>
      <c r="AC777" s="107"/>
      <c r="AD777" s="107"/>
    </row>
    <row r="778">
      <c r="A778" s="107"/>
      <c r="B778" s="107"/>
      <c r="C778" s="107"/>
      <c r="D778" s="107"/>
      <c r="E778" s="149"/>
      <c r="F778" s="137"/>
      <c r="G778" s="137"/>
      <c r="H778" s="137"/>
      <c r="I778" s="144"/>
      <c r="J778" s="107"/>
      <c r="K778" s="107"/>
      <c r="L778" s="107"/>
      <c r="M778" s="107"/>
      <c r="N778" s="107"/>
      <c r="O778" s="107"/>
      <c r="P778" s="107"/>
      <c r="Q778" s="107"/>
      <c r="R778" s="107"/>
      <c r="S778" s="107"/>
      <c r="T778" s="107"/>
      <c r="U778" s="107"/>
      <c r="V778" s="107"/>
      <c r="W778" s="107"/>
      <c r="X778" s="107"/>
      <c r="Y778" s="107"/>
      <c r="Z778" s="107"/>
      <c r="AA778" s="107"/>
      <c r="AB778" s="107"/>
      <c r="AC778" s="107"/>
      <c r="AD778" s="107"/>
    </row>
    <row r="779">
      <c r="A779" s="107"/>
      <c r="B779" s="107"/>
      <c r="C779" s="107"/>
      <c r="D779" s="107"/>
      <c r="E779" s="149"/>
      <c r="F779" s="137"/>
      <c r="G779" s="137"/>
      <c r="H779" s="137"/>
      <c r="I779" s="144"/>
      <c r="J779" s="107"/>
      <c r="K779" s="107"/>
      <c r="L779" s="107"/>
      <c r="M779" s="107"/>
      <c r="N779" s="107"/>
      <c r="O779" s="107"/>
      <c r="P779" s="107"/>
      <c r="Q779" s="107"/>
      <c r="R779" s="107"/>
      <c r="S779" s="107"/>
      <c r="T779" s="107"/>
      <c r="U779" s="107"/>
      <c r="V779" s="107"/>
      <c r="W779" s="107"/>
      <c r="X779" s="107"/>
      <c r="Y779" s="107"/>
      <c r="Z779" s="107"/>
      <c r="AA779" s="107"/>
      <c r="AB779" s="107"/>
      <c r="AC779" s="107"/>
      <c r="AD779" s="107"/>
    </row>
    <row r="780">
      <c r="A780" s="107"/>
      <c r="B780" s="107"/>
      <c r="C780" s="107"/>
      <c r="D780" s="107"/>
      <c r="E780" s="149"/>
      <c r="F780" s="137"/>
      <c r="G780" s="137"/>
      <c r="H780" s="137"/>
      <c r="I780" s="144"/>
      <c r="J780" s="107"/>
      <c r="K780" s="107"/>
      <c r="L780" s="107"/>
      <c r="M780" s="107"/>
      <c r="N780" s="107"/>
      <c r="O780" s="107"/>
      <c r="P780" s="107"/>
      <c r="Q780" s="107"/>
      <c r="R780" s="107"/>
      <c r="S780" s="107"/>
      <c r="T780" s="107"/>
      <c r="U780" s="107"/>
      <c r="V780" s="107"/>
      <c r="W780" s="107"/>
      <c r="X780" s="107"/>
      <c r="Y780" s="107"/>
      <c r="Z780" s="107"/>
      <c r="AA780" s="107"/>
      <c r="AB780" s="107"/>
      <c r="AC780" s="107"/>
      <c r="AD780" s="107"/>
    </row>
    <row r="781">
      <c r="A781" s="107"/>
      <c r="B781" s="107"/>
      <c r="C781" s="107"/>
      <c r="D781" s="107"/>
      <c r="E781" s="149"/>
      <c r="F781" s="137"/>
      <c r="G781" s="137"/>
      <c r="H781" s="137"/>
      <c r="I781" s="144"/>
      <c r="J781" s="107"/>
      <c r="K781" s="107"/>
      <c r="L781" s="107"/>
      <c r="M781" s="107"/>
      <c r="N781" s="107"/>
      <c r="O781" s="107"/>
      <c r="P781" s="107"/>
      <c r="Q781" s="107"/>
      <c r="R781" s="107"/>
      <c r="S781" s="107"/>
      <c r="T781" s="107"/>
      <c r="U781" s="107"/>
      <c r="V781" s="107"/>
      <c r="W781" s="107"/>
      <c r="X781" s="107"/>
      <c r="Y781" s="107"/>
      <c r="Z781" s="107"/>
      <c r="AA781" s="107"/>
      <c r="AB781" s="107"/>
      <c r="AC781" s="107"/>
      <c r="AD781" s="107"/>
    </row>
    <row r="782">
      <c r="A782" s="107"/>
      <c r="B782" s="107"/>
      <c r="C782" s="107"/>
      <c r="D782" s="107"/>
      <c r="E782" s="149"/>
      <c r="F782" s="137"/>
      <c r="G782" s="137"/>
      <c r="H782" s="137"/>
      <c r="I782" s="144"/>
      <c r="J782" s="107"/>
      <c r="K782" s="107"/>
      <c r="L782" s="107"/>
      <c r="M782" s="107"/>
      <c r="N782" s="107"/>
      <c r="O782" s="107"/>
      <c r="P782" s="107"/>
      <c r="Q782" s="107"/>
      <c r="R782" s="107"/>
      <c r="S782" s="107"/>
      <c r="T782" s="107"/>
      <c r="U782" s="107"/>
      <c r="V782" s="107"/>
      <c r="W782" s="107"/>
      <c r="X782" s="107"/>
      <c r="Y782" s="107"/>
      <c r="Z782" s="107"/>
      <c r="AA782" s="107"/>
      <c r="AB782" s="107"/>
      <c r="AC782" s="107"/>
      <c r="AD782" s="107"/>
    </row>
    <row r="783">
      <c r="A783" s="107"/>
      <c r="B783" s="107"/>
      <c r="C783" s="107"/>
      <c r="D783" s="107"/>
      <c r="E783" s="149"/>
      <c r="F783" s="137"/>
      <c r="G783" s="137"/>
      <c r="H783" s="137"/>
      <c r="I783" s="144"/>
      <c r="J783" s="107"/>
      <c r="K783" s="107"/>
      <c r="L783" s="107"/>
      <c r="M783" s="107"/>
      <c r="N783" s="107"/>
      <c r="O783" s="107"/>
      <c r="P783" s="107"/>
      <c r="Q783" s="107"/>
      <c r="R783" s="107"/>
      <c r="S783" s="107"/>
      <c r="T783" s="107"/>
      <c r="U783" s="107"/>
      <c r="V783" s="107"/>
      <c r="W783" s="107"/>
      <c r="X783" s="107"/>
      <c r="Y783" s="107"/>
      <c r="Z783" s="107"/>
      <c r="AA783" s="107"/>
      <c r="AB783" s="107"/>
      <c r="AC783" s="107"/>
      <c r="AD783" s="107"/>
    </row>
    <row r="784">
      <c r="A784" s="107"/>
      <c r="B784" s="107"/>
      <c r="C784" s="107"/>
      <c r="D784" s="107"/>
      <c r="E784" s="149"/>
      <c r="F784" s="137"/>
      <c r="G784" s="137"/>
      <c r="H784" s="137"/>
      <c r="I784" s="144"/>
      <c r="J784" s="107"/>
      <c r="K784" s="107"/>
      <c r="L784" s="107"/>
      <c r="M784" s="107"/>
      <c r="N784" s="107"/>
      <c r="O784" s="107"/>
      <c r="P784" s="107"/>
      <c r="Q784" s="107"/>
      <c r="R784" s="107"/>
      <c r="S784" s="107"/>
      <c r="T784" s="107"/>
      <c r="U784" s="107"/>
      <c r="V784" s="107"/>
      <c r="W784" s="107"/>
      <c r="X784" s="107"/>
      <c r="Y784" s="107"/>
      <c r="Z784" s="107"/>
      <c r="AA784" s="107"/>
      <c r="AB784" s="107"/>
      <c r="AC784" s="107"/>
      <c r="AD784" s="107"/>
    </row>
    <row r="785">
      <c r="A785" s="107"/>
      <c r="B785" s="107"/>
      <c r="C785" s="107"/>
      <c r="D785" s="107"/>
      <c r="E785" s="149"/>
      <c r="F785" s="137"/>
      <c r="G785" s="137"/>
      <c r="H785" s="137"/>
      <c r="I785" s="144"/>
      <c r="J785" s="107"/>
      <c r="K785" s="107"/>
      <c r="L785" s="107"/>
      <c r="M785" s="107"/>
      <c r="N785" s="107"/>
      <c r="O785" s="107"/>
      <c r="P785" s="107"/>
      <c r="Q785" s="107"/>
      <c r="R785" s="107"/>
      <c r="S785" s="107"/>
      <c r="T785" s="107"/>
      <c r="U785" s="107"/>
      <c r="V785" s="107"/>
      <c r="W785" s="107"/>
      <c r="X785" s="107"/>
      <c r="Y785" s="107"/>
      <c r="Z785" s="107"/>
      <c r="AA785" s="107"/>
      <c r="AB785" s="107"/>
      <c r="AC785" s="107"/>
      <c r="AD785" s="107"/>
    </row>
    <row r="786">
      <c r="A786" s="107"/>
      <c r="B786" s="107"/>
      <c r="C786" s="107"/>
      <c r="D786" s="107"/>
      <c r="E786" s="149"/>
      <c r="F786" s="137"/>
      <c r="G786" s="137"/>
      <c r="H786" s="137"/>
      <c r="I786" s="144"/>
      <c r="J786" s="107"/>
      <c r="K786" s="107"/>
      <c r="L786" s="107"/>
      <c r="M786" s="107"/>
      <c r="N786" s="107"/>
      <c r="O786" s="107"/>
      <c r="P786" s="107"/>
      <c r="Q786" s="107"/>
      <c r="R786" s="107"/>
      <c r="S786" s="107"/>
      <c r="T786" s="107"/>
      <c r="U786" s="107"/>
      <c r="V786" s="107"/>
      <c r="W786" s="107"/>
      <c r="X786" s="107"/>
      <c r="Y786" s="107"/>
      <c r="Z786" s="107"/>
      <c r="AA786" s="107"/>
      <c r="AB786" s="107"/>
      <c r="AC786" s="107"/>
      <c r="AD786" s="107"/>
    </row>
    <row r="787">
      <c r="A787" s="107"/>
      <c r="B787" s="107"/>
      <c r="C787" s="107"/>
      <c r="D787" s="107"/>
      <c r="E787" s="149"/>
      <c r="F787" s="137"/>
      <c r="G787" s="137"/>
      <c r="H787" s="137"/>
      <c r="I787" s="144"/>
      <c r="J787" s="107"/>
      <c r="K787" s="107"/>
      <c r="L787" s="107"/>
      <c r="M787" s="107"/>
      <c r="N787" s="107"/>
      <c r="O787" s="107"/>
      <c r="P787" s="107"/>
      <c r="Q787" s="107"/>
      <c r="R787" s="107"/>
      <c r="S787" s="107"/>
      <c r="T787" s="107"/>
      <c r="U787" s="107"/>
      <c r="V787" s="107"/>
      <c r="W787" s="107"/>
      <c r="X787" s="107"/>
      <c r="Y787" s="107"/>
      <c r="Z787" s="107"/>
      <c r="AA787" s="107"/>
      <c r="AB787" s="107"/>
      <c r="AC787" s="107"/>
      <c r="AD787" s="107"/>
    </row>
    <row r="788">
      <c r="A788" s="107"/>
      <c r="B788" s="107"/>
      <c r="C788" s="107"/>
      <c r="D788" s="107"/>
      <c r="E788" s="149"/>
      <c r="F788" s="137"/>
      <c r="G788" s="137"/>
      <c r="H788" s="137"/>
      <c r="I788" s="144"/>
      <c r="J788" s="107"/>
      <c r="K788" s="107"/>
      <c r="L788" s="107"/>
      <c r="M788" s="107"/>
      <c r="N788" s="107"/>
      <c r="O788" s="107"/>
      <c r="P788" s="107"/>
      <c r="Q788" s="107"/>
      <c r="R788" s="107"/>
      <c r="S788" s="107"/>
      <c r="T788" s="107"/>
      <c r="U788" s="107"/>
      <c r="V788" s="107"/>
      <c r="W788" s="107"/>
      <c r="X788" s="107"/>
      <c r="Y788" s="107"/>
      <c r="Z788" s="107"/>
      <c r="AA788" s="107"/>
      <c r="AB788" s="107"/>
      <c r="AC788" s="107"/>
      <c r="AD788" s="107"/>
    </row>
    <row r="789">
      <c r="A789" s="107"/>
      <c r="B789" s="107"/>
      <c r="C789" s="107"/>
      <c r="D789" s="107"/>
      <c r="E789" s="149"/>
      <c r="F789" s="137"/>
      <c r="G789" s="137"/>
      <c r="H789" s="137"/>
      <c r="I789" s="144"/>
      <c r="J789" s="107"/>
      <c r="K789" s="107"/>
      <c r="L789" s="107"/>
      <c r="M789" s="107"/>
      <c r="N789" s="107"/>
      <c r="O789" s="107"/>
      <c r="P789" s="107"/>
      <c r="Q789" s="107"/>
      <c r="R789" s="107"/>
      <c r="S789" s="107"/>
      <c r="T789" s="107"/>
      <c r="U789" s="107"/>
      <c r="V789" s="107"/>
      <c r="W789" s="107"/>
      <c r="X789" s="107"/>
      <c r="Y789" s="107"/>
      <c r="Z789" s="107"/>
      <c r="AA789" s="107"/>
      <c r="AB789" s="107"/>
      <c r="AC789" s="107"/>
      <c r="AD789" s="107"/>
    </row>
    <row r="790">
      <c r="A790" s="107"/>
      <c r="B790" s="107"/>
      <c r="C790" s="107"/>
      <c r="D790" s="107"/>
      <c r="E790" s="149"/>
      <c r="F790" s="137"/>
      <c r="G790" s="137"/>
      <c r="H790" s="137"/>
      <c r="I790" s="144"/>
      <c r="J790" s="107"/>
      <c r="K790" s="107"/>
      <c r="L790" s="107"/>
      <c r="M790" s="107"/>
      <c r="N790" s="107"/>
      <c r="O790" s="107"/>
      <c r="P790" s="107"/>
      <c r="Q790" s="107"/>
      <c r="R790" s="107"/>
      <c r="S790" s="107"/>
      <c r="T790" s="107"/>
      <c r="U790" s="107"/>
      <c r="V790" s="107"/>
      <c r="W790" s="107"/>
      <c r="X790" s="107"/>
      <c r="Y790" s="107"/>
      <c r="Z790" s="107"/>
      <c r="AA790" s="107"/>
      <c r="AB790" s="107"/>
      <c r="AC790" s="107"/>
      <c r="AD790" s="107"/>
    </row>
    <row r="791">
      <c r="A791" s="107"/>
      <c r="B791" s="107"/>
      <c r="C791" s="107"/>
      <c r="D791" s="107"/>
      <c r="E791" s="149"/>
      <c r="F791" s="137"/>
      <c r="G791" s="137"/>
      <c r="H791" s="137"/>
      <c r="I791" s="144"/>
      <c r="J791" s="107"/>
      <c r="K791" s="107"/>
      <c r="L791" s="107"/>
      <c r="M791" s="107"/>
      <c r="N791" s="107"/>
      <c r="O791" s="107"/>
      <c r="P791" s="107"/>
      <c r="Q791" s="107"/>
      <c r="R791" s="107"/>
      <c r="S791" s="107"/>
      <c r="T791" s="107"/>
      <c r="U791" s="107"/>
      <c r="V791" s="107"/>
      <c r="W791" s="107"/>
      <c r="X791" s="107"/>
      <c r="Y791" s="107"/>
      <c r="Z791" s="107"/>
      <c r="AA791" s="107"/>
      <c r="AB791" s="107"/>
      <c r="AC791" s="107"/>
      <c r="AD791" s="107"/>
    </row>
    <row r="792">
      <c r="A792" s="107"/>
      <c r="B792" s="107"/>
      <c r="C792" s="107"/>
      <c r="D792" s="107"/>
      <c r="E792" s="149"/>
      <c r="F792" s="137"/>
      <c r="G792" s="137"/>
      <c r="H792" s="137"/>
      <c r="I792" s="144"/>
      <c r="J792" s="107"/>
      <c r="K792" s="107"/>
      <c r="L792" s="107"/>
      <c r="M792" s="107"/>
      <c r="N792" s="107"/>
      <c r="O792" s="107"/>
      <c r="P792" s="107"/>
      <c r="Q792" s="107"/>
      <c r="R792" s="107"/>
      <c r="S792" s="107"/>
      <c r="T792" s="107"/>
      <c r="U792" s="107"/>
      <c r="V792" s="107"/>
      <c r="W792" s="107"/>
      <c r="X792" s="107"/>
      <c r="Y792" s="107"/>
      <c r="Z792" s="107"/>
      <c r="AA792" s="107"/>
      <c r="AB792" s="107"/>
      <c r="AC792" s="107"/>
      <c r="AD792" s="107"/>
    </row>
    <row r="793">
      <c r="A793" s="107"/>
      <c r="B793" s="107"/>
      <c r="C793" s="107"/>
      <c r="D793" s="107"/>
      <c r="E793" s="149"/>
      <c r="F793" s="137"/>
      <c r="G793" s="137"/>
      <c r="H793" s="137"/>
      <c r="I793" s="144"/>
      <c r="J793" s="107"/>
      <c r="K793" s="107"/>
      <c r="L793" s="107"/>
      <c r="M793" s="107"/>
      <c r="N793" s="107"/>
      <c r="O793" s="107"/>
      <c r="P793" s="107"/>
      <c r="Q793" s="107"/>
      <c r="R793" s="107"/>
      <c r="S793" s="107"/>
      <c r="T793" s="107"/>
      <c r="U793" s="107"/>
      <c r="V793" s="107"/>
      <c r="W793" s="107"/>
      <c r="X793" s="107"/>
      <c r="Y793" s="107"/>
      <c r="Z793" s="107"/>
      <c r="AA793" s="107"/>
      <c r="AB793" s="107"/>
      <c r="AC793" s="107"/>
      <c r="AD793" s="107"/>
    </row>
    <row r="794">
      <c r="A794" s="107"/>
      <c r="B794" s="107"/>
      <c r="C794" s="107"/>
      <c r="D794" s="107"/>
      <c r="E794" s="149"/>
      <c r="F794" s="137"/>
      <c r="G794" s="137"/>
      <c r="H794" s="137"/>
      <c r="I794" s="144"/>
      <c r="J794" s="107"/>
      <c r="K794" s="107"/>
      <c r="L794" s="107"/>
      <c r="M794" s="107"/>
      <c r="N794" s="107"/>
      <c r="O794" s="107"/>
      <c r="P794" s="107"/>
      <c r="Q794" s="107"/>
      <c r="R794" s="107"/>
      <c r="S794" s="107"/>
      <c r="T794" s="107"/>
      <c r="U794" s="107"/>
      <c r="V794" s="107"/>
      <c r="W794" s="107"/>
      <c r="X794" s="107"/>
      <c r="Y794" s="107"/>
      <c r="Z794" s="107"/>
      <c r="AA794" s="107"/>
      <c r="AB794" s="107"/>
      <c r="AC794" s="107"/>
      <c r="AD794" s="107"/>
    </row>
    <row r="795">
      <c r="A795" s="107"/>
      <c r="B795" s="107"/>
      <c r="C795" s="107"/>
      <c r="D795" s="107"/>
      <c r="E795" s="149"/>
      <c r="F795" s="137"/>
      <c r="G795" s="137"/>
      <c r="H795" s="137"/>
      <c r="I795" s="144"/>
      <c r="J795" s="107"/>
      <c r="K795" s="107"/>
      <c r="L795" s="107"/>
      <c r="M795" s="107"/>
      <c r="N795" s="107"/>
      <c r="O795" s="107"/>
      <c r="P795" s="107"/>
      <c r="Q795" s="107"/>
      <c r="R795" s="107"/>
      <c r="S795" s="107"/>
      <c r="T795" s="107"/>
      <c r="U795" s="107"/>
      <c r="V795" s="107"/>
      <c r="W795" s="107"/>
      <c r="X795" s="107"/>
      <c r="Y795" s="107"/>
      <c r="Z795" s="107"/>
      <c r="AA795" s="107"/>
      <c r="AB795" s="107"/>
      <c r="AC795" s="107"/>
      <c r="AD795" s="107"/>
    </row>
    <row r="796">
      <c r="A796" s="107"/>
      <c r="B796" s="107"/>
      <c r="C796" s="107"/>
      <c r="D796" s="107"/>
      <c r="E796" s="149"/>
      <c r="F796" s="137"/>
      <c r="G796" s="137"/>
      <c r="H796" s="137"/>
      <c r="I796" s="144"/>
      <c r="J796" s="107"/>
      <c r="K796" s="107"/>
      <c r="L796" s="107"/>
      <c r="M796" s="107"/>
      <c r="N796" s="107"/>
      <c r="O796" s="107"/>
      <c r="P796" s="107"/>
      <c r="Q796" s="107"/>
      <c r="R796" s="107"/>
      <c r="S796" s="107"/>
      <c r="T796" s="107"/>
      <c r="U796" s="107"/>
      <c r="V796" s="107"/>
      <c r="W796" s="107"/>
      <c r="X796" s="107"/>
      <c r="Y796" s="107"/>
      <c r="Z796" s="107"/>
      <c r="AA796" s="107"/>
      <c r="AB796" s="107"/>
      <c r="AC796" s="107"/>
      <c r="AD796" s="107"/>
    </row>
    <row r="797">
      <c r="A797" s="107"/>
      <c r="B797" s="107"/>
      <c r="C797" s="107"/>
      <c r="D797" s="107"/>
      <c r="E797" s="149"/>
      <c r="F797" s="137"/>
      <c r="G797" s="137"/>
      <c r="H797" s="137"/>
      <c r="I797" s="144"/>
      <c r="J797" s="107"/>
      <c r="K797" s="107"/>
      <c r="L797" s="107"/>
      <c r="M797" s="107"/>
      <c r="N797" s="107"/>
      <c r="O797" s="107"/>
      <c r="P797" s="107"/>
      <c r="Q797" s="107"/>
      <c r="R797" s="107"/>
      <c r="S797" s="107"/>
      <c r="T797" s="107"/>
      <c r="U797" s="107"/>
      <c r="V797" s="107"/>
      <c r="W797" s="107"/>
      <c r="X797" s="107"/>
      <c r="Y797" s="107"/>
      <c r="Z797" s="107"/>
      <c r="AA797" s="107"/>
      <c r="AB797" s="107"/>
      <c r="AC797" s="107"/>
      <c r="AD797" s="107"/>
    </row>
    <row r="798">
      <c r="A798" s="107"/>
      <c r="B798" s="107"/>
      <c r="C798" s="107"/>
      <c r="D798" s="107"/>
      <c r="E798" s="149"/>
      <c r="F798" s="137"/>
      <c r="G798" s="137"/>
      <c r="H798" s="137"/>
      <c r="I798" s="144"/>
      <c r="J798" s="107"/>
      <c r="K798" s="107"/>
      <c r="L798" s="107"/>
      <c r="M798" s="107"/>
      <c r="N798" s="107"/>
      <c r="O798" s="107"/>
      <c r="P798" s="107"/>
      <c r="Q798" s="107"/>
      <c r="R798" s="107"/>
      <c r="S798" s="107"/>
      <c r="T798" s="107"/>
      <c r="U798" s="107"/>
      <c r="V798" s="107"/>
      <c r="W798" s="107"/>
      <c r="X798" s="107"/>
      <c r="Y798" s="107"/>
      <c r="Z798" s="107"/>
      <c r="AA798" s="107"/>
      <c r="AB798" s="107"/>
      <c r="AC798" s="107"/>
      <c r="AD798" s="107"/>
    </row>
    <row r="799">
      <c r="A799" s="107"/>
      <c r="B799" s="107"/>
      <c r="C799" s="107"/>
      <c r="D799" s="107"/>
      <c r="E799" s="149"/>
      <c r="F799" s="137"/>
      <c r="G799" s="137"/>
      <c r="H799" s="137"/>
      <c r="I799" s="144"/>
      <c r="J799" s="107"/>
      <c r="K799" s="107"/>
      <c r="L799" s="107"/>
      <c r="M799" s="107"/>
      <c r="N799" s="107"/>
      <c r="O799" s="107"/>
      <c r="P799" s="107"/>
      <c r="Q799" s="107"/>
      <c r="R799" s="107"/>
      <c r="S799" s="107"/>
      <c r="T799" s="107"/>
      <c r="U799" s="107"/>
      <c r="V799" s="107"/>
      <c r="W799" s="107"/>
      <c r="X799" s="107"/>
      <c r="Y799" s="107"/>
      <c r="Z799" s="107"/>
      <c r="AA799" s="107"/>
      <c r="AB799" s="107"/>
      <c r="AC799" s="107"/>
      <c r="AD799" s="107"/>
    </row>
    <row r="800">
      <c r="A800" s="107"/>
      <c r="B800" s="107"/>
      <c r="C800" s="107"/>
      <c r="D800" s="107"/>
      <c r="E800" s="149"/>
      <c r="F800" s="137"/>
      <c r="G800" s="137"/>
      <c r="H800" s="137"/>
      <c r="I800" s="144"/>
      <c r="J800" s="107"/>
      <c r="K800" s="107"/>
      <c r="L800" s="107"/>
      <c r="M800" s="107"/>
      <c r="N800" s="107"/>
      <c r="O800" s="107"/>
      <c r="P800" s="107"/>
      <c r="Q800" s="107"/>
      <c r="R800" s="107"/>
      <c r="S800" s="107"/>
      <c r="T800" s="107"/>
      <c r="U800" s="107"/>
      <c r="V800" s="107"/>
      <c r="W800" s="107"/>
      <c r="X800" s="107"/>
      <c r="Y800" s="107"/>
      <c r="Z800" s="107"/>
      <c r="AA800" s="107"/>
      <c r="AB800" s="107"/>
      <c r="AC800" s="107"/>
      <c r="AD800" s="107"/>
    </row>
    <row r="801">
      <c r="A801" s="107"/>
      <c r="B801" s="107"/>
      <c r="C801" s="107"/>
      <c r="D801" s="107"/>
      <c r="E801" s="149"/>
      <c r="F801" s="137"/>
      <c r="G801" s="137"/>
      <c r="H801" s="137"/>
      <c r="I801" s="144"/>
      <c r="J801" s="107"/>
      <c r="K801" s="107"/>
      <c r="L801" s="107"/>
      <c r="M801" s="107"/>
      <c r="N801" s="107"/>
      <c r="O801" s="107"/>
      <c r="P801" s="107"/>
      <c r="Q801" s="107"/>
      <c r="R801" s="107"/>
      <c r="S801" s="107"/>
      <c r="T801" s="107"/>
      <c r="U801" s="107"/>
      <c r="V801" s="107"/>
      <c r="W801" s="107"/>
      <c r="X801" s="107"/>
      <c r="Y801" s="107"/>
      <c r="Z801" s="107"/>
      <c r="AA801" s="107"/>
      <c r="AB801" s="107"/>
      <c r="AC801" s="107"/>
      <c r="AD801" s="107"/>
    </row>
    <row r="802">
      <c r="A802" s="107"/>
      <c r="B802" s="107"/>
      <c r="C802" s="107"/>
      <c r="D802" s="107"/>
      <c r="E802" s="149"/>
      <c r="F802" s="137"/>
      <c r="G802" s="137"/>
      <c r="H802" s="137"/>
      <c r="I802" s="144"/>
      <c r="J802" s="107"/>
      <c r="K802" s="107"/>
      <c r="L802" s="107"/>
      <c r="M802" s="107"/>
      <c r="N802" s="107"/>
      <c r="O802" s="107"/>
      <c r="P802" s="107"/>
      <c r="Q802" s="107"/>
      <c r="R802" s="107"/>
      <c r="S802" s="107"/>
      <c r="T802" s="107"/>
      <c r="U802" s="107"/>
      <c r="V802" s="107"/>
      <c r="W802" s="107"/>
      <c r="X802" s="107"/>
      <c r="Y802" s="107"/>
      <c r="Z802" s="107"/>
      <c r="AA802" s="107"/>
      <c r="AB802" s="107"/>
      <c r="AC802" s="107"/>
      <c r="AD802" s="107"/>
    </row>
    <row r="803">
      <c r="A803" s="107"/>
      <c r="B803" s="107"/>
      <c r="C803" s="107"/>
      <c r="D803" s="107"/>
      <c r="E803" s="149"/>
      <c r="F803" s="137"/>
      <c r="G803" s="137"/>
      <c r="H803" s="137"/>
      <c r="I803" s="144"/>
      <c r="J803" s="107"/>
      <c r="K803" s="107"/>
      <c r="L803" s="107"/>
      <c r="M803" s="107"/>
      <c r="N803" s="107"/>
      <c r="O803" s="107"/>
      <c r="P803" s="107"/>
      <c r="Q803" s="107"/>
      <c r="R803" s="107"/>
      <c r="S803" s="107"/>
      <c r="T803" s="107"/>
      <c r="U803" s="107"/>
      <c r="V803" s="107"/>
      <c r="W803" s="107"/>
      <c r="X803" s="107"/>
      <c r="Y803" s="107"/>
      <c r="Z803" s="107"/>
      <c r="AA803" s="107"/>
      <c r="AB803" s="107"/>
      <c r="AC803" s="107"/>
      <c r="AD803" s="107"/>
    </row>
    <row r="804">
      <c r="A804" s="107"/>
      <c r="B804" s="107"/>
      <c r="C804" s="107"/>
      <c r="D804" s="107"/>
      <c r="E804" s="149"/>
      <c r="F804" s="137"/>
      <c r="G804" s="137"/>
      <c r="H804" s="137"/>
      <c r="I804" s="144"/>
      <c r="J804" s="107"/>
      <c r="K804" s="107"/>
      <c r="L804" s="107"/>
      <c r="M804" s="107"/>
      <c r="N804" s="107"/>
      <c r="O804" s="107"/>
      <c r="P804" s="107"/>
      <c r="Q804" s="107"/>
      <c r="R804" s="107"/>
      <c r="S804" s="107"/>
      <c r="T804" s="107"/>
      <c r="U804" s="107"/>
      <c r="V804" s="107"/>
      <c r="W804" s="107"/>
      <c r="X804" s="107"/>
      <c r="Y804" s="107"/>
      <c r="Z804" s="107"/>
      <c r="AA804" s="107"/>
      <c r="AB804" s="107"/>
      <c r="AC804" s="107"/>
      <c r="AD804" s="107"/>
    </row>
    <row r="805">
      <c r="A805" s="107"/>
      <c r="B805" s="107"/>
      <c r="C805" s="107"/>
      <c r="D805" s="107"/>
      <c r="E805" s="149"/>
      <c r="F805" s="137"/>
      <c r="G805" s="137"/>
      <c r="H805" s="137"/>
      <c r="I805" s="144"/>
      <c r="J805" s="107"/>
      <c r="K805" s="107"/>
      <c r="L805" s="107"/>
      <c r="M805" s="107"/>
      <c r="N805" s="107"/>
      <c r="O805" s="107"/>
      <c r="P805" s="107"/>
      <c r="Q805" s="107"/>
      <c r="R805" s="107"/>
      <c r="S805" s="107"/>
      <c r="T805" s="107"/>
      <c r="U805" s="107"/>
      <c r="V805" s="107"/>
      <c r="W805" s="107"/>
      <c r="X805" s="107"/>
      <c r="Y805" s="107"/>
      <c r="Z805" s="107"/>
      <c r="AA805" s="107"/>
      <c r="AB805" s="107"/>
      <c r="AC805" s="107"/>
      <c r="AD805" s="107"/>
    </row>
    <row r="806">
      <c r="A806" s="107"/>
      <c r="B806" s="107"/>
      <c r="C806" s="107"/>
      <c r="D806" s="107"/>
      <c r="E806" s="149"/>
      <c r="F806" s="137"/>
      <c r="G806" s="137"/>
      <c r="H806" s="137"/>
      <c r="I806" s="144"/>
      <c r="J806" s="107"/>
      <c r="K806" s="107"/>
      <c r="L806" s="107"/>
      <c r="M806" s="107"/>
      <c r="N806" s="107"/>
      <c r="O806" s="107"/>
      <c r="P806" s="107"/>
      <c r="Q806" s="107"/>
      <c r="R806" s="107"/>
      <c r="S806" s="107"/>
      <c r="T806" s="107"/>
      <c r="U806" s="107"/>
      <c r="V806" s="107"/>
      <c r="W806" s="107"/>
      <c r="X806" s="107"/>
      <c r="Y806" s="107"/>
      <c r="Z806" s="107"/>
      <c r="AA806" s="107"/>
      <c r="AB806" s="107"/>
      <c r="AC806" s="107"/>
      <c r="AD806" s="107"/>
    </row>
    <row r="807">
      <c r="A807" s="107"/>
      <c r="B807" s="107"/>
      <c r="C807" s="107"/>
      <c r="D807" s="107"/>
      <c r="E807" s="149"/>
      <c r="F807" s="137"/>
      <c r="G807" s="137"/>
      <c r="H807" s="137"/>
      <c r="I807" s="144"/>
      <c r="J807" s="107"/>
      <c r="K807" s="107"/>
      <c r="L807" s="107"/>
      <c r="M807" s="107"/>
      <c r="N807" s="107"/>
      <c r="O807" s="107"/>
      <c r="P807" s="107"/>
      <c r="Q807" s="107"/>
      <c r="R807" s="107"/>
      <c r="S807" s="107"/>
      <c r="T807" s="107"/>
      <c r="U807" s="107"/>
      <c r="V807" s="107"/>
      <c r="W807" s="107"/>
      <c r="X807" s="107"/>
      <c r="Y807" s="107"/>
      <c r="Z807" s="107"/>
      <c r="AA807" s="107"/>
      <c r="AB807" s="107"/>
      <c r="AC807" s="107"/>
      <c r="AD807" s="107"/>
    </row>
    <row r="808">
      <c r="A808" s="107"/>
      <c r="B808" s="107"/>
      <c r="C808" s="107"/>
      <c r="D808" s="107"/>
      <c r="E808" s="149"/>
      <c r="F808" s="137"/>
      <c r="G808" s="137"/>
      <c r="H808" s="137"/>
      <c r="I808" s="144"/>
      <c r="J808" s="107"/>
      <c r="K808" s="107"/>
      <c r="L808" s="107"/>
      <c r="M808" s="107"/>
      <c r="N808" s="107"/>
      <c r="O808" s="107"/>
      <c r="P808" s="107"/>
      <c r="Q808" s="107"/>
      <c r="R808" s="107"/>
      <c r="S808" s="107"/>
      <c r="T808" s="107"/>
      <c r="U808" s="107"/>
      <c r="V808" s="107"/>
      <c r="W808" s="107"/>
      <c r="X808" s="107"/>
      <c r="Y808" s="107"/>
      <c r="Z808" s="107"/>
      <c r="AA808" s="107"/>
      <c r="AB808" s="107"/>
      <c r="AC808" s="107"/>
      <c r="AD808" s="107"/>
    </row>
    <row r="809">
      <c r="A809" s="107"/>
      <c r="B809" s="107"/>
      <c r="C809" s="107"/>
      <c r="D809" s="107"/>
      <c r="E809" s="149"/>
      <c r="F809" s="137"/>
      <c r="G809" s="137"/>
      <c r="H809" s="137"/>
      <c r="I809" s="144"/>
      <c r="J809" s="107"/>
      <c r="K809" s="107"/>
      <c r="L809" s="107"/>
      <c r="M809" s="107"/>
      <c r="N809" s="107"/>
      <c r="O809" s="107"/>
      <c r="P809" s="107"/>
      <c r="Q809" s="107"/>
      <c r="R809" s="107"/>
      <c r="S809" s="107"/>
      <c r="T809" s="107"/>
      <c r="U809" s="107"/>
      <c r="V809" s="107"/>
      <c r="W809" s="107"/>
      <c r="X809" s="107"/>
      <c r="Y809" s="107"/>
      <c r="Z809" s="107"/>
      <c r="AA809" s="107"/>
      <c r="AB809" s="107"/>
      <c r="AC809" s="107"/>
      <c r="AD809" s="107"/>
    </row>
    <row r="810">
      <c r="A810" s="107"/>
      <c r="B810" s="107"/>
      <c r="C810" s="107"/>
      <c r="D810" s="107"/>
      <c r="E810" s="149"/>
      <c r="F810" s="137"/>
      <c r="G810" s="137"/>
      <c r="H810" s="137"/>
      <c r="I810" s="144"/>
      <c r="J810" s="107"/>
      <c r="K810" s="107"/>
      <c r="L810" s="107"/>
      <c r="M810" s="107"/>
      <c r="N810" s="107"/>
      <c r="O810" s="107"/>
      <c r="P810" s="107"/>
      <c r="Q810" s="107"/>
      <c r="R810" s="107"/>
      <c r="S810" s="107"/>
      <c r="T810" s="107"/>
      <c r="U810" s="107"/>
      <c r="V810" s="107"/>
      <c r="W810" s="107"/>
      <c r="X810" s="107"/>
      <c r="Y810" s="107"/>
      <c r="Z810" s="107"/>
      <c r="AA810" s="107"/>
      <c r="AB810" s="107"/>
      <c r="AC810" s="107"/>
      <c r="AD810" s="107"/>
    </row>
    <row r="811">
      <c r="A811" s="107"/>
      <c r="B811" s="107"/>
      <c r="C811" s="107"/>
      <c r="D811" s="107"/>
      <c r="E811" s="149"/>
      <c r="F811" s="137"/>
      <c r="G811" s="137"/>
      <c r="H811" s="137"/>
      <c r="I811" s="144"/>
      <c r="J811" s="107"/>
      <c r="K811" s="107"/>
      <c r="L811" s="107"/>
      <c r="M811" s="107"/>
      <c r="N811" s="107"/>
      <c r="O811" s="107"/>
      <c r="P811" s="107"/>
      <c r="Q811" s="107"/>
      <c r="R811" s="107"/>
      <c r="S811" s="107"/>
      <c r="T811" s="107"/>
      <c r="U811" s="107"/>
      <c r="V811" s="107"/>
      <c r="W811" s="107"/>
      <c r="X811" s="107"/>
      <c r="Y811" s="107"/>
      <c r="Z811" s="107"/>
      <c r="AA811" s="107"/>
      <c r="AB811" s="107"/>
      <c r="AC811" s="107"/>
      <c r="AD811" s="107"/>
    </row>
    <row r="812">
      <c r="A812" s="107"/>
      <c r="B812" s="107"/>
      <c r="C812" s="107"/>
      <c r="D812" s="107"/>
      <c r="E812" s="149"/>
      <c r="F812" s="137"/>
      <c r="G812" s="137"/>
      <c r="H812" s="137"/>
      <c r="I812" s="144"/>
      <c r="J812" s="107"/>
      <c r="K812" s="107"/>
      <c r="L812" s="107"/>
      <c r="M812" s="107"/>
      <c r="N812" s="107"/>
      <c r="O812" s="107"/>
      <c r="P812" s="107"/>
      <c r="Q812" s="107"/>
      <c r="R812" s="107"/>
      <c r="S812" s="107"/>
      <c r="T812" s="107"/>
      <c r="U812" s="107"/>
      <c r="V812" s="107"/>
      <c r="W812" s="107"/>
      <c r="X812" s="107"/>
      <c r="Y812" s="107"/>
      <c r="Z812" s="107"/>
      <c r="AA812" s="107"/>
      <c r="AB812" s="107"/>
      <c r="AC812" s="107"/>
      <c r="AD812" s="107"/>
    </row>
    <row r="813">
      <c r="A813" s="107"/>
      <c r="B813" s="107"/>
      <c r="C813" s="107"/>
      <c r="D813" s="107"/>
      <c r="E813" s="149"/>
      <c r="F813" s="137"/>
      <c r="G813" s="137"/>
      <c r="H813" s="137"/>
      <c r="I813" s="144"/>
      <c r="J813" s="107"/>
      <c r="K813" s="107"/>
      <c r="L813" s="107"/>
      <c r="M813" s="107"/>
      <c r="N813" s="107"/>
      <c r="O813" s="107"/>
      <c r="P813" s="107"/>
      <c r="Q813" s="107"/>
      <c r="R813" s="107"/>
      <c r="S813" s="107"/>
      <c r="T813" s="107"/>
      <c r="U813" s="107"/>
      <c r="V813" s="107"/>
      <c r="W813" s="107"/>
      <c r="X813" s="107"/>
      <c r="Y813" s="107"/>
      <c r="Z813" s="107"/>
      <c r="AA813" s="107"/>
      <c r="AB813" s="107"/>
      <c r="AC813" s="107"/>
      <c r="AD813" s="107"/>
    </row>
    <row r="814">
      <c r="A814" s="107"/>
      <c r="B814" s="107"/>
      <c r="C814" s="107"/>
      <c r="D814" s="107"/>
      <c r="E814" s="149"/>
      <c r="F814" s="137"/>
      <c r="G814" s="137"/>
      <c r="H814" s="137"/>
      <c r="I814" s="144"/>
      <c r="J814" s="107"/>
      <c r="K814" s="107"/>
      <c r="L814" s="107"/>
      <c r="M814" s="107"/>
      <c r="N814" s="107"/>
      <c r="O814" s="107"/>
      <c r="P814" s="107"/>
      <c r="Q814" s="107"/>
      <c r="R814" s="107"/>
      <c r="S814" s="107"/>
      <c r="T814" s="107"/>
      <c r="U814" s="107"/>
      <c r="V814" s="107"/>
      <c r="W814" s="107"/>
      <c r="X814" s="107"/>
      <c r="Y814" s="107"/>
      <c r="Z814" s="107"/>
      <c r="AA814" s="107"/>
      <c r="AB814" s="107"/>
      <c r="AC814" s="107"/>
      <c r="AD814" s="107"/>
    </row>
    <row r="815">
      <c r="A815" s="107"/>
      <c r="B815" s="107"/>
      <c r="C815" s="107"/>
      <c r="D815" s="107"/>
      <c r="E815" s="149"/>
      <c r="F815" s="137"/>
      <c r="G815" s="137"/>
      <c r="H815" s="137"/>
      <c r="I815" s="144"/>
      <c r="J815" s="107"/>
      <c r="K815" s="107"/>
      <c r="L815" s="107"/>
      <c r="M815" s="107"/>
      <c r="N815" s="107"/>
      <c r="O815" s="107"/>
      <c r="P815" s="107"/>
      <c r="Q815" s="107"/>
      <c r="R815" s="107"/>
      <c r="S815" s="107"/>
      <c r="T815" s="107"/>
      <c r="U815" s="107"/>
      <c r="V815" s="107"/>
      <c r="W815" s="107"/>
      <c r="X815" s="107"/>
      <c r="Y815" s="107"/>
      <c r="Z815" s="107"/>
      <c r="AA815" s="107"/>
      <c r="AB815" s="107"/>
      <c r="AC815" s="107"/>
      <c r="AD815" s="107"/>
    </row>
    <row r="816">
      <c r="A816" s="107"/>
      <c r="B816" s="107"/>
      <c r="C816" s="107"/>
      <c r="D816" s="107"/>
      <c r="E816" s="149"/>
      <c r="F816" s="137"/>
      <c r="G816" s="137"/>
      <c r="H816" s="137"/>
      <c r="I816" s="144"/>
      <c r="J816" s="107"/>
      <c r="K816" s="107"/>
      <c r="L816" s="107"/>
      <c r="M816" s="107"/>
      <c r="N816" s="107"/>
      <c r="O816" s="107"/>
      <c r="P816" s="107"/>
      <c r="Q816" s="107"/>
      <c r="R816" s="107"/>
      <c r="S816" s="107"/>
      <c r="T816" s="107"/>
      <c r="U816" s="107"/>
      <c r="V816" s="107"/>
      <c r="W816" s="107"/>
      <c r="X816" s="107"/>
      <c r="Y816" s="107"/>
      <c r="Z816" s="107"/>
      <c r="AA816" s="107"/>
      <c r="AB816" s="107"/>
      <c r="AC816" s="107"/>
      <c r="AD816" s="107"/>
    </row>
    <row r="817">
      <c r="A817" s="107"/>
      <c r="B817" s="107"/>
      <c r="C817" s="107"/>
      <c r="D817" s="107"/>
      <c r="E817" s="149"/>
      <c r="F817" s="137"/>
      <c r="G817" s="137"/>
      <c r="H817" s="137"/>
      <c r="I817" s="144"/>
      <c r="J817" s="107"/>
      <c r="K817" s="107"/>
      <c r="L817" s="107"/>
      <c r="M817" s="107"/>
      <c r="N817" s="107"/>
      <c r="O817" s="107"/>
      <c r="P817" s="107"/>
      <c r="Q817" s="107"/>
      <c r="R817" s="107"/>
      <c r="S817" s="107"/>
      <c r="T817" s="107"/>
      <c r="U817" s="107"/>
      <c r="V817" s="107"/>
      <c r="W817" s="107"/>
      <c r="X817" s="107"/>
      <c r="Y817" s="107"/>
      <c r="Z817" s="107"/>
      <c r="AA817" s="107"/>
      <c r="AB817" s="107"/>
      <c r="AC817" s="107"/>
      <c r="AD817" s="107"/>
    </row>
    <row r="818">
      <c r="A818" s="107"/>
      <c r="B818" s="107"/>
      <c r="C818" s="107"/>
      <c r="D818" s="107"/>
      <c r="E818" s="149"/>
      <c r="F818" s="137"/>
      <c r="G818" s="137"/>
      <c r="H818" s="137"/>
      <c r="I818" s="144"/>
      <c r="J818" s="107"/>
      <c r="K818" s="107"/>
      <c r="L818" s="107"/>
      <c r="M818" s="107"/>
      <c r="N818" s="107"/>
      <c r="O818" s="107"/>
      <c r="P818" s="107"/>
      <c r="Q818" s="107"/>
      <c r="R818" s="107"/>
      <c r="S818" s="107"/>
      <c r="T818" s="107"/>
      <c r="U818" s="107"/>
      <c r="V818" s="107"/>
      <c r="W818" s="107"/>
      <c r="X818" s="107"/>
      <c r="Y818" s="107"/>
      <c r="Z818" s="107"/>
      <c r="AA818" s="107"/>
      <c r="AB818" s="107"/>
      <c r="AC818" s="107"/>
      <c r="AD818" s="107"/>
    </row>
    <row r="819">
      <c r="A819" s="107"/>
      <c r="B819" s="107"/>
      <c r="C819" s="107"/>
      <c r="D819" s="107"/>
      <c r="E819" s="149"/>
      <c r="F819" s="137"/>
      <c r="G819" s="137"/>
      <c r="H819" s="137"/>
      <c r="I819" s="144"/>
      <c r="J819" s="107"/>
      <c r="K819" s="107"/>
      <c r="L819" s="107"/>
      <c r="M819" s="107"/>
      <c r="N819" s="107"/>
      <c r="O819" s="107"/>
      <c r="P819" s="107"/>
      <c r="Q819" s="107"/>
      <c r="R819" s="107"/>
      <c r="S819" s="107"/>
      <c r="T819" s="107"/>
      <c r="U819" s="107"/>
      <c r="V819" s="107"/>
      <c r="W819" s="107"/>
      <c r="X819" s="107"/>
      <c r="Y819" s="107"/>
      <c r="Z819" s="107"/>
      <c r="AA819" s="107"/>
      <c r="AB819" s="107"/>
      <c r="AC819" s="107"/>
      <c r="AD819" s="107"/>
    </row>
    <row r="820">
      <c r="A820" s="107"/>
      <c r="B820" s="107"/>
      <c r="C820" s="107"/>
      <c r="D820" s="107"/>
      <c r="E820" s="149"/>
      <c r="F820" s="137"/>
      <c r="G820" s="137"/>
      <c r="H820" s="137"/>
      <c r="I820" s="144"/>
      <c r="J820" s="107"/>
      <c r="K820" s="107"/>
      <c r="L820" s="107"/>
      <c r="M820" s="107"/>
      <c r="N820" s="107"/>
      <c r="O820" s="107"/>
      <c r="P820" s="107"/>
      <c r="Q820" s="107"/>
      <c r="R820" s="107"/>
      <c r="S820" s="107"/>
      <c r="T820" s="107"/>
      <c r="U820" s="107"/>
      <c r="V820" s="107"/>
      <c r="W820" s="107"/>
      <c r="X820" s="107"/>
      <c r="Y820" s="107"/>
      <c r="Z820" s="107"/>
      <c r="AA820" s="107"/>
      <c r="AB820" s="107"/>
      <c r="AC820" s="107"/>
      <c r="AD820" s="107"/>
    </row>
    <row r="821">
      <c r="A821" s="107"/>
      <c r="B821" s="107"/>
      <c r="C821" s="107"/>
      <c r="D821" s="107"/>
      <c r="E821" s="149"/>
      <c r="F821" s="137"/>
      <c r="G821" s="137"/>
      <c r="H821" s="137"/>
      <c r="I821" s="144"/>
      <c r="J821" s="107"/>
      <c r="K821" s="107"/>
      <c r="L821" s="107"/>
      <c r="M821" s="107"/>
      <c r="N821" s="107"/>
      <c r="O821" s="107"/>
      <c r="P821" s="107"/>
      <c r="Q821" s="107"/>
      <c r="R821" s="107"/>
      <c r="S821" s="107"/>
      <c r="T821" s="107"/>
      <c r="U821" s="107"/>
      <c r="V821" s="107"/>
      <c r="W821" s="107"/>
      <c r="X821" s="107"/>
      <c r="Y821" s="107"/>
      <c r="Z821" s="107"/>
      <c r="AA821" s="107"/>
      <c r="AB821" s="107"/>
      <c r="AC821" s="107"/>
      <c r="AD821" s="107"/>
    </row>
    <row r="822">
      <c r="A822" s="107"/>
      <c r="B822" s="107"/>
      <c r="C822" s="107"/>
      <c r="D822" s="107"/>
      <c r="E822" s="149"/>
      <c r="F822" s="137"/>
      <c r="G822" s="137"/>
      <c r="H822" s="137"/>
      <c r="I822" s="144"/>
      <c r="J822" s="107"/>
      <c r="K822" s="107"/>
      <c r="L822" s="107"/>
      <c r="M822" s="107"/>
      <c r="N822" s="107"/>
      <c r="O822" s="107"/>
      <c r="P822" s="107"/>
      <c r="Q822" s="107"/>
      <c r="R822" s="107"/>
      <c r="S822" s="107"/>
      <c r="T822" s="107"/>
      <c r="U822" s="107"/>
      <c r="V822" s="107"/>
      <c r="W822" s="107"/>
      <c r="X822" s="107"/>
      <c r="Y822" s="107"/>
      <c r="Z822" s="107"/>
      <c r="AA822" s="107"/>
      <c r="AB822" s="107"/>
      <c r="AC822" s="107"/>
      <c r="AD822" s="107"/>
    </row>
    <row r="823">
      <c r="A823" s="107"/>
      <c r="B823" s="107"/>
      <c r="C823" s="107"/>
      <c r="D823" s="107"/>
      <c r="E823" s="149"/>
      <c r="F823" s="137"/>
      <c r="G823" s="137"/>
      <c r="H823" s="137"/>
      <c r="I823" s="144"/>
      <c r="J823" s="107"/>
      <c r="K823" s="107"/>
      <c r="L823" s="107"/>
      <c r="M823" s="107"/>
      <c r="N823" s="107"/>
      <c r="O823" s="107"/>
      <c r="P823" s="107"/>
      <c r="Q823" s="107"/>
      <c r="R823" s="107"/>
      <c r="S823" s="107"/>
      <c r="T823" s="107"/>
      <c r="U823" s="107"/>
      <c r="V823" s="107"/>
      <c r="W823" s="107"/>
      <c r="X823" s="107"/>
      <c r="Y823" s="107"/>
      <c r="Z823" s="107"/>
      <c r="AA823" s="107"/>
      <c r="AB823" s="107"/>
      <c r="AC823" s="107"/>
      <c r="AD823" s="107"/>
    </row>
    <row r="824">
      <c r="A824" s="107"/>
      <c r="B824" s="107"/>
      <c r="C824" s="107"/>
      <c r="D824" s="107"/>
      <c r="E824" s="149"/>
      <c r="F824" s="137"/>
      <c r="G824" s="137"/>
      <c r="H824" s="137"/>
      <c r="I824" s="144"/>
      <c r="J824" s="107"/>
      <c r="K824" s="107"/>
      <c r="L824" s="107"/>
      <c r="M824" s="107"/>
      <c r="N824" s="107"/>
      <c r="O824" s="107"/>
      <c r="P824" s="107"/>
      <c r="Q824" s="107"/>
      <c r="R824" s="107"/>
      <c r="S824" s="107"/>
      <c r="T824" s="107"/>
      <c r="U824" s="107"/>
      <c r="V824" s="107"/>
      <c r="W824" s="107"/>
      <c r="X824" s="107"/>
      <c r="Y824" s="107"/>
      <c r="Z824" s="107"/>
      <c r="AA824" s="107"/>
      <c r="AB824" s="107"/>
      <c r="AC824" s="107"/>
      <c r="AD824" s="107"/>
    </row>
    <row r="825">
      <c r="A825" s="107"/>
      <c r="B825" s="107"/>
      <c r="C825" s="107"/>
      <c r="D825" s="107"/>
      <c r="E825" s="149"/>
      <c r="F825" s="137"/>
      <c r="G825" s="137"/>
      <c r="H825" s="137"/>
      <c r="I825" s="144"/>
      <c r="J825" s="107"/>
      <c r="K825" s="107"/>
      <c r="L825" s="107"/>
      <c r="M825" s="107"/>
      <c r="N825" s="107"/>
      <c r="O825" s="107"/>
      <c r="P825" s="107"/>
      <c r="Q825" s="107"/>
      <c r="R825" s="107"/>
      <c r="S825" s="107"/>
      <c r="T825" s="107"/>
      <c r="U825" s="107"/>
      <c r="V825" s="107"/>
      <c r="W825" s="107"/>
      <c r="X825" s="107"/>
      <c r="Y825" s="107"/>
      <c r="Z825" s="107"/>
      <c r="AA825" s="107"/>
      <c r="AB825" s="107"/>
      <c r="AC825" s="107"/>
      <c r="AD825" s="107"/>
    </row>
    <row r="826">
      <c r="A826" s="107"/>
      <c r="B826" s="107"/>
      <c r="C826" s="107"/>
      <c r="D826" s="107"/>
      <c r="E826" s="149"/>
      <c r="F826" s="137"/>
      <c r="G826" s="137"/>
      <c r="H826" s="137"/>
      <c r="I826" s="144"/>
      <c r="J826" s="107"/>
      <c r="K826" s="107"/>
      <c r="L826" s="107"/>
      <c r="M826" s="107"/>
      <c r="N826" s="107"/>
      <c r="O826" s="107"/>
      <c r="P826" s="107"/>
      <c r="Q826" s="107"/>
      <c r="R826" s="107"/>
      <c r="S826" s="107"/>
      <c r="T826" s="107"/>
      <c r="U826" s="107"/>
      <c r="V826" s="107"/>
      <c r="W826" s="107"/>
      <c r="X826" s="107"/>
      <c r="Y826" s="107"/>
      <c r="Z826" s="107"/>
      <c r="AA826" s="107"/>
      <c r="AB826" s="107"/>
      <c r="AC826" s="107"/>
      <c r="AD826" s="107"/>
    </row>
    <row r="827">
      <c r="A827" s="107"/>
      <c r="B827" s="107"/>
      <c r="C827" s="107"/>
      <c r="D827" s="107"/>
      <c r="E827" s="149"/>
      <c r="F827" s="137"/>
      <c r="G827" s="137"/>
      <c r="H827" s="137"/>
      <c r="I827" s="144"/>
      <c r="J827" s="107"/>
      <c r="K827" s="107"/>
      <c r="L827" s="107"/>
      <c r="M827" s="107"/>
      <c r="N827" s="107"/>
      <c r="O827" s="107"/>
      <c r="P827" s="107"/>
      <c r="Q827" s="107"/>
      <c r="R827" s="107"/>
      <c r="S827" s="107"/>
      <c r="T827" s="107"/>
      <c r="U827" s="107"/>
      <c r="V827" s="107"/>
      <c r="W827" s="107"/>
      <c r="X827" s="107"/>
      <c r="Y827" s="107"/>
      <c r="Z827" s="107"/>
      <c r="AA827" s="107"/>
      <c r="AB827" s="107"/>
      <c r="AC827" s="107"/>
      <c r="AD827" s="107"/>
    </row>
    <row r="828">
      <c r="A828" s="107"/>
      <c r="B828" s="107"/>
      <c r="C828" s="107"/>
      <c r="D828" s="107"/>
      <c r="E828" s="149"/>
      <c r="F828" s="137"/>
      <c r="G828" s="137"/>
      <c r="H828" s="137"/>
      <c r="I828" s="144"/>
      <c r="J828" s="107"/>
      <c r="K828" s="107"/>
      <c r="L828" s="107"/>
      <c r="M828" s="107"/>
      <c r="N828" s="107"/>
      <c r="O828" s="107"/>
      <c r="P828" s="107"/>
      <c r="Q828" s="107"/>
      <c r="R828" s="107"/>
      <c r="S828" s="107"/>
      <c r="T828" s="107"/>
      <c r="U828" s="107"/>
      <c r="V828" s="107"/>
      <c r="W828" s="107"/>
      <c r="X828" s="107"/>
      <c r="Y828" s="107"/>
      <c r="Z828" s="107"/>
      <c r="AA828" s="107"/>
      <c r="AB828" s="107"/>
      <c r="AC828" s="107"/>
      <c r="AD828" s="107"/>
    </row>
    <row r="829">
      <c r="A829" s="107"/>
      <c r="B829" s="107"/>
      <c r="C829" s="107"/>
      <c r="D829" s="107"/>
      <c r="E829" s="149"/>
      <c r="F829" s="137"/>
      <c r="G829" s="137"/>
      <c r="H829" s="137"/>
      <c r="I829" s="144"/>
      <c r="J829" s="107"/>
      <c r="K829" s="107"/>
      <c r="L829" s="107"/>
      <c r="M829" s="107"/>
      <c r="N829" s="107"/>
      <c r="O829" s="107"/>
      <c r="P829" s="107"/>
      <c r="Q829" s="107"/>
      <c r="R829" s="107"/>
      <c r="S829" s="107"/>
      <c r="T829" s="107"/>
      <c r="U829" s="107"/>
      <c r="V829" s="107"/>
      <c r="W829" s="107"/>
      <c r="X829" s="107"/>
      <c r="Y829" s="107"/>
      <c r="Z829" s="107"/>
      <c r="AA829" s="107"/>
      <c r="AB829" s="107"/>
      <c r="AC829" s="107"/>
      <c r="AD829" s="107"/>
    </row>
    <row r="830">
      <c r="A830" s="107"/>
      <c r="B830" s="107"/>
      <c r="C830" s="107"/>
      <c r="D830" s="107"/>
      <c r="E830" s="149"/>
      <c r="F830" s="137"/>
      <c r="G830" s="137"/>
      <c r="H830" s="137"/>
      <c r="I830" s="144"/>
      <c r="J830" s="107"/>
      <c r="K830" s="107"/>
      <c r="L830" s="107"/>
      <c r="M830" s="107"/>
      <c r="N830" s="107"/>
      <c r="O830" s="107"/>
      <c r="P830" s="107"/>
      <c r="Q830" s="107"/>
      <c r="R830" s="107"/>
      <c r="S830" s="107"/>
      <c r="T830" s="107"/>
      <c r="U830" s="107"/>
      <c r="V830" s="107"/>
      <c r="W830" s="107"/>
      <c r="X830" s="107"/>
      <c r="Y830" s="107"/>
      <c r="Z830" s="107"/>
      <c r="AA830" s="107"/>
      <c r="AB830" s="107"/>
      <c r="AC830" s="107"/>
      <c r="AD830" s="107"/>
    </row>
    <row r="831">
      <c r="A831" s="107"/>
      <c r="B831" s="107"/>
      <c r="C831" s="107"/>
      <c r="D831" s="107"/>
      <c r="E831" s="149"/>
      <c r="F831" s="137"/>
      <c r="G831" s="137"/>
      <c r="H831" s="137"/>
      <c r="I831" s="144"/>
      <c r="J831" s="107"/>
      <c r="K831" s="107"/>
      <c r="L831" s="107"/>
      <c r="M831" s="107"/>
      <c r="N831" s="107"/>
      <c r="O831" s="107"/>
      <c r="P831" s="107"/>
      <c r="Q831" s="107"/>
      <c r="R831" s="107"/>
      <c r="S831" s="107"/>
      <c r="T831" s="107"/>
      <c r="U831" s="107"/>
      <c r="V831" s="107"/>
      <c r="W831" s="107"/>
      <c r="X831" s="107"/>
      <c r="Y831" s="107"/>
      <c r="Z831" s="107"/>
      <c r="AA831" s="107"/>
      <c r="AB831" s="107"/>
      <c r="AC831" s="107"/>
      <c r="AD831" s="107"/>
    </row>
    <row r="832">
      <c r="A832" s="107"/>
      <c r="B832" s="107"/>
      <c r="C832" s="107"/>
      <c r="D832" s="107"/>
      <c r="E832" s="149"/>
      <c r="F832" s="137"/>
      <c r="G832" s="137"/>
      <c r="H832" s="137"/>
      <c r="I832" s="144"/>
      <c r="J832" s="107"/>
      <c r="K832" s="107"/>
      <c r="L832" s="107"/>
      <c r="M832" s="107"/>
      <c r="N832" s="107"/>
      <c r="O832" s="107"/>
      <c r="P832" s="107"/>
      <c r="Q832" s="107"/>
      <c r="R832" s="107"/>
      <c r="S832" s="107"/>
      <c r="T832" s="107"/>
      <c r="U832" s="107"/>
      <c r="V832" s="107"/>
      <c r="W832" s="107"/>
      <c r="X832" s="107"/>
      <c r="Y832" s="107"/>
      <c r="Z832" s="107"/>
      <c r="AA832" s="107"/>
      <c r="AB832" s="107"/>
      <c r="AC832" s="107"/>
      <c r="AD832" s="107"/>
    </row>
    <row r="833">
      <c r="A833" s="107"/>
      <c r="B833" s="107"/>
      <c r="C833" s="107"/>
      <c r="D833" s="107"/>
      <c r="E833" s="149"/>
      <c r="F833" s="137"/>
      <c r="G833" s="137"/>
      <c r="H833" s="137"/>
      <c r="I833" s="144"/>
      <c r="J833" s="107"/>
      <c r="K833" s="107"/>
      <c r="L833" s="107"/>
      <c r="M833" s="107"/>
      <c r="N833" s="107"/>
      <c r="O833" s="107"/>
      <c r="P833" s="107"/>
      <c r="Q833" s="107"/>
      <c r="R833" s="107"/>
      <c r="S833" s="107"/>
      <c r="T833" s="107"/>
      <c r="U833" s="107"/>
      <c r="V833" s="107"/>
      <c r="W833" s="107"/>
      <c r="X833" s="107"/>
      <c r="Y833" s="107"/>
      <c r="Z833" s="107"/>
      <c r="AA833" s="107"/>
      <c r="AB833" s="107"/>
      <c r="AC833" s="107"/>
      <c r="AD833" s="107"/>
    </row>
    <row r="834">
      <c r="A834" s="107"/>
      <c r="B834" s="107"/>
      <c r="C834" s="107"/>
      <c r="D834" s="107"/>
      <c r="E834" s="149"/>
      <c r="F834" s="137"/>
      <c r="G834" s="137"/>
      <c r="H834" s="137"/>
      <c r="I834" s="144"/>
      <c r="J834" s="107"/>
      <c r="K834" s="107"/>
      <c r="L834" s="107"/>
      <c r="M834" s="107"/>
      <c r="N834" s="107"/>
      <c r="O834" s="107"/>
      <c r="P834" s="107"/>
      <c r="Q834" s="107"/>
      <c r="R834" s="107"/>
      <c r="S834" s="107"/>
      <c r="T834" s="107"/>
      <c r="U834" s="107"/>
      <c r="V834" s="107"/>
      <c r="W834" s="107"/>
      <c r="X834" s="107"/>
      <c r="Y834" s="107"/>
      <c r="Z834" s="107"/>
      <c r="AA834" s="107"/>
      <c r="AB834" s="107"/>
      <c r="AC834" s="107"/>
      <c r="AD834" s="107"/>
    </row>
    <row r="835">
      <c r="A835" s="107"/>
      <c r="B835" s="107"/>
      <c r="C835" s="107"/>
      <c r="D835" s="107"/>
      <c r="E835" s="149"/>
      <c r="F835" s="137"/>
      <c r="G835" s="137"/>
      <c r="H835" s="137"/>
      <c r="I835" s="144"/>
      <c r="J835" s="107"/>
      <c r="K835" s="107"/>
      <c r="L835" s="107"/>
      <c r="M835" s="107"/>
      <c r="N835" s="107"/>
      <c r="O835" s="107"/>
      <c r="P835" s="107"/>
      <c r="Q835" s="107"/>
      <c r="R835" s="107"/>
      <c r="S835" s="107"/>
      <c r="T835" s="107"/>
      <c r="U835" s="107"/>
      <c r="V835" s="107"/>
      <c r="W835" s="107"/>
      <c r="X835" s="107"/>
      <c r="Y835" s="107"/>
      <c r="Z835" s="107"/>
      <c r="AA835" s="107"/>
      <c r="AB835" s="107"/>
      <c r="AC835" s="107"/>
      <c r="AD835" s="107"/>
    </row>
    <row r="836">
      <c r="A836" s="107"/>
      <c r="B836" s="107"/>
      <c r="C836" s="107"/>
      <c r="D836" s="107"/>
      <c r="E836" s="149"/>
      <c r="F836" s="137"/>
      <c r="G836" s="137"/>
      <c r="H836" s="137"/>
      <c r="I836" s="144"/>
      <c r="J836" s="107"/>
      <c r="K836" s="107"/>
      <c r="L836" s="107"/>
      <c r="M836" s="107"/>
      <c r="N836" s="107"/>
      <c r="O836" s="107"/>
      <c r="P836" s="107"/>
      <c r="Q836" s="107"/>
      <c r="R836" s="107"/>
      <c r="S836" s="107"/>
      <c r="T836" s="107"/>
      <c r="U836" s="107"/>
      <c r="V836" s="107"/>
      <c r="W836" s="107"/>
      <c r="X836" s="107"/>
      <c r="Y836" s="107"/>
      <c r="Z836" s="107"/>
      <c r="AA836" s="107"/>
      <c r="AB836" s="107"/>
      <c r="AC836" s="107"/>
      <c r="AD836" s="107"/>
    </row>
    <row r="837">
      <c r="A837" s="107"/>
      <c r="B837" s="107"/>
      <c r="C837" s="107"/>
      <c r="D837" s="107"/>
      <c r="E837" s="149"/>
      <c r="F837" s="137"/>
      <c r="G837" s="137"/>
      <c r="H837" s="137"/>
      <c r="I837" s="144"/>
      <c r="J837" s="107"/>
      <c r="K837" s="107"/>
      <c r="L837" s="107"/>
      <c r="M837" s="107"/>
      <c r="N837" s="107"/>
      <c r="O837" s="107"/>
      <c r="P837" s="107"/>
      <c r="Q837" s="107"/>
      <c r="R837" s="107"/>
      <c r="S837" s="107"/>
      <c r="T837" s="107"/>
      <c r="U837" s="107"/>
      <c r="V837" s="107"/>
      <c r="W837" s="107"/>
      <c r="X837" s="107"/>
      <c r="Y837" s="107"/>
      <c r="Z837" s="107"/>
      <c r="AA837" s="107"/>
      <c r="AB837" s="107"/>
      <c r="AC837" s="107"/>
      <c r="AD837" s="107"/>
    </row>
    <row r="838">
      <c r="A838" s="107"/>
      <c r="B838" s="107"/>
      <c r="C838" s="107"/>
      <c r="D838" s="107"/>
      <c r="E838" s="149"/>
      <c r="F838" s="137"/>
      <c r="G838" s="137"/>
      <c r="H838" s="137"/>
      <c r="I838" s="144"/>
      <c r="J838" s="107"/>
      <c r="K838" s="107"/>
      <c r="L838" s="107"/>
      <c r="M838" s="107"/>
      <c r="N838" s="107"/>
      <c r="O838" s="107"/>
      <c r="P838" s="107"/>
      <c r="Q838" s="107"/>
      <c r="R838" s="107"/>
      <c r="S838" s="107"/>
      <c r="T838" s="107"/>
      <c r="U838" s="107"/>
      <c r="V838" s="107"/>
      <c r="W838" s="107"/>
      <c r="X838" s="107"/>
      <c r="Y838" s="107"/>
      <c r="Z838" s="107"/>
      <c r="AA838" s="107"/>
      <c r="AB838" s="107"/>
      <c r="AC838" s="107"/>
      <c r="AD838" s="107"/>
    </row>
    <row r="839">
      <c r="A839" s="107"/>
      <c r="B839" s="107"/>
      <c r="C839" s="107"/>
      <c r="D839" s="107"/>
      <c r="E839" s="149"/>
      <c r="F839" s="137"/>
      <c r="G839" s="137"/>
      <c r="H839" s="137"/>
      <c r="I839" s="144"/>
      <c r="J839" s="107"/>
      <c r="K839" s="107"/>
      <c r="L839" s="107"/>
      <c r="M839" s="107"/>
      <c r="N839" s="107"/>
      <c r="O839" s="107"/>
      <c r="P839" s="107"/>
      <c r="Q839" s="107"/>
      <c r="R839" s="107"/>
      <c r="S839" s="107"/>
      <c r="T839" s="107"/>
      <c r="U839" s="107"/>
      <c r="V839" s="107"/>
      <c r="W839" s="107"/>
      <c r="X839" s="107"/>
      <c r="Y839" s="107"/>
      <c r="Z839" s="107"/>
      <c r="AA839" s="107"/>
      <c r="AB839" s="107"/>
      <c r="AC839" s="107"/>
      <c r="AD839" s="107"/>
    </row>
    <row r="840">
      <c r="A840" s="107"/>
      <c r="B840" s="107"/>
      <c r="C840" s="107"/>
      <c r="D840" s="107"/>
      <c r="E840" s="149"/>
      <c r="F840" s="137"/>
      <c r="G840" s="137"/>
      <c r="H840" s="137"/>
      <c r="I840" s="144"/>
      <c r="J840" s="107"/>
      <c r="K840" s="107"/>
      <c r="L840" s="107"/>
      <c r="M840" s="107"/>
      <c r="N840" s="107"/>
      <c r="O840" s="107"/>
      <c r="P840" s="107"/>
      <c r="Q840" s="107"/>
      <c r="R840" s="107"/>
      <c r="S840" s="107"/>
      <c r="T840" s="107"/>
      <c r="U840" s="107"/>
      <c r="V840" s="107"/>
      <c r="W840" s="107"/>
      <c r="X840" s="107"/>
      <c r="Y840" s="107"/>
      <c r="Z840" s="107"/>
      <c r="AA840" s="107"/>
      <c r="AB840" s="107"/>
      <c r="AC840" s="107"/>
      <c r="AD840" s="107"/>
    </row>
    <row r="841">
      <c r="A841" s="107"/>
      <c r="B841" s="107"/>
      <c r="C841" s="107"/>
      <c r="D841" s="107"/>
      <c r="E841" s="149"/>
      <c r="F841" s="137"/>
      <c r="G841" s="137"/>
      <c r="H841" s="137"/>
      <c r="I841" s="144"/>
      <c r="J841" s="107"/>
      <c r="K841" s="107"/>
      <c r="L841" s="107"/>
      <c r="M841" s="107"/>
      <c r="N841" s="107"/>
      <c r="O841" s="107"/>
      <c r="P841" s="107"/>
      <c r="Q841" s="107"/>
      <c r="R841" s="107"/>
      <c r="S841" s="107"/>
      <c r="T841" s="107"/>
      <c r="U841" s="107"/>
      <c r="V841" s="107"/>
      <c r="W841" s="107"/>
      <c r="X841" s="107"/>
      <c r="Y841" s="107"/>
      <c r="Z841" s="107"/>
      <c r="AA841" s="107"/>
      <c r="AB841" s="107"/>
      <c r="AC841" s="107"/>
      <c r="AD841" s="107"/>
    </row>
    <row r="842">
      <c r="A842" s="107"/>
      <c r="B842" s="107"/>
      <c r="C842" s="107"/>
      <c r="D842" s="107"/>
      <c r="E842" s="149"/>
      <c r="F842" s="137"/>
      <c r="G842" s="137"/>
      <c r="H842" s="137"/>
      <c r="I842" s="144"/>
      <c r="J842" s="107"/>
      <c r="K842" s="107"/>
      <c r="L842" s="107"/>
      <c r="M842" s="107"/>
      <c r="N842" s="107"/>
      <c r="O842" s="107"/>
      <c r="P842" s="107"/>
      <c r="Q842" s="107"/>
      <c r="R842" s="107"/>
      <c r="S842" s="107"/>
      <c r="T842" s="107"/>
      <c r="U842" s="107"/>
      <c r="V842" s="107"/>
      <c r="W842" s="107"/>
      <c r="X842" s="107"/>
      <c r="Y842" s="107"/>
      <c r="Z842" s="107"/>
      <c r="AA842" s="107"/>
      <c r="AB842" s="107"/>
      <c r="AC842" s="107"/>
      <c r="AD842" s="107"/>
    </row>
    <row r="843">
      <c r="A843" s="107"/>
      <c r="B843" s="107"/>
      <c r="C843" s="107"/>
      <c r="D843" s="107"/>
      <c r="E843" s="149"/>
      <c r="F843" s="137"/>
      <c r="G843" s="137"/>
      <c r="H843" s="137"/>
      <c r="I843" s="144"/>
      <c r="J843" s="107"/>
      <c r="K843" s="107"/>
      <c r="L843" s="107"/>
      <c r="M843" s="107"/>
      <c r="N843" s="107"/>
      <c r="O843" s="107"/>
      <c r="P843" s="107"/>
      <c r="Q843" s="107"/>
      <c r="R843" s="107"/>
      <c r="S843" s="107"/>
      <c r="T843" s="107"/>
      <c r="U843" s="107"/>
      <c r="V843" s="107"/>
      <c r="W843" s="107"/>
      <c r="X843" s="107"/>
      <c r="Y843" s="107"/>
      <c r="Z843" s="107"/>
      <c r="AA843" s="107"/>
      <c r="AB843" s="107"/>
      <c r="AC843" s="107"/>
      <c r="AD843" s="107"/>
    </row>
    <row r="844">
      <c r="A844" s="107"/>
      <c r="B844" s="107"/>
      <c r="C844" s="107"/>
      <c r="D844" s="107"/>
      <c r="E844" s="149"/>
      <c r="F844" s="137"/>
      <c r="G844" s="137"/>
      <c r="H844" s="137"/>
      <c r="I844" s="144"/>
      <c r="J844" s="107"/>
      <c r="K844" s="107"/>
      <c r="L844" s="107"/>
      <c r="M844" s="107"/>
      <c r="N844" s="107"/>
      <c r="O844" s="107"/>
      <c r="P844" s="107"/>
      <c r="Q844" s="107"/>
      <c r="R844" s="107"/>
      <c r="S844" s="107"/>
      <c r="T844" s="107"/>
      <c r="U844" s="107"/>
      <c r="V844" s="107"/>
      <c r="W844" s="107"/>
      <c r="X844" s="107"/>
      <c r="Y844" s="107"/>
      <c r="Z844" s="107"/>
      <c r="AA844" s="107"/>
      <c r="AB844" s="107"/>
      <c r="AC844" s="107"/>
      <c r="AD844" s="107"/>
    </row>
    <row r="845">
      <c r="A845" s="107"/>
      <c r="B845" s="107"/>
      <c r="C845" s="107"/>
      <c r="D845" s="107"/>
      <c r="E845" s="149"/>
      <c r="F845" s="137"/>
      <c r="G845" s="137"/>
      <c r="H845" s="137"/>
      <c r="I845" s="144"/>
      <c r="J845" s="107"/>
      <c r="K845" s="107"/>
      <c r="L845" s="107"/>
      <c r="M845" s="107"/>
      <c r="N845" s="107"/>
      <c r="O845" s="107"/>
      <c r="P845" s="107"/>
      <c r="Q845" s="107"/>
      <c r="R845" s="107"/>
      <c r="S845" s="107"/>
      <c r="T845" s="107"/>
      <c r="U845" s="107"/>
      <c r="V845" s="107"/>
      <c r="W845" s="107"/>
      <c r="X845" s="107"/>
      <c r="Y845" s="107"/>
      <c r="Z845" s="107"/>
      <c r="AA845" s="107"/>
      <c r="AB845" s="107"/>
      <c r="AC845" s="107"/>
      <c r="AD845" s="107"/>
    </row>
    <row r="846">
      <c r="A846" s="107"/>
      <c r="B846" s="107"/>
      <c r="C846" s="107"/>
      <c r="D846" s="107"/>
      <c r="E846" s="149"/>
      <c r="F846" s="137"/>
      <c r="G846" s="137"/>
      <c r="H846" s="137"/>
      <c r="I846" s="144"/>
      <c r="J846" s="107"/>
      <c r="K846" s="107"/>
      <c r="L846" s="107"/>
      <c r="M846" s="107"/>
      <c r="N846" s="107"/>
      <c r="O846" s="107"/>
      <c r="P846" s="107"/>
      <c r="Q846" s="107"/>
      <c r="R846" s="107"/>
      <c r="S846" s="107"/>
      <c r="T846" s="107"/>
      <c r="U846" s="107"/>
      <c r="V846" s="107"/>
      <c r="W846" s="107"/>
      <c r="X846" s="107"/>
      <c r="Y846" s="107"/>
      <c r="Z846" s="107"/>
      <c r="AA846" s="107"/>
      <c r="AB846" s="107"/>
      <c r="AC846" s="107"/>
      <c r="AD846" s="107"/>
    </row>
    <row r="847">
      <c r="A847" s="107"/>
      <c r="B847" s="107"/>
      <c r="C847" s="107"/>
      <c r="D847" s="107"/>
      <c r="E847" s="149"/>
      <c r="F847" s="137"/>
      <c r="G847" s="137"/>
      <c r="H847" s="137"/>
      <c r="I847" s="144"/>
      <c r="J847" s="107"/>
      <c r="K847" s="107"/>
      <c r="L847" s="107"/>
      <c r="M847" s="107"/>
      <c r="N847" s="107"/>
      <c r="O847" s="107"/>
      <c r="P847" s="107"/>
      <c r="Q847" s="107"/>
      <c r="R847" s="107"/>
      <c r="S847" s="107"/>
      <c r="T847" s="107"/>
      <c r="U847" s="107"/>
      <c r="V847" s="107"/>
      <c r="W847" s="107"/>
      <c r="X847" s="107"/>
      <c r="Y847" s="107"/>
      <c r="Z847" s="107"/>
      <c r="AA847" s="107"/>
      <c r="AB847" s="107"/>
      <c r="AC847" s="107"/>
      <c r="AD847" s="107"/>
    </row>
    <row r="848">
      <c r="A848" s="107"/>
      <c r="B848" s="107"/>
      <c r="C848" s="107"/>
      <c r="D848" s="107"/>
      <c r="E848" s="149"/>
      <c r="F848" s="137"/>
      <c r="G848" s="137"/>
      <c r="H848" s="137"/>
      <c r="I848" s="144"/>
      <c r="J848" s="107"/>
      <c r="K848" s="107"/>
      <c r="L848" s="107"/>
      <c r="M848" s="107"/>
      <c r="N848" s="107"/>
      <c r="O848" s="107"/>
      <c r="P848" s="107"/>
      <c r="Q848" s="107"/>
      <c r="R848" s="107"/>
      <c r="S848" s="107"/>
      <c r="T848" s="107"/>
      <c r="U848" s="107"/>
      <c r="V848" s="107"/>
      <c r="W848" s="107"/>
      <c r="X848" s="107"/>
      <c r="Y848" s="107"/>
      <c r="Z848" s="107"/>
      <c r="AA848" s="107"/>
      <c r="AB848" s="107"/>
      <c r="AC848" s="107"/>
      <c r="AD848" s="107"/>
    </row>
    <row r="849">
      <c r="A849" s="107"/>
      <c r="B849" s="107"/>
      <c r="C849" s="107"/>
      <c r="D849" s="107"/>
      <c r="E849" s="149"/>
      <c r="F849" s="137"/>
      <c r="G849" s="137"/>
      <c r="H849" s="137"/>
      <c r="I849" s="144"/>
      <c r="J849" s="107"/>
      <c r="K849" s="107"/>
      <c r="L849" s="107"/>
      <c r="M849" s="107"/>
      <c r="N849" s="107"/>
      <c r="O849" s="107"/>
      <c r="P849" s="107"/>
      <c r="Q849" s="107"/>
      <c r="R849" s="107"/>
      <c r="S849" s="107"/>
      <c r="T849" s="107"/>
      <c r="U849" s="107"/>
      <c r="V849" s="107"/>
      <c r="W849" s="107"/>
      <c r="X849" s="107"/>
      <c r="Y849" s="107"/>
      <c r="Z849" s="107"/>
      <c r="AA849" s="107"/>
      <c r="AB849" s="107"/>
      <c r="AC849" s="107"/>
      <c r="AD849" s="107"/>
    </row>
    <row r="850">
      <c r="A850" s="107"/>
      <c r="B850" s="107"/>
      <c r="C850" s="107"/>
      <c r="D850" s="107"/>
      <c r="E850" s="149"/>
      <c r="F850" s="137"/>
      <c r="G850" s="137"/>
      <c r="H850" s="137"/>
      <c r="I850" s="144"/>
      <c r="J850" s="107"/>
      <c r="K850" s="107"/>
      <c r="L850" s="107"/>
      <c r="M850" s="107"/>
      <c r="N850" s="107"/>
      <c r="O850" s="107"/>
      <c r="P850" s="107"/>
      <c r="Q850" s="107"/>
      <c r="R850" s="107"/>
      <c r="S850" s="107"/>
      <c r="T850" s="107"/>
      <c r="U850" s="107"/>
      <c r="V850" s="107"/>
      <c r="W850" s="107"/>
      <c r="X850" s="107"/>
      <c r="Y850" s="107"/>
      <c r="Z850" s="107"/>
      <c r="AA850" s="107"/>
      <c r="AB850" s="107"/>
      <c r="AC850" s="107"/>
      <c r="AD850" s="107"/>
    </row>
    <row r="851">
      <c r="A851" s="107"/>
      <c r="B851" s="107"/>
      <c r="C851" s="107"/>
      <c r="D851" s="107"/>
      <c r="E851" s="149"/>
      <c r="F851" s="137"/>
      <c r="G851" s="137"/>
      <c r="H851" s="137"/>
      <c r="I851" s="144"/>
      <c r="J851" s="107"/>
      <c r="K851" s="107"/>
      <c r="L851" s="107"/>
      <c r="M851" s="107"/>
      <c r="N851" s="107"/>
      <c r="O851" s="107"/>
      <c r="P851" s="107"/>
      <c r="Q851" s="107"/>
      <c r="R851" s="107"/>
      <c r="S851" s="107"/>
      <c r="T851" s="107"/>
      <c r="U851" s="107"/>
      <c r="V851" s="107"/>
      <c r="W851" s="107"/>
      <c r="X851" s="107"/>
      <c r="Y851" s="107"/>
      <c r="Z851" s="107"/>
      <c r="AA851" s="107"/>
      <c r="AB851" s="107"/>
      <c r="AC851" s="107"/>
      <c r="AD851" s="107"/>
    </row>
    <row r="852">
      <c r="A852" s="107"/>
      <c r="B852" s="107"/>
      <c r="C852" s="107"/>
      <c r="D852" s="107"/>
      <c r="E852" s="149"/>
      <c r="F852" s="137"/>
      <c r="G852" s="137"/>
      <c r="H852" s="137"/>
      <c r="I852" s="144"/>
      <c r="J852" s="107"/>
      <c r="K852" s="107"/>
      <c r="L852" s="107"/>
      <c r="M852" s="107"/>
      <c r="N852" s="107"/>
      <c r="O852" s="107"/>
      <c r="P852" s="107"/>
      <c r="Q852" s="107"/>
      <c r="R852" s="107"/>
      <c r="S852" s="107"/>
      <c r="T852" s="107"/>
      <c r="U852" s="107"/>
      <c r="V852" s="107"/>
      <c r="W852" s="107"/>
      <c r="X852" s="107"/>
      <c r="Y852" s="107"/>
      <c r="Z852" s="107"/>
      <c r="AA852" s="107"/>
      <c r="AB852" s="107"/>
      <c r="AC852" s="107"/>
      <c r="AD852" s="107"/>
    </row>
    <row r="853">
      <c r="A853" s="107"/>
      <c r="B853" s="107"/>
      <c r="C853" s="107"/>
      <c r="D853" s="107"/>
      <c r="E853" s="149"/>
      <c r="F853" s="137"/>
      <c r="G853" s="137"/>
      <c r="H853" s="137"/>
      <c r="I853" s="144"/>
      <c r="J853" s="107"/>
      <c r="K853" s="107"/>
      <c r="L853" s="107"/>
      <c r="M853" s="107"/>
      <c r="N853" s="107"/>
      <c r="O853" s="107"/>
      <c r="P853" s="107"/>
      <c r="Q853" s="107"/>
      <c r="R853" s="107"/>
      <c r="S853" s="107"/>
      <c r="T853" s="107"/>
      <c r="U853" s="107"/>
      <c r="V853" s="107"/>
      <c r="W853" s="107"/>
      <c r="X853" s="107"/>
      <c r="Y853" s="107"/>
      <c r="Z853" s="107"/>
      <c r="AA853" s="107"/>
      <c r="AB853" s="107"/>
      <c r="AC853" s="107"/>
      <c r="AD853" s="107"/>
    </row>
    <row r="854">
      <c r="A854" s="107"/>
      <c r="B854" s="107"/>
      <c r="C854" s="107"/>
      <c r="D854" s="107"/>
      <c r="E854" s="149"/>
      <c r="F854" s="137"/>
      <c r="G854" s="137"/>
      <c r="H854" s="137"/>
      <c r="I854" s="144"/>
      <c r="J854" s="107"/>
      <c r="K854" s="107"/>
      <c r="L854" s="107"/>
      <c r="M854" s="107"/>
      <c r="N854" s="107"/>
      <c r="O854" s="107"/>
      <c r="P854" s="107"/>
      <c r="Q854" s="107"/>
      <c r="R854" s="107"/>
      <c r="S854" s="107"/>
      <c r="T854" s="107"/>
      <c r="U854" s="107"/>
      <c r="V854" s="107"/>
      <c r="W854" s="107"/>
      <c r="X854" s="107"/>
      <c r="Y854" s="107"/>
      <c r="Z854" s="107"/>
      <c r="AA854" s="107"/>
      <c r="AB854" s="107"/>
      <c r="AC854" s="107"/>
      <c r="AD854" s="107"/>
    </row>
    <row r="855">
      <c r="A855" s="107"/>
      <c r="B855" s="107"/>
      <c r="C855" s="107"/>
      <c r="D855" s="107"/>
      <c r="E855" s="149"/>
      <c r="F855" s="137"/>
      <c r="G855" s="137"/>
      <c r="H855" s="137"/>
      <c r="I855" s="144"/>
      <c r="J855" s="107"/>
      <c r="K855" s="107"/>
      <c r="L855" s="107"/>
      <c r="M855" s="107"/>
      <c r="N855" s="107"/>
      <c r="O855" s="107"/>
      <c r="P855" s="107"/>
      <c r="Q855" s="107"/>
      <c r="R855" s="107"/>
      <c r="S855" s="107"/>
      <c r="T855" s="107"/>
      <c r="U855" s="107"/>
      <c r="V855" s="107"/>
      <c r="W855" s="107"/>
      <c r="X855" s="107"/>
      <c r="Y855" s="107"/>
      <c r="Z855" s="107"/>
      <c r="AA855" s="107"/>
      <c r="AB855" s="107"/>
      <c r="AC855" s="107"/>
      <c r="AD855" s="107"/>
    </row>
    <row r="856">
      <c r="A856" s="107"/>
      <c r="B856" s="107"/>
      <c r="C856" s="107"/>
      <c r="D856" s="107"/>
      <c r="E856" s="149"/>
      <c r="F856" s="137"/>
      <c r="G856" s="137"/>
      <c r="H856" s="137"/>
      <c r="I856" s="144"/>
      <c r="J856" s="107"/>
      <c r="K856" s="107"/>
      <c r="L856" s="107"/>
      <c r="M856" s="107"/>
      <c r="N856" s="107"/>
      <c r="O856" s="107"/>
      <c r="P856" s="107"/>
      <c r="Q856" s="107"/>
      <c r="R856" s="107"/>
      <c r="S856" s="107"/>
      <c r="T856" s="107"/>
      <c r="U856" s="107"/>
      <c r="V856" s="107"/>
      <c r="W856" s="107"/>
      <c r="X856" s="107"/>
      <c r="Y856" s="107"/>
      <c r="Z856" s="107"/>
      <c r="AA856" s="107"/>
      <c r="AB856" s="107"/>
      <c r="AC856" s="107"/>
      <c r="AD856" s="107"/>
    </row>
    <row r="857">
      <c r="A857" s="107"/>
      <c r="B857" s="107"/>
      <c r="C857" s="107"/>
      <c r="D857" s="107"/>
      <c r="E857" s="149"/>
      <c r="F857" s="137"/>
      <c r="G857" s="137"/>
      <c r="H857" s="137"/>
      <c r="I857" s="144"/>
      <c r="J857" s="107"/>
      <c r="K857" s="107"/>
      <c r="L857" s="107"/>
      <c r="M857" s="107"/>
      <c r="N857" s="107"/>
      <c r="O857" s="107"/>
      <c r="P857" s="107"/>
      <c r="Q857" s="107"/>
      <c r="R857" s="107"/>
      <c r="S857" s="107"/>
      <c r="T857" s="107"/>
      <c r="U857" s="107"/>
      <c r="V857" s="107"/>
      <c r="W857" s="107"/>
      <c r="X857" s="107"/>
      <c r="Y857" s="107"/>
      <c r="Z857" s="107"/>
      <c r="AA857" s="107"/>
      <c r="AB857" s="107"/>
      <c r="AC857" s="107"/>
      <c r="AD857" s="107"/>
    </row>
    <row r="858">
      <c r="A858" s="107"/>
      <c r="B858" s="107"/>
      <c r="C858" s="107"/>
      <c r="D858" s="107"/>
      <c r="E858" s="149"/>
      <c r="F858" s="137"/>
      <c r="G858" s="137"/>
      <c r="H858" s="137"/>
      <c r="I858" s="144"/>
      <c r="J858" s="107"/>
      <c r="K858" s="107"/>
      <c r="L858" s="107"/>
      <c r="M858" s="107"/>
      <c r="N858" s="107"/>
      <c r="O858" s="107"/>
      <c r="P858" s="107"/>
      <c r="Q858" s="107"/>
      <c r="R858" s="107"/>
      <c r="S858" s="107"/>
      <c r="T858" s="107"/>
      <c r="U858" s="107"/>
      <c r="V858" s="107"/>
      <c r="W858" s="107"/>
      <c r="X858" s="107"/>
      <c r="Y858" s="107"/>
      <c r="Z858" s="107"/>
      <c r="AA858" s="107"/>
      <c r="AB858" s="107"/>
      <c r="AC858" s="107"/>
      <c r="AD858" s="107"/>
    </row>
    <row r="859">
      <c r="A859" s="107"/>
      <c r="B859" s="107"/>
      <c r="C859" s="107"/>
      <c r="D859" s="107"/>
      <c r="E859" s="149"/>
      <c r="F859" s="137"/>
      <c r="G859" s="137"/>
      <c r="H859" s="137"/>
      <c r="I859" s="144"/>
      <c r="J859" s="107"/>
      <c r="K859" s="107"/>
      <c r="L859" s="107"/>
      <c r="M859" s="107"/>
      <c r="N859" s="107"/>
      <c r="O859" s="107"/>
      <c r="P859" s="107"/>
      <c r="Q859" s="107"/>
      <c r="R859" s="107"/>
      <c r="S859" s="107"/>
      <c r="T859" s="107"/>
      <c r="U859" s="107"/>
      <c r="V859" s="107"/>
      <c r="W859" s="107"/>
      <c r="X859" s="107"/>
      <c r="Y859" s="107"/>
      <c r="Z859" s="107"/>
      <c r="AA859" s="107"/>
      <c r="AB859" s="107"/>
      <c r="AC859" s="107"/>
      <c r="AD859" s="107"/>
    </row>
    <row r="860">
      <c r="A860" s="107"/>
      <c r="B860" s="107"/>
      <c r="C860" s="107"/>
      <c r="D860" s="107"/>
      <c r="E860" s="149"/>
      <c r="F860" s="137"/>
      <c r="G860" s="137"/>
      <c r="H860" s="137"/>
      <c r="I860" s="144"/>
      <c r="J860" s="107"/>
      <c r="K860" s="107"/>
      <c r="L860" s="107"/>
      <c r="M860" s="107"/>
      <c r="N860" s="107"/>
      <c r="O860" s="107"/>
      <c r="P860" s="107"/>
      <c r="Q860" s="107"/>
      <c r="R860" s="107"/>
      <c r="S860" s="107"/>
      <c r="T860" s="107"/>
      <c r="U860" s="107"/>
      <c r="V860" s="107"/>
      <c r="W860" s="107"/>
      <c r="X860" s="107"/>
      <c r="Y860" s="107"/>
      <c r="Z860" s="107"/>
      <c r="AA860" s="107"/>
      <c r="AB860" s="107"/>
      <c r="AC860" s="107"/>
      <c r="AD860" s="107"/>
    </row>
    <row r="861">
      <c r="A861" s="107"/>
      <c r="B861" s="107"/>
      <c r="C861" s="107"/>
      <c r="D861" s="107"/>
      <c r="E861" s="149"/>
      <c r="F861" s="137"/>
      <c r="G861" s="137"/>
      <c r="H861" s="137"/>
      <c r="I861" s="144"/>
      <c r="J861" s="107"/>
      <c r="K861" s="107"/>
      <c r="L861" s="107"/>
      <c r="M861" s="107"/>
      <c r="N861" s="107"/>
      <c r="O861" s="107"/>
      <c r="P861" s="107"/>
      <c r="Q861" s="107"/>
      <c r="R861" s="107"/>
      <c r="S861" s="107"/>
      <c r="T861" s="107"/>
      <c r="U861" s="107"/>
      <c r="V861" s="107"/>
      <c r="W861" s="107"/>
      <c r="X861" s="107"/>
      <c r="Y861" s="107"/>
      <c r="Z861" s="107"/>
      <c r="AA861" s="107"/>
      <c r="AB861" s="107"/>
      <c r="AC861" s="107"/>
      <c r="AD861" s="107"/>
    </row>
    <row r="862">
      <c r="A862" s="107"/>
      <c r="B862" s="107"/>
      <c r="C862" s="107"/>
      <c r="D862" s="107"/>
      <c r="E862" s="149"/>
      <c r="F862" s="137"/>
      <c r="G862" s="137"/>
      <c r="H862" s="137"/>
      <c r="I862" s="144"/>
      <c r="J862" s="107"/>
      <c r="K862" s="107"/>
      <c r="L862" s="107"/>
      <c r="M862" s="107"/>
      <c r="N862" s="107"/>
      <c r="O862" s="107"/>
      <c r="P862" s="107"/>
      <c r="Q862" s="107"/>
      <c r="R862" s="107"/>
      <c r="S862" s="107"/>
      <c r="T862" s="107"/>
      <c r="U862" s="107"/>
      <c r="V862" s="107"/>
      <c r="W862" s="107"/>
      <c r="X862" s="107"/>
      <c r="Y862" s="107"/>
      <c r="Z862" s="107"/>
      <c r="AA862" s="107"/>
      <c r="AB862" s="107"/>
      <c r="AC862" s="107"/>
      <c r="AD862" s="107"/>
    </row>
    <row r="863">
      <c r="A863" s="107"/>
      <c r="B863" s="107"/>
      <c r="C863" s="107"/>
      <c r="D863" s="107"/>
      <c r="E863" s="149"/>
      <c r="F863" s="137"/>
      <c r="G863" s="137"/>
      <c r="H863" s="137"/>
      <c r="I863" s="144"/>
      <c r="J863" s="107"/>
      <c r="K863" s="107"/>
      <c r="L863" s="107"/>
      <c r="M863" s="107"/>
      <c r="N863" s="107"/>
      <c r="O863" s="107"/>
      <c r="P863" s="107"/>
      <c r="Q863" s="107"/>
      <c r="R863" s="107"/>
      <c r="S863" s="107"/>
      <c r="T863" s="107"/>
      <c r="U863" s="107"/>
      <c r="V863" s="107"/>
      <c r="W863" s="107"/>
      <c r="X863" s="107"/>
      <c r="Y863" s="107"/>
      <c r="Z863" s="107"/>
      <c r="AA863" s="107"/>
      <c r="AB863" s="107"/>
      <c r="AC863" s="107"/>
      <c r="AD863" s="107"/>
    </row>
    <row r="864">
      <c r="A864" s="107"/>
      <c r="B864" s="107"/>
      <c r="C864" s="107"/>
      <c r="D864" s="107"/>
      <c r="E864" s="149"/>
      <c r="F864" s="137"/>
      <c r="G864" s="137"/>
      <c r="H864" s="137"/>
      <c r="I864" s="144"/>
      <c r="J864" s="107"/>
      <c r="K864" s="107"/>
      <c r="L864" s="107"/>
      <c r="M864" s="107"/>
      <c r="N864" s="107"/>
      <c r="O864" s="107"/>
      <c r="P864" s="107"/>
      <c r="Q864" s="107"/>
      <c r="R864" s="107"/>
      <c r="S864" s="107"/>
      <c r="T864" s="107"/>
      <c r="U864" s="107"/>
      <c r="V864" s="107"/>
      <c r="W864" s="107"/>
      <c r="X864" s="107"/>
      <c r="Y864" s="107"/>
      <c r="Z864" s="107"/>
      <c r="AA864" s="107"/>
      <c r="AB864" s="107"/>
      <c r="AC864" s="107"/>
      <c r="AD864" s="107"/>
    </row>
    <row r="865">
      <c r="A865" s="107"/>
      <c r="B865" s="107"/>
      <c r="C865" s="107"/>
      <c r="D865" s="107"/>
      <c r="E865" s="149"/>
      <c r="F865" s="137"/>
      <c r="G865" s="137"/>
      <c r="H865" s="137"/>
      <c r="I865" s="144"/>
      <c r="J865" s="107"/>
      <c r="K865" s="107"/>
      <c r="L865" s="107"/>
      <c r="M865" s="107"/>
      <c r="N865" s="107"/>
      <c r="O865" s="107"/>
      <c r="P865" s="107"/>
      <c r="Q865" s="107"/>
      <c r="R865" s="107"/>
      <c r="S865" s="107"/>
      <c r="T865" s="107"/>
      <c r="U865" s="107"/>
      <c r="V865" s="107"/>
      <c r="W865" s="107"/>
      <c r="X865" s="107"/>
      <c r="Y865" s="107"/>
      <c r="Z865" s="107"/>
      <c r="AA865" s="107"/>
      <c r="AB865" s="107"/>
      <c r="AC865" s="107"/>
      <c r="AD865" s="107"/>
    </row>
    <row r="866">
      <c r="A866" s="107"/>
      <c r="B866" s="107"/>
      <c r="C866" s="107"/>
      <c r="D866" s="107"/>
      <c r="E866" s="149"/>
      <c r="F866" s="137"/>
      <c r="G866" s="137"/>
      <c r="H866" s="137"/>
      <c r="I866" s="144"/>
      <c r="J866" s="107"/>
      <c r="K866" s="107"/>
      <c r="L866" s="107"/>
      <c r="M866" s="107"/>
      <c r="N866" s="107"/>
      <c r="O866" s="107"/>
      <c r="P866" s="107"/>
      <c r="Q866" s="107"/>
      <c r="R866" s="107"/>
      <c r="S866" s="107"/>
      <c r="T866" s="107"/>
      <c r="U866" s="107"/>
      <c r="V866" s="107"/>
      <c r="W866" s="107"/>
      <c r="X866" s="107"/>
      <c r="Y866" s="107"/>
      <c r="Z866" s="107"/>
      <c r="AA866" s="107"/>
      <c r="AB866" s="107"/>
      <c r="AC866" s="107"/>
      <c r="AD866" s="107"/>
    </row>
    <row r="867">
      <c r="A867" s="107"/>
      <c r="B867" s="107"/>
      <c r="C867" s="107"/>
      <c r="D867" s="107"/>
      <c r="E867" s="149"/>
      <c r="F867" s="137"/>
      <c r="G867" s="137"/>
      <c r="H867" s="137"/>
      <c r="I867" s="144"/>
      <c r="J867" s="107"/>
      <c r="K867" s="107"/>
      <c r="L867" s="107"/>
      <c r="M867" s="107"/>
      <c r="N867" s="107"/>
      <c r="O867" s="107"/>
      <c r="P867" s="107"/>
      <c r="Q867" s="107"/>
      <c r="R867" s="107"/>
      <c r="S867" s="107"/>
      <c r="T867" s="107"/>
      <c r="U867" s="107"/>
      <c r="V867" s="107"/>
      <c r="W867" s="107"/>
      <c r="X867" s="107"/>
      <c r="Y867" s="107"/>
      <c r="Z867" s="107"/>
      <c r="AA867" s="107"/>
      <c r="AB867" s="107"/>
      <c r="AC867" s="107"/>
      <c r="AD867" s="107"/>
    </row>
    <row r="868">
      <c r="A868" s="107"/>
      <c r="B868" s="107"/>
      <c r="C868" s="107"/>
      <c r="D868" s="107"/>
      <c r="E868" s="149"/>
      <c r="F868" s="137"/>
      <c r="G868" s="137"/>
      <c r="H868" s="137"/>
      <c r="I868" s="144"/>
      <c r="J868" s="107"/>
      <c r="K868" s="107"/>
      <c r="L868" s="107"/>
      <c r="M868" s="107"/>
      <c r="N868" s="107"/>
      <c r="O868" s="107"/>
      <c r="P868" s="107"/>
      <c r="Q868" s="107"/>
      <c r="R868" s="107"/>
      <c r="S868" s="107"/>
      <c r="T868" s="107"/>
      <c r="U868" s="107"/>
      <c r="V868" s="107"/>
      <c r="W868" s="107"/>
      <c r="X868" s="107"/>
      <c r="Y868" s="107"/>
      <c r="Z868" s="107"/>
      <c r="AA868" s="107"/>
      <c r="AB868" s="107"/>
      <c r="AC868" s="107"/>
      <c r="AD868" s="107"/>
    </row>
    <row r="869">
      <c r="A869" s="107"/>
      <c r="B869" s="107"/>
      <c r="C869" s="107"/>
      <c r="D869" s="107"/>
      <c r="E869" s="149"/>
      <c r="F869" s="137"/>
      <c r="G869" s="137"/>
      <c r="H869" s="137"/>
      <c r="I869" s="144"/>
      <c r="J869" s="107"/>
      <c r="K869" s="107"/>
      <c r="L869" s="107"/>
      <c r="M869" s="107"/>
      <c r="N869" s="107"/>
      <c r="O869" s="107"/>
      <c r="P869" s="107"/>
      <c r="Q869" s="107"/>
      <c r="R869" s="107"/>
      <c r="S869" s="107"/>
      <c r="T869" s="107"/>
      <c r="U869" s="107"/>
      <c r="V869" s="107"/>
      <c r="W869" s="107"/>
      <c r="X869" s="107"/>
      <c r="Y869" s="107"/>
      <c r="Z869" s="107"/>
      <c r="AA869" s="107"/>
      <c r="AB869" s="107"/>
      <c r="AC869" s="107"/>
      <c r="AD869" s="107"/>
    </row>
    <row r="870">
      <c r="A870" s="107"/>
      <c r="B870" s="107"/>
      <c r="C870" s="107"/>
      <c r="D870" s="107"/>
      <c r="E870" s="149"/>
      <c r="F870" s="137"/>
      <c r="G870" s="137"/>
      <c r="H870" s="137"/>
      <c r="I870" s="144"/>
      <c r="J870" s="107"/>
      <c r="K870" s="107"/>
      <c r="L870" s="107"/>
      <c r="M870" s="107"/>
      <c r="N870" s="107"/>
      <c r="O870" s="107"/>
      <c r="P870" s="107"/>
      <c r="Q870" s="107"/>
      <c r="R870" s="107"/>
      <c r="S870" s="107"/>
      <c r="T870" s="107"/>
      <c r="U870" s="107"/>
      <c r="V870" s="107"/>
      <c r="W870" s="107"/>
      <c r="X870" s="107"/>
      <c r="Y870" s="107"/>
      <c r="Z870" s="107"/>
      <c r="AA870" s="107"/>
      <c r="AB870" s="107"/>
      <c r="AC870" s="107"/>
      <c r="AD870" s="107"/>
    </row>
    <row r="871">
      <c r="A871" s="107"/>
      <c r="B871" s="107"/>
      <c r="C871" s="107"/>
      <c r="D871" s="107"/>
      <c r="E871" s="149"/>
      <c r="F871" s="137"/>
      <c r="G871" s="137"/>
      <c r="H871" s="137"/>
      <c r="I871" s="144"/>
      <c r="J871" s="107"/>
      <c r="K871" s="107"/>
      <c r="L871" s="107"/>
      <c r="M871" s="107"/>
      <c r="N871" s="107"/>
      <c r="O871" s="107"/>
      <c r="P871" s="107"/>
      <c r="Q871" s="107"/>
      <c r="R871" s="107"/>
      <c r="S871" s="107"/>
      <c r="T871" s="107"/>
      <c r="U871" s="107"/>
      <c r="V871" s="107"/>
      <c r="W871" s="107"/>
      <c r="X871" s="107"/>
      <c r="Y871" s="107"/>
      <c r="Z871" s="107"/>
      <c r="AA871" s="107"/>
      <c r="AB871" s="107"/>
      <c r="AC871" s="107"/>
      <c r="AD871" s="107"/>
    </row>
    <row r="872">
      <c r="A872" s="107"/>
      <c r="B872" s="107"/>
      <c r="C872" s="107"/>
      <c r="D872" s="107"/>
      <c r="E872" s="149"/>
      <c r="F872" s="137"/>
      <c r="G872" s="137"/>
      <c r="H872" s="137"/>
      <c r="I872" s="144"/>
      <c r="J872" s="107"/>
      <c r="K872" s="107"/>
      <c r="L872" s="107"/>
      <c r="M872" s="107"/>
      <c r="N872" s="107"/>
      <c r="O872" s="107"/>
      <c r="P872" s="107"/>
      <c r="Q872" s="107"/>
      <c r="R872" s="107"/>
      <c r="S872" s="107"/>
      <c r="T872" s="107"/>
      <c r="U872" s="107"/>
      <c r="V872" s="107"/>
      <c r="W872" s="107"/>
      <c r="X872" s="107"/>
      <c r="Y872" s="107"/>
      <c r="Z872" s="107"/>
      <c r="AA872" s="107"/>
      <c r="AB872" s="107"/>
      <c r="AC872" s="107"/>
      <c r="AD872" s="107"/>
    </row>
    <row r="873">
      <c r="A873" s="107"/>
      <c r="B873" s="107"/>
      <c r="C873" s="107"/>
      <c r="D873" s="107"/>
      <c r="E873" s="149"/>
      <c r="F873" s="137"/>
      <c r="G873" s="137"/>
      <c r="H873" s="137"/>
      <c r="I873" s="144"/>
      <c r="J873" s="107"/>
      <c r="K873" s="107"/>
      <c r="L873" s="107"/>
      <c r="M873" s="107"/>
      <c r="N873" s="107"/>
      <c r="O873" s="107"/>
      <c r="P873" s="107"/>
      <c r="Q873" s="107"/>
      <c r="R873" s="107"/>
      <c r="S873" s="107"/>
      <c r="T873" s="107"/>
      <c r="U873" s="107"/>
      <c r="V873" s="107"/>
      <c r="W873" s="107"/>
      <c r="X873" s="107"/>
      <c r="Y873" s="107"/>
      <c r="Z873" s="107"/>
      <c r="AA873" s="107"/>
      <c r="AB873" s="107"/>
      <c r="AC873" s="107"/>
      <c r="AD873" s="107"/>
    </row>
    <row r="874">
      <c r="A874" s="107"/>
      <c r="B874" s="107"/>
      <c r="C874" s="107"/>
      <c r="D874" s="107"/>
      <c r="E874" s="149"/>
      <c r="F874" s="137"/>
      <c r="G874" s="137"/>
      <c r="H874" s="137"/>
      <c r="I874" s="144"/>
      <c r="J874" s="107"/>
      <c r="K874" s="107"/>
      <c r="L874" s="107"/>
      <c r="M874" s="107"/>
      <c r="N874" s="107"/>
      <c r="O874" s="107"/>
      <c r="P874" s="107"/>
      <c r="Q874" s="107"/>
      <c r="R874" s="107"/>
      <c r="S874" s="107"/>
      <c r="T874" s="107"/>
      <c r="U874" s="107"/>
      <c r="V874" s="107"/>
      <c r="W874" s="107"/>
      <c r="X874" s="107"/>
      <c r="Y874" s="107"/>
      <c r="Z874" s="107"/>
      <c r="AA874" s="107"/>
      <c r="AB874" s="107"/>
      <c r="AC874" s="107"/>
      <c r="AD874" s="107"/>
    </row>
    <row r="875">
      <c r="A875" s="107"/>
      <c r="B875" s="107"/>
      <c r="C875" s="107"/>
      <c r="D875" s="107"/>
      <c r="E875" s="149"/>
      <c r="F875" s="137"/>
      <c r="G875" s="137"/>
      <c r="H875" s="137"/>
      <c r="I875" s="144"/>
      <c r="J875" s="107"/>
      <c r="K875" s="107"/>
      <c r="L875" s="107"/>
      <c r="M875" s="107"/>
      <c r="N875" s="107"/>
      <c r="O875" s="107"/>
      <c r="P875" s="107"/>
      <c r="Q875" s="107"/>
      <c r="R875" s="107"/>
      <c r="S875" s="107"/>
      <c r="T875" s="107"/>
      <c r="U875" s="107"/>
      <c r="V875" s="107"/>
      <c r="W875" s="107"/>
      <c r="X875" s="107"/>
      <c r="Y875" s="107"/>
      <c r="Z875" s="107"/>
      <c r="AA875" s="107"/>
      <c r="AB875" s="107"/>
      <c r="AC875" s="107"/>
      <c r="AD875" s="107"/>
    </row>
    <row r="876">
      <c r="A876" s="107"/>
      <c r="B876" s="107"/>
      <c r="C876" s="107"/>
      <c r="D876" s="107"/>
      <c r="E876" s="149"/>
      <c r="F876" s="137"/>
      <c r="G876" s="137"/>
      <c r="H876" s="137"/>
      <c r="I876" s="144"/>
      <c r="J876" s="107"/>
      <c r="K876" s="107"/>
      <c r="L876" s="107"/>
      <c r="M876" s="107"/>
      <c r="N876" s="107"/>
      <c r="O876" s="107"/>
      <c r="P876" s="107"/>
      <c r="Q876" s="107"/>
      <c r="R876" s="107"/>
      <c r="S876" s="107"/>
      <c r="T876" s="107"/>
      <c r="U876" s="107"/>
      <c r="V876" s="107"/>
      <c r="W876" s="107"/>
      <c r="X876" s="107"/>
      <c r="Y876" s="107"/>
      <c r="Z876" s="107"/>
      <c r="AA876" s="107"/>
      <c r="AB876" s="107"/>
      <c r="AC876" s="107"/>
      <c r="AD876" s="107"/>
    </row>
    <row r="877">
      <c r="A877" s="107"/>
      <c r="B877" s="107"/>
      <c r="C877" s="107"/>
      <c r="D877" s="107"/>
      <c r="E877" s="149"/>
      <c r="F877" s="137"/>
      <c r="G877" s="137"/>
      <c r="H877" s="137"/>
      <c r="I877" s="144"/>
      <c r="J877" s="107"/>
      <c r="K877" s="107"/>
      <c r="L877" s="107"/>
      <c r="M877" s="107"/>
      <c r="N877" s="107"/>
      <c r="O877" s="107"/>
      <c r="P877" s="107"/>
      <c r="Q877" s="107"/>
      <c r="R877" s="107"/>
      <c r="S877" s="107"/>
      <c r="T877" s="107"/>
      <c r="U877" s="107"/>
      <c r="V877" s="107"/>
      <c r="W877" s="107"/>
      <c r="X877" s="107"/>
      <c r="Y877" s="107"/>
      <c r="Z877" s="107"/>
      <c r="AA877" s="107"/>
      <c r="AB877" s="107"/>
      <c r="AC877" s="107"/>
      <c r="AD877" s="107"/>
    </row>
    <row r="878">
      <c r="A878" s="107"/>
      <c r="B878" s="107"/>
      <c r="C878" s="107"/>
      <c r="D878" s="107"/>
      <c r="E878" s="149"/>
      <c r="F878" s="137"/>
      <c r="G878" s="137"/>
      <c r="H878" s="137"/>
      <c r="I878" s="144"/>
      <c r="J878" s="107"/>
      <c r="K878" s="107"/>
      <c r="L878" s="107"/>
      <c r="M878" s="107"/>
      <c r="N878" s="107"/>
      <c r="O878" s="107"/>
      <c r="P878" s="107"/>
      <c r="Q878" s="107"/>
      <c r="R878" s="107"/>
      <c r="S878" s="107"/>
      <c r="T878" s="107"/>
      <c r="U878" s="107"/>
      <c r="V878" s="107"/>
      <c r="W878" s="107"/>
      <c r="X878" s="107"/>
      <c r="Y878" s="107"/>
      <c r="Z878" s="107"/>
      <c r="AA878" s="107"/>
      <c r="AB878" s="107"/>
      <c r="AC878" s="107"/>
      <c r="AD878" s="107"/>
    </row>
    <row r="879">
      <c r="A879" s="107"/>
      <c r="B879" s="107"/>
      <c r="C879" s="107"/>
      <c r="D879" s="107"/>
      <c r="E879" s="149"/>
      <c r="F879" s="137"/>
      <c r="G879" s="137"/>
      <c r="H879" s="137"/>
      <c r="I879" s="144"/>
      <c r="J879" s="107"/>
      <c r="K879" s="107"/>
      <c r="L879" s="107"/>
      <c r="M879" s="107"/>
      <c r="N879" s="107"/>
      <c r="O879" s="107"/>
      <c r="P879" s="107"/>
      <c r="Q879" s="107"/>
      <c r="R879" s="107"/>
      <c r="S879" s="107"/>
      <c r="T879" s="107"/>
      <c r="U879" s="107"/>
      <c r="V879" s="107"/>
      <c r="W879" s="107"/>
      <c r="X879" s="107"/>
      <c r="Y879" s="107"/>
      <c r="Z879" s="107"/>
      <c r="AA879" s="107"/>
      <c r="AB879" s="107"/>
      <c r="AC879" s="107"/>
      <c r="AD879" s="107"/>
    </row>
    <row r="880">
      <c r="A880" s="107"/>
      <c r="B880" s="107"/>
      <c r="C880" s="107"/>
      <c r="D880" s="107"/>
      <c r="E880" s="149"/>
      <c r="F880" s="137"/>
      <c r="G880" s="137"/>
      <c r="H880" s="137"/>
      <c r="I880" s="144"/>
      <c r="J880" s="107"/>
      <c r="K880" s="107"/>
      <c r="L880" s="107"/>
      <c r="M880" s="107"/>
      <c r="N880" s="107"/>
      <c r="O880" s="107"/>
      <c r="P880" s="107"/>
      <c r="Q880" s="107"/>
      <c r="R880" s="107"/>
      <c r="S880" s="107"/>
      <c r="T880" s="107"/>
      <c r="U880" s="107"/>
      <c r="V880" s="107"/>
      <c r="W880" s="107"/>
      <c r="X880" s="107"/>
      <c r="Y880" s="107"/>
      <c r="Z880" s="107"/>
      <c r="AA880" s="107"/>
      <c r="AB880" s="107"/>
      <c r="AC880" s="107"/>
      <c r="AD880" s="107"/>
    </row>
    <row r="881">
      <c r="A881" s="107"/>
      <c r="B881" s="107"/>
      <c r="C881" s="107"/>
      <c r="D881" s="107"/>
      <c r="E881" s="149"/>
      <c r="F881" s="137"/>
      <c r="G881" s="137"/>
      <c r="H881" s="137"/>
      <c r="I881" s="144"/>
      <c r="J881" s="107"/>
      <c r="K881" s="107"/>
      <c r="L881" s="107"/>
      <c r="M881" s="107"/>
      <c r="N881" s="107"/>
      <c r="O881" s="107"/>
      <c r="P881" s="107"/>
      <c r="Q881" s="107"/>
      <c r="R881" s="107"/>
      <c r="S881" s="107"/>
      <c r="T881" s="107"/>
      <c r="U881" s="107"/>
      <c r="V881" s="107"/>
      <c r="W881" s="107"/>
      <c r="X881" s="107"/>
      <c r="Y881" s="107"/>
      <c r="Z881" s="107"/>
      <c r="AA881" s="107"/>
      <c r="AB881" s="107"/>
      <c r="AC881" s="107"/>
      <c r="AD881" s="107"/>
    </row>
    <row r="882">
      <c r="A882" s="107"/>
      <c r="B882" s="107"/>
      <c r="C882" s="107"/>
      <c r="D882" s="107"/>
      <c r="E882" s="149"/>
      <c r="F882" s="137"/>
      <c r="G882" s="137"/>
      <c r="H882" s="137"/>
      <c r="I882" s="144"/>
      <c r="J882" s="107"/>
      <c r="K882" s="107"/>
      <c r="L882" s="107"/>
      <c r="M882" s="107"/>
      <c r="N882" s="107"/>
      <c r="O882" s="107"/>
      <c r="P882" s="107"/>
      <c r="Q882" s="107"/>
      <c r="R882" s="107"/>
      <c r="S882" s="107"/>
      <c r="T882" s="107"/>
      <c r="U882" s="107"/>
      <c r="V882" s="107"/>
      <c r="W882" s="107"/>
      <c r="X882" s="107"/>
      <c r="Y882" s="107"/>
      <c r="Z882" s="107"/>
      <c r="AA882" s="107"/>
      <c r="AB882" s="107"/>
      <c r="AC882" s="107"/>
      <c r="AD882" s="107"/>
    </row>
    <row r="883">
      <c r="A883" s="107"/>
      <c r="B883" s="107"/>
      <c r="C883" s="107"/>
      <c r="D883" s="107"/>
      <c r="E883" s="149"/>
      <c r="F883" s="137"/>
      <c r="G883" s="137"/>
      <c r="H883" s="137"/>
      <c r="I883" s="144"/>
      <c r="J883" s="107"/>
      <c r="K883" s="107"/>
      <c r="L883" s="107"/>
      <c r="M883" s="107"/>
      <c r="N883" s="107"/>
      <c r="O883" s="107"/>
      <c r="P883" s="107"/>
      <c r="Q883" s="107"/>
      <c r="R883" s="107"/>
      <c r="S883" s="107"/>
      <c r="T883" s="107"/>
      <c r="U883" s="107"/>
      <c r="V883" s="107"/>
      <c r="W883" s="107"/>
      <c r="X883" s="107"/>
      <c r="Y883" s="107"/>
      <c r="Z883" s="107"/>
      <c r="AA883" s="107"/>
      <c r="AB883" s="107"/>
      <c r="AC883" s="107"/>
      <c r="AD883" s="107"/>
    </row>
    <row r="884">
      <c r="A884" s="107"/>
      <c r="B884" s="107"/>
      <c r="C884" s="107"/>
      <c r="D884" s="107"/>
      <c r="E884" s="149"/>
      <c r="F884" s="137"/>
      <c r="G884" s="137"/>
      <c r="H884" s="137"/>
      <c r="I884" s="144"/>
      <c r="J884" s="107"/>
      <c r="K884" s="107"/>
      <c r="L884" s="107"/>
      <c r="M884" s="107"/>
      <c r="N884" s="107"/>
      <c r="O884" s="107"/>
      <c r="P884" s="107"/>
      <c r="Q884" s="107"/>
      <c r="R884" s="107"/>
      <c r="S884" s="107"/>
      <c r="T884" s="107"/>
      <c r="U884" s="107"/>
      <c r="V884" s="107"/>
      <c r="W884" s="107"/>
      <c r="X884" s="107"/>
      <c r="Y884" s="107"/>
      <c r="Z884" s="107"/>
      <c r="AA884" s="107"/>
      <c r="AB884" s="107"/>
      <c r="AC884" s="107"/>
      <c r="AD884" s="107"/>
    </row>
    <row r="885">
      <c r="A885" s="107"/>
      <c r="B885" s="107"/>
      <c r="C885" s="107"/>
      <c r="D885" s="107"/>
      <c r="E885" s="149"/>
      <c r="F885" s="137"/>
      <c r="G885" s="137"/>
      <c r="H885" s="137"/>
      <c r="I885" s="144"/>
      <c r="J885" s="107"/>
      <c r="K885" s="107"/>
      <c r="L885" s="107"/>
      <c r="M885" s="107"/>
      <c r="N885" s="107"/>
      <c r="O885" s="107"/>
      <c r="P885" s="107"/>
      <c r="Q885" s="107"/>
      <c r="R885" s="107"/>
      <c r="S885" s="107"/>
      <c r="T885" s="107"/>
      <c r="U885" s="107"/>
      <c r="V885" s="107"/>
      <c r="W885" s="107"/>
      <c r="X885" s="107"/>
      <c r="Y885" s="107"/>
      <c r="Z885" s="107"/>
      <c r="AA885" s="107"/>
      <c r="AB885" s="107"/>
      <c r="AC885" s="107"/>
      <c r="AD885" s="107"/>
    </row>
    <row r="886">
      <c r="A886" s="107"/>
      <c r="B886" s="107"/>
      <c r="C886" s="107"/>
      <c r="D886" s="107"/>
      <c r="E886" s="149"/>
      <c r="F886" s="137"/>
      <c r="G886" s="137"/>
      <c r="H886" s="137"/>
      <c r="I886" s="144"/>
      <c r="J886" s="107"/>
      <c r="K886" s="107"/>
      <c r="L886" s="107"/>
      <c r="M886" s="107"/>
      <c r="N886" s="107"/>
      <c r="O886" s="107"/>
      <c r="P886" s="107"/>
      <c r="Q886" s="107"/>
      <c r="R886" s="107"/>
      <c r="S886" s="107"/>
      <c r="T886" s="107"/>
      <c r="U886" s="107"/>
      <c r="V886" s="107"/>
      <c r="W886" s="107"/>
      <c r="X886" s="107"/>
      <c r="Y886" s="107"/>
      <c r="Z886" s="107"/>
      <c r="AA886" s="107"/>
      <c r="AB886" s="107"/>
      <c r="AC886" s="107"/>
      <c r="AD886" s="107"/>
    </row>
    <row r="887">
      <c r="A887" s="107"/>
      <c r="B887" s="107"/>
      <c r="C887" s="107"/>
      <c r="D887" s="107"/>
      <c r="E887" s="149"/>
      <c r="F887" s="137"/>
      <c r="G887" s="137"/>
      <c r="H887" s="137"/>
      <c r="I887" s="144"/>
      <c r="J887" s="107"/>
      <c r="K887" s="107"/>
      <c r="L887" s="107"/>
      <c r="M887" s="107"/>
      <c r="N887" s="107"/>
      <c r="O887" s="107"/>
      <c r="P887" s="107"/>
      <c r="Q887" s="107"/>
      <c r="R887" s="107"/>
      <c r="S887" s="107"/>
      <c r="T887" s="107"/>
      <c r="U887" s="107"/>
      <c r="V887" s="107"/>
      <c r="W887" s="107"/>
      <c r="X887" s="107"/>
      <c r="Y887" s="107"/>
      <c r="Z887" s="107"/>
      <c r="AA887" s="107"/>
      <c r="AB887" s="107"/>
      <c r="AC887" s="107"/>
      <c r="AD887" s="107"/>
    </row>
    <row r="888">
      <c r="A888" s="107"/>
      <c r="B888" s="107"/>
      <c r="C888" s="107"/>
      <c r="D888" s="107"/>
      <c r="E888" s="149"/>
      <c r="F888" s="137"/>
      <c r="G888" s="137"/>
      <c r="H888" s="137"/>
      <c r="I888" s="144"/>
      <c r="J888" s="107"/>
      <c r="K888" s="107"/>
      <c r="L888" s="107"/>
      <c r="M888" s="107"/>
      <c r="N888" s="107"/>
      <c r="O888" s="107"/>
      <c r="P888" s="107"/>
      <c r="Q888" s="107"/>
      <c r="R888" s="107"/>
      <c r="S888" s="107"/>
      <c r="T888" s="107"/>
      <c r="U888" s="107"/>
      <c r="V888" s="107"/>
      <c r="W888" s="107"/>
      <c r="X888" s="107"/>
      <c r="Y888" s="107"/>
      <c r="Z888" s="107"/>
      <c r="AA888" s="107"/>
      <c r="AB888" s="107"/>
      <c r="AC888" s="107"/>
      <c r="AD888" s="107"/>
    </row>
    <row r="889">
      <c r="A889" s="107"/>
      <c r="B889" s="107"/>
      <c r="C889" s="107"/>
      <c r="D889" s="107"/>
      <c r="E889" s="149"/>
      <c r="F889" s="137"/>
      <c r="G889" s="137"/>
      <c r="H889" s="137"/>
      <c r="I889" s="144"/>
      <c r="J889" s="107"/>
      <c r="K889" s="107"/>
      <c r="L889" s="107"/>
      <c r="M889" s="107"/>
      <c r="N889" s="107"/>
      <c r="O889" s="107"/>
      <c r="P889" s="107"/>
      <c r="Q889" s="107"/>
      <c r="R889" s="107"/>
      <c r="S889" s="107"/>
      <c r="T889" s="107"/>
      <c r="U889" s="107"/>
      <c r="V889" s="107"/>
      <c r="W889" s="107"/>
      <c r="X889" s="107"/>
      <c r="Y889" s="107"/>
      <c r="Z889" s="107"/>
      <c r="AA889" s="107"/>
      <c r="AB889" s="107"/>
      <c r="AC889" s="107"/>
      <c r="AD889" s="107"/>
    </row>
    <row r="890">
      <c r="A890" s="107"/>
      <c r="B890" s="107"/>
      <c r="C890" s="107"/>
      <c r="D890" s="107"/>
      <c r="E890" s="149"/>
      <c r="F890" s="137"/>
      <c r="G890" s="137"/>
      <c r="H890" s="137"/>
      <c r="I890" s="144"/>
      <c r="J890" s="107"/>
      <c r="K890" s="107"/>
      <c r="L890" s="107"/>
      <c r="M890" s="107"/>
      <c r="N890" s="107"/>
      <c r="O890" s="107"/>
      <c r="P890" s="107"/>
      <c r="Q890" s="107"/>
      <c r="R890" s="107"/>
      <c r="S890" s="107"/>
      <c r="T890" s="107"/>
      <c r="U890" s="107"/>
      <c r="V890" s="107"/>
      <c r="W890" s="107"/>
      <c r="X890" s="107"/>
      <c r="Y890" s="107"/>
      <c r="Z890" s="107"/>
      <c r="AA890" s="107"/>
      <c r="AB890" s="107"/>
      <c r="AC890" s="107"/>
      <c r="AD890" s="107"/>
    </row>
    <row r="891">
      <c r="A891" s="107"/>
      <c r="B891" s="107"/>
      <c r="C891" s="107"/>
      <c r="D891" s="107"/>
      <c r="E891" s="149"/>
      <c r="F891" s="137"/>
      <c r="G891" s="137"/>
      <c r="H891" s="137"/>
      <c r="I891" s="144"/>
      <c r="J891" s="107"/>
      <c r="K891" s="107"/>
      <c r="L891" s="107"/>
      <c r="M891" s="107"/>
      <c r="N891" s="107"/>
      <c r="O891" s="107"/>
      <c r="P891" s="107"/>
      <c r="Q891" s="107"/>
      <c r="R891" s="107"/>
      <c r="S891" s="107"/>
      <c r="T891" s="107"/>
      <c r="U891" s="107"/>
      <c r="V891" s="107"/>
      <c r="W891" s="107"/>
      <c r="X891" s="107"/>
      <c r="Y891" s="107"/>
      <c r="Z891" s="107"/>
      <c r="AA891" s="107"/>
      <c r="AB891" s="107"/>
      <c r="AC891" s="107"/>
      <c r="AD891" s="107"/>
    </row>
    <row r="892">
      <c r="A892" s="107"/>
      <c r="B892" s="107"/>
      <c r="C892" s="107"/>
      <c r="D892" s="107"/>
      <c r="E892" s="149"/>
      <c r="F892" s="137"/>
      <c r="G892" s="137"/>
      <c r="H892" s="137"/>
      <c r="I892" s="144"/>
      <c r="J892" s="107"/>
      <c r="K892" s="107"/>
      <c r="L892" s="107"/>
      <c r="M892" s="107"/>
      <c r="N892" s="107"/>
      <c r="O892" s="107"/>
      <c r="P892" s="107"/>
      <c r="Q892" s="107"/>
      <c r="R892" s="107"/>
      <c r="S892" s="107"/>
      <c r="T892" s="107"/>
      <c r="U892" s="107"/>
      <c r="V892" s="107"/>
      <c r="W892" s="107"/>
      <c r="X892" s="107"/>
      <c r="Y892" s="107"/>
      <c r="Z892" s="107"/>
      <c r="AA892" s="107"/>
      <c r="AB892" s="107"/>
      <c r="AC892" s="107"/>
      <c r="AD892" s="107"/>
    </row>
    <row r="893">
      <c r="A893" s="107"/>
      <c r="B893" s="107"/>
      <c r="C893" s="107"/>
      <c r="D893" s="107"/>
      <c r="E893" s="149"/>
      <c r="F893" s="137"/>
      <c r="G893" s="137"/>
      <c r="H893" s="137"/>
      <c r="I893" s="144"/>
      <c r="J893" s="107"/>
      <c r="K893" s="107"/>
      <c r="L893" s="107"/>
      <c r="M893" s="107"/>
      <c r="N893" s="107"/>
      <c r="O893" s="107"/>
      <c r="P893" s="107"/>
      <c r="Q893" s="107"/>
      <c r="R893" s="107"/>
      <c r="S893" s="107"/>
      <c r="T893" s="107"/>
      <c r="U893" s="107"/>
      <c r="V893" s="107"/>
      <c r="W893" s="107"/>
      <c r="X893" s="107"/>
      <c r="Y893" s="107"/>
      <c r="Z893" s="107"/>
      <c r="AA893" s="107"/>
      <c r="AB893" s="107"/>
      <c r="AC893" s="107"/>
      <c r="AD893" s="107"/>
    </row>
    <row r="894">
      <c r="A894" s="107"/>
      <c r="B894" s="107"/>
      <c r="C894" s="107"/>
      <c r="D894" s="107"/>
      <c r="E894" s="149"/>
      <c r="F894" s="137"/>
      <c r="G894" s="137"/>
      <c r="H894" s="137"/>
      <c r="I894" s="144"/>
      <c r="J894" s="107"/>
      <c r="K894" s="107"/>
      <c r="L894" s="107"/>
      <c r="M894" s="107"/>
      <c r="N894" s="107"/>
      <c r="O894" s="107"/>
      <c r="P894" s="107"/>
      <c r="Q894" s="107"/>
      <c r="R894" s="107"/>
      <c r="S894" s="107"/>
      <c r="T894" s="107"/>
      <c r="U894" s="107"/>
      <c r="V894" s="107"/>
      <c r="W894" s="107"/>
      <c r="X894" s="107"/>
      <c r="Y894" s="107"/>
      <c r="Z894" s="107"/>
      <c r="AA894" s="107"/>
      <c r="AB894" s="107"/>
      <c r="AC894" s="107"/>
      <c r="AD894" s="107"/>
    </row>
    <row r="895">
      <c r="A895" s="107"/>
      <c r="B895" s="107"/>
      <c r="C895" s="107"/>
      <c r="D895" s="107"/>
      <c r="E895" s="149"/>
      <c r="F895" s="137"/>
      <c r="G895" s="137"/>
      <c r="H895" s="137"/>
      <c r="I895" s="144"/>
      <c r="J895" s="107"/>
      <c r="K895" s="107"/>
      <c r="L895" s="107"/>
      <c r="M895" s="107"/>
      <c r="N895" s="107"/>
      <c r="O895" s="107"/>
      <c r="P895" s="107"/>
      <c r="Q895" s="107"/>
      <c r="R895" s="107"/>
      <c r="S895" s="107"/>
      <c r="T895" s="107"/>
      <c r="U895" s="107"/>
      <c r="V895" s="107"/>
      <c r="W895" s="107"/>
      <c r="X895" s="107"/>
      <c r="Y895" s="107"/>
      <c r="Z895" s="107"/>
      <c r="AA895" s="107"/>
      <c r="AB895" s="107"/>
      <c r="AC895" s="107"/>
      <c r="AD895" s="107"/>
    </row>
    <row r="896">
      <c r="A896" s="107"/>
      <c r="B896" s="107"/>
      <c r="C896" s="107"/>
      <c r="D896" s="107"/>
      <c r="E896" s="149"/>
      <c r="F896" s="137"/>
      <c r="G896" s="137"/>
      <c r="H896" s="137"/>
      <c r="I896" s="144"/>
      <c r="J896" s="107"/>
      <c r="K896" s="107"/>
      <c r="L896" s="107"/>
      <c r="M896" s="107"/>
      <c r="N896" s="107"/>
      <c r="O896" s="107"/>
      <c r="P896" s="107"/>
      <c r="Q896" s="107"/>
      <c r="R896" s="107"/>
      <c r="S896" s="107"/>
      <c r="T896" s="107"/>
      <c r="U896" s="107"/>
      <c r="V896" s="107"/>
      <c r="W896" s="107"/>
      <c r="X896" s="107"/>
      <c r="Y896" s="107"/>
      <c r="Z896" s="107"/>
      <c r="AA896" s="107"/>
      <c r="AB896" s="107"/>
      <c r="AC896" s="107"/>
      <c r="AD896" s="107"/>
    </row>
    <row r="897">
      <c r="A897" s="107"/>
      <c r="B897" s="107"/>
      <c r="C897" s="107"/>
      <c r="D897" s="107"/>
      <c r="E897" s="149"/>
      <c r="F897" s="137"/>
      <c r="G897" s="137"/>
      <c r="H897" s="137"/>
      <c r="I897" s="144"/>
      <c r="J897" s="107"/>
      <c r="K897" s="107"/>
      <c r="L897" s="107"/>
      <c r="M897" s="107"/>
      <c r="N897" s="107"/>
      <c r="O897" s="107"/>
      <c r="P897" s="107"/>
      <c r="Q897" s="107"/>
      <c r="R897" s="107"/>
      <c r="S897" s="107"/>
      <c r="T897" s="107"/>
      <c r="U897" s="107"/>
      <c r="V897" s="107"/>
      <c r="W897" s="107"/>
      <c r="X897" s="107"/>
      <c r="Y897" s="107"/>
      <c r="Z897" s="107"/>
      <c r="AA897" s="107"/>
      <c r="AB897" s="107"/>
      <c r="AC897" s="107"/>
      <c r="AD897" s="107"/>
    </row>
    <row r="898">
      <c r="A898" s="107"/>
      <c r="B898" s="107"/>
      <c r="C898" s="107"/>
      <c r="D898" s="107"/>
      <c r="E898" s="149"/>
      <c r="F898" s="137"/>
      <c r="G898" s="137"/>
      <c r="H898" s="137"/>
      <c r="I898" s="144"/>
      <c r="J898" s="107"/>
      <c r="K898" s="107"/>
      <c r="L898" s="107"/>
      <c r="M898" s="107"/>
      <c r="N898" s="107"/>
      <c r="O898" s="107"/>
      <c r="P898" s="107"/>
      <c r="Q898" s="107"/>
      <c r="R898" s="107"/>
      <c r="S898" s="107"/>
      <c r="T898" s="107"/>
      <c r="U898" s="107"/>
      <c r="V898" s="107"/>
      <c r="W898" s="107"/>
      <c r="X898" s="107"/>
      <c r="Y898" s="107"/>
      <c r="Z898" s="107"/>
      <c r="AA898" s="107"/>
      <c r="AB898" s="107"/>
      <c r="AC898" s="107"/>
      <c r="AD898" s="107"/>
    </row>
    <row r="899">
      <c r="A899" s="107"/>
      <c r="B899" s="107"/>
      <c r="C899" s="107"/>
      <c r="D899" s="107"/>
      <c r="E899" s="149"/>
      <c r="F899" s="137"/>
      <c r="G899" s="137"/>
      <c r="H899" s="137"/>
      <c r="I899" s="144"/>
      <c r="J899" s="107"/>
      <c r="K899" s="107"/>
      <c r="L899" s="107"/>
      <c r="M899" s="107"/>
      <c r="N899" s="107"/>
      <c r="O899" s="107"/>
      <c r="P899" s="107"/>
      <c r="Q899" s="107"/>
      <c r="R899" s="107"/>
      <c r="S899" s="107"/>
      <c r="T899" s="107"/>
      <c r="U899" s="107"/>
      <c r="V899" s="107"/>
      <c r="W899" s="107"/>
      <c r="X899" s="107"/>
      <c r="Y899" s="107"/>
      <c r="Z899" s="107"/>
      <c r="AA899" s="107"/>
      <c r="AB899" s="107"/>
      <c r="AC899" s="107"/>
      <c r="AD899" s="107"/>
    </row>
    <row r="900">
      <c r="A900" s="107"/>
      <c r="B900" s="107"/>
      <c r="C900" s="107"/>
      <c r="D900" s="107"/>
      <c r="E900" s="149"/>
      <c r="F900" s="137"/>
      <c r="G900" s="137"/>
      <c r="H900" s="137"/>
      <c r="I900" s="144"/>
      <c r="J900" s="107"/>
      <c r="K900" s="107"/>
      <c r="L900" s="107"/>
      <c r="M900" s="107"/>
      <c r="N900" s="107"/>
      <c r="O900" s="107"/>
      <c r="P900" s="107"/>
      <c r="Q900" s="107"/>
      <c r="R900" s="107"/>
      <c r="S900" s="107"/>
      <c r="T900" s="107"/>
      <c r="U900" s="107"/>
      <c r="V900" s="107"/>
      <c r="W900" s="107"/>
      <c r="X900" s="107"/>
      <c r="Y900" s="107"/>
      <c r="Z900" s="107"/>
      <c r="AA900" s="107"/>
      <c r="AB900" s="107"/>
      <c r="AC900" s="107"/>
      <c r="AD900" s="107"/>
    </row>
    <row r="901">
      <c r="A901" s="107"/>
      <c r="B901" s="107"/>
      <c r="C901" s="107"/>
      <c r="D901" s="107"/>
      <c r="E901" s="149"/>
      <c r="F901" s="137"/>
      <c r="G901" s="137"/>
      <c r="H901" s="137"/>
      <c r="I901" s="144"/>
      <c r="J901" s="107"/>
      <c r="K901" s="107"/>
      <c r="L901" s="107"/>
      <c r="M901" s="107"/>
      <c r="N901" s="107"/>
      <c r="O901" s="107"/>
      <c r="P901" s="107"/>
      <c r="Q901" s="107"/>
      <c r="R901" s="107"/>
      <c r="S901" s="107"/>
      <c r="T901" s="107"/>
      <c r="U901" s="107"/>
      <c r="V901" s="107"/>
      <c r="W901" s="107"/>
      <c r="X901" s="107"/>
      <c r="Y901" s="107"/>
      <c r="Z901" s="107"/>
      <c r="AA901" s="107"/>
      <c r="AB901" s="107"/>
      <c r="AC901" s="107"/>
      <c r="AD901" s="107"/>
    </row>
    <row r="902">
      <c r="A902" s="107"/>
      <c r="B902" s="107"/>
      <c r="C902" s="107"/>
      <c r="D902" s="107"/>
      <c r="E902" s="149"/>
      <c r="F902" s="137"/>
      <c r="G902" s="137"/>
      <c r="H902" s="137"/>
      <c r="I902" s="144"/>
      <c r="J902" s="107"/>
      <c r="K902" s="107"/>
      <c r="L902" s="107"/>
      <c r="M902" s="107"/>
      <c r="N902" s="107"/>
      <c r="O902" s="107"/>
      <c r="P902" s="107"/>
      <c r="Q902" s="107"/>
      <c r="R902" s="107"/>
      <c r="S902" s="107"/>
      <c r="T902" s="107"/>
      <c r="U902" s="107"/>
      <c r="V902" s="107"/>
      <c r="W902" s="107"/>
      <c r="X902" s="107"/>
      <c r="Y902" s="107"/>
      <c r="Z902" s="107"/>
      <c r="AA902" s="107"/>
      <c r="AB902" s="107"/>
      <c r="AC902" s="107"/>
      <c r="AD902" s="107"/>
    </row>
    <row r="903">
      <c r="A903" s="107"/>
      <c r="B903" s="107"/>
      <c r="C903" s="107"/>
      <c r="D903" s="107"/>
      <c r="E903" s="149"/>
      <c r="F903" s="137"/>
      <c r="G903" s="137"/>
      <c r="H903" s="137"/>
      <c r="I903" s="144"/>
      <c r="J903" s="107"/>
      <c r="K903" s="107"/>
      <c r="L903" s="107"/>
      <c r="M903" s="107"/>
      <c r="N903" s="107"/>
      <c r="O903" s="107"/>
      <c r="P903" s="107"/>
      <c r="Q903" s="107"/>
      <c r="R903" s="107"/>
      <c r="S903" s="107"/>
      <c r="T903" s="107"/>
      <c r="U903" s="107"/>
      <c r="V903" s="107"/>
      <c r="W903" s="107"/>
      <c r="X903" s="107"/>
      <c r="Y903" s="107"/>
      <c r="Z903" s="107"/>
      <c r="AA903" s="107"/>
      <c r="AB903" s="107"/>
      <c r="AC903" s="107"/>
      <c r="AD903" s="107"/>
    </row>
    <row r="904">
      <c r="A904" s="107"/>
      <c r="B904" s="107"/>
      <c r="C904" s="107"/>
      <c r="D904" s="107"/>
      <c r="E904" s="149"/>
      <c r="F904" s="137"/>
      <c r="G904" s="137"/>
      <c r="H904" s="137"/>
      <c r="I904" s="144"/>
      <c r="J904" s="107"/>
      <c r="K904" s="107"/>
      <c r="L904" s="107"/>
      <c r="M904" s="107"/>
      <c r="N904" s="107"/>
      <c r="O904" s="107"/>
      <c r="P904" s="107"/>
      <c r="Q904" s="107"/>
      <c r="R904" s="107"/>
      <c r="S904" s="107"/>
      <c r="T904" s="107"/>
      <c r="U904" s="107"/>
      <c r="V904" s="107"/>
      <c r="W904" s="107"/>
      <c r="X904" s="107"/>
      <c r="Y904" s="107"/>
      <c r="Z904" s="107"/>
      <c r="AA904" s="107"/>
      <c r="AB904" s="107"/>
      <c r="AC904" s="107"/>
      <c r="AD904" s="107"/>
    </row>
    <row r="905">
      <c r="A905" s="107"/>
      <c r="B905" s="107"/>
      <c r="C905" s="107"/>
      <c r="D905" s="107"/>
      <c r="E905" s="149"/>
      <c r="F905" s="137"/>
      <c r="G905" s="137"/>
      <c r="H905" s="137"/>
      <c r="I905" s="144"/>
      <c r="J905" s="107"/>
      <c r="K905" s="107"/>
      <c r="L905" s="107"/>
      <c r="M905" s="107"/>
      <c r="N905" s="107"/>
      <c r="O905" s="107"/>
      <c r="P905" s="107"/>
      <c r="Q905" s="107"/>
      <c r="R905" s="107"/>
      <c r="S905" s="107"/>
      <c r="T905" s="107"/>
      <c r="U905" s="107"/>
      <c r="V905" s="107"/>
      <c r="W905" s="107"/>
      <c r="X905" s="107"/>
      <c r="Y905" s="107"/>
      <c r="Z905" s="107"/>
      <c r="AA905" s="107"/>
      <c r="AB905" s="107"/>
      <c r="AC905" s="107"/>
      <c r="AD905" s="107"/>
    </row>
    <row r="906">
      <c r="A906" s="107"/>
      <c r="B906" s="107"/>
      <c r="C906" s="107"/>
      <c r="D906" s="107"/>
      <c r="E906" s="149"/>
      <c r="F906" s="137"/>
      <c r="G906" s="137"/>
      <c r="H906" s="137"/>
      <c r="I906" s="144"/>
      <c r="J906" s="107"/>
      <c r="K906" s="107"/>
      <c r="L906" s="107"/>
      <c r="M906" s="107"/>
      <c r="N906" s="107"/>
      <c r="O906" s="107"/>
      <c r="P906" s="107"/>
      <c r="Q906" s="107"/>
      <c r="R906" s="107"/>
      <c r="S906" s="107"/>
      <c r="T906" s="107"/>
      <c r="U906" s="107"/>
      <c r="V906" s="107"/>
      <c r="W906" s="107"/>
      <c r="X906" s="107"/>
      <c r="Y906" s="107"/>
      <c r="Z906" s="107"/>
      <c r="AA906" s="107"/>
      <c r="AB906" s="107"/>
      <c r="AC906" s="107"/>
      <c r="AD906" s="107"/>
    </row>
    <row r="907">
      <c r="A907" s="107"/>
      <c r="B907" s="107"/>
      <c r="C907" s="107"/>
      <c r="D907" s="107"/>
      <c r="E907" s="149"/>
      <c r="F907" s="137"/>
      <c r="G907" s="137"/>
      <c r="H907" s="137"/>
      <c r="I907" s="144"/>
      <c r="J907" s="107"/>
      <c r="K907" s="107"/>
      <c r="L907" s="107"/>
      <c r="M907" s="107"/>
      <c r="N907" s="107"/>
      <c r="O907" s="107"/>
      <c r="P907" s="107"/>
      <c r="Q907" s="107"/>
      <c r="R907" s="107"/>
      <c r="S907" s="107"/>
      <c r="T907" s="107"/>
      <c r="U907" s="107"/>
      <c r="V907" s="107"/>
      <c r="W907" s="107"/>
      <c r="X907" s="107"/>
      <c r="Y907" s="107"/>
      <c r="Z907" s="107"/>
      <c r="AA907" s="107"/>
      <c r="AB907" s="107"/>
      <c r="AC907" s="107"/>
      <c r="AD907" s="107"/>
    </row>
    <row r="908">
      <c r="A908" s="107"/>
      <c r="B908" s="107"/>
      <c r="C908" s="107"/>
      <c r="D908" s="107"/>
      <c r="E908" s="149"/>
      <c r="F908" s="137"/>
      <c r="G908" s="137"/>
      <c r="H908" s="137"/>
      <c r="I908" s="144"/>
      <c r="J908" s="107"/>
      <c r="K908" s="107"/>
      <c r="L908" s="107"/>
      <c r="M908" s="107"/>
      <c r="N908" s="107"/>
      <c r="O908" s="107"/>
      <c r="P908" s="107"/>
      <c r="Q908" s="107"/>
      <c r="R908" s="107"/>
      <c r="S908" s="107"/>
      <c r="T908" s="107"/>
      <c r="U908" s="107"/>
      <c r="V908" s="107"/>
      <c r="W908" s="107"/>
      <c r="X908" s="107"/>
      <c r="Y908" s="107"/>
      <c r="Z908" s="107"/>
      <c r="AA908" s="107"/>
      <c r="AB908" s="107"/>
      <c r="AC908" s="107"/>
      <c r="AD908" s="107"/>
    </row>
    <row r="909">
      <c r="A909" s="107"/>
      <c r="B909" s="107"/>
      <c r="C909" s="107"/>
      <c r="D909" s="107"/>
      <c r="E909" s="149"/>
      <c r="F909" s="137"/>
      <c r="G909" s="137"/>
      <c r="H909" s="137"/>
      <c r="I909" s="144"/>
      <c r="J909" s="107"/>
      <c r="K909" s="107"/>
      <c r="L909" s="107"/>
      <c r="M909" s="107"/>
      <c r="N909" s="107"/>
      <c r="O909" s="107"/>
      <c r="P909" s="107"/>
      <c r="Q909" s="107"/>
      <c r="R909" s="107"/>
      <c r="S909" s="107"/>
      <c r="T909" s="107"/>
      <c r="U909" s="107"/>
      <c r="V909" s="107"/>
      <c r="W909" s="107"/>
      <c r="X909" s="107"/>
      <c r="Y909" s="107"/>
      <c r="Z909" s="107"/>
      <c r="AA909" s="107"/>
      <c r="AB909" s="107"/>
      <c r="AC909" s="107"/>
      <c r="AD909" s="107"/>
    </row>
    <row r="910">
      <c r="A910" s="107"/>
      <c r="B910" s="107"/>
      <c r="C910" s="107"/>
      <c r="D910" s="107"/>
      <c r="E910" s="149"/>
      <c r="F910" s="137"/>
      <c r="G910" s="137"/>
      <c r="H910" s="137"/>
      <c r="I910" s="144"/>
      <c r="J910" s="107"/>
      <c r="K910" s="107"/>
      <c r="L910" s="107"/>
      <c r="M910" s="107"/>
      <c r="N910" s="107"/>
      <c r="O910" s="107"/>
      <c r="P910" s="107"/>
      <c r="Q910" s="107"/>
      <c r="R910" s="107"/>
      <c r="S910" s="107"/>
      <c r="T910" s="107"/>
      <c r="U910" s="107"/>
      <c r="V910" s="107"/>
      <c r="W910" s="107"/>
      <c r="X910" s="107"/>
      <c r="Y910" s="107"/>
      <c r="Z910" s="107"/>
      <c r="AA910" s="107"/>
      <c r="AB910" s="107"/>
      <c r="AC910" s="107"/>
      <c r="AD910" s="107"/>
    </row>
    <row r="911">
      <c r="A911" s="107"/>
      <c r="B911" s="107"/>
      <c r="C911" s="107"/>
      <c r="D911" s="107"/>
      <c r="E911" s="149"/>
      <c r="F911" s="137"/>
      <c r="G911" s="137"/>
      <c r="H911" s="137"/>
      <c r="I911" s="144"/>
      <c r="J911" s="107"/>
      <c r="K911" s="107"/>
      <c r="L911" s="107"/>
      <c r="M911" s="107"/>
      <c r="N911" s="107"/>
      <c r="O911" s="107"/>
      <c r="P911" s="107"/>
      <c r="Q911" s="107"/>
      <c r="R911" s="107"/>
      <c r="S911" s="107"/>
      <c r="T911" s="107"/>
      <c r="U911" s="107"/>
      <c r="V911" s="107"/>
      <c r="W911" s="107"/>
      <c r="X911" s="107"/>
      <c r="Y911" s="107"/>
      <c r="Z911" s="107"/>
      <c r="AA911" s="107"/>
      <c r="AB911" s="107"/>
      <c r="AC911" s="107"/>
      <c r="AD911" s="107"/>
    </row>
    <row r="912">
      <c r="A912" s="107"/>
      <c r="B912" s="107"/>
      <c r="C912" s="107"/>
      <c r="D912" s="107"/>
      <c r="E912" s="149"/>
      <c r="F912" s="137"/>
      <c r="G912" s="137"/>
      <c r="H912" s="137"/>
      <c r="I912" s="144"/>
      <c r="J912" s="107"/>
      <c r="K912" s="107"/>
      <c r="L912" s="107"/>
      <c r="M912" s="107"/>
      <c r="N912" s="107"/>
      <c r="O912" s="107"/>
      <c r="P912" s="107"/>
      <c r="Q912" s="107"/>
      <c r="R912" s="107"/>
      <c r="S912" s="107"/>
      <c r="T912" s="107"/>
      <c r="U912" s="107"/>
      <c r="V912" s="107"/>
      <c r="W912" s="107"/>
      <c r="X912" s="107"/>
      <c r="Y912" s="107"/>
      <c r="Z912" s="107"/>
      <c r="AA912" s="107"/>
      <c r="AB912" s="107"/>
      <c r="AC912" s="107"/>
      <c r="AD912" s="107"/>
    </row>
    <row r="913">
      <c r="A913" s="107"/>
      <c r="B913" s="107"/>
      <c r="C913" s="107"/>
      <c r="D913" s="107"/>
      <c r="E913" s="149"/>
      <c r="F913" s="137"/>
      <c r="G913" s="137"/>
      <c r="H913" s="137"/>
      <c r="I913" s="144"/>
      <c r="J913" s="107"/>
      <c r="K913" s="107"/>
      <c r="L913" s="107"/>
      <c r="M913" s="107"/>
      <c r="N913" s="107"/>
      <c r="O913" s="107"/>
      <c r="P913" s="107"/>
      <c r="Q913" s="107"/>
      <c r="R913" s="107"/>
      <c r="S913" s="107"/>
      <c r="T913" s="107"/>
      <c r="U913" s="107"/>
      <c r="V913" s="107"/>
      <c r="W913" s="107"/>
      <c r="X913" s="107"/>
      <c r="Y913" s="107"/>
      <c r="Z913" s="107"/>
      <c r="AA913" s="107"/>
      <c r="AB913" s="107"/>
      <c r="AC913" s="107"/>
      <c r="AD913" s="107"/>
    </row>
    <row r="914">
      <c r="A914" s="107"/>
      <c r="B914" s="107"/>
      <c r="C914" s="107"/>
      <c r="D914" s="107"/>
      <c r="E914" s="149"/>
      <c r="F914" s="137"/>
      <c r="G914" s="137"/>
      <c r="H914" s="137"/>
      <c r="I914" s="144"/>
      <c r="J914" s="107"/>
      <c r="K914" s="107"/>
      <c r="L914" s="107"/>
      <c r="M914" s="107"/>
      <c r="N914" s="107"/>
      <c r="O914" s="107"/>
      <c r="P914" s="107"/>
      <c r="Q914" s="107"/>
      <c r="R914" s="107"/>
      <c r="S914" s="107"/>
      <c r="T914" s="107"/>
      <c r="U914" s="107"/>
      <c r="V914" s="107"/>
      <c r="W914" s="107"/>
      <c r="X914" s="107"/>
      <c r="Y914" s="107"/>
      <c r="Z914" s="107"/>
      <c r="AA914" s="107"/>
      <c r="AB914" s="107"/>
      <c r="AC914" s="107"/>
      <c r="AD914" s="107"/>
    </row>
    <row r="915">
      <c r="A915" s="107"/>
      <c r="B915" s="107"/>
      <c r="C915" s="107"/>
      <c r="D915" s="107"/>
      <c r="E915" s="149"/>
      <c r="F915" s="137"/>
      <c r="G915" s="137"/>
      <c r="H915" s="137"/>
      <c r="I915" s="144"/>
      <c r="J915" s="107"/>
      <c r="K915" s="107"/>
      <c r="L915" s="107"/>
      <c r="M915" s="107"/>
      <c r="N915" s="107"/>
      <c r="O915" s="107"/>
      <c r="P915" s="107"/>
      <c r="Q915" s="107"/>
      <c r="R915" s="107"/>
      <c r="S915" s="107"/>
      <c r="T915" s="107"/>
      <c r="U915" s="107"/>
      <c r="V915" s="107"/>
      <c r="W915" s="107"/>
      <c r="X915" s="107"/>
      <c r="Y915" s="107"/>
      <c r="Z915" s="107"/>
      <c r="AA915" s="107"/>
      <c r="AB915" s="107"/>
      <c r="AC915" s="107"/>
      <c r="AD915" s="107"/>
    </row>
    <row r="916">
      <c r="A916" s="107"/>
      <c r="B916" s="107"/>
      <c r="C916" s="107"/>
      <c r="D916" s="107"/>
      <c r="E916" s="149"/>
      <c r="F916" s="137"/>
      <c r="G916" s="137"/>
      <c r="H916" s="137"/>
      <c r="I916" s="144"/>
      <c r="J916" s="107"/>
      <c r="K916" s="107"/>
      <c r="L916" s="107"/>
      <c r="M916" s="107"/>
      <c r="N916" s="107"/>
      <c r="O916" s="107"/>
      <c r="P916" s="107"/>
      <c r="Q916" s="107"/>
      <c r="R916" s="107"/>
      <c r="S916" s="107"/>
      <c r="T916" s="107"/>
      <c r="U916" s="107"/>
      <c r="V916" s="107"/>
      <c r="W916" s="107"/>
      <c r="X916" s="107"/>
      <c r="Y916" s="107"/>
      <c r="Z916" s="107"/>
      <c r="AA916" s="107"/>
      <c r="AB916" s="107"/>
      <c r="AC916" s="107"/>
      <c r="AD916" s="107"/>
    </row>
    <row r="917">
      <c r="A917" s="107"/>
      <c r="B917" s="107"/>
      <c r="C917" s="107"/>
      <c r="D917" s="107"/>
      <c r="E917" s="149"/>
      <c r="F917" s="137"/>
      <c r="G917" s="137"/>
      <c r="H917" s="137"/>
      <c r="I917" s="144"/>
      <c r="J917" s="107"/>
      <c r="K917" s="107"/>
      <c r="L917" s="107"/>
      <c r="M917" s="107"/>
      <c r="N917" s="107"/>
      <c r="O917" s="107"/>
      <c r="P917" s="107"/>
      <c r="Q917" s="107"/>
      <c r="R917" s="107"/>
      <c r="S917" s="107"/>
      <c r="T917" s="107"/>
      <c r="U917" s="107"/>
      <c r="V917" s="107"/>
      <c r="W917" s="107"/>
      <c r="X917" s="107"/>
      <c r="Y917" s="107"/>
      <c r="Z917" s="107"/>
      <c r="AA917" s="107"/>
      <c r="AB917" s="107"/>
      <c r="AC917" s="107"/>
      <c r="AD917" s="107"/>
    </row>
    <row r="918">
      <c r="A918" s="107"/>
      <c r="B918" s="107"/>
      <c r="C918" s="107"/>
      <c r="D918" s="107"/>
      <c r="E918" s="149"/>
      <c r="F918" s="137"/>
      <c r="G918" s="137"/>
      <c r="H918" s="137"/>
      <c r="I918" s="144"/>
      <c r="J918" s="107"/>
      <c r="K918" s="107"/>
      <c r="L918" s="107"/>
      <c r="M918" s="107"/>
      <c r="N918" s="107"/>
      <c r="O918" s="107"/>
      <c r="P918" s="107"/>
      <c r="Q918" s="107"/>
      <c r="R918" s="107"/>
      <c r="S918" s="107"/>
      <c r="T918" s="107"/>
      <c r="U918" s="107"/>
      <c r="V918" s="107"/>
      <c r="W918" s="107"/>
      <c r="X918" s="107"/>
      <c r="Y918" s="107"/>
      <c r="Z918" s="107"/>
      <c r="AA918" s="107"/>
      <c r="AB918" s="107"/>
      <c r="AC918" s="107"/>
      <c r="AD918" s="107"/>
    </row>
    <row r="919">
      <c r="A919" s="107"/>
      <c r="B919" s="107"/>
      <c r="C919" s="107"/>
      <c r="D919" s="107"/>
      <c r="E919" s="149"/>
      <c r="F919" s="137"/>
      <c r="G919" s="137"/>
      <c r="H919" s="137"/>
      <c r="I919" s="144"/>
      <c r="J919" s="107"/>
      <c r="K919" s="107"/>
      <c r="L919" s="107"/>
      <c r="M919" s="107"/>
      <c r="N919" s="107"/>
      <c r="O919" s="107"/>
      <c r="P919" s="107"/>
      <c r="Q919" s="107"/>
      <c r="R919" s="107"/>
      <c r="S919" s="107"/>
      <c r="T919" s="107"/>
      <c r="U919" s="107"/>
      <c r="V919" s="107"/>
      <c r="W919" s="107"/>
      <c r="X919" s="107"/>
      <c r="Y919" s="107"/>
      <c r="Z919" s="107"/>
      <c r="AA919" s="107"/>
      <c r="AB919" s="107"/>
      <c r="AC919" s="107"/>
      <c r="AD919" s="107"/>
    </row>
    <row r="920">
      <c r="A920" s="107"/>
      <c r="B920" s="107"/>
      <c r="C920" s="107"/>
      <c r="D920" s="107"/>
      <c r="E920" s="149"/>
      <c r="F920" s="137"/>
      <c r="G920" s="137"/>
      <c r="H920" s="137"/>
      <c r="I920" s="144"/>
      <c r="J920" s="107"/>
      <c r="K920" s="107"/>
      <c r="L920" s="107"/>
      <c r="M920" s="107"/>
      <c r="N920" s="107"/>
      <c r="O920" s="107"/>
      <c r="P920" s="107"/>
      <c r="Q920" s="107"/>
      <c r="R920" s="107"/>
      <c r="S920" s="107"/>
      <c r="T920" s="107"/>
      <c r="U920" s="107"/>
      <c r="V920" s="107"/>
      <c r="W920" s="107"/>
      <c r="X920" s="107"/>
      <c r="Y920" s="107"/>
      <c r="Z920" s="107"/>
      <c r="AA920" s="107"/>
      <c r="AB920" s="107"/>
      <c r="AC920" s="107"/>
      <c r="AD920" s="107"/>
    </row>
    <row r="921">
      <c r="A921" s="107"/>
      <c r="B921" s="107"/>
      <c r="C921" s="107"/>
      <c r="D921" s="107"/>
      <c r="E921" s="149"/>
      <c r="F921" s="137"/>
      <c r="G921" s="137"/>
      <c r="H921" s="137"/>
      <c r="I921" s="144"/>
      <c r="J921" s="107"/>
      <c r="K921" s="107"/>
      <c r="L921" s="107"/>
      <c r="M921" s="107"/>
      <c r="N921" s="107"/>
      <c r="O921" s="107"/>
      <c r="P921" s="107"/>
      <c r="Q921" s="107"/>
      <c r="R921" s="107"/>
      <c r="S921" s="107"/>
      <c r="T921" s="107"/>
      <c r="U921" s="107"/>
      <c r="V921" s="107"/>
      <c r="W921" s="107"/>
      <c r="X921" s="107"/>
      <c r="Y921" s="107"/>
      <c r="Z921" s="107"/>
      <c r="AA921" s="107"/>
      <c r="AB921" s="107"/>
      <c r="AC921" s="107"/>
      <c r="AD921" s="107"/>
    </row>
    <row r="922">
      <c r="A922" s="107"/>
      <c r="B922" s="107"/>
      <c r="C922" s="107"/>
      <c r="D922" s="107"/>
      <c r="E922" s="149"/>
      <c r="F922" s="137"/>
      <c r="G922" s="137"/>
      <c r="H922" s="137"/>
      <c r="I922" s="144"/>
      <c r="J922" s="107"/>
      <c r="K922" s="107"/>
      <c r="L922" s="107"/>
      <c r="M922" s="107"/>
      <c r="N922" s="107"/>
      <c r="O922" s="107"/>
      <c r="P922" s="107"/>
      <c r="Q922" s="107"/>
      <c r="R922" s="107"/>
      <c r="S922" s="107"/>
      <c r="T922" s="107"/>
      <c r="U922" s="107"/>
      <c r="V922" s="107"/>
      <c r="W922" s="107"/>
      <c r="X922" s="107"/>
      <c r="Y922" s="107"/>
      <c r="Z922" s="107"/>
      <c r="AA922" s="107"/>
      <c r="AB922" s="107"/>
      <c r="AC922" s="107"/>
      <c r="AD922" s="107"/>
    </row>
    <row r="923">
      <c r="A923" s="107"/>
      <c r="B923" s="107"/>
      <c r="C923" s="107"/>
      <c r="D923" s="107"/>
      <c r="E923" s="149"/>
      <c r="F923" s="137"/>
      <c r="G923" s="137"/>
      <c r="H923" s="137"/>
      <c r="I923" s="144"/>
      <c r="J923" s="107"/>
      <c r="K923" s="107"/>
      <c r="L923" s="107"/>
      <c r="M923" s="107"/>
      <c r="N923" s="107"/>
      <c r="O923" s="107"/>
      <c r="P923" s="107"/>
      <c r="Q923" s="107"/>
      <c r="R923" s="107"/>
      <c r="S923" s="107"/>
      <c r="T923" s="107"/>
      <c r="U923" s="107"/>
      <c r="V923" s="107"/>
      <c r="W923" s="107"/>
      <c r="X923" s="107"/>
      <c r="Y923" s="107"/>
      <c r="Z923" s="107"/>
      <c r="AA923" s="107"/>
      <c r="AB923" s="107"/>
      <c r="AC923" s="107"/>
      <c r="AD923" s="107"/>
    </row>
    <row r="924">
      <c r="A924" s="107"/>
      <c r="B924" s="107"/>
      <c r="C924" s="107"/>
      <c r="D924" s="107"/>
      <c r="E924" s="149"/>
      <c r="F924" s="137"/>
      <c r="G924" s="137"/>
      <c r="H924" s="137"/>
      <c r="I924" s="144"/>
      <c r="J924" s="107"/>
      <c r="K924" s="107"/>
      <c r="L924" s="107"/>
      <c r="M924" s="107"/>
      <c r="N924" s="107"/>
      <c r="O924" s="107"/>
      <c r="P924" s="107"/>
      <c r="Q924" s="107"/>
      <c r="R924" s="107"/>
      <c r="S924" s="107"/>
      <c r="T924" s="107"/>
      <c r="U924" s="107"/>
      <c r="V924" s="107"/>
      <c r="W924" s="107"/>
      <c r="X924" s="107"/>
      <c r="Y924" s="107"/>
      <c r="Z924" s="107"/>
      <c r="AA924" s="107"/>
      <c r="AB924" s="107"/>
      <c r="AC924" s="107"/>
      <c r="AD924" s="107"/>
    </row>
    <row r="925">
      <c r="A925" s="107"/>
      <c r="B925" s="107"/>
      <c r="C925" s="107"/>
      <c r="D925" s="107"/>
      <c r="E925" s="149"/>
      <c r="F925" s="137"/>
      <c r="G925" s="137"/>
      <c r="H925" s="137"/>
      <c r="I925" s="144"/>
      <c r="J925" s="107"/>
      <c r="K925" s="107"/>
      <c r="L925" s="107"/>
      <c r="M925" s="107"/>
      <c r="N925" s="107"/>
      <c r="O925" s="107"/>
      <c r="P925" s="107"/>
      <c r="Q925" s="107"/>
      <c r="R925" s="107"/>
      <c r="S925" s="107"/>
      <c r="T925" s="107"/>
      <c r="U925" s="107"/>
      <c r="V925" s="107"/>
      <c r="W925" s="107"/>
      <c r="X925" s="107"/>
      <c r="Y925" s="107"/>
      <c r="Z925" s="107"/>
      <c r="AA925" s="107"/>
      <c r="AB925" s="107"/>
      <c r="AC925" s="107"/>
      <c r="AD925" s="107"/>
    </row>
    <row r="926">
      <c r="A926" s="107"/>
      <c r="B926" s="107"/>
      <c r="C926" s="107"/>
      <c r="D926" s="107"/>
      <c r="E926" s="149"/>
      <c r="F926" s="137"/>
      <c r="G926" s="137"/>
      <c r="H926" s="137"/>
      <c r="I926" s="144"/>
      <c r="J926" s="107"/>
      <c r="K926" s="107"/>
      <c r="L926" s="107"/>
      <c r="M926" s="107"/>
      <c r="N926" s="107"/>
      <c r="O926" s="107"/>
      <c r="P926" s="107"/>
      <c r="Q926" s="107"/>
      <c r="R926" s="107"/>
      <c r="S926" s="107"/>
      <c r="T926" s="107"/>
      <c r="U926" s="107"/>
      <c r="V926" s="107"/>
      <c r="W926" s="107"/>
      <c r="X926" s="107"/>
      <c r="Y926" s="107"/>
      <c r="Z926" s="107"/>
      <c r="AA926" s="107"/>
      <c r="AB926" s="107"/>
      <c r="AC926" s="107"/>
      <c r="AD926" s="107"/>
    </row>
    <row r="927">
      <c r="A927" s="107"/>
      <c r="B927" s="107"/>
      <c r="C927" s="107"/>
      <c r="D927" s="107"/>
      <c r="E927" s="149"/>
      <c r="F927" s="137"/>
      <c r="G927" s="137"/>
      <c r="H927" s="137"/>
      <c r="I927" s="144"/>
      <c r="J927" s="107"/>
      <c r="K927" s="107"/>
      <c r="L927" s="107"/>
      <c r="M927" s="107"/>
      <c r="N927" s="107"/>
      <c r="O927" s="107"/>
      <c r="P927" s="107"/>
      <c r="Q927" s="107"/>
      <c r="R927" s="107"/>
      <c r="S927" s="107"/>
      <c r="T927" s="107"/>
      <c r="U927" s="107"/>
      <c r="V927" s="107"/>
      <c r="W927" s="107"/>
      <c r="X927" s="107"/>
      <c r="Y927" s="107"/>
      <c r="Z927" s="107"/>
      <c r="AA927" s="107"/>
      <c r="AB927" s="107"/>
      <c r="AC927" s="107"/>
      <c r="AD927" s="107"/>
    </row>
    <row r="928">
      <c r="A928" s="107"/>
      <c r="B928" s="107"/>
      <c r="C928" s="107"/>
      <c r="D928" s="107"/>
      <c r="E928" s="149"/>
      <c r="F928" s="137"/>
      <c r="G928" s="137"/>
      <c r="H928" s="137"/>
      <c r="I928" s="144"/>
      <c r="J928" s="107"/>
      <c r="K928" s="107"/>
      <c r="L928" s="107"/>
      <c r="M928" s="107"/>
      <c r="N928" s="107"/>
      <c r="O928" s="107"/>
      <c r="P928" s="107"/>
      <c r="Q928" s="107"/>
      <c r="R928" s="107"/>
      <c r="S928" s="107"/>
      <c r="T928" s="107"/>
      <c r="U928" s="107"/>
      <c r="V928" s="107"/>
      <c r="W928" s="107"/>
      <c r="X928" s="107"/>
      <c r="Y928" s="107"/>
      <c r="Z928" s="107"/>
      <c r="AA928" s="107"/>
      <c r="AB928" s="107"/>
      <c r="AC928" s="107"/>
      <c r="AD928" s="107"/>
    </row>
    <row r="929">
      <c r="A929" s="107"/>
      <c r="B929" s="107"/>
      <c r="C929" s="107"/>
      <c r="D929" s="107"/>
      <c r="E929" s="149"/>
      <c r="F929" s="137"/>
      <c r="G929" s="137"/>
      <c r="H929" s="137"/>
      <c r="I929" s="144"/>
      <c r="J929" s="107"/>
      <c r="K929" s="107"/>
      <c r="L929" s="107"/>
      <c r="M929" s="107"/>
      <c r="N929" s="107"/>
      <c r="O929" s="107"/>
      <c r="P929" s="107"/>
      <c r="Q929" s="107"/>
      <c r="R929" s="107"/>
      <c r="S929" s="107"/>
      <c r="T929" s="107"/>
      <c r="U929" s="107"/>
      <c r="V929" s="107"/>
      <c r="W929" s="107"/>
      <c r="X929" s="107"/>
      <c r="Y929" s="107"/>
      <c r="Z929" s="107"/>
      <c r="AA929" s="107"/>
      <c r="AB929" s="107"/>
      <c r="AC929" s="107"/>
      <c r="AD929" s="107"/>
    </row>
    <row r="930">
      <c r="A930" s="107"/>
      <c r="B930" s="107"/>
      <c r="C930" s="107"/>
      <c r="D930" s="107"/>
      <c r="E930" s="149"/>
      <c r="F930" s="137"/>
      <c r="G930" s="137"/>
      <c r="H930" s="137"/>
      <c r="I930" s="144"/>
      <c r="J930" s="107"/>
      <c r="K930" s="107"/>
      <c r="L930" s="107"/>
      <c r="M930" s="107"/>
      <c r="N930" s="107"/>
      <c r="O930" s="107"/>
      <c r="P930" s="107"/>
      <c r="Q930" s="107"/>
      <c r="R930" s="107"/>
      <c r="S930" s="107"/>
      <c r="T930" s="107"/>
      <c r="U930" s="107"/>
      <c r="V930" s="107"/>
      <c r="W930" s="107"/>
      <c r="X930" s="107"/>
      <c r="Y930" s="107"/>
      <c r="Z930" s="107"/>
      <c r="AA930" s="107"/>
      <c r="AB930" s="107"/>
      <c r="AC930" s="107"/>
      <c r="AD930" s="107"/>
    </row>
    <row r="931">
      <c r="A931" s="107"/>
      <c r="B931" s="107"/>
      <c r="C931" s="107"/>
      <c r="D931" s="107"/>
      <c r="E931" s="149"/>
      <c r="F931" s="137"/>
      <c r="G931" s="137"/>
      <c r="H931" s="137"/>
      <c r="I931" s="144"/>
      <c r="J931" s="107"/>
      <c r="K931" s="107"/>
      <c r="L931" s="107"/>
      <c r="M931" s="107"/>
      <c r="N931" s="107"/>
      <c r="O931" s="107"/>
      <c r="P931" s="107"/>
      <c r="Q931" s="107"/>
      <c r="R931" s="107"/>
      <c r="S931" s="107"/>
      <c r="T931" s="107"/>
      <c r="U931" s="107"/>
      <c r="V931" s="107"/>
      <c r="W931" s="107"/>
      <c r="X931" s="107"/>
      <c r="Y931" s="107"/>
      <c r="Z931" s="107"/>
      <c r="AA931" s="107"/>
      <c r="AB931" s="107"/>
      <c r="AC931" s="107"/>
      <c r="AD931" s="107"/>
    </row>
    <row r="932">
      <c r="A932" s="107"/>
      <c r="B932" s="107"/>
      <c r="C932" s="107"/>
      <c r="D932" s="107"/>
      <c r="E932" s="149"/>
      <c r="F932" s="137"/>
      <c r="G932" s="137"/>
      <c r="H932" s="137"/>
      <c r="I932" s="144"/>
      <c r="J932" s="107"/>
      <c r="K932" s="107"/>
      <c r="L932" s="107"/>
      <c r="M932" s="107"/>
      <c r="N932" s="107"/>
      <c r="O932" s="107"/>
      <c r="P932" s="107"/>
      <c r="Q932" s="107"/>
      <c r="R932" s="107"/>
      <c r="S932" s="107"/>
      <c r="T932" s="107"/>
      <c r="U932" s="107"/>
      <c r="V932" s="107"/>
      <c r="W932" s="107"/>
      <c r="X932" s="107"/>
      <c r="Y932" s="107"/>
      <c r="Z932" s="107"/>
      <c r="AA932" s="107"/>
      <c r="AB932" s="107"/>
      <c r="AC932" s="107"/>
      <c r="AD932" s="107"/>
    </row>
    <row r="933">
      <c r="A933" s="107"/>
      <c r="B933" s="107"/>
      <c r="C933" s="107"/>
      <c r="D933" s="107"/>
      <c r="E933" s="149"/>
      <c r="F933" s="137"/>
      <c r="G933" s="137"/>
      <c r="H933" s="137"/>
      <c r="I933" s="144"/>
      <c r="J933" s="107"/>
      <c r="K933" s="107"/>
      <c r="L933" s="107"/>
      <c r="M933" s="107"/>
      <c r="N933" s="107"/>
      <c r="O933" s="107"/>
      <c r="P933" s="107"/>
      <c r="Q933" s="107"/>
      <c r="R933" s="107"/>
      <c r="S933" s="107"/>
      <c r="T933" s="107"/>
      <c r="U933" s="107"/>
      <c r="V933" s="107"/>
      <c r="W933" s="107"/>
      <c r="X933" s="107"/>
      <c r="Y933" s="107"/>
      <c r="Z933" s="107"/>
      <c r="AA933" s="107"/>
      <c r="AB933" s="107"/>
      <c r="AC933" s="107"/>
      <c r="AD933" s="107"/>
    </row>
  </sheetData>
  <mergeCells count="661">
    <mergeCell ref="C23:D23"/>
    <mergeCell ref="C24:D24"/>
    <mergeCell ref="C16:D16"/>
    <mergeCell ref="C17:D17"/>
    <mergeCell ref="C18:D18"/>
    <mergeCell ref="C19:D19"/>
    <mergeCell ref="C20:D20"/>
    <mergeCell ref="C21:D21"/>
    <mergeCell ref="C22:D22"/>
    <mergeCell ref="C25:D25"/>
    <mergeCell ref="C26:D26"/>
    <mergeCell ref="C27:D27"/>
    <mergeCell ref="C28:D28"/>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195:D195"/>
    <mergeCell ref="C196:D196"/>
    <mergeCell ref="C179:D179"/>
    <mergeCell ref="C180:D180"/>
    <mergeCell ref="C181:D181"/>
    <mergeCell ref="C192:D192"/>
    <mergeCell ref="C193:D193"/>
    <mergeCell ref="C178:D178"/>
    <mergeCell ref="C194:D194"/>
    <mergeCell ref="C204:D204"/>
    <mergeCell ref="C205:D205"/>
    <mergeCell ref="C197:D197"/>
    <mergeCell ref="C198:D198"/>
    <mergeCell ref="C199:D199"/>
    <mergeCell ref="C200:D200"/>
    <mergeCell ref="C201:D201"/>
    <mergeCell ref="C202:D202"/>
    <mergeCell ref="C203:D203"/>
    <mergeCell ref="E2:E10"/>
    <mergeCell ref="E11:E16"/>
    <mergeCell ref="E17:E20"/>
    <mergeCell ref="E21:E29"/>
    <mergeCell ref="E32:E40"/>
    <mergeCell ref="E41:E43"/>
    <mergeCell ref="E44:E47"/>
    <mergeCell ref="E148:E150"/>
    <mergeCell ref="E153:E155"/>
    <mergeCell ref="E156:E162"/>
    <mergeCell ref="E163:E167"/>
    <mergeCell ref="E168:E175"/>
    <mergeCell ref="E176:E177"/>
    <mergeCell ref="E178:E180"/>
    <mergeCell ref="C2:D2"/>
    <mergeCell ref="C3:D3"/>
    <mergeCell ref="C4:D4"/>
    <mergeCell ref="C5:D5"/>
    <mergeCell ref="C6:D6"/>
    <mergeCell ref="C7:D7"/>
    <mergeCell ref="C8:D8"/>
    <mergeCell ref="C9:D9"/>
    <mergeCell ref="C10:D10"/>
    <mergeCell ref="C11:D11"/>
    <mergeCell ref="C12:D12"/>
    <mergeCell ref="C13:D13"/>
    <mergeCell ref="C14:D14"/>
    <mergeCell ref="C15:D15"/>
    <mergeCell ref="E48:E80"/>
    <mergeCell ref="E81:E88"/>
    <mergeCell ref="E89:E92"/>
    <mergeCell ref="E93:E98"/>
    <mergeCell ref="E99:E108"/>
    <mergeCell ref="E109:E111"/>
    <mergeCell ref="E112:E114"/>
    <mergeCell ref="E115:E117"/>
    <mergeCell ref="E118:E128"/>
    <mergeCell ref="E129:E131"/>
    <mergeCell ref="E132:E133"/>
    <mergeCell ref="E134:E139"/>
    <mergeCell ref="E140:E142"/>
    <mergeCell ref="E143:E147"/>
    <mergeCell ref="C206:D206"/>
    <mergeCell ref="C207:D207"/>
    <mergeCell ref="C208:D208"/>
    <mergeCell ref="C209:D209"/>
    <mergeCell ref="E181:E182"/>
    <mergeCell ref="E183:E185"/>
    <mergeCell ref="E187:E188"/>
    <mergeCell ref="E189:E196"/>
    <mergeCell ref="E197:E199"/>
    <mergeCell ref="E200:E203"/>
    <mergeCell ref="E204:E209"/>
    <mergeCell ref="C98:D98"/>
    <mergeCell ref="C99:D99"/>
    <mergeCell ref="C91:D91"/>
    <mergeCell ref="C92:D92"/>
    <mergeCell ref="C93:D93"/>
    <mergeCell ref="C94:D94"/>
    <mergeCell ref="C95:D95"/>
    <mergeCell ref="C96:D96"/>
    <mergeCell ref="C97:D97"/>
    <mergeCell ref="C107:D107"/>
    <mergeCell ref="C108:D108"/>
    <mergeCell ref="C100:D100"/>
    <mergeCell ref="C101:D101"/>
    <mergeCell ref="C102:D102"/>
    <mergeCell ref="C103:D103"/>
    <mergeCell ref="C104:D104"/>
    <mergeCell ref="C105:D105"/>
    <mergeCell ref="C106:D106"/>
    <mergeCell ref="C116:D116"/>
    <mergeCell ref="C117:D117"/>
    <mergeCell ref="C109:D109"/>
    <mergeCell ref="C110:D110"/>
    <mergeCell ref="C111:D111"/>
    <mergeCell ref="C112:D112"/>
    <mergeCell ref="C113:D113"/>
    <mergeCell ref="C114:D114"/>
    <mergeCell ref="C115:D115"/>
    <mergeCell ref="C125:D125"/>
    <mergeCell ref="C126:D126"/>
    <mergeCell ref="C118:D118"/>
    <mergeCell ref="C119:D119"/>
    <mergeCell ref="C120:D120"/>
    <mergeCell ref="C121:D121"/>
    <mergeCell ref="C122:D122"/>
    <mergeCell ref="C123:D123"/>
    <mergeCell ref="C124:D124"/>
    <mergeCell ref="C134:D134"/>
    <mergeCell ref="C135:D135"/>
    <mergeCell ref="C127:D127"/>
    <mergeCell ref="C128:D128"/>
    <mergeCell ref="C129:D129"/>
    <mergeCell ref="C130:D130"/>
    <mergeCell ref="C131:D131"/>
    <mergeCell ref="C132:D132"/>
    <mergeCell ref="C133:D133"/>
    <mergeCell ref="C143:D143"/>
    <mergeCell ref="C144:D144"/>
    <mergeCell ref="C136:D136"/>
    <mergeCell ref="C137:D137"/>
    <mergeCell ref="C138:D138"/>
    <mergeCell ref="C139:D139"/>
    <mergeCell ref="C140:D140"/>
    <mergeCell ref="C141:D141"/>
    <mergeCell ref="C142:D142"/>
    <mergeCell ref="C152:D152"/>
    <mergeCell ref="C153:D153"/>
    <mergeCell ref="C145:D145"/>
    <mergeCell ref="C146:D146"/>
    <mergeCell ref="C147:D147"/>
    <mergeCell ref="C148:D148"/>
    <mergeCell ref="C149:D149"/>
    <mergeCell ref="C150:D150"/>
    <mergeCell ref="C151:D151"/>
    <mergeCell ref="C166:D166"/>
    <mergeCell ref="C167:D167"/>
    <mergeCell ref="C29:D29"/>
    <mergeCell ref="C30:D30"/>
    <mergeCell ref="C31:D31"/>
    <mergeCell ref="C217:D217"/>
    <mergeCell ref="C218:D218"/>
    <mergeCell ref="C210:D210"/>
    <mergeCell ref="C211:D211"/>
    <mergeCell ref="C212:D212"/>
    <mergeCell ref="C213:D213"/>
    <mergeCell ref="C214:D214"/>
    <mergeCell ref="C215:D215"/>
    <mergeCell ref="C216:D216"/>
    <mergeCell ref="C226:D226"/>
    <mergeCell ref="C227:D227"/>
    <mergeCell ref="C219:D219"/>
    <mergeCell ref="C220:D220"/>
    <mergeCell ref="C221:D221"/>
    <mergeCell ref="C222:D222"/>
    <mergeCell ref="C223:D223"/>
    <mergeCell ref="C224:D224"/>
    <mergeCell ref="C225:D225"/>
    <mergeCell ref="C246:D246"/>
    <mergeCell ref="C247:D247"/>
    <mergeCell ref="C228:D228"/>
    <mergeCell ref="C229:D229"/>
    <mergeCell ref="C230:D230"/>
    <mergeCell ref="C231:D231"/>
    <mergeCell ref="C243:D243"/>
    <mergeCell ref="C244:D244"/>
    <mergeCell ref="C245:D245"/>
    <mergeCell ref="C256:D256"/>
    <mergeCell ref="C259:D259"/>
    <mergeCell ref="C260:D260"/>
    <mergeCell ref="C234:D234"/>
    <mergeCell ref="C235:D235"/>
    <mergeCell ref="C236:D236"/>
    <mergeCell ref="C237:D237"/>
    <mergeCell ref="C238:D238"/>
    <mergeCell ref="C241:D241"/>
    <mergeCell ref="C242:D242"/>
    <mergeCell ref="C257:D257"/>
    <mergeCell ref="C258:D258"/>
    <mergeCell ref="C250:D250"/>
    <mergeCell ref="C251:D251"/>
    <mergeCell ref="C252:D252"/>
    <mergeCell ref="C253:D253"/>
    <mergeCell ref="C254:D254"/>
    <mergeCell ref="C255:D255"/>
    <mergeCell ref="C248:D248"/>
    <mergeCell ref="C249:D249"/>
    <mergeCell ref="C261:D261"/>
    <mergeCell ref="C277:D277"/>
    <mergeCell ref="C438:D438"/>
    <mergeCell ref="C439:D439"/>
    <mergeCell ref="C477:D477"/>
    <mergeCell ref="C478:D478"/>
    <mergeCell ref="C480:D480"/>
    <mergeCell ref="C481:D481"/>
    <mergeCell ref="C484:D484"/>
    <mergeCell ref="C485:D485"/>
    <mergeCell ref="C488:D488"/>
    <mergeCell ref="C489:D489"/>
    <mergeCell ref="C392:D392"/>
    <mergeCell ref="C393:D393"/>
    <mergeCell ref="C479:D479"/>
    <mergeCell ref="C270:D270"/>
    <mergeCell ref="C271:D271"/>
    <mergeCell ref="C272:D272"/>
    <mergeCell ref="C273:D273"/>
    <mergeCell ref="C265:D265"/>
    <mergeCell ref="C262:D262"/>
    <mergeCell ref="C263:D263"/>
    <mergeCell ref="C264:D264"/>
    <mergeCell ref="C275:D275"/>
    <mergeCell ref="C276:D276"/>
    <mergeCell ref="C266:D266"/>
    <mergeCell ref="C267:D267"/>
    <mergeCell ref="C268:D268"/>
    <mergeCell ref="C269:D269"/>
    <mergeCell ref="C274:D274"/>
    <mergeCell ref="C316:D316"/>
    <mergeCell ref="C545:D545"/>
    <mergeCell ref="C546:D546"/>
    <mergeCell ref="C490:D490"/>
    <mergeCell ref="C491:D491"/>
    <mergeCell ref="C492:D492"/>
    <mergeCell ref="C493:D493"/>
    <mergeCell ref="C394:D394"/>
    <mergeCell ref="C395:D395"/>
    <mergeCell ref="C412:D412"/>
    <mergeCell ref="C413:D413"/>
    <mergeCell ref="C414:D414"/>
    <mergeCell ref="C415:D415"/>
    <mergeCell ref="C416:D416"/>
    <mergeCell ref="C549:D549"/>
    <mergeCell ref="C558:D558"/>
    <mergeCell ref="C555:D555"/>
    <mergeCell ref="C556:D556"/>
    <mergeCell ref="C557:D557"/>
    <mergeCell ref="C550:D550"/>
    <mergeCell ref="C551:D551"/>
    <mergeCell ref="C533:D533"/>
    <mergeCell ref="C534:D534"/>
    <mergeCell ref="C535:D535"/>
    <mergeCell ref="C541:D541"/>
    <mergeCell ref="C569:D569"/>
    <mergeCell ref="C570:D570"/>
    <mergeCell ref="C530:D530"/>
    <mergeCell ref="C531:D531"/>
    <mergeCell ref="C532:D532"/>
    <mergeCell ref="C547:D547"/>
    <mergeCell ref="C563:D563"/>
    <mergeCell ref="C542:D542"/>
    <mergeCell ref="C553:D553"/>
    <mergeCell ref="C554:D554"/>
    <mergeCell ref="C567:D567"/>
    <mergeCell ref="C564:D564"/>
    <mergeCell ref="C561:D561"/>
    <mergeCell ref="C562:D562"/>
    <mergeCell ref="C559:D559"/>
    <mergeCell ref="C560:D560"/>
    <mergeCell ref="C552:D552"/>
    <mergeCell ref="C519:D519"/>
    <mergeCell ref="C520:D520"/>
    <mergeCell ref="C512:D512"/>
    <mergeCell ref="C513:D513"/>
    <mergeCell ref="C514:D514"/>
    <mergeCell ref="C515:D515"/>
    <mergeCell ref="C516:D516"/>
    <mergeCell ref="C517:D517"/>
    <mergeCell ref="C526:D526"/>
    <mergeCell ref="C527:D527"/>
    <mergeCell ref="C536:D536"/>
    <mergeCell ref="C537:D537"/>
    <mergeCell ref="C538:D538"/>
    <mergeCell ref="C539:D539"/>
    <mergeCell ref="C540:D540"/>
    <mergeCell ref="C543:D543"/>
    <mergeCell ref="C544:D544"/>
    <mergeCell ref="C518:D518"/>
    <mergeCell ref="C528:D528"/>
    <mergeCell ref="C521:D521"/>
    <mergeCell ref="C522:D522"/>
    <mergeCell ref="C523:D523"/>
    <mergeCell ref="C524:D524"/>
    <mergeCell ref="C525:D52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24:D424"/>
    <mergeCell ref="C425:D425"/>
    <mergeCell ref="C417:D417"/>
    <mergeCell ref="C418:D418"/>
    <mergeCell ref="C419:D419"/>
    <mergeCell ref="C420:D420"/>
    <mergeCell ref="C421:D421"/>
    <mergeCell ref="C422:D422"/>
    <mergeCell ref="C423:D423"/>
    <mergeCell ref="C410:D410"/>
    <mergeCell ref="C411:D411"/>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47:D447"/>
    <mergeCell ref="C448:D448"/>
    <mergeCell ref="C440:D440"/>
    <mergeCell ref="C441:D441"/>
    <mergeCell ref="C442:D442"/>
    <mergeCell ref="C443:D443"/>
    <mergeCell ref="C444:D444"/>
    <mergeCell ref="C445:D445"/>
    <mergeCell ref="C446:D446"/>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E210:E222"/>
    <mergeCell ref="E223:E232"/>
    <mergeCell ref="E233:E246"/>
    <mergeCell ref="E247:E264"/>
    <mergeCell ref="E307:E321"/>
    <mergeCell ref="E285:E306"/>
    <mergeCell ref="E265:E284"/>
    <mergeCell ref="E417:E426"/>
    <mergeCell ref="E427:E433"/>
    <mergeCell ref="E434:E439"/>
    <mergeCell ref="E465:E470"/>
    <mergeCell ref="E471:E473"/>
    <mergeCell ref="E474:E476"/>
    <mergeCell ref="E440:E464"/>
    <mergeCell ref="E408:E416"/>
    <mergeCell ref="E322:E328"/>
    <mergeCell ref="E329:E334"/>
    <mergeCell ref="E335:E356"/>
    <mergeCell ref="E357:E362"/>
    <mergeCell ref="E363:E370"/>
    <mergeCell ref="E371:E380"/>
    <mergeCell ref="E381:E389"/>
    <mergeCell ref="E390:E407"/>
    <mergeCell ref="C32:D32"/>
    <mergeCell ref="C33:D33"/>
    <mergeCell ref="C34:D34"/>
    <mergeCell ref="C35:D35"/>
    <mergeCell ref="C36:D36"/>
    <mergeCell ref="C37:D37"/>
    <mergeCell ref="C38:D38"/>
    <mergeCell ref="C39:D39"/>
    <mergeCell ref="C40:D40"/>
    <mergeCell ref="C41:D41"/>
    <mergeCell ref="C168:D168"/>
    <mergeCell ref="C169:D169"/>
    <mergeCell ref="C170:D170"/>
    <mergeCell ref="C171:D171"/>
    <mergeCell ref="C172:D172"/>
    <mergeCell ref="C475:D475"/>
    <mergeCell ref="C476:D476"/>
    <mergeCell ref="C506:D506"/>
    <mergeCell ref="C507:D507"/>
    <mergeCell ref="C504:D504"/>
    <mergeCell ref="C505:D505"/>
    <mergeCell ref="C364:D364"/>
    <mergeCell ref="C365:D365"/>
    <mergeCell ref="C357:D357"/>
    <mergeCell ref="C285:D285"/>
    <mergeCell ref="C286:D286"/>
    <mergeCell ref="C278:D278"/>
    <mergeCell ref="C279:D279"/>
    <mergeCell ref="C280:D280"/>
    <mergeCell ref="C281:D281"/>
    <mergeCell ref="C282:D282"/>
    <mergeCell ref="C283:D283"/>
    <mergeCell ref="C284:D284"/>
    <mergeCell ref="C296:D296"/>
    <mergeCell ref="C297:D297"/>
    <mergeCell ref="C287:D287"/>
    <mergeCell ref="C288:D288"/>
    <mergeCell ref="C289:D289"/>
    <mergeCell ref="C290:D290"/>
    <mergeCell ref="C291:D291"/>
    <mergeCell ref="C303:D303"/>
    <mergeCell ref="C304:D304"/>
    <mergeCell ref="C305:D305"/>
    <mergeCell ref="C292:D292"/>
    <mergeCell ref="C293:D293"/>
    <mergeCell ref="C312:D312"/>
    <mergeCell ref="C313:D313"/>
    <mergeCell ref="C314:D314"/>
    <mergeCell ref="C315:D315"/>
    <mergeCell ref="C294:D294"/>
    <mergeCell ref="C295:D295"/>
    <mergeCell ref="C307:D307"/>
    <mergeCell ref="C308:D308"/>
    <mergeCell ref="C309:D309"/>
    <mergeCell ref="C310:D310"/>
    <mergeCell ref="C311:D311"/>
    <mergeCell ref="C306:D306"/>
    <mergeCell ref="C370:D370"/>
    <mergeCell ref="C371:D371"/>
    <mergeCell ref="C356:D356"/>
    <mergeCell ref="C373:D373"/>
    <mergeCell ref="C374:D374"/>
    <mergeCell ref="C366:D366"/>
    <mergeCell ref="C367:D367"/>
    <mergeCell ref="C368:D368"/>
    <mergeCell ref="C369:D369"/>
    <mergeCell ref="C298:D298"/>
    <mergeCell ref="C299:D299"/>
    <mergeCell ref="C300:D300"/>
    <mergeCell ref="C301:D301"/>
    <mergeCell ref="C302:D302"/>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494:D494"/>
    <mergeCell ref="C495:D495"/>
    <mergeCell ref="C497:D497"/>
    <mergeCell ref="C498:D498"/>
    <mergeCell ref="C496:D496"/>
    <mergeCell ref="C499:D499"/>
    <mergeCell ref="C500:D500"/>
    <mergeCell ref="C378:D378"/>
    <mergeCell ref="C379:D379"/>
    <mergeCell ref="C380:D380"/>
    <mergeCell ref="C381:D381"/>
    <mergeCell ref="C482:D482"/>
    <mergeCell ref="C483:D483"/>
    <mergeCell ref="C584:D584"/>
    <mergeCell ref="C585:D585"/>
    <mergeCell ref="C593:D593"/>
    <mergeCell ref="C594:D594"/>
    <mergeCell ref="C595:D595"/>
    <mergeCell ref="C596:D596"/>
    <mergeCell ref="C599:D599"/>
    <mergeCell ref="C600:D600"/>
    <mergeCell ref="C601:D601"/>
    <mergeCell ref="C602:D602"/>
    <mergeCell ref="C603:D603"/>
    <mergeCell ref="C604:D604"/>
    <mergeCell ref="C588:D588"/>
    <mergeCell ref="C598:D598"/>
    <mergeCell ref="C589:D589"/>
    <mergeCell ref="C590:D590"/>
    <mergeCell ref="C591:D591"/>
    <mergeCell ref="C592:D592"/>
    <mergeCell ref="C597:D597"/>
    <mergeCell ref="C572:D572"/>
    <mergeCell ref="C573:D573"/>
    <mergeCell ref="C574:D574"/>
    <mergeCell ref="C575:D575"/>
    <mergeCell ref="C579:D579"/>
    <mergeCell ref="C577:D577"/>
    <mergeCell ref="C576:D576"/>
    <mergeCell ref="C582:D582"/>
    <mergeCell ref="C583:D583"/>
    <mergeCell ref="C565:D565"/>
    <mergeCell ref="C566:D566"/>
    <mergeCell ref="C578:D578"/>
    <mergeCell ref="C568:D568"/>
    <mergeCell ref="C571:D571"/>
    <mergeCell ref="C529:D529"/>
    <mergeCell ref="C548:D548"/>
    <mergeCell ref="C501:D501"/>
    <mergeCell ref="C502:D502"/>
    <mergeCell ref="C503:D503"/>
    <mergeCell ref="C587:D587"/>
    <mergeCell ref="C580:D580"/>
    <mergeCell ref="C581:D581"/>
    <mergeCell ref="C586:D586"/>
    <mergeCell ref="C386:D386"/>
    <mergeCell ref="C387:D387"/>
    <mergeCell ref="C388:D388"/>
    <mergeCell ref="C389:D389"/>
    <mergeCell ref="C372:D372"/>
    <mergeCell ref="C382:D382"/>
    <mergeCell ref="C383:D383"/>
    <mergeCell ref="C375:D375"/>
    <mergeCell ref="C376:D376"/>
    <mergeCell ref="C377:D377"/>
    <mergeCell ref="C384:D384"/>
    <mergeCell ref="C385:D385"/>
    <mergeCell ref="C508:D508"/>
    <mergeCell ref="C509:D509"/>
    <mergeCell ref="C510:D510"/>
    <mergeCell ref="C511:D511"/>
    <mergeCell ref="C358:D358"/>
    <mergeCell ref="C359:D359"/>
    <mergeCell ref="C360:D360"/>
    <mergeCell ref="C361:D361"/>
    <mergeCell ref="C362:D362"/>
    <mergeCell ref="C363:D363"/>
    <mergeCell ref="C317:D317"/>
    <mergeCell ref="C318:D318"/>
    <mergeCell ref="C486:D486"/>
    <mergeCell ref="C487:D487"/>
    <mergeCell ref="C89:D89"/>
    <mergeCell ref="C90:D90"/>
    <mergeCell ref="C82:D82"/>
    <mergeCell ref="C83:D83"/>
    <mergeCell ref="C84:D84"/>
    <mergeCell ref="C85:D85"/>
    <mergeCell ref="C86:D86"/>
    <mergeCell ref="C87:D87"/>
    <mergeCell ref="C88:D88"/>
    <mergeCell ref="C42:D42"/>
    <mergeCell ref="C43:D4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84:D184"/>
    <mergeCell ref="C185:D185"/>
    <mergeCell ref="C173:D173"/>
    <mergeCell ref="C174:D174"/>
    <mergeCell ref="C175:D175"/>
    <mergeCell ref="C176:D176"/>
    <mergeCell ref="C177:D177"/>
    <mergeCell ref="C182:D182"/>
    <mergeCell ref="C183:D183"/>
    <mergeCell ref="C232:D232"/>
    <mergeCell ref="C233:D233"/>
    <mergeCell ref="C186:D186"/>
    <mergeCell ref="C187:D187"/>
    <mergeCell ref="C188:D188"/>
    <mergeCell ref="C189:D189"/>
    <mergeCell ref="C190:D190"/>
    <mergeCell ref="C191:D191"/>
    <mergeCell ref="C239:D239"/>
    <mergeCell ref="C240:D240"/>
    <mergeCell ref="C390:D390"/>
    <mergeCell ref="C391:D391"/>
  </mergeCells>
  <dataValidations>
    <dataValidation type="list" allowBlank="1" showErrorMessage="1" sqref="I1:I362 I371:I439">
      <formula1>"Pass,Fail,On-hold,NA"</formula1>
    </dataValidation>
    <dataValidation type="list" allowBlank="1" showErrorMessage="1" sqref="J1">
      <formula1>"Yes,No"</formula1>
    </dataValidation>
    <dataValidation type="list" allowBlank="1" showErrorMessage="1" sqref="D1">
      <formula1>"Functional,UI,Smoke,Regression,Integration"</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28.88"/>
    <col customWidth="1" min="2" max="2" width="100.63"/>
  </cols>
  <sheetData>
    <row r="1">
      <c r="A1" s="150" t="s">
        <v>145</v>
      </c>
      <c r="B1" s="151" t="s">
        <v>1700</v>
      </c>
      <c r="C1" s="56"/>
      <c r="D1" s="56"/>
      <c r="E1" s="56"/>
      <c r="F1" s="56"/>
      <c r="G1" s="56"/>
      <c r="H1" s="56"/>
      <c r="I1" s="56"/>
      <c r="J1" s="56"/>
      <c r="K1" s="56"/>
      <c r="L1" s="56"/>
      <c r="M1" s="56"/>
      <c r="N1" s="56"/>
      <c r="O1" s="56"/>
      <c r="P1" s="56"/>
      <c r="Q1" s="56"/>
      <c r="R1" s="56"/>
      <c r="S1" s="56"/>
      <c r="T1" s="56"/>
      <c r="U1" s="56"/>
      <c r="V1" s="56"/>
      <c r="W1" s="56"/>
      <c r="X1" s="56"/>
      <c r="Y1" s="56"/>
      <c r="Z1" s="56"/>
    </row>
    <row r="2">
      <c r="A2" s="152" t="s">
        <v>1701</v>
      </c>
      <c r="B2" s="83" t="s">
        <v>1702</v>
      </c>
      <c r="C2" s="56"/>
      <c r="D2" s="56"/>
      <c r="E2" s="56"/>
      <c r="F2" s="56"/>
      <c r="G2" s="56"/>
      <c r="H2" s="56"/>
      <c r="I2" s="56"/>
      <c r="J2" s="56"/>
      <c r="K2" s="56"/>
      <c r="L2" s="56"/>
      <c r="M2" s="56"/>
      <c r="N2" s="56"/>
      <c r="O2" s="56"/>
      <c r="P2" s="56"/>
      <c r="Q2" s="56"/>
      <c r="R2" s="56"/>
      <c r="S2" s="56"/>
      <c r="T2" s="56"/>
      <c r="U2" s="56"/>
      <c r="V2" s="56"/>
      <c r="W2" s="56"/>
      <c r="X2" s="56"/>
      <c r="Y2" s="56"/>
      <c r="Z2" s="56"/>
    </row>
    <row r="3">
      <c r="A3" s="108"/>
      <c r="B3" s="83" t="s">
        <v>1703</v>
      </c>
      <c r="C3" s="56"/>
      <c r="D3" s="56"/>
      <c r="E3" s="56"/>
      <c r="F3" s="56"/>
      <c r="G3" s="56"/>
      <c r="H3" s="56"/>
      <c r="I3" s="56"/>
      <c r="J3" s="56"/>
      <c r="K3" s="56"/>
      <c r="L3" s="56"/>
      <c r="M3" s="56"/>
      <c r="N3" s="56"/>
      <c r="O3" s="56"/>
      <c r="P3" s="56"/>
      <c r="Q3" s="56"/>
      <c r="R3" s="56"/>
      <c r="S3" s="56"/>
      <c r="T3" s="56"/>
      <c r="U3" s="56"/>
      <c r="V3" s="56"/>
      <c r="W3" s="56"/>
      <c r="X3" s="56"/>
      <c r="Y3" s="56"/>
      <c r="Z3" s="56"/>
    </row>
    <row r="4">
      <c r="A4" s="109"/>
      <c r="B4" s="83" t="s">
        <v>1704</v>
      </c>
      <c r="C4" s="56"/>
      <c r="D4" s="56"/>
      <c r="E4" s="56"/>
      <c r="F4" s="56"/>
      <c r="G4" s="56"/>
      <c r="H4" s="56"/>
      <c r="I4" s="56"/>
      <c r="J4" s="56"/>
      <c r="K4" s="56"/>
      <c r="L4" s="56"/>
      <c r="M4" s="56"/>
      <c r="N4" s="56"/>
      <c r="O4" s="56"/>
      <c r="P4" s="56"/>
      <c r="Q4" s="56"/>
      <c r="R4" s="56"/>
      <c r="S4" s="56"/>
      <c r="T4" s="56"/>
      <c r="U4" s="56"/>
      <c r="V4" s="56"/>
      <c r="W4" s="56"/>
      <c r="X4" s="56"/>
      <c r="Y4" s="56"/>
      <c r="Z4" s="56"/>
    </row>
    <row r="5">
      <c r="A5" s="152" t="s">
        <v>1705</v>
      </c>
      <c r="B5" s="83" t="s">
        <v>1706</v>
      </c>
      <c r="C5" s="56"/>
      <c r="D5" s="56"/>
      <c r="E5" s="56"/>
      <c r="F5" s="56"/>
      <c r="G5" s="56"/>
      <c r="H5" s="56"/>
      <c r="I5" s="56"/>
      <c r="J5" s="56"/>
      <c r="K5" s="56"/>
      <c r="L5" s="56"/>
      <c r="M5" s="56"/>
      <c r="N5" s="56"/>
      <c r="O5" s="56"/>
      <c r="P5" s="56"/>
      <c r="Q5" s="56"/>
      <c r="R5" s="56"/>
      <c r="S5" s="56"/>
      <c r="T5" s="56"/>
      <c r="U5" s="56"/>
      <c r="V5" s="56"/>
      <c r="W5" s="56"/>
      <c r="X5" s="56"/>
      <c r="Y5" s="56"/>
      <c r="Z5" s="56"/>
    </row>
    <row r="6">
      <c r="A6" s="108"/>
      <c r="B6" s="83" t="s">
        <v>1707</v>
      </c>
      <c r="C6" s="56"/>
      <c r="D6" s="56"/>
      <c r="E6" s="56"/>
      <c r="F6" s="56"/>
      <c r="G6" s="56"/>
      <c r="H6" s="56"/>
      <c r="I6" s="56"/>
      <c r="J6" s="56"/>
      <c r="K6" s="56"/>
      <c r="L6" s="56"/>
      <c r="M6" s="56"/>
      <c r="N6" s="56"/>
      <c r="O6" s="56"/>
      <c r="P6" s="56"/>
      <c r="Q6" s="56"/>
      <c r="R6" s="56"/>
      <c r="S6" s="56"/>
      <c r="T6" s="56"/>
      <c r="U6" s="56"/>
      <c r="V6" s="56"/>
      <c r="W6" s="56"/>
      <c r="X6" s="56"/>
      <c r="Y6" s="56"/>
      <c r="Z6" s="56"/>
    </row>
    <row r="7">
      <c r="A7" s="108"/>
      <c r="B7" s="83" t="s">
        <v>1708</v>
      </c>
      <c r="C7" s="56"/>
      <c r="D7" s="56"/>
      <c r="E7" s="56"/>
      <c r="F7" s="56"/>
      <c r="G7" s="56"/>
      <c r="H7" s="56"/>
      <c r="I7" s="56"/>
      <c r="J7" s="56"/>
      <c r="K7" s="56"/>
      <c r="L7" s="56"/>
      <c r="M7" s="56"/>
      <c r="N7" s="56"/>
      <c r="O7" s="56"/>
      <c r="P7" s="56"/>
      <c r="Q7" s="56"/>
      <c r="R7" s="56"/>
      <c r="S7" s="56"/>
      <c r="T7" s="56"/>
      <c r="U7" s="56"/>
      <c r="V7" s="56"/>
      <c r="W7" s="56"/>
      <c r="X7" s="56"/>
      <c r="Y7" s="56"/>
      <c r="Z7" s="56"/>
    </row>
    <row r="8">
      <c r="A8" s="108"/>
      <c r="B8" s="83" t="s">
        <v>1709</v>
      </c>
      <c r="C8" s="56"/>
      <c r="D8" s="56"/>
      <c r="E8" s="56"/>
      <c r="F8" s="56"/>
      <c r="G8" s="56"/>
      <c r="H8" s="56"/>
      <c r="I8" s="56"/>
      <c r="J8" s="56"/>
      <c r="K8" s="56"/>
      <c r="L8" s="56"/>
      <c r="M8" s="56"/>
      <c r="N8" s="56"/>
      <c r="O8" s="56"/>
      <c r="P8" s="56"/>
      <c r="Q8" s="56"/>
      <c r="R8" s="56"/>
      <c r="S8" s="56"/>
      <c r="T8" s="56"/>
      <c r="U8" s="56"/>
      <c r="V8" s="56"/>
      <c r="W8" s="56"/>
      <c r="X8" s="56"/>
      <c r="Y8" s="56"/>
      <c r="Z8" s="56"/>
    </row>
    <row r="9">
      <c r="A9" s="109"/>
      <c r="B9" s="83" t="s">
        <v>1710</v>
      </c>
      <c r="C9" s="56"/>
      <c r="D9" s="56"/>
      <c r="E9" s="56"/>
      <c r="F9" s="56"/>
      <c r="G9" s="56"/>
      <c r="H9" s="56"/>
      <c r="I9" s="56"/>
      <c r="J9" s="56"/>
      <c r="K9" s="56"/>
      <c r="L9" s="56"/>
      <c r="M9" s="56"/>
      <c r="N9" s="56"/>
      <c r="O9" s="56"/>
      <c r="P9" s="56"/>
      <c r="Q9" s="56"/>
      <c r="R9" s="56"/>
      <c r="S9" s="56"/>
      <c r="T9" s="56"/>
      <c r="U9" s="56"/>
      <c r="V9" s="56"/>
      <c r="W9" s="56"/>
      <c r="X9" s="56"/>
      <c r="Y9" s="56"/>
      <c r="Z9" s="56"/>
    </row>
    <row r="10">
      <c r="A10" s="153" t="s">
        <v>1711</v>
      </c>
      <c r="B10" s="83" t="s">
        <v>1712</v>
      </c>
      <c r="C10" s="56"/>
      <c r="D10" s="56"/>
      <c r="E10" s="56"/>
      <c r="F10" s="56"/>
      <c r="G10" s="56"/>
      <c r="H10" s="56"/>
      <c r="I10" s="56"/>
      <c r="J10" s="56"/>
      <c r="K10" s="56"/>
      <c r="L10" s="56"/>
      <c r="M10" s="56"/>
      <c r="N10" s="56"/>
      <c r="O10" s="56"/>
      <c r="P10" s="56"/>
      <c r="Q10" s="56"/>
      <c r="R10" s="56"/>
      <c r="S10" s="56"/>
      <c r="T10" s="56"/>
      <c r="U10" s="56"/>
      <c r="V10" s="56"/>
      <c r="W10" s="56"/>
      <c r="X10" s="56"/>
      <c r="Y10" s="56"/>
      <c r="Z10" s="56"/>
    </row>
    <row r="11">
      <c r="A11" s="153" t="s">
        <v>1713</v>
      </c>
      <c r="B11" s="83"/>
      <c r="C11" s="56"/>
      <c r="D11" s="56"/>
      <c r="E11" s="56"/>
      <c r="F11" s="56"/>
      <c r="G11" s="56"/>
      <c r="H11" s="56"/>
      <c r="I11" s="56"/>
      <c r="J11" s="56"/>
      <c r="K11" s="56"/>
      <c r="L11" s="56"/>
      <c r="M11" s="56"/>
      <c r="N11" s="56"/>
      <c r="O11" s="56"/>
      <c r="P11" s="56"/>
      <c r="Q11" s="56"/>
      <c r="R11" s="56"/>
      <c r="S11" s="56"/>
      <c r="T11" s="56"/>
      <c r="U11" s="56"/>
      <c r="V11" s="56"/>
      <c r="W11" s="56"/>
      <c r="X11" s="56"/>
      <c r="Y11" s="56"/>
      <c r="Z11" s="56"/>
    </row>
    <row r="12">
      <c r="A12" s="152" t="s">
        <v>1714</v>
      </c>
      <c r="B12" s="83" t="s">
        <v>1715</v>
      </c>
      <c r="C12" s="56"/>
      <c r="D12" s="56"/>
      <c r="E12" s="56"/>
      <c r="F12" s="56"/>
      <c r="G12" s="56"/>
      <c r="H12" s="56"/>
      <c r="I12" s="56"/>
      <c r="J12" s="56"/>
      <c r="K12" s="56"/>
      <c r="L12" s="56"/>
      <c r="M12" s="56"/>
      <c r="N12" s="56"/>
      <c r="O12" s="56"/>
      <c r="P12" s="56"/>
      <c r="Q12" s="56"/>
      <c r="R12" s="56"/>
      <c r="S12" s="56"/>
      <c r="T12" s="56"/>
      <c r="U12" s="56"/>
      <c r="V12" s="56"/>
      <c r="W12" s="56"/>
      <c r="X12" s="56"/>
      <c r="Y12" s="56"/>
      <c r="Z12" s="56"/>
    </row>
    <row r="13">
      <c r="A13" s="109"/>
      <c r="B13" s="83" t="s">
        <v>1716</v>
      </c>
      <c r="C13" s="56"/>
      <c r="D13" s="56"/>
      <c r="E13" s="56"/>
      <c r="F13" s="56"/>
      <c r="G13" s="56"/>
      <c r="H13" s="56"/>
      <c r="I13" s="56"/>
      <c r="J13" s="56"/>
      <c r="K13" s="56"/>
      <c r="L13" s="56"/>
      <c r="M13" s="56"/>
      <c r="N13" s="56"/>
      <c r="O13" s="56"/>
      <c r="P13" s="56"/>
      <c r="Q13" s="56"/>
      <c r="R13" s="56"/>
      <c r="S13" s="56"/>
      <c r="T13" s="56"/>
      <c r="U13" s="56"/>
      <c r="V13" s="56"/>
      <c r="W13" s="56"/>
      <c r="X13" s="56"/>
      <c r="Y13" s="56"/>
      <c r="Z13" s="56"/>
    </row>
    <row r="14">
      <c r="A14" s="152" t="s">
        <v>1717</v>
      </c>
      <c r="B14" s="83" t="s">
        <v>1718</v>
      </c>
      <c r="C14" s="56"/>
      <c r="D14" s="56"/>
      <c r="E14" s="56"/>
      <c r="F14" s="56"/>
      <c r="G14" s="56"/>
      <c r="H14" s="56"/>
      <c r="I14" s="56"/>
      <c r="J14" s="56"/>
      <c r="K14" s="56"/>
      <c r="L14" s="56"/>
      <c r="M14" s="56"/>
      <c r="N14" s="56"/>
      <c r="O14" s="56"/>
      <c r="P14" s="56"/>
      <c r="Q14" s="56"/>
      <c r="R14" s="56"/>
      <c r="S14" s="56"/>
      <c r="T14" s="56"/>
      <c r="U14" s="56"/>
      <c r="V14" s="56"/>
      <c r="W14" s="56"/>
      <c r="X14" s="56"/>
      <c r="Y14" s="56"/>
      <c r="Z14" s="56"/>
    </row>
    <row r="15">
      <c r="A15" s="108"/>
      <c r="B15" s="83" t="s">
        <v>1719</v>
      </c>
      <c r="C15" s="56"/>
      <c r="D15" s="56"/>
      <c r="E15" s="56"/>
      <c r="F15" s="56"/>
      <c r="G15" s="56"/>
      <c r="H15" s="56"/>
      <c r="I15" s="56"/>
      <c r="J15" s="56"/>
      <c r="K15" s="56"/>
      <c r="L15" s="56"/>
      <c r="M15" s="56"/>
      <c r="N15" s="56"/>
      <c r="O15" s="56"/>
      <c r="P15" s="56"/>
      <c r="Q15" s="56"/>
      <c r="R15" s="56"/>
      <c r="S15" s="56"/>
      <c r="T15" s="56"/>
      <c r="U15" s="56"/>
      <c r="V15" s="56"/>
      <c r="W15" s="56"/>
      <c r="X15" s="56"/>
      <c r="Y15" s="56"/>
      <c r="Z15" s="56"/>
    </row>
    <row r="16">
      <c r="A16" s="108"/>
      <c r="B16" s="83" t="s">
        <v>1720</v>
      </c>
      <c r="C16" s="56"/>
      <c r="D16" s="56"/>
      <c r="E16" s="56"/>
      <c r="F16" s="56"/>
      <c r="G16" s="56"/>
      <c r="H16" s="56"/>
      <c r="I16" s="56"/>
      <c r="J16" s="56"/>
      <c r="K16" s="56"/>
      <c r="L16" s="56"/>
      <c r="M16" s="56"/>
      <c r="N16" s="56"/>
      <c r="O16" s="56"/>
      <c r="P16" s="56"/>
      <c r="Q16" s="56"/>
      <c r="R16" s="56"/>
      <c r="S16" s="56"/>
      <c r="T16" s="56"/>
      <c r="U16" s="56"/>
      <c r="V16" s="56"/>
      <c r="W16" s="56"/>
      <c r="X16" s="56"/>
      <c r="Y16" s="56"/>
      <c r="Z16" s="56"/>
    </row>
    <row r="17">
      <c r="A17" s="108"/>
      <c r="B17" s="83" t="s">
        <v>1721</v>
      </c>
      <c r="C17" s="56"/>
      <c r="D17" s="56"/>
      <c r="E17" s="56"/>
      <c r="F17" s="56"/>
      <c r="G17" s="56"/>
      <c r="H17" s="56"/>
      <c r="I17" s="56"/>
      <c r="J17" s="56"/>
      <c r="K17" s="56"/>
      <c r="L17" s="56"/>
      <c r="M17" s="56"/>
      <c r="N17" s="56"/>
      <c r="O17" s="56"/>
      <c r="P17" s="56"/>
      <c r="Q17" s="56"/>
      <c r="R17" s="56"/>
      <c r="S17" s="56"/>
      <c r="T17" s="56"/>
      <c r="U17" s="56"/>
      <c r="V17" s="56"/>
      <c r="W17" s="56"/>
      <c r="X17" s="56"/>
      <c r="Y17" s="56"/>
      <c r="Z17" s="56"/>
    </row>
    <row r="18">
      <c r="A18" s="108"/>
      <c r="B18" s="83" t="s">
        <v>1722</v>
      </c>
      <c r="C18" s="56"/>
      <c r="D18" s="56"/>
      <c r="E18" s="56"/>
      <c r="F18" s="56"/>
      <c r="G18" s="56"/>
      <c r="H18" s="56"/>
      <c r="I18" s="56"/>
      <c r="J18" s="56"/>
      <c r="K18" s="56"/>
      <c r="L18" s="56"/>
      <c r="M18" s="56"/>
      <c r="N18" s="56"/>
      <c r="O18" s="56"/>
      <c r="P18" s="56"/>
      <c r="Q18" s="56"/>
      <c r="R18" s="56"/>
      <c r="S18" s="56"/>
      <c r="T18" s="56"/>
      <c r="U18" s="56"/>
      <c r="V18" s="56"/>
      <c r="W18" s="56"/>
      <c r="X18" s="56"/>
      <c r="Y18" s="56"/>
      <c r="Z18" s="56"/>
    </row>
    <row r="19">
      <c r="A19" s="108"/>
      <c r="B19" s="154" t="s">
        <v>1723</v>
      </c>
      <c r="C19" s="56"/>
      <c r="D19" s="56"/>
      <c r="E19" s="56"/>
      <c r="F19" s="56"/>
      <c r="G19" s="56"/>
      <c r="H19" s="56"/>
      <c r="I19" s="56"/>
      <c r="J19" s="56"/>
      <c r="K19" s="56"/>
      <c r="L19" s="56"/>
      <c r="M19" s="56"/>
      <c r="N19" s="56"/>
      <c r="O19" s="56"/>
      <c r="P19" s="56"/>
      <c r="Q19" s="56"/>
      <c r="R19" s="56"/>
      <c r="S19" s="56"/>
      <c r="T19" s="56"/>
      <c r="U19" s="56"/>
      <c r="V19" s="56"/>
      <c r="W19" s="56"/>
      <c r="X19" s="56"/>
      <c r="Y19" s="56"/>
      <c r="Z19" s="56"/>
    </row>
    <row r="20">
      <c r="A20" s="108"/>
      <c r="B20" s="83" t="s">
        <v>1724</v>
      </c>
      <c r="C20" s="56"/>
      <c r="D20" s="56"/>
      <c r="E20" s="56"/>
      <c r="F20" s="56"/>
      <c r="G20" s="56"/>
      <c r="H20" s="56"/>
      <c r="I20" s="56"/>
      <c r="J20" s="56"/>
      <c r="K20" s="56"/>
      <c r="L20" s="56"/>
      <c r="M20" s="56"/>
      <c r="N20" s="56"/>
      <c r="O20" s="56"/>
      <c r="P20" s="56"/>
      <c r="Q20" s="56"/>
      <c r="R20" s="56"/>
      <c r="S20" s="56"/>
      <c r="T20" s="56"/>
      <c r="U20" s="56"/>
      <c r="V20" s="56"/>
      <c r="W20" s="56"/>
      <c r="X20" s="56"/>
      <c r="Y20" s="56"/>
      <c r="Z20" s="56"/>
    </row>
    <row r="21">
      <c r="A21" s="109"/>
      <c r="B21" s="83" t="s">
        <v>1725</v>
      </c>
      <c r="C21" s="56"/>
      <c r="D21" s="56"/>
      <c r="E21" s="56"/>
      <c r="F21" s="56"/>
      <c r="G21" s="56"/>
      <c r="H21" s="56"/>
      <c r="I21" s="56"/>
      <c r="J21" s="56"/>
      <c r="K21" s="56"/>
      <c r="L21" s="56"/>
      <c r="M21" s="56"/>
      <c r="N21" s="56"/>
      <c r="O21" s="56"/>
      <c r="P21" s="56"/>
      <c r="Q21" s="56"/>
      <c r="R21" s="56"/>
      <c r="S21" s="56"/>
      <c r="T21" s="56"/>
      <c r="U21" s="56"/>
      <c r="V21" s="56"/>
      <c r="W21" s="56"/>
      <c r="X21" s="56"/>
      <c r="Y21" s="56"/>
      <c r="Z21" s="56"/>
    </row>
    <row r="22">
      <c r="A22" s="153" t="s">
        <v>1726</v>
      </c>
      <c r="B22" s="155" t="s">
        <v>1727</v>
      </c>
      <c r="C22" s="56"/>
      <c r="D22" s="56"/>
      <c r="E22" s="56"/>
      <c r="F22" s="56"/>
      <c r="G22" s="56"/>
      <c r="H22" s="56"/>
      <c r="I22" s="56"/>
      <c r="J22" s="56"/>
      <c r="K22" s="56"/>
      <c r="L22" s="56"/>
      <c r="M22" s="56"/>
      <c r="N22" s="56"/>
      <c r="O22" s="56"/>
      <c r="P22" s="56"/>
      <c r="Q22" s="56"/>
      <c r="R22" s="56"/>
      <c r="S22" s="56"/>
      <c r="T22" s="56"/>
      <c r="U22" s="56"/>
      <c r="V22" s="56"/>
      <c r="W22" s="56"/>
      <c r="X22" s="56"/>
      <c r="Y22" s="56"/>
      <c r="Z22" s="56"/>
    </row>
    <row r="23">
      <c r="A23" s="152" t="s">
        <v>1728</v>
      </c>
      <c r="B23" s="83" t="s">
        <v>1729</v>
      </c>
      <c r="C23" s="56"/>
      <c r="D23" s="56"/>
      <c r="E23" s="56"/>
      <c r="F23" s="56"/>
      <c r="G23" s="56"/>
      <c r="H23" s="56"/>
      <c r="I23" s="56"/>
      <c r="J23" s="56"/>
      <c r="K23" s="56"/>
      <c r="L23" s="56"/>
      <c r="M23" s="56"/>
      <c r="N23" s="56"/>
      <c r="O23" s="56"/>
      <c r="P23" s="56"/>
      <c r="Q23" s="56"/>
      <c r="R23" s="56"/>
      <c r="S23" s="56"/>
      <c r="T23" s="56"/>
      <c r="U23" s="56"/>
      <c r="V23" s="56"/>
      <c r="W23" s="56"/>
      <c r="X23" s="56"/>
      <c r="Y23" s="56"/>
      <c r="Z23" s="56"/>
    </row>
    <row r="24">
      <c r="A24" s="108"/>
      <c r="B24" s="83" t="s">
        <v>1730</v>
      </c>
      <c r="C24" s="56"/>
      <c r="D24" s="56"/>
      <c r="E24" s="56"/>
      <c r="F24" s="56"/>
      <c r="G24" s="56"/>
      <c r="H24" s="56"/>
      <c r="I24" s="56"/>
      <c r="J24" s="56"/>
      <c r="K24" s="56"/>
      <c r="L24" s="56"/>
      <c r="M24" s="56"/>
      <c r="N24" s="56"/>
      <c r="O24" s="56"/>
      <c r="P24" s="56"/>
      <c r="Q24" s="56"/>
      <c r="R24" s="56"/>
      <c r="S24" s="56"/>
      <c r="T24" s="56"/>
      <c r="U24" s="56"/>
      <c r="V24" s="56"/>
      <c r="W24" s="56"/>
      <c r="X24" s="56"/>
      <c r="Y24" s="56"/>
      <c r="Z24" s="56"/>
    </row>
    <row r="25">
      <c r="A25" s="108"/>
      <c r="B25" s="83" t="s">
        <v>1731</v>
      </c>
      <c r="C25" s="56"/>
      <c r="D25" s="56"/>
      <c r="E25" s="56"/>
      <c r="F25" s="56"/>
      <c r="G25" s="56"/>
      <c r="H25" s="56"/>
      <c r="I25" s="56"/>
      <c r="J25" s="56"/>
      <c r="K25" s="56"/>
      <c r="L25" s="56"/>
      <c r="M25" s="56"/>
      <c r="N25" s="56"/>
      <c r="O25" s="56"/>
      <c r="P25" s="56"/>
      <c r="Q25" s="56"/>
      <c r="R25" s="56"/>
      <c r="S25" s="56"/>
      <c r="T25" s="56"/>
      <c r="U25" s="56"/>
      <c r="V25" s="56"/>
      <c r="W25" s="56"/>
      <c r="X25" s="56"/>
      <c r="Y25" s="56"/>
      <c r="Z25" s="56"/>
    </row>
    <row r="26">
      <c r="A26" s="109"/>
      <c r="B26" s="83" t="s">
        <v>1732</v>
      </c>
      <c r="C26" s="56"/>
      <c r="D26" s="56"/>
      <c r="E26" s="56"/>
      <c r="F26" s="56"/>
      <c r="G26" s="56"/>
      <c r="H26" s="56"/>
      <c r="I26" s="56"/>
      <c r="J26" s="56"/>
      <c r="K26" s="56"/>
      <c r="L26" s="56"/>
      <c r="M26" s="56"/>
      <c r="N26" s="56"/>
      <c r="O26" s="56"/>
      <c r="P26" s="56"/>
      <c r="Q26" s="56"/>
      <c r="R26" s="56"/>
      <c r="S26" s="56"/>
      <c r="T26" s="56"/>
      <c r="U26" s="56"/>
      <c r="V26" s="56"/>
      <c r="W26" s="56"/>
      <c r="X26" s="56"/>
      <c r="Y26" s="56"/>
      <c r="Z26" s="56"/>
    </row>
    <row r="27">
      <c r="A27" s="153" t="s">
        <v>1733</v>
      </c>
      <c r="B27" s="83" t="s">
        <v>1734</v>
      </c>
      <c r="C27" s="56"/>
      <c r="D27" s="56"/>
      <c r="E27" s="56"/>
      <c r="F27" s="56"/>
      <c r="G27" s="56"/>
      <c r="H27" s="56"/>
      <c r="I27" s="56"/>
      <c r="J27" s="56"/>
      <c r="K27" s="56"/>
      <c r="L27" s="56"/>
      <c r="M27" s="56"/>
      <c r="N27" s="56"/>
      <c r="O27" s="56"/>
      <c r="P27" s="56"/>
      <c r="Q27" s="56"/>
      <c r="R27" s="56"/>
      <c r="S27" s="56"/>
      <c r="T27" s="56"/>
      <c r="U27" s="56"/>
      <c r="V27" s="56"/>
      <c r="W27" s="56"/>
      <c r="X27" s="56"/>
      <c r="Y27" s="56"/>
      <c r="Z27" s="56"/>
    </row>
    <row r="28">
      <c r="A28" s="152" t="s">
        <v>1735</v>
      </c>
      <c r="B28" s="83" t="s">
        <v>1736</v>
      </c>
      <c r="C28" s="56"/>
      <c r="D28" s="56"/>
      <c r="E28" s="56"/>
      <c r="F28" s="56"/>
      <c r="G28" s="56"/>
      <c r="H28" s="56"/>
      <c r="I28" s="56"/>
      <c r="J28" s="56"/>
      <c r="K28" s="56"/>
      <c r="L28" s="56"/>
      <c r="M28" s="56"/>
      <c r="N28" s="56"/>
      <c r="O28" s="56"/>
      <c r="P28" s="56"/>
      <c r="Q28" s="56"/>
      <c r="R28" s="56"/>
      <c r="S28" s="56"/>
      <c r="T28" s="56"/>
      <c r="U28" s="56"/>
      <c r="V28" s="56"/>
      <c r="W28" s="56"/>
      <c r="X28" s="56"/>
      <c r="Y28" s="56"/>
      <c r="Z28" s="56"/>
    </row>
    <row r="29">
      <c r="A29" s="108"/>
      <c r="B29" s="83" t="s">
        <v>1737</v>
      </c>
      <c r="C29" s="56"/>
      <c r="D29" s="56"/>
      <c r="E29" s="56"/>
      <c r="F29" s="56"/>
      <c r="G29" s="56"/>
      <c r="H29" s="56"/>
      <c r="I29" s="56"/>
      <c r="J29" s="56"/>
      <c r="K29" s="56"/>
      <c r="L29" s="56"/>
      <c r="M29" s="56"/>
      <c r="N29" s="56"/>
      <c r="O29" s="56"/>
      <c r="P29" s="56"/>
      <c r="Q29" s="56"/>
      <c r="R29" s="56"/>
      <c r="S29" s="56"/>
      <c r="T29" s="56"/>
      <c r="U29" s="56"/>
      <c r="V29" s="56"/>
      <c r="W29" s="56"/>
      <c r="X29" s="56"/>
      <c r="Y29" s="56"/>
      <c r="Z29" s="56"/>
    </row>
    <row r="30">
      <c r="A30" s="108"/>
      <c r="B30" s="83" t="s">
        <v>1738</v>
      </c>
      <c r="C30" s="56"/>
      <c r="D30" s="56"/>
      <c r="E30" s="56"/>
      <c r="F30" s="56"/>
      <c r="G30" s="56"/>
      <c r="H30" s="56"/>
      <c r="I30" s="56"/>
      <c r="J30" s="56"/>
      <c r="K30" s="56"/>
      <c r="L30" s="56"/>
      <c r="M30" s="56"/>
      <c r="N30" s="56"/>
      <c r="O30" s="56"/>
      <c r="P30" s="56"/>
      <c r="Q30" s="56"/>
      <c r="R30" s="56"/>
      <c r="S30" s="56"/>
      <c r="T30" s="56"/>
      <c r="U30" s="56"/>
      <c r="V30" s="56"/>
      <c r="W30" s="56"/>
      <c r="X30" s="56"/>
      <c r="Y30" s="56"/>
      <c r="Z30" s="56"/>
    </row>
    <row r="31">
      <c r="A31" s="108"/>
      <c r="B31" s="83" t="s">
        <v>1739</v>
      </c>
      <c r="C31" s="56"/>
      <c r="D31" s="56"/>
      <c r="E31" s="56"/>
      <c r="F31" s="56"/>
      <c r="G31" s="56"/>
      <c r="H31" s="56"/>
      <c r="I31" s="56"/>
      <c r="J31" s="56"/>
      <c r="K31" s="56"/>
      <c r="L31" s="56"/>
      <c r="M31" s="56"/>
      <c r="N31" s="56"/>
      <c r="O31" s="56"/>
      <c r="P31" s="56"/>
      <c r="Q31" s="56"/>
      <c r="R31" s="56"/>
      <c r="S31" s="56"/>
      <c r="T31" s="56"/>
      <c r="U31" s="56"/>
      <c r="V31" s="56"/>
      <c r="W31" s="56"/>
      <c r="X31" s="56"/>
      <c r="Y31" s="56"/>
      <c r="Z31" s="56"/>
    </row>
    <row r="32">
      <c r="A32" s="108"/>
      <c r="B32" s="83" t="s">
        <v>1740</v>
      </c>
      <c r="C32" s="56"/>
      <c r="D32" s="56"/>
      <c r="E32" s="56"/>
      <c r="F32" s="56"/>
      <c r="G32" s="56"/>
      <c r="H32" s="56"/>
      <c r="I32" s="56"/>
      <c r="J32" s="56"/>
      <c r="K32" s="56"/>
      <c r="L32" s="56"/>
      <c r="M32" s="56"/>
      <c r="N32" s="56"/>
      <c r="O32" s="56"/>
      <c r="P32" s="56"/>
      <c r="Q32" s="56"/>
      <c r="R32" s="56"/>
      <c r="S32" s="56"/>
      <c r="T32" s="56"/>
      <c r="U32" s="56"/>
      <c r="V32" s="56"/>
      <c r="W32" s="56"/>
      <c r="X32" s="56"/>
      <c r="Y32" s="56"/>
      <c r="Z32" s="56"/>
    </row>
    <row r="33">
      <c r="A33" s="108"/>
      <c r="B33" s="83" t="s">
        <v>1741</v>
      </c>
      <c r="C33" s="56"/>
      <c r="D33" s="56"/>
      <c r="E33" s="56"/>
      <c r="F33" s="56"/>
      <c r="G33" s="56"/>
      <c r="H33" s="56"/>
      <c r="I33" s="56"/>
      <c r="J33" s="56"/>
      <c r="K33" s="56"/>
      <c r="L33" s="56"/>
      <c r="M33" s="56"/>
      <c r="N33" s="56"/>
      <c r="O33" s="56"/>
      <c r="P33" s="56"/>
      <c r="Q33" s="56"/>
      <c r="R33" s="56"/>
      <c r="S33" s="56"/>
      <c r="T33" s="56"/>
      <c r="U33" s="56"/>
      <c r="V33" s="56"/>
      <c r="W33" s="56"/>
      <c r="X33" s="56"/>
      <c r="Y33" s="56"/>
      <c r="Z33" s="56"/>
    </row>
    <row r="34">
      <c r="A34" s="108"/>
      <c r="B34" s="83" t="s">
        <v>1742</v>
      </c>
      <c r="C34" s="56"/>
      <c r="D34" s="56"/>
      <c r="E34" s="56"/>
      <c r="F34" s="56"/>
      <c r="G34" s="56"/>
      <c r="H34" s="56"/>
      <c r="I34" s="56"/>
      <c r="J34" s="56"/>
      <c r="K34" s="56"/>
      <c r="L34" s="56"/>
      <c r="M34" s="56"/>
      <c r="N34" s="56"/>
      <c r="O34" s="56"/>
      <c r="P34" s="56"/>
      <c r="Q34" s="56"/>
      <c r="R34" s="56"/>
      <c r="S34" s="56"/>
      <c r="T34" s="56"/>
      <c r="U34" s="56"/>
      <c r="V34" s="56"/>
      <c r="W34" s="56"/>
      <c r="X34" s="56"/>
      <c r="Y34" s="56"/>
      <c r="Z34" s="56"/>
    </row>
    <row r="35">
      <c r="A35" s="109"/>
      <c r="B35" s="156" t="s">
        <v>1743</v>
      </c>
      <c r="C35" s="56"/>
      <c r="D35" s="56"/>
      <c r="E35" s="56"/>
      <c r="F35" s="56"/>
      <c r="G35" s="56"/>
      <c r="H35" s="56"/>
      <c r="I35" s="56"/>
      <c r="J35" s="56"/>
      <c r="K35" s="56"/>
      <c r="L35" s="56"/>
      <c r="M35" s="56"/>
      <c r="N35" s="56"/>
      <c r="O35" s="56"/>
      <c r="P35" s="56"/>
      <c r="Q35" s="56"/>
      <c r="R35" s="56"/>
      <c r="S35" s="56"/>
      <c r="T35" s="56"/>
      <c r="U35" s="56"/>
      <c r="V35" s="56"/>
      <c r="W35" s="56"/>
      <c r="X35" s="56"/>
      <c r="Y35" s="56"/>
      <c r="Z35" s="56"/>
    </row>
    <row r="36">
      <c r="A36" s="153" t="s">
        <v>1744</v>
      </c>
      <c r="B36" s="83" t="s">
        <v>1745</v>
      </c>
      <c r="C36" s="56"/>
      <c r="D36" s="56"/>
      <c r="E36" s="56"/>
      <c r="F36" s="56"/>
      <c r="G36" s="56"/>
      <c r="H36" s="56"/>
      <c r="I36" s="56"/>
      <c r="J36" s="56"/>
      <c r="K36" s="56"/>
      <c r="L36" s="56"/>
      <c r="M36" s="56"/>
      <c r="N36" s="56"/>
      <c r="O36" s="56"/>
      <c r="P36" s="56"/>
      <c r="Q36" s="56"/>
      <c r="R36" s="56"/>
      <c r="S36" s="56"/>
      <c r="T36" s="56"/>
      <c r="U36" s="56"/>
      <c r="V36" s="56"/>
      <c r="W36" s="56"/>
      <c r="X36" s="56"/>
      <c r="Y36" s="56"/>
      <c r="Z36" s="56"/>
    </row>
    <row r="37">
      <c r="A37" s="152" t="s">
        <v>1746</v>
      </c>
      <c r="B37" s="83" t="s">
        <v>1747</v>
      </c>
      <c r="C37" s="56"/>
      <c r="D37" s="56"/>
      <c r="E37" s="56"/>
      <c r="F37" s="56"/>
      <c r="G37" s="56"/>
      <c r="H37" s="56"/>
      <c r="I37" s="56"/>
      <c r="J37" s="56"/>
      <c r="K37" s="56"/>
      <c r="L37" s="56"/>
      <c r="M37" s="56"/>
      <c r="N37" s="56"/>
      <c r="O37" s="56"/>
      <c r="P37" s="56"/>
      <c r="Q37" s="56"/>
      <c r="R37" s="56"/>
      <c r="S37" s="56"/>
      <c r="T37" s="56"/>
      <c r="U37" s="56"/>
      <c r="V37" s="56"/>
      <c r="W37" s="56"/>
      <c r="X37" s="56"/>
      <c r="Y37" s="56"/>
      <c r="Z37" s="56"/>
    </row>
    <row r="38">
      <c r="A38" s="108"/>
      <c r="B38" s="83" t="s">
        <v>1748</v>
      </c>
      <c r="C38" s="56"/>
      <c r="D38" s="56"/>
      <c r="E38" s="56"/>
      <c r="F38" s="56"/>
      <c r="G38" s="56"/>
      <c r="H38" s="56"/>
      <c r="I38" s="56"/>
      <c r="J38" s="56"/>
      <c r="K38" s="56"/>
      <c r="L38" s="56"/>
      <c r="M38" s="56"/>
      <c r="N38" s="56"/>
      <c r="O38" s="56"/>
      <c r="P38" s="56"/>
      <c r="Q38" s="56"/>
      <c r="R38" s="56"/>
      <c r="S38" s="56"/>
      <c r="T38" s="56"/>
      <c r="U38" s="56"/>
      <c r="V38" s="56"/>
      <c r="W38" s="56"/>
      <c r="X38" s="56"/>
      <c r="Y38" s="56"/>
      <c r="Z38" s="56"/>
    </row>
    <row r="39">
      <c r="A39" s="109"/>
      <c r="B39" s="83" t="s">
        <v>1749</v>
      </c>
      <c r="C39" s="56"/>
      <c r="D39" s="56"/>
      <c r="E39" s="56"/>
      <c r="F39" s="56"/>
      <c r="G39" s="56"/>
      <c r="H39" s="56"/>
      <c r="I39" s="56"/>
      <c r="J39" s="56"/>
      <c r="K39" s="56"/>
      <c r="L39" s="56"/>
      <c r="M39" s="56"/>
      <c r="N39" s="56"/>
      <c r="O39" s="56"/>
      <c r="P39" s="56"/>
      <c r="Q39" s="56"/>
      <c r="R39" s="56"/>
      <c r="S39" s="56"/>
      <c r="T39" s="56"/>
      <c r="U39" s="56"/>
      <c r="V39" s="56"/>
      <c r="W39" s="56"/>
      <c r="X39" s="56"/>
      <c r="Y39" s="56"/>
      <c r="Z39" s="56"/>
    </row>
    <row r="40">
      <c r="A40" s="153" t="s">
        <v>1750</v>
      </c>
      <c r="B40" s="83" t="s">
        <v>1751</v>
      </c>
      <c r="C40" s="56"/>
      <c r="D40" s="56"/>
      <c r="E40" s="56"/>
      <c r="F40" s="56"/>
      <c r="G40" s="56"/>
      <c r="H40" s="56"/>
      <c r="I40" s="56"/>
      <c r="J40" s="56"/>
      <c r="K40" s="56"/>
      <c r="L40" s="56"/>
      <c r="M40" s="56"/>
      <c r="N40" s="56"/>
      <c r="O40" s="56"/>
      <c r="P40" s="56"/>
      <c r="Q40" s="56"/>
      <c r="R40" s="56"/>
      <c r="S40" s="56"/>
      <c r="T40" s="56"/>
      <c r="U40" s="56"/>
      <c r="V40" s="56"/>
      <c r="W40" s="56"/>
      <c r="X40" s="56"/>
      <c r="Y40" s="56"/>
      <c r="Z40" s="56"/>
    </row>
    <row r="41">
      <c r="A41" s="153" t="s">
        <v>1752</v>
      </c>
      <c r="B41" s="83" t="s">
        <v>1753</v>
      </c>
      <c r="C41" s="56"/>
      <c r="D41" s="56"/>
      <c r="E41" s="56"/>
      <c r="F41" s="56"/>
      <c r="G41" s="56"/>
      <c r="H41" s="56"/>
      <c r="I41" s="56"/>
      <c r="J41" s="56"/>
      <c r="K41" s="56"/>
      <c r="L41" s="56"/>
      <c r="M41" s="56"/>
      <c r="N41" s="56"/>
      <c r="O41" s="56"/>
      <c r="P41" s="56"/>
      <c r="Q41" s="56"/>
      <c r="R41" s="56"/>
      <c r="S41" s="56"/>
      <c r="T41" s="56"/>
      <c r="U41" s="56"/>
      <c r="V41" s="56"/>
      <c r="W41" s="56"/>
      <c r="X41" s="56"/>
      <c r="Y41" s="56"/>
      <c r="Z41" s="56"/>
    </row>
    <row r="42">
      <c r="A42" s="152" t="s">
        <v>1754</v>
      </c>
      <c r="B42" s="83" t="s">
        <v>1755</v>
      </c>
      <c r="C42" s="56"/>
      <c r="D42" s="56"/>
      <c r="E42" s="56"/>
      <c r="F42" s="56"/>
      <c r="G42" s="56"/>
      <c r="H42" s="56"/>
      <c r="I42" s="56"/>
      <c r="J42" s="56"/>
      <c r="K42" s="56"/>
      <c r="L42" s="56"/>
      <c r="M42" s="56"/>
      <c r="N42" s="56"/>
      <c r="O42" s="56"/>
      <c r="P42" s="56"/>
      <c r="Q42" s="56"/>
      <c r="R42" s="56"/>
      <c r="S42" s="56"/>
      <c r="T42" s="56"/>
      <c r="U42" s="56"/>
      <c r="V42" s="56"/>
      <c r="W42" s="56"/>
      <c r="X42" s="56"/>
      <c r="Y42" s="56"/>
      <c r="Z42" s="56"/>
    </row>
    <row r="43">
      <c r="A43" s="108"/>
      <c r="B43" s="83" t="s">
        <v>1756</v>
      </c>
      <c r="C43" s="56"/>
      <c r="D43" s="56"/>
      <c r="E43" s="56"/>
      <c r="F43" s="56"/>
      <c r="G43" s="56"/>
      <c r="H43" s="56"/>
      <c r="I43" s="56"/>
      <c r="J43" s="56"/>
      <c r="K43" s="56"/>
      <c r="L43" s="56"/>
      <c r="M43" s="56"/>
      <c r="N43" s="56"/>
      <c r="O43" s="56"/>
      <c r="P43" s="56"/>
      <c r="Q43" s="56"/>
      <c r="R43" s="56"/>
      <c r="S43" s="56"/>
      <c r="T43" s="56"/>
      <c r="U43" s="56"/>
      <c r="V43" s="56"/>
      <c r="W43" s="56"/>
      <c r="X43" s="56"/>
      <c r="Y43" s="56"/>
      <c r="Z43" s="56"/>
    </row>
    <row r="44">
      <c r="A44" s="108"/>
      <c r="B44" s="83" t="s">
        <v>1757</v>
      </c>
      <c r="C44" s="56"/>
      <c r="D44" s="56"/>
      <c r="E44" s="56"/>
      <c r="F44" s="56"/>
      <c r="G44" s="56"/>
      <c r="H44" s="56"/>
      <c r="I44" s="56"/>
      <c r="J44" s="56"/>
      <c r="K44" s="56"/>
      <c r="L44" s="56"/>
      <c r="M44" s="56"/>
      <c r="N44" s="56"/>
      <c r="O44" s="56"/>
      <c r="P44" s="56"/>
      <c r="Q44" s="56"/>
      <c r="R44" s="56"/>
      <c r="S44" s="56"/>
      <c r="T44" s="56"/>
      <c r="U44" s="56"/>
      <c r="V44" s="56"/>
      <c r="W44" s="56"/>
      <c r="X44" s="56"/>
      <c r="Y44" s="56"/>
      <c r="Z44" s="56"/>
    </row>
    <row r="45">
      <c r="A45" s="108"/>
      <c r="B45" s="83" t="s">
        <v>1758</v>
      </c>
      <c r="C45" s="56"/>
      <c r="D45" s="56"/>
      <c r="E45" s="56"/>
      <c r="F45" s="56"/>
      <c r="G45" s="56"/>
      <c r="H45" s="56"/>
      <c r="I45" s="56"/>
      <c r="J45" s="56"/>
      <c r="K45" s="56"/>
      <c r="L45" s="56"/>
      <c r="M45" s="56"/>
      <c r="N45" s="56"/>
      <c r="O45" s="56"/>
      <c r="P45" s="56"/>
      <c r="Q45" s="56"/>
      <c r="R45" s="56"/>
      <c r="S45" s="56"/>
      <c r="T45" s="56"/>
      <c r="U45" s="56"/>
      <c r="V45" s="56"/>
      <c r="W45" s="56"/>
      <c r="X45" s="56"/>
      <c r="Y45" s="56"/>
      <c r="Z45" s="56"/>
    </row>
    <row r="46">
      <c r="A46" s="108"/>
      <c r="B46" s="83" t="s">
        <v>1759</v>
      </c>
      <c r="C46" s="56"/>
      <c r="D46" s="56"/>
      <c r="E46" s="56"/>
      <c r="F46" s="56"/>
      <c r="G46" s="56"/>
      <c r="H46" s="56"/>
      <c r="I46" s="56"/>
      <c r="J46" s="56"/>
      <c r="K46" s="56"/>
      <c r="L46" s="56"/>
      <c r="M46" s="56"/>
      <c r="N46" s="56"/>
      <c r="O46" s="56"/>
      <c r="P46" s="56"/>
      <c r="Q46" s="56"/>
      <c r="R46" s="56"/>
      <c r="S46" s="56"/>
      <c r="T46" s="56"/>
      <c r="U46" s="56"/>
      <c r="V46" s="56"/>
      <c r="W46" s="56"/>
      <c r="X46" s="56"/>
      <c r="Y46" s="56"/>
      <c r="Z46" s="56"/>
    </row>
    <row r="47">
      <c r="A47" s="108"/>
      <c r="B47" s="83" t="s">
        <v>1760</v>
      </c>
      <c r="C47" s="56"/>
      <c r="D47" s="56"/>
      <c r="E47" s="56"/>
      <c r="F47" s="56"/>
      <c r="G47" s="56"/>
      <c r="H47" s="56"/>
      <c r="I47" s="56"/>
      <c r="J47" s="56"/>
      <c r="K47" s="56"/>
      <c r="L47" s="56"/>
      <c r="M47" s="56"/>
      <c r="N47" s="56"/>
      <c r="O47" s="56"/>
      <c r="P47" s="56"/>
      <c r="Q47" s="56"/>
      <c r="R47" s="56"/>
      <c r="S47" s="56"/>
      <c r="T47" s="56"/>
      <c r="U47" s="56"/>
      <c r="V47" s="56"/>
      <c r="W47" s="56"/>
      <c r="X47" s="56"/>
      <c r="Y47" s="56"/>
      <c r="Z47" s="56"/>
    </row>
    <row r="48">
      <c r="A48" s="108"/>
      <c r="B48" s="83" t="s">
        <v>1761</v>
      </c>
      <c r="C48" s="56"/>
      <c r="D48" s="56"/>
      <c r="E48" s="56"/>
      <c r="F48" s="56"/>
      <c r="G48" s="56"/>
      <c r="H48" s="56"/>
      <c r="I48" s="56"/>
      <c r="J48" s="56"/>
      <c r="K48" s="56"/>
      <c r="L48" s="56"/>
      <c r="M48" s="56"/>
      <c r="N48" s="56"/>
      <c r="O48" s="56"/>
      <c r="P48" s="56"/>
      <c r="Q48" s="56"/>
      <c r="R48" s="56"/>
      <c r="S48" s="56"/>
      <c r="T48" s="56"/>
      <c r="U48" s="56"/>
      <c r="V48" s="56"/>
      <c r="W48" s="56"/>
      <c r="X48" s="56"/>
      <c r="Y48" s="56"/>
      <c r="Z48" s="56"/>
    </row>
    <row r="49">
      <c r="A49" s="108"/>
      <c r="B49" s="83" t="s">
        <v>1762</v>
      </c>
      <c r="C49" s="56"/>
      <c r="D49" s="56"/>
      <c r="E49" s="56"/>
      <c r="F49" s="56"/>
      <c r="G49" s="56"/>
      <c r="H49" s="56"/>
      <c r="I49" s="56"/>
      <c r="J49" s="56"/>
      <c r="K49" s="56"/>
      <c r="L49" s="56"/>
      <c r="M49" s="56"/>
      <c r="N49" s="56"/>
      <c r="O49" s="56"/>
      <c r="P49" s="56"/>
      <c r="Q49" s="56"/>
      <c r="R49" s="56"/>
      <c r="S49" s="56"/>
      <c r="T49" s="56"/>
      <c r="U49" s="56"/>
      <c r="V49" s="56"/>
      <c r="W49" s="56"/>
      <c r="X49" s="56"/>
      <c r="Y49" s="56"/>
      <c r="Z49" s="56"/>
    </row>
    <row r="50">
      <c r="A50" s="109"/>
      <c r="B50" s="83" t="s">
        <v>1763</v>
      </c>
      <c r="C50" s="56"/>
      <c r="D50" s="56"/>
      <c r="E50" s="56"/>
      <c r="F50" s="56"/>
      <c r="G50" s="56"/>
      <c r="H50" s="56"/>
      <c r="I50" s="56"/>
      <c r="J50" s="56"/>
      <c r="K50" s="56"/>
      <c r="L50" s="56"/>
      <c r="M50" s="56"/>
      <c r="N50" s="56"/>
      <c r="O50" s="56"/>
      <c r="P50" s="56"/>
      <c r="Q50" s="56"/>
      <c r="R50" s="56"/>
      <c r="S50" s="56"/>
      <c r="T50" s="56"/>
      <c r="U50" s="56"/>
      <c r="V50" s="56"/>
      <c r="W50" s="56"/>
      <c r="X50" s="56"/>
      <c r="Y50" s="56"/>
      <c r="Z50" s="56"/>
    </row>
    <row r="51">
      <c r="A51" s="152" t="s">
        <v>1764</v>
      </c>
      <c r="B51" s="83" t="s">
        <v>1765</v>
      </c>
      <c r="C51" s="56"/>
      <c r="D51" s="56"/>
      <c r="E51" s="56"/>
      <c r="F51" s="56"/>
      <c r="G51" s="56"/>
      <c r="H51" s="56"/>
      <c r="I51" s="56"/>
      <c r="J51" s="56"/>
      <c r="K51" s="56"/>
      <c r="L51" s="56"/>
      <c r="M51" s="56"/>
      <c r="N51" s="56"/>
      <c r="O51" s="56"/>
      <c r="P51" s="56"/>
      <c r="Q51" s="56"/>
      <c r="R51" s="56"/>
      <c r="S51" s="56"/>
      <c r="T51" s="56"/>
      <c r="U51" s="56"/>
      <c r="V51" s="56"/>
      <c r="W51" s="56"/>
      <c r="X51" s="56"/>
      <c r="Y51" s="56"/>
      <c r="Z51" s="56"/>
    </row>
    <row r="52">
      <c r="A52" s="108"/>
      <c r="B52" s="83" t="s">
        <v>1766</v>
      </c>
      <c r="C52" s="56"/>
      <c r="D52" s="56"/>
      <c r="E52" s="56"/>
      <c r="F52" s="56"/>
      <c r="G52" s="56"/>
      <c r="H52" s="56"/>
      <c r="I52" s="56"/>
      <c r="J52" s="56"/>
      <c r="K52" s="56"/>
      <c r="L52" s="56"/>
      <c r="M52" s="56"/>
      <c r="N52" s="56"/>
      <c r="O52" s="56"/>
      <c r="P52" s="56"/>
      <c r="Q52" s="56"/>
      <c r="R52" s="56"/>
      <c r="S52" s="56"/>
      <c r="T52" s="56"/>
      <c r="U52" s="56"/>
      <c r="V52" s="56"/>
      <c r="W52" s="56"/>
      <c r="X52" s="56"/>
      <c r="Y52" s="56"/>
      <c r="Z52" s="56"/>
    </row>
    <row r="53">
      <c r="A53" s="108"/>
      <c r="B53" s="83" t="s">
        <v>1767</v>
      </c>
      <c r="C53" s="56"/>
      <c r="D53" s="56"/>
      <c r="E53" s="56"/>
      <c r="F53" s="56"/>
      <c r="G53" s="56"/>
      <c r="H53" s="56"/>
      <c r="I53" s="56"/>
      <c r="J53" s="56"/>
      <c r="K53" s="56"/>
      <c r="L53" s="56"/>
      <c r="M53" s="56"/>
      <c r="N53" s="56"/>
      <c r="O53" s="56"/>
      <c r="P53" s="56"/>
      <c r="Q53" s="56"/>
      <c r="R53" s="56"/>
      <c r="S53" s="56"/>
      <c r="T53" s="56"/>
      <c r="U53" s="56"/>
      <c r="V53" s="56"/>
      <c r="W53" s="56"/>
      <c r="X53" s="56"/>
      <c r="Y53" s="56"/>
      <c r="Z53" s="56"/>
    </row>
    <row r="54">
      <c r="A54" s="108"/>
      <c r="B54" s="83" t="s">
        <v>1768</v>
      </c>
      <c r="C54" s="56"/>
      <c r="D54" s="56"/>
      <c r="E54" s="56"/>
      <c r="F54" s="56"/>
      <c r="G54" s="56"/>
      <c r="H54" s="56"/>
      <c r="I54" s="56"/>
      <c r="J54" s="56"/>
      <c r="K54" s="56"/>
      <c r="L54" s="56"/>
      <c r="M54" s="56"/>
      <c r="N54" s="56"/>
      <c r="O54" s="56"/>
      <c r="P54" s="56"/>
      <c r="Q54" s="56"/>
      <c r="R54" s="56"/>
      <c r="S54" s="56"/>
      <c r="T54" s="56"/>
      <c r="U54" s="56"/>
      <c r="V54" s="56"/>
      <c r="W54" s="56"/>
      <c r="X54" s="56"/>
      <c r="Y54" s="56"/>
      <c r="Z54" s="56"/>
    </row>
    <row r="55">
      <c r="A55" s="109"/>
      <c r="B55" s="83" t="s">
        <v>1769</v>
      </c>
      <c r="C55" s="56"/>
      <c r="D55" s="56"/>
      <c r="E55" s="56"/>
      <c r="F55" s="56"/>
      <c r="G55" s="56"/>
      <c r="H55" s="56"/>
      <c r="I55" s="56"/>
      <c r="J55" s="56"/>
      <c r="K55" s="56"/>
      <c r="L55" s="56"/>
      <c r="M55" s="56"/>
      <c r="N55" s="56"/>
      <c r="O55" s="56"/>
      <c r="P55" s="56"/>
      <c r="Q55" s="56"/>
      <c r="R55" s="56"/>
      <c r="S55" s="56"/>
      <c r="T55" s="56"/>
      <c r="U55" s="56"/>
      <c r="V55" s="56"/>
      <c r="W55" s="56"/>
      <c r="X55" s="56"/>
      <c r="Y55" s="56"/>
      <c r="Z55" s="56"/>
    </row>
    <row r="56">
      <c r="A56" s="153" t="s">
        <v>1770</v>
      </c>
      <c r="B56" s="83" t="s">
        <v>1771</v>
      </c>
      <c r="C56" s="56"/>
      <c r="D56" s="56"/>
      <c r="E56" s="56"/>
      <c r="F56" s="56"/>
      <c r="G56" s="56"/>
      <c r="H56" s="56"/>
      <c r="I56" s="56"/>
      <c r="J56" s="56"/>
      <c r="K56" s="56"/>
      <c r="L56" s="56"/>
      <c r="M56" s="56"/>
      <c r="N56" s="56"/>
      <c r="O56" s="56"/>
      <c r="P56" s="56"/>
      <c r="Q56" s="56"/>
      <c r="R56" s="56"/>
      <c r="S56" s="56"/>
      <c r="T56" s="56"/>
      <c r="U56" s="56"/>
      <c r="V56" s="56"/>
      <c r="W56" s="56"/>
      <c r="X56" s="56"/>
      <c r="Y56" s="56"/>
      <c r="Z56" s="56"/>
    </row>
    <row r="57">
      <c r="A57" s="153" t="s">
        <v>1772</v>
      </c>
      <c r="B57" s="83" t="s">
        <v>1773</v>
      </c>
      <c r="C57" s="56"/>
      <c r="D57" s="56"/>
      <c r="E57" s="56"/>
      <c r="F57" s="56"/>
      <c r="G57" s="56"/>
      <c r="H57" s="56"/>
      <c r="I57" s="56"/>
      <c r="J57" s="56"/>
      <c r="K57" s="56"/>
      <c r="L57" s="56"/>
      <c r="M57" s="56"/>
      <c r="N57" s="56"/>
      <c r="O57" s="56"/>
      <c r="P57" s="56"/>
      <c r="Q57" s="56"/>
      <c r="R57" s="56"/>
      <c r="S57" s="56"/>
      <c r="T57" s="56"/>
      <c r="U57" s="56"/>
      <c r="V57" s="56"/>
      <c r="W57" s="56"/>
      <c r="X57" s="56"/>
      <c r="Y57" s="56"/>
      <c r="Z57" s="56"/>
    </row>
    <row r="58">
      <c r="A58" s="153"/>
      <c r="B58" s="83"/>
      <c r="C58" s="56"/>
      <c r="D58" s="56"/>
      <c r="E58" s="56"/>
      <c r="F58" s="56"/>
      <c r="G58" s="56"/>
      <c r="H58" s="56"/>
      <c r="I58" s="56"/>
      <c r="J58" s="56"/>
      <c r="K58" s="56"/>
      <c r="L58" s="56"/>
      <c r="M58" s="56"/>
      <c r="N58" s="56"/>
      <c r="O58" s="56"/>
      <c r="P58" s="56"/>
      <c r="Q58" s="56"/>
      <c r="R58" s="56"/>
      <c r="S58" s="56"/>
      <c r="T58" s="56"/>
      <c r="U58" s="56"/>
      <c r="V58" s="56"/>
      <c r="W58" s="56"/>
      <c r="X58" s="56"/>
      <c r="Y58" s="56"/>
      <c r="Z58" s="56"/>
    </row>
    <row r="59">
      <c r="A59" s="153"/>
      <c r="B59" s="83"/>
      <c r="C59" s="56"/>
      <c r="D59" s="56"/>
      <c r="E59" s="56"/>
      <c r="F59" s="56"/>
      <c r="G59" s="56"/>
      <c r="H59" s="56"/>
      <c r="I59" s="56"/>
      <c r="J59" s="56"/>
      <c r="K59" s="56"/>
      <c r="L59" s="56"/>
      <c r="M59" s="56"/>
      <c r="N59" s="56"/>
      <c r="O59" s="56"/>
      <c r="P59" s="56"/>
      <c r="Q59" s="56"/>
      <c r="R59" s="56"/>
      <c r="S59" s="56"/>
      <c r="T59" s="56"/>
      <c r="U59" s="56"/>
      <c r="V59" s="56"/>
      <c r="W59" s="56"/>
      <c r="X59" s="56"/>
      <c r="Y59" s="56"/>
      <c r="Z59" s="56"/>
    </row>
    <row r="60">
      <c r="A60" s="153"/>
      <c r="B60" s="83"/>
      <c r="C60" s="56"/>
      <c r="D60" s="56"/>
      <c r="E60" s="56"/>
      <c r="F60" s="56"/>
      <c r="G60" s="56"/>
      <c r="H60" s="56"/>
      <c r="I60" s="56"/>
      <c r="J60" s="56"/>
      <c r="K60" s="56"/>
      <c r="L60" s="56"/>
      <c r="M60" s="56"/>
      <c r="N60" s="56"/>
      <c r="O60" s="56"/>
      <c r="P60" s="56"/>
      <c r="Q60" s="56"/>
      <c r="R60" s="56"/>
      <c r="S60" s="56"/>
      <c r="T60" s="56"/>
      <c r="U60" s="56"/>
      <c r="V60" s="56"/>
      <c r="W60" s="56"/>
      <c r="X60" s="56"/>
      <c r="Y60" s="56"/>
      <c r="Z60" s="56"/>
    </row>
    <row r="61">
      <c r="A61" s="153"/>
      <c r="B61" s="83"/>
      <c r="C61" s="56"/>
      <c r="D61" s="56"/>
      <c r="E61" s="56"/>
      <c r="F61" s="56"/>
      <c r="G61" s="56"/>
      <c r="H61" s="56"/>
      <c r="I61" s="56"/>
      <c r="J61" s="56"/>
      <c r="K61" s="56"/>
      <c r="L61" s="56"/>
      <c r="M61" s="56"/>
      <c r="N61" s="56"/>
      <c r="O61" s="56"/>
      <c r="P61" s="56"/>
      <c r="Q61" s="56"/>
      <c r="R61" s="56"/>
      <c r="S61" s="56"/>
      <c r="T61" s="56"/>
      <c r="U61" s="56"/>
      <c r="V61" s="56"/>
      <c r="W61" s="56"/>
      <c r="X61" s="56"/>
      <c r="Y61" s="56"/>
      <c r="Z61" s="56"/>
    </row>
    <row r="62">
      <c r="A62" s="153"/>
      <c r="B62" s="83"/>
      <c r="C62" s="56"/>
      <c r="D62" s="56"/>
      <c r="E62" s="56"/>
      <c r="F62" s="56"/>
      <c r="G62" s="56"/>
      <c r="H62" s="56"/>
      <c r="I62" s="56"/>
      <c r="J62" s="56"/>
      <c r="K62" s="56"/>
      <c r="L62" s="56"/>
      <c r="M62" s="56"/>
      <c r="N62" s="56"/>
      <c r="O62" s="56"/>
      <c r="P62" s="56"/>
      <c r="Q62" s="56"/>
      <c r="R62" s="56"/>
      <c r="S62" s="56"/>
      <c r="T62" s="56"/>
      <c r="U62" s="56"/>
      <c r="V62" s="56"/>
      <c r="W62" s="56"/>
      <c r="X62" s="56"/>
      <c r="Y62" s="56"/>
      <c r="Z62" s="56"/>
    </row>
    <row r="63">
      <c r="A63" s="153"/>
      <c r="B63" s="83"/>
      <c r="C63" s="56"/>
      <c r="D63" s="56"/>
      <c r="E63" s="56"/>
      <c r="F63" s="56"/>
      <c r="G63" s="56"/>
      <c r="H63" s="56"/>
      <c r="I63" s="56"/>
      <c r="J63" s="56"/>
      <c r="K63" s="56"/>
      <c r="L63" s="56"/>
      <c r="M63" s="56"/>
      <c r="N63" s="56"/>
      <c r="O63" s="56"/>
      <c r="P63" s="56"/>
      <c r="Q63" s="56"/>
      <c r="R63" s="56"/>
      <c r="S63" s="56"/>
      <c r="T63" s="56"/>
      <c r="U63" s="56"/>
      <c r="V63" s="56"/>
      <c r="W63" s="56"/>
      <c r="X63" s="56"/>
      <c r="Y63" s="56"/>
      <c r="Z63" s="56"/>
    </row>
    <row r="64">
      <c r="A64" s="153"/>
      <c r="B64" s="83"/>
      <c r="C64" s="56"/>
      <c r="D64" s="56"/>
      <c r="E64" s="56"/>
      <c r="F64" s="56"/>
      <c r="G64" s="56"/>
      <c r="H64" s="56"/>
      <c r="I64" s="56"/>
      <c r="J64" s="56"/>
      <c r="K64" s="56"/>
      <c r="L64" s="56"/>
      <c r="M64" s="56"/>
      <c r="N64" s="56"/>
      <c r="O64" s="56"/>
      <c r="P64" s="56"/>
      <c r="Q64" s="56"/>
      <c r="R64" s="56"/>
      <c r="S64" s="56"/>
      <c r="T64" s="56"/>
      <c r="U64" s="56"/>
      <c r="V64" s="56"/>
      <c r="W64" s="56"/>
      <c r="X64" s="56"/>
      <c r="Y64" s="56"/>
      <c r="Z64" s="56"/>
    </row>
    <row r="65">
      <c r="A65" s="153"/>
      <c r="B65" s="83"/>
      <c r="C65" s="56"/>
      <c r="D65" s="56"/>
      <c r="E65" s="56"/>
      <c r="F65" s="56"/>
      <c r="G65" s="56"/>
      <c r="H65" s="56"/>
      <c r="I65" s="56"/>
      <c r="J65" s="56"/>
      <c r="K65" s="56"/>
      <c r="L65" s="56"/>
      <c r="M65" s="56"/>
      <c r="N65" s="56"/>
      <c r="O65" s="56"/>
      <c r="P65" s="56"/>
      <c r="Q65" s="56"/>
      <c r="R65" s="56"/>
      <c r="S65" s="56"/>
      <c r="T65" s="56"/>
      <c r="U65" s="56"/>
      <c r="V65" s="56"/>
      <c r="W65" s="56"/>
      <c r="X65" s="56"/>
      <c r="Y65" s="56"/>
      <c r="Z65" s="56"/>
    </row>
    <row r="66">
      <c r="A66" s="153"/>
      <c r="B66" s="83"/>
      <c r="C66" s="56"/>
      <c r="D66" s="56"/>
      <c r="E66" s="56"/>
      <c r="F66" s="56"/>
      <c r="G66" s="56"/>
      <c r="H66" s="56"/>
      <c r="I66" s="56"/>
      <c r="J66" s="56"/>
      <c r="K66" s="56"/>
      <c r="L66" s="56"/>
      <c r="M66" s="56"/>
      <c r="N66" s="56"/>
      <c r="O66" s="56"/>
      <c r="P66" s="56"/>
      <c r="Q66" s="56"/>
      <c r="R66" s="56"/>
      <c r="S66" s="56"/>
      <c r="T66" s="56"/>
      <c r="U66" s="56"/>
      <c r="V66" s="56"/>
      <c r="W66" s="56"/>
      <c r="X66" s="56"/>
      <c r="Y66" s="56"/>
      <c r="Z66" s="56"/>
    </row>
    <row r="67">
      <c r="A67" s="153"/>
      <c r="B67" s="83"/>
      <c r="C67" s="56"/>
      <c r="D67" s="56"/>
      <c r="E67" s="56"/>
      <c r="F67" s="56"/>
      <c r="G67" s="56"/>
      <c r="H67" s="56"/>
      <c r="I67" s="56"/>
      <c r="J67" s="56"/>
      <c r="K67" s="56"/>
      <c r="L67" s="56"/>
      <c r="M67" s="56"/>
      <c r="N67" s="56"/>
      <c r="O67" s="56"/>
      <c r="P67" s="56"/>
      <c r="Q67" s="56"/>
      <c r="R67" s="56"/>
      <c r="S67" s="56"/>
      <c r="T67" s="56"/>
      <c r="U67" s="56"/>
      <c r="V67" s="56"/>
      <c r="W67" s="56"/>
      <c r="X67" s="56"/>
      <c r="Y67" s="56"/>
      <c r="Z67" s="56"/>
    </row>
    <row r="68">
      <c r="A68" s="153"/>
      <c r="B68" s="83"/>
      <c r="C68" s="56"/>
      <c r="D68" s="56"/>
      <c r="E68" s="56"/>
      <c r="F68" s="56"/>
      <c r="G68" s="56"/>
      <c r="H68" s="56"/>
      <c r="I68" s="56"/>
      <c r="J68" s="56"/>
      <c r="K68" s="56"/>
      <c r="L68" s="56"/>
      <c r="M68" s="56"/>
      <c r="N68" s="56"/>
      <c r="O68" s="56"/>
      <c r="P68" s="56"/>
      <c r="Q68" s="56"/>
      <c r="R68" s="56"/>
      <c r="S68" s="56"/>
      <c r="T68" s="56"/>
      <c r="U68" s="56"/>
      <c r="V68" s="56"/>
      <c r="W68" s="56"/>
      <c r="X68" s="56"/>
      <c r="Y68" s="56"/>
      <c r="Z68" s="56"/>
    </row>
    <row r="69">
      <c r="A69" s="153"/>
      <c r="B69" s="83"/>
      <c r="C69" s="56"/>
      <c r="D69" s="56"/>
      <c r="E69" s="56"/>
      <c r="F69" s="56"/>
      <c r="G69" s="56"/>
      <c r="H69" s="56"/>
      <c r="I69" s="56"/>
      <c r="J69" s="56"/>
      <c r="K69" s="56"/>
      <c r="L69" s="56"/>
      <c r="M69" s="56"/>
      <c r="N69" s="56"/>
      <c r="O69" s="56"/>
      <c r="P69" s="56"/>
      <c r="Q69" s="56"/>
      <c r="R69" s="56"/>
      <c r="S69" s="56"/>
      <c r="T69" s="56"/>
      <c r="U69" s="56"/>
      <c r="V69" s="56"/>
      <c r="W69" s="56"/>
      <c r="X69" s="56"/>
      <c r="Y69" s="56"/>
      <c r="Z69" s="56"/>
    </row>
    <row r="70">
      <c r="A70" s="153"/>
      <c r="B70" s="83"/>
      <c r="C70" s="56"/>
      <c r="D70" s="56"/>
      <c r="E70" s="56"/>
      <c r="F70" s="56"/>
      <c r="G70" s="56"/>
      <c r="H70" s="56"/>
      <c r="I70" s="56"/>
      <c r="J70" s="56"/>
      <c r="K70" s="56"/>
      <c r="L70" s="56"/>
      <c r="M70" s="56"/>
      <c r="N70" s="56"/>
      <c r="O70" s="56"/>
      <c r="P70" s="56"/>
      <c r="Q70" s="56"/>
      <c r="R70" s="56"/>
      <c r="S70" s="56"/>
      <c r="T70" s="56"/>
      <c r="U70" s="56"/>
      <c r="V70" s="56"/>
      <c r="W70" s="56"/>
      <c r="X70" s="56"/>
      <c r="Y70" s="56"/>
      <c r="Z70" s="56"/>
    </row>
    <row r="71">
      <c r="A71" s="153"/>
      <c r="B71" s="83"/>
      <c r="C71" s="56"/>
      <c r="D71" s="56"/>
      <c r="E71" s="56"/>
      <c r="F71" s="56"/>
      <c r="G71" s="56"/>
      <c r="H71" s="56"/>
      <c r="I71" s="56"/>
      <c r="J71" s="56"/>
      <c r="K71" s="56"/>
      <c r="L71" s="56"/>
      <c r="M71" s="56"/>
      <c r="N71" s="56"/>
      <c r="O71" s="56"/>
      <c r="P71" s="56"/>
      <c r="Q71" s="56"/>
      <c r="R71" s="56"/>
      <c r="S71" s="56"/>
      <c r="T71" s="56"/>
      <c r="U71" s="56"/>
      <c r="V71" s="56"/>
      <c r="W71" s="56"/>
      <c r="X71" s="56"/>
      <c r="Y71" s="56"/>
      <c r="Z71" s="56"/>
    </row>
    <row r="72">
      <c r="A72" s="153"/>
      <c r="B72" s="83"/>
      <c r="C72" s="56"/>
      <c r="D72" s="56"/>
      <c r="E72" s="56"/>
      <c r="F72" s="56"/>
      <c r="G72" s="56"/>
      <c r="H72" s="56"/>
      <c r="I72" s="56"/>
      <c r="J72" s="56"/>
      <c r="K72" s="56"/>
      <c r="L72" s="56"/>
      <c r="M72" s="56"/>
      <c r="N72" s="56"/>
      <c r="O72" s="56"/>
      <c r="P72" s="56"/>
      <c r="Q72" s="56"/>
      <c r="R72" s="56"/>
      <c r="S72" s="56"/>
      <c r="T72" s="56"/>
      <c r="U72" s="56"/>
      <c r="V72" s="56"/>
      <c r="W72" s="56"/>
      <c r="X72" s="56"/>
      <c r="Y72" s="56"/>
      <c r="Z72" s="56"/>
    </row>
    <row r="73">
      <c r="A73" s="153"/>
      <c r="B73" s="83"/>
      <c r="C73" s="56"/>
      <c r="D73" s="56"/>
      <c r="E73" s="56"/>
      <c r="F73" s="56"/>
      <c r="G73" s="56"/>
      <c r="H73" s="56"/>
      <c r="I73" s="56"/>
      <c r="J73" s="56"/>
      <c r="K73" s="56"/>
      <c r="L73" s="56"/>
      <c r="M73" s="56"/>
      <c r="N73" s="56"/>
      <c r="O73" s="56"/>
      <c r="P73" s="56"/>
      <c r="Q73" s="56"/>
      <c r="R73" s="56"/>
      <c r="S73" s="56"/>
      <c r="T73" s="56"/>
      <c r="U73" s="56"/>
      <c r="V73" s="56"/>
      <c r="W73" s="56"/>
      <c r="X73" s="56"/>
      <c r="Y73" s="56"/>
      <c r="Z73" s="56"/>
    </row>
    <row r="74">
      <c r="A74" s="153"/>
      <c r="B74" s="83"/>
      <c r="C74" s="56"/>
      <c r="D74" s="56"/>
      <c r="E74" s="56"/>
      <c r="F74" s="56"/>
      <c r="G74" s="56"/>
      <c r="H74" s="56"/>
      <c r="I74" s="56"/>
      <c r="J74" s="56"/>
      <c r="K74" s="56"/>
      <c r="L74" s="56"/>
      <c r="M74" s="56"/>
      <c r="N74" s="56"/>
      <c r="O74" s="56"/>
      <c r="P74" s="56"/>
      <c r="Q74" s="56"/>
      <c r="R74" s="56"/>
      <c r="S74" s="56"/>
      <c r="T74" s="56"/>
      <c r="U74" s="56"/>
      <c r="V74" s="56"/>
      <c r="W74" s="56"/>
      <c r="X74" s="56"/>
      <c r="Y74" s="56"/>
      <c r="Z74" s="56"/>
    </row>
    <row r="75">
      <c r="A75" s="153"/>
      <c r="B75" s="83"/>
      <c r="C75" s="56"/>
      <c r="D75" s="56"/>
      <c r="E75" s="56"/>
      <c r="F75" s="56"/>
      <c r="G75" s="56"/>
      <c r="H75" s="56"/>
      <c r="I75" s="56"/>
      <c r="J75" s="56"/>
      <c r="K75" s="56"/>
      <c r="L75" s="56"/>
      <c r="M75" s="56"/>
      <c r="N75" s="56"/>
      <c r="O75" s="56"/>
      <c r="P75" s="56"/>
      <c r="Q75" s="56"/>
      <c r="R75" s="56"/>
      <c r="S75" s="56"/>
      <c r="T75" s="56"/>
      <c r="U75" s="56"/>
      <c r="V75" s="56"/>
      <c r="W75" s="56"/>
      <c r="X75" s="56"/>
      <c r="Y75" s="56"/>
      <c r="Z75" s="56"/>
    </row>
    <row r="76">
      <c r="A76" s="153"/>
      <c r="B76" s="83"/>
      <c r="C76" s="56"/>
      <c r="D76" s="56"/>
      <c r="E76" s="56"/>
      <c r="F76" s="56"/>
      <c r="G76" s="56"/>
      <c r="H76" s="56"/>
      <c r="I76" s="56"/>
      <c r="J76" s="56"/>
      <c r="K76" s="56"/>
      <c r="L76" s="56"/>
      <c r="M76" s="56"/>
      <c r="N76" s="56"/>
      <c r="O76" s="56"/>
      <c r="P76" s="56"/>
      <c r="Q76" s="56"/>
      <c r="R76" s="56"/>
      <c r="S76" s="56"/>
      <c r="T76" s="56"/>
      <c r="U76" s="56"/>
      <c r="V76" s="56"/>
      <c r="W76" s="56"/>
      <c r="X76" s="56"/>
      <c r="Y76" s="56"/>
      <c r="Z76" s="56"/>
    </row>
    <row r="77">
      <c r="A77" s="153"/>
      <c r="B77" s="83"/>
      <c r="C77" s="56"/>
      <c r="D77" s="56"/>
      <c r="E77" s="56"/>
      <c r="F77" s="56"/>
      <c r="G77" s="56"/>
      <c r="H77" s="56"/>
      <c r="I77" s="56"/>
      <c r="J77" s="56"/>
      <c r="K77" s="56"/>
      <c r="L77" s="56"/>
      <c r="M77" s="56"/>
      <c r="N77" s="56"/>
      <c r="O77" s="56"/>
      <c r="P77" s="56"/>
      <c r="Q77" s="56"/>
      <c r="R77" s="56"/>
      <c r="S77" s="56"/>
      <c r="T77" s="56"/>
      <c r="U77" s="56"/>
      <c r="V77" s="56"/>
      <c r="W77" s="56"/>
      <c r="X77" s="56"/>
      <c r="Y77" s="56"/>
      <c r="Z77" s="56"/>
    </row>
    <row r="78">
      <c r="A78" s="153"/>
      <c r="B78" s="83"/>
      <c r="C78" s="56"/>
      <c r="D78" s="56"/>
      <c r="E78" s="56"/>
      <c r="F78" s="56"/>
      <c r="G78" s="56"/>
      <c r="H78" s="56"/>
      <c r="I78" s="56"/>
      <c r="J78" s="56"/>
      <c r="K78" s="56"/>
      <c r="L78" s="56"/>
      <c r="M78" s="56"/>
      <c r="N78" s="56"/>
      <c r="O78" s="56"/>
      <c r="P78" s="56"/>
      <c r="Q78" s="56"/>
      <c r="R78" s="56"/>
      <c r="S78" s="56"/>
      <c r="T78" s="56"/>
      <c r="U78" s="56"/>
      <c r="V78" s="56"/>
      <c r="W78" s="56"/>
      <c r="X78" s="56"/>
      <c r="Y78" s="56"/>
      <c r="Z78" s="56"/>
    </row>
    <row r="79">
      <c r="A79" s="153"/>
      <c r="B79" s="83"/>
      <c r="C79" s="56"/>
      <c r="D79" s="56"/>
      <c r="E79" s="56"/>
      <c r="F79" s="56"/>
      <c r="G79" s="56"/>
      <c r="H79" s="56"/>
      <c r="I79" s="56"/>
      <c r="J79" s="56"/>
      <c r="K79" s="56"/>
      <c r="L79" s="56"/>
      <c r="M79" s="56"/>
      <c r="N79" s="56"/>
      <c r="O79" s="56"/>
      <c r="P79" s="56"/>
      <c r="Q79" s="56"/>
      <c r="R79" s="56"/>
      <c r="S79" s="56"/>
      <c r="T79" s="56"/>
      <c r="U79" s="56"/>
      <c r="V79" s="56"/>
      <c r="W79" s="56"/>
      <c r="X79" s="56"/>
      <c r="Y79" s="56"/>
      <c r="Z79" s="56"/>
    </row>
    <row r="80">
      <c r="A80" s="153"/>
      <c r="B80" s="83"/>
      <c r="C80" s="56"/>
      <c r="D80" s="56"/>
      <c r="E80" s="56"/>
      <c r="F80" s="56"/>
      <c r="G80" s="56"/>
      <c r="H80" s="56"/>
      <c r="I80" s="56"/>
      <c r="J80" s="56"/>
      <c r="K80" s="56"/>
      <c r="L80" s="56"/>
      <c r="M80" s="56"/>
      <c r="N80" s="56"/>
      <c r="O80" s="56"/>
      <c r="P80" s="56"/>
      <c r="Q80" s="56"/>
      <c r="R80" s="56"/>
      <c r="S80" s="56"/>
      <c r="T80" s="56"/>
      <c r="U80" s="56"/>
      <c r="V80" s="56"/>
      <c r="W80" s="56"/>
      <c r="X80" s="56"/>
      <c r="Y80" s="56"/>
      <c r="Z80" s="56"/>
    </row>
    <row r="81">
      <c r="A81" s="153"/>
      <c r="B81" s="83"/>
      <c r="C81" s="56"/>
      <c r="D81" s="56"/>
      <c r="E81" s="56"/>
      <c r="F81" s="56"/>
      <c r="G81" s="56"/>
      <c r="H81" s="56"/>
      <c r="I81" s="56"/>
      <c r="J81" s="56"/>
      <c r="K81" s="56"/>
      <c r="L81" s="56"/>
      <c r="M81" s="56"/>
      <c r="N81" s="56"/>
      <c r="O81" s="56"/>
      <c r="P81" s="56"/>
      <c r="Q81" s="56"/>
      <c r="R81" s="56"/>
      <c r="S81" s="56"/>
      <c r="T81" s="56"/>
      <c r="U81" s="56"/>
      <c r="V81" s="56"/>
      <c r="W81" s="56"/>
      <c r="X81" s="56"/>
      <c r="Y81" s="56"/>
      <c r="Z81" s="56"/>
    </row>
    <row r="82">
      <c r="A82" s="153"/>
      <c r="B82" s="83"/>
      <c r="C82" s="56"/>
      <c r="D82" s="56"/>
      <c r="E82" s="56"/>
      <c r="F82" s="56"/>
      <c r="G82" s="56"/>
      <c r="H82" s="56"/>
      <c r="I82" s="56"/>
      <c r="J82" s="56"/>
      <c r="K82" s="56"/>
      <c r="L82" s="56"/>
      <c r="M82" s="56"/>
      <c r="N82" s="56"/>
      <c r="O82" s="56"/>
      <c r="P82" s="56"/>
      <c r="Q82" s="56"/>
      <c r="R82" s="56"/>
      <c r="S82" s="56"/>
      <c r="T82" s="56"/>
      <c r="U82" s="56"/>
      <c r="V82" s="56"/>
      <c r="W82" s="56"/>
      <c r="X82" s="56"/>
      <c r="Y82" s="56"/>
      <c r="Z82" s="56"/>
    </row>
    <row r="83">
      <c r="A83" s="153"/>
      <c r="B83" s="83"/>
      <c r="C83" s="56"/>
      <c r="D83" s="56"/>
      <c r="E83" s="56"/>
      <c r="F83" s="56"/>
      <c r="G83" s="56"/>
      <c r="H83" s="56"/>
      <c r="I83" s="56"/>
      <c r="J83" s="56"/>
      <c r="K83" s="56"/>
      <c r="L83" s="56"/>
      <c r="M83" s="56"/>
      <c r="N83" s="56"/>
      <c r="O83" s="56"/>
      <c r="P83" s="56"/>
      <c r="Q83" s="56"/>
      <c r="R83" s="56"/>
      <c r="S83" s="56"/>
      <c r="T83" s="56"/>
      <c r="U83" s="56"/>
      <c r="V83" s="56"/>
      <c r="W83" s="56"/>
      <c r="X83" s="56"/>
      <c r="Y83" s="56"/>
      <c r="Z83" s="56"/>
    </row>
    <row r="84">
      <c r="A84" s="153"/>
      <c r="B84" s="83"/>
      <c r="C84" s="56"/>
      <c r="D84" s="56"/>
      <c r="E84" s="56"/>
      <c r="F84" s="56"/>
      <c r="G84" s="56"/>
      <c r="H84" s="56"/>
      <c r="I84" s="56"/>
      <c r="J84" s="56"/>
      <c r="K84" s="56"/>
      <c r="L84" s="56"/>
      <c r="M84" s="56"/>
      <c r="N84" s="56"/>
      <c r="O84" s="56"/>
      <c r="P84" s="56"/>
      <c r="Q84" s="56"/>
      <c r="R84" s="56"/>
      <c r="S84" s="56"/>
      <c r="T84" s="56"/>
      <c r="U84" s="56"/>
      <c r="V84" s="56"/>
      <c r="W84" s="56"/>
      <c r="X84" s="56"/>
      <c r="Y84" s="56"/>
      <c r="Z84" s="56"/>
    </row>
    <row r="85">
      <c r="A85" s="153"/>
      <c r="B85" s="83"/>
      <c r="C85" s="56"/>
      <c r="D85" s="56"/>
      <c r="E85" s="56"/>
      <c r="F85" s="56"/>
      <c r="G85" s="56"/>
      <c r="H85" s="56"/>
      <c r="I85" s="56"/>
      <c r="J85" s="56"/>
      <c r="K85" s="56"/>
      <c r="L85" s="56"/>
      <c r="M85" s="56"/>
      <c r="N85" s="56"/>
      <c r="O85" s="56"/>
      <c r="P85" s="56"/>
      <c r="Q85" s="56"/>
      <c r="R85" s="56"/>
      <c r="S85" s="56"/>
      <c r="T85" s="56"/>
      <c r="U85" s="56"/>
      <c r="V85" s="56"/>
      <c r="W85" s="56"/>
      <c r="X85" s="56"/>
      <c r="Y85" s="56"/>
      <c r="Z85" s="56"/>
    </row>
    <row r="86">
      <c r="A86" s="153"/>
      <c r="B86" s="83"/>
      <c r="C86" s="56"/>
      <c r="D86" s="56"/>
      <c r="E86" s="56"/>
      <c r="F86" s="56"/>
      <c r="G86" s="56"/>
      <c r="H86" s="56"/>
      <c r="I86" s="56"/>
      <c r="J86" s="56"/>
      <c r="K86" s="56"/>
      <c r="L86" s="56"/>
      <c r="M86" s="56"/>
      <c r="N86" s="56"/>
      <c r="O86" s="56"/>
      <c r="P86" s="56"/>
      <c r="Q86" s="56"/>
      <c r="R86" s="56"/>
      <c r="S86" s="56"/>
      <c r="T86" s="56"/>
      <c r="U86" s="56"/>
      <c r="V86" s="56"/>
      <c r="W86" s="56"/>
      <c r="X86" s="56"/>
      <c r="Y86" s="56"/>
      <c r="Z86" s="56"/>
    </row>
    <row r="87">
      <c r="A87" s="153"/>
      <c r="B87" s="83"/>
      <c r="C87" s="56"/>
      <c r="D87" s="56"/>
      <c r="E87" s="56"/>
      <c r="F87" s="56"/>
      <c r="G87" s="56"/>
      <c r="H87" s="56"/>
      <c r="I87" s="56"/>
      <c r="J87" s="56"/>
      <c r="K87" s="56"/>
      <c r="L87" s="56"/>
      <c r="M87" s="56"/>
      <c r="N87" s="56"/>
      <c r="O87" s="56"/>
      <c r="P87" s="56"/>
      <c r="Q87" s="56"/>
      <c r="R87" s="56"/>
      <c r="S87" s="56"/>
      <c r="T87" s="56"/>
      <c r="U87" s="56"/>
      <c r="V87" s="56"/>
      <c r="W87" s="56"/>
      <c r="X87" s="56"/>
      <c r="Y87" s="56"/>
      <c r="Z87" s="56"/>
    </row>
    <row r="88">
      <c r="A88" s="153"/>
      <c r="B88" s="83"/>
      <c r="C88" s="56"/>
      <c r="D88" s="56"/>
      <c r="E88" s="56"/>
      <c r="F88" s="56"/>
      <c r="G88" s="56"/>
      <c r="H88" s="56"/>
      <c r="I88" s="56"/>
      <c r="J88" s="56"/>
      <c r="K88" s="56"/>
      <c r="L88" s="56"/>
      <c r="M88" s="56"/>
      <c r="N88" s="56"/>
      <c r="O88" s="56"/>
      <c r="P88" s="56"/>
      <c r="Q88" s="56"/>
      <c r="R88" s="56"/>
      <c r="S88" s="56"/>
      <c r="T88" s="56"/>
      <c r="U88" s="56"/>
      <c r="V88" s="56"/>
      <c r="W88" s="56"/>
      <c r="X88" s="56"/>
      <c r="Y88" s="56"/>
      <c r="Z88" s="56"/>
    </row>
    <row r="89">
      <c r="A89" s="153"/>
      <c r="B89" s="83"/>
      <c r="C89" s="56"/>
      <c r="D89" s="56"/>
      <c r="E89" s="56"/>
      <c r="F89" s="56"/>
      <c r="G89" s="56"/>
      <c r="H89" s="56"/>
      <c r="I89" s="56"/>
      <c r="J89" s="56"/>
      <c r="K89" s="56"/>
      <c r="L89" s="56"/>
      <c r="M89" s="56"/>
      <c r="N89" s="56"/>
      <c r="O89" s="56"/>
      <c r="P89" s="56"/>
      <c r="Q89" s="56"/>
      <c r="R89" s="56"/>
      <c r="S89" s="56"/>
      <c r="T89" s="56"/>
      <c r="U89" s="56"/>
      <c r="V89" s="56"/>
      <c r="W89" s="56"/>
      <c r="X89" s="56"/>
      <c r="Y89" s="56"/>
      <c r="Z89" s="56"/>
    </row>
    <row r="90">
      <c r="A90" s="153"/>
      <c r="B90" s="83"/>
      <c r="C90" s="56"/>
      <c r="D90" s="56"/>
      <c r="E90" s="56"/>
      <c r="F90" s="56"/>
      <c r="G90" s="56"/>
      <c r="H90" s="56"/>
      <c r="I90" s="56"/>
      <c r="J90" s="56"/>
      <c r="K90" s="56"/>
      <c r="L90" s="56"/>
      <c r="M90" s="56"/>
      <c r="N90" s="56"/>
      <c r="O90" s="56"/>
      <c r="P90" s="56"/>
      <c r="Q90" s="56"/>
      <c r="R90" s="56"/>
      <c r="S90" s="56"/>
      <c r="T90" s="56"/>
      <c r="U90" s="56"/>
      <c r="V90" s="56"/>
      <c r="W90" s="56"/>
      <c r="X90" s="56"/>
      <c r="Y90" s="56"/>
      <c r="Z90" s="56"/>
    </row>
    <row r="91">
      <c r="A91" s="153"/>
      <c r="B91" s="83"/>
      <c r="C91" s="56"/>
      <c r="D91" s="56"/>
      <c r="E91" s="56"/>
      <c r="F91" s="56"/>
      <c r="G91" s="56"/>
      <c r="H91" s="56"/>
      <c r="I91" s="56"/>
      <c r="J91" s="56"/>
      <c r="K91" s="56"/>
      <c r="L91" s="56"/>
      <c r="M91" s="56"/>
      <c r="N91" s="56"/>
      <c r="O91" s="56"/>
      <c r="P91" s="56"/>
      <c r="Q91" s="56"/>
      <c r="R91" s="56"/>
      <c r="S91" s="56"/>
      <c r="T91" s="56"/>
      <c r="U91" s="56"/>
      <c r="V91" s="56"/>
      <c r="W91" s="56"/>
      <c r="X91" s="56"/>
      <c r="Y91" s="56"/>
      <c r="Z91" s="56"/>
    </row>
    <row r="92">
      <c r="A92" s="153"/>
      <c r="B92" s="83"/>
      <c r="C92" s="56"/>
      <c r="D92" s="56"/>
      <c r="E92" s="56"/>
      <c r="F92" s="56"/>
      <c r="G92" s="56"/>
      <c r="H92" s="56"/>
      <c r="I92" s="56"/>
      <c r="J92" s="56"/>
      <c r="K92" s="56"/>
      <c r="L92" s="56"/>
      <c r="M92" s="56"/>
      <c r="N92" s="56"/>
      <c r="O92" s="56"/>
      <c r="P92" s="56"/>
      <c r="Q92" s="56"/>
      <c r="R92" s="56"/>
      <c r="S92" s="56"/>
      <c r="T92" s="56"/>
      <c r="U92" s="56"/>
      <c r="V92" s="56"/>
      <c r="W92" s="56"/>
      <c r="X92" s="56"/>
      <c r="Y92" s="56"/>
      <c r="Z92" s="56"/>
    </row>
    <row r="93">
      <c r="A93" s="153"/>
      <c r="B93" s="83"/>
      <c r="C93" s="56"/>
      <c r="D93" s="56"/>
      <c r="E93" s="56"/>
      <c r="F93" s="56"/>
      <c r="G93" s="56"/>
      <c r="H93" s="56"/>
      <c r="I93" s="56"/>
      <c r="J93" s="56"/>
      <c r="K93" s="56"/>
      <c r="L93" s="56"/>
      <c r="M93" s="56"/>
      <c r="N93" s="56"/>
      <c r="O93" s="56"/>
      <c r="P93" s="56"/>
      <c r="Q93" s="56"/>
      <c r="R93" s="56"/>
      <c r="S93" s="56"/>
      <c r="T93" s="56"/>
      <c r="U93" s="56"/>
      <c r="V93" s="56"/>
      <c r="W93" s="56"/>
      <c r="X93" s="56"/>
      <c r="Y93" s="56"/>
      <c r="Z93" s="56"/>
    </row>
    <row r="94">
      <c r="A94" s="153"/>
      <c r="B94" s="83"/>
      <c r="C94" s="56"/>
      <c r="D94" s="56"/>
      <c r="E94" s="56"/>
      <c r="F94" s="56"/>
      <c r="G94" s="56"/>
      <c r="H94" s="56"/>
      <c r="I94" s="56"/>
      <c r="J94" s="56"/>
      <c r="K94" s="56"/>
      <c r="L94" s="56"/>
      <c r="M94" s="56"/>
      <c r="N94" s="56"/>
      <c r="O94" s="56"/>
      <c r="P94" s="56"/>
      <c r="Q94" s="56"/>
      <c r="R94" s="56"/>
      <c r="S94" s="56"/>
      <c r="T94" s="56"/>
      <c r="U94" s="56"/>
      <c r="V94" s="56"/>
      <c r="W94" s="56"/>
      <c r="X94" s="56"/>
      <c r="Y94" s="56"/>
      <c r="Z94" s="56"/>
    </row>
    <row r="95">
      <c r="A95" s="153"/>
      <c r="B95" s="83"/>
      <c r="C95" s="56"/>
      <c r="D95" s="56"/>
      <c r="E95" s="56"/>
      <c r="F95" s="56"/>
      <c r="G95" s="56"/>
      <c r="H95" s="56"/>
      <c r="I95" s="56"/>
      <c r="J95" s="56"/>
      <c r="K95" s="56"/>
      <c r="L95" s="56"/>
      <c r="M95" s="56"/>
      <c r="N95" s="56"/>
      <c r="O95" s="56"/>
      <c r="P95" s="56"/>
      <c r="Q95" s="56"/>
      <c r="R95" s="56"/>
      <c r="S95" s="56"/>
      <c r="T95" s="56"/>
      <c r="U95" s="56"/>
      <c r="V95" s="56"/>
      <c r="W95" s="56"/>
      <c r="X95" s="56"/>
      <c r="Y95" s="56"/>
      <c r="Z95" s="56"/>
    </row>
    <row r="96">
      <c r="A96" s="153"/>
      <c r="B96" s="83"/>
      <c r="C96" s="56"/>
      <c r="D96" s="56"/>
      <c r="E96" s="56"/>
      <c r="F96" s="56"/>
      <c r="G96" s="56"/>
      <c r="H96" s="56"/>
      <c r="I96" s="56"/>
      <c r="J96" s="56"/>
      <c r="K96" s="56"/>
      <c r="L96" s="56"/>
      <c r="M96" s="56"/>
      <c r="N96" s="56"/>
      <c r="O96" s="56"/>
      <c r="P96" s="56"/>
      <c r="Q96" s="56"/>
      <c r="R96" s="56"/>
      <c r="S96" s="56"/>
      <c r="T96" s="56"/>
      <c r="U96" s="56"/>
      <c r="V96" s="56"/>
      <c r="W96" s="56"/>
      <c r="X96" s="56"/>
      <c r="Y96" s="56"/>
      <c r="Z96" s="56"/>
    </row>
    <row r="97">
      <c r="A97" s="153"/>
      <c r="B97" s="83"/>
      <c r="C97" s="56"/>
      <c r="D97" s="56"/>
      <c r="E97" s="56"/>
      <c r="F97" s="56"/>
      <c r="G97" s="56"/>
      <c r="H97" s="56"/>
      <c r="I97" s="56"/>
      <c r="J97" s="56"/>
      <c r="K97" s="56"/>
      <c r="L97" s="56"/>
      <c r="M97" s="56"/>
      <c r="N97" s="56"/>
      <c r="O97" s="56"/>
      <c r="P97" s="56"/>
      <c r="Q97" s="56"/>
      <c r="R97" s="56"/>
      <c r="S97" s="56"/>
      <c r="T97" s="56"/>
      <c r="U97" s="56"/>
      <c r="V97" s="56"/>
      <c r="W97" s="56"/>
      <c r="X97" s="56"/>
      <c r="Y97" s="56"/>
      <c r="Z97" s="56"/>
    </row>
    <row r="98">
      <c r="A98" s="153"/>
      <c r="B98" s="83"/>
      <c r="C98" s="56"/>
      <c r="D98" s="56"/>
      <c r="E98" s="56"/>
      <c r="F98" s="56"/>
      <c r="G98" s="56"/>
      <c r="H98" s="56"/>
      <c r="I98" s="56"/>
      <c r="J98" s="56"/>
      <c r="K98" s="56"/>
      <c r="L98" s="56"/>
      <c r="M98" s="56"/>
      <c r="N98" s="56"/>
      <c r="O98" s="56"/>
      <c r="P98" s="56"/>
      <c r="Q98" s="56"/>
      <c r="R98" s="56"/>
      <c r="S98" s="56"/>
      <c r="T98" s="56"/>
      <c r="U98" s="56"/>
      <c r="V98" s="56"/>
      <c r="W98" s="56"/>
      <c r="X98" s="56"/>
      <c r="Y98" s="56"/>
      <c r="Z98" s="56"/>
    </row>
    <row r="99">
      <c r="A99" s="153"/>
      <c r="B99" s="83"/>
      <c r="C99" s="56"/>
      <c r="D99" s="56"/>
      <c r="E99" s="56"/>
      <c r="F99" s="56"/>
      <c r="G99" s="56"/>
      <c r="H99" s="56"/>
      <c r="I99" s="56"/>
      <c r="J99" s="56"/>
      <c r="K99" s="56"/>
      <c r="L99" s="56"/>
      <c r="M99" s="56"/>
      <c r="N99" s="56"/>
      <c r="O99" s="56"/>
      <c r="P99" s="56"/>
      <c r="Q99" s="56"/>
      <c r="R99" s="56"/>
      <c r="S99" s="56"/>
      <c r="T99" s="56"/>
      <c r="U99" s="56"/>
      <c r="V99" s="56"/>
      <c r="W99" s="56"/>
      <c r="X99" s="56"/>
      <c r="Y99" s="56"/>
      <c r="Z99" s="56"/>
    </row>
    <row r="100">
      <c r="A100" s="153"/>
      <c r="B100" s="83"/>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c r="A101" s="153"/>
      <c r="B101" s="83"/>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c r="A102" s="153"/>
      <c r="B102" s="83"/>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c r="A103" s="153"/>
      <c r="B103" s="83"/>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c r="A104" s="153"/>
      <c r="B104" s="83"/>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c r="A105" s="153"/>
      <c r="B105" s="83"/>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c r="A106" s="153"/>
      <c r="B106" s="83"/>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c r="A107" s="153"/>
      <c r="B107" s="83"/>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c r="A108" s="153"/>
      <c r="B108" s="83"/>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c r="A109" s="153"/>
      <c r="B109" s="83"/>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c r="A110" s="153"/>
      <c r="B110" s="83"/>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c r="A111" s="153"/>
      <c r="B111" s="83"/>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c r="A112" s="153"/>
      <c r="B112" s="83"/>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c r="A113" s="153"/>
      <c r="B113" s="83"/>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c r="A114" s="153"/>
      <c r="B114" s="83"/>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c r="A115" s="153"/>
      <c r="B115" s="83"/>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c r="A116" s="153"/>
      <c r="B116" s="83"/>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c r="A117" s="153"/>
      <c r="B117" s="83"/>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c r="A118" s="153"/>
      <c r="B118" s="83"/>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c r="A119" s="153"/>
      <c r="B119" s="83"/>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c r="A120" s="153"/>
      <c r="B120" s="83"/>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c r="A121" s="153"/>
      <c r="B121" s="83"/>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c r="A122" s="153"/>
      <c r="B122" s="83"/>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c r="A123" s="153"/>
      <c r="B123" s="83"/>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c r="A124" s="153"/>
      <c r="B124" s="83"/>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c r="A125" s="153"/>
      <c r="B125" s="83"/>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c r="A126" s="153"/>
      <c r="B126" s="83"/>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c r="A127" s="153"/>
      <c r="B127" s="83"/>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c r="A128" s="153"/>
      <c r="B128" s="83"/>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c r="A129" s="153"/>
      <c r="B129" s="83"/>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c r="A130" s="153"/>
      <c r="B130" s="83"/>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c r="A131" s="153"/>
      <c r="B131" s="83"/>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c r="A132" s="153"/>
      <c r="B132" s="83"/>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c r="A133" s="153"/>
      <c r="B133" s="83"/>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c r="A134" s="153"/>
      <c r="B134" s="83"/>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c r="A135" s="153"/>
      <c r="B135" s="83"/>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c r="A136" s="153"/>
      <c r="B136" s="83"/>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c r="A137" s="153"/>
      <c r="B137" s="83"/>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c r="A138" s="153"/>
      <c r="B138" s="83"/>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c r="A139" s="153"/>
      <c r="B139" s="83"/>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c r="A140" s="153"/>
      <c r="B140" s="83"/>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c r="A141" s="153"/>
      <c r="B141" s="83"/>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c r="A142" s="153"/>
      <c r="B142" s="83"/>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c r="A143" s="153"/>
      <c r="B143" s="83"/>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c r="A144" s="153"/>
      <c r="B144" s="83"/>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c r="A145" s="153"/>
      <c r="B145" s="83"/>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c r="A146" s="153"/>
      <c r="B146" s="83"/>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c r="A147" s="153"/>
      <c r="B147" s="83"/>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c r="A148" s="153"/>
      <c r="B148" s="83"/>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c r="A149" s="153"/>
      <c r="B149" s="83"/>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c r="A150" s="153"/>
      <c r="B150" s="83"/>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c r="A151" s="153"/>
      <c r="B151" s="83"/>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c r="A152" s="153"/>
      <c r="B152" s="83"/>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c r="A153" s="153"/>
      <c r="B153" s="83"/>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c r="A154" s="153"/>
      <c r="B154" s="83"/>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c r="A155" s="153"/>
      <c r="B155" s="83"/>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c r="A156" s="153"/>
      <c r="B156" s="83"/>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c r="A157" s="153"/>
      <c r="B157" s="83"/>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c r="A158" s="153"/>
      <c r="B158" s="83"/>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c r="A159" s="153"/>
      <c r="B159" s="83"/>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c r="A160" s="153"/>
      <c r="B160" s="83"/>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c r="A161" s="153"/>
      <c r="B161" s="83"/>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c r="A162" s="153"/>
      <c r="B162" s="83"/>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c r="A163" s="153"/>
      <c r="B163" s="83"/>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c r="A164" s="153"/>
      <c r="B164" s="83"/>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c r="A165" s="153"/>
      <c r="B165" s="83"/>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c r="A166" s="153"/>
      <c r="B166" s="83"/>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c r="A167" s="153"/>
      <c r="B167" s="83"/>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c r="A168" s="153"/>
      <c r="B168" s="83"/>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c r="A169" s="153"/>
      <c r="B169" s="83"/>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c r="A170" s="153"/>
      <c r="B170" s="83"/>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c r="A171" s="153"/>
      <c r="B171" s="83"/>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c r="A172" s="153"/>
      <c r="B172" s="83"/>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c r="A173" s="153"/>
      <c r="B173" s="83"/>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c r="A174" s="153"/>
      <c r="B174" s="83"/>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c r="A175" s="153"/>
      <c r="B175" s="83"/>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c r="A176" s="153"/>
      <c r="B176" s="83"/>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c r="A177" s="153"/>
      <c r="B177" s="83"/>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c r="A178" s="153"/>
      <c r="B178" s="83"/>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c r="A179" s="153"/>
      <c r="B179" s="83"/>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c r="A180" s="153"/>
      <c r="B180" s="83"/>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c r="A181" s="153"/>
      <c r="B181" s="83"/>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c r="A182" s="153"/>
      <c r="B182" s="83"/>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c r="A183" s="153"/>
      <c r="B183" s="83"/>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c r="A184" s="153"/>
      <c r="B184" s="83"/>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c r="A185" s="153"/>
      <c r="B185" s="83"/>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c r="A186" s="153"/>
      <c r="B186" s="83"/>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c r="A187" s="153"/>
      <c r="B187" s="83"/>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c r="A188" s="153"/>
      <c r="B188" s="83"/>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c r="A189" s="153"/>
      <c r="B189" s="83"/>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c r="A190" s="153"/>
      <c r="B190" s="83"/>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c r="A191" s="153"/>
      <c r="B191" s="83"/>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c r="A192" s="153"/>
      <c r="B192" s="83"/>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c r="A193" s="153"/>
      <c r="B193" s="83"/>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c r="A194" s="153"/>
      <c r="B194" s="83"/>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c r="A195" s="153"/>
      <c r="B195" s="83"/>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c r="A196" s="153"/>
      <c r="B196" s="83"/>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c r="A197" s="153"/>
      <c r="B197" s="83"/>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c r="A198" s="153"/>
      <c r="B198" s="83"/>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c r="A199" s="153"/>
      <c r="B199" s="83"/>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c r="A200" s="153"/>
      <c r="B200" s="83"/>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c r="A201" s="153"/>
      <c r="B201" s="83"/>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c r="A202" s="153"/>
      <c r="B202" s="83"/>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c r="A203" s="153"/>
      <c r="B203" s="83"/>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c r="A204" s="153"/>
      <c r="B204" s="83"/>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c r="A205" s="153"/>
      <c r="B205" s="83"/>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c r="A206" s="153"/>
      <c r="B206" s="83"/>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c r="A207" s="153"/>
      <c r="B207" s="83"/>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c r="A208" s="153"/>
      <c r="B208" s="83"/>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c r="A209" s="153"/>
      <c r="B209" s="83"/>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c r="A210" s="153"/>
      <c r="B210" s="83"/>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c r="A211" s="153"/>
      <c r="B211" s="83"/>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c r="A212" s="153"/>
      <c r="B212" s="83"/>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c r="A213" s="153"/>
      <c r="B213" s="83"/>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c r="A214" s="153"/>
      <c r="B214" s="83"/>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c r="A215" s="153"/>
      <c r="B215" s="83"/>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c r="A216" s="153"/>
      <c r="B216" s="83"/>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c r="A217" s="153"/>
      <c r="B217" s="83"/>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c r="A218" s="153"/>
      <c r="B218" s="83"/>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c r="A219" s="153"/>
      <c r="B219" s="83"/>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c r="A220" s="153"/>
      <c r="B220" s="83"/>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c r="A221" s="153"/>
      <c r="B221" s="83"/>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c r="A222" s="153"/>
      <c r="B222" s="83"/>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c r="A223" s="153"/>
      <c r="B223" s="83"/>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c r="A224" s="153"/>
      <c r="B224" s="83"/>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c r="A225" s="153"/>
      <c r="B225" s="83"/>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c r="A226" s="153"/>
      <c r="B226" s="83"/>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c r="A227" s="153"/>
      <c r="B227" s="83"/>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c r="A228" s="153"/>
      <c r="B228" s="83"/>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c r="A229" s="153"/>
      <c r="B229" s="83"/>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c r="A230" s="153"/>
      <c r="B230" s="83"/>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c r="A231" s="153"/>
      <c r="B231" s="83"/>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c r="A232" s="153"/>
      <c r="B232" s="83"/>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c r="A233" s="153"/>
      <c r="B233" s="83"/>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c r="A234" s="153"/>
      <c r="B234" s="83"/>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c r="A235" s="153"/>
      <c r="B235" s="83"/>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c r="A236" s="153"/>
      <c r="B236" s="83"/>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c r="A237" s="153"/>
      <c r="B237" s="83"/>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c r="A238" s="153"/>
      <c r="B238" s="83"/>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c r="A239" s="153"/>
      <c r="B239" s="83"/>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c r="A240" s="153"/>
      <c r="B240" s="83"/>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c r="A241" s="153"/>
      <c r="B241" s="83"/>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c r="A242" s="153"/>
      <c r="B242" s="83"/>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c r="A243" s="153"/>
      <c r="B243" s="83"/>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c r="A244" s="153"/>
      <c r="B244" s="83"/>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c r="A245" s="153"/>
      <c r="B245" s="83"/>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c r="A246" s="153"/>
      <c r="B246" s="83"/>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c r="A247" s="153"/>
      <c r="B247" s="83"/>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c r="A248" s="153"/>
      <c r="B248" s="83"/>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c r="A249" s="153"/>
      <c r="B249" s="83"/>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c r="A250" s="153"/>
      <c r="B250" s="83"/>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c r="A251" s="153"/>
      <c r="B251" s="83"/>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c r="A252" s="153"/>
      <c r="B252" s="83"/>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c r="A253" s="153"/>
      <c r="B253" s="83"/>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c r="A254" s="153"/>
      <c r="B254" s="83"/>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c r="A255" s="153"/>
      <c r="B255" s="83"/>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c r="A256" s="153"/>
      <c r="B256" s="83"/>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c r="A257" s="153"/>
      <c r="B257" s="83"/>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c r="A258" s="153"/>
      <c r="B258" s="83"/>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c r="A259" s="153"/>
      <c r="B259" s="83"/>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c r="A260" s="153"/>
      <c r="B260" s="83"/>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c r="A261" s="153"/>
      <c r="B261" s="83"/>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c r="A262" s="153"/>
      <c r="B262" s="83"/>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c r="A263" s="153"/>
      <c r="B263" s="83"/>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c r="A264" s="153"/>
      <c r="B264" s="83"/>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c r="A265" s="153"/>
      <c r="B265" s="83"/>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c r="A266" s="153"/>
      <c r="B266" s="83"/>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c r="A267" s="153"/>
      <c r="B267" s="83"/>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c r="A268" s="153"/>
      <c r="B268" s="83"/>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c r="A269" s="153"/>
      <c r="B269" s="83"/>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c r="A270" s="153"/>
      <c r="B270" s="8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c r="A271" s="153"/>
      <c r="B271" s="83"/>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c r="A272" s="153"/>
      <c r="B272" s="83"/>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c r="A273" s="153"/>
      <c r="B273" s="83"/>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c r="A274" s="153"/>
      <c r="B274" s="83"/>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c r="A275" s="153"/>
      <c r="B275" s="83"/>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c r="A276" s="153"/>
      <c r="B276" s="83"/>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c r="A277" s="153"/>
      <c r="B277" s="83"/>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c r="A278" s="153"/>
      <c r="B278" s="83"/>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c r="A279" s="153"/>
      <c r="B279" s="83"/>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c r="A280" s="153"/>
      <c r="B280" s="83"/>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c r="A281" s="153"/>
      <c r="B281" s="83"/>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c r="A282" s="153"/>
      <c r="B282" s="83"/>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c r="A283" s="153"/>
      <c r="B283" s="83"/>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c r="A284" s="153"/>
      <c r="B284" s="83"/>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c r="A285" s="153"/>
      <c r="B285" s="8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c r="A286" s="153"/>
      <c r="B286" s="83"/>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c r="A287" s="153"/>
      <c r="B287" s="83"/>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c r="A288" s="153"/>
      <c r="B288" s="83"/>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c r="A289" s="153"/>
      <c r="B289" s="83"/>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c r="A290" s="153"/>
      <c r="B290" s="83"/>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c r="A291" s="153"/>
      <c r="B291" s="83"/>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c r="A292" s="153"/>
      <c r="B292" s="83"/>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c r="A293" s="153"/>
      <c r="B293" s="83"/>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c r="A294" s="153"/>
      <c r="B294" s="83"/>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c r="A295" s="153"/>
      <c r="B295" s="83"/>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c r="A296" s="153"/>
      <c r="B296" s="83"/>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c r="A297" s="153"/>
      <c r="B297" s="83"/>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c r="A298" s="153"/>
      <c r="B298" s="83"/>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c r="A299" s="153"/>
      <c r="B299" s="83"/>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c r="A300" s="153"/>
      <c r="B300" s="83"/>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c r="A301" s="153"/>
      <c r="B301" s="83"/>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c r="A302" s="153"/>
      <c r="B302" s="83"/>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c r="A303" s="153"/>
      <c r="B303" s="83"/>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c r="A304" s="153"/>
      <c r="B304" s="83"/>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c r="A305" s="153"/>
      <c r="B305" s="83"/>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c r="A306" s="153"/>
      <c r="B306" s="83"/>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c r="A307" s="153"/>
      <c r="B307" s="83"/>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c r="A308" s="153"/>
      <c r="B308" s="83"/>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c r="A309" s="153"/>
      <c r="B309" s="83"/>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c r="A310" s="153"/>
      <c r="B310" s="8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c r="A311" s="153"/>
      <c r="B311" s="83"/>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c r="A312" s="153"/>
      <c r="B312" s="83"/>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c r="A313" s="153"/>
      <c r="B313" s="83"/>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c r="A314" s="153"/>
      <c r="B314" s="83"/>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c r="A315" s="153"/>
      <c r="B315" s="83"/>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c r="A316" s="153"/>
      <c r="B316" s="83"/>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c r="A317" s="153"/>
      <c r="B317" s="83"/>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c r="A318" s="153"/>
      <c r="B318" s="83"/>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c r="A319" s="153"/>
      <c r="B319" s="83"/>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c r="A320" s="153"/>
      <c r="B320" s="83"/>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c r="A321" s="153"/>
      <c r="B321" s="83"/>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c r="A322" s="153"/>
      <c r="B322" s="83"/>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c r="A323" s="153"/>
      <c r="B323" s="83"/>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c r="A324" s="153"/>
      <c r="B324" s="83"/>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c r="A325" s="153"/>
      <c r="B325" s="8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c r="A326" s="153"/>
      <c r="B326" s="83"/>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c r="A327" s="153"/>
      <c r="B327" s="83"/>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c r="A328" s="153"/>
      <c r="B328" s="83"/>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c r="A329" s="153"/>
      <c r="B329" s="83"/>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c r="A330" s="153"/>
      <c r="B330" s="83"/>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c r="A331" s="153"/>
      <c r="B331" s="83"/>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c r="A332" s="153"/>
      <c r="B332" s="83"/>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c r="A333" s="153"/>
      <c r="B333" s="83"/>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c r="A334" s="153"/>
      <c r="B334" s="83"/>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c r="A335" s="153"/>
      <c r="B335" s="83"/>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c r="A336" s="153"/>
      <c r="B336" s="83"/>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c r="A337" s="153"/>
      <c r="B337" s="83"/>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c r="A338" s="153"/>
      <c r="B338" s="83"/>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c r="A339" s="153"/>
      <c r="B339" s="83"/>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c r="A340" s="153"/>
      <c r="B340" s="83"/>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c r="A341" s="153"/>
      <c r="B341" s="83"/>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c r="A342" s="153"/>
      <c r="B342" s="83"/>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c r="A343" s="153"/>
      <c r="B343" s="83"/>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c r="A344" s="153"/>
      <c r="B344" s="83"/>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c r="A345" s="153"/>
      <c r="B345" s="83"/>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c r="A346" s="153"/>
      <c r="B346" s="83"/>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c r="A347" s="153"/>
      <c r="B347" s="83"/>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c r="A348" s="153"/>
      <c r="B348" s="83"/>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c r="A349" s="153"/>
      <c r="B349" s="83"/>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c r="A350" s="153"/>
      <c r="B350" s="8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c r="A351" s="153"/>
      <c r="B351" s="83"/>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c r="A352" s="153"/>
      <c r="B352" s="83"/>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c r="A353" s="153"/>
      <c r="B353" s="83"/>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c r="A354" s="153"/>
      <c r="B354" s="83"/>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c r="A355" s="153"/>
      <c r="B355" s="83"/>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c r="A356" s="153"/>
      <c r="B356" s="83"/>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c r="A357" s="153"/>
      <c r="B357" s="83"/>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c r="A358" s="153"/>
      <c r="B358" s="83"/>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c r="A359" s="153"/>
      <c r="B359" s="83"/>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c r="A360" s="153"/>
      <c r="B360" s="83"/>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c r="A361" s="153"/>
      <c r="B361" s="83"/>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c r="A362" s="153"/>
      <c r="B362" s="83"/>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c r="A363" s="153"/>
      <c r="B363" s="83"/>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c r="A364" s="153"/>
      <c r="B364" s="83"/>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c r="A365" s="153"/>
      <c r="B365" s="8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c r="A366" s="153"/>
      <c r="B366" s="83"/>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c r="A367" s="153"/>
      <c r="B367" s="83"/>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c r="A368" s="153"/>
      <c r="B368" s="83"/>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c r="A369" s="153"/>
      <c r="B369" s="83"/>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c r="A370" s="153"/>
      <c r="B370" s="83"/>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c r="A371" s="153"/>
      <c r="B371" s="83"/>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c r="A372" s="153"/>
      <c r="B372" s="83"/>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c r="A373" s="153"/>
      <c r="B373" s="83"/>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c r="A374" s="153"/>
      <c r="B374" s="83"/>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c r="A375" s="153"/>
      <c r="B375" s="83"/>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c r="A376" s="153"/>
      <c r="B376" s="83"/>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c r="A377" s="153"/>
      <c r="B377" s="83"/>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c r="A378" s="153"/>
      <c r="B378" s="83"/>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c r="A379" s="153"/>
      <c r="B379" s="83"/>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c r="A380" s="153"/>
      <c r="B380" s="83"/>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c r="A381" s="153"/>
      <c r="B381" s="83"/>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c r="A382" s="153"/>
      <c r="B382" s="83"/>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c r="A383" s="153"/>
      <c r="B383" s="83"/>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c r="A384" s="153"/>
      <c r="B384" s="83"/>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c r="A385" s="153"/>
      <c r="B385" s="83"/>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c r="A386" s="153"/>
      <c r="B386" s="83"/>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c r="A387" s="153"/>
      <c r="B387" s="83"/>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c r="A388" s="153"/>
      <c r="B388" s="83"/>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c r="A389" s="153"/>
      <c r="B389" s="83"/>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c r="A390" s="153"/>
      <c r="B390" s="83"/>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c r="A391" s="153"/>
      <c r="B391" s="83"/>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c r="A392" s="153"/>
      <c r="B392" s="83"/>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c r="A393" s="153"/>
      <c r="B393" s="83"/>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c r="A394" s="153"/>
      <c r="B394" s="83"/>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c r="A395" s="153"/>
      <c r="B395" s="83"/>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c r="A396" s="153"/>
      <c r="B396" s="83"/>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c r="A397" s="153"/>
      <c r="B397" s="83"/>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c r="A398" s="153"/>
      <c r="B398" s="83"/>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c r="A399" s="153"/>
      <c r="B399" s="83"/>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c r="A400" s="153"/>
      <c r="B400" s="83"/>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c r="A401" s="153"/>
      <c r="B401" s="83"/>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c r="A402" s="153"/>
      <c r="B402" s="83"/>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c r="A403" s="153"/>
      <c r="B403" s="83"/>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c r="A404" s="153"/>
      <c r="B404" s="83"/>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c r="A405" s="153"/>
      <c r="B405" s="83"/>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c r="A406" s="153"/>
      <c r="B406" s="83"/>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c r="A407" s="153"/>
      <c r="B407" s="83"/>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c r="A408" s="153"/>
      <c r="B408" s="83"/>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c r="A409" s="153"/>
      <c r="B409" s="83"/>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c r="A410" s="153"/>
      <c r="B410" s="83"/>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c r="A411" s="153"/>
      <c r="B411" s="83"/>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c r="A412" s="153"/>
      <c r="B412" s="83"/>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c r="A413" s="153"/>
      <c r="B413" s="83"/>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c r="A414" s="153"/>
      <c r="B414" s="83"/>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c r="A415" s="153"/>
      <c r="B415" s="83"/>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c r="A416" s="153"/>
      <c r="B416" s="83"/>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c r="A417" s="153"/>
      <c r="B417" s="83"/>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c r="A418" s="153"/>
      <c r="B418" s="83"/>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c r="A419" s="153"/>
      <c r="B419" s="83"/>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c r="A420" s="153"/>
      <c r="B420" s="83"/>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c r="A421" s="153"/>
      <c r="B421" s="83"/>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c r="A422" s="153"/>
      <c r="B422" s="83"/>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c r="A423" s="153"/>
      <c r="B423" s="83"/>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c r="A424" s="153"/>
      <c r="B424" s="83"/>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c r="A425" s="153"/>
      <c r="B425" s="83"/>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c r="A426" s="153"/>
      <c r="B426" s="83"/>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c r="A427" s="153"/>
      <c r="B427" s="83"/>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c r="A428" s="153"/>
      <c r="B428" s="83"/>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c r="A429" s="153"/>
      <c r="B429" s="83"/>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c r="A430" s="153"/>
      <c r="B430" s="83"/>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c r="A431" s="153"/>
      <c r="B431" s="83"/>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c r="A432" s="153"/>
      <c r="B432" s="83"/>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c r="A433" s="153"/>
      <c r="B433" s="83"/>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c r="A434" s="153"/>
      <c r="B434" s="83"/>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c r="A435" s="153"/>
      <c r="B435" s="83"/>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c r="A436" s="153"/>
      <c r="B436" s="83"/>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c r="A437" s="153"/>
      <c r="B437" s="83"/>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c r="A438" s="153"/>
      <c r="B438" s="83"/>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c r="A439" s="153"/>
      <c r="B439" s="83"/>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c r="A440" s="153"/>
      <c r="B440" s="83"/>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c r="A441" s="153"/>
      <c r="B441" s="83"/>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c r="A442" s="153"/>
      <c r="B442" s="83"/>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c r="A443" s="153"/>
      <c r="B443" s="83"/>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c r="A444" s="153"/>
      <c r="B444" s="83"/>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c r="A445" s="153"/>
      <c r="B445" s="83"/>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c r="A446" s="153"/>
      <c r="B446" s="83"/>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c r="A447" s="153"/>
      <c r="B447" s="83"/>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c r="A448" s="153"/>
      <c r="B448" s="83"/>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c r="A449" s="153"/>
      <c r="B449" s="83"/>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c r="A450" s="153"/>
      <c r="B450" s="83"/>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c r="A451" s="153"/>
      <c r="B451" s="83"/>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c r="A452" s="153"/>
      <c r="B452" s="83"/>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c r="A453" s="153"/>
      <c r="B453" s="83"/>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c r="A454" s="153"/>
      <c r="B454" s="83"/>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c r="A455" s="153"/>
      <c r="B455" s="83"/>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c r="A456" s="153"/>
      <c r="B456" s="83"/>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c r="A457" s="153"/>
      <c r="B457" s="83"/>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c r="A458" s="153"/>
      <c r="B458" s="83"/>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c r="A459" s="153"/>
      <c r="B459" s="83"/>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c r="A460" s="153"/>
      <c r="B460" s="83"/>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c r="A461" s="153"/>
      <c r="B461" s="83"/>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c r="A462" s="153"/>
      <c r="B462" s="83"/>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c r="A463" s="153"/>
      <c r="B463" s="83"/>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c r="A464" s="153"/>
      <c r="B464" s="83"/>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c r="A465" s="153"/>
      <c r="B465" s="83"/>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c r="A466" s="153"/>
      <c r="B466" s="83"/>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c r="A467" s="153"/>
      <c r="B467" s="83"/>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c r="A468" s="153"/>
      <c r="B468" s="83"/>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c r="A469" s="153"/>
      <c r="B469" s="83"/>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c r="A470" s="153"/>
      <c r="B470" s="83"/>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c r="A471" s="153"/>
      <c r="B471" s="83"/>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c r="A472" s="153"/>
      <c r="B472" s="83"/>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c r="A473" s="153"/>
      <c r="B473" s="83"/>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c r="A474" s="153"/>
      <c r="B474" s="83"/>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c r="A475" s="153"/>
      <c r="B475" s="83"/>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c r="A476" s="153"/>
      <c r="B476" s="83"/>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c r="A477" s="153"/>
      <c r="B477" s="83"/>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c r="A478" s="153"/>
      <c r="B478" s="83"/>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c r="A479" s="153"/>
      <c r="B479" s="83"/>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c r="A480" s="153"/>
      <c r="B480" s="83"/>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c r="A481" s="153"/>
      <c r="B481" s="83"/>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c r="A482" s="153"/>
      <c r="B482" s="83"/>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c r="A483" s="153"/>
      <c r="B483" s="83"/>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c r="A484" s="153"/>
      <c r="B484" s="83"/>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c r="A485" s="153"/>
      <c r="B485" s="83"/>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c r="A486" s="153"/>
      <c r="B486" s="83"/>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c r="A487" s="153"/>
      <c r="B487" s="83"/>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c r="A488" s="153"/>
      <c r="B488" s="83"/>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c r="A489" s="153"/>
      <c r="B489" s="83"/>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c r="A490" s="153"/>
      <c r="B490" s="83"/>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c r="A491" s="153"/>
      <c r="B491" s="83"/>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c r="A492" s="153"/>
      <c r="B492" s="83"/>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c r="A493" s="153"/>
      <c r="B493" s="83"/>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c r="A494" s="153"/>
      <c r="B494" s="83"/>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c r="A495" s="153"/>
      <c r="B495" s="83"/>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c r="A496" s="153"/>
      <c r="B496" s="83"/>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c r="A497" s="153"/>
      <c r="B497" s="83"/>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c r="A498" s="153"/>
      <c r="B498" s="83"/>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c r="A499" s="153"/>
      <c r="B499" s="83"/>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c r="A500" s="153"/>
      <c r="B500" s="83"/>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c r="A501" s="153"/>
      <c r="B501" s="83"/>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c r="A502" s="153"/>
      <c r="B502" s="83"/>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c r="A503" s="153"/>
      <c r="B503" s="83"/>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c r="A504" s="153"/>
      <c r="B504" s="83"/>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c r="A505" s="153"/>
      <c r="B505" s="83"/>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c r="A506" s="153"/>
      <c r="B506" s="83"/>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c r="A507" s="153"/>
      <c r="B507" s="83"/>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c r="A508" s="153"/>
      <c r="B508" s="83"/>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c r="A509" s="153"/>
      <c r="B509" s="83"/>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c r="A510" s="153"/>
      <c r="B510" s="83"/>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c r="A511" s="153"/>
      <c r="B511" s="83"/>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c r="A512" s="153"/>
      <c r="B512" s="83"/>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c r="A513" s="153"/>
      <c r="B513" s="83"/>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c r="A514" s="153"/>
      <c r="B514" s="83"/>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c r="A515" s="153"/>
      <c r="B515" s="83"/>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c r="A516" s="153"/>
      <c r="B516" s="83"/>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c r="A517" s="153"/>
      <c r="B517" s="83"/>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c r="A518" s="153"/>
      <c r="B518" s="83"/>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c r="A519" s="153"/>
      <c r="B519" s="83"/>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c r="A520" s="153"/>
      <c r="B520" s="83"/>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c r="A521" s="153"/>
      <c r="B521" s="83"/>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c r="A522" s="153"/>
      <c r="B522" s="83"/>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c r="A523" s="153"/>
      <c r="B523" s="83"/>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c r="A524" s="153"/>
      <c r="B524" s="83"/>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c r="A525" s="153"/>
      <c r="B525" s="83"/>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c r="A526" s="153"/>
      <c r="B526" s="83"/>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c r="A527" s="153"/>
      <c r="B527" s="83"/>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c r="A528" s="153"/>
      <c r="B528" s="83"/>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c r="A529" s="153"/>
      <c r="B529" s="83"/>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c r="A530" s="153"/>
      <c r="B530" s="83"/>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c r="A531" s="153"/>
      <c r="B531" s="83"/>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c r="A532" s="153"/>
      <c r="B532" s="83"/>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c r="A533" s="153"/>
      <c r="B533" s="83"/>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c r="A534" s="153"/>
      <c r="B534" s="83"/>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c r="A535" s="153"/>
      <c r="B535" s="83"/>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c r="A536" s="153"/>
      <c r="B536" s="83"/>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c r="A537" s="153"/>
      <c r="B537" s="83"/>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c r="A538" s="153"/>
      <c r="B538" s="83"/>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c r="A539" s="153"/>
      <c r="B539" s="83"/>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c r="A540" s="153"/>
      <c r="B540" s="83"/>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c r="A541" s="153"/>
      <c r="B541" s="83"/>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c r="A542" s="153"/>
      <c r="B542" s="83"/>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c r="A543" s="153"/>
      <c r="B543" s="83"/>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c r="A544" s="153"/>
      <c r="B544" s="83"/>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c r="A545" s="153"/>
      <c r="B545" s="83"/>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c r="A546" s="153"/>
      <c r="B546" s="83"/>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c r="A547" s="153"/>
      <c r="B547" s="83"/>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c r="A548" s="153"/>
      <c r="B548" s="83"/>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c r="A549" s="153"/>
      <c r="B549" s="83"/>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c r="A550" s="153"/>
      <c r="B550" s="83"/>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c r="A551" s="153"/>
      <c r="B551" s="83"/>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c r="A552" s="153"/>
      <c r="B552" s="83"/>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c r="A553" s="153"/>
      <c r="B553" s="83"/>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c r="A554" s="153"/>
      <c r="B554" s="83"/>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c r="A555" s="153"/>
      <c r="B555" s="83"/>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c r="A556" s="153"/>
      <c r="B556" s="83"/>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c r="A557" s="153"/>
      <c r="B557" s="83"/>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c r="A558" s="153"/>
      <c r="B558" s="83"/>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c r="A559" s="153"/>
      <c r="B559" s="83"/>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c r="A560" s="153"/>
      <c r="B560" s="83"/>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c r="A561" s="153"/>
      <c r="B561" s="83"/>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c r="A562" s="153"/>
      <c r="B562" s="83"/>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c r="A563" s="153"/>
      <c r="B563" s="83"/>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c r="A564" s="153"/>
      <c r="B564" s="83"/>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c r="A565" s="153"/>
      <c r="B565" s="83"/>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c r="A566" s="153"/>
      <c r="B566" s="83"/>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c r="A567" s="153"/>
      <c r="B567" s="83"/>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c r="A568" s="153"/>
      <c r="B568" s="83"/>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c r="A569" s="153"/>
      <c r="B569" s="83"/>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c r="A570" s="153"/>
      <c r="B570" s="83"/>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c r="A571" s="153"/>
      <c r="B571" s="83"/>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c r="A572" s="153"/>
      <c r="B572" s="83"/>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c r="A573" s="153"/>
      <c r="B573" s="83"/>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c r="A574" s="153"/>
      <c r="B574" s="83"/>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c r="A575" s="153"/>
      <c r="B575" s="83"/>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c r="A576" s="153"/>
      <c r="B576" s="83"/>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c r="A577" s="153"/>
      <c r="B577" s="83"/>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c r="A578" s="153"/>
      <c r="B578" s="83"/>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c r="A579" s="153"/>
      <c r="B579" s="83"/>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c r="A580" s="153"/>
      <c r="B580" s="83"/>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c r="A581" s="153"/>
      <c r="B581" s="83"/>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c r="A582" s="153"/>
      <c r="B582" s="83"/>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c r="A583" s="153"/>
      <c r="B583" s="83"/>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c r="A584" s="153"/>
      <c r="B584" s="83"/>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c r="A585" s="153"/>
      <c r="B585" s="83"/>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c r="A586" s="153"/>
      <c r="B586" s="83"/>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c r="A587" s="153"/>
      <c r="B587" s="83"/>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c r="A588" s="153"/>
      <c r="B588" s="83"/>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c r="A589" s="153"/>
      <c r="B589" s="83"/>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c r="A590" s="153"/>
      <c r="B590" s="83"/>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c r="A591" s="153"/>
      <c r="B591" s="83"/>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c r="A592" s="153"/>
      <c r="B592" s="83"/>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c r="A593" s="153"/>
      <c r="B593" s="83"/>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c r="A594" s="153"/>
      <c r="B594" s="83"/>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c r="A595" s="153"/>
      <c r="B595" s="83"/>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c r="A596" s="153"/>
      <c r="B596" s="83"/>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c r="A597" s="153"/>
      <c r="B597" s="83"/>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c r="A598" s="153"/>
      <c r="B598" s="83"/>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c r="A599" s="153"/>
      <c r="B599" s="83"/>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c r="A600" s="153"/>
      <c r="B600" s="83"/>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c r="A601" s="153"/>
      <c r="B601" s="83"/>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c r="A602" s="153"/>
      <c r="B602" s="83"/>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c r="A603" s="153"/>
      <c r="B603" s="83"/>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c r="A604" s="153"/>
      <c r="B604" s="83"/>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c r="A605" s="153"/>
      <c r="B605" s="83"/>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c r="A606" s="153"/>
      <c r="B606" s="83"/>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c r="A607" s="153"/>
      <c r="B607" s="83"/>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c r="A608" s="153"/>
      <c r="B608" s="83"/>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c r="A609" s="153"/>
      <c r="B609" s="83"/>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c r="A610" s="153"/>
      <c r="B610" s="83"/>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c r="A611" s="153"/>
      <c r="B611" s="83"/>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c r="A612" s="153"/>
      <c r="B612" s="83"/>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c r="A613" s="153"/>
      <c r="B613" s="83"/>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c r="A614" s="153"/>
      <c r="B614" s="83"/>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c r="A615" s="153"/>
      <c r="B615" s="83"/>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c r="A616" s="153"/>
      <c r="B616" s="83"/>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c r="A617" s="153"/>
      <c r="B617" s="83"/>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c r="A618" s="153"/>
      <c r="B618" s="83"/>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c r="A619" s="153"/>
      <c r="B619" s="83"/>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c r="A620" s="153"/>
      <c r="B620" s="83"/>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c r="A621" s="153"/>
      <c r="B621" s="83"/>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c r="A622" s="153"/>
      <c r="B622" s="83"/>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c r="A623" s="153"/>
      <c r="B623" s="83"/>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c r="A624" s="153"/>
      <c r="B624" s="83"/>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c r="A625" s="153"/>
      <c r="B625" s="83"/>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c r="A626" s="153"/>
      <c r="B626" s="83"/>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c r="A627" s="153"/>
      <c r="B627" s="83"/>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c r="A628" s="153"/>
      <c r="B628" s="83"/>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c r="A629" s="153"/>
      <c r="B629" s="83"/>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c r="A630" s="153"/>
      <c r="B630" s="83"/>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c r="A631" s="153"/>
      <c r="B631" s="83"/>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c r="A632" s="153"/>
      <c r="B632" s="83"/>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c r="A633" s="153"/>
      <c r="B633" s="83"/>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c r="A634" s="153"/>
      <c r="B634" s="83"/>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c r="A635" s="153"/>
      <c r="B635" s="83"/>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c r="A636" s="153"/>
      <c r="B636" s="83"/>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c r="A637" s="153"/>
      <c r="B637" s="83"/>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c r="A638" s="153"/>
      <c r="B638" s="83"/>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c r="A639" s="153"/>
      <c r="B639" s="83"/>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c r="A640" s="153"/>
      <c r="B640" s="83"/>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c r="A641" s="153"/>
      <c r="B641" s="83"/>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c r="A642" s="153"/>
      <c r="B642" s="83"/>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c r="A643" s="153"/>
      <c r="B643" s="83"/>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c r="A644" s="153"/>
      <c r="B644" s="83"/>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c r="A645" s="153"/>
      <c r="B645" s="83"/>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c r="A646" s="153"/>
      <c r="B646" s="83"/>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c r="A647" s="153"/>
      <c r="B647" s="83"/>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c r="A648" s="153"/>
      <c r="B648" s="83"/>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c r="A649" s="153"/>
      <c r="B649" s="83"/>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c r="A650" s="153"/>
      <c r="B650" s="83"/>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c r="A651" s="153"/>
      <c r="B651" s="83"/>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c r="A652" s="153"/>
      <c r="B652" s="83"/>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c r="A653" s="153"/>
      <c r="B653" s="83"/>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c r="A654" s="153"/>
      <c r="B654" s="83"/>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c r="A655" s="153"/>
      <c r="B655" s="83"/>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c r="A656" s="153"/>
      <c r="B656" s="83"/>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c r="A657" s="153"/>
      <c r="B657" s="83"/>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c r="A658" s="153"/>
      <c r="B658" s="83"/>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c r="A659" s="153"/>
      <c r="B659" s="83"/>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c r="A660" s="153"/>
      <c r="B660" s="83"/>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c r="A661" s="153"/>
      <c r="B661" s="83"/>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c r="A662" s="153"/>
      <c r="B662" s="83"/>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c r="A663" s="153"/>
      <c r="B663" s="83"/>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c r="A664" s="153"/>
      <c r="B664" s="83"/>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c r="A665" s="153"/>
      <c r="B665" s="83"/>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c r="A666" s="153"/>
      <c r="B666" s="83"/>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c r="A667" s="153"/>
      <c r="B667" s="83"/>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c r="A668" s="153"/>
      <c r="B668" s="83"/>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c r="A669" s="153"/>
      <c r="B669" s="83"/>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c r="A670" s="153"/>
      <c r="B670" s="83"/>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c r="A671" s="153"/>
      <c r="B671" s="83"/>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c r="A672" s="153"/>
      <c r="B672" s="83"/>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c r="A673" s="153"/>
      <c r="B673" s="83"/>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c r="A674" s="153"/>
      <c r="B674" s="83"/>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c r="A675" s="153"/>
      <c r="B675" s="83"/>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c r="A676" s="153"/>
      <c r="B676" s="83"/>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c r="A677" s="153"/>
      <c r="B677" s="83"/>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c r="A678" s="153"/>
      <c r="B678" s="83"/>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c r="A679" s="153"/>
      <c r="B679" s="83"/>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c r="A680" s="153"/>
      <c r="B680" s="83"/>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c r="A681" s="153"/>
      <c r="B681" s="83"/>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c r="A682" s="153"/>
      <c r="B682" s="83"/>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c r="A683" s="153"/>
      <c r="B683" s="83"/>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c r="A684" s="153"/>
      <c r="B684" s="83"/>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c r="A685" s="153"/>
      <c r="B685" s="83"/>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c r="A686" s="153"/>
      <c r="B686" s="83"/>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c r="A687" s="153"/>
      <c r="B687" s="83"/>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c r="A688" s="153"/>
      <c r="B688" s="83"/>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c r="A689" s="153"/>
      <c r="B689" s="83"/>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c r="A690" s="153"/>
      <c r="B690" s="83"/>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c r="A691" s="153"/>
      <c r="B691" s="83"/>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c r="A692" s="153"/>
      <c r="B692" s="83"/>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c r="A693" s="153"/>
      <c r="B693" s="83"/>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c r="A694" s="153"/>
      <c r="B694" s="83"/>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c r="A695" s="153"/>
      <c r="B695" s="83"/>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c r="A696" s="153"/>
      <c r="B696" s="83"/>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c r="A697" s="153"/>
      <c r="B697" s="83"/>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c r="A698" s="153"/>
      <c r="B698" s="83"/>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c r="A699" s="153"/>
      <c r="B699" s="83"/>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c r="A700" s="153"/>
      <c r="B700" s="83"/>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c r="A701" s="153"/>
      <c r="B701" s="83"/>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c r="A702" s="153"/>
      <c r="B702" s="83"/>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c r="A703" s="153"/>
      <c r="B703" s="83"/>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c r="A704" s="153"/>
      <c r="B704" s="83"/>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c r="A705" s="153"/>
      <c r="B705" s="83"/>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c r="A706" s="153"/>
      <c r="B706" s="83"/>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c r="A707" s="153"/>
      <c r="B707" s="83"/>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c r="A708" s="153"/>
      <c r="B708" s="83"/>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c r="A709" s="153"/>
      <c r="B709" s="83"/>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c r="A710" s="153"/>
      <c r="B710" s="83"/>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c r="A711" s="153"/>
      <c r="B711" s="83"/>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c r="A712" s="153"/>
      <c r="B712" s="83"/>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c r="A713" s="153"/>
      <c r="B713" s="83"/>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c r="A714" s="153"/>
      <c r="B714" s="83"/>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c r="A715" s="153"/>
      <c r="B715" s="83"/>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c r="A716" s="153"/>
      <c r="B716" s="83"/>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c r="A717" s="153"/>
      <c r="B717" s="83"/>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c r="A718" s="153"/>
      <c r="B718" s="83"/>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c r="A719" s="153"/>
      <c r="B719" s="83"/>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c r="A720" s="153"/>
      <c r="B720" s="83"/>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c r="A721" s="153"/>
      <c r="B721" s="83"/>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c r="A722" s="153"/>
      <c r="B722" s="83"/>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c r="A723" s="153"/>
      <c r="B723" s="83"/>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c r="A724" s="153"/>
      <c r="B724" s="83"/>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c r="A725" s="153"/>
      <c r="B725" s="83"/>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c r="A726" s="153"/>
      <c r="B726" s="83"/>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c r="A727" s="153"/>
      <c r="B727" s="83"/>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c r="A728" s="153"/>
      <c r="B728" s="83"/>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c r="A729" s="153"/>
      <c r="B729" s="83"/>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c r="A730" s="153"/>
      <c r="B730" s="83"/>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c r="A731" s="153"/>
      <c r="B731" s="83"/>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c r="A732" s="153"/>
      <c r="B732" s="83"/>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c r="A733" s="153"/>
      <c r="B733" s="83"/>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c r="A734" s="153"/>
      <c r="B734" s="83"/>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c r="A735" s="153"/>
      <c r="B735" s="83"/>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c r="A736" s="153"/>
      <c r="B736" s="83"/>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c r="A737" s="153"/>
      <c r="B737" s="83"/>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c r="A738" s="153"/>
      <c r="B738" s="83"/>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c r="A739" s="153"/>
      <c r="B739" s="83"/>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c r="A740" s="153"/>
      <c r="B740" s="83"/>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c r="A741" s="153"/>
      <c r="B741" s="83"/>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c r="A742" s="153"/>
      <c r="B742" s="83"/>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c r="A743" s="153"/>
      <c r="B743" s="83"/>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c r="A744" s="153"/>
      <c r="B744" s="83"/>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c r="A745" s="153"/>
      <c r="B745" s="83"/>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c r="A746" s="153"/>
      <c r="B746" s="83"/>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c r="A747" s="153"/>
      <c r="B747" s="83"/>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c r="A748" s="153"/>
      <c r="B748" s="83"/>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c r="A749" s="153"/>
      <c r="B749" s="83"/>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c r="A750" s="153"/>
      <c r="B750" s="83"/>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c r="A751" s="153"/>
      <c r="B751" s="83"/>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c r="A752" s="153"/>
      <c r="B752" s="83"/>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c r="A753" s="153"/>
      <c r="B753" s="83"/>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c r="A754" s="153"/>
      <c r="B754" s="83"/>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c r="A755" s="153"/>
      <c r="B755" s="83"/>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c r="A756" s="153"/>
      <c r="B756" s="83"/>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c r="A757" s="153"/>
      <c r="B757" s="83"/>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c r="A758" s="153"/>
      <c r="B758" s="83"/>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c r="A759" s="153"/>
      <c r="B759" s="83"/>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c r="A760" s="153"/>
      <c r="B760" s="83"/>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c r="A761" s="153"/>
      <c r="B761" s="83"/>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c r="A762" s="153"/>
      <c r="B762" s="83"/>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c r="A763" s="153"/>
      <c r="B763" s="83"/>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c r="A764" s="153"/>
      <c r="B764" s="83"/>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c r="A765" s="153"/>
      <c r="B765" s="83"/>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c r="A766" s="153"/>
      <c r="B766" s="83"/>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c r="A767" s="153"/>
      <c r="B767" s="83"/>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c r="A768" s="153"/>
      <c r="B768" s="83"/>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c r="A769" s="153"/>
      <c r="B769" s="83"/>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c r="A770" s="153"/>
      <c r="B770" s="83"/>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c r="A771" s="153"/>
      <c r="B771" s="83"/>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c r="A772" s="153"/>
      <c r="B772" s="83"/>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c r="A773" s="153"/>
      <c r="B773" s="83"/>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c r="A774" s="153"/>
      <c r="B774" s="83"/>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c r="A775" s="153"/>
      <c r="B775" s="83"/>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c r="A776" s="153"/>
      <c r="B776" s="83"/>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c r="A777" s="153"/>
      <c r="B777" s="83"/>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c r="A778" s="153"/>
      <c r="B778" s="83"/>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c r="A779" s="153"/>
      <c r="B779" s="83"/>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c r="A780" s="153"/>
      <c r="B780" s="83"/>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c r="A781" s="153"/>
      <c r="B781" s="83"/>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c r="A782" s="153"/>
      <c r="B782" s="83"/>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c r="A783" s="153"/>
      <c r="B783" s="83"/>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c r="A784" s="153"/>
      <c r="B784" s="83"/>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c r="A785" s="153"/>
      <c r="B785" s="83"/>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c r="A786" s="153"/>
      <c r="B786" s="83"/>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c r="A787" s="153"/>
      <c r="B787" s="83"/>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c r="A788" s="153"/>
      <c r="B788" s="83"/>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c r="A789" s="153"/>
      <c r="B789" s="83"/>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c r="A790" s="153"/>
      <c r="B790" s="83"/>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c r="A791" s="153"/>
      <c r="B791" s="83"/>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c r="A792" s="153"/>
      <c r="B792" s="83"/>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c r="A793" s="153"/>
      <c r="B793" s="83"/>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c r="A794" s="153"/>
      <c r="B794" s="83"/>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c r="A795" s="153"/>
      <c r="B795" s="83"/>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c r="A796" s="153"/>
      <c r="B796" s="83"/>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c r="A797" s="153"/>
      <c r="B797" s="83"/>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c r="A798" s="153"/>
      <c r="B798" s="83"/>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c r="A799" s="153"/>
      <c r="B799" s="83"/>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c r="A800" s="153"/>
      <c r="B800" s="83"/>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c r="A801" s="153"/>
      <c r="B801" s="83"/>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c r="A802" s="153"/>
      <c r="B802" s="83"/>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c r="A803" s="153"/>
      <c r="B803" s="83"/>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c r="A804" s="153"/>
      <c r="B804" s="83"/>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c r="A805" s="153"/>
      <c r="B805" s="83"/>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c r="A806" s="153"/>
      <c r="B806" s="83"/>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c r="A807" s="153"/>
      <c r="B807" s="83"/>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c r="A808" s="153"/>
      <c r="B808" s="83"/>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c r="A809" s="153"/>
      <c r="B809" s="83"/>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c r="A810" s="153"/>
      <c r="B810" s="83"/>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c r="A811" s="153"/>
      <c r="B811" s="83"/>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c r="A812" s="153"/>
      <c r="B812" s="83"/>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c r="A813" s="153"/>
      <c r="B813" s="83"/>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c r="A814" s="153"/>
      <c r="B814" s="83"/>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c r="A815" s="153"/>
      <c r="B815" s="83"/>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c r="A816" s="153"/>
      <c r="B816" s="83"/>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c r="A817" s="153"/>
      <c r="B817" s="83"/>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c r="A818" s="153"/>
      <c r="B818" s="83"/>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c r="A819" s="153"/>
      <c r="B819" s="83"/>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c r="A820" s="153"/>
      <c r="B820" s="83"/>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c r="A821" s="153"/>
      <c r="B821" s="83"/>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c r="A822" s="153"/>
      <c r="B822" s="83"/>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c r="A823" s="153"/>
      <c r="B823" s="83"/>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c r="A824" s="153"/>
      <c r="B824" s="83"/>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c r="A825" s="153"/>
      <c r="B825" s="83"/>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c r="A826" s="153"/>
      <c r="B826" s="83"/>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c r="A827" s="153"/>
      <c r="B827" s="83"/>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c r="A828" s="153"/>
      <c r="B828" s="83"/>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c r="A829" s="153"/>
      <c r="B829" s="83"/>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c r="A830" s="153"/>
      <c r="B830" s="83"/>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c r="A831" s="153"/>
      <c r="B831" s="83"/>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c r="A832" s="153"/>
      <c r="B832" s="83"/>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c r="A833" s="153"/>
      <c r="B833" s="83"/>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c r="A834" s="153"/>
      <c r="B834" s="83"/>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c r="A835" s="153"/>
      <c r="B835" s="83"/>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c r="A836" s="153"/>
      <c r="B836" s="83"/>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c r="A837" s="153"/>
      <c r="B837" s="83"/>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c r="A838" s="153"/>
      <c r="B838" s="83"/>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c r="A839" s="153"/>
      <c r="B839" s="83"/>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c r="A840" s="153"/>
      <c r="B840" s="83"/>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c r="A841" s="153"/>
      <c r="B841" s="83"/>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c r="A842" s="153"/>
      <c r="B842" s="83"/>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c r="A843" s="153"/>
      <c r="B843" s="83"/>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c r="A844" s="153"/>
      <c r="B844" s="83"/>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c r="A845" s="153"/>
      <c r="B845" s="83"/>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c r="A846" s="153"/>
      <c r="B846" s="83"/>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c r="A847" s="153"/>
      <c r="B847" s="83"/>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c r="A848" s="153"/>
      <c r="B848" s="83"/>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c r="A849" s="153"/>
      <c r="B849" s="83"/>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c r="A850" s="153"/>
      <c r="B850" s="83"/>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c r="A851" s="153"/>
      <c r="B851" s="83"/>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c r="A852" s="153"/>
      <c r="B852" s="83"/>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c r="A853" s="153"/>
      <c r="B853" s="83"/>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c r="A854" s="153"/>
      <c r="B854" s="83"/>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c r="A855" s="153"/>
      <c r="B855" s="83"/>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c r="A856" s="153"/>
      <c r="B856" s="83"/>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c r="A857" s="153"/>
      <c r="B857" s="83"/>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c r="A858" s="153"/>
      <c r="B858" s="83"/>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c r="A859" s="153"/>
      <c r="B859" s="83"/>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c r="A860" s="153"/>
      <c r="B860" s="83"/>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c r="A861" s="153"/>
      <c r="B861" s="83"/>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c r="A862" s="153"/>
      <c r="B862" s="83"/>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c r="A863" s="153"/>
      <c r="B863" s="83"/>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c r="A864" s="153"/>
      <c r="B864" s="83"/>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c r="A865" s="153"/>
      <c r="B865" s="83"/>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c r="A866" s="153"/>
      <c r="B866" s="83"/>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c r="A867" s="153"/>
      <c r="B867" s="83"/>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c r="A868" s="153"/>
      <c r="B868" s="83"/>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c r="A869" s="153"/>
      <c r="B869" s="83"/>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c r="A870" s="153"/>
      <c r="B870" s="83"/>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c r="A871" s="153"/>
      <c r="B871" s="83"/>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c r="A872" s="153"/>
      <c r="B872" s="83"/>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c r="A873" s="153"/>
      <c r="B873" s="83"/>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c r="A874" s="153"/>
      <c r="B874" s="83"/>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c r="A875" s="153"/>
      <c r="B875" s="83"/>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c r="A876" s="153"/>
      <c r="B876" s="83"/>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c r="A877" s="153"/>
      <c r="B877" s="83"/>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c r="A878" s="153"/>
      <c r="B878" s="83"/>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c r="A879" s="153"/>
      <c r="B879" s="83"/>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c r="A880" s="153"/>
      <c r="B880" s="83"/>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c r="A881" s="153"/>
      <c r="B881" s="83"/>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c r="A882" s="153"/>
      <c r="B882" s="83"/>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c r="A883" s="153"/>
      <c r="B883" s="83"/>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c r="A884" s="153"/>
      <c r="B884" s="83"/>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c r="A885" s="153"/>
      <c r="B885" s="83"/>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c r="A886" s="153"/>
      <c r="B886" s="83"/>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c r="A887" s="153"/>
      <c r="B887" s="83"/>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c r="A888" s="153"/>
      <c r="B888" s="83"/>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c r="A889" s="153"/>
      <c r="B889" s="83"/>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c r="A890" s="153"/>
      <c r="B890" s="83"/>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c r="A891" s="153"/>
      <c r="B891" s="83"/>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c r="A892" s="153"/>
      <c r="B892" s="83"/>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c r="A893" s="153"/>
      <c r="B893" s="83"/>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c r="A894" s="153"/>
      <c r="B894" s="83"/>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c r="A895" s="153"/>
      <c r="B895" s="83"/>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c r="A896" s="153"/>
      <c r="B896" s="83"/>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c r="A897" s="153"/>
      <c r="B897" s="83"/>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c r="A898" s="153"/>
      <c r="B898" s="83"/>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c r="A899" s="153"/>
      <c r="B899" s="83"/>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c r="A900" s="153"/>
      <c r="B900" s="83"/>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c r="A901" s="153"/>
      <c r="B901" s="83"/>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c r="A902" s="153"/>
      <c r="B902" s="83"/>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c r="A903" s="153"/>
      <c r="B903" s="83"/>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c r="A904" s="153"/>
      <c r="B904" s="83"/>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c r="A905" s="153"/>
      <c r="B905" s="83"/>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c r="A906" s="153"/>
      <c r="B906" s="83"/>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c r="A907" s="153"/>
      <c r="B907" s="83"/>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c r="A908" s="153"/>
      <c r="B908" s="83"/>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c r="A909" s="153"/>
      <c r="B909" s="83"/>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c r="A910" s="153"/>
      <c r="B910" s="83"/>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c r="A911" s="153"/>
      <c r="B911" s="83"/>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c r="A912" s="153"/>
      <c r="B912" s="83"/>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c r="A913" s="153"/>
      <c r="B913" s="83"/>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c r="A914" s="153"/>
      <c r="B914" s="83"/>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c r="A915" s="153"/>
      <c r="B915" s="83"/>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c r="A916" s="153"/>
      <c r="B916" s="83"/>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c r="A917" s="153"/>
      <c r="B917" s="83"/>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c r="A918" s="153"/>
      <c r="B918" s="83"/>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c r="A919" s="153"/>
      <c r="B919" s="83"/>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c r="A920" s="153"/>
      <c r="B920" s="83"/>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c r="A921" s="153"/>
      <c r="B921" s="83"/>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c r="A922" s="153"/>
      <c r="B922" s="83"/>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c r="A923" s="153"/>
      <c r="B923" s="83"/>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c r="A924" s="153"/>
      <c r="B924" s="83"/>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c r="A925" s="153"/>
      <c r="B925" s="83"/>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c r="A926" s="153"/>
      <c r="B926" s="83"/>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c r="A927" s="153"/>
      <c r="B927" s="83"/>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c r="A928" s="153"/>
      <c r="B928" s="83"/>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c r="A929" s="153"/>
      <c r="B929" s="83"/>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c r="A930" s="153"/>
      <c r="B930" s="83"/>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c r="A931" s="153"/>
      <c r="B931" s="83"/>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c r="A932" s="153"/>
      <c r="B932" s="83"/>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c r="A933" s="153"/>
      <c r="B933" s="83"/>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c r="A934" s="153"/>
      <c r="B934" s="83"/>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c r="A935" s="153"/>
      <c r="B935" s="83"/>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c r="A936" s="153"/>
      <c r="B936" s="83"/>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c r="A937" s="153"/>
      <c r="B937" s="83"/>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c r="A938" s="153"/>
      <c r="B938" s="83"/>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c r="A939" s="153"/>
      <c r="B939" s="83"/>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c r="A940" s="153"/>
      <c r="B940" s="83"/>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c r="A941" s="153"/>
      <c r="B941" s="83"/>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c r="A942" s="153"/>
      <c r="B942" s="83"/>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c r="A943" s="153"/>
      <c r="B943" s="83"/>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c r="A944" s="153"/>
      <c r="B944" s="83"/>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c r="A945" s="153"/>
      <c r="B945" s="83"/>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c r="A946" s="153"/>
      <c r="B946" s="83"/>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c r="A947" s="153"/>
      <c r="B947" s="83"/>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c r="A948" s="153"/>
      <c r="B948" s="83"/>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c r="A949" s="153"/>
      <c r="B949" s="83"/>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c r="A950" s="153"/>
      <c r="B950" s="83"/>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c r="A951" s="153"/>
      <c r="B951" s="83"/>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c r="A952" s="153"/>
      <c r="B952" s="83"/>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c r="A953" s="153"/>
      <c r="B953" s="83"/>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c r="A954" s="153"/>
      <c r="B954" s="83"/>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c r="A955" s="153"/>
      <c r="B955" s="83"/>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c r="A956" s="153"/>
      <c r="B956" s="83"/>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c r="A957" s="153"/>
      <c r="B957" s="83"/>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c r="A958" s="153"/>
      <c r="B958" s="83"/>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c r="A959" s="153"/>
      <c r="B959" s="83"/>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c r="A960" s="153"/>
      <c r="B960" s="83"/>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c r="A961" s="153"/>
      <c r="B961" s="83"/>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c r="A962" s="153"/>
      <c r="B962" s="83"/>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c r="A963" s="153"/>
      <c r="B963" s="83"/>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c r="A964" s="153"/>
      <c r="B964" s="83"/>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c r="A965" s="153"/>
      <c r="B965" s="83"/>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c r="A966" s="153"/>
      <c r="B966" s="83"/>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c r="A967" s="153"/>
      <c r="B967" s="83"/>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c r="A968" s="153"/>
      <c r="B968" s="83"/>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c r="A969" s="153"/>
      <c r="B969" s="83"/>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c r="A970" s="153"/>
      <c r="B970" s="83"/>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c r="A971" s="153"/>
      <c r="B971" s="83"/>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c r="A972" s="153"/>
      <c r="B972" s="83"/>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c r="A973" s="153"/>
      <c r="B973" s="83"/>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c r="A974" s="153"/>
      <c r="B974" s="83"/>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c r="A975" s="153"/>
      <c r="B975" s="83"/>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c r="A976" s="153"/>
      <c r="B976" s="83"/>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c r="A977" s="153"/>
      <c r="B977" s="83"/>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c r="A978" s="153"/>
      <c r="B978" s="83"/>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c r="A979" s="153"/>
      <c r="B979" s="83"/>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c r="A980" s="153"/>
      <c r="B980" s="83"/>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c r="A981" s="153"/>
      <c r="B981" s="83"/>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c r="A982" s="153"/>
      <c r="B982" s="83"/>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c r="A983" s="153"/>
      <c r="B983" s="83"/>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c r="A984" s="153"/>
      <c r="B984" s="83"/>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c r="A985" s="153"/>
      <c r="B985" s="83"/>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c r="A986" s="153"/>
      <c r="B986" s="83"/>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c r="A987" s="153"/>
      <c r="B987" s="83"/>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c r="A988" s="153"/>
      <c r="B988" s="83"/>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c r="A989" s="153"/>
      <c r="B989" s="83"/>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c r="A990" s="153"/>
      <c r="B990" s="83"/>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c r="A991" s="153"/>
      <c r="B991" s="83"/>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c r="A992" s="153"/>
      <c r="B992" s="83"/>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c r="A993" s="153"/>
      <c r="B993" s="83"/>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c r="A994" s="153"/>
      <c r="B994" s="83"/>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c r="A995" s="153"/>
      <c r="B995" s="83"/>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c r="A996" s="153"/>
      <c r="B996" s="83"/>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c r="A997" s="153"/>
      <c r="B997" s="83"/>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c r="A998" s="153"/>
      <c r="B998" s="83"/>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c r="A999" s="153"/>
      <c r="B999" s="83"/>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c r="A1000" s="153"/>
      <c r="B1000" s="83"/>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row r="1001">
      <c r="A1001" s="153"/>
      <c r="B1001" s="83"/>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row>
  </sheetData>
  <mergeCells count="9">
    <mergeCell ref="A42:A50"/>
    <mergeCell ref="A51:A55"/>
    <mergeCell ref="A2:A4"/>
    <mergeCell ref="A5:A9"/>
    <mergeCell ref="A12:A13"/>
    <mergeCell ref="A14:A21"/>
    <mergeCell ref="A23:A26"/>
    <mergeCell ref="A28:A35"/>
    <mergeCell ref="A37:A39"/>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sheetViews>
  <sheetFormatPr customHeight="1" defaultColWidth="12.63" defaultRowHeight="15.0"/>
  <cols>
    <col customWidth="1" min="1" max="1" width="11.63"/>
    <col customWidth="1" min="2" max="2" width="24.0"/>
    <col customWidth="1" min="3" max="3" width="29.5"/>
    <col customWidth="1" min="4" max="4" width="26.63"/>
    <col customWidth="1" min="5" max="5" width="42.5"/>
    <col customWidth="1" min="6" max="6" width="43.13"/>
    <col customWidth="1" min="7" max="7" width="46.75"/>
    <col customWidth="1" min="8" max="8" width="7.88"/>
    <col customWidth="1" hidden="1" min="9" max="9" width="13.5"/>
    <col customWidth="1" min="10" max="10" width="29.75"/>
    <col customWidth="1" min="11" max="11" width="7.5"/>
    <col customWidth="1" min="12" max="23" width="7.75"/>
    <col customWidth="1" min="24" max="26" width="7.63"/>
  </cols>
  <sheetData>
    <row r="1" ht="20.25" customHeight="1">
      <c r="A1" s="157" t="s">
        <v>268</v>
      </c>
      <c r="B1" s="157" t="s">
        <v>1774</v>
      </c>
      <c r="C1" s="157" t="s">
        <v>270</v>
      </c>
      <c r="D1" s="158" t="s">
        <v>1775</v>
      </c>
      <c r="E1" s="157" t="s">
        <v>145</v>
      </c>
      <c r="F1" s="157" t="s">
        <v>30</v>
      </c>
      <c r="G1" s="157" t="s">
        <v>273</v>
      </c>
      <c r="H1" s="158" t="s">
        <v>1776</v>
      </c>
      <c r="I1" s="157" t="s">
        <v>274</v>
      </c>
      <c r="J1" s="159" t="s">
        <v>1777</v>
      </c>
      <c r="K1" s="160"/>
      <c r="L1" s="160"/>
      <c r="M1" s="160"/>
      <c r="N1" s="160"/>
      <c r="O1" s="160"/>
      <c r="P1" s="160"/>
      <c r="Q1" s="160"/>
      <c r="R1" s="160"/>
      <c r="S1" s="160"/>
      <c r="T1" s="160"/>
      <c r="U1" s="160"/>
      <c r="V1" s="160"/>
      <c r="W1" s="160"/>
      <c r="X1" s="160"/>
      <c r="Y1" s="160"/>
      <c r="Z1" s="160"/>
    </row>
    <row r="2" ht="14.25" customHeight="1">
      <c r="A2" s="161" t="s">
        <v>1778</v>
      </c>
      <c r="B2" s="162" t="s">
        <v>1779</v>
      </c>
      <c r="C2" s="163" t="s">
        <v>1780</v>
      </c>
      <c r="D2" s="163" t="s">
        <v>271</v>
      </c>
      <c r="E2" s="163" t="s">
        <v>1781</v>
      </c>
      <c r="F2" s="163" t="s">
        <v>1782</v>
      </c>
      <c r="G2" s="163" t="s">
        <v>1783</v>
      </c>
      <c r="H2" s="164" t="s">
        <v>36</v>
      </c>
      <c r="I2" s="163"/>
      <c r="J2" s="164" t="s">
        <v>1784</v>
      </c>
      <c r="K2" s="163"/>
      <c r="L2" s="163"/>
      <c r="M2" s="163"/>
      <c r="N2" s="163"/>
      <c r="O2" s="163"/>
      <c r="P2" s="163"/>
      <c r="Q2" s="163"/>
      <c r="R2" s="163"/>
      <c r="S2" s="163"/>
      <c r="T2" s="163"/>
      <c r="U2" s="163"/>
      <c r="V2" s="163"/>
      <c r="W2" s="163"/>
      <c r="X2" s="163"/>
      <c r="Y2" s="163"/>
      <c r="Z2" s="163"/>
    </row>
    <row r="3" ht="14.25" customHeight="1">
      <c r="A3" s="163" t="s">
        <v>1778</v>
      </c>
      <c r="B3" s="108"/>
      <c r="C3" s="163" t="s">
        <v>1785</v>
      </c>
      <c r="D3" s="163" t="s">
        <v>271</v>
      </c>
      <c r="E3" s="163" t="s">
        <v>1781</v>
      </c>
      <c r="F3" s="163" t="s">
        <v>1786</v>
      </c>
      <c r="G3" s="163" t="s">
        <v>1787</v>
      </c>
      <c r="H3" s="164" t="s">
        <v>36</v>
      </c>
      <c r="I3" s="163"/>
      <c r="J3" s="164" t="s">
        <v>1784</v>
      </c>
      <c r="K3" s="163"/>
      <c r="L3" s="163"/>
      <c r="M3" s="163"/>
      <c r="N3" s="163"/>
      <c r="O3" s="163"/>
      <c r="P3" s="163"/>
      <c r="Q3" s="163"/>
      <c r="R3" s="163"/>
      <c r="S3" s="163"/>
      <c r="T3" s="163"/>
      <c r="U3" s="163"/>
      <c r="V3" s="163"/>
      <c r="W3" s="163"/>
      <c r="X3" s="163"/>
      <c r="Y3" s="163"/>
      <c r="Z3" s="163"/>
    </row>
    <row r="4" ht="14.25" customHeight="1">
      <c r="A4" s="163" t="s">
        <v>1778</v>
      </c>
      <c r="B4" s="108"/>
      <c r="C4" s="163" t="s">
        <v>1788</v>
      </c>
      <c r="D4" s="163" t="s">
        <v>271</v>
      </c>
      <c r="E4" s="163" t="s">
        <v>1781</v>
      </c>
      <c r="F4" s="163" t="s">
        <v>1789</v>
      </c>
      <c r="G4" s="163" t="s">
        <v>1790</v>
      </c>
      <c r="H4" s="164" t="s">
        <v>36</v>
      </c>
      <c r="I4" s="163"/>
      <c r="J4" s="164" t="s">
        <v>1784</v>
      </c>
      <c r="K4" s="163"/>
      <c r="L4" s="163"/>
      <c r="M4" s="163"/>
      <c r="N4" s="163"/>
      <c r="O4" s="163"/>
      <c r="P4" s="163"/>
      <c r="Q4" s="163"/>
      <c r="R4" s="163"/>
      <c r="S4" s="163"/>
      <c r="T4" s="163"/>
      <c r="U4" s="163"/>
      <c r="V4" s="163"/>
      <c r="W4" s="163"/>
      <c r="X4" s="163"/>
      <c r="Y4" s="163"/>
      <c r="Z4" s="163"/>
    </row>
    <row r="5" ht="14.25" customHeight="1">
      <c r="A5" s="163" t="s">
        <v>1778</v>
      </c>
      <c r="B5" s="108"/>
      <c r="C5" s="163" t="s">
        <v>1791</v>
      </c>
      <c r="D5" s="163" t="s">
        <v>271</v>
      </c>
      <c r="E5" s="163" t="s">
        <v>1781</v>
      </c>
      <c r="F5" s="163" t="s">
        <v>1792</v>
      </c>
      <c r="G5" s="163" t="s">
        <v>1793</v>
      </c>
      <c r="H5" s="164" t="s">
        <v>36</v>
      </c>
      <c r="I5" s="163"/>
      <c r="J5" s="164" t="s">
        <v>1784</v>
      </c>
      <c r="K5" s="163"/>
      <c r="L5" s="163"/>
      <c r="M5" s="163"/>
      <c r="N5" s="163"/>
      <c r="O5" s="163"/>
      <c r="P5" s="163"/>
      <c r="Q5" s="163"/>
      <c r="R5" s="163"/>
      <c r="S5" s="163"/>
      <c r="T5" s="163"/>
      <c r="U5" s="163"/>
      <c r="V5" s="163"/>
      <c r="W5" s="163"/>
      <c r="X5" s="163"/>
      <c r="Y5" s="163"/>
      <c r="Z5" s="163"/>
    </row>
    <row r="6" ht="14.25" customHeight="1">
      <c r="A6" s="163" t="s">
        <v>1778</v>
      </c>
      <c r="B6" s="108"/>
      <c r="C6" s="163" t="s">
        <v>1794</v>
      </c>
      <c r="D6" s="163" t="s">
        <v>271</v>
      </c>
      <c r="E6" s="163" t="s">
        <v>1781</v>
      </c>
      <c r="F6" s="163" t="s">
        <v>1795</v>
      </c>
      <c r="G6" s="163" t="s">
        <v>1796</v>
      </c>
      <c r="H6" s="164" t="s">
        <v>36</v>
      </c>
      <c r="I6" s="163"/>
      <c r="J6" s="164" t="s">
        <v>1784</v>
      </c>
      <c r="K6" s="163"/>
      <c r="L6" s="163"/>
      <c r="M6" s="163"/>
      <c r="N6" s="163"/>
      <c r="O6" s="163"/>
      <c r="P6" s="163"/>
      <c r="Q6" s="163"/>
      <c r="R6" s="163"/>
      <c r="S6" s="163"/>
      <c r="T6" s="163"/>
      <c r="U6" s="163"/>
      <c r="V6" s="163"/>
      <c r="W6" s="163"/>
      <c r="X6" s="163"/>
      <c r="Y6" s="163"/>
      <c r="Z6" s="163"/>
    </row>
    <row r="7" ht="14.25" customHeight="1">
      <c r="A7" s="163" t="s">
        <v>1778</v>
      </c>
      <c r="B7" s="108"/>
      <c r="C7" s="163" t="s">
        <v>1797</v>
      </c>
      <c r="D7" s="163" t="s">
        <v>271</v>
      </c>
      <c r="E7" s="163" t="s">
        <v>1781</v>
      </c>
      <c r="F7" s="163" t="s">
        <v>1798</v>
      </c>
      <c r="G7" s="164" t="s">
        <v>1799</v>
      </c>
      <c r="H7" s="164" t="s">
        <v>36</v>
      </c>
      <c r="I7" s="163"/>
      <c r="J7" s="164" t="s">
        <v>1784</v>
      </c>
      <c r="K7" s="163"/>
      <c r="L7" s="163"/>
      <c r="M7" s="163"/>
      <c r="N7" s="163"/>
      <c r="O7" s="163"/>
      <c r="P7" s="163"/>
      <c r="Q7" s="163"/>
      <c r="R7" s="163"/>
      <c r="S7" s="163"/>
      <c r="T7" s="163"/>
      <c r="U7" s="163"/>
      <c r="V7" s="163"/>
      <c r="W7" s="163"/>
      <c r="X7" s="163"/>
      <c r="Y7" s="163"/>
      <c r="Z7" s="163"/>
    </row>
    <row r="8" ht="14.25" customHeight="1">
      <c r="A8" s="163" t="s">
        <v>1778</v>
      </c>
      <c r="B8" s="108"/>
      <c r="C8" s="163" t="s">
        <v>1800</v>
      </c>
      <c r="D8" s="163" t="s">
        <v>271</v>
      </c>
      <c r="E8" s="163" t="s">
        <v>1781</v>
      </c>
      <c r="F8" s="163" t="s">
        <v>1801</v>
      </c>
      <c r="G8" s="163" t="s">
        <v>1802</v>
      </c>
      <c r="H8" s="164" t="s">
        <v>36</v>
      </c>
      <c r="I8" s="163"/>
      <c r="J8" s="164" t="s">
        <v>1784</v>
      </c>
      <c r="K8" s="163"/>
      <c r="L8" s="163"/>
      <c r="M8" s="163"/>
      <c r="N8" s="163"/>
      <c r="O8" s="163"/>
      <c r="P8" s="163"/>
      <c r="Q8" s="163"/>
      <c r="R8" s="163"/>
      <c r="S8" s="163"/>
      <c r="T8" s="163"/>
      <c r="U8" s="163"/>
      <c r="V8" s="163"/>
      <c r="W8" s="163"/>
      <c r="X8" s="163"/>
      <c r="Y8" s="163"/>
      <c r="Z8" s="163"/>
    </row>
    <row r="9" ht="14.25" customHeight="1">
      <c r="A9" s="163" t="s">
        <v>1778</v>
      </c>
      <c r="B9" s="108"/>
      <c r="C9" s="163" t="s">
        <v>1803</v>
      </c>
      <c r="D9" s="163" t="s">
        <v>271</v>
      </c>
      <c r="E9" s="163" t="s">
        <v>1781</v>
      </c>
      <c r="F9" s="163" t="s">
        <v>1804</v>
      </c>
      <c r="G9" s="163" t="s">
        <v>1805</v>
      </c>
      <c r="H9" s="164" t="s">
        <v>36</v>
      </c>
      <c r="I9" s="163"/>
      <c r="J9" s="164" t="s">
        <v>1784</v>
      </c>
      <c r="K9" s="163"/>
      <c r="L9" s="163"/>
      <c r="M9" s="163"/>
      <c r="N9" s="163"/>
      <c r="O9" s="163"/>
      <c r="P9" s="163"/>
      <c r="Q9" s="163"/>
      <c r="R9" s="163"/>
      <c r="S9" s="163"/>
      <c r="T9" s="163"/>
      <c r="U9" s="163"/>
      <c r="V9" s="163"/>
      <c r="W9" s="163"/>
      <c r="X9" s="163"/>
      <c r="Y9" s="163"/>
      <c r="Z9" s="163"/>
    </row>
    <row r="10" ht="14.25" customHeight="1">
      <c r="A10" s="163" t="s">
        <v>1778</v>
      </c>
      <c r="B10" s="109"/>
      <c r="C10" s="163" t="s">
        <v>1806</v>
      </c>
      <c r="D10" s="163" t="s">
        <v>271</v>
      </c>
      <c r="E10" s="163" t="s">
        <v>1781</v>
      </c>
      <c r="F10" s="163" t="s">
        <v>1807</v>
      </c>
      <c r="G10" s="163" t="s">
        <v>1808</v>
      </c>
      <c r="H10" s="164" t="s">
        <v>36</v>
      </c>
      <c r="I10" s="163"/>
      <c r="J10" s="164" t="s">
        <v>1784</v>
      </c>
      <c r="K10" s="163"/>
      <c r="L10" s="163"/>
      <c r="M10" s="163"/>
      <c r="N10" s="163"/>
      <c r="O10" s="163"/>
      <c r="P10" s="163"/>
      <c r="Q10" s="163"/>
      <c r="R10" s="163"/>
      <c r="S10" s="163"/>
      <c r="T10" s="163"/>
      <c r="U10" s="163"/>
      <c r="V10" s="163"/>
      <c r="W10" s="163"/>
      <c r="X10" s="163"/>
      <c r="Y10" s="163"/>
      <c r="Z10" s="163"/>
    </row>
    <row r="11" ht="14.25" customHeight="1">
      <c r="A11" s="165" t="s">
        <v>1809</v>
      </c>
      <c r="B11" s="166" t="s">
        <v>1810</v>
      </c>
      <c r="C11" s="164" t="s">
        <v>1811</v>
      </c>
      <c r="D11" s="165" t="s">
        <v>271</v>
      </c>
      <c r="E11" s="165" t="s">
        <v>1812</v>
      </c>
      <c r="F11" s="165" t="s">
        <v>1813</v>
      </c>
      <c r="G11" s="165" t="s">
        <v>1814</v>
      </c>
      <c r="H11" s="164" t="s">
        <v>36</v>
      </c>
      <c r="I11" s="163"/>
      <c r="J11" s="164" t="s">
        <v>1784</v>
      </c>
      <c r="K11" s="163"/>
      <c r="L11" s="163"/>
      <c r="M11" s="163"/>
      <c r="N11" s="163"/>
      <c r="O11" s="163"/>
      <c r="P11" s="163"/>
      <c r="Q11" s="163"/>
      <c r="R11" s="163"/>
      <c r="S11" s="163"/>
      <c r="T11" s="163"/>
      <c r="U11" s="163"/>
      <c r="V11" s="163"/>
      <c r="W11" s="163"/>
      <c r="X11" s="163"/>
      <c r="Y11" s="163"/>
      <c r="Z11" s="163"/>
    </row>
    <row r="12" ht="14.25" customHeight="1">
      <c r="A12" s="165" t="s">
        <v>1809</v>
      </c>
      <c r="B12" s="108"/>
      <c r="C12" s="164" t="s">
        <v>1815</v>
      </c>
      <c r="D12" s="165" t="s">
        <v>271</v>
      </c>
      <c r="E12" s="165" t="s">
        <v>1812</v>
      </c>
      <c r="F12" s="165" t="s">
        <v>1816</v>
      </c>
      <c r="G12" s="165" t="s">
        <v>1817</v>
      </c>
      <c r="H12" s="164" t="s">
        <v>36</v>
      </c>
      <c r="I12" s="163"/>
      <c r="J12" s="164" t="s">
        <v>1784</v>
      </c>
      <c r="K12" s="163"/>
      <c r="L12" s="163"/>
      <c r="M12" s="163"/>
      <c r="N12" s="163"/>
      <c r="O12" s="163"/>
      <c r="P12" s="163"/>
      <c r="Q12" s="163"/>
      <c r="R12" s="163"/>
      <c r="S12" s="163"/>
      <c r="T12" s="163"/>
      <c r="U12" s="163"/>
      <c r="V12" s="163"/>
      <c r="W12" s="163"/>
      <c r="X12" s="163"/>
      <c r="Y12" s="163"/>
      <c r="Z12" s="163"/>
    </row>
    <row r="13" ht="14.25" customHeight="1">
      <c r="A13" s="165" t="s">
        <v>1809</v>
      </c>
      <c r="B13" s="108"/>
      <c r="C13" s="164" t="s">
        <v>1818</v>
      </c>
      <c r="D13" s="165" t="s">
        <v>271</v>
      </c>
      <c r="E13" s="165" t="s">
        <v>1812</v>
      </c>
      <c r="F13" s="165" t="s">
        <v>1819</v>
      </c>
      <c r="G13" s="165" t="s">
        <v>1820</v>
      </c>
      <c r="H13" s="164" t="s">
        <v>36</v>
      </c>
      <c r="I13" s="163"/>
      <c r="J13" s="164" t="s">
        <v>1784</v>
      </c>
      <c r="K13" s="163"/>
      <c r="L13" s="163"/>
      <c r="M13" s="163"/>
      <c r="N13" s="163"/>
      <c r="O13" s="163"/>
      <c r="P13" s="163"/>
      <c r="Q13" s="163"/>
      <c r="R13" s="163"/>
      <c r="S13" s="163"/>
      <c r="T13" s="163"/>
      <c r="U13" s="163"/>
      <c r="V13" s="163"/>
      <c r="W13" s="163"/>
      <c r="X13" s="163"/>
      <c r="Y13" s="163"/>
      <c r="Z13" s="163"/>
    </row>
    <row r="14" ht="14.25" customHeight="1">
      <c r="A14" s="165" t="s">
        <v>1809</v>
      </c>
      <c r="B14" s="108"/>
      <c r="C14" s="164" t="s">
        <v>1821</v>
      </c>
      <c r="D14" s="165" t="s">
        <v>271</v>
      </c>
      <c r="E14" s="165" t="s">
        <v>1812</v>
      </c>
      <c r="F14" s="165" t="s">
        <v>1822</v>
      </c>
      <c r="G14" s="165" t="s">
        <v>1823</v>
      </c>
      <c r="H14" s="164" t="s">
        <v>36</v>
      </c>
      <c r="I14" s="163"/>
      <c r="J14" s="164" t="s">
        <v>1784</v>
      </c>
      <c r="K14" s="163"/>
      <c r="L14" s="163"/>
      <c r="M14" s="163"/>
      <c r="N14" s="163"/>
      <c r="O14" s="163"/>
      <c r="P14" s="163"/>
      <c r="Q14" s="163"/>
      <c r="R14" s="163"/>
      <c r="S14" s="163"/>
      <c r="T14" s="163"/>
      <c r="U14" s="163"/>
      <c r="V14" s="163"/>
      <c r="W14" s="163"/>
      <c r="X14" s="163"/>
      <c r="Y14" s="163"/>
      <c r="Z14" s="163"/>
    </row>
    <row r="15" ht="14.25" customHeight="1">
      <c r="A15" s="165" t="s">
        <v>1809</v>
      </c>
      <c r="B15" s="108"/>
      <c r="C15" s="164" t="s">
        <v>1824</v>
      </c>
      <c r="D15" s="165" t="s">
        <v>271</v>
      </c>
      <c r="E15" s="165" t="s">
        <v>1812</v>
      </c>
      <c r="F15" s="165" t="s">
        <v>1825</v>
      </c>
      <c r="G15" s="165" t="s">
        <v>1817</v>
      </c>
      <c r="H15" s="164" t="s">
        <v>36</v>
      </c>
      <c r="I15" s="163"/>
      <c r="J15" s="164" t="s">
        <v>1784</v>
      </c>
      <c r="K15" s="163"/>
      <c r="L15" s="163"/>
      <c r="M15" s="163"/>
      <c r="N15" s="163"/>
      <c r="O15" s="163"/>
      <c r="P15" s="163"/>
      <c r="Q15" s="163"/>
      <c r="R15" s="163"/>
      <c r="S15" s="163"/>
      <c r="T15" s="163"/>
      <c r="U15" s="163"/>
      <c r="V15" s="163"/>
      <c r="W15" s="163"/>
      <c r="X15" s="163"/>
      <c r="Y15" s="163"/>
      <c r="Z15" s="163"/>
    </row>
    <row r="16" ht="14.25" customHeight="1">
      <c r="A16" s="165" t="s">
        <v>1809</v>
      </c>
      <c r="B16" s="109"/>
      <c r="C16" s="164" t="s">
        <v>1826</v>
      </c>
      <c r="D16" s="165" t="s">
        <v>271</v>
      </c>
      <c r="E16" s="165" t="s">
        <v>1812</v>
      </c>
      <c r="F16" s="165" t="s">
        <v>1827</v>
      </c>
      <c r="G16" s="165" t="s">
        <v>1828</v>
      </c>
      <c r="H16" s="164" t="s">
        <v>36</v>
      </c>
      <c r="I16" s="163"/>
      <c r="J16" s="164" t="s">
        <v>1784</v>
      </c>
      <c r="K16" s="163"/>
      <c r="L16" s="163"/>
      <c r="M16" s="163"/>
      <c r="N16" s="163"/>
      <c r="O16" s="163"/>
      <c r="P16" s="163"/>
      <c r="Q16" s="163"/>
      <c r="R16" s="163"/>
      <c r="S16" s="163"/>
      <c r="T16" s="163"/>
      <c r="U16" s="163"/>
      <c r="V16" s="163"/>
      <c r="W16" s="163"/>
      <c r="X16" s="163"/>
      <c r="Y16" s="163"/>
      <c r="Z16" s="163"/>
    </row>
    <row r="17" ht="14.25" customHeight="1">
      <c r="A17" s="167" t="s">
        <v>1829</v>
      </c>
      <c r="B17" s="166" t="s">
        <v>1830</v>
      </c>
      <c r="C17" s="165" t="s">
        <v>1831</v>
      </c>
      <c r="D17" s="165" t="s">
        <v>271</v>
      </c>
      <c r="E17" s="165" t="s">
        <v>1830</v>
      </c>
      <c r="F17" s="165" t="s">
        <v>1832</v>
      </c>
      <c r="G17" s="165" t="s">
        <v>1833</v>
      </c>
      <c r="H17" s="164" t="s">
        <v>36</v>
      </c>
      <c r="I17" s="163"/>
      <c r="J17" s="164" t="s">
        <v>1784</v>
      </c>
      <c r="K17" s="163"/>
      <c r="L17" s="163"/>
      <c r="M17" s="163"/>
      <c r="N17" s="163"/>
      <c r="O17" s="163"/>
      <c r="P17" s="163"/>
      <c r="Q17" s="163"/>
      <c r="R17" s="163"/>
      <c r="S17" s="163"/>
      <c r="T17" s="163"/>
      <c r="U17" s="163"/>
      <c r="V17" s="163"/>
      <c r="W17" s="163"/>
      <c r="X17" s="163"/>
      <c r="Y17" s="163"/>
      <c r="Z17" s="163"/>
    </row>
    <row r="18" ht="14.25" customHeight="1">
      <c r="A18" s="167" t="s">
        <v>1829</v>
      </c>
      <c r="B18" s="108"/>
      <c r="C18" s="165" t="s">
        <v>1834</v>
      </c>
      <c r="D18" s="165" t="s">
        <v>271</v>
      </c>
      <c r="E18" s="165" t="s">
        <v>1830</v>
      </c>
      <c r="F18" s="165" t="s">
        <v>1835</v>
      </c>
      <c r="G18" s="165" t="s">
        <v>1836</v>
      </c>
      <c r="H18" s="164" t="s">
        <v>36</v>
      </c>
      <c r="I18" s="163"/>
      <c r="J18" s="164" t="s">
        <v>1784</v>
      </c>
      <c r="K18" s="163"/>
      <c r="L18" s="163"/>
      <c r="M18" s="163"/>
      <c r="N18" s="163"/>
      <c r="O18" s="163"/>
      <c r="P18" s="163"/>
      <c r="Q18" s="163"/>
      <c r="R18" s="163"/>
      <c r="S18" s="163"/>
      <c r="T18" s="163"/>
      <c r="U18" s="163"/>
      <c r="V18" s="163"/>
      <c r="W18" s="163"/>
      <c r="X18" s="163"/>
      <c r="Y18" s="163"/>
      <c r="Z18" s="163"/>
    </row>
    <row r="19" ht="14.25" customHeight="1">
      <c r="A19" s="167" t="s">
        <v>1829</v>
      </c>
      <c r="B19" s="108"/>
      <c r="C19" s="165" t="s">
        <v>1837</v>
      </c>
      <c r="D19" s="165" t="s">
        <v>271</v>
      </c>
      <c r="E19" s="165" t="s">
        <v>1830</v>
      </c>
      <c r="F19" s="165" t="s">
        <v>1838</v>
      </c>
      <c r="G19" s="165" t="s">
        <v>1839</v>
      </c>
      <c r="H19" s="164" t="s">
        <v>36</v>
      </c>
      <c r="I19" s="163"/>
      <c r="J19" s="164" t="s">
        <v>1784</v>
      </c>
      <c r="K19" s="163"/>
      <c r="L19" s="163"/>
      <c r="M19" s="163"/>
      <c r="N19" s="163"/>
      <c r="O19" s="163"/>
      <c r="P19" s="163"/>
      <c r="Q19" s="163"/>
      <c r="R19" s="163"/>
      <c r="S19" s="163"/>
      <c r="T19" s="163"/>
      <c r="U19" s="163"/>
      <c r="V19" s="163"/>
      <c r="W19" s="163"/>
      <c r="X19" s="163"/>
      <c r="Y19" s="163"/>
      <c r="Z19" s="163"/>
    </row>
    <row r="20" ht="14.25" customHeight="1">
      <c r="A20" s="167" t="s">
        <v>1829</v>
      </c>
      <c r="B20" s="108"/>
      <c r="C20" s="165" t="s">
        <v>1840</v>
      </c>
      <c r="D20" s="165" t="s">
        <v>271</v>
      </c>
      <c r="E20" s="165" t="s">
        <v>1830</v>
      </c>
      <c r="F20" s="165" t="s">
        <v>1841</v>
      </c>
      <c r="G20" s="165" t="s">
        <v>1842</v>
      </c>
      <c r="H20" s="164" t="s">
        <v>36</v>
      </c>
      <c r="I20" s="163"/>
      <c r="J20" s="164" t="s">
        <v>1784</v>
      </c>
      <c r="K20" s="163"/>
      <c r="L20" s="163"/>
      <c r="M20" s="163"/>
      <c r="N20" s="163"/>
      <c r="O20" s="163"/>
      <c r="P20" s="163"/>
      <c r="Q20" s="163"/>
      <c r="R20" s="163"/>
      <c r="S20" s="163"/>
      <c r="T20" s="163"/>
      <c r="U20" s="163"/>
      <c r="V20" s="163"/>
      <c r="W20" s="163"/>
      <c r="X20" s="163"/>
      <c r="Y20" s="163"/>
      <c r="Z20" s="163"/>
    </row>
    <row r="21" ht="14.25" customHeight="1">
      <c r="A21" s="167" t="s">
        <v>1829</v>
      </c>
      <c r="B21" s="108"/>
      <c r="C21" s="165" t="s">
        <v>1843</v>
      </c>
      <c r="D21" s="165" t="s">
        <v>271</v>
      </c>
      <c r="E21" s="165" t="s">
        <v>1830</v>
      </c>
      <c r="F21" s="165" t="s">
        <v>1844</v>
      </c>
      <c r="G21" s="165" t="s">
        <v>1845</v>
      </c>
      <c r="H21" s="164" t="s">
        <v>36</v>
      </c>
      <c r="I21" s="163"/>
      <c r="J21" s="164" t="s">
        <v>1784</v>
      </c>
      <c r="K21" s="163"/>
      <c r="L21" s="163"/>
      <c r="M21" s="163"/>
      <c r="N21" s="163"/>
      <c r="O21" s="163"/>
      <c r="P21" s="163"/>
      <c r="Q21" s="163"/>
      <c r="R21" s="163"/>
      <c r="S21" s="163"/>
      <c r="T21" s="163"/>
      <c r="U21" s="163"/>
      <c r="V21" s="163"/>
      <c r="W21" s="163"/>
      <c r="X21" s="163"/>
      <c r="Y21" s="163"/>
      <c r="Z21" s="163"/>
    </row>
    <row r="22" ht="14.25" customHeight="1">
      <c r="A22" s="167" t="s">
        <v>1829</v>
      </c>
      <c r="B22" s="109"/>
      <c r="C22" s="165" t="s">
        <v>1846</v>
      </c>
      <c r="D22" s="165" t="s">
        <v>271</v>
      </c>
      <c r="E22" s="165" t="s">
        <v>1830</v>
      </c>
      <c r="F22" s="165" t="s">
        <v>1847</v>
      </c>
      <c r="G22" s="165" t="s">
        <v>1848</v>
      </c>
      <c r="H22" s="164" t="s">
        <v>36</v>
      </c>
      <c r="I22" s="163"/>
      <c r="J22" s="164" t="s">
        <v>1784</v>
      </c>
      <c r="K22" s="163"/>
      <c r="L22" s="163"/>
      <c r="M22" s="163"/>
      <c r="N22" s="163"/>
      <c r="O22" s="163"/>
      <c r="P22" s="163"/>
      <c r="Q22" s="163"/>
      <c r="R22" s="163"/>
      <c r="S22" s="163"/>
      <c r="T22" s="163"/>
      <c r="U22" s="163"/>
      <c r="V22" s="163"/>
      <c r="W22" s="163"/>
      <c r="X22" s="163"/>
      <c r="Y22" s="163"/>
      <c r="Z22" s="163"/>
    </row>
    <row r="23" ht="14.25" customHeight="1">
      <c r="A23" s="164" t="s">
        <v>1849</v>
      </c>
      <c r="B23" s="166" t="s">
        <v>1850</v>
      </c>
      <c r="C23" s="165" t="s">
        <v>1831</v>
      </c>
      <c r="D23" s="165" t="s">
        <v>271</v>
      </c>
      <c r="E23" s="165" t="s">
        <v>1851</v>
      </c>
      <c r="F23" s="165" t="s">
        <v>1852</v>
      </c>
      <c r="G23" s="165" t="s">
        <v>1853</v>
      </c>
      <c r="H23" s="164" t="s">
        <v>36</v>
      </c>
      <c r="I23" s="163"/>
      <c r="J23" s="164" t="s">
        <v>1784</v>
      </c>
      <c r="K23" s="163"/>
      <c r="L23" s="163"/>
      <c r="M23" s="163"/>
      <c r="N23" s="163"/>
      <c r="O23" s="163"/>
      <c r="P23" s="163"/>
      <c r="Q23" s="163"/>
      <c r="R23" s="163"/>
      <c r="S23" s="163"/>
      <c r="T23" s="163"/>
      <c r="U23" s="163"/>
      <c r="V23" s="163"/>
      <c r="W23" s="163"/>
      <c r="X23" s="163"/>
      <c r="Y23" s="163"/>
      <c r="Z23" s="163"/>
    </row>
    <row r="24" ht="14.25" customHeight="1">
      <c r="A24" s="164" t="s">
        <v>1849</v>
      </c>
      <c r="B24" s="108"/>
      <c r="C24" s="165" t="s">
        <v>1834</v>
      </c>
      <c r="D24" s="165" t="s">
        <v>271</v>
      </c>
      <c r="E24" s="165" t="s">
        <v>1851</v>
      </c>
      <c r="F24" s="165" t="s">
        <v>1854</v>
      </c>
      <c r="G24" s="165" t="s">
        <v>1855</v>
      </c>
      <c r="H24" s="164" t="s">
        <v>36</v>
      </c>
      <c r="I24" s="163"/>
      <c r="J24" s="164" t="s">
        <v>1784</v>
      </c>
      <c r="K24" s="163"/>
      <c r="L24" s="163"/>
      <c r="M24" s="163"/>
      <c r="N24" s="163"/>
      <c r="O24" s="163"/>
      <c r="P24" s="163"/>
      <c r="Q24" s="163"/>
      <c r="R24" s="163"/>
      <c r="S24" s="163"/>
      <c r="T24" s="163"/>
      <c r="U24" s="163"/>
      <c r="V24" s="163"/>
      <c r="W24" s="163"/>
      <c r="X24" s="163"/>
      <c r="Y24" s="163"/>
      <c r="Z24" s="163"/>
    </row>
    <row r="25" ht="14.25" customHeight="1">
      <c r="A25" s="164" t="s">
        <v>1849</v>
      </c>
      <c r="B25" s="108"/>
      <c r="C25" s="165" t="s">
        <v>1837</v>
      </c>
      <c r="D25" s="165" t="s">
        <v>271</v>
      </c>
      <c r="E25" s="165" t="s">
        <v>1851</v>
      </c>
      <c r="F25" s="165" t="s">
        <v>1838</v>
      </c>
      <c r="G25" s="165" t="s">
        <v>1839</v>
      </c>
      <c r="H25" s="164" t="s">
        <v>36</v>
      </c>
      <c r="I25" s="163"/>
      <c r="J25" s="164" t="s">
        <v>1784</v>
      </c>
      <c r="K25" s="163"/>
      <c r="L25" s="163"/>
      <c r="M25" s="163"/>
      <c r="N25" s="163"/>
      <c r="O25" s="163"/>
      <c r="P25" s="163"/>
      <c r="Q25" s="163"/>
      <c r="R25" s="163"/>
      <c r="S25" s="163"/>
      <c r="T25" s="163"/>
      <c r="U25" s="163"/>
      <c r="V25" s="163"/>
      <c r="W25" s="163"/>
      <c r="X25" s="163"/>
      <c r="Y25" s="163"/>
      <c r="Z25" s="163"/>
    </row>
    <row r="26" ht="14.25" customHeight="1">
      <c r="A26" s="164" t="s">
        <v>1849</v>
      </c>
      <c r="B26" s="108"/>
      <c r="C26" s="165" t="s">
        <v>1840</v>
      </c>
      <c r="D26" s="165" t="s">
        <v>271</v>
      </c>
      <c r="E26" s="165" t="s">
        <v>1851</v>
      </c>
      <c r="F26" s="165" t="s">
        <v>1856</v>
      </c>
      <c r="G26" s="165" t="s">
        <v>1857</v>
      </c>
      <c r="H26" s="164" t="s">
        <v>36</v>
      </c>
      <c r="I26" s="163"/>
      <c r="J26" s="164" t="s">
        <v>1784</v>
      </c>
      <c r="K26" s="163"/>
      <c r="L26" s="163"/>
      <c r="M26" s="163"/>
      <c r="N26" s="163"/>
      <c r="O26" s="163"/>
      <c r="P26" s="163"/>
      <c r="Q26" s="163"/>
      <c r="R26" s="163"/>
      <c r="S26" s="163"/>
      <c r="T26" s="163"/>
      <c r="U26" s="163"/>
      <c r="V26" s="163"/>
      <c r="W26" s="163"/>
      <c r="X26" s="163"/>
      <c r="Y26" s="163"/>
      <c r="Z26" s="163"/>
    </row>
    <row r="27" ht="14.25" customHeight="1">
      <c r="A27" s="164" t="s">
        <v>1849</v>
      </c>
      <c r="B27" s="108"/>
      <c r="C27" s="165" t="s">
        <v>1843</v>
      </c>
      <c r="D27" s="165" t="s">
        <v>271</v>
      </c>
      <c r="E27" s="165" t="s">
        <v>1851</v>
      </c>
      <c r="F27" s="165" t="s">
        <v>1858</v>
      </c>
      <c r="G27" s="165" t="s">
        <v>1859</v>
      </c>
      <c r="H27" s="164" t="s">
        <v>36</v>
      </c>
      <c r="I27" s="163"/>
      <c r="J27" s="164" t="s">
        <v>1784</v>
      </c>
      <c r="K27" s="163"/>
      <c r="L27" s="163"/>
      <c r="M27" s="163"/>
      <c r="N27" s="163"/>
      <c r="O27" s="163"/>
      <c r="P27" s="163"/>
      <c r="Q27" s="163"/>
      <c r="R27" s="163"/>
      <c r="S27" s="163"/>
      <c r="T27" s="163"/>
      <c r="U27" s="163"/>
      <c r="V27" s="163"/>
      <c r="W27" s="163"/>
      <c r="X27" s="163"/>
      <c r="Y27" s="163"/>
      <c r="Z27" s="163"/>
    </row>
    <row r="28" ht="14.25" customHeight="1">
      <c r="A28" s="164" t="s">
        <v>1849</v>
      </c>
      <c r="B28" s="109"/>
      <c r="C28" s="165" t="s">
        <v>1846</v>
      </c>
      <c r="D28" s="165" t="s">
        <v>271</v>
      </c>
      <c r="E28" s="165" t="s">
        <v>1851</v>
      </c>
      <c r="F28" s="165" t="s">
        <v>1860</v>
      </c>
      <c r="G28" s="165" t="s">
        <v>1859</v>
      </c>
      <c r="H28" s="164" t="s">
        <v>36</v>
      </c>
      <c r="I28" s="163"/>
      <c r="J28" s="164" t="s">
        <v>1784</v>
      </c>
      <c r="K28" s="163"/>
      <c r="L28" s="163"/>
      <c r="M28" s="163"/>
      <c r="N28" s="163"/>
      <c r="O28" s="163"/>
      <c r="P28" s="163"/>
      <c r="Q28" s="163"/>
      <c r="R28" s="163"/>
      <c r="S28" s="163"/>
      <c r="T28" s="163"/>
      <c r="U28" s="163"/>
      <c r="V28" s="163"/>
      <c r="W28" s="163"/>
      <c r="X28" s="163"/>
      <c r="Y28" s="163"/>
      <c r="Z28" s="163"/>
    </row>
    <row r="29" ht="14.25" customHeight="1">
      <c r="A29" s="167" t="s">
        <v>1861</v>
      </c>
      <c r="B29" s="166" t="s">
        <v>1862</v>
      </c>
      <c r="C29" s="165" t="s">
        <v>1863</v>
      </c>
      <c r="D29" s="165" t="s">
        <v>271</v>
      </c>
      <c r="E29" s="165" t="s">
        <v>1864</v>
      </c>
      <c r="F29" s="165" t="s">
        <v>1865</v>
      </c>
      <c r="G29" s="165" t="s">
        <v>1866</v>
      </c>
      <c r="H29" s="164" t="s">
        <v>36</v>
      </c>
      <c r="I29" s="163"/>
      <c r="J29" s="164" t="s">
        <v>1784</v>
      </c>
      <c r="K29" s="163"/>
      <c r="L29" s="163"/>
      <c r="M29" s="163"/>
      <c r="N29" s="163"/>
      <c r="O29" s="163"/>
      <c r="P29" s="163"/>
      <c r="Q29" s="163"/>
      <c r="R29" s="163"/>
      <c r="S29" s="163"/>
      <c r="T29" s="163"/>
      <c r="U29" s="163"/>
      <c r="V29" s="163"/>
      <c r="W29" s="163"/>
      <c r="X29" s="163"/>
      <c r="Y29" s="163"/>
      <c r="Z29" s="163"/>
    </row>
    <row r="30" ht="14.25" customHeight="1">
      <c r="A30" s="167" t="s">
        <v>1861</v>
      </c>
      <c r="B30" s="108"/>
      <c r="C30" s="165" t="s">
        <v>1867</v>
      </c>
      <c r="D30" s="165" t="s">
        <v>271</v>
      </c>
      <c r="E30" s="165" t="s">
        <v>1864</v>
      </c>
      <c r="F30" s="165" t="s">
        <v>1868</v>
      </c>
      <c r="G30" s="165" t="s">
        <v>1869</v>
      </c>
      <c r="H30" s="164" t="s">
        <v>36</v>
      </c>
      <c r="I30" s="163"/>
      <c r="J30" s="164" t="s">
        <v>1784</v>
      </c>
      <c r="K30" s="163"/>
      <c r="L30" s="163"/>
      <c r="M30" s="163"/>
      <c r="N30" s="163"/>
      <c r="O30" s="163"/>
      <c r="P30" s="163"/>
      <c r="Q30" s="163"/>
      <c r="R30" s="163"/>
      <c r="S30" s="163"/>
      <c r="T30" s="163"/>
      <c r="U30" s="163"/>
      <c r="V30" s="163"/>
      <c r="W30" s="163"/>
      <c r="X30" s="163"/>
      <c r="Y30" s="163"/>
      <c r="Z30" s="163"/>
    </row>
    <row r="31" ht="14.25" customHeight="1">
      <c r="A31" s="167" t="s">
        <v>1861</v>
      </c>
      <c r="B31" s="108"/>
      <c r="C31" s="165" t="s">
        <v>1870</v>
      </c>
      <c r="D31" s="165" t="s">
        <v>271</v>
      </c>
      <c r="E31" s="165" t="s">
        <v>1864</v>
      </c>
      <c r="F31" s="165" t="s">
        <v>1871</v>
      </c>
      <c r="G31" s="165" t="s">
        <v>1872</v>
      </c>
      <c r="H31" s="164" t="s">
        <v>36</v>
      </c>
      <c r="I31" s="163"/>
      <c r="J31" s="164" t="s">
        <v>1784</v>
      </c>
      <c r="K31" s="163"/>
      <c r="L31" s="163"/>
      <c r="M31" s="163"/>
      <c r="N31" s="163"/>
      <c r="O31" s="163"/>
      <c r="P31" s="163"/>
      <c r="Q31" s="163"/>
      <c r="R31" s="163"/>
      <c r="S31" s="163"/>
      <c r="T31" s="163"/>
      <c r="U31" s="163"/>
      <c r="V31" s="163"/>
      <c r="W31" s="163"/>
      <c r="X31" s="163"/>
      <c r="Y31" s="163"/>
      <c r="Z31" s="163"/>
    </row>
    <row r="32" ht="14.25" customHeight="1">
      <c r="A32" s="167" t="s">
        <v>1861</v>
      </c>
      <c r="B32" s="108"/>
      <c r="C32" s="165" t="s">
        <v>1873</v>
      </c>
      <c r="D32" s="165" t="s">
        <v>271</v>
      </c>
      <c r="E32" s="165" t="s">
        <v>1864</v>
      </c>
      <c r="F32" s="165" t="s">
        <v>1874</v>
      </c>
      <c r="G32" s="165" t="s">
        <v>1875</v>
      </c>
      <c r="H32" s="164" t="s">
        <v>36</v>
      </c>
      <c r="I32" s="163"/>
      <c r="J32" s="164" t="s">
        <v>1784</v>
      </c>
      <c r="K32" s="163"/>
      <c r="L32" s="163"/>
      <c r="M32" s="163"/>
      <c r="N32" s="163"/>
      <c r="O32" s="163"/>
      <c r="P32" s="163"/>
      <c r="Q32" s="163"/>
      <c r="R32" s="163"/>
      <c r="S32" s="163"/>
      <c r="T32" s="163"/>
      <c r="U32" s="163"/>
      <c r="V32" s="163"/>
      <c r="W32" s="163"/>
      <c r="X32" s="163"/>
      <c r="Y32" s="163"/>
      <c r="Z32" s="163"/>
    </row>
    <row r="33" ht="14.25" customHeight="1">
      <c r="A33" s="167" t="s">
        <v>1861</v>
      </c>
      <c r="B33" s="108"/>
      <c r="C33" s="165" t="s">
        <v>1876</v>
      </c>
      <c r="D33" s="165" t="s">
        <v>271</v>
      </c>
      <c r="E33" s="165" t="s">
        <v>1864</v>
      </c>
      <c r="F33" s="165" t="s">
        <v>1877</v>
      </c>
      <c r="G33" s="165" t="s">
        <v>1878</v>
      </c>
      <c r="H33" s="164" t="s">
        <v>36</v>
      </c>
      <c r="I33" s="163"/>
      <c r="J33" s="164" t="s">
        <v>1784</v>
      </c>
      <c r="K33" s="163"/>
      <c r="L33" s="163"/>
      <c r="M33" s="163"/>
      <c r="N33" s="163"/>
      <c r="O33" s="163"/>
      <c r="P33" s="163"/>
      <c r="Q33" s="163"/>
      <c r="R33" s="163"/>
      <c r="S33" s="163"/>
      <c r="T33" s="163"/>
      <c r="U33" s="163"/>
      <c r="V33" s="163"/>
      <c r="W33" s="163"/>
      <c r="X33" s="163"/>
      <c r="Y33" s="163"/>
      <c r="Z33" s="163"/>
    </row>
    <row r="34" ht="14.25" customHeight="1">
      <c r="A34" s="167" t="s">
        <v>1861</v>
      </c>
      <c r="B34" s="108"/>
      <c r="C34" s="165" t="s">
        <v>1879</v>
      </c>
      <c r="D34" s="165" t="s">
        <v>271</v>
      </c>
      <c r="E34" s="165" t="s">
        <v>1864</v>
      </c>
      <c r="F34" s="165" t="s">
        <v>1880</v>
      </c>
      <c r="G34" s="165" t="s">
        <v>1881</v>
      </c>
      <c r="H34" s="164" t="s">
        <v>36</v>
      </c>
      <c r="I34" s="163"/>
      <c r="J34" s="164" t="s">
        <v>1784</v>
      </c>
      <c r="K34" s="163"/>
      <c r="L34" s="163"/>
      <c r="M34" s="163"/>
      <c r="N34" s="163"/>
      <c r="O34" s="163"/>
      <c r="P34" s="163"/>
      <c r="Q34" s="163"/>
      <c r="R34" s="163"/>
      <c r="S34" s="163"/>
      <c r="T34" s="163"/>
      <c r="U34" s="163"/>
      <c r="V34" s="163"/>
      <c r="W34" s="163"/>
      <c r="X34" s="163"/>
      <c r="Y34" s="163"/>
      <c r="Z34" s="163"/>
    </row>
    <row r="35" ht="14.25" customHeight="1">
      <c r="A35" s="167" t="s">
        <v>1861</v>
      </c>
      <c r="B35" s="108"/>
      <c r="C35" s="165" t="s">
        <v>1882</v>
      </c>
      <c r="D35" s="165" t="s">
        <v>271</v>
      </c>
      <c r="E35" s="165" t="s">
        <v>1864</v>
      </c>
      <c r="F35" s="165" t="s">
        <v>1883</v>
      </c>
      <c r="G35" s="165" t="s">
        <v>1884</v>
      </c>
      <c r="H35" s="164" t="s">
        <v>36</v>
      </c>
      <c r="I35" s="163"/>
      <c r="J35" s="164" t="s">
        <v>1784</v>
      </c>
      <c r="K35" s="163"/>
      <c r="L35" s="163"/>
      <c r="M35" s="163"/>
      <c r="N35" s="163"/>
      <c r="O35" s="163"/>
      <c r="P35" s="163"/>
      <c r="Q35" s="163"/>
      <c r="R35" s="163"/>
      <c r="S35" s="163"/>
      <c r="T35" s="163"/>
      <c r="U35" s="163"/>
      <c r="V35" s="163"/>
      <c r="W35" s="163"/>
      <c r="X35" s="163"/>
      <c r="Y35" s="163"/>
      <c r="Z35" s="163"/>
    </row>
    <row r="36" ht="14.25" customHeight="1">
      <c r="A36" s="167" t="s">
        <v>1861</v>
      </c>
      <c r="B36" s="108"/>
      <c r="C36" s="165" t="s">
        <v>1885</v>
      </c>
      <c r="D36" s="165" t="s">
        <v>271</v>
      </c>
      <c r="E36" s="165" t="s">
        <v>1864</v>
      </c>
      <c r="F36" s="165" t="s">
        <v>1886</v>
      </c>
      <c r="G36" s="165" t="s">
        <v>1887</v>
      </c>
      <c r="H36" s="164" t="s">
        <v>36</v>
      </c>
      <c r="I36" s="163"/>
      <c r="J36" s="164" t="s">
        <v>1784</v>
      </c>
      <c r="K36" s="163"/>
      <c r="L36" s="163"/>
      <c r="M36" s="163"/>
      <c r="N36" s="163"/>
      <c r="O36" s="163"/>
      <c r="P36" s="163"/>
      <c r="Q36" s="163"/>
      <c r="R36" s="163"/>
      <c r="S36" s="163"/>
      <c r="T36" s="163"/>
      <c r="U36" s="163"/>
      <c r="V36" s="163"/>
      <c r="W36" s="163"/>
      <c r="X36" s="163"/>
      <c r="Y36" s="163"/>
      <c r="Z36" s="163"/>
    </row>
    <row r="37" ht="14.25" customHeight="1">
      <c r="A37" s="167" t="s">
        <v>1861</v>
      </c>
      <c r="B37" s="109"/>
      <c r="C37" s="165" t="s">
        <v>1888</v>
      </c>
      <c r="D37" s="165" t="s">
        <v>271</v>
      </c>
      <c r="E37" s="165" t="s">
        <v>1864</v>
      </c>
      <c r="F37" s="165" t="s">
        <v>1889</v>
      </c>
      <c r="G37" s="165" t="s">
        <v>1890</v>
      </c>
      <c r="H37" s="164" t="s">
        <v>36</v>
      </c>
      <c r="I37" s="163"/>
      <c r="J37" s="164" t="s">
        <v>1784</v>
      </c>
      <c r="K37" s="163"/>
      <c r="L37" s="163"/>
      <c r="M37" s="163"/>
      <c r="N37" s="163"/>
      <c r="O37" s="163"/>
      <c r="P37" s="163"/>
      <c r="Q37" s="163"/>
      <c r="R37" s="163"/>
      <c r="S37" s="163"/>
      <c r="T37" s="163"/>
      <c r="U37" s="163"/>
      <c r="V37" s="163"/>
      <c r="W37" s="163"/>
      <c r="X37" s="163"/>
      <c r="Y37" s="163"/>
      <c r="Z37" s="163"/>
    </row>
    <row r="38" ht="14.25" customHeight="1">
      <c r="A38" s="164" t="s">
        <v>1891</v>
      </c>
      <c r="B38" s="166" t="s">
        <v>1892</v>
      </c>
      <c r="C38" s="165" t="s">
        <v>1893</v>
      </c>
      <c r="D38" s="165" t="s">
        <v>271</v>
      </c>
      <c r="E38" s="165" t="s">
        <v>1894</v>
      </c>
      <c r="F38" s="165" t="s">
        <v>1895</v>
      </c>
      <c r="G38" s="165" t="s">
        <v>1896</v>
      </c>
      <c r="H38" s="164" t="s">
        <v>36</v>
      </c>
      <c r="I38" s="163"/>
      <c r="J38" s="164" t="s">
        <v>1784</v>
      </c>
      <c r="K38" s="163"/>
      <c r="L38" s="163"/>
      <c r="M38" s="163"/>
      <c r="N38" s="163"/>
      <c r="O38" s="163"/>
      <c r="P38" s="163"/>
      <c r="Q38" s="163"/>
      <c r="R38" s="163"/>
      <c r="S38" s="163"/>
      <c r="T38" s="163"/>
      <c r="U38" s="163"/>
      <c r="V38" s="163"/>
      <c r="W38" s="163"/>
      <c r="X38" s="163"/>
      <c r="Y38" s="163"/>
      <c r="Z38" s="163"/>
    </row>
    <row r="39" ht="14.25" customHeight="1">
      <c r="A39" s="164" t="s">
        <v>1891</v>
      </c>
      <c r="B39" s="108"/>
      <c r="C39" s="165" t="s">
        <v>1897</v>
      </c>
      <c r="D39" s="165" t="s">
        <v>271</v>
      </c>
      <c r="E39" s="165" t="s">
        <v>1894</v>
      </c>
      <c r="F39" s="165" t="s">
        <v>1898</v>
      </c>
      <c r="G39" s="165" t="s">
        <v>1899</v>
      </c>
      <c r="H39" s="164" t="s">
        <v>36</v>
      </c>
      <c r="I39" s="163"/>
      <c r="J39" s="164" t="s">
        <v>1784</v>
      </c>
      <c r="K39" s="163"/>
      <c r="L39" s="163"/>
      <c r="M39" s="163"/>
      <c r="N39" s="163"/>
      <c r="O39" s="163"/>
      <c r="P39" s="163"/>
      <c r="Q39" s="163"/>
      <c r="R39" s="163"/>
      <c r="S39" s="163"/>
      <c r="T39" s="163"/>
      <c r="U39" s="163"/>
      <c r="V39" s="163"/>
      <c r="W39" s="163"/>
      <c r="X39" s="163"/>
      <c r="Y39" s="163"/>
      <c r="Z39" s="163"/>
    </row>
    <row r="40" ht="14.25" customHeight="1">
      <c r="A40" s="164" t="s">
        <v>1891</v>
      </c>
      <c r="B40" s="108"/>
      <c r="C40" s="165" t="s">
        <v>1900</v>
      </c>
      <c r="D40" s="165" t="s">
        <v>271</v>
      </c>
      <c r="E40" s="165" t="s">
        <v>1894</v>
      </c>
      <c r="F40" s="165" t="s">
        <v>1901</v>
      </c>
      <c r="G40" s="165" t="s">
        <v>1902</v>
      </c>
      <c r="H40" s="164" t="s">
        <v>36</v>
      </c>
      <c r="I40" s="163"/>
      <c r="J40" s="164" t="s">
        <v>1784</v>
      </c>
      <c r="K40" s="163"/>
      <c r="L40" s="163"/>
      <c r="M40" s="163"/>
      <c r="N40" s="163"/>
      <c r="O40" s="163"/>
      <c r="P40" s="163"/>
      <c r="Q40" s="163"/>
      <c r="R40" s="163"/>
      <c r="S40" s="163"/>
      <c r="T40" s="163"/>
      <c r="U40" s="163"/>
      <c r="V40" s="163"/>
      <c r="W40" s="163"/>
      <c r="X40" s="163"/>
      <c r="Y40" s="163"/>
      <c r="Z40" s="163"/>
    </row>
    <row r="41" ht="14.25" customHeight="1">
      <c r="A41" s="164" t="s">
        <v>1891</v>
      </c>
      <c r="B41" s="108"/>
      <c r="C41" s="165" t="s">
        <v>1903</v>
      </c>
      <c r="D41" s="165" t="s">
        <v>271</v>
      </c>
      <c r="E41" s="165" t="s">
        <v>1894</v>
      </c>
      <c r="F41" s="165" t="s">
        <v>1904</v>
      </c>
      <c r="G41" s="165" t="s">
        <v>1905</v>
      </c>
      <c r="H41" s="164" t="s">
        <v>36</v>
      </c>
      <c r="I41" s="163"/>
      <c r="J41" s="164" t="s">
        <v>1784</v>
      </c>
      <c r="K41" s="163"/>
      <c r="L41" s="163"/>
      <c r="M41" s="163"/>
      <c r="N41" s="163"/>
      <c r="O41" s="163"/>
      <c r="P41" s="163"/>
      <c r="Q41" s="163"/>
      <c r="R41" s="163"/>
      <c r="S41" s="163"/>
      <c r="T41" s="163"/>
      <c r="U41" s="163"/>
      <c r="V41" s="163"/>
      <c r="W41" s="163"/>
      <c r="X41" s="163"/>
      <c r="Y41" s="163"/>
      <c r="Z41" s="163"/>
    </row>
    <row r="42" ht="14.25" customHeight="1">
      <c r="A42" s="164" t="s">
        <v>1891</v>
      </c>
      <c r="B42" s="109"/>
      <c r="C42" s="165" t="s">
        <v>1906</v>
      </c>
      <c r="D42" s="165" t="s">
        <v>271</v>
      </c>
      <c r="E42" s="165" t="s">
        <v>1894</v>
      </c>
      <c r="F42" s="165" t="s">
        <v>1907</v>
      </c>
      <c r="G42" s="165" t="s">
        <v>1908</v>
      </c>
      <c r="H42" s="164" t="s">
        <v>36</v>
      </c>
      <c r="I42" s="163"/>
      <c r="J42" s="164" t="s">
        <v>1784</v>
      </c>
      <c r="K42" s="163"/>
      <c r="L42" s="163"/>
      <c r="M42" s="163"/>
      <c r="N42" s="163"/>
      <c r="O42" s="163"/>
      <c r="P42" s="163"/>
      <c r="Q42" s="163"/>
      <c r="R42" s="163"/>
      <c r="S42" s="163"/>
      <c r="T42" s="163"/>
      <c r="U42" s="163"/>
      <c r="V42" s="163"/>
      <c r="W42" s="163"/>
      <c r="X42" s="163"/>
      <c r="Y42" s="163"/>
      <c r="Z42" s="163"/>
    </row>
    <row r="43" ht="14.25" customHeight="1">
      <c r="A43" s="164" t="s">
        <v>1909</v>
      </c>
      <c r="B43" s="166" t="s">
        <v>1910</v>
      </c>
      <c r="C43" s="165" t="s">
        <v>1863</v>
      </c>
      <c r="D43" s="165" t="s">
        <v>271</v>
      </c>
      <c r="E43" s="165" t="s">
        <v>1911</v>
      </c>
      <c r="F43" s="165" t="s">
        <v>1912</v>
      </c>
      <c r="G43" s="165" t="s">
        <v>1913</v>
      </c>
      <c r="H43" s="164" t="s">
        <v>36</v>
      </c>
      <c r="I43" s="163"/>
      <c r="J43" s="164" t="s">
        <v>1784</v>
      </c>
      <c r="K43" s="163"/>
      <c r="L43" s="163"/>
      <c r="M43" s="163"/>
      <c r="N43" s="163"/>
      <c r="O43" s="163"/>
      <c r="P43" s="163"/>
      <c r="Q43" s="163"/>
      <c r="R43" s="163"/>
      <c r="S43" s="163"/>
      <c r="T43" s="163"/>
      <c r="U43" s="163"/>
      <c r="V43" s="163"/>
      <c r="W43" s="163"/>
      <c r="X43" s="163"/>
      <c r="Y43" s="163"/>
      <c r="Z43" s="163"/>
    </row>
    <row r="44" ht="14.25" customHeight="1">
      <c r="A44" s="164" t="s">
        <v>1909</v>
      </c>
      <c r="B44" s="108"/>
      <c r="C44" s="165" t="s">
        <v>1867</v>
      </c>
      <c r="D44" s="165" t="s">
        <v>271</v>
      </c>
      <c r="E44" s="165" t="s">
        <v>1914</v>
      </c>
      <c r="F44" s="165" t="s">
        <v>1915</v>
      </c>
      <c r="G44" s="165" t="s">
        <v>1916</v>
      </c>
      <c r="H44" s="164" t="s">
        <v>36</v>
      </c>
      <c r="I44" s="163"/>
      <c r="J44" s="164" t="s">
        <v>1784</v>
      </c>
      <c r="K44" s="163"/>
      <c r="L44" s="163"/>
      <c r="M44" s="163"/>
      <c r="N44" s="163"/>
      <c r="O44" s="163"/>
      <c r="P44" s="163"/>
      <c r="Q44" s="163"/>
      <c r="R44" s="163"/>
      <c r="S44" s="163"/>
      <c r="T44" s="163"/>
      <c r="U44" s="163"/>
      <c r="V44" s="163"/>
      <c r="W44" s="163"/>
      <c r="X44" s="163"/>
      <c r="Y44" s="163"/>
      <c r="Z44" s="163"/>
    </row>
    <row r="45" ht="14.25" customHeight="1">
      <c r="A45" s="164" t="s">
        <v>1909</v>
      </c>
      <c r="B45" s="108"/>
      <c r="C45" s="165" t="s">
        <v>1870</v>
      </c>
      <c r="D45" s="165" t="s">
        <v>271</v>
      </c>
      <c r="E45" s="165" t="s">
        <v>1917</v>
      </c>
      <c r="F45" s="165" t="s">
        <v>1918</v>
      </c>
      <c r="G45" s="165" t="s">
        <v>1919</v>
      </c>
      <c r="H45" s="164" t="s">
        <v>36</v>
      </c>
      <c r="I45" s="163"/>
      <c r="J45" s="164" t="s">
        <v>1784</v>
      </c>
      <c r="K45" s="163"/>
      <c r="L45" s="163"/>
      <c r="M45" s="163"/>
      <c r="N45" s="163"/>
      <c r="O45" s="163"/>
      <c r="P45" s="163"/>
      <c r="Q45" s="163"/>
      <c r="R45" s="163"/>
      <c r="S45" s="163"/>
      <c r="T45" s="163"/>
      <c r="U45" s="163"/>
      <c r="V45" s="163"/>
      <c r="W45" s="163"/>
      <c r="X45" s="163"/>
      <c r="Y45" s="163"/>
      <c r="Z45" s="163"/>
    </row>
    <row r="46" ht="14.25" customHeight="1">
      <c r="A46" s="164" t="s">
        <v>1909</v>
      </c>
      <c r="B46" s="108"/>
      <c r="C46" s="165" t="s">
        <v>1873</v>
      </c>
      <c r="D46" s="165" t="s">
        <v>271</v>
      </c>
      <c r="E46" s="165" t="s">
        <v>1920</v>
      </c>
      <c r="F46" s="165" t="s">
        <v>1921</v>
      </c>
      <c r="G46" s="165" t="s">
        <v>1922</v>
      </c>
      <c r="H46" s="164" t="s">
        <v>36</v>
      </c>
      <c r="I46" s="163"/>
      <c r="J46" s="164" t="s">
        <v>1784</v>
      </c>
      <c r="K46" s="163"/>
      <c r="L46" s="163"/>
      <c r="M46" s="163"/>
      <c r="N46" s="163"/>
      <c r="O46" s="163"/>
      <c r="P46" s="163"/>
      <c r="Q46" s="163"/>
      <c r="R46" s="163"/>
      <c r="S46" s="163"/>
      <c r="T46" s="163"/>
      <c r="U46" s="163"/>
      <c r="V46" s="163"/>
      <c r="W46" s="163"/>
      <c r="X46" s="163"/>
      <c r="Y46" s="163"/>
      <c r="Z46" s="163"/>
    </row>
    <row r="47" ht="14.25" customHeight="1">
      <c r="A47" s="164" t="s">
        <v>1909</v>
      </c>
      <c r="B47" s="108"/>
      <c r="C47" s="165" t="s">
        <v>1876</v>
      </c>
      <c r="D47" s="165" t="s">
        <v>271</v>
      </c>
      <c r="E47" s="165" t="s">
        <v>1920</v>
      </c>
      <c r="F47" s="165" t="s">
        <v>1923</v>
      </c>
      <c r="G47" s="165" t="s">
        <v>1924</v>
      </c>
      <c r="H47" s="164" t="s">
        <v>36</v>
      </c>
      <c r="I47" s="163"/>
      <c r="J47" s="164" t="s">
        <v>1784</v>
      </c>
      <c r="K47" s="163"/>
      <c r="L47" s="163"/>
      <c r="M47" s="163"/>
      <c r="N47" s="163"/>
      <c r="O47" s="163"/>
      <c r="P47" s="163"/>
      <c r="Q47" s="163"/>
      <c r="R47" s="163"/>
      <c r="S47" s="163"/>
      <c r="T47" s="163"/>
      <c r="U47" s="163"/>
      <c r="V47" s="163"/>
      <c r="W47" s="163"/>
      <c r="X47" s="163"/>
      <c r="Y47" s="163"/>
      <c r="Z47" s="163"/>
    </row>
    <row r="48" ht="14.25" customHeight="1">
      <c r="A48" s="164" t="s">
        <v>1909</v>
      </c>
      <c r="B48" s="108"/>
      <c r="C48" s="165" t="s">
        <v>1879</v>
      </c>
      <c r="D48" s="165" t="s">
        <v>271</v>
      </c>
      <c r="E48" s="165" t="s">
        <v>1920</v>
      </c>
      <c r="F48" s="165" t="s">
        <v>1925</v>
      </c>
      <c r="G48" s="165" t="s">
        <v>1924</v>
      </c>
      <c r="H48" s="164" t="s">
        <v>36</v>
      </c>
      <c r="I48" s="163"/>
      <c r="J48" s="164" t="s">
        <v>1784</v>
      </c>
      <c r="K48" s="163"/>
      <c r="L48" s="163"/>
      <c r="M48" s="163"/>
      <c r="N48" s="163"/>
      <c r="O48" s="163"/>
      <c r="P48" s="163"/>
      <c r="Q48" s="163"/>
      <c r="R48" s="163"/>
      <c r="S48" s="163"/>
      <c r="T48" s="163"/>
      <c r="U48" s="163"/>
      <c r="V48" s="163"/>
      <c r="W48" s="163"/>
      <c r="X48" s="163"/>
      <c r="Y48" s="163"/>
      <c r="Z48" s="163"/>
    </row>
    <row r="49" ht="14.25" customHeight="1">
      <c r="A49" s="164" t="s">
        <v>1909</v>
      </c>
      <c r="B49" s="109"/>
      <c r="C49" s="165" t="s">
        <v>1882</v>
      </c>
      <c r="D49" s="165" t="s">
        <v>271</v>
      </c>
      <c r="E49" s="165" t="s">
        <v>1926</v>
      </c>
      <c r="F49" s="165" t="s">
        <v>1927</v>
      </c>
      <c r="G49" s="165" t="s">
        <v>1928</v>
      </c>
      <c r="H49" s="164" t="s">
        <v>36</v>
      </c>
      <c r="I49" s="163"/>
      <c r="J49" s="164" t="s">
        <v>1784</v>
      </c>
      <c r="K49" s="163"/>
      <c r="L49" s="163"/>
      <c r="M49" s="163"/>
      <c r="N49" s="163"/>
      <c r="O49" s="163"/>
      <c r="P49" s="163"/>
      <c r="Q49" s="163"/>
      <c r="R49" s="163"/>
      <c r="S49" s="163"/>
      <c r="T49" s="163"/>
      <c r="U49" s="163"/>
      <c r="V49" s="163"/>
      <c r="W49" s="163"/>
      <c r="X49" s="163"/>
      <c r="Y49" s="163"/>
      <c r="Z49" s="163"/>
    </row>
    <row r="50" ht="14.25" customHeight="1">
      <c r="A50" s="168" t="s">
        <v>1929</v>
      </c>
      <c r="B50" s="166" t="s">
        <v>1930</v>
      </c>
      <c r="C50" s="165" t="s">
        <v>1931</v>
      </c>
      <c r="D50" s="165" t="s">
        <v>271</v>
      </c>
      <c r="E50" s="165" t="s">
        <v>1932</v>
      </c>
      <c r="F50" s="165" t="s">
        <v>1933</v>
      </c>
      <c r="G50" s="165" t="s">
        <v>1934</v>
      </c>
      <c r="H50" s="164" t="s">
        <v>36</v>
      </c>
      <c r="I50" s="163"/>
      <c r="J50" s="164" t="s">
        <v>1784</v>
      </c>
      <c r="K50" s="163"/>
      <c r="L50" s="163"/>
      <c r="M50" s="163"/>
      <c r="N50" s="163"/>
      <c r="O50" s="163"/>
      <c r="P50" s="163"/>
      <c r="Q50" s="163"/>
      <c r="R50" s="163"/>
      <c r="S50" s="163"/>
      <c r="T50" s="163"/>
      <c r="U50" s="163"/>
      <c r="V50" s="163"/>
      <c r="W50" s="163"/>
      <c r="X50" s="163"/>
      <c r="Y50" s="163"/>
      <c r="Z50" s="163"/>
    </row>
    <row r="51" ht="14.25" customHeight="1">
      <c r="A51" s="168" t="s">
        <v>1929</v>
      </c>
      <c r="B51" s="108"/>
      <c r="C51" s="165" t="s">
        <v>1935</v>
      </c>
      <c r="D51" s="165" t="s">
        <v>271</v>
      </c>
      <c r="E51" s="165" t="s">
        <v>1932</v>
      </c>
      <c r="F51" s="165" t="s">
        <v>1936</v>
      </c>
      <c r="G51" s="165" t="s">
        <v>1937</v>
      </c>
      <c r="H51" s="165" t="s">
        <v>36</v>
      </c>
      <c r="I51" s="163"/>
      <c r="J51" s="164" t="s">
        <v>1784</v>
      </c>
      <c r="K51" s="163"/>
      <c r="L51" s="163"/>
      <c r="M51" s="163"/>
      <c r="N51" s="163"/>
      <c r="O51" s="163"/>
      <c r="P51" s="163"/>
      <c r="Q51" s="163"/>
      <c r="R51" s="163"/>
      <c r="S51" s="163"/>
      <c r="T51" s="163"/>
      <c r="U51" s="163"/>
      <c r="V51" s="163"/>
      <c r="W51" s="163"/>
      <c r="X51" s="163"/>
      <c r="Y51" s="163"/>
      <c r="Z51" s="163"/>
    </row>
    <row r="52" ht="14.25" customHeight="1">
      <c r="A52" s="168" t="s">
        <v>1929</v>
      </c>
      <c r="B52" s="108"/>
      <c r="C52" s="165" t="s">
        <v>1938</v>
      </c>
      <c r="D52" s="165" t="s">
        <v>271</v>
      </c>
      <c r="E52" s="165" t="s">
        <v>1939</v>
      </c>
      <c r="F52" s="165" t="s">
        <v>1940</v>
      </c>
      <c r="G52" s="165" t="s">
        <v>1941</v>
      </c>
      <c r="H52" s="165" t="s">
        <v>36</v>
      </c>
      <c r="I52" s="163"/>
      <c r="J52" s="164" t="s">
        <v>1784</v>
      </c>
      <c r="K52" s="163"/>
      <c r="L52" s="163"/>
      <c r="M52" s="163"/>
      <c r="N52" s="163"/>
      <c r="O52" s="163"/>
      <c r="P52" s="163"/>
      <c r="Q52" s="163"/>
      <c r="R52" s="163"/>
      <c r="S52" s="163"/>
      <c r="T52" s="163"/>
      <c r="U52" s="163"/>
      <c r="V52" s="163"/>
      <c r="W52" s="163"/>
      <c r="X52" s="163"/>
      <c r="Y52" s="163"/>
      <c r="Z52" s="163"/>
    </row>
    <row r="53" ht="14.25" customHeight="1">
      <c r="A53" s="168" t="s">
        <v>1929</v>
      </c>
      <c r="B53" s="108"/>
      <c r="C53" s="165" t="s">
        <v>1942</v>
      </c>
      <c r="D53" s="165" t="s">
        <v>271</v>
      </c>
      <c r="E53" s="165" t="s">
        <v>1939</v>
      </c>
      <c r="F53" s="165" t="s">
        <v>1943</v>
      </c>
      <c r="G53" s="165" t="s">
        <v>1944</v>
      </c>
      <c r="H53" s="165" t="s">
        <v>36</v>
      </c>
      <c r="I53" s="163"/>
      <c r="J53" s="164" t="s">
        <v>1784</v>
      </c>
      <c r="K53" s="163"/>
      <c r="L53" s="163"/>
      <c r="M53" s="163"/>
      <c r="N53" s="163"/>
      <c r="O53" s="163"/>
      <c r="P53" s="163"/>
      <c r="Q53" s="163"/>
      <c r="R53" s="163"/>
      <c r="S53" s="163"/>
      <c r="T53" s="163"/>
      <c r="U53" s="163"/>
      <c r="V53" s="163"/>
      <c r="W53" s="163"/>
      <c r="X53" s="163"/>
      <c r="Y53" s="163"/>
      <c r="Z53" s="163"/>
    </row>
    <row r="54" ht="14.25" customHeight="1">
      <c r="A54" s="168" t="s">
        <v>1929</v>
      </c>
      <c r="B54" s="108"/>
      <c r="C54" s="165" t="s">
        <v>1945</v>
      </c>
      <c r="D54" s="165" t="s">
        <v>271</v>
      </c>
      <c r="E54" s="165" t="s">
        <v>1939</v>
      </c>
      <c r="F54" s="165" t="s">
        <v>1946</v>
      </c>
      <c r="G54" s="165" t="s">
        <v>1947</v>
      </c>
      <c r="H54" s="165" t="s">
        <v>36</v>
      </c>
      <c r="I54" s="163"/>
      <c r="J54" s="164" t="s">
        <v>1784</v>
      </c>
      <c r="K54" s="163"/>
      <c r="L54" s="163"/>
      <c r="M54" s="163"/>
      <c r="N54" s="163"/>
      <c r="O54" s="163"/>
      <c r="P54" s="163"/>
      <c r="Q54" s="163"/>
      <c r="R54" s="163"/>
      <c r="S54" s="163"/>
      <c r="T54" s="163"/>
      <c r="U54" s="163"/>
      <c r="V54" s="163"/>
      <c r="W54" s="163"/>
      <c r="X54" s="163"/>
      <c r="Y54" s="163"/>
      <c r="Z54" s="163"/>
    </row>
    <row r="55" ht="14.25" customHeight="1">
      <c r="A55" s="168" t="s">
        <v>1929</v>
      </c>
      <c r="B55" s="108"/>
      <c r="C55" s="165" t="s">
        <v>1948</v>
      </c>
      <c r="D55" s="165" t="s">
        <v>271</v>
      </c>
      <c r="E55" s="165" t="s">
        <v>1949</v>
      </c>
      <c r="F55" s="165" t="s">
        <v>1950</v>
      </c>
      <c r="G55" s="165" t="s">
        <v>1951</v>
      </c>
      <c r="H55" s="165" t="s">
        <v>36</v>
      </c>
      <c r="I55" s="163"/>
      <c r="J55" s="164" t="s">
        <v>1784</v>
      </c>
      <c r="K55" s="163"/>
      <c r="L55" s="163"/>
      <c r="M55" s="163"/>
      <c r="N55" s="163"/>
      <c r="O55" s="163"/>
      <c r="P55" s="163"/>
      <c r="Q55" s="163"/>
      <c r="R55" s="163"/>
      <c r="S55" s="163"/>
      <c r="T55" s="163"/>
      <c r="U55" s="163"/>
      <c r="V55" s="163"/>
      <c r="W55" s="163"/>
      <c r="X55" s="163"/>
      <c r="Y55" s="163"/>
      <c r="Z55" s="163"/>
    </row>
    <row r="56" ht="14.25" customHeight="1">
      <c r="A56" s="168" t="s">
        <v>1929</v>
      </c>
      <c r="B56" s="108"/>
      <c r="C56" s="165" t="s">
        <v>1952</v>
      </c>
      <c r="D56" s="165" t="s">
        <v>271</v>
      </c>
      <c r="E56" s="165" t="s">
        <v>1953</v>
      </c>
      <c r="F56" s="165" t="s">
        <v>1954</v>
      </c>
      <c r="G56" s="165" t="s">
        <v>1955</v>
      </c>
      <c r="H56" s="165" t="s">
        <v>36</v>
      </c>
      <c r="I56" s="163"/>
      <c r="J56" s="164" t="s">
        <v>1784</v>
      </c>
      <c r="K56" s="163"/>
      <c r="L56" s="163"/>
      <c r="M56" s="163"/>
      <c r="N56" s="163"/>
      <c r="O56" s="163"/>
      <c r="P56" s="163"/>
      <c r="Q56" s="163"/>
      <c r="R56" s="163"/>
      <c r="S56" s="163"/>
      <c r="T56" s="163"/>
      <c r="U56" s="163"/>
      <c r="V56" s="163"/>
      <c r="W56" s="163"/>
      <c r="X56" s="163"/>
      <c r="Y56" s="163"/>
      <c r="Z56" s="163"/>
    </row>
    <row r="57" ht="14.25" customHeight="1">
      <c r="A57" s="168" t="s">
        <v>1929</v>
      </c>
      <c r="B57" s="108"/>
      <c r="C57" s="165" t="s">
        <v>1956</v>
      </c>
      <c r="D57" s="165" t="s">
        <v>271</v>
      </c>
      <c r="E57" s="165" t="s">
        <v>1953</v>
      </c>
      <c r="F57" s="165" t="s">
        <v>1957</v>
      </c>
      <c r="G57" s="165" t="s">
        <v>1955</v>
      </c>
      <c r="H57" s="165" t="s">
        <v>36</v>
      </c>
      <c r="I57" s="163"/>
      <c r="J57" s="164" t="s">
        <v>1784</v>
      </c>
      <c r="K57" s="163"/>
      <c r="L57" s="163"/>
      <c r="M57" s="163"/>
      <c r="N57" s="163"/>
      <c r="O57" s="163"/>
      <c r="P57" s="163"/>
      <c r="Q57" s="163"/>
      <c r="R57" s="163"/>
      <c r="S57" s="163"/>
      <c r="T57" s="163"/>
      <c r="U57" s="163"/>
      <c r="V57" s="163"/>
      <c r="W57" s="163"/>
      <c r="X57" s="163"/>
      <c r="Y57" s="163"/>
      <c r="Z57" s="163"/>
    </row>
    <row r="58" ht="14.25" customHeight="1">
      <c r="A58" s="168" t="s">
        <v>1929</v>
      </c>
      <c r="B58" s="108"/>
      <c r="C58" s="165" t="s">
        <v>1958</v>
      </c>
      <c r="D58" s="165" t="s">
        <v>271</v>
      </c>
      <c r="E58" s="165" t="s">
        <v>1953</v>
      </c>
      <c r="F58" s="165" t="s">
        <v>1959</v>
      </c>
      <c r="G58" s="165" t="s">
        <v>1960</v>
      </c>
      <c r="H58" s="165" t="s">
        <v>36</v>
      </c>
      <c r="I58" s="163"/>
      <c r="J58" s="164" t="s">
        <v>1784</v>
      </c>
      <c r="K58" s="163"/>
      <c r="L58" s="163"/>
      <c r="M58" s="163"/>
      <c r="N58" s="163"/>
      <c r="O58" s="163"/>
      <c r="P58" s="163"/>
      <c r="Q58" s="163"/>
      <c r="R58" s="163"/>
      <c r="S58" s="163"/>
      <c r="T58" s="163"/>
      <c r="U58" s="163"/>
      <c r="V58" s="163"/>
      <c r="W58" s="163"/>
      <c r="X58" s="163"/>
      <c r="Y58" s="163"/>
      <c r="Z58" s="163"/>
    </row>
    <row r="59" ht="14.25" customHeight="1">
      <c r="A59" s="168" t="s">
        <v>1929</v>
      </c>
      <c r="B59" s="109"/>
      <c r="C59" s="165" t="s">
        <v>1961</v>
      </c>
      <c r="D59" s="165" t="s">
        <v>271</v>
      </c>
      <c r="E59" s="165" t="s">
        <v>1953</v>
      </c>
      <c r="F59" s="165" t="s">
        <v>1962</v>
      </c>
      <c r="G59" s="165" t="s">
        <v>1963</v>
      </c>
      <c r="H59" s="165" t="s">
        <v>36</v>
      </c>
      <c r="I59" s="163"/>
      <c r="J59" s="164" t="s">
        <v>1784</v>
      </c>
      <c r="K59" s="163"/>
      <c r="L59" s="163"/>
      <c r="M59" s="163"/>
      <c r="N59" s="163"/>
      <c r="O59" s="163"/>
      <c r="P59" s="163"/>
      <c r="Q59" s="163"/>
      <c r="R59" s="163"/>
      <c r="S59" s="163"/>
      <c r="T59" s="163"/>
      <c r="U59" s="163"/>
      <c r="V59" s="163"/>
      <c r="W59" s="163"/>
      <c r="X59" s="163"/>
      <c r="Y59" s="163"/>
      <c r="Z59" s="163"/>
    </row>
    <row r="60" ht="14.25" customHeight="1">
      <c r="A60" s="169" t="s">
        <v>1964</v>
      </c>
      <c r="B60" s="166" t="s">
        <v>1965</v>
      </c>
      <c r="C60" s="165" t="s">
        <v>1966</v>
      </c>
      <c r="D60" s="165" t="s">
        <v>271</v>
      </c>
      <c r="E60" s="165" t="s">
        <v>1967</v>
      </c>
      <c r="F60" s="165" t="s">
        <v>1968</v>
      </c>
      <c r="G60" s="165" t="s">
        <v>1969</v>
      </c>
      <c r="H60" s="165" t="s">
        <v>36</v>
      </c>
      <c r="I60" s="163"/>
      <c r="J60" s="164" t="s">
        <v>1784</v>
      </c>
      <c r="K60" s="163"/>
      <c r="L60" s="163"/>
      <c r="M60" s="163"/>
      <c r="N60" s="163"/>
      <c r="O60" s="163"/>
      <c r="P60" s="163"/>
      <c r="Q60" s="163"/>
      <c r="R60" s="163"/>
      <c r="S60" s="163"/>
      <c r="T60" s="163"/>
      <c r="U60" s="163"/>
      <c r="V60" s="163"/>
      <c r="W60" s="163"/>
      <c r="X60" s="163"/>
      <c r="Y60" s="163"/>
      <c r="Z60" s="163"/>
    </row>
    <row r="61" ht="14.25" customHeight="1">
      <c r="A61" s="169" t="s">
        <v>1964</v>
      </c>
      <c r="B61" s="108"/>
      <c r="C61" s="165" t="s">
        <v>1970</v>
      </c>
      <c r="D61" s="165" t="s">
        <v>271</v>
      </c>
      <c r="E61" s="165" t="s">
        <v>1967</v>
      </c>
      <c r="F61" s="165" t="s">
        <v>1971</v>
      </c>
      <c r="G61" s="165" t="s">
        <v>1969</v>
      </c>
      <c r="H61" s="164" t="s">
        <v>36</v>
      </c>
      <c r="I61" s="163"/>
      <c r="J61" s="164" t="s">
        <v>1972</v>
      </c>
      <c r="K61" s="163"/>
      <c r="L61" s="163"/>
      <c r="M61" s="163"/>
      <c r="N61" s="163"/>
      <c r="O61" s="163"/>
      <c r="P61" s="163"/>
      <c r="Q61" s="163"/>
      <c r="R61" s="163"/>
      <c r="S61" s="163"/>
      <c r="T61" s="163"/>
      <c r="U61" s="163"/>
      <c r="V61" s="163"/>
      <c r="W61" s="163"/>
      <c r="X61" s="163"/>
      <c r="Y61" s="163"/>
      <c r="Z61" s="163"/>
    </row>
    <row r="62" ht="14.25" customHeight="1">
      <c r="A62" s="169" t="s">
        <v>1964</v>
      </c>
      <c r="B62" s="108"/>
      <c r="C62" s="165" t="s">
        <v>1973</v>
      </c>
      <c r="D62" s="165" t="s">
        <v>271</v>
      </c>
      <c r="E62" s="165" t="s">
        <v>1967</v>
      </c>
      <c r="F62" s="165" t="s">
        <v>1974</v>
      </c>
      <c r="G62" s="165" t="s">
        <v>1969</v>
      </c>
      <c r="H62" s="164" t="s">
        <v>36</v>
      </c>
      <c r="I62" s="163"/>
      <c r="J62" s="164" t="s">
        <v>1784</v>
      </c>
      <c r="K62" s="163"/>
      <c r="L62" s="163"/>
      <c r="M62" s="163"/>
      <c r="N62" s="163"/>
      <c r="O62" s="163"/>
      <c r="P62" s="163"/>
      <c r="Q62" s="163"/>
      <c r="R62" s="163"/>
      <c r="S62" s="163"/>
      <c r="T62" s="163"/>
      <c r="U62" s="163"/>
      <c r="V62" s="163"/>
      <c r="W62" s="163"/>
      <c r="X62" s="163"/>
      <c r="Y62" s="163"/>
      <c r="Z62" s="163"/>
    </row>
    <row r="63" ht="14.25" customHeight="1">
      <c r="A63" s="169" t="s">
        <v>1964</v>
      </c>
      <c r="B63" s="108"/>
      <c r="C63" s="165" t="s">
        <v>1975</v>
      </c>
      <c r="D63" s="165" t="s">
        <v>271</v>
      </c>
      <c r="E63" s="165" t="s">
        <v>1967</v>
      </c>
      <c r="F63" s="165" t="s">
        <v>1976</v>
      </c>
      <c r="G63" s="165" t="s">
        <v>1969</v>
      </c>
      <c r="H63" s="164" t="s">
        <v>36</v>
      </c>
      <c r="I63" s="163"/>
      <c r="J63" s="164" t="s">
        <v>1972</v>
      </c>
      <c r="K63" s="163"/>
      <c r="L63" s="163"/>
      <c r="M63" s="163"/>
      <c r="N63" s="163"/>
      <c r="O63" s="163"/>
      <c r="P63" s="163"/>
      <c r="Q63" s="163"/>
      <c r="R63" s="163"/>
      <c r="S63" s="163"/>
      <c r="T63" s="163"/>
      <c r="U63" s="163"/>
      <c r="V63" s="163"/>
      <c r="W63" s="163"/>
      <c r="X63" s="163"/>
      <c r="Y63" s="163"/>
      <c r="Z63" s="163"/>
    </row>
    <row r="64" ht="14.25" customHeight="1">
      <c r="A64" s="169" t="s">
        <v>1964</v>
      </c>
      <c r="B64" s="108"/>
      <c r="C64" s="165" t="s">
        <v>1977</v>
      </c>
      <c r="D64" s="165" t="s">
        <v>271</v>
      </c>
      <c r="E64" s="165" t="s">
        <v>1967</v>
      </c>
      <c r="F64" s="165" t="s">
        <v>1978</v>
      </c>
      <c r="G64" s="165" t="s">
        <v>1979</v>
      </c>
      <c r="H64" s="164" t="s">
        <v>36</v>
      </c>
      <c r="I64" s="163"/>
      <c r="J64" s="164" t="s">
        <v>1784</v>
      </c>
      <c r="K64" s="163"/>
      <c r="L64" s="163"/>
      <c r="M64" s="163"/>
      <c r="N64" s="163"/>
      <c r="O64" s="163"/>
      <c r="P64" s="163"/>
      <c r="Q64" s="163"/>
      <c r="R64" s="163"/>
      <c r="S64" s="163"/>
      <c r="T64" s="163"/>
      <c r="U64" s="163"/>
      <c r="V64" s="163"/>
      <c r="W64" s="163"/>
      <c r="X64" s="163"/>
      <c r="Y64" s="163"/>
      <c r="Z64" s="163"/>
    </row>
    <row r="65" ht="14.25" customHeight="1">
      <c r="A65" s="169" t="s">
        <v>1964</v>
      </c>
      <c r="B65" s="109"/>
      <c r="C65" s="165" t="s">
        <v>1980</v>
      </c>
      <c r="D65" s="165" t="s">
        <v>271</v>
      </c>
      <c r="E65" s="165" t="s">
        <v>1967</v>
      </c>
      <c r="F65" s="165" t="s">
        <v>1981</v>
      </c>
      <c r="G65" s="165" t="s">
        <v>1982</v>
      </c>
      <c r="H65" s="164" t="s">
        <v>36</v>
      </c>
      <c r="I65" s="163"/>
      <c r="J65" s="164" t="s">
        <v>1784</v>
      </c>
      <c r="K65" s="163"/>
      <c r="L65" s="163"/>
      <c r="M65" s="163"/>
      <c r="N65" s="163"/>
      <c r="O65" s="163"/>
      <c r="P65" s="163"/>
      <c r="Q65" s="163"/>
      <c r="R65" s="163"/>
      <c r="S65" s="163"/>
      <c r="T65" s="163"/>
      <c r="U65" s="163"/>
      <c r="V65" s="163"/>
      <c r="W65" s="163"/>
      <c r="X65" s="163"/>
      <c r="Y65" s="163"/>
      <c r="Z65" s="163"/>
    </row>
    <row r="66" ht="14.25" customHeight="1">
      <c r="A66" s="169" t="s">
        <v>1983</v>
      </c>
      <c r="B66" s="166" t="s">
        <v>1984</v>
      </c>
      <c r="C66" s="165" t="s">
        <v>1985</v>
      </c>
      <c r="D66" s="165" t="s">
        <v>1986</v>
      </c>
      <c r="E66" s="165" t="s">
        <v>1987</v>
      </c>
      <c r="F66" s="165" t="s">
        <v>1988</v>
      </c>
      <c r="G66" s="165" t="s">
        <v>1989</v>
      </c>
      <c r="H66" s="164" t="s">
        <v>36</v>
      </c>
      <c r="I66" s="163"/>
      <c r="J66" s="164" t="s">
        <v>1784</v>
      </c>
      <c r="K66" s="163"/>
      <c r="L66" s="163"/>
      <c r="M66" s="163"/>
      <c r="N66" s="163"/>
      <c r="O66" s="163"/>
      <c r="P66" s="163"/>
      <c r="Q66" s="163"/>
      <c r="R66" s="163"/>
      <c r="S66" s="163"/>
      <c r="T66" s="163"/>
      <c r="U66" s="163"/>
      <c r="V66" s="163"/>
      <c r="W66" s="163"/>
      <c r="X66" s="163"/>
      <c r="Y66" s="163"/>
      <c r="Z66" s="163"/>
    </row>
    <row r="67" ht="14.25" customHeight="1">
      <c r="A67" s="169" t="s">
        <v>1983</v>
      </c>
      <c r="B67" s="108"/>
      <c r="C67" s="165" t="s">
        <v>1990</v>
      </c>
      <c r="D67" s="165" t="s">
        <v>1986</v>
      </c>
      <c r="E67" s="165" t="s">
        <v>1987</v>
      </c>
      <c r="F67" s="165" t="s">
        <v>1991</v>
      </c>
      <c r="G67" s="165" t="s">
        <v>1992</v>
      </c>
      <c r="H67" s="164" t="s">
        <v>36</v>
      </c>
      <c r="I67" s="163"/>
      <c r="J67" s="164" t="s">
        <v>1784</v>
      </c>
      <c r="K67" s="163"/>
      <c r="L67" s="163"/>
      <c r="M67" s="163"/>
      <c r="N67" s="163"/>
      <c r="O67" s="163"/>
      <c r="P67" s="163"/>
      <c r="Q67" s="163"/>
      <c r="R67" s="163"/>
      <c r="S67" s="163"/>
      <c r="T67" s="163"/>
      <c r="U67" s="163"/>
      <c r="V67" s="163"/>
      <c r="W67" s="163"/>
      <c r="X67" s="163"/>
      <c r="Y67" s="163"/>
      <c r="Z67" s="163"/>
    </row>
    <row r="68" ht="14.25" customHeight="1">
      <c r="A68" s="169" t="s">
        <v>1983</v>
      </c>
      <c r="B68" s="108"/>
      <c r="C68" s="165" t="s">
        <v>1993</v>
      </c>
      <c r="D68" s="165" t="s">
        <v>1986</v>
      </c>
      <c r="E68" s="165" t="s">
        <v>1987</v>
      </c>
      <c r="F68" s="165" t="s">
        <v>1994</v>
      </c>
      <c r="G68" s="165" t="s">
        <v>1995</v>
      </c>
      <c r="H68" s="164" t="s">
        <v>36</v>
      </c>
      <c r="I68" s="163"/>
      <c r="J68" s="164" t="s">
        <v>1784</v>
      </c>
      <c r="K68" s="163"/>
      <c r="L68" s="163"/>
      <c r="M68" s="163"/>
      <c r="N68" s="163"/>
      <c r="O68" s="163"/>
      <c r="P68" s="163"/>
      <c r="Q68" s="163"/>
      <c r="R68" s="163"/>
      <c r="S68" s="163"/>
      <c r="T68" s="163"/>
      <c r="U68" s="163"/>
      <c r="V68" s="163"/>
      <c r="W68" s="163"/>
      <c r="X68" s="163"/>
      <c r="Y68" s="163"/>
      <c r="Z68" s="163"/>
    </row>
    <row r="69" ht="14.25" customHeight="1">
      <c r="A69" s="169" t="s">
        <v>1983</v>
      </c>
      <c r="B69" s="108"/>
      <c r="C69" s="165" t="s">
        <v>1996</v>
      </c>
      <c r="D69" s="165" t="s">
        <v>271</v>
      </c>
      <c r="E69" s="165" t="s">
        <v>1987</v>
      </c>
      <c r="F69" s="165" t="s">
        <v>1997</v>
      </c>
      <c r="G69" s="165" t="s">
        <v>1998</v>
      </c>
      <c r="H69" s="164" t="s">
        <v>36</v>
      </c>
      <c r="I69" s="163"/>
      <c r="J69" s="164" t="s">
        <v>1784</v>
      </c>
      <c r="K69" s="163"/>
      <c r="L69" s="163"/>
      <c r="M69" s="163"/>
      <c r="N69" s="163"/>
      <c r="O69" s="163"/>
      <c r="P69" s="163"/>
      <c r="Q69" s="163"/>
      <c r="R69" s="163"/>
      <c r="S69" s="163"/>
      <c r="T69" s="163"/>
      <c r="U69" s="163"/>
      <c r="V69" s="163"/>
      <c r="W69" s="163"/>
      <c r="X69" s="163"/>
      <c r="Y69" s="163"/>
      <c r="Z69" s="163"/>
    </row>
    <row r="70" ht="14.25" customHeight="1">
      <c r="A70" s="169" t="s">
        <v>1983</v>
      </c>
      <c r="B70" s="108"/>
      <c r="C70" s="165" t="s">
        <v>1999</v>
      </c>
      <c r="D70" s="165" t="s">
        <v>271</v>
      </c>
      <c r="E70" s="165" t="s">
        <v>1987</v>
      </c>
      <c r="F70" s="165" t="s">
        <v>2000</v>
      </c>
      <c r="G70" s="165" t="s">
        <v>2001</v>
      </c>
      <c r="H70" s="164" t="s">
        <v>36</v>
      </c>
      <c r="I70" s="163"/>
      <c r="J70" s="164" t="s">
        <v>1784</v>
      </c>
      <c r="K70" s="163"/>
      <c r="L70" s="163"/>
      <c r="M70" s="163"/>
      <c r="N70" s="163"/>
      <c r="O70" s="163"/>
      <c r="P70" s="163"/>
      <c r="Q70" s="163"/>
      <c r="R70" s="163"/>
      <c r="S70" s="163"/>
      <c r="T70" s="163"/>
      <c r="U70" s="163"/>
      <c r="V70" s="163"/>
      <c r="W70" s="163"/>
      <c r="X70" s="163"/>
      <c r="Y70" s="163"/>
      <c r="Z70" s="163"/>
    </row>
    <row r="71" ht="14.25" customHeight="1">
      <c r="A71" s="169" t="s">
        <v>1983</v>
      </c>
      <c r="B71" s="108"/>
      <c r="C71" s="165" t="s">
        <v>2002</v>
      </c>
      <c r="D71" s="165" t="s">
        <v>271</v>
      </c>
      <c r="E71" s="165" t="s">
        <v>1987</v>
      </c>
      <c r="F71" s="165" t="s">
        <v>2003</v>
      </c>
      <c r="G71" s="165" t="s">
        <v>2004</v>
      </c>
      <c r="H71" s="164" t="s">
        <v>36</v>
      </c>
      <c r="I71" s="163"/>
      <c r="J71" s="164" t="s">
        <v>1784</v>
      </c>
      <c r="K71" s="163"/>
      <c r="L71" s="163"/>
      <c r="M71" s="163"/>
      <c r="N71" s="163"/>
      <c r="O71" s="163"/>
      <c r="P71" s="163"/>
      <c r="Q71" s="163"/>
      <c r="R71" s="163"/>
      <c r="S71" s="163"/>
      <c r="T71" s="163"/>
      <c r="U71" s="163"/>
      <c r="V71" s="163"/>
      <c r="W71" s="163"/>
      <c r="X71" s="163"/>
      <c r="Y71" s="163"/>
      <c r="Z71" s="163"/>
    </row>
    <row r="72" ht="14.25" customHeight="1">
      <c r="A72" s="169" t="s">
        <v>1983</v>
      </c>
      <c r="B72" s="108"/>
      <c r="C72" s="165" t="s">
        <v>2005</v>
      </c>
      <c r="D72" s="165" t="s">
        <v>271</v>
      </c>
      <c r="E72" s="165" t="s">
        <v>1987</v>
      </c>
      <c r="F72" s="165" t="s">
        <v>2006</v>
      </c>
      <c r="G72" s="165" t="s">
        <v>2007</v>
      </c>
      <c r="H72" s="164" t="s">
        <v>36</v>
      </c>
      <c r="I72" s="163"/>
      <c r="J72" s="164" t="s">
        <v>1784</v>
      </c>
      <c r="K72" s="163"/>
      <c r="L72" s="163"/>
      <c r="M72" s="163"/>
      <c r="N72" s="163"/>
      <c r="O72" s="163"/>
      <c r="P72" s="163"/>
      <c r="Q72" s="163"/>
      <c r="R72" s="163"/>
      <c r="S72" s="163"/>
      <c r="T72" s="163"/>
      <c r="U72" s="163"/>
      <c r="V72" s="163"/>
      <c r="W72" s="163"/>
      <c r="X72" s="163"/>
      <c r="Y72" s="163"/>
      <c r="Z72" s="163"/>
    </row>
    <row r="73" ht="14.25" customHeight="1">
      <c r="A73" s="169" t="s">
        <v>1983</v>
      </c>
      <c r="B73" s="108"/>
      <c r="C73" s="165" t="s">
        <v>2008</v>
      </c>
      <c r="D73" s="165" t="s">
        <v>271</v>
      </c>
      <c r="E73" s="165" t="s">
        <v>1987</v>
      </c>
      <c r="F73" s="165" t="s">
        <v>2009</v>
      </c>
      <c r="G73" s="165" t="s">
        <v>2010</v>
      </c>
      <c r="H73" s="164" t="s">
        <v>36</v>
      </c>
      <c r="I73" s="163"/>
      <c r="J73" s="164" t="s">
        <v>1784</v>
      </c>
      <c r="K73" s="163"/>
      <c r="L73" s="163"/>
      <c r="M73" s="163"/>
      <c r="N73" s="163"/>
      <c r="O73" s="163"/>
      <c r="P73" s="163"/>
      <c r="Q73" s="163"/>
      <c r="R73" s="163"/>
      <c r="S73" s="163"/>
      <c r="T73" s="163"/>
      <c r="U73" s="163"/>
      <c r="V73" s="163"/>
      <c r="W73" s="163"/>
      <c r="X73" s="163"/>
      <c r="Y73" s="163"/>
      <c r="Z73" s="163"/>
    </row>
    <row r="74" ht="14.25" customHeight="1">
      <c r="A74" s="169" t="s">
        <v>1983</v>
      </c>
      <c r="B74" s="108"/>
      <c r="C74" s="165" t="s">
        <v>2011</v>
      </c>
      <c r="D74" s="165" t="s">
        <v>271</v>
      </c>
      <c r="E74" s="165" t="s">
        <v>1987</v>
      </c>
      <c r="F74" s="165" t="s">
        <v>2012</v>
      </c>
      <c r="G74" s="165" t="s">
        <v>2004</v>
      </c>
      <c r="H74" s="164" t="s">
        <v>36</v>
      </c>
      <c r="I74" s="163"/>
      <c r="J74" s="164" t="s">
        <v>1784</v>
      </c>
      <c r="K74" s="163"/>
      <c r="L74" s="163"/>
      <c r="M74" s="163"/>
      <c r="N74" s="163"/>
      <c r="O74" s="163"/>
      <c r="P74" s="163"/>
      <c r="Q74" s="163"/>
      <c r="R74" s="163"/>
      <c r="S74" s="163"/>
      <c r="T74" s="163"/>
      <c r="U74" s="163"/>
      <c r="V74" s="163"/>
      <c r="W74" s="163"/>
      <c r="X74" s="163"/>
      <c r="Y74" s="163"/>
      <c r="Z74" s="163"/>
    </row>
    <row r="75" ht="14.25" customHeight="1">
      <c r="A75" s="169" t="s">
        <v>1983</v>
      </c>
      <c r="B75" s="108"/>
      <c r="C75" s="165" t="s">
        <v>2013</v>
      </c>
      <c r="D75" s="165" t="s">
        <v>271</v>
      </c>
      <c r="E75" s="165" t="s">
        <v>1987</v>
      </c>
      <c r="F75" s="165" t="s">
        <v>2014</v>
      </c>
      <c r="G75" s="165" t="s">
        <v>2015</v>
      </c>
      <c r="H75" s="164" t="s">
        <v>36</v>
      </c>
      <c r="I75" s="163"/>
      <c r="J75" s="164" t="s">
        <v>1784</v>
      </c>
      <c r="K75" s="163"/>
      <c r="L75" s="163"/>
      <c r="M75" s="163"/>
      <c r="N75" s="163"/>
      <c r="O75" s="163"/>
      <c r="P75" s="163"/>
      <c r="Q75" s="163"/>
      <c r="R75" s="163"/>
      <c r="S75" s="163"/>
      <c r="T75" s="163"/>
      <c r="U75" s="163"/>
      <c r="V75" s="163"/>
      <c r="W75" s="163"/>
      <c r="X75" s="163"/>
      <c r="Y75" s="163"/>
      <c r="Z75" s="163"/>
    </row>
    <row r="76" ht="14.25" customHeight="1">
      <c r="A76" s="169" t="s">
        <v>1983</v>
      </c>
      <c r="B76" s="108"/>
      <c r="C76" s="165" t="s">
        <v>2016</v>
      </c>
      <c r="D76" s="165" t="s">
        <v>271</v>
      </c>
      <c r="E76" s="165" t="s">
        <v>1987</v>
      </c>
      <c r="F76" s="165" t="s">
        <v>2017</v>
      </c>
      <c r="G76" s="165" t="s">
        <v>2018</v>
      </c>
      <c r="H76" s="164" t="s">
        <v>36</v>
      </c>
      <c r="I76" s="163"/>
      <c r="J76" s="164" t="s">
        <v>1784</v>
      </c>
      <c r="K76" s="163"/>
      <c r="L76" s="163"/>
      <c r="M76" s="163"/>
      <c r="N76" s="163"/>
      <c r="O76" s="163"/>
      <c r="P76" s="163"/>
      <c r="Q76" s="163"/>
      <c r="R76" s="163"/>
      <c r="S76" s="163"/>
      <c r="T76" s="163"/>
      <c r="U76" s="163"/>
      <c r="V76" s="163"/>
      <c r="W76" s="163"/>
      <c r="X76" s="163"/>
      <c r="Y76" s="163"/>
      <c r="Z76" s="163"/>
    </row>
    <row r="77" ht="14.25" customHeight="1">
      <c r="A77" s="169" t="s">
        <v>1983</v>
      </c>
      <c r="B77" s="108"/>
      <c r="C77" s="165" t="s">
        <v>2019</v>
      </c>
      <c r="D77" s="165" t="s">
        <v>271</v>
      </c>
      <c r="E77" s="165" t="s">
        <v>1987</v>
      </c>
      <c r="F77" s="165" t="s">
        <v>2020</v>
      </c>
      <c r="G77" s="165" t="s">
        <v>2021</v>
      </c>
      <c r="H77" s="164" t="s">
        <v>36</v>
      </c>
      <c r="I77" s="163"/>
      <c r="J77" s="164" t="s">
        <v>1784</v>
      </c>
      <c r="K77" s="163"/>
      <c r="L77" s="163"/>
      <c r="M77" s="163"/>
      <c r="N77" s="163"/>
      <c r="O77" s="163"/>
      <c r="P77" s="163"/>
      <c r="Q77" s="163"/>
      <c r="R77" s="163"/>
      <c r="S77" s="163"/>
      <c r="T77" s="163"/>
      <c r="U77" s="163"/>
      <c r="V77" s="163"/>
      <c r="W77" s="163"/>
      <c r="X77" s="163"/>
      <c r="Y77" s="163"/>
      <c r="Z77" s="163"/>
    </row>
    <row r="78" ht="14.25" customHeight="1">
      <c r="A78" s="169" t="s">
        <v>1983</v>
      </c>
      <c r="B78" s="108"/>
      <c r="C78" s="165" t="s">
        <v>2022</v>
      </c>
      <c r="D78" s="165" t="s">
        <v>271</v>
      </c>
      <c r="E78" s="165" t="s">
        <v>1987</v>
      </c>
      <c r="F78" s="165" t="s">
        <v>2023</v>
      </c>
      <c r="G78" s="165" t="s">
        <v>2024</v>
      </c>
      <c r="H78" s="164" t="s">
        <v>36</v>
      </c>
      <c r="I78" s="163"/>
      <c r="J78" s="164" t="s">
        <v>1784</v>
      </c>
      <c r="K78" s="163"/>
      <c r="L78" s="163"/>
      <c r="M78" s="163"/>
      <c r="N78" s="163"/>
      <c r="O78" s="163"/>
      <c r="P78" s="163"/>
      <c r="Q78" s="163"/>
      <c r="R78" s="163"/>
      <c r="S78" s="163"/>
      <c r="T78" s="163"/>
      <c r="U78" s="163"/>
      <c r="V78" s="163"/>
      <c r="W78" s="163"/>
      <c r="X78" s="163"/>
      <c r="Y78" s="163"/>
      <c r="Z78" s="163"/>
    </row>
    <row r="79" ht="14.25" customHeight="1">
      <c r="A79" s="169" t="s">
        <v>1983</v>
      </c>
      <c r="B79" s="108"/>
      <c r="C79" s="165" t="s">
        <v>2025</v>
      </c>
      <c r="D79" s="165" t="s">
        <v>271</v>
      </c>
      <c r="E79" s="165" t="s">
        <v>1987</v>
      </c>
      <c r="F79" s="165" t="s">
        <v>2026</v>
      </c>
      <c r="G79" s="165" t="s">
        <v>2027</v>
      </c>
      <c r="H79" s="164" t="s">
        <v>36</v>
      </c>
      <c r="I79" s="163"/>
      <c r="J79" s="164" t="s">
        <v>1784</v>
      </c>
      <c r="K79" s="163"/>
      <c r="L79" s="163"/>
      <c r="M79" s="163"/>
      <c r="N79" s="163"/>
      <c r="O79" s="163"/>
      <c r="P79" s="163"/>
      <c r="Q79" s="163"/>
      <c r="R79" s="163"/>
      <c r="S79" s="163"/>
      <c r="T79" s="163"/>
      <c r="U79" s="163"/>
      <c r="V79" s="163"/>
      <c r="W79" s="163"/>
      <c r="X79" s="163"/>
      <c r="Y79" s="163"/>
      <c r="Z79" s="163"/>
    </row>
    <row r="80" ht="14.25" customHeight="1">
      <c r="A80" s="169" t="s">
        <v>1983</v>
      </c>
      <c r="B80" s="108"/>
      <c r="C80" s="165" t="s">
        <v>2028</v>
      </c>
      <c r="D80" s="165" t="s">
        <v>271</v>
      </c>
      <c r="E80" s="165" t="s">
        <v>1987</v>
      </c>
      <c r="F80" s="165" t="s">
        <v>2029</v>
      </c>
      <c r="G80" s="165" t="s">
        <v>2030</v>
      </c>
      <c r="H80" s="164" t="s">
        <v>36</v>
      </c>
      <c r="I80" s="163"/>
      <c r="J80" s="164" t="s">
        <v>1784</v>
      </c>
      <c r="K80" s="163"/>
      <c r="L80" s="163"/>
      <c r="M80" s="163"/>
      <c r="N80" s="163"/>
      <c r="O80" s="163"/>
      <c r="P80" s="163"/>
      <c r="Q80" s="163"/>
      <c r="R80" s="163"/>
      <c r="S80" s="163"/>
      <c r="T80" s="163"/>
      <c r="U80" s="163"/>
      <c r="V80" s="163"/>
      <c r="W80" s="163"/>
      <c r="X80" s="163"/>
      <c r="Y80" s="163"/>
      <c r="Z80" s="163"/>
    </row>
    <row r="81" ht="14.25" customHeight="1">
      <c r="A81" s="169" t="s">
        <v>1983</v>
      </c>
      <c r="B81" s="109"/>
      <c r="C81" s="165" t="s">
        <v>2031</v>
      </c>
      <c r="D81" s="165" t="s">
        <v>271</v>
      </c>
      <c r="E81" s="165" t="s">
        <v>1987</v>
      </c>
      <c r="F81" s="170" t="s">
        <v>2032</v>
      </c>
      <c r="G81" s="165" t="s">
        <v>2033</v>
      </c>
      <c r="H81" s="164" t="s">
        <v>36</v>
      </c>
      <c r="I81" s="163"/>
      <c r="J81" s="164" t="s">
        <v>2034</v>
      </c>
      <c r="K81" s="163"/>
      <c r="L81" s="163"/>
      <c r="M81" s="163"/>
      <c r="N81" s="163"/>
      <c r="O81" s="163"/>
      <c r="P81" s="163"/>
      <c r="Q81" s="163"/>
      <c r="R81" s="163"/>
      <c r="S81" s="163"/>
      <c r="T81" s="163"/>
      <c r="U81" s="163"/>
      <c r="V81" s="163"/>
      <c r="W81" s="163"/>
      <c r="X81" s="163"/>
      <c r="Y81" s="163"/>
      <c r="Z81" s="163"/>
    </row>
    <row r="82" ht="14.25" customHeight="1">
      <c r="A82" s="164" t="s">
        <v>2035</v>
      </c>
      <c r="B82" s="166" t="s">
        <v>2036</v>
      </c>
      <c r="C82" s="165" t="s">
        <v>2037</v>
      </c>
      <c r="D82" s="165" t="s">
        <v>2038</v>
      </c>
      <c r="E82" s="165" t="s">
        <v>2039</v>
      </c>
      <c r="F82" s="165" t="s">
        <v>2040</v>
      </c>
      <c r="G82" s="165" t="s">
        <v>2041</v>
      </c>
      <c r="H82" s="165" t="s">
        <v>36</v>
      </c>
      <c r="I82" s="163"/>
      <c r="J82" s="164" t="s">
        <v>1784</v>
      </c>
      <c r="K82" s="163"/>
      <c r="L82" s="163"/>
      <c r="M82" s="163"/>
      <c r="N82" s="163"/>
      <c r="O82" s="163"/>
      <c r="P82" s="163"/>
      <c r="Q82" s="163"/>
      <c r="R82" s="163"/>
      <c r="S82" s="163"/>
      <c r="T82" s="163"/>
      <c r="U82" s="163"/>
      <c r="V82" s="163"/>
      <c r="W82" s="163"/>
      <c r="X82" s="163"/>
      <c r="Y82" s="163"/>
      <c r="Z82" s="163"/>
    </row>
    <row r="83" ht="14.25" customHeight="1">
      <c r="A83" s="164" t="s">
        <v>2035</v>
      </c>
      <c r="B83" s="108"/>
      <c r="C83" s="165" t="s">
        <v>2042</v>
      </c>
      <c r="D83" s="165" t="s">
        <v>2038</v>
      </c>
      <c r="E83" s="165" t="s">
        <v>2043</v>
      </c>
      <c r="F83" s="165" t="s">
        <v>2044</v>
      </c>
      <c r="G83" s="165" t="s">
        <v>2045</v>
      </c>
      <c r="H83" s="165" t="s">
        <v>36</v>
      </c>
      <c r="I83" s="163"/>
      <c r="J83" s="164" t="s">
        <v>1784</v>
      </c>
      <c r="K83" s="163"/>
      <c r="L83" s="163"/>
      <c r="M83" s="163"/>
      <c r="N83" s="163"/>
      <c r="O83" s="163"/>
      <c r="P83" s="163"/>
      <c r="Q83" s="163"/>
      <c r="R83" s="163"/>
      <c r="S83" s="163"/>
      <c r="T83" s="163"/>
      <c r="U83" s="163"/>
      <c r="V83" s="163"/>
      <c r="W83" s="163"/>
      <c r="X83" s="163"/>
      <c r="Y83" s="163"/>
      <c r="Z83" s="163"/>
    </row>
    <row r="84" ht="14.25" customHeight="1">
      <c r="A84" s="164" t="s">
        <v>2035</v>
      </c>
      <c r="B84" s="108"/>
      <c r="C84" s="165" t="s">
        <v>2046</v>
      </c>
      <c r="D84" s="165" t="s">
        <v>2038</v>
      </c>
      <c r="E84" s="165" t="s">
        <v>2047</v>
      </c>
      <c r="F84" s="165" t="s">
        <v>2048</v>
      </c>
      <c r="G84" s="165" t="s">
        <v>2049</v>
      </c>
      <c r="H84" s="165" t="s">
        <v>36</v>
      </c>
      <c r="I84" s="163"/>
      <c r="J84" s="164" t="s">
        <v>1784</v>
      </c>
      <c r="K84" s="163"/>
      <c r="L84" s="163"/>
      <c r="M84" s="163"/>
      <c r="N84" s="163"/>
      <c r="O84" s="163"/>
      <c r="P84" s="163"/>
      <c r="Q84" s="163"/>
      <c r="R84" s="163"/>
      <c r="S84" s="163"/>
      <c r="T84" s="163"/>
      <c r="U84" s="163"/>
      <c r="V84" s="163"/>
      <c r="W84" s="163"/>
      <c r="X84" s="163"/>
      <c r="Y84" s="163"/>
      <c r="Z84" s="163"/>
    </row>
    <row r="85" ht="14.25" customHeight="1">
      <c r="A85" s="164" t="s">
        <v>2035</v>
      </c>
      <c r="B85" s="108"/>
      <c r="C85" s="165" t="s">
        <v>2050</v>
      </c>
      <c r="D85" s="165" t="s">
        <v>2038</v>
      </c>
      <c r="E85" s="165" t="s">
        <v>2047</v>
      </c>
      <c r="F85" s="165" t="s">
        <v>2051</v>
      </c>
      <c r="G85" s="165" t="s">
        <v>2052</v>
      </c>
      <c r="H85" s="165" t="s">
        <v>36</v>
      </c>
      <c r="I85" s="163"/>
      <c r="J85" s="164" t="s">
        <v>1784</v>
      </c>
      <c r="K85" s="163"/>
      <c r="L85" s="163"/>
      <c r="M85" s="163"/>
      <c r="N85" s="163"/>
      <c r="O85" s="163"/>
      <c r="P85" s="163"/>
      <c r="Q85" s="163"/>
      <c r="R85" s="163"/>
      <c r="S85" s="163"/>
      <c r="T85" s="163"/>
      <c r="U85" s="163"/>
      <c r="V85" s="163"/>
      <c r="W85" s="163"/>
      <c r="X85" s="163"/>
      <c r="Y85" s="163"/>
      <c r="Z85" s="163"/>
    </row>
    <row r="86" ht="14.25" customHeight="1">
      <c r="A86" s="164" t="s">
        <v>2035</v>
      </c>
      <c r="B86" s="109"/>
      <c r="C86" s="165" t="s">
        <v>2053</v>
      </c>
      <c r="D86" s="165" t="s">
        <v>2038</v>
      </c>
      <c r="E86" s="165" t="s">
        <v>2047</v>
      </c>
      <c r="F86" s="165" t="s">
        <v>2054</v>
      </c>
      <c r="G86" s="165" t="s">
        <v>2055</v>
      </c>
      <c r="H86" s="165" t="s">
        <v>36</v>
      </c>
      <c r="I86" s="163"/>
      <c r="J86" s="164" t="s">
        <v>1784</v>
      </c>
      <c r="K86" s="163"/>
      <c r="L86" s="163"/>
      <c r="M86" s="163"/>
      <c r="N86" s="163"/>
      <c r="O86" s="163"/>
      <c r="P86" s="163"/>
      <c r="Q86" s="163"/>
      <c r="R86" s="163"/>
      <c r="S86" s="163"/>
      <c r="T86" s="163"/>
      <c r="U86" s="163"/>
      <c r="V86" s="163"/>
      <c r="W86" s="163"/>
      <c r="X86" s="163"/>
      <c r="Y86" s="163"/>
      <c r="Z86" s="163"/>
    </row>
    <row r="87" ht="14.25" customHeight="1">
      <c r="A87" s="164" t="s">
        <v>2056</v>
      </c>
      <c r="B87" s="166" t="s">
        <v>2057</v>
      </c>
      <c r="C87" s="165" t="s">
        <v>2058</v>
      </c>
      <c r="D87" s="165" t="s">
        <v>271</v>
      </c>
      <c r="E87" s="165" t="s">
        <v>2059</v>
      </c>
      <c r="F87" s="165" t="s">
        <v>2060</v>
      </c>
      <c r="G87" s="165" t="s">
        <v>2061</v>
      </c>
      <c r="H87" s="164" t="s">
        <v>36</v>
      </c>
      <c r="I87" s="163"/>
      <c r="J87" s="164" t="s">
        <v>2062</v>
      </c>
      <c r="K87" s="163"/>
      <c r="L87" s="163"/>
      <c r="M87" s="163"/>
      <c r="N87" s="163"/>
      <c r="O87" s="163"/>
      <c r="P87" s="163"/>
      <c r="Q87" s="163"/>
      <c r="R87" s="163"/>
      <c r="S87" s="163"/>
      <c r="T87" s="163"/>
      <c r="U87" s="163"/>
      <c r="V87" s="163"/>
      <c r="W87" s="163"/>
      <c r="X87" s="163"/>
      <c r="Y87" s="163"/>
      <c r="Z87" s="163"/>
    </row>
    <row r="88" ht="14.25" customHeight="1">
      <c r="A88" s="164" t="s">
        <v>2056</v>
      </c>
      <c r="B88" s="108"/>
      <c r="C88" s="165" t="s">
        <v>2063</v>
      </c>
      <c r="D88" s="165" t="s">
        <v>271</v>
      </c>
      <c r="E88" s="165" t="s">
        <v>2059</v>
      </c>
      <c r="F88" s="165" t="s">
        <v>2064</v>
      </c>
      <c r="G88" s="165" t="s">
        <v>2065</v>
      </c>
      <c r="H88" s="164" t="s">
        <v>36</v>
      </c>
      <c r="I88" s="163"/>
      <c r="J88" s="164" t="s">
        <v>2062</v>
      </c>
      <c r="K88" s="163"/>
      <c r="L88" s="163"/>
      <c r="M88" s="163"/>
      <c r="N88" s="163"/>
      <c r="O88" s="163"/>
      <c r="P88" s="163"/>
      <c r="Q88" s="163"/>
      <c r="R88" s="163"/>
      <c r="S88" s="163"/>
      <c r="T88" s="163"/>
      <c r="U88" s="163"/>
      <c r="V88" s="163"/>
      <c r="W88" s="163"/>
      <c r="X88" s="163"/>
      <c r="Y88" s="163"/>
      <c r="Z88" s="163"/>
    </row>
    <row r="89" ht="14.25" customHeight="1">
      <c r="A89" s="164" t="s">
        <v>2056</v>
      </c>
      <c r="B89" s="108"/>
      <c r="C89" s="165" t="s">
        <v>2066</v>
      </c>
      <c r="D89" s="165" t="s">
        <v>271</v>
      </c>
      <c r="E89" s="165" t="s">
        <v>2059</v>
      </c>
      <c r="F89" s="165" t="s">
        <v>2067</v>
      </c>
      <c r="G89" s="165" t="s">
        <v>2068</v>
      </c>
      <c r="H89" s="164" t="s">
        <v>36</v>
      </c>
      <c r="I89" s="163"/>
      <c r="J89" s="164" t="s">
        <v>2062</v>
      </c>
      <c r="K89" s="163"/>
      <c r="L89" s="163"/>
      <c r="M89" s="163"/>
      <c r="N89" s="163"/>
      <c r="O89" s="163"/>
      <c r="P89" s="163"/>
      <c r="Q89" s="163"/>
      <c r="R89" s="163"/>
      <c r="S89" s="163"/>
      <c r="T89" s="163"/>
      <c r="U89" s="163"/>
      <c r="V89" s="163"/>
      <c r="W89" s="163"/>
      <c r="X89" s="163"/>
      <c r="Y89" s="163"/>
      <c r="Z89" s="163"/>
    </row>
    <row r="90" ht="14.25" customHeight="1">
      <c r="A90" s="164" t="s">
        <v>2056</v>
      </c>
      <c r="B90" s="108"/>
      <c r="C90" s="165" t="s">
        <v>2069</v>
      </c>
      <c r="D90" s="165" t="s">
        <v>271</v>
      </c>
      <c r="E90" s="165" t="s">
        <v>2059</v>
      </c>
      <c r="F90" s="165" t="s">
        <v>2070</v>
      </c>
      <c r="G90" s="165" t="s">
        <v>2071</v>
      </c>
      <c r="H90" s="164" t="s">
        <v>36</v>
      </c>
      <c r="I90" s="163"/>
      <c r="J90" s="164" t="s">
        <v>2062</v>
      </c>
      <c r="K90" s="163"/>
      <c r="L90" s="163"/>
      <c r="M90" s="163"/>
      <c r="N90" s="163"/>
      <c r="O90" s="163"/>
      <c r="P90" s="163"/>
      <c r="Q90" s="163"/>
      <c r="R90" s="163"/>
      <c r="S90" s="163"/>
      <c r="T90" s="163"/>
      <c r="U90" s="163"/>
      <c r="V90" s="163"/>
      <c r="W90" s="163"/>
      <c r="X90" s="163"/>
      <c r="Y90" s="163"/>
      <c r="Z90" s="163"/>
    </row>
    <row r="91" ht="14.25" customHeight="1">
      <c r="A91" s="164" t="s">
        <v>2056</v>
      </c>
      <c r="B91" s="109"/>
      <c r="C91" s="165" t="s">
        <v>2072</v>
      </c>
      <c r="D91" s="165" t="s">
        <v>271</v>
      </c>
      <c r="E91" s="165" t="s">
        <v>2059</v>
      </c>
      <c r="F91" s="165" t="s">
        <v>2073</v>
      </c>
      <c r="G91" s="165" t="s">
        <v>2074</v>
      </c>
      <c r="H91" s="164" t="s">
        <v>36</v>
      </c>
      <c r="I91" s="163"/>
      <c r="J91" s="164" t="s">
        <v>2062</v>
      </c>
      <c r="K91" s="163"/>
      <c r="L91" s="163"/>
      <c r="M91" s="163"/>
      <c r="N91" s="163"/>
      <c r="O91" s="163"/>
      <c r="P91" s="163"/>
      <c r="Q91" s="163"/>
      <c r="R91" s="163"/>
      <c r="S91" s="163"/>
      <c r="T91" s="163"/>
      <c r="U91" s="163"/>
      <c r="V91" s="163"/>
      <c r="W91" s="163"/>
      <c r="X91" s="163"/>
      <c r="Y91" s="163"/>
      <c r="Z91" s="163"/>
    </row>
    <row r="92" ht="14.25" customHeight="1">
      <c r="A92" s="164" t="s">
        <v>2075</v>
      </c>
      <c r="B92" s="166" t="s">
        <v>2076</v>
      </c>
      <c r="C92" s="165" t="s">
        <v>2077</v>
      </c>
      <c r="D92" s="165" t="s">
        <v>1986</v>
      </c>
      <c r="E92" s="165" t="s">
        <v>2078</v>
      </c>
      <c r="F92" s="165" t="s">
        <v>2079</v>
      </c>
      <c r="G92" s="165" t="s">
        <v>2080</v>
      </c>
      <c r="H92" s="164" t="s">
        <v>36</v>
      </c>
      <c r="I92" s="163"/>
      <c r="J92" s="164" t="s">
        <v>1784</v>
      </c>
      <c r="K92" s="163"/>
      <c r="L92" s="163"/>
      <c r="M92" s="163"/>
      <c r="N92" s="163"/>
      <c r="O92" s="163"/>
      <c r="P92" s="163"/>
      <c r="Q92" s="163"/>
      <c r="R92" s="163"/>
      <c r="S92" s="163"/>
      <c r="T92" s="163"/>
      <c r="U92" s="163"/>
      <c r="V92" s="163"/>
      <c r="W92" s="163"/>
      <c r="X92" s="163"/>
      <c r="Y92" s="163"/>
      <c r="Z92" s="163"/>
    </row>
    <row r="93" ht="14.25" customHeight="1">
      <c r="A93" s="164" t="s">
        <v>2075</v>
      </c>
      <c r="B93" s="108"/>
      <c r="C93" s="165" t="s">
        <v>2081</v>
      </c>
      <c r="D93" s="165" t="s">
        <v>2082</v>
      </c>
      <c r="E93" s="165" t="s">
        <v>2078</v>
      </c>
      <c r="F93" s="165" t="s">
        <v>2083</v>
      </c>
      <c r="G93" s="165" t="s">
        <v>2084</v>
      </c>
      <c r="H93" s="164" t="s">
        <v>36</v>
      </c>
      <c r="I93" s="163"/>
      <c r="J93" s="164" t="s">
        <v>1784</v>
      </c>
      <c r="K93" s="163"/>
      <c r="L93" s="163"/>
      <c r="M93" s="163"/>
      <c r="N93" s="163"/>
      <c r="O93" s="163"/>
      <c r="P93" s="163"/>
      <c r="Q93" s="163"/>
      <c r="R93" s="163"/>
      <c r="S93" s="163"/>
      <c r="T93" s="163"/>
      <c r="U93" s="163"/>
      <c r="V93" s="163"/>
      <c r="W93" s="163"/>
      <c r="X93" s="163"/>
      <c r="Y93" s="163"/>
      <c r="Z93" s="163"/>
    </row>
    <row r="94" ht="14.25" customHeight="1">
      <c r="A94" s="164" t="s">
        <v>2075</v>
      </c>
      <c r="B94" s="108"/>
      <c r="C94" s="165" t="s">
        <v>2085</v>
      </c>
      <c r="D94" s="165" t="s">
        <v>271</v>
      </c>
      <c r="E94" s="165" t="s">
        <v>2086</v>
      </c>
      <c r="F94" s="165" t="s">
        <v>2087</v>
      </c>
      <c r="G94" s="165" t="s">
        <v>2088</v>
      </c>
      <c r="H94" s="164" t="s">
        <v>36</v>
      </c>
      <c r="I94" s="163"/>
      <c r="J94" s="164" t="s">
        <v>1784</v>
      </c>
      <c r="K94" s="163"/>
      <c r="L94" s="163"/>
      <c r="M94" s="163"/>
      <c r="N94" s="163"/>
      <c r="O94" s="163"/>
      <c r="P94" s="163"/>
      <c r="Q94" s="163"/>
      <c r="R94" s="163"/>
      <c r="S94" s="163"/>
      <c r="T94" s="163"/>
      <c r="U94" s="163"/>
      <c r="V94" s="163"/>
      <c r="W94" s="163"/>
      <c r="X94" s="163"/>
      <c r="Y94" s="163"/>
      <c r="Z94" s="163"/>
    </row>
    <row r="95" ht="14.25" customHeight="1">
      <c r="A95" s="164" t="s">
        <v>2075</v>
      </c>
      <c r="B95" s="108"/>
      <c r="C95" s="165" t="s">
        <v>2089</v>
      </c>
      <c r="D95" s="165" t="s">
        <v>271</v>
      </c>
      <c r="E95" s="165" t="s">
        <v>2086</v>
      </c>
      <c r="F95" s="165" t="s">
        <v>2090</v>
      </c>
      <c r="G95" s="165" t="s">
        <v>2091</v>
      </c>
      <c r="H95" s="164" t="s">
        <v>36</v>
      </c>
      <c r="I95" s="163"/>
      <c r="J95" s="164" t="s">
        <v>1784</v>
      </c>
      <c r="K95" s="163"/>
      <c r="L95" s="163"/>
      <c r="M95" s="163"/>
      <c r="N95" s="163"/>
      <c r="O95" s="163"/>
      <c r="P95" s="163"/>
      <c r="Q95" s="163"/>
      <c r="R95" s="163"/>
      <c r="S95" s="163"/>
      <c r="T95" s="163"/>
      <c r="U95" s="163"/>
      <c r="V95" s="163"/>
      <c r="W95" s="163"/>
      <c r="X95" s="163"/>
      <c r="Y95" s="163"/>
      <c r="Z95" s="163"/>
    </row>
    <row r="96" ht="14.25" customHeight="1">
      <c r="A96" s="164" t="s">
        <v>2075</v>
      </c>
      <c r="B96" s="108"/>
      <c r="C96" s="165" t="s">
        <v>2092</v>
      </c>
      <c r="D96" s="165" t="s">
        <v>271</v>
      </c>
      <c r="E96" s="165" t="s">
        <v>2086</v>
      </c>
      <c r="F96" s="165" t="s">
        <v>2093</v>
      </c>
      <c r="G96" s="165" t="s">
        <v>2094</v>
      </c>
      <c r="H96" s="164" t="s">
        <v>36</v>
      </c>
      <c r="I96" s="163"/>
      <c r="J96" s="164" t="s">
        <v>1784</v>
      </c>
      <c r="K96" s="163"/>
      <c r="L96" s="163"/>
      <c r="M96" s="163"/>
      <c r="N96" s="163"/>
      <c r="O96" s="163"/>
      <c r="P96" s="163"/>
      <c r="Q96" s="163"/>
      <c r="R96" s="163"/>
      <c r="S96" s="163"/>
      <c r="T96" s="163"/>
      <c r="U96" s="163"/>
      <c r="V96" s="163"/>
      <c r="W96" s="163"/>
      <c r="X96" s="163"/>
      <c r="Y96" s="163"/>
      <c r="Z96" s="163"/>
    </row>
    <row r="97" ht="14.25" customHeight="1">
      <c r="A97" s="164" t="s">
        <v>2075</v>
      </c>
      <c r="B97" s="108"/>
      <c r="C97" s="165" t="s">
        <v>2095</v>
      </c>
      <c r="D97" s="165" t="s">
        <v>271</v>
      </c>
      <c r="E97" s="165" t="s">
        <v>2086</v>
      </c>
      <c r="F97" s="165" t="s">
        <v>2096</v>
      </c>
      <c r="G97" s="165" t="s">
        <v>2097</v>
      </c>
      <c r="H97" s="164" t="s">
        <v>36</v>
      </c>
      <c r="I97" s="163"/>
      <c r="J97" s="164" t="s">
        <v>1784</v>
      </c>
      <c r="K97" s="163"/>
      <c r="L97" s="163"/>
      <c r="M97" s="163"/>
      <c r="N97" s="163"/>
      <c r="O97" s="163"/>
      <c r="P97" s="163"/>
      <c r="Q97" s="163"/>
      <c r="R97" s="163"/>
      <c r="S97" s="163"/>
      <c r="T97" s="163"/>
      <c r="U97" s="163"/>
      <c r="V97" s="163"/>
      <c r="W97" s="163"/>
      <c r="X97" s="163"/>
      <c r="Y97" s="163"/>
      <c r="Z97" s="163"/>
    </row>
    <row r="98" ht="14.25" customHeight="1">
      <c r="A98" s="164" t="s">
        <v>2075</v>
      </c>
      <c r="B98" s="108"/>
      <c r="C98" s="165" t="s">
        <v>2098</v>
      </c>
      <c r="D98" s="165" t="s">
        <v>271</v>
      </c>
      <c r="E98" s="165" t="s">
        <v>2099</v>
      </c>
      <c r="F98" s="165" t="s">
        <v>2100</v>
      </c>
      <c r="G98" s="165" t="s">
        <v>2101</v>
      </c>
      <c r="H98" s="164" t="s">
        <v>36</v>
      </c>
      <c r="I98" s="163"/>
      <c r="J98" s="164" t="s">
        <v>1784</v>
      </c>
      <c r="K98" s="163"/>
      <c r="L98" s="163"/>
      <c r="M98" s="163"/>
      <c r="N98" s="163"/>
      <c r="O98" s="163"/>
      <c r="P98" s="163"/>
      <c r="Q98" s="163"/>
      <c r="R98" s="163"/>
      <c r="S98" s="163"/>
      <c r="T98" s="163"/>
      <c r="U98" s="163"/>
      <c r="V98" s="163"/>
      <c r="W98" s="163"/>
      <c r="X98" s="163"/>
      <c r="Y98" s="163"/>
      <c r="Z98" s="163"/>
    </row>
    <row r="99" ht="14.25" customHeight="1">
      <c r="A99" s="164" t="s">
        <v>2075</v>
      </c>
      <c r="B99" s="108"/>
      <c r="C99" s="165" t="s">
        <v>2102</v>
      </c>
      <c r="D99" s="165" t="s">
        <v>271</v>
      </c>
      <c r="E99" s="165" t="s">
        <v>2103</v>
      </c>
      <c r="F99" s="165" t="s">
        <v>2104</v>
      </c>
      <c r="G99" s="165" t="s">
        <v>2105</v>
      </c>
      <c r="H99" s="164" t="s">
        <v>36</v>
      </c>
      <c r="I99" s="163"/>
      <c r="J99" s="164" t="s">
        <v>1784</v>
      </c>
      <c r="K99" s="163"/>
      <c r="L99" s="163"/>
      <c r="M99" s="163"/>
      <c r="N99" s="163"/>
      <c r="O99" s="163"/>
      <c r="P99" s="163"/>
      <c r="Q99" s="163"/>
      <c r="R99" s="163"/>
      <c r="S99" s="163"/>
      <c r="T99" s="163"/>
      <c r="U99" s="163"/>
      <c r="V99" s="163"/>
      <c r="W99" s="163"/>
      <c r="X99" s="163"/>
      <c r="Y99" s="163"/>
      <c r="Z99" s="163"/>
    </row>
    <row r="100" ht="14.25" customHeight="1">
      <c r="A100" s="164" t="s">
        <v>2075</v>
      </c>
      <c r="B100" s="108"/>
      <c r="C100" s="165" t="s">
        <v>2106</v>
      </c>
      <c r="D100" s="165" t="s">
        <v>2082</v>
      </c>
      <c r="E100" s="165" t="s">
        <v>2107</v>
      </c>
      <c r="F100" s="165" t="s">
        <v>2108</v>
      </c>
      <c r="G100" s="165" t="s">
        <v>2080</v>
      </c>
      <c r="H100" s="164" t="s">
        <v>36</v>
      </c>
      <c r="I100" s="163"/>
      <c r="J100" s="164" t="s">
        <v>1784</v>
      </c>
      <c r="K100" s="163"/>
      <c r="L100" s="163"/>
      <c r="M100" s="163"/>
      <c r="N100" s="163"/>
      <c r="O100" s="163"/>
      <c r="P100" s="163"/>
      <c r="Q100" s="163"/>
      <c r="R100" s="163"/>
      <c r="S100" s="163"/>
      <c r="T100" s="163"/>
      <c r="U100" s="163"/>
      <c r="V100" s="163"/>
      <c r="W100" s="163"/>
      <c r="X100" s="163"/>
      <c r="Y100" s="163"/>
      <c r="Z100" s="163"/>
    </row>
    <row r="101" ht="14.25" customHeight="1">
      <c r="A101" s="164" t="s">
        <v>2075</v>
      </c>
      <c r="B101" s="108"/>
      <c r="C101" s="165" t="s">
        <v>2109</v>
      </c>
      <c r="D101" s="165" t="s">
        <v>2082</v>
      </c>
      <c r="E101" s="165" t="s">
        <v>2107</v>
      </c>
      <c r="F101" s="165" t="s">
        <v>2110</v>
      </c>
      <c r="G101" s="165" t="s">
        <v>2084</v>
      </c>
      <c r="H101" s="164" t="s">
        <v>36</v>
      </c>
      <c r="I101" s="163"/>
      <c r="J101" s="164" t="s">
        <v>1784</v>
      </c>
      <c r="K101" s="163"/>
      <c r="L101" s="163"/>
      <c r="M101" s="163"/>
      <c r="N101" s="163"/>
      <c r="O101" s="163"/>
      <c r="P101" s="163"/>
      <c r="Q101" s="163"/>
      <c r="R101" s="163"/>
      <c r="S101" s="163"/>
      <c r="T101" s="163"/>
      <c r="U101" s="163"/>
      <c r="V101" s="163"/>
      <c r="W101" s="163"/>
      <c r="X101" s="163"/>
      <c r="Y101" s="163"/>
      <c r="Z101" s="163"/>
    </row>
    <row r="102" ht="14.25" customHeight="1">
      <c r="A102" s="164" t="s">
        <v>2075</v>
      </c>
      <c r="B102" s="108"/>
      <c r="C102" s="165" t="s">
        <v>2111</v>
      </c>
      <c r="D102" s="165" t="s">
        <v>271</v>
      </c>
      <c r="E102" s="165" t="s">
        <v>2112</v>
      </c>
      <c r="F102" s="165" t="s">
        <v>2113</v>
      </c>
      <c r="G102" s="165" t="s">
        <v>2088</v>
      </c>
      <c r="H102" s="164" t="s">
        <v>36</v>
      </c>
      <c r="I102" s="163"/>
      <c r="J102" s="164" t="s">
        <v>1784</v>
      </c>
      <c r="K102" s="163"/>
      <c r="L102" s="163"/>
      <c r="M102" s="163"/>
      <c r="N102" s="163"/>
      <c r="O102" s="163"/>
      <c r="P102" s="163"/>
      <c r="Q102" s="163"/>
      <c r="R102" s="163"/>
      <c r="S102" s="163"/>
      <c r="T102" s="163"/>
      <c r="U102" s="163"/>
      <c r="V102" s="163"/>
      <c r="W102" s="163"/>
      <c r="X102" s="163"/>
      <c r="Y102" s="163"/>
      <c r="Z102" s="163"/>
    </row>
    <row r="103" ht="14.25" customHeight="1">
      <c r="A103" s="164" t="s">
        <v>2075</v>
      </c>
      <c r="B103" s="108"/>
      <c r="C103" s="165" t="s">
        <v>2114</v>
      </c>
      <c r="D103" s="165" t="s">
        <v>271</v>
      </c>
      <c r="E103" s="165" t="s">
        <v>2112</v>
      </c>
      <c r="F103" s="165" t="s">
        <v>2115</v>
      </c>
      <c r="G103" s="165" t="s">
        <v>2116</v>
      </c>
      <c r="H103" s="164" t="s">
        <v>36</v>
      </c>
      <c r="I103" s="163"/>
      <c r="J103" s="164" t="s">
        <v>1784</v>
      </c>
      <c r="K103" s="163"/>
      <c r="L103" s="163"/>
      <c r="M103" s="163"/>
      <c r="N103" s="163"/>
      <c r="O103" s="163"/>
      <c r="P103" s="163"/>
      <c r="Q103" s="163"/>
      <c r="R103" s="163"/>
      <c r="S103" s="163"/>
      <c r="T103" s="163"/>
      <c r="U103" s="163"/>
      <c r="V103" s="163"/>
      <c r="W103" s="163"/>
      <c r="X103" s="163"/>
      <c r="Y103" s="163"/>
      <c r="Z103" s="163"/>
    </row>
    <row r="104" ht="14.25" customHeight="1">
      <c r="A104" s="164" t="s">
        <v>2075</v>
      </c>
      <c r="B104" s="108"/>
      <c r="C104" s="165" t="s">
        <v>2117</v>
      </c>
      <c r="D104" s="165" t="s">
        <v>271</v>
      </c>
      <c r="E104" s="165" t="s">
        <v>2112</v>
      </c>
      <c r="F104" s="165" t="s">
        <v>2118</v>
      </c>
      <c r="G104" s="165" t="s">
        <v>2094</v>
      </c>
      <c r="H104" s="164" t="s">
        <v>36</v>
      </c>
      <c r="I104" s="163"/>
      <c r="J104" s="164" t="s">
        <v>1784</v>
      </c>
      <c r="K104" s="163"/>
      <c r="L104" s="163"/>
      <c r="M104" s="163"/>
      <c r="N104" s="163"/>
      <c r="O104" s="163"/>
      <c r="P104" s="163"/>
      <c r="Q104" s="163"/>
      <c r="R104" s="163"/>
      <c r="S104" s="163"/>
      <c r="T104" s="163"/>
      <c r="U104" s="163"/>
      <c r="V104" s="163"/>
      <c r="W104" s="163"/>
      <c r="X104" s="163"/>
      <c r="Y104" s="163"/>
      <c r="Z104" s="163"/>
    </row>
    <row r="105" ht="14.25" customHeight="1">
      <c r="A105" s="164" t="s">
        <v>2075</v>
      </c>
      <c r="B105" s="108"/>
      <c r="C105" s="165" t="s">
        <v>2119</v>
      </c>
      <c r="D105" s="165" t="s">
        <v>271</v>
      </c>
      <c r="E105" s="165" t="s">
        <v>2112</v>
      </c>
      <c r="F105" s="165" t="s">
        <v>2120</v>
      </c>
      <c r="G105" s="165" t="s">
        <v>2097</v>
      </c>
      <c r="H105" s="164" t="s">
        <v>36</v>
      </c>
      <c r="I105" s="163"/>
      <c r="J105" s="164" t="s">
        <v>1784</v>
      </c>
      <c r="K105" s="163"/>
      <c r="L105" s="163"/>
      <c r="M105" s="163"/>
      <c r="N105" s="163"/>
      <c r="O105" s="163"/>
      <c r="P105" s="163"/>
      <c r="Q105" s="163"/>
      <c r="R105" s="163"/>
      <c r="S105" s="163"/>
      <c r="T105" s="163"/>
      <c r="U105" s="163"/>
      <c r="V105" s="163"/>
      <c r="W105" s="163"/>
      <c r="X105" s="163"/>
      <c r="Y105" s="163"/>
      <c r="Z105" s="163"/>
    </row>
    <row r="106" ht="14.25" customHeight="1">
      <c r="A106" s="164" t="s">
        <v>2075</v>
      </c>
      <c r="B106" s="108"/>
      <c r="C106" s="165" t="s">
        <v>2121</v>
      </c>
      <c r="D106" s="165" t="s">
        <v>271</v>
      </c>
      <c r="E106" s="165" t="s">
        <v>2099</v>
      </c>
      <c r="F106" s="165" t="s">
        <v>2122</v>
      </c>
      <c r="G106" s="165" t="s">
        <v>2123</v>
      </c>
      <c r="H106" s="164" t="s">
        <v>36</v>
      </c>
      <c r="I106" s="163"/>
      <c r="J106" s="164" t="s">
        <v>1784</v>
      </c>
      <c r="K106" s="163"/>
      <c r="L106" s="163"/>
      <c r="M106" s="163"/>
      <c r="N106" s="163"/>
      <c r="O106" s="163"/>
      <c r="P106" s="163"/>
      <c r="Q106" s="163"/>
      <c r="R106" s="163"/>
      <c r="S106" s="163"/>
      <c r="T106" s="163"/>
      <c r="U106" s="163"/>
      <c r="V106" s="163"/>
      <c r="W106" s="163"/>
      <c r="X106" s="163"/>
      <c r="Y106" s="163"/>
      <c r="Z106" s="163"/>
    </row>
    <row r="107" ht="14.25" customHeight="1">
      <c r="A107" s="164" t="s">
        <v>2075</v>
      </c>
      <c r="B107" s="108"/>
      <c r="C107" s="165" t="s">
        <v>2124</v>
      </c>
      <c r="D107" s="165" t="s">
        <v>271</v>
      </c>
      <c r="E107" s="165" t="s">
        <v>2125</v>
      </c>
      <c r="F107" s="165" t="s">
        <v>2126</v>
      </c>
      <c r="G107" s="165" t="s">
        <v>2127</v>
      </c>
      <c r="H107" s="164" t="s">
        <v>36</v>
      </c>
      <c r="I107" s="163"/>
      <c r="J107" s="164" t="s">
        <v>1784</v>
      </c>
      <c r="K107" s="163"/>
      <c r="L107" s="163"/>
      <c r="M107" s="163"/>
      <c r="N107" s="163"/>
      <c r="O107" s="163"/>
      <c r="P107" s="163"/>
      <c r="Q107" s="163"/>
      <c r="R107" s="163"/>
      <c r="S107" s="163"/>
      <c r="T107" s="163"/>
      <c r="U107" s="163"/>
      <c r="V107" s="163"/>
      <c r="W107" s="163"/>
      <c r="X107" s="163"/>
      <c r="Y107" s="163"/>
      <c r="Z107" s="163"/>
    </row>
    <row r="108" ht="14.25" customHeight="1">
      <c r="A108" s="164" t="s">
        <v>2075</v>
      </c>
      <c r="B108" s="108"/>
      <c r="C108" s="165" t="s">
        <v>2128</v>
      </c>
      <c r="D108" s="165" t="s">
        <v>271</v>
      </c>
      <c r="E108" s="165" t="s">
        <v>2129</v>
      </c>
      <c r="F108" s="165" t="s">
        <v>2130</v>
      </c>
      <c r="G108" s="165" t="s">
        <v>2131</v>
      </c>
      <c r="H108" s="164" t="s">
        <v>36</v>
      </c>
      <c r="I108" s="163"/>
      <c r="J108" s="164" t="s">
        <v>1784</v>
      </c>
      <c r="K108" s="163"/>
      <c r="L108" s="163"/>
      <c r="M108" s="163"/>
      <c r="N108" s="163"/>
      <c r="O108" s="163"/>
      <c r="P108" s="163"/>
      <c r="Q108" s="163"/>
      <c r="R108" s="163"/>
      <c r="S108" s="163"/>
      <c r="T108" s="163"/>
      <c r="U108" s="163"/>
      <c r="V108" s="163"/>
      <c r="W108" s="163"/>
      <c r="X108" s="163"/>
      <c r="Y108" s="163"/>
      <c r="Z108" s="163"/>
    </row>
    <row r="109" ht="14.25" customHeight="1">
      <c r="A109" s="164" t="s">
        <v>2075</v>
      </c>
      <c r="B109" s="109"/>
      <c r="C109" s="165" t="s">
        <v>2132</v>
      </c>
      <c r="D109" s="165" t="s">
        <v>271</v>
      </c>
      <c r="E109" s="165" t="s">
        <v>2129</v>
      </c>
      <c r="F109" s="165" t="s">
        <v>2133</v>
      </c>
      <c r="G109" s="165" t="s">
        <v>2134</v>
      </c>
      <c r="H109" s="164" t="s">
        <v>36</v>
      </c>
      <c r="I109" s="163"/>
      <c r="J109" s="164" t="s">
        <v>1784</v>
      </c>
      <c r="K109" s="163"/>
      <c r="L109" s="163"/>
      <c r="M109" s="163"/>
      <c r="N109" s="163"/>
      <c r="O109" s="163"/>
      <c r="P109" s="163"/>
      <c r="Q109" s="163"/>
      <c r="R109" s="163"/>
      <c r="S109" s="163"/>
      <c r="T109" s="163"/>
      <c r="U109" s="163"/>
      <c r="V109" s="163"/>
      <c r="W109" s="163"/>
      <c r="X109" s="163"/>
      <c r="Y109" s="163"/>
      <c r="Z109" s="163"/>
    </row>
    <row r="110" ht="14.25" customHeight="1">
      <c r="A110" s="164" t="s">
        <v>2135</v>
      </c>
      <c r="B110" s="166" t="s">
        <v>2136</v>
      </c>
      <c r="C110" s="165" t="s">
        <v>2137</v>
      </c>
      <c r="D110" s="165" t="s">
        <v>271</v>
      </c>
      <c r="E110" s="165" t="s">
        <v>2138</v>
      </c>
      <c r="F110" s="165" t="s">
        <v>2139</v>
      </c>
      <c r="G110" s="165" t="s">
        <v>2140</v>
      </c>
      <c r="H110" s="164" t="s">
        <v>36</v>
      </c>
      <c r="I110" s="163"/>
      <c r="J110" s="164" t="s">
        <v>1784</v>
      </c>
      <c r="K110" s="163"/>
      <c r="L110" s="163"/>
      <c r="M110" s="163"/>
      <c r="N110" s="163"/>
      <c r="O110" s="163"/>
      <c r="P110" s="163"/>
      <c r="Q110" s="163"/>
      <c r="R110" s="163"/>
      <c r="S110" s="163"/>
      <c r="T110" s="163"/>
      <c r="U110" s="163"/>
      <c r="V110" s="163"/>
      <c r="W110" s="163"/>
      <c r="X110" s="163"/>
      <c r="Y110" s="163"/>
      <c r="Z110" s="163"/>
    </row>
    <row r="111" ht="14.25" customHeight="1">
      <c r="A111" s="164" t="s">
        <v>2135</v>
      </c>
      <c r="B111" s="108"/>
      <c r="C111" s="165" t="s">
        <v>2141</v>
      </c>
      <c r="D111" s="165" t="s">
        <v>271</v>
      </c>
      <c r="E111" s="165" t="s">
        <v>2142</v>
      </c>
      <c r="F111" s="165" t="s">
        <v>2143</v>
      </c>
      <c r="G111" s="165" t="s">
        <v>2144</v>
      </c>
      <c r="H111" s="164" t="s">
        <v>36</v>
      </c>
      <c r="I111" s="163"/>
      <c r="J111" s="164" t="s">
        <v>1784</v>
      </c>
      <c r="K111" s="163"/>
      <c r="L111" s="163"/>
      <c r="M111" s="163"/>
      <c r="N111" s="163"/>
      <c r="O111" s="163"/>
      <c r="P111" s="163"/>
      <c r="Q111" s="163"/>
      <c r="R111" s="163"/>
      <c r="S111" s="163"/>
      <c r="T111" s="163"/>
      <c r="U111" s="163"/>
      <c r="V111" s="163"/>
      <c r="W111" s="163"/>
      <c r="X111" s="163"/>
      <c r="Y111" s="163"/>
      <c r="Z111" s="163"/>
    </row>
    <row r="112" ht="14.25" customHeight="1">
      <c r="A112" s="164" t="s">
        <v>2135</v>
      </c>
      <c r="B112" s="108"/>
      <c r="C112" s="165" t="s">
        <v>2145</v>
      </c>
      <c r="D112" s="165" t="s">
        <v>271</v>
      </c>
      <c r="E112" s="165" t="s">
        <v>2142</v>
      </c>
      <c r="F112" s="165" t="s">
        <v>2146</v>
      </c>
      <c r="G112" s="165" t="s">
        <v>2147</v>
      </c>
      <c r="H112" s="164" t="s">
        <v>36</v>
      </c>
      <c r="I112" s="163"/>
      <c r="J112" s="164" t="s">
        <v>1784</v>
      </c>
      <c r="K112" s="163"/>
      <c r="L112" s="163"/>
      <c r="M112" s="163"/>
      <c r="N112" s="163"/>
      <c r="O112" s="163"/>
      <c r="P112" s="163"/>
      <c r="Q112" s="163"/>
      <c r="R112" s="163"/>
      <c r="S112" s="163"/>
      <c r="T112" s="163"/>
      <c r="U112" s="163"/>
      <c r="V112" s="163"/>
      <c r="W112" s="163"/>
      <c r="X112" s="163"/>
      <c r="Y112" s="163"/>
      <c r="Z112" s="163"/>
    </row>
    <row r="113" ht="14.25" customHeight="1">
      <c r="A113" s="164" t="s">
        <v>2135</v>
      </c>
      <c r="B113" s="108"/>
      <c r="C113" s="165" t="s">
        <v>2148</v>
      </c>
      <c r="D113" s="165" t="s">
        <v>271</v>
      </c>
      <c r="E113" s="165" t="s">
        <v>2149</v>
      </c>
      <c r="F113" s="165" t="s">
        <v>2150</v>
      </c>
      <c r="G113" s="165" t="s">
        <v>2151</v>
      </c>
      <c r="H113" s="164" t="s">
        <v>36</v>
      </c>
      <c r="I113" s="163"/>
      <c r="J113" s="164" t="s">
        <v>2152</v>
      </c>
      <c r="K113" s="163"/>
      <c r="L113" s="163"/>
      <c r="M113" s="163"/>
      <c r="N113" s="163"/>
      <c r="O113" s="163"/>
      <c r="P113" s="163"/>
      <c r="Q113" s="163"/>
      <c r="R113" s="163"/>
      <c r="S113" s="163"/>
      <c r="T113" s="163"/>
      <c r="U113" s="163"/>
      <c r="V113" s="163"/>
      <c r="W113" s="163"/>
      <c r="X113" s="163"/>
      <c r="Y113" s="163"/>
      <c r="Z113" s="163"/>
    </row>
    <row r="114" ht="14.25" customHeight="1">
      <c r="A114" s="164" t="s">
        <v>2135</v>
      </c>
      <c r="B114" s="109"/>
      <c r="C114" s="165" t="s">
        <v>2153</v>
      </c>
      <c r="D114" s="165" t="s">
        <v>271</v>
      </c>
      <c r="E114" s="165" t="s">
        <v>2154</v>
      </c>
      <c r="F114" s="165" t="s">
        <v>2155</v>
      </c>
      <c r="G114" s="165" t="s">
        <v>2156</v>
      </c>
      <c r="H114" s="164" t="s">
        <v>36</v>
      </c>
      <c r="I114" s="163"/>
      <c r="J114" s="164" t="s">
        <v>1784</v>
      </c>
      <c r="K114" s="163"/>
      <c r="L114" s="163"/>
      <c r="M114" s="163"/>
      <c r="N114" s="163"/>
      <c r="O114" s="163"/>
      <c r="P114" s="163"/>
      <c r="Q114" s="163"/>
      <c r="R114" s="163"/>
      <c r="S114" s="163"/>
      <c r="T114" s="163"/>
      <c r="U114" s="163"/>
      <c r="V114" s="163"/>
      <c r="W114" s="163"/>
      <c r="X114" s="163"/>
      <c r="Y114" s="163"/>
      <c r="Z114" s="163"/>
    </row>
    <row r="115" ht="14.25" customHeight="1">
      <c r="A115" s="163"/>
      <c r="B115" s="163"/>
      <c r="C115" s="147" t="s">
        <v>2157</v>
      </c>
      <c r="D115" s="147" t="s">
        <v>1775</v>
      </c>
      <c r="E115" s="165" t="s">
        <v>2158</v>
      </c>
      <c r="F115" s="165" t="s">
        <v>2159</v>
      </c>
      <c r="G115" s="165" t="s">
        <v>2160</v>
      </c>
      <c r="H115" s="165" t="s">
        <v>36</v>
      </c>
      <c r="I115" s="163"/>
      <c r="J115" s="164" t="s">
        <v>1784</v>
      </c>
      <c r="K115" s="163"/>
      <c r="L115" s="163"/>
      <c r="M115" s="163"/>
      <c r="N115" s="163"/>
      <c r="O115" s="163"/>
      <c r="P115" s="163"/>
      <c r="Q115" s="163"/>
      <c r="R115" s="163"/>
      <c r="S115" s="163"/>
      <c r="T115" s="163"/>
      <c r="U115" s="163"/>
      <c r="V115" s="163"/>
      <c r="W115" s="163"/>
      <c r="X115" s="163"/>
      <c r="Y115" s="163"/>
      <c r="Z115" s="163"/>
    </row>
    <row r="116" ht="14.25" customHeight="1">
      <c r="A116" s="163"/>
      <c r="B116" s="163"/>
      <c r="C116" s="147" t="s">
        <v>2161</v>
      </c>
      <c r="D116" s="147" t="s">
        <v>1775</v>
      </c>
      <c r="E116" s="165" t="s">
        <v>2162</v>
      </c>
      <c r="F116" s="165" t="s">
        <v>2163</v>
      </c>
      <c r="G116" s="165" t="s">
        <v>2164</v>
      </c>
      <c r="H116" s="165" t="s">
        <v>36</v>
      </c>
      <c r="I116" s="163"/>
      <c r="J116" s="164" t="s">
        <v>1784</v>
      </c>
      <c r="K116" s="163"/>
      <c r="L116" s="163"/>
      <c r="M116" s="163"/>
      <c r="N116" s="163"/>
      <c r="O116" s="163"/>
      <c r="P116" s="163"/>
      <c r="Q116" s="163"/>
      <c r="R116" s="163"/>
      <c r="S116" s="163"/>
      <c r="T116" s="163"/>
      <c r="U116" s="163"/>
      <c r="V116" s="163"/>
      <c r="W116" s="163"/>
      <c r="X116" s="163"/>
      <c r="Y116" s="163"/>
      <c r="Z116" s="163"/>
    </row>
    <row r="117" ht="14.25" customHeight="1">
      <c r="A117" s="163"/>
      <c r="B117" s="163"/>
      <c r="C117" s="147" t="s">
        <v>2165</v>
      </c>
      <c r="D117" s="147" t="s">
        <v>1775</v>
      </c>
      <c r="E117" s="165" t="s">
        <v>2166</v>
      </c>
      <c r="F117" s="165" t="s">
        <v>2167</v>
      </c>
      <c r="G117" s="165" t="s">
        <v>2160</v>
      </c>
      <c r="H117" s="165" t="s">
        <v>36</v>
      </c>
      <c r="I117" s="163"/>
      <c r="J117" s="164" t="s">
        <v>1784</v>
      </c>
      <c r="K117" s="163"/>
      <c r="L117" s="163"/>
      <c r="M117" s="163"/>
      <c r="N117" s="163"/>
      <c r="O117" s="163"/>
      <c r="P117" s="163"/>
      <c r="Q117" s="163"/>
      <c r="R117" s="163"/>
      <c r="S117" s="163"/>
      <c r="T117" s="163"/>
      <c r="U117" s="163"/>
      <c r="V117" s="163"/>
      <c r="W117" s="163"/>
      <c r="X117" s="163"/>
      <c r="Y117" s="163"/>
      <c r="Z117" s="163"/>
    </row>
    <row r="118" ht="14.25" customHeight="1">
      <c r="A118" s="163"/>
      <c r="B118" s="163"/>
      <c r="C118" s="147" t="s">
        <v>2168</v>
      </c>
      <c r="D118" s="147" t="s">
        <v>1775</v>
      </c>
      <c r="E118" s="165" t="s">
        <v>2169</v>
      </c>
      <c r="F118" s="165" t="s">
        <v>2170</v>
      </c>
      <c r="G118" s="165" t="s">
        <v>2171</v>
      </c>
      <c r="H118" s="165" t="s">
        <v>36</v>
      </c>
      <c r="I118" s="163"/>
      <c r="J118" s="164" t="s">
        <v>1784</v>
      </c>
      <c r="K118" s="163"/>
      <c r="L118" s="163"/>
      <c r="M118" s="163"/>
      <c r="N118" s="163"/>
      <c r="O118" s="163"/>
      <c r="P118" s="163"/>
      <c r="Q118" s="163"/>
      <c r="R118" s="163"/>
      <c r="S118" s="163"/>
      <c r="T118" s="163"/>
      <c r="U118" s="163"/>
      <c r="V118" s="163"/>
      <c r="W118" s="163"/>
      <c r="X118" s="163"/>
      <c r="Y118" s="163"/>
      <c r="Z118" s="163"/>
    </row>
    <row r="119" ht="14.25" customHeight="1">
      <c r="A119" s="163"/>
      <c r="B119" s="163"/>
      <c r="C119" s="147" t="s">
        <v>2172</v>
      </c>
      <c r="D119" s="147" t="s">
        <v>1775</v>
      </c>
      <c r="E119" s="165" t="s">
        <v>2173</v>
      </c>
      <c r="F119" s="165" t="s">
        <v>2174</v>
      </c>
      <c r="G119" s="165" t="s">
        <v>2175</v>
      </c>
      <c r="H119" s="165" t="s">
        <v>36</v>
      </c>
      <c r="I119" s="163"/>
      <c r="J119" s="164" t="s">
        <v>1784</v>
      </c>
      <c r="K119" s="163"/>
      <c r="L119" s="163"/>
      <c r="M119" s="163"/>
      <c r="N119" s="163"/>
      <c r="O119" s="163"/>
      <c r="P119" s="163"/>
      <c r="Q119" s="163"/>
      <c r="R119" s="163"/>
      <c r="S119" s="163"/>
      <c r="T119" s="163"/>
      <c r="U119" s="163"/>
      <c r="V119" s="163"/>
      <c r="W119" s="163"/>
      <c r="X119" s="163"/>
      <c r="Y119" s="163"/>
      <c r="Z119" s="163"/>
    </row>
    <row r="120" ht="14.25" customHeight="1">
      <c r="A120" s="163"/>
      <c r="B120" s="163"/>
      <c r="C120" s="147" t="s">
        <v>2176</v>
      </c>
      <c r="D120" s="147" t="s">
        <v>1775</v>
      </c>
      <c r="E120" s="165" t="s">
        <v>2177</v>
      </c>
      <c r="F120" s="165" t="s">
        <v>2178</v>
      </c>
      <c r="G120" s="165" t="s">
        <v>2179</v>
      </c>
      <c r="H120" s="165" t="s">
        <v>36</v>
      </c>
      <c r="I120" s="163"/>
      <c r="J120" s="164" t="s">
        <v>1784</v>
      </c>
      <c r="K120" s="163"/>
      <c r="L120" s="163"/>
      <c r="M120" s="163"/>
      <c r="N120" s="163"/>
      <c r="O120" s="163"/>
      <c r="P120" s="163"/>
      <c r="Q120" s="163"/>
      <c r="R120" s="163"/>
      <c r="S120" s="163"/>
      <c r="T120" s="163"/>
      <c r="U120" s="163"/>
      <c r="V120" s="163"/>
      <c r="W120" s="163"/>
      <c r="X120" s="163"/>
      <c r="Y120" s="163"/>
      <c r="Z120" s="163"/>
    </row>
    <row r="121" ht="14.25" customHeight="1">
      <c r="A121" s="163"/>
      <c r="B121" s="163"/>
      <c r="C121" s="147" t="s">
        <v>2180</v>
      </c>
      <c r="D121" s="147" t="s">
        <v>1775</v>
      </c>
      <c r="E121" s="165" t="s">
        <v>2181</v>
      </c>
      <c r="F121" s="165" t="s">
        <v>2182</v>
      </c>
      <c r="G121" s="165" t="s">
        <v>2183</v>
      </c>
      <c r="H121" s="165" t="s">
        <v>36</v>
      </c>
      <c r="I121" s="163"/>
      <c r="J121" s="164" t="s">
        <v>1784</v>
      </c>
      <c r="K121" s="163"/>
      <c r="L121" s="163"/>
      <c r="M121" s="163"/>
      <c r="N121" s="163"/>
      <c r="O121" s="163"/>
      <c r="P121" s="163"/>
      <c r="Q121" s="163"/>
      <c r="R121" s="163"/>
      <c r="S121" s="163"/>
      <c r="T121" s="163"/>
      <c r="U121" s="163"/>
      <c r="V121" s="163"/>
      <c r="W121" s="163"/>
      <c r="X121" s="163"/>
      <c r="Y121" s="163"/>
      <c r="Z121" s="163"/>
    </row>
    <row r="122" ht="14.25" customHeight="1">
      <c r="A122" s="163"/>
      <c r="B122" s="163"/>
      <c r="C122" s="147" t="s">
        <v>2184</v>
      </c>
      <c r="D122" s="147" t="s">
        <v>1775</v>
      </c>
      <c r="E122" s="165" t="s">
        <v>2185</v>
      </c>
      <c r="F122" s="165" t="s">
        <v>2186</v>
      </c>
      <c r="G122" s="165" t="s">
        <v>2187</v>
      </c>
      <c r="H122" s="165" t="s">
        <v>317</v>
      </c>
      <c r="I122" s="163"/>
      <c r="J122" s="164" t="s">
        <v>1784</v>
      </c>
      <c r="K122" s="163"/>
      <c r="L122" s="163"/>
      <c r="M122" s="163"/>
      <c r="N122" s="163"/>
      <c r="O122" s="163"/>
      <c r="P122" s="163"/>
      <c r="Q122" s="163"/>
      <c r="R122" s="163"/>
      <c r="S122" s="163"/>
      <c r="T122" s="163"/>
      <c r="U122" s="163"/>
      <c r="V122" s="163"/>
      <c r="W122" s="163"/>
      <c r="X122" s="163"/>
      <c r="Y122" s="163"/>
      <c r="Z122" s="163"/>
    </row>
    <row r="123" ht="14.25" customHeight="1">
      <c r="A123" s="163"/>
      <c r="B123" s="163"/>
      <c r="C123" s="147" t="s">
        <v>2188</v>
      </c>
      <c r="D123" s="147" t="s">
        <v>1775</v>
      </c>
      <c r="E123" s="165" t="s">
        <v>2185</v>
      </c>
      <c r="F123" s="165" t="s">
        <v>2189</v>
      </c>
      <c r="G123" s="165" t="s">
        <v>2190</v>
      </c>
      <c r="H123" s="165" t="s">
        <v>36</v>
      </c>
      <c r="I123" s="163"/>
      <c r="J123" s="164" t="s">
        <v>1784</v>
      </c>
      <c r="K123" s="163"/>
      <c r="L123" s="163"/>
      <c r="M123" s="163"/>
      <c r="N123" s="163"/>
      <c r="O123" s="163"/>
      <c r="P123" s="163"/>
      <c r="Q123" s="163"/>
      <c r="R123" s="163"/>
      <c r="S123" s="163"/>
      <c r="T123" s="163"/>
      <c r="U123" s="163"/>
      <c r="V123" s="163"/>
      <c r="W123" s="163"/>
      <c r="X123" s="163"/>
      <c r="Y123" s="163"/>
      <c r="Z123" s="163"/>
    </row>
    <row r="124" ht="14.25" customHeight="1">
      <c r="A124" s="163"/>
      <c r="B124" s="163"/>
      <c r="C124" s="147" t="s">
        <v>2191</v>
      </c>
      <c r="D124" s="147" t="s">
        <v>1775</v>
      </c>
      <c r="E124" s="165" t="s">
        <v>2192</v>
      </c>
      <c r="F124" s="165" t="s">
        <v>2193</v>
      </c>
      <c r="G124" s="165" t="s">
        <v>2194</v>
      </c>
      <c r="H124" s="165" t="s">
        <v>36</v>
      </c>
      <c r="I124" s="163"/>
      <c r="J124" s="164" t="s">
        <v>1784</v>
      </c>
      <c r="K124" s="163"/>
      <c r="L124" s="163"/>
      <c r="M124" s="163"/>
      <c r="N124" s="163"/>
      <c r="O124" s="163"/>
      <c r="P124" s="163"/>
      <c r="Q124" s="163"/>
      <c r="R124" s="163"/>
      <c r="S124" s="163"/>
      <c r="T124" s="163"/>
      <c r="U124" s="163"/>
      <c r="V124" s="163"/>
      <c r="W124" s="163"/>
      <c r="X124" s="163"/>
      <c r="Y124" s="163"/>
      <c r="Z124" s="163"/>
    </row>
    <row r="125" ht="14.25" customHeight="1">
      <c r="A125" s="163"/>
      <c r="B125" s="163"/>
      <c r="C125" s="147" t="s">
        <v>2195</v>
      </c>
      <c r="D125" s="147" t="s">
        <v>1775</v>
      </c>
      <c r="E125" s="165" t="s">
        <v>2192</v>
      </c>
      <c r="F125" s="165" t="s">
        <v>2196</v>
      </c>
      <c r="G125" s="165" t="s">
        <v>2197</v>
      </c>
      <c r="H125" s="165" t="s">
        <v>36</v>
      </c>
      <c r="I125" s="163"/>
      <c r="J125" s="164" t="s">
        <v>1784</v>
      </c>
      <c r="K125" s="163"/>
      <c r="L125" s="163"/>
      <c r="M125" s="163"/>
      <c r="N125" s="163"/>
      <c r="O125" s="163"/>
      <c r="P125" s="163"/>
      <c r="Q125" s="163"/>
      <c r="R125" s="163"/>
      <c r="S125" s="163"/>
      <c r="T125" s="163"/>
      <c r="U125" s="163"/>
      <c r="V125" s="163"/>
      <c r="W125" s="163"/>
      <c r="X125" s="163"/>
      <c r="Y125" s="163"/>
      <c r="Z125" s="163"/>
    </row>
    <row r="126" ht="14.25" customHeight="1">
      <c r="A126" s="163"/>
      <c r="B126" s="163"/>
      <c r="C126" s="147" t="s">
        <v>2198</v>
      </c>
      <c r="D126" s="147" t="s">
        <v>1775</v>
      </c>
      <c r="E126" s="165" t="s">
        <v>2199</v>
      </c>
      <c r="F126" s="165" t="s">
        <v>2200</v>
      </c>
      <c r="G126" s="165" t="s">
        <v>2201</v>
      </c>
      <c r="H126" s="165" t="s">
        <v>36</v>
      </c>
      <c r="I126" s="163"/>
      <c r="J126" s="164" t="s">
        <v>1784</v>
      </c>
      <c r="K126" s="163"/>
      <c r="L126" s="163"/>
      <c r="M126" s="163"/>
      <c r="N126" s="163"/>
      <c r="O126" s="163"/>
      <c r="P126" s="163"/>
      <c r="Q126" s="163"/>
      <c r="R126" s="163"/>
      <c r="S126" s="163"/>
      <c r="T126" s="163"/>
      <c r="U126" s="163"/>
      <c r="V126" s="163"/>
      <c r="W126" s="163"/>
      <c r="X126" s="163"/>
      <c r="Y126" s="163"/>
      <c r="Z126" s="163"/>
    </row>
    <row r="127" ht="14.25" customHeight="1">
      <c r="A127" s="163"/>
      <c r="B127" s="163"/>
      <c r="C127" s="147" t="s">
        <v>2202</v>
      </c>
      <c r="D127" s="147" t="s">
        <v>1775</v>
      </c>
      <c r="E127" s="165" t="s">
        <v>2203</v>
      </c>
      <c r="F127" s="165" t="s">
        <v>2204</v>
      </c>
      <c r="G127" s="165" t="s">
        <v>2205</v>
      </c>
      <c r="H127" s="165" t="s">
        <v>36</v>
      </c>
      <c r="I127" s="163"/>
      <c r="J127" s="164" t="s">
        <v>1784</v>
      </c>
      <c r="K127" s="163"/>
      <c r="L127" s="163"/>
      <c r="M127" s="163"/>
      <c r="N127" s="163"/>
      <c r="O127" s="163"/>
      <c r="P127" s="163"/>
      <c r="Q127" s="163"/>
      <c r="R127" s="163"/>
      <c r="S127" s="163"/>
      <c r="T127" s="163"/>
      <c r="U127" s="163"/>
      <c r="V127" s="163"/>
      <c r="W127" s="163"/>
      <c r="X127" s="163"/>
      <c r="Y127" s="163"/>
      <c r="Z127" s="163"/>
    </row>
    <row r="128" ht="14.25" customHeight="1">
      <c r="A128" s="171" t="s">
        <v>2206</v>
      </c>
      <c r="B128" s="163"/>
      <c r="C128" s="147" t="s">
        <v>2207</v>
      </c>
      <c r="D128" s="147" t="s">
        <v>1775</v>
      </c>
      <c r="E128" s="165" t="s">
        <v>2208</v>
      </c>
      <c r="F128" s="165" t="s">
        <v>2209</v>
      </c>
      <c r="G128" s="165" t="s">
        <v>2210</v>
      </c>
      <c r="H128" s="165" t="s">
        <v>36</v>
      </c>
      <c r="I128" s="163"/>
      <c r="J128" s="164" t="s">
        <v>1784</v>
      </c>
      <c r="K128" s="163"/>
      <c r="L128" s="163"/>
      <c r="M128" s="163"/>
      <c r="N128" s="163"/>
      <c r="O128" s="163"/>
      <c r="P128" s="163"/>
      <c r="Q128" s="163"/>
      <c r="R128" s="163"/>
      <c r="S128" s="163"/>
      <c r="T128" s="163"/>
      <c r="U128" s="163"/>
      <c r="V128" s="163"/>
      <c r="W128" s="163"/>
      <c r="X128" s="163"/>
      <c r="Y128" s="163"/>
      <c r="Z128" s="163"/>
    </row>
    <row r="129" ht="14.25" customHeight="1">
      <c r="A129" s="163"/>
      <c r="B129" s="163"/>
      <c r="C129" s="147" t="s">
        <v>2211</v>
      </c>
      <c r="D129" s="147" t="s">
        <v>1775</v>
      </c>
      <c r="E129" s="165" t="s">
        <v>2212</v>
      </c>
      <c r="F129" s="165" t="s">
        <v>2213</v>
      </c>
      <c r="G129" s="165" t="s">
        <v>2214</v>
      </c>
      <c r="H129" s="165" t="s">
        <v>36</v>
      </c>
      <c r="I129" s="163"/>
      <c r="J129" s="164" t="s">
        <v>2034</v>
      </c>
      <c r="K129" s="163"/>
      <c r="L129" s="163"/>
      <c r="M129" s="163"/>
      <c r="N129" s="163"/>
      <c r="O129" s="163"/>
      <c r="P129" s="163"/>
      <c r="Q129" s="163"/>
      <c r="R129" s="163"/>
      <c r="S129" s="163"/>
      <c r="T129" s="163"/>
      <c r="U129" s="163"/>
      <c r="V129" s="163"/>
      <c r="W129" s="163"/>
      <c r="X129" s="163"/>
      <c r="Y129" s="163"/>
      <c r="Z129" s="163"/>
    </row>
    <row r="130" ht="14.25" customHeight="1">
      <c r="A130" s="163"/>
      <c r="B130" s="163"/>
      <c r="C130" s="147" t="s">
        <v>2215</v>
      </c>
      <c r="D130" s="147" t="s">
        <v>1775</v>
      </c>
      <c r="E130" s="165" t="s">
        <v>2039</v>
      </c>
      <c r="F130" s="165" t="s">
        <v>2216</v>
      </c>
      <c r="G130" s="165" t="s">
        <v>2041</v>
      </c>
      <c r="H130" s="165" t="s">
        <v>36</v>
      </c>
      <c r="I130" s="163"/>
      <c r="J130" s="164" t="s">
        <v>2034</v>
      </c>
      <c r="K130" s="163"/>
      <c r="L130" s="163"/>
      <c r="M130" s="163"/>
      <c r="N130" s="163"/>
      <c r="O130" s="163"/>
      <c r="P130" s="163"/>
      <c r="Q130" s="163"/>
      <c r="R130" s="163"/>
      <c r="S130" s="163"/>
      <c r="T130" s="163"/>
      <c r="U130" s="163"/>
      <c r="V130" s="163"/>
      <c r="W130" s="163"/>
      <c r="X130" s="163"/>
      <c r="Y130" s="163"/>
      <c r="Z130" s="163"/>
    </row>
    <row r="131" ht="14.25" customHeight="1">
      <c r="A131" s="163"/>
      <c r="B131" s="163"/>
      <c r="C131" s="147" t="s">
        <v>2217</v>
      </c>
      <c r="D131" s="147" t="s">
        <v>1775</v>
      </c>
      <c r="E131" s="165" t="s">
        <v>2043</v>
      </c>
      <c r="F131" s="165" t="s">
        <v>2218</v>
      </c>
      <c r="G131" s="165" t="s">
        <v>2219</v>
      </c>
      <c r="H131" s="165" t="s">
        <v>36</v>
      </c>
      <c r="I131" s="163"/>
      <c r="J131" s="164" t="s">
        <v>2034</v>
      </c>
      <c r="K131" s="163"/>
      <c r="L131" s="163"/>
      <c r="M131" s="163"/>
      <c r="N131" s="163"/>
      <c r="O131" s="163"/>
      <c r="P131" s="163"/>
      <c r="Q131" s="163"/>
      <c r="R131" s="163"/>
      <c r="S131" s="163"/>
      <c r="T131" s="163"/>
      <c r="U131" s="163"/>
      <c r="V131" s="163"/>
      <c r="W131" s="163"/>
      <c r="X131" s="163"/>
      <c r="Y131" s="163"/>
      <c r="Z131" s="163"/>
    </row>
    <row r="132" ht="14.25" customHeight="1">
      <c r="A132" s="163"/>
      <c r="B132" s="163"/>
      <c r="C132" s="147" t="s">
        <v>2220</v>
      </c>
      <c r="D132" s="147" t="s">
        <v>1775</v>
      </c>
      <c r="E132" s="165" t="s">
        <v>2221</v>
      </c>
      <c r="F132" s="165" t="s">
        <v>2222</v>
      </c>
      <c r="G132" s="165" t="s">
        <v>2049</v>
      </c>
      <c r="H132" s="165" t="s">
        <v>36</v>
      </c>
      <c r="I132" s="163"/>
      <c r="J132" s="164" t="s">
        <v>2034</v>
      </c>
      <c r="K132" s="163"/>
      <c r="L132" s="163"/>
      <c r="M132" s="163"/>
      <c r="N132" s="163"/>
      <c r="O132" s="163"/>
      <c r="P132" s="163"/>
      <c r="Q132" s="163"/>
      <c r="R132" s="163"/>
      <c r="S132" s="163"/>
      <c r="T132" s="163"/>
      <c r="U132" s="163"/>
      <c r="V132" s="163"/>
      <c r="W132" s="163"/>
      <c r="X132" s="163"/>
      <c r="Y132" s="163"/>
      <c r="Z132" s="163"/>
    </row>
    <row r="133" ht="14.25" customHeight="1">
      <c r="A133" s="163"/>
      <c r="B133" s="163"/>
      <c r="C133" s="147" t="s">
        <v>2223</v>
      </c>
      <c r="D133" s="147" t="s">
        <v>1775</v>
      </c>
      <c r="E133" s="165" t="s">
        <v>2224</v>
      </c>
      <c r="F133" s="165" t="s">
        <v>2225</v>
      </c>
      <c r="G133" s="165" t="s">
        <v>2226</v>
      </c>
      <c r="H133" s="165" t="s">
        <v>36</v>
      </c>
      <c r="I133" s="163"/>
      <c r="J133" s="164" t="s">
        <v>2034</v>
      </c>
      <c r="K133" s="163"/>
      <c r="L133" s="163"/>
      <c r="M133" s="163"/>
      <c r="N133" s="163"/>
      <c r="O133" s="163"/>
      <c r="P133" s="163"/>
      <c r="Q133" s="163"/>
      <c r="R133" s="163"/>
      <c r="S133" s="163"/>
      <c r="T133" s="163"/>
      <c r="U133" s="163"/>
      <c r="V133" s="163"/>
      <c r="W133" s="163"/>
      <c r="X133" s="163"/>
      <c r="Y133" s="163"/>
      <c r="Z133" s="163"/>
    </row>
    <row r="134" ht="14.25" customHeight="1">
      <c r="A134" s="163"/>
      <c r="B134" s="163"/>
      <c r="C134" s="147" t="s">
        <v>2227</v>
      </c>
      <c r="D134" s="147" t="s">
        <v>1775</v>
      </c>
      <c r="E134" s="165" t="s">
        <v>2228</v>
      </c>
      <c r="F134" s="165" t="s">
        <v>2229</v>
      </c>
      <c r="G134" s="165" t="s">
        <v>2230</v>
      </c>
      <c r="H134" s="165" t="s">
        <v>36</v>
      </c>
      <c r="I134" s="163"/>
      <c r="J134" s="164" t="s">
        <v>2034</v>
      </c>
      <c r="K134" s="163"/>
      <c r="L134" s="163"/>
      <c r="M134" s="163"/>
      <c r="N134" s="163"/>
      <c r="O134" s="163"/>
      <c r="P134" s="163"/>
      <c r="Q134" s="163"/>
      <c r="R134" s="163"/>
      <c r="S134" s="163"/>
      <c r="T134" s="163"/>
      <c r="U134" s="163"/>
      <c r="V134" s="163"/>
      <c r="W134" s="163"/>
      <c r="X134" s="163"/>
      <c r="Y134" s="163"/>
      <c r="Z134" s="163"/>
    </row>
    <row r="135" ht="14.25" customHeight="1">
      <c r="A135" s="165" t="s">
        <v>2231</v>
      </c>
      <c r="B135" s="166" t="s">
        <v>2232</v>
      </c>
      <c r="C135" s="165" t="s">
        <v>2233</v>
      </c>
      <c r="D135" s="164" t="s">
        <v>271</v>
      </c>
      <c r="E135" s="165" t="s">
        <v>2234</v>
      </c>
      <c r="F135" s="165" t="s">
        <v>2235</v>
      </c>
      <c r="G135" s="165" t="s">
        <v>2236</v>
      </c>
      <c r="H135" s="164" t="s">
        <v>36</v>
      </c>
      <c r="I135" s="163"/>
      <c r="J135" s="164" t="s">
        <v>1784</v>
      </c>
      <c r="K135" s="163"/>
      <c r="L135" s="163"/>
      <c r="M135" s="163"/>
      <c r="N135" s="163"/>
      <c r="O135" s="163"/>
      <c r="P135" s="163"/>
      <c r="Q135" s="163"/>
      <c r="R135" s="163"/>
      <c r="S135" s="163"/>
      <c r="T135" s="163"/>
      <c r="U135" s="163"/>
      <c r="V135" s="163"/>
      <c r="W135" s="163"/>
      <c r="X135" s="163"/>
      <c r="Y135" s="163"/>
      <c r="Z135" s="163"/>
    </row>
    <row r="136" ht="14.25" customHeight="1">
      <c r="A136" s="165" t="s">
        <v>2231</v>
      </c>
      <c r="B136" s="108"/>
      <c r="C136" s="165" t="s">
        <v>2237</v>
      </c>
      <c r="D136" s="164" t="s">
        <v>271</v>
      </c>
      <c r="E136" s="165" t="s">
        <v>2238</v>
      </c>
      <c r="F136" s="165" t="s">
        <v>2239</v>
      </c>
      <c r="G136" s="165" t="s">
        <v>2240</v>
      </c>
      <c r="H136" s="164" t="s">
        <v>36</v>
      </c>
      <c r="I136" s="163"/>
      <c r="J136" s="164" t="s">
        <v>1784</v>
      </c>
      <c r="K136" s="163"/>
      <c r="L136" s="163"/>
      <c r="M136" s="163"/>
      <c r="N136" s="163"/>
      <c r="O136" s="163"/>
      <c r="P136" s="163"/>
      <c r="Q136" s="163"/>
      <c r="R136" s="163"/>
      <c r="S136" s="163"/>
      <c r="T136" s="163"/>
      <c r="U136" s="163"/>
      <c r="V136" s="163"/>
      <c r="W136" s="163"/>
      <c r="X136" s="163"/>
      <c r="Y136" s="163"/>
      <c r="Z136" s="163"/>
    </row>
    <row r="137" ht="14.25" customHeight="1">
      <c r="A137" s="165" t="s">
        <v>2231</v>
      </c>
      <c r="B137" s="108"/>
      <c r="C137" s="165" t="s">
        <v>2241</v>
      </c>
      <c r="D137" s="164" t="s">
        <v>271</v>
      </c>
      <c r="E137" s="165" t="s">
        <v>2242</v>
      </c>
      <c r="F137" s="165" t="s">
        <v>2243</v>
      </c>
      <c r="G137" s="165" t="s">
        <v>2244</v>
      </c>
      <c r="H137" s="164" t="s">
        <v>36</v>
      </c>
      <c r="I137" s="163"/>
      <c r="J137" s="164" t="s">
        <v>1784</v>
      </c>
      <c r="K137" s="163"/>
      <c r="L137" s="163"/>
      <c r="M137" s="163"/>
      <c r="N137" s="163"/>
      <c r="O137" s="163"/>
      <c r="P137" s="163"/>
      <c r="Q137" s="163"/>
      <c r="R137" s="163"/>
      <c r="S137" s="163"/>
      <c r="T137" s="163"/>
      <c r="U137" s="163"/>
      <c r="V137" s="163"/>
      <c r="W137" s="163"/>
      <c r="X137" s="163"/>
      <c r="Y137" s="163"/>
      <c r="Z137" s="163"/>
    </row>
    <row r="138" ht="14.25" customHeight="1">
      <c r="A138" s="165" t="s">
        <v>2231</v>
      </c>
      <c r="B138" s="108"/>
      <c r="C138" s="165" t="s">
        <v>2245</v>
      </c>
      <c r="D138" s="164" t="s">
        <v>271</v>
      </c>
      <c r="E138" s="165" t="s">
        <v>2246</v>
      </c>
      <c r="F138" s="165" t="s">
        <v>2247</v>
      </c>
      <c r="G138" s="165" t="s">
        <v>2248</v>
      </c>
      <c r="H138" s="164" t="s">
        <v>36</v>
      </c>
      <c r="I138" s="163"/>
      <c r="J138" s="164" t="s">
        <v>1784</v>
      </c>
      <c r="K138" s="163"/>
      <c r="L138" s="163"/>
      <c r="M138" s="163"/>
      <c r="N138" s="163"/>
      <c r="O138" s="163"/>
      <c r="P138" s="163"/>
      <c r="Q138" s="163"/>
      <c r="R138" s="163"/>
      <c r="S138" s="163"/>
      <c r="T138" s="163"/>
      <c r="U138" s="163"/>
      <c r="V138" s="163"/>
      <c r="W138" s="163"/>
      <c r="X138" s="163"/>
      <c r="Y138" s="163"/>
      <c r="Z138" s="163"/>
    </row>
    <row r="139" ht="14.25" customHeight="1">
      <c r="A139" s="165" t="s">
        <v>2231</v>
      </c>
      <c r="B139" s="108"/>
      <c r="C139" s="165" t="s">
        <v>2249</v>
      </c>
      <c r="D139" s="164" t="s">
        <v>271</v>
      </c>
      <c r="E139" s="165" t="s">
        <v>2250</v>
      </c>
      <c r="F139" s="165" t="s">
        <v>2251</v>
      </c>
      <c r="G139" s="165" t="s">
        <v>2252</v>
      </c>
      <c r="H139" s="164" t="s">
        <v>36</v>
      </c>
      <c r="I139" s="163"/>
      <c r="J139" s="164" t="s">
        <v>1784</v>
      </c>
      <c r="K139" s="163"/>
      <c r="L139" s="163"/>
      <c r="M139" s="163"/>
      <c r="N139" s="163"/>
      <c r="O139" s="163"/>
      <c r="P139" s="163"/>
      <c r="Q139" s="163"/>
      <c r="R139" s="163"/>
      <c r="S139" s="163"/>
      <c r="T139" s="163"/>
      <c r="U139" s="163"/>
      <c r="V139" s="163"/>
      <c r="W139" s="163"/>
      <c r="X139" s="163"/>
      <c r="Y139" s="163"/>
      <c r="Z139" s="163"/>
    </row>
    <row r="140" ht="14.25" customHeight="1">
      <c r="A140" s="165" t="s">
        <v>2231</v>
      </c>
      <c r="B140" s="108"/>
      <c r="C140" s="165" t="s">
        <v>2253</v>
      </c>
      <c r="D140" s="164" t="s">
        <v>271</v>
      </c>
      <c r="E140" s="165" t="s">
        <v>2254</v>
      </c>
      <c r="F140" s="165" t="s">
        <v>2255</v>
      </c>
      <c r="G140" s="165" t="s">
        <v>2256</v>
      </c>
      <c r="H140" s="164" t="s">
        <v>36</v>
      </c>
      <c r="I140" s="163"/>
      <c r="J140" s="164" t="s">
        <v>1784</v>
      </c>
      <c r="K140" s="163"/>
      <c r="L140" s="163"/>
      <c r="M140" s="163"/>
      <c r="N140" s="163"/>
      <c r="O140" s="163"/>
      <c r="P140" s="163"/>
      <c r="Q140" s="163"/>
      <c r="R140" s="163"/>
      <c r="S140" s="163"/>
      <c r="T140" s="163"/>
      <c r="U140" s="163"/>
      <c r="V140" s="163"/>
      <c r="W140" s="163"/>
      <c r="X140" s="163"/>
      <c r="Y140" s="163"/>
      <c r="Z140" s="163"/>
    </row>
    <row r="141" ht="14.25" customHeight="1">
      <c r="A141" s="165" t="s">
        <v>2231</v>
      </c>
      <c r="B141" s="108"/>
      <c r="C141" s="165" t="s">
        <v>2257</v>
      </c>
      <c r="D141" s="164" t="s">
        <v>271</v>
      </c>
      <c r="E141" s="165" t="s">
        <v>2258</v>
      </c>
      <c r="F141" s="165" t="s">
        <v>2259</v>
      </c>
      <c r="G141" s="165" t="s">
        <v>2260</v>
      </c>
      <c r="H141" s="164" t="s">
        <v>36</v>
      </c>
      <c r="I141" s="163"/>
      <c r="J141" s="164" t="s">
        <v>1784</v>
      </c>
      <c r="K141" s="163"/>
      <c r="L141" s="163"/>
      <c r="M141" s="163"/>
      <c r="N141" s="163"/>
      <c r="O141" s="163"/>
      <c r="P141" s="163"/>
      <c r="Q141" s="163"/>
      <c r="R141" s="163"/>
      <c r="S141" s="163"/>
      <c r="T141" s="163"/>
      <c r="U141" s="163"/>
      <c r="V141" s="163"/>
      <c r="W141" s="163"/>
      <c r="X141" s="163"/>
      <c r="Y141" s="163"/>
      <c r="Z141" s="163"/>
    </row>
    <row r="142" ht="14.25" customHeight="1">
      <c r="A142" s="165" t="s">
        <v>2231</v>
      </c>
      <c r="B142" s="108"/>
      <c r="C142" s="165" t="s">
        <v>2261</v>
      </c>
      <c r="D142" s="164" t="s">
        <v>271</v>
      </c>
      <c r="E142" s="165" t="s">
        <v>2262</v>
      </c>
      <c r="F142" s="165" t="s">
        <v>2263</v>
      </c>
      <c r="G142" s="165" t="s">
        <v>2264</v>
      </c>
      <c r="H142" s="164" t="s">
        <v>36</v>
      </c>
      <c r="I142" s="163"/>
      <c r="J142" s="164" t="s">
        <v>1784</v>
      </c>
      <c r="K142" s="163"/>
      <c r="L142" s="163"/>
      <c r="M142" s="163"/>
      <c r="N142" s="163"/>
      <c r="O142" s="163"/>
      <c r="P142" s="163"/>
      <c r="Q142" s="163"/>
      <c r="R142" s="163"/>
      <c r="S142" s="163"/>
      <c r="T142" s="163"/>
      <c r="U142" s="163"/>
      <c r="V142" s="163"/>
      <c r="W142" s="163"/>
      <c r="X142" s="163"/>
      <c r="Y142" s="163"/>
      <c r="Z142" s="163"/>
    </row>
    <row r="143" ht="14.25" customHeight="1">
      <c r="A143" s="165" t="s">
        <v>2231</v>
      </c>
      <c r="B143" s="108"/>
      <c r="C143" s="165" t="s">
        <v>2265</v>
      </c>
      <c r="D143" s="164" t="s">
        <v>271</v>
      </c>
      <c r="E143" s="165" t="s">
        <v>2262</v>
      </c>
      <c r="F143" s="165" t="s">
        <v>2266</v>
      </c>
      <c r="G143" s="165" t="s">
        <v>2267</v>
      </c>
      <c r="H143" s="164" t="s">
        <v>36</v>
      </c>
      <c r="I143" s="163"/>
      <c r="J143" s="164" t="s">
        <v>1784</v>
      </c>
      <c r="K143" s="163"/>
      <c r="L143" s="163"/>
      <c r="M143" s="163"/>
      <c r="N143" s="163"/>
      <c r="O143" s="163"/>
      <c r="P143" s="163"/>
      <c r="Q143" s="163"/>
      <c r="R143" s="163"/>
      <c r="S143" s="163"/>
      <c r="T143" s="163"/>
      <c r="U143" s="163"/>
      <c r="V143" s="163"/>
      <c r="W143" s="163"/>
      <c r="X143" s="163"/>
      <c r="Y143" s="163"/>
      <c r="Z143" s="163"/>
    </row>
    <row r="144" ht="14.25" customHeight="1">
      <c r="A144" s="165" t="s">
        <v>2231</v>
      </c>
      <c r="B144" s="108"/>
      <c r="C144" s="165" t="s">
        <v>2268</v>
      </c>
      <c r="D144" s="164" t="s">
        <v>271</v>
      </c>
      <c r="E144" s="165" t="s">
        <v>2262</v>
      </c>
      <c r="F144" s="165" t="s">
        <v>2269</v>
      </c>
      <c r="G144" s="165" t="s">
        <v>2270</v>
      </c>
      <c r="H144" s="164" t="s">
        <v>36</v>
      </c>
      <c r="I144" s="163"/>
      <c r="J144" s="164" t="s">
        <v>1784</v>
      </c>
      <c r="K144" s="163"/>
      <c r="L144" s="163"/>
      <c r="M144" s="163"/>
      <c r="N144" s="163"/>
      <c r="O144" s="163"/>
      <c r="P144" s="163"/>
      <c r="Q144" s="163"/>
      <c r="R144" s="163"/>
      <c r="S144" s="163"/>
      <c r="T144" s="163"/>
      <c r="U144" s="163"/>
      <c r="V144" s="163"/>
      <c r="W144" s="163"/>
      <c r="X144" s="163"/>
      <c r="Y144" s="163"/>
      <c r="Z144" s="163"/>
    </row>
    <row r="145" ht="14.25" customHeight="1">
      <c r="A145" s="165" t="s">
        <v>2231</v>
      </c>
      <c r="B145" s="108"/>
      <c r="C145" s="165" t="s">
        <v>2271</v>
      </c>
      <c r="D145" s="164" t="s">
        <v>271</v>
      </c>
      <c r="E145" s="165" t="s">
        <v>2262</v>
      </c>
      <c r="F145" s="165" t="s">
        <v>2272</v>
      </c>
      <c r="G145" s="165" t="s">
        <v>2273</v>
      </c>
      <c r="H145" s="164" t="s">
        <v>36</v>
      </c>
      <c r="I145" s="163"/>
      <c r="J145" s="164" t="s">
        <v>1784</v>
      </c>
      <c r="K145" s="163"/>
      <c r="L145" s="163"/>
      <c r="M145" s="163"/>
      <c r="N145" s="163"/>
      <c r="O145" s="163"/>
      <c r="P145" s="163"/>
      <c r="Q145" s="163"/>
      <c r="R145" s="163"/>
      <c r="S145" s="163"/>
      <c r="T145" s="163"/>
      <c r="U145" s="163"/>
      <c r="V145" s="163"/>
      <c r="W145" s="163"/>
      <c r="X145" s="163"/>
      <c r="Y145" s="163"/>
      <c r="Z145" s="163"/>
    </row>
    <row r="146" ht="14.25" customHeight="1">
      <c r="A146" s="165" t="s">
        <v>2231</v>
      </c>
      <c r="B146" s="108"/>
      <c r="C146" s="165" t="s">
        <v>2274</v>
      </c>
      <c r="D146" s="164" t="s">
        <v>271</v>
      </c>
      <c r="E146" s="165" t="s">
        <v>2262</v>
      </c>
      <c r="F146" s="165" t="s">
        <v>2275</v>
      </c>
      <c r="G146" s="165" t="s">
        <v>2276</v>
      </c>
      <c r="H146" s="164" t="s">
        <v>36</v>
      </c>
      <c r="I146" s="163"/>
      <c r="J146" s="164" t="s">
        <v>1784</v>
      </c>
      <c r="K146" s="163"/>
      <c r="L146" s="163"/>
      <c r="M146" s="163"/>
      <c r="N146" s="163"/>
      <c r="O146" s="163"/>
      <c r="P146" s="163"/>
      <c r="Q146" s="163"/>
      <c r="R146" s="163"/>
      <c r="S146" s="163"/>
      <c r="T146" s="163"/>
      <c r="U146" s="163"/>
      <c r="V146" s="163"/>
      <c r="W146" s="163"/>
      <c r="X146" s="163"/>
      <c r="Y146" s="163"/>
      <c r="Z146" s="163"/>
    </row>
    <row r="147" ht="14.25" customHeight="1">
      <c r="A147" s="165" t="s">
        <v>2231</v>
      </c>
      <c r="B147" s="108"/>
      <c r="C147" s="165" t="s">
        <v>2277</v>
      </c>
      <c r="D147" s="164" t="s">
        <v>271</v>
      </c>
      <c r="E147" s="165" t="s">
        <v>2262</v>
      </c>
      <c r="F147" s="165" t="s">
        <v>2278</v>
      </c>
      <c r="G147" s="165" t="s">
        <v>2279</v>
      </c>
      <c r="H147" s="164" t="s">
        <v>36</v>
      </c>
      <c r="I147" s="163"/>
      <c r="J147" s="164" t="s">
        <v>1784</v>
      </c>
      <c r="K147" s="163"/>
      <c r="L147" s="163"/>
      <c r="M147" s="163"/>
      <c r="N147" s="163"/>
      <c r="O147" s="163"/>
      <c r="P147" s="163"/>
      <c r="Q147" s="163"/>
      <c r="R147" s="163"/>
      <c r="S147" s="163"/>
      <c r="T147" s="163"/>
      <c r="U147" s="163"/>
      <c r="V147" s="163"/>
      <c r="W147" s="163"/>
      <c r="X147" s="163"/>
      <c r="Y147" s="163"/>
      <c r="Z147" s="163"/>
    </row>
    <row r="148" ht="14.25" customHeight="1">
      <c r="A148" s="165" t="s">
        <v>2231</v>
      </c>
      <c r="B148" s="108"/>
      <c r="C148" s="165" t="s">
        <v>2280</v>
      </c>
      <c r="D148" s="164" t="s">
        <v>271</v>
      </c>
      <c r="E148" s="165" t="s">
        <v>2262</v>
      </c>
      <c r="F148" s="165" t="s">
        <v>2281</v>
      </c>
      <c r="G148" s="165" t="s">
        <v>2282</v>
      </c>
      <c r="H148" s="164" t="s">
        <v>36</v>
      </c>
      <c r="I148" s="163"/>
      <c r="J148" s="164" t="s">
        <v>1784</v>
      </c>
      <c r="K148" s="163"/>
      <c r="L148" s="163"/>
      <c r="M148" s="163"/>
      <c r="N148" s="163"/>
      <c r="O148" s="163"/>
      <c r="P148" s="163"/>
      <c r="Q148" s="163"/>
      <c r="R148" s="163"/>
      <c r="S148" s="163"/>
      <c r="T148" s="163"/>
      <c r="U148" s="163"/>
      <c r="V148" s="163"/>
      <c r="W148" s="163"/>
      <c r="X148" s="163"/>
      <c r="Y148" s="163"/>
      <c r="Z148" s="163"/>
    </row>
    <row r="149" ht="14.25" customHeight="1">
      <c r="A149" s="165" t="s">
        <v>2231</v>
      </c>
      <c r="B149" s="108"/>
      <c r="C149" s="165" t="s">
        <v>2283</v>
      </c>
      <c r="D149" s="164" t="s">
        <v>271</v>
      </c>
      <c r="E149" s="165" t="s">
        <v>2262</v>
      </c>
      <c r="F149" s="165" t="s">
        <v>2284</v>
      </c>
      <c r="G149" s="165" t="s">
        <v>2285</v>
      </c>
      <c r="H149" s="164" t="s">
        <v>36</v>
      </c>
      <c r="I149" s="163"/>
      <c r="J149" s="164" t="s">
        <v>1784</v>
      </c>
      <c r="K149" s="163"/>
      <c r="L149" s="163"/>
      <c r="M149" s="163"/>
      <c r="N149" s="163"/>
      <c r="O149" s="163"/>
      <c r="P149" s="163"/>
      <c r="Q149" s="163"/>
      <c r="R149" s="163"/>
      <c r="S149" s="163"/>
      <c r="T149" s="163"/>
      <c r="U149" s="163"/>
      <c r="V149" s="163"/>
      <c r="W149" s="163"/>
      <c r="X149" s="163"/>
      <c r="Y149" s="163"/>
      <c r="Z149" s="163"/>
    </row>
    <row r="150" ht="14.25" customHeight="1">
      <c r="A150" s="165" t="s">
        <v>2231</v>
      </c>
      <c r="B150" s="108"/>
      <c r="C150" s="165" t="s">
        <v>2286</v>
      </c>
      <c r="D150" s="164" t="s">
        <v>271</v>
      </c>
      <c r="E150" s="165" t="s">
        <v>2262</v>
      </c>
      <c r="F150" s="165" t="s">
        <v>2287</v>
      </c>
      <c r="G150" s="165" t="s">
        <v>2288</v>
      </c>
      <c r="H150" s="164" t="s">
        <v>317</v>
      </c>
      <c r="I150" s="163"/>
      <c r="J150" s="164" t="s">
        <v>1784</v>
      </c>
      <c r="K150" s="163"/>
      <c r="L150" s="163"/>
      <c r="M150" s="163"/>
      <c r="N150" s="163"/>
      <c r="O150" s="163"/>
      <c r="P150" s="163"/>
      <c r="Q150" s="163"/>
      <c r="R150" s="163"/>
      <c r="S150" s="163"/>
      <c r="T150" s="163"/>
      <c r="U150" s="163"/>
      <c r="V150" s="163"/>
      <c r="W150" s="163"/>
      <c r="X150" s="163"/>
      <c r="Y150" s="163"/>
      <c r="Z150" s="163"/>
    </row>
    <row r="151" ht="14.25" customHeight="1">
      <c r="A151" s="165" t="s">
        <v>2231</v>
      </c>
      <c r="B151" s="109"/>
      <c r="C151" s="165" t="s">
        <v>2289</v>
      </c>
      <c r="D151" s="164" t="s">
        <v>271</v>
      </c>
      <c r="E151" s="165" t="s">
        <v>2262</v>
      </c>
      <c r="F151" s="165" t="s">
        <v>2290</v>
      </c>
      <c r="G151" s="165" t="s">
        <v>2291</v>
      </c>
      <c r="H151" s="164" t="s">
        <v>36</v>
      </c>
      <c r="I151" s="163"/>
      <c r="J151" s="164" t="s">
        <v>1784</v>
      </c>
      <c r="K151" s="163"/>
      <c r="L151" s="163"/>
      <c r="M151" s="163"/>
      <c r="N151" s="163"/>
      <c r="O151" s="163"/>
      <c r="P151" s="163"/>
      <c r="Q151" s="163"/>
      <c r="R151" s="163"/>
      <c r="S151" s="163"/>
      <c r="T151" s="163"/>
      <c r="U151" s="163"/>
      <c r="V151" s="163"/>
      <c r="W151" s="163"/>
      <c r="X151" s="163"/>
      <c r="Y151" s="163"/>
      <c r="Z151" s="163"/>
    </row>
    <row r="152" ht="14.25" customHeight="1">
      <c r="A152" s="164" t="s">
        <v>2292</v>
      </c>
      <c r="B152" s="166" t="s">
        <v>2293</v>
      </c>
      <c r="C152" s="165" t="s">
        <v>2294</v>
      </c>
      <c r="D152" s="165" t="s">
        <v>271</v>
      </c>
      <c r="E152" s="165" t="s">
        <v>2295</v>
      </c>
      <c r="F152" s="165" t="s">
        <v>2296</v>
      </c>
      <c r="G152" s="165" t="s">
        <v>2297</v>
      </c>
      <c r="H152" s="164" t="s">
        <v>36</v>
      </c>
      <c r="I152" s="163"/>
      <c r="J152" s="164" t="s">
        <v>1784</v>
      </c>
      <c r="K152" s="163"/>
      <c r="L152" s="163"/>
      <c r="M152" s="163"/>
      <c r="N152" s="163"/>
      <c r="O152" s="163"/>
      <c r="P152" s="163"/>
      <c r="Q152" s="163"/>
      <c r="R152" s="163"/>
      <c r="S152" s="163"/>
      <c r="T152" s="163"/>
      <c r="U152" s="163"/>
      <c r="V152" s="163"/>
      <c r="W152" s="163"/>
      <c r="X152" s="163"/>
      <c r="Y152" s="163"/>
      <c r="Z152" s="163"/>
    </row>
    <row r="153" ht="14.25" customHeight="1">
      <c r="A153" s="164" t="s">
        <v>2292</v>
      </c>
      <c r="B153" s="108"/>
      <c r="C153" s="165" t="s">
        <v>2298</v>
      </c>
      <c r="D153" s="165" t="s">
        <v>271</v>
      </c>
      <c r="E153" s="165" t="s">
        <v>2299</v>
      </c>
      <c r="F153" s="165" t="s">
        <v>2300</v>
      </c>
      <c r="G153" s="165" t="s">
        <v>2297</v>
      </c>
      <c r="H153" s="164" t="s">
        <v>36</v>
      </c>
      <c r="I153" s="163"/>
      <c r="J153" s="164" t="s">
        <v>1784</v>
      </c>
      <c r="K153" s="163"/>
      <c r="L153" s="163"/>
      <c r="M153" s="163"/>
      <c r="N153" s="163"/>
      <c r="O153" s="163"/>
      <c r="P153" s="163"/>
      <c r="Q153" s="163"/>
      <c r="R153" s="163"/>
      <c r="S153" s="163"/>
      <c r="T153" s="163"/>
      <c r="U153" s="163"/>
      <c r="V153" s="163"/>
      <c r="W153" s="163"/>
      <c r="X153" s="163"/>
      <c r="Y153" s="163"/>
      <c r="Z153" s="163"/>
    </row>
    <row r="154" ht="14.25" customHeight="1">
      <c r="A154" s="164" t="s">
        <v>2292</v>
      </c>
      <c r="B154" s="108"/>
      <c r="C154" s="165" t="s">
        <v>2301</v>
      </c>
      <c r="D154" s="165" t="s">
        <v>271</v>
      </c>
      <c r="E154" s="165" t="s">
        <v>2302</v>
      </c>
      <c r="F154" s="165" t="s">
        <v>2303</v>
      </c>
      <c r="G154" s="165" t="s">
        <v>2304</v>
      </c>
      <c r="H154" s="164" t="s">
        <v>36</v>
      </c>
      <c r="I154" s="163"/>
      <c r="J154" s="164" t="s">
        <v>1784</v>
      </c>
      <c r="K154" s="163"/>
      <c r="L154" s="163"/>
      <c r="M154" s="163"/>
      <c r="N154" s="163"/>
      <c r="O154" s="163"/>
      <c r="P154" s="163"/>
      <c r="Q154" s="163"/>
      <c r="R154" s="163"/>
      <c r="S154" s="163"/>
      <c r="T154" s="163"/>
      <c r="U154" s="163"/>
      <c r="V154" s="163"/>
      <c r="W154" s="163"/>
      <c r="X154" s="163"/>
      <c r="Y154" s="163"/>
      <c r="Z154" s="163"/>
    </row>
    <row r="155" ht="14.25" customHeight="1">
      <c r="A155" s="164" t="s">
        <v>2292</v>
      </c>
      <c r="B155" s="108"/>
      <c r="C155" s="165" t="s">
        <v>2305</v>
      </c>
      <c r="D155" s="165" t="s">
        <v>271</v>
      </c>
      <c r="E155" s="165" t="s">
        <v>2306</v>
      </c>
      <c r="F155" s="165" t="s">
        <v>2307</v>
      </c>
      <c r="G155" s="165" t="s">
        <v>2308</v>
      </c>
      <c r="H155" s="164" t="s">
        <v>36</v>
      </c>
      <c r="I155" s="163"/>
      <c r="J155" s="164" t="s">
        <v>1784</v>
      </c>
      <c r="K155" s="163"/>
      <c r="L155" s="163"/>
      <c r="M155" s="163"/>
      <c r="N155" s="163"/>
      <c r="O155" s="163"/>
      <c r="P155" s="163"/>
      <c r="Q155" s="163"/>
      <c r="R155" s="163"/>
      <c r="S155" s="163"/>
      <c r="T155" s="163"/>
      <c r="U155" s="163"/>
      <c r="V155" s="163"/>
      <c r="W155" s="163"/>
      <c r="X155" s="163"/>
      <c r="Y155" s="163"/>
      <c r="Z155" s="163"/>
    </row>
    <row r="156" ht="14.25" customHeight="1">
      <c r="A156" s="164" t="s">
        <v>2292</v>
      </c>
      <c r="B156" s="108"/>
      <c r="C156" s="165" t="s">
        <v>2309</v>
      </c>
      <c r="D156" s="165" t="s">
        <v>271</v>
      </c>
      <c r="E156" s="165" t="s">
        <v>2310</v>
      </c>
      <c r="F156" s="165" t="s">
        <v>2311</v>
      </c>
      <c r="G156" s="165" t="s">
        <v>2312</v>
      </c>
      <c r="H156" s="164" t="s">
        <v>36</v>
      </c>
      <c r="I156" s="163"/>
      <c r="J156" s="164" t="s">
        <v>1784</v>
      </c>
      <c r="K156" s="163"/>
      <c r="L156" s="163"/>
      <c r="M156" s="163"/>
      <c r="N156" s="163"/>
      <c r="O156" s="163"/>
      <c r="P156" s="163"/>
      <c r="Q156" s="163"/>
      <c r="R156" s="163"/>
      <c r="S156" s="163"/>
      <c r="T156" s="163"/>
      <c r="U156" s="163"/>
      <c r="V156" s="163"/>
      <c r="W156" s="163"/>
      <c r="X156" s="163"/>
      <c r="Y156" s="163"/>
      <c r="Z156" s="163"/>
    </row>
    <row r="157" ht="14.25" customHeight="1">
      <c r="A157" s="164" t="s">
        <v>2292</v>
      </c>
      <c r="B157" s="108"/>
      <c r="C157" s="165" t="s">
        <v>2313</v>
      </c>
      <c r="D157" s="165" t="s">
        <v>271</v>
      </c>
      <c r="E157" s="165" t="s">
        <v>2314</v>
      </c>
      <c r="F157" s="165" t="s">
        <v>2315</v>
      </c>
      <c r="G157" s="165" t="s">
        <v>2312</v>
      </c>
      <c r="H157" s="164" t="s">
        <v>36</v>
      </c>
      <c r="I157" s="163"/>
      <c r="J157" s="164" t="s">
        <v>1784</v>
      </c>
      <c r="K157" s="163"/>
      <c r="L157" s="163"/>
      <c r="M157" s="163"/>
      <c r="N157" s="163"/>
      <c r="O157" s="163"/>
      <c r="P157" s="163"/>
      <c r="Q157" s="163"/>
      <c r="R157" s="163"/>
      <c r="S157" s="163"/>
      <c r="T157" s="163"/>
      <c r="U157" s="163"/>
      <c r="V157" s="163"/>
      <c r="W157" s="163"/>
      <c r="X157" s="163"/>
      <c r="Y157" s="163"/>
      <c r="Z157" s="163"/>
    </row>
    <row r="158" ht="14.25" customHeight="1">
      <c r="A158" s="164" t="s">
        <v>2292</v>
      </c>
      <c r="B158" s="108"/>
      <c r="C158" s="165" t="s">
        <v>2316</v>
      </c>
      <c r="D158" s="165" t="s">
        <v>271</v>
      </c>
      <c r="E158" s="165" t="s">
        <v>2317</v>
      </c>
      <c r="F158" s="165" t="s">
        <v>2318</v>
      </c>
      <c r="G158" s="165" t="s">
        <v>2319</v>
      </c>
      <c r="H158" s="164" t="s">
        <v>36</v>
      </c>
      <c r="I158" s="163"/>
      <c r="J158" s="164" t="s">
        <v>1784</v>
      </c>
      <c r="K158" s="163"/>
      <c r="L158" s="163"/>
      <c r="M158" s="163"/>
      <c r="N158" s="163"/>
      <c r="O158" s="163"/>
      <c r="P158" s="163"/>
      <c r="Q158" s="163"/>
      <c r="R158" s="163"/>
      <c r="S158" s="163"/>
      <c r="T158" s="163"/>
      <c r="U158" s="163"/>
      <c r="V158" s="163"/>
      <c r="W158" s="163"/>
      <c r="X158" s="163"/>
      <c r="Y158" s="163"/>
      <c r="Z158" s="163"/>
    </row>
    <row r="159" ht="14.25" customHeight="1">
      <c r="A159" s="164" t="s">
        <v>2292</v>
      </c>
      <c r="B159" s="108"/>
      <c r="C159" s="165" t="s">
        <v>2320</v>
      </c>
      <c r="D159" s="165" t="s">
        <v>271</v>
      </c>
      <c r="E159" s="165" t="s">
        <v>2321</v>
      </c>
      <c r="F159" s="165" t="s">
        <v>2322</v>
      </c>
      <c r="G159" s="165" t="s">
        <v>2323</v>
      </c>
      <c r="H159" s="164" t="s">
        <v>36</v>
      </c>
      <c r="I159" s="163"/>
      <c r="J159" s="164" t="s">
        <v>1784</v>
      </c>
      <c r="K159" s="163"/>
      <c r="L159" s="163"/>
      <c r="M159" s="163"/>
      <c r="N159" s="163"/>
      <c r="O159" s="163"/>
      <c r="P159" s="163"/>
      <c r="Q159" s="163"/>
      <c r="R159" s="163"/>
      <c r="S159" s="163"/>
      <c r="T159" s="163"/>
      <c r="U159" s="163"/>
      <c r="V159" s="163"/>
      <c r="W159" s="163"/>
      <c r="X159" s="163"/>
      <c r="Y159" s="163"/>
      <c r="Z159" s="163"/>
    </row>
    <row r="160" ht="14.25" customHeight="1">
      <c r="A160" s="164" t="s">
        <v>2292</v>
      </c>
      <c r="B160" s="108"/>
      <c r="C160" s="165" t="s">
        <v>2324</v>
      </c>
      <c r="D160" s="165" t="s">
        <v>1775</v>
      </c>
      <c r="E160" s="165" t="s">
        <v>2325</v>
      </c>
      <c r="F160" s="165" t="s">
        <v>2326</v>
      </c>
      <c r="G160" s="165" t="s">
        <v>2327</v>
      </c>
      <c r="H160" s="164" t="s">
        <v>36</v>
      </c>
      <c r="I160" s="163"/>
      <c r="J160" s="164" t="s">
        <v>1784</v>
      </c>
      <c r="K160" s="163"/>
      <c r="L160" s="163"/>
      <c r="M160" s="163"/>
      <c r="N160" s="163"/>
      <c r="O160" s="163"/>
      <c r="P160" s="163"/>
      <c r="Q160" s="163"/>
      <c r="R160" s="163"/>
      <c r="S160" s="163"/>
      <c r="T160" s="163"/>
      <c r="U160" s="163"/>
      <c r="V160" s="163"/>
      <c r="W160" s="163"/>
      <c r="X160" s="163"/>
      <c r="Y160" s="163"/>
      <c r="Z160" s="163"/>
    </row>
    <row r="161" ht="14.25" customHeight="1">
      <c r="A161" s="164" t="s">
        <v>2292</v>
      </c>
      <c r="B161" s="108"/>
      <c r="C161" s="165" t="s">
        <v>2328</v>
      </c>
      <c r="D161" s="165" t="s">
        <v>1775</v>
      </c>
      <c r="E161" s="165" t="s">
        <v>2325</v>
      </c>
      <c r="F161" s="165" t="s">
        <v>2329</v>
      </c>
      <c r="G161" s="165" t="s">
        <v>2330</v>
      </c>
      <c r="H161" s="164" t="s">
        <v>36</v>
      </c>
      <c r="I161" s="163"/>
      <c r="J161" s="164" t="s">
        <v>1784</v>
      </c>
      <c r="K161" s="163"/>
      <c r="L161" s="163"/>
      <c r="M161" s="163"/>
      <c r="N161" s="163"/>
      <c r="O161" s="163"/>
      <c r="P161" s="163"/>
      <c r="Q161" s="163"/>
      <c r="R161" s="163"/>
      <c r="S161" s="163"/>
      <c r="T161" s="163"/>
      <c r="U161" s="163"/>
      <c r="V161" s="163"/>
      <c r="W161" s="163"/>
      <c r="X161" s="163"/>
      <c r="Y161" s="163"/>
      <c r="Z161" s="163"/>
    </row>
    <row r="162" ht="14.25" customHeight="1">
      <c r="A162" s="164" t="s">
        <v>2292</v>
      </c>
      <c r="B162" s="109"/>
      <c r="C162" s="165" t="s">
        <v>2331</v>
      </c>
      <c r="D162" s="165" t="s">
        <v>1775</v>
      </c>
      <c r="E162" s="165" t="s">
        <v>2325</v>
      </c>
      <c r="F162" s="165" t="s">
        <v>2332</v>
      </c>
      <c r="G162" s="165" t="s">
        <v>2330</v>
      </c>
      <c r="H162" s="164" t="s">
        <v>36</v>
      </c>
      <c r="I162" s="163"/>
      <c r="J162" s="164" t="s">
        <v>1784</v>
      </c>
      <c r="K162" s="163"/>
      <c r="L162" s="163"/>
      <c r="M162" s="163"/>
      <c r="N162" s="163"/>
      <c r="O162" s="163"/>
      <c r="P162" s="163"/>
      <c r="Q162" s="163"/>
      <c r="R162" s="163"/>
      <c r="S162" s="163"/>
      <c r="T162" s="163"/>
      <c r="U162" s="163"/>
      <c r="V162" s="163"/>
      <c r="W162" s="163"/>
      <c r="X162" s="163"/>
      <c r="Y162" s="163"/>
      <c r="Z162" s="163"/>
    </row>
    <row r="163" ht="14.25" customHeight="1">
      <c r="A163" s="147" t="s">
        <v>2333</v>
      </c>
      <c r="B163" s="166" t="s">
        <v>2334</v>
      </c>
      <c r="C163" s="165" t="s">
        <v>2335</v>
      </c>
      <c r="D163" s="164" t="s">
        <v>271</v>
      </c>
      <c r="E163" s="165" t="s">
        <v>2336</v>
      </c>
      <c r="F163" s="165" t="s">
        <v>2337</v>
      </c>
      <c r="G163" s="165" t="s">
        <v>2338</v>
      </c>
      <c r="H163" s="165" t="s">
        <v>36</v>
      </c>
      <c r="I163" s="165" t="s">
        <v>2339</v>
      </c>
      <c r="J163" s="172" t="s">
        <v>1784</v>
      </c>
      <c r="K163" s="163"/>
      <c r="L163" s="163"/>
      <c r="M163" s="163"/>
      <c r="N163" s="163"/>
      <c r="O163" s="163"/>
      <c r="P163" s="163"/>
      <c r="Q163" s="163"/>
      <c r="R163" s="163"/>
      <c r="S163" s="163"/>
      <c r="T163" s="163"/>
      <c r="U163" s="163"/>
      <c r="V163" s="163"/>
      <c r="W163" s="163"/>
      <c r="X163" s="163"/>
      <c r="Y163" s="163"/>
      <c r="Z163" s="163"/>
    </row>
    <row r="164" ht="14.25" customHeight="1">
      <c r="A164" s="147" t="s">
        <v>2333</v>
      </c>
      <c r="B164" s="108"/>
      <c r="C164" s="165" t="s">
        <v>2340</v>
      </c>
      <c r="D164" s="164" t="s">
        <v>271</v>
      </c>
      <c r="E164" s="165" t="s">
        <v>2336</v>
      </c>
      <c r="F164" s="165" t="s">
        <v>2341</v>
      </c>
      <c r="G164" s="165" t="s">
        <v>2342</v>
      </c>
      <c r="H164" s="165" t="s">
        <v>36</v>
      </c>
      <c r="I164" s="173"/>
      <c r="J164" s="172" t="s">
        <v>1784</v>
      </c>
      <c r="K164" s="163"/>
      <c r="L164" s="163"/>
      <c r="M164" s="163"/>
      <c r="N164" s="163"/>
      <c r="O164" s="163"/>
      <c r="P164" s="163"/>
      <c r="Q164" s="163"/>
      <c r="R164" s="163"/>
      <c r="S164" s="163"/>
      <c r="T164" s="163"/>
      <c r="U164" s="163"/>
      <c r="V164" s="163"/>
      <c r="W164" s="163"/>
      <c r="X164" s="163"/>
      <c r="Y164" s="163"/>
      <c r="Z164" s="163"/>
    </row>
    <row r="165" ht="14.25" customHeight="1">
      <c r="A165" s="147" t="s">
        <v>2333</v>
      </c>
      <c r="B165" s="108"/>
      <c r="C165" s="165" t="s">
        <v>2343</v>
      </c>
      <c r="D165" s="164" t="s">
        <v>271</v>
      </c>
      <c r="E165" s="165" t="s">
        <v>2344</v>
      </c>
      <c r="F165" s="165" t="s">
        <v>2345</v>
      </c>
      <c r="G165" s="165" t="s">
        <v>2346</v>
      </c>
      <c r="H165" s="165" t="s">
        <v>36</v>
      </c>
      <c r="I165" s="173"/>
      <c r="J165" s="172" t="s">
        <v>1784</v>
      </c>
      <c r="K165" s="163"/>
      <c r="L165" s="163"/>
      <c r="M165" s="163"/>
      <c r="N165" s="163"/>
      <c r="O165" s="163"/>
      <c r="P165" s="163"/>
      <c r="Q165" s="163"/>
      <c r="R165" s="163"/>
      <c r="S165" s="163"/>
      <c r="T165" s="163"/>
      <c r="U165" s="163"/>
      <c r="V165" s="163"/>
      <c r="W165" s="163"/>
      <c r="X165" s="163"/>
      <c r="Y165" s="163"/>
      <c r="Z165" s="163"/>
    </row>
    <row r="166" ht="14.25" customHeight="1">
      <c r="A166" s="147" t="s">
        <v>2333</v>
      </c>
      <c r="B166" s="108"/>
      <c r="C166" s="165" t="s">
        <v>2347</v>
      </c>
      <c r="D166" s="164" t="s">
        <v>271</v>
      </c>
      <c r="E166" s="165" t="s">
        <v>2348</v>
      </c>
      <c r="F166" s="165" t="s">
        <v>2349</v>
      </c>
      <c r="G166" s="165" t="s">
        <v>2350</v>
      </c>
      <c r="H166" s="165" t="s">
        <v>36</v>
      </c>
      <c r="I166" s="173"/>
      <c r="J166" s="172" t="s">
        <v>1784</v>
      </c>
      <c r="K166" s="163"/>
      <c r="L166" s="163"/>
      <c r="M166" s="163"/>
      <c r="N166" s="163"/>
      <c r="O166" s="163"/>
      <c r="P166" s="163"/>
      <c r="Q166" s="163"/>
      <c r="R166" s="163"/>
      <c r="S166" s="163"/>
      <c r="T166" s="163"/>
      <c r="U166" s="163"/>
      <c r="V166" s="163"/>
      <c r="W166" s="163"/>
      <c r="X166" s="163"/>
      <c r="Y166" s="163"/>
      <c r="Z166" s="163"/>
    </row>
    <row r="167" ht="14.25" customHeight="1">
      <c r="A167" s="147" t="s">
        <v>2333</v>
      </c>
      <c r="B167" s="108"/>
      <c r="C167" s="165" t="s">
        <v>2351</v>
      </c>
      <c r="D167" s="164" t="s">
        <v>271</v>
      </c>
      <c r="E167" s="165" t="s">
        <v>2352</v>
      </c>
      <c r="F167" s="165" t="s">
        <v>2353</v>
      </c>
      <c r="G167" s="165" t="s">
        <v>2350</v>
      </c>
      <c r="H167" s="165" t="s">
        <v>36</v>
      </c>
      <c r="I167" s="173"/>
      <c r="J167" s="172" t="s">
        <v>1784</v>
      </c>
      <c r="K167" s="163"/>
      <c r="L167" s="163"/>
      <c r="M167" s="163"/>
      <c r="N167" s="163"/>
      <c r="O167" s="163"/>
      <c r="P167" s="163"/>
      <c r="Q167" s="163"/>
      <c r="R167" s="163"/>
      <c r="S167" s="163"/>
      <c r="T167" s="163"/>
      <c r="U167" s="163"/>
      <c r="V167" s="163"/>
      <c r="W167" s="163"/>
      <c r="X167" s="163"/>
      <c r="Y167" s="163"/>
      <c r="Z167" s="163"/>
    </row>
    <row r="168" ht="14.25" customHeight="1">
      <c r="A168" s="147" t="s">
        <v>2333</v>
      </c>
      <c r="B168" s="108"/>
      <c r="C168" s="165" t="s">
        <v>2354</v>
      </c>
      <c r="D168" s="164" t="s">
        <v>271</v>
      </c>
      <c r="E168" s="165" t="s">
        <v>2355</v>
      </c>
      <c r="F168" s="165" t="s">
        <v>2356</v>
      </c>
      <c r="G168" s="165" t="s">
        <v>2350</v>
      </c>
      <c r="H168" s="165" t="s">
        <v>36</v>
      </c>
      <c r="I168" s="173"/>
      <c r="J168" s="172" t="s">
        <v>1784</v>
      </c>
      <c r="K168" s="163"/>
      <c r="L168" s="163"/>
      <c r="M168" s="163"/>
      <c r="N168" s="163"/>
      <c r="O168" s="163"/>
      <c r="P168" s="163"/>
      <c r="Q168" s="163"/>
      <c r="R168" s="163"/>
      <c r="S168" s="163"/>
      <c r="T168" s="163"/>
      <c r="U168" s="163"/>
      <c r="V168" s="163"/>
      <c r="W168" s="163"/>
      <c r="X168" s="163"/>
      <c r="Y168" s="163"/>
      <c r="Z168" s="163"/>
    </row>
    <row r="169" ht="14.25" customHeight="1">
      <c r="A169" s="147" t="s">
        <v>2333</v>
      </c>
      <c r="B169" s="108"/>
      <c r="C169" s="165" t="s">
        <v>2357</v>
      </c>
      <c r="D169" s="164" t="s">
        <v>271</v>
      </c>
      <c r="E169" s="165" t="s">
        <v>2358</v>
      </c>
      <c r="F169" s="165" t="s">
        <v>2359</v>
      </c>
      <c r="G169" s="165" t="s">
        <v>2350</v>
      </c>
      <c r="H169" s="165" t="s">
        <v>36</v>
      </c>
      <c r="I169" s="173"/>
      <c r="J169" s="172" t="s">
        <v>1784</v>
      </c>
      <c r="K169" s="163"/>
      <c r="L169" s="163"/>
      <c r="M169" s="163"/>
      <c r="N169" s="163"/>
      <c r="O169" s="163"/>
      <c r="P169" s="163"/>
      <c r="Q169" s="163"/>
      <c r="R169" s="163"/>
      <c r="S169" s="163"/>
      <c r="T169" s="163"/>
      <c r="U169" s="163"/>
      <c r="V169" s="163"/>
      <c r="W169" s="163"/>
      <c r="X169" s="163"/>
      <c r="Y169" s="163"/>
      <c r="Z169" s="163"/>
    </row>
    <row r="170" ht="14.25" customHeight="1">
      <c r="A170" s="147" t="s">
        <v>2333</v>
      </c>
      <c r="B170" s="109"/>
      <c r="C170" s="165" t="s">
        <v>2360</v>
      </c>
      <c r="D170" s="164" t="s">
        <v>271</v>
      </c>
      <c r="E170" s="165" t="s">
        <v>2361</v>
      </c>
      <c r="F170" s="165" t="s">
        <v>2362</v>
      </c>
      <c r="G170" s="165" t="s">
        <v>2363</v>
      </c>
      <c r="H170" s="165" t="s">
        <v>36</v>
      </c>
      <c r="I170" s="173"/>
      <c r="J170" s="172" t="s">
        <v>1784</v>
      </c>
      <c r="K170" s="163"/>
      <c r="L170" s="163"/>
      <c r="M170" s="163"/>
      <c r="N170" s="163"/>
      <c r="O170" s="163"/>
      <c r="P170" s="163"/>
      <c r="Q170" s="163"/>
      <c r="R170" s="163"/>
      <c r="S170" s="163"/>
      <c r="T170" s="163"/>
      <c r="U170" s="163"/>
      <c r="V170" s="163"/>
      <c r="W170" s="163"/>
      <c r="X170" s="163"/>
      <c r="Y170" s="163"/>
      <c r="Z170" s="163"/>
    </row>
    <row r="171" ht="14.25" customHeight="1">
      <c r="A171" s="165" t="s">
        <v>2364</v>
      </c>
      <c r="B171" s="174" t="s">
        <v>2365</v>
      </c>
      <c r="C171" s="175" t="s">
        <v>2366</v>
      </c>
      <c r="D171" s="175" t="s">
        <v>271</v>
      </c>
      <c r="E171" s="175" t="s">
        <v>2367</v>
      </c>
      <c r="F171" s="175" t="s">
        <v>2368</v>
      </c>
      <c r="G171" s="175" t="s">
        <v>2369</v>
      </c>
      <c r="H171" s="165" t="s">
        <v>36</v>
      </c>
      <c r="I171" s="163"/>
      <c r="J171" s="164" t="s">
        <v>1784</v>
      </c>
      <c r="K171" s="163"/>
      <c r="L171" s="163"/>
      <c r="M171" s="163"/>
      <c r="N171" s="163"/>
      <c r="O171" s="163"/>
      <c r="P171" s="163"/>
      <c r="Q171" s="163"/>
      <c r="R171" s="163"/>
      <c r="S171" s="163"/>
      <c r="T171" s="163"/>
      <c r="U171" s="163"/>
      <c r="V171" s="163"/>
      <c r="W171" s="163"/>
      <c r="X171" s="163"/>
      <c r="Y171" s="163"/>
      <c r="Z171" s="163"/>
    </row>
    <row r="172" ht="14.25" customHeight="1">
      <c r="A172" s="176" t="s">
        <v>2364</v>
      </c>
      <c r="B172" s="177"/>
      <c r="C172" s="178" t="s">
        <v>2370</v>
      </c>
      <c r="D172" s="178" t="s">
        <v>271</v>
      </c>
      <c r="E172" s="178" t="s">
        <v>2371</v>
      </c>
      <c r="F172" s="178" t="s">
        <v>2372</v>
      </c>
      <c r="G172" s="178" t="s">
        <v>2369</v>
      </c>
      <c r="H172" s="165" t="s">
        <v>36</v>
      </c>
      <c r="I172" s="163"/>
      <c r="J172" s="164" t="s">
        <v>1784</v>
      </c>
      <c r="K172" s="163"/>
      <c r="L172" s="163"/>
      <c r="M172" s="163"/>
      <c r="N172" s="163"/>
      <c r="O172" s="163"/>
      <c r="P172" s="163"/>
      <c r="Q172" s="163"/>
      <c r="R172" s="163"/>
      <c r="S172" s="163"/>
      <c r="T172" s="163"/>
      <c r="U172" s="163"/>
      <c r="V172" s="163"/>
      <c r="W172" s="163"/>
      <c r="X172" s="163"/>
      <c r="Y172" s="163"/>
      <c r="Z172" s="163"/>
    </row>
    <row r="173" ht="14.25" customHeight="1">
      <c r="A173" s="176" t="s">
        <v>2364</v>
      </c>
      <c r="B173" s="177"/>
      <c r="C173" s="178" t="s">
        <v>2373</v>
      </c>
      <c r="D173" s="178" t="s">
        <v>271</v>
      </c>
      <c r="E173" s="178" t="s">
        <v>2374</v>
      </c>
      <c r="F173" s="178" t="s">
        <v>2375</v>
      </c>
      <c r="G173" s="178" t="s">
        <v>2369</v>
      </c>
      <c r="H173" s="165" t="s">
        <v>36</v>
      </c>
      <c r="I173" s="163"/>
      <c r="J173" s="164" t="s">
        <v>1784</v>
      </c>
      <c r="K173" s="163"/>
      <c r="L173" s="163"/>
      <c r="M173" s="163"/>
      <c r="N173" s="163"/>
      <c r="O173" s="163"/>
      <c r="P173" s="163"/>
      <c r="Q173" s="163"/>
      <c r="R173" s="163"/>
      <c r="S173" s="163"/>
      <c r="T173" s="163"/>
      <c r="U173" s="163"/>
      <c r="V173" s="163"/>
      <c r="W173" s="163"/>
      <c r="X173" s="163"/>
      <c r="Y173" s="163"/>
      <c r="Z173" s="163"/>
    </row>
    <row r="174" ht="14.25" customHeight="1">
      <c r="A174" s="176" t="s">
        <v>2364</v>
      </c>
      <c r="B174" s="179"/>
      <c r="C174" s="178" t="s">
        <v>2376</v>
      </c>
      <c r="D174" s="178" t="s">
        <v>271</v>
      </c>
      <c r="E174" s="178" t="s">
        <v>2377</v>
      </c>
      <c r="F174" s="178" t="s">
        <v>2378</v>
      </c>
      <c r="G174" s="178" t="s">
        <v>2369</v>
      </c>
      <c r="H174" s="165" t="s">
        <v>36</v>
      </c>
      <c r="I174" s="163"/>
      <c r="J174" s="164" t="s">
        <v>1784</v>
      </c>
      <c r="K174" s="163"/>
      <c r="L174" s="163"/>
      <c r="M174" s="163"/>
      <c r="N174" s="163"/>
      <c r="O174" s="163"/>
      <c r="P174" s="163"/>
      <c r="Q174" s="163"/>
      <c r="R174" s="163"/>
      <c r="S174" s="163"/>
      <c r="T174" s="163"/>
      <c r="U174" s="163"/>
      <c r="V174" s="163"/>
      <c r="W174" s="163"/>
      <c r="X174" s="163"/>
      <c r="Y174" s="163"/>
      <c r="Z174" s="163"/>
    </row>
    <row r="175" ht="14.25" customHeight="1">
      <c r="A175" s="176" t="s">
        <v>2379</v>
      </c>
      <c r="B175" s="180" t="s">
        <v>2380</v>
      </c>
      <c r="C175" s="178" t="s">
        <v>2381</v>
      </c>
      <c r="D175" s="178" t="s">
        <v>271</v>
      </c>
      <c r="E175" s="178" t="s">
        <v>2382</v>
      </c>
      <c r="F175" s="178" t="s">
        <v>2383</v>
      </c>
      <c r="G175" s="181" t="s">
        <v>2384</v>
      </c>
      <c r="H175" s="164" t="s">
        <v>36</v>
      </c>
      <c r="I175" s="163"/>
      <c r="J175" s="164" t="s">
        <v>2034</v>
      </c>
      <c r="K175" s="163"/>
      <c r="L175" s="163"/>
      <c r="M175" s="163"/>
      <c r="N175" s="163"/>
      <c r="O175" s="163"/>
      <c r="P175" s="163"/>
      <c r="Q175" s="163"/>
      <c r="R175" s="163"/>
      <c r="S175" s="163"/>
      <c r="T175" s="163"/>
      <c r="U175" s="163"/>
      <c r="V175" s="163"/>
      <c r="W175" s="163"/>
      <c r="X175" s="163"/>
      <c r="Y175" s="163"/>
      <c r="Z175" s="163"/>
    </row>
    <row r="176" ht="14.25" customHeight="1">
      <c r="A176" s="176" t="s">
        <v>2379</v>
      </c>
      <c r="B176" s="177"/>
      <c r="C176" s="178" t="s">
        <v>2385</v>
      </c>
      <c r="D176" s="178" t="s">
        <v>271</v>
      </c>
      <c r="E176" s="178" t="s">
        <v>2382</v>
      </c>
      <c r="F176" s="181" t="s">
        <v>2386</v>
      </c>
      <c r="G176" s="178" t="s">
        <v>2387</v>
      </c>
      <c r="H176" s="164" t="s">
        <v>36</v>
      </c>
      <c r="I176" s="163"/>
      <c r="J176" s="164" t="s">
        <v>2034</v>
      </c>
      <c r="K176" s="163"/>
      <c r="L176" s="163"/>
      <c r="M176" s="163"/>
      <c r="N176" s="163"/>
      <c r="O176" s="163"/>
      <c r="P176" s="163"/>
      <c r="Q176" s="163"/>
      <c r="R176" s="163"/>
      <c r="S176" s="163"/>
      <c r="T176" s="163"/>
      <c r="U176" s="163"/>
      <c r="V176" s="163"/>
      <c r="W176" s="163"/>
      <c r="X176" s="163"/>
      <c r="Y176" s="163"/>
      <c r="Z176" s="163"/>
    </row>
    <row r="177" ht="14.25" customHeight="1">
      <c r="A177" s="176" t="s">
        <v>2379</v>
      </c>
      <c r="B177" s="177"/>
      <c r="C177" s="178" t="s">
        <v>2388</v>
      </c>
      <c r="D177" s="178" t="s">
        <v>271</v>
      </c>
      <c r="E177" s="178" t="s">
        <v>2382</v>
      </c>
      <c r="F177" s="181" t="s">
        <v>2389</v>
      </c>
      <c r="G177" s="178" t="s">
        <v>2390</v>
      </c>
      <c r="H177" s="164" t="s">
        <v>36</v>
      </c>
      <c r="I177" s="163"/>
      <c r="J177" s="164" t="s">
        <v>2034</v>
      </c>
      <c r="K177" s="163"/>
      <c r="L177" s="163"/>
      <c r="M177" s="163"/>
      <c r="N177" s="163"/>
      <c r="O177" s="163"/>
      <c r="P177" s="163"/>
      <c r="Q177" s="163"/>
      <c r="R177" s="163"/>
      <c r="S177" s="163"/>
      <c r="T177" s="163"/>
      <c r="U177" s="163"/>
      <c r="V177" s="163"/>
      <c r="W177" s="163"/>
      <c r="X177" s="163"/>
      <c r="Y177" s="163"/>
      <c r="Z177" s="163"/>
    </row>
    <row r="178" ht="14.25" customHeight="1">
      <c r="A178" s="176" t="s">
        <v>2379</v>
      </c>
      <c r="B178" s="177"/>
      <c r="C178" s="178" t="s">
        <v>2391</v>
      </c>
      <c r="D178" s="178" t="s">
        <v>271</v>
      </c>
      <c r="E178" s="178" t="s">
        <v>2382</v>
      </c>
      <c r="F178" s="178" t="s">
        <v>2392</v>
      </c>
      <c r="G178" s="178" t="s">
        <v>2393</v>
      </c>
      <c r="H178" s="164" t="s">
        <v>36</v>
      </c>
      <c r="I178" s="163"/>
      <c r="J178" s="164" t="s">
        <v>2034</v>
      </c>
      <c r="K178" s="163"/>
      <c r="L178" s="163"/>
      <c r="M178" s="163"/>
      <c r="N178" s="163"/>
      <c r="O178" s="163"/>
      <c r="P178" s="163"/>
      <c r="Q178" s="163"/>
      <c r="R178" s="163"/>
      <c r="S178" s="163"/>
      <c r="T178" s="163"/>
      <c r="U178" s="163"/>
      <c r="V178" s="163"/>
      <c r="W178" s="163"/>
      <c r="X178" s="163"/>
      <c r="Y178" s="163"/>
      <c r="Z178" s="163"/>
    </row>
    <row r="179" ht="14.25" customHeight="1">
      <c r="A179" s="176" t="s">
        <v>2379</v>
      </c>
      <c r="B179" s="177"/>
      <c r="C179" s="178" t="s">
        <v>2394</v>
      </c>
      <c r="D179" s="178" t="s">
        <v>271</v>
      </c>
      <c r="E179" s="178" t="s">
        <v>2382</v>
      </c>
      <c r="F179" s="178" t="s">
        <v>2395</v>
      </c>
      <c r="G179" s="178" t="s">
        <v>2396</v>
      </c>
      <c r="H179" s="164" t="s">
        <v>36</v>
      </c>
      <c r="I179" s="163"/>
      <c r="J179" s="164" t="s">
        <v>2034</v>
      </c>
      <c r="K179" s="163"/>
      <c r="L179" s="163"/>
      <c r="M179" s="163"/>
      <c r="N179" s="163"/>
      <c r="O179" s="163"/>
      <c r="P179" s="163"/>
      <c r="Q179" s="163"/>
      <c r="R179" s="163"/>
      <c r="S179" s="163"/>
      <c r="T179" s="163"/>
      <c r="U179" s="163"/>
      <c r="V179" s="163"/>
      <c r="W179" s="163"/>
      <c r="X179" s="163"/>
      <c r="Y179" s="163"/>
      <c r="Z179" s="163"/>
    </row>
    <row r="180" ht="14.25" customHeight="1">
      <c r="A180" s="176" t="s">
        <v>2379</v>
      </c>
      <c r="B180" s="177"/>
      <c r="C180" s="178" t="s">
        <v>2397</v>
      </c>
      <c r="D180" s="178" t="s">
        <v>271</v>
      </c>
      <c r="E180" s="178" t="s">
        <v>2382</v>
      </c>
      <c r="F180" s="178" t="s">
        <v>2398</v>
      </c>
      <c r="G180" s="178" t="s">
        <v>2399</v>
      </c>
      <c r="H180" s="164" t="s">
        <v>36</v>
      </c>
      <c r="I180" s="163"/>
      <c r="J180" s="164" t="s">
        <v>2034</v>
      </c>
      <c r="K180" s="163"/>
      <c r="L180" s="163"/>
      <c r="M180" s="163"/>
      <c r="N180" s="163"/>
      <c r="O180" s="163"/>
      <c r="P180" s="163"/>
      <c r="Q180" s="163"/>
      <c r="R180" s="163"/>
      <c r="S180" s="163"/>
      <c r="T180" s="163"/>
      <c r="U180" s="163"/>
      <c r="V180" s="163"/>
      <c r="W180" s="163"/>
      <c r="X180" s="163"/>
      <c r="Y180" s="163"/>
      <c r="Z180" s="163"/>
    </row>
    <row r="181" ht="14.25" customHeight="1">
      <c r="A181" s="176" t="s">
        <v>2379</v>
      </c>
      <c r="B181" s="177"/>
      <c r="C181" s="178" t="s">
        <v>2400</v>
      </c>
      <c r="D181" s="178" t="s">
        <v>271</v>
      </c>
      <c r="E181" s="178" t="s">
        <v>2382</v>
      </c>
      <c r="F181" s="178" t="s">
        <v>2401</v>
      </c>
      <c r="G181" s="178" t="s">
        <v>2402</v>
      </c>
      <c r="H181" s="164" t="s">
        <v>36</v>
      </c>
      <c r="I181" s="163"/>
      <c r="J181" s="164" t="s">
        <v>2034</v>
      </c>
      <c r="K181" s="163"/>
      <c r="L181" s="163"/>
      <c r="M181" s="163"/>
      <c r="N181" s="163"/>
      <c r="O181" s="163"/>
      <c r="P181" s="163"/>
      <c r="Q181" s="163"/>
      <c r="R181" s="163"/>
      <c r="S181" s="163"/>
      <c r="T181" s="163"/>
      <c r="U181" s="163"/>
      <c r="V181" s="163"/>
      <c r="W181" s="163"/>
      <c r="X181" s="163"/>
      <c r="Y181" s="163"/>
      <c r="Z181" s="163"/>
    </row>
    <row r="182" ht="14.25" customHeight="1">
      <c r="A182" s="176" t="s">
        <v>2379</v>
      </c>
      <c r="B182" s="179"/>
      <c r="C182" s="178" t="s">
        <v>2403</v>
      </c>
      <c r="D182" s="178" t="s">
        <v>271</v>
      </c>
      <c r="E182" s="178" t="s">
        <v>2382</v>
      </c>
      <c r="F182" s="178" t="s">
        <v>2404</v>
      </c>
      <c r="G182" s="178" t="s">
        <v>2405</v>
      </c>
      <c r="H182" s="164" t="s">
        <v>36</v>
      </c>
      <c r="I182" s="163"/>
      <c r="J182" s="164" t="s">
        <v>2034</v>
      </c>
      <c r="K182" s="163"/>
      <c r="L182" s="163"/>
      <c r="M182" s="163"/>
      <c r="N182" s="163"/>
      <c r="O182" s="163"/>
      <c r="P182" s="163"/>
      <c r="Q182" s="163"/>
      <c r="R182" s="163"/>
      <c r="S182" s="163"/>
      <c r="T182" s="163"/>
      <c r="U182" s="163"/>
      <c r="V182" s="163"/>
      <c r="W182" s="163"/>
      <c r="X182" s="163"/>
      <c r="Y182" s="163"/>
      <c r="Z182" s="163"/>
    </row>
    <row r="183" ht="14.25" customHeight="1">
      <c r="A183" s="176" t="s">
        <v>2406</v>
      </c>
      <c r="B183" s="178" t="s">
        <v>2407</v>
      </c>
      <c r="C183" s="178" t="s">
        <v>2408</v>
      </c>
      <c r="D183" s="178" t="s">
        <v>271</v>
      </c>
      <c r="E183" s="178" t="s">
        <v>2409</v>
      </c>
      <c r="F183" s="178" t="s">
        <v>2410</v>
      </c>
      <c r="G183" s="178" t="s">
        <v>2411</v>
      </c>
      <c r="H183" s="164" t="s">
        <v>36</v>
      </c>
      <c r="I183" s="163"/>
      <c r="J183" s="164" t="s">
        <v>1784</v>
      </c>
      <c r="K183" s="163"/>
      <c r="L183" s="163"/>
      <c r="M183" s="163"/>
      <c r="N183" s="163"/>
      <c r="O183" s="163"/>
      <c r="P183" s="163"/>
      <c r="Q183" s="163"/>
      <c r="R183" s="163"/>
      <c r="S183" s="163"/>
      <c r="T183" s="163"/>
      <c r="U183" s="163"/>
      <c r="V183" s="163"/>
      <c r="W183" s="163"/>
      <c r="X183" s="163"/>
      <c r="Y183" s="163"/>
      <c r="Z183" s="163"/>
    </row>
    <row r="184" ht="14.25" customHeight="1">
      <c r="A184" s="176" t="s">
        <v>2412</v>
      </c>
      <c r="B184" s="180" t="s">
        <v>2413</v>
      </c>
      <c r="C184" s="178" t="s">
        <v>2414</v>
      </c>
      <c r="D184" s="178" t="s">
        <v>271</v>
      </c>
      <c r="E184" s="178" t="s">
        <v>2415</v>
      </c>
      <c r="F184" s="178" t="s">
        <v>2416</v>
      </c>
      <c r="G184" s="178" t="s">
        <v>2417</v>
      </c>
      <c r="H184" s="164" t="s">
        <v>36</v>
      </c>
      <c r="I184" s="163"/>
      <c r="J184" s="164" t="s">
        <v>2034</v>
      </c>
      <c r="K184" s="163"/>
      <c r="L184" s="163"/>
      <c r="M184" s="163"/>
      <c r="N184" s="163"/>
      <c r="O184" s="163"/>
      <c r="P184" s="163"/>
      <c r="Q184" s="163"/>
      <c r="R184" s="163"/>
      <c r="S184" s="163"/>
      <c r="T184" s="163"/>
      <c r="U184" s="163"/>
      <c r="V184" s="163"/>
      <c r="W184" s="163"/>
      <c r="X184" s="163"/>
      <c r="Y184" s="163"/>
      <c r="Z184" s="163"/>
    </row>
    <row r="185" ht="14.25" customHeight="1">
      <c r="A185" s="176" t="s">
        <v>2412</v>
      </c>
      <c r="B185" s="179"/>
      <c r="C185" s="178" t="s">
        <v>2418</v>
      </c>
      <c r="D185" s="178" t="s">
        <v>271</v>
      </c>
      <c r="E185" s="178" t="s">
        <v>2415</v>
      </c>
      <c r="F185" s="178" t="s">
        <v>2419</v>
      </c>
      <c r="G185" s="178" t="s">
        <v>2420</v>
      </c>
      <c r="H185" s="164" t="s">
        <v>36</v>
      </c>
      <c r="I185" s="163"/>
      <c r="J185" s="164" t="s">
        <v>2034</v>
      </c>
      <c r="K185" s="163"/>
      <c r="L185" s="163"/>
      <c r="M185" s="163"/>
      <c r="N185" s="163"/>
      <c r="O185" s="163"/>
      <c r="P185" s="163"/>
      <c r="Q185" s="163"/>
      <c r="R185" s="163"/>
      <c r="S185" s="163"/>
      <c r="T185" s="163"/>
      <c r="U185" s="163"/>
      <c r="V185" s="163"/>
      <c r="W185" s="163"/>
      <c r="X185" s="163"/>
      <c r="Y185" s="163"/>
      <c r="Z185" s="163"/>
    </row>
    <row r="186" ht="14.25" customHeight="1">
      <c r="A186" s="176" t="s">
        <v>2421</v>
      </c>
      <c r="B186" s="180" t="s">
        <v>2422</v>
      </c>
      <c r="C186" s="178" t="s">
        <v>2423</v>
      </c>
      <c r="D186" s="178" t="s">
        <v>271</v>
      </c>
      <c r="E186" s="178" t="s">
        <v>2424</v>
      </c>
      <c r="F186" s="178" t="s">
        <v>2425</v>
      </c>
      <c r="G186" s="178" t="s">
        <v>2426</v>
      </c>
      <c r="H186" s="164" t="s">
        <v>36</v>
      </c>
      <c r="I186" s="163"/>
      <c r="J186" s="164" t="s">
        <v>1784</v>
      </c>
      <c r="K186" s="163"/>
      <c r="L186" s="163"/>
      <c r="M186" s="163"/>
      <c r="N186" s="163"/>
      <c r="O186" s="163"/>
      <c r="P186" s="163"/>
      <c r="Q186" s="163"/>
      <c r="R186" s="163"/>
      <c r="S186" s="163"/>
      <c r="T186" s="163"/>
      <c r="U186" s="163"/>
      <c r="V186" s="163"/>
      <c r="W186" s="163"/>
      <c r="X186" s="163"/>
      <c r="Y186" s="163"/>
      <c r="Z186" s="163"/>
    </row>
    <row r="187" ht="14.25" customHeight="1">
      <c r="A187" s="176" t="s">
        <v>2421</v>
      </c>
      <c r="B187" s="177"/>
      <c r="C187" s="178" t="s">
        <v>2427</v>
      </c>
      <c r="D187" s="178" t="s">
        <v>271</v>
      </c>
      <c r="E187" s="178" t="s">
        <v>2424</v>
      </c>
      <c r="F187" s="178" t="s">
        <v>2428</v>
      </c>
      <c r="G187" s="178" t="s">
        <v>2429</v>
      </c>
      <c r="H187" s="164" t="s">
        <v>36</v>
      </c>
      <c r="I187" s="163"/>
      <c r="J187" s="164" t="s">
        <v>1784</v>
      </c>
      <c r="K187" s="163"/>
      <c r="L187" s="163"/>
      <c r="M187" s="163"/>
      <c r="N187" s="163"/>
      <c r="O187" s="163"/>
      <c r="P187" s="163"/>
      <c r="Q187" s="163"/>
      <c r="R187" s="163"/>
      <c r="S187" s="163"/>
      <c r="T187" s="163"/>
      <c r="U187" s="163"/>
      <c r="V187" s="163"/>
      <c r="W187" s="163"/>
      <c r="X187" s="163"/>
      <c r="Y187" s="163"/>
      <c r="Z187" s="163"/>
    </row>
    <row r="188" ht="14.25" customHeight="1">
      <c r="A188" s="176" t="s">
        <v>2421</v>
      </c>
      <c r="B188" s="177"/>
      <c r="C188" s="178" t="s">
        <v>2430</v>
      </c>
      <c r="D188" s="178" t="s">
        <v>271</v>
      </c>
      <c r="E188" s="178" t="s">
        <v>2424</v>
      </c>
      <c r="F188" s="178" t="s">
        <v>2431</v>
      </c>
      <c r="G188" s="178" t="s">
        <v>2432</v>
      </c>
      <c r="H188" s="164" t="s">
        <v>36</v>
      </c>
      <c r="I188" s="163"/>
      <c r="J188" s="164" t="s">
        <v>1784</v>
      </c>
      <c r="K188" s="163"/>
      <c r="L188" s="163"/>
      <c r="M188" s="163"/>
      <c r="N188" s="163"/>
      <c r="O188" s="163"/>
      <c r="P188" s="163"/>
      <c r="Q188" s="163"/>
      <c r="R188" s="163"/>
      <c r="S188" s="163"/>
      <c r="T188" s="163"/>
      <c r="U188" s="163"/>
      <c r="V188" s="163"/>
      <c r="W188" s="163"/>
      <c r="X188" s="163"/>
      <c r="Y188" s="163"/>
      <c r="Z188" s="163"/>
    </row>
    <row r="189" ht="14.25" customHeight="1">
      <c r="A189" s="176" t="s">
        <v>2421</v>
      </c>
      <c r="B189" s="177"/>
      <c r="C189" s="178" t="s">
        <v>2433</v>
      </c>
      <c r="D189" s="178" t="s">
        <v>271</v>
      </c>
      <c r="E189" s="178" t="s">
        <v>2424</v>
      </c>
      <c r="F189" s="178" t="s">
        <v>2434</v>
      </c>
      <c r="G189" s="178" t="s">
        <v>2432</v>
      </c>
      <c r="H189" s="164" t="s">
        <v>36</v>
      </c>
      <c r="I189" s="163"/>
      <c r="J189" s="164" t="s">
        <v>1784</v>
      </c>
      <c r="K189" s="163"/>
      <c r="L189" s="163"/>
      <c r="M189" s="163"/>
      <c r="N189" s="163"/>
      <c r="O189" s="163"/>
      <c r="P189" s="163"/>
      <c r="Q189" s="163"/>
      <c r="R189" s="163"/>
      <c r="S189" s="163"/>
      <c r="T189" s="163"/>
      <c r="U189" s="163"/>
      <c r="V189" s="163"/>
      <c r="W189" s="163"/>
      <c r="X189" s="163"/>
      <c r="Y189" s="163"/>
      <c r="Z189" s="163"/>
    </row>
    <row r="190" ht="14.25" customHeight="1">
      <c r="A190" s="176" t="s">
        <v>2421</v>
      </c>
      <c r="B190" s="177"/>
      <c r="C190" s="178" t="s">
        <v>2435</v>
      </c>
      <c r="D190" s="178" t="s">
        <v>271</v>
      </c>
      <c r="E190" s="178" t="s">
        <v>2424</v>
      </c>
      <c r="F190" s="178" t="s">
        <v>2436</v>
      </c>
      <c r="G190" s="178" t="s">
        <v>2437</v>
      </c>
      <c r="H190" s="164" t="s">
        <v>36</v>
      </c>
      <c r="I190" s="163"/>
      <c r="J190" s="164" t="s">
        <v>1784</v>
      </c>
      <c r="K190" s="163"/>
      <c r="L190" s="163"/>
      <c r="M190" s="163"/>
      <c r="N190" s="163"/>
      <c r="O190" s="163"/>
      <c r="P190" s="163"/>
      <c r="Q190" s="163"/>
      <c r="R190" s="163"/>
      <c r="S190" s="163"/>
      <c r="T190" s="163"/>
      <c r="U190" s="163"/>
      <c r="V190" s="163"/>
      <c r="W190" s="163"/>
      <c r="X190" s="163"/>
      <c r="Y190" s="163"/>
      <c r="Z190" s="163"/>
    </row>
    <row r="191" ht="14.25" customHeight="1">
      <c r="A191" s="176" t="s">
        <v>2421</v>
      </c>
      <c r="B191" s="177"/>
      <c r="C191" s="178" t="s">
        <v>2438</v>
      </c>
      <c r="D191" s="178" t="s">
        <v>271</v>
      </c>
      <c r="E191" s="178" t="s">
        <v>2424</v>
      </c>
      <c r="F191" s="178" t="s">
        <v>2439</v>
      </c>
      <c r="G191" s="178" t="s">
        <v>2440</v>
      </c>
      <c r="H191" s="164" t="s">
        <v>36</v>
      </c>
      <c r="I191" s="163"/>
      <c r="J191" s="164" t="s">
        <v>1784</v>
      </c>
      <c r="K191" s="163"/>
      <c r="L191" s="163"/>
      <c r="M191" s="163"/>
      <c r="N191" s="163"/>
      <c r="O191" s="163"/>
      <c r="P191" s="163"/>
      <c r="Q191" s="163"/>
      <c r="R191" s="163"/>
      <c r="S191" s="163"/>
      <c r="T191" s="163"/>
      <c r="U191" s="163"/>
      <c r="V191" s="163"/>
      <c r="W191" s="163"/>
      <c r="X191" s="163"/>
      <c r="Y191" s="163"/>
      <c r="Z191" s="163"/>
    </row>
    <row r="192" ht="14.25" customHeight="1">
      <c r="A192" s="176" t="s">
        <v>2421</v>
      </c>
      <c r="B192" s="177"/>
      <c r="C192" s="178" t="s">
        <v>2441</v>
      </c>
      <c r="D192" s="178" t="s">
        <v>271</v>
      </c>
      <c r="E192" s="178" t="s">
        <v>2424</v>
      </c>
      <c r="F192" s="178" t="s">
        <v>2442</v>
      </c>
      <c r="G192" s="178" t="s">
        <v>2440</v>
      </c>
      <c r="H192" s="164" t="s">
        <v>36</v>
      </c>
      <c r="I192" s="163"/>
      <c r="J192" s="164" t="s">
        <v>1784</v>
      </c>
      <c r="K192" s="163"/>
      <c r="L192" s="163"/>
      <c r="M192" s="163"/>
      <c r="N192" s="163"/>
      <c r="O192" s="163"/>
      <c r="P192" s="163"/>
      <c r="Q192" s="163"/>
      <c r="R192" s="163"/>
      <c r="S192" s="163"/>
      <c r="T192" s="163"/>
      <c r="U192" s="163"/>
      <c r="V192" s="163"/>
      <c r="W192" s="163"/>
      <c r="X192" s="163"/>
      <c r="Y192" s="163"/>
      <c r="Z192" s="163"/>
    </row>
    <row r="193" ht="14.25" customHeight="1">
      <c r="A193" s="176" t="s">
        <v>2421</v>
      </c>
      <c r="B193" s="179"/>
      <c r="C193" s="178" t="s">
        <v>2443</v>
      </c>
      <c r="D193" s="178" t="s">
        <v>271</v>
      </c>
      <c r="E193" s="178" t="s">
        <v>2424</v>
      </c>
      <c r="F193" s="178" t="s">
        <v>2444</v>
      </c>
      <c r="G193" s="178" t="s">
        <v>2445</v>
      </c>
      <c r="H193" s="164" t="s">
        <v>36</v>
      </c>
      <c r="I193" s="163"/>
      <c r="J193" s="164" t="s">
        <v>1784</v>
      </c>
      <c r="K193" s="163"/>
      <c r="L193" s="163"/>
      <c r="M193" s="163"/>
      <c r="N193" s="163"/>
      <c r="O193" s="163"/>
      <c r="P193" s="163"/>
      <c r="Q193" s="163"/>
      <c r="R193" s="163"/>
      <c r="S193" s="163"/>
      <c r="T193" s="163"/>
      <c r="U193" s="163"/>
      <c r="V193" s="163"/>
      <c r="W193" s="163"/>
      <c r="X193" s="163"/>
      <c r="Y193" s="163"/>
      <c r="Z193" s="163"/>
    </row>
    <row r="194" ht="14.25" customHeight="1">
      <c r="A194" s="176" t="s">
        <v>2446</v>
      </c>
      <c r="B194" s="180" t="s">
        <v>2447</v>
      </c>
      <c r="C194" s="178" t="s">
        <v>2366</v>
      </c>
      <c r="D194" s="178" t="s">
        <v>271</v>
      </c>
      <c r="E194" s="178" t="s">
        <v>2448</v>
      </c>
      <c r="F194" s="178" t="s">
        <v>2449</v>
      </c>
      <c r="G194" s="178" t="s">
        <v>2450</v>
      </c>
      <c r="H194" s="164" t="s">
        <v>36</v>
      </c>
      <c r="I194" s="163"/>
      <c r="J194" s="164" t="s">
        <v>1784</v>
      </c>
      <c r="K194" s="163"/>
      <c r="L194" s="163"/>
      <c r="M194" s="163"/>
      <c r="N194" s="163"/>
      <c r="O194" s="163"/>
      <c r="P194" s="163"/>
      <c r="Q194" s="163"/>
      <c r="R194" s="163"/>
      <c r="S194" s="163"/>
      <c r="T194" s="163"/>
      <c r="U194" s="163"/>
      <c r="V194" s="163"/>
      <c r="W194" s="163"/>
      <c r="X194" s="163"/>
      <c r="Y194" s="163"/>
      <c r="Z194" s="163"/>
    </row>
    <row r="195" ht="14.25" customHeight="1">
      <c r="A195" s="176" t="s">
        <v>2446</v>
      </c>
      <c r="B195" s="177"/>
      <c r="C195" s="178" t="s">
        <v>2370</v>
      </c>
      <c r="D195" s="178" t="s">
        <v>271</v>
      </c>
      <c r="E195" s="178" t="s">
        <v>2448</v>
      </c>
      <c r="F195" s="178" t="s">
        <v>2451</v>
      </c>
      <c r="G195" s="178" t="s">
        <v>2452</v>
      </c>
      <c r="H195" s="164" t="s">
        <v>36</v>
      </c>
      <c r="I195" s="163"/>
      <c r="J195" s="164" t="s">
        <v>1784</v>
      </c>
      <c r="K195" s="163"/>
      <c r="L195" s="163"/>
      <c r="M195" s="163"/>
      <c r="N195" s="163"/>
      <c r="O195" s="163"/>
      <c r="P195" s="163"/>
      <c r="Q195" s="163"/>
      <c r="R195" s="163"/>
      <c r="S195" s="163"/>
      <c r="T195" s="163"/>
      <c r="U195" s="163"/>
      <c r="V195" s="163"/>
      <c r="W195" s="163"/>
      <c r="X195" s="163"/>
      <c r="Y195" s="163"/>
      <c r="Z195" s="163"/>
    </row>
    <row r="196" ht="14.25" customHeight="1">
      <c r="A196" s="176" t="s">
        <v>2446</v>
      </c>
      <c r="B196" s="177"/>
      <c r="C196" s="178" t="s">
        <v>2373</v>
      </c>
      <c r="D196" s="178" t="s">
        <v>271</v>
      </c>
      <c r="E196" s="178" t="s">
        <v>2448</v>
      </c>
      <c r="F196" s="178" t="s">
        <v>2453</v>
      </c>
      <c r="G196" s="178" t="s">
        <v>2454</v>
      </c>
      <c r="H196" s="164" t="s">
        <v>36</v>
      </c>
      <c r="I196" s="163"/>
      <c r="J196" s="164" t="s">
        <v>1784</v>
      </c>
      <c r="K196" s="163"/>
      <c r="L196" s="163"/>
      <c r="M196" s="163"/>
      <c r="N196" s="163"/>
      <c r="O196" s="163"/>
      <c r="P196" s="163"/>
      <c r="Q196" s="163"/>
      <c r="R196" s="163"/>
      <c r="S196" s="163"/>
      <c r="T196" s="163"/>
      <c r="U196" s="163"/>
      <c r="V196" s="163"/>
      <c r="W196" s="163"/>
      <c r="X196" s="163"/>
      <c r="Y196" s="163"/>
      <c r="Z196" s="163"/>
    </row>
    <row r="197" ht="14.25" customHeight="1">
      <c r="A197" s="176" t="s">
        <v>2446</v>
      </c>
      <c r="B197" s="177"/>
      <c r="C197" s="178" t="s">
        <v>2376</v>
      </c>
      <c r="D197" s="178" t="s">
        <v>271</v>
      </c>
      <c r="E197" s="178" t="s">
        <v>2448</v>
      </c>
      <c r="F197" s="178" t="s">
        <v>2455</v>
      </c>
      <c r="G197" s="178" t="s">
        <v>2456</v>
      </c>
      <c r="H197" s="164" t="s">
        <v>36</v>
      </c>
      <c r="I197" s="163"/>
      <c r="J197" s="164" t="s">
        <v>1784</v>
      </c>
      <c r="K197" s="163"/>
      <c r="L197" s="163"/>
      <c r="M197" s="163"/>
      <c r="N197" s="163"/>
      <c r="O197" s="163"/>
      <c r="P197" s="163"/>
      <c r="Q197" s="163"/>
      <c r="R197" s="163"/>
      <c r="S197" s="163"/>
      <c r="T197" s="163"/>
      <c r="U197" s="163"/>
      <c r="V197" s="163"/>
      <c r="W197" s="163"/>
      <c r="X197" s="163"/>
      <c r="Y197" s="163"/>
      <c r="Z197" s="163"/>
    </row>
    <row r="198" ht="14.25" customHeight="1">
      <c r="A198" s="176" t="s">
        <v>2446</v>
      </c>
      <c r="B198" s="179"/>
      <c r="C198" s="178" t="s">
        <v>2457</v>
      </c>
      <c r="D198" s="178" t="s">
        <v>271</v>
      </c>
      <c r="E198" s="178" t="s">
        <v>2448</v>
      </c>
      <c r="F198" s="178" t="s">
        <v>2458</v>
      </c>
      <c r="G198" s="178" t="s">
        <v>2459</v>
      </c>
      <c r="H198" s="164" t="s">
        <v>36</v>
      </c>
      <c r="I198" s="163"/>
      <c r="J198" s="164" t="s">
        <v>1784</v>
      </c>
      <c r="K198" s="163"/>
      <c r="L198" s="163"/>
      <c r="M198" s="163"/>
      <c r="N198" s="163"/>
      <c r="O198" s="163"/>
      <c r="P198" s="163"/>
      <c r="Q198" s="163"/>
      <c r="R198" s="163"/>
      <c r="S198" s="163"/>
      <c r="T198" s="163"/>
      <c r="U198" s="163"/>
      <c r="V198" s="163"/>
      <c r="W198" s="163"/>
      <c r="X198" s="163"/>
      <c r="Y198" s="163"/>
      <c r="Z198" s="163"/>
    </row>
    <row r="199" ht="14.25" customHeight="1">
      <c r="A199" s="182" t="s">
        <v>2460</v>
      </c>
      <c r="B199" s="183" t="s">
        <v>2461</v>
      </c>
      <c r="C199" s="184" t="s">
        <v>2462</v>
      </c>
      <c r="D199" s="184" t="s">
        <v>271</v>
      </c>
      <c r="E199" s="184" t="s">
        <v>2424</v>
      </c>
      <c r="F199" s="184" t="s">
        <v>2463</v>
      </c>
      <c r="G199" s="184" t="s">
        <v>2464</v>
      </c>
      <c r="H199" s="185" t="s">
        <v>36</v>
      </c>
      <c r="I199" s="186"/>
      <c r="J199" s="164" t="s">
        <v>1784</v>
      </c>
      <c r="K199" s="186"/>
      <c r="L199" s="186"/>
      <c r="M199" s="186"/>
      <c r="N199" s="186"/>
      <c r="O199" s="186"/>
      <c r="P199" s="186"/>
      <c r="Q199" s="186"/>
      <c r="R199" s="186"/>
      <c r="S199" s="186"/>
      <c r="T199" s="186"/>
      <c r="U199" s="186"/>
      <c r="V199" s="186"/>
      <c r="W199" s="186"/>
      <c r="X199" s="186"/>
      <c r="Y199" s="186"/>
      <c r="Z199" s="186"/>
    </row>
    <row r="200" ht="14.25" customHeight="1">
      <c r="A200" s="182" t="s">
        <v>2460</v>
      </c>
      <c r="B200" s="177"/>
      <c r="C200" s="184" t="s">
        <v>2465</v>
      </c>
      <c r="D200" s="184" t="s">
        <v>271</v>
      </c>
      <c r="E200" s="184" t="s">
        <v>2424</v>
      </c>
      <c r="F200" s="184" t="s">
        <v>2466</v>
      </c>
      <c r="G200" s="184" t="s">
        <v>2467</v>
      </c>
      <c r="H200" s="185" t="s">
        <v>36</v>
      </c>
      <c r="I200" s="186"/>
      <c r="J200" s="164" t="s">
        <v>1784</v>
      </c>
      <c r="K200" s="186"/>
      <c r="L200" s="186"/>
      <c r="M200" s="186"/>
      <c r="N200" s="186"/>
      <c r="O200" s="186"/>
      <c r="P200" s="186"/>
      <c r="Q200" s="186"/>
      <c r="R200" s="186"/>
      <c r="S200" s="186"/>
      <c r="T200" s="186"/>
      <c r="U200" s="186"/>
      <c r="V200" s="186"/>
      <c r="W200" s="186"/>
      <c r="X200" s="186"/>
      <c r="Y200" s="186"/>
      <c r="Z200" s="186"/>
    </row>
    <row r="201" ht="14.25" customHeight="1">
      <c r="A201" s="182" t="s">
        <v>2460</v>
      </c>
      <c r="B201" s="177"/>
      <c r="C201" s="184" t="s">
        <v>2468</v>
      </c>
      <c r="D201" s="184" t="s">
        <v>271</v>
      </c>
      <c r="E201" s="184" t="s">
        <v>2424</v>
      </c>
      <c r="F201" s="184" t="s">
        <v>2469</v>
      </c>
      <c r="G201" s="184" t="s">
        <v>2470</v>
      </c>
      <c r="H201" s="185" t="s">
        <v>36</v>
      </c>
      <c r="I201" s="186"/>
      <c r="J201" s="164" t="s">
        <v>1784</v>
      </c>
      <c r="K201" s="186"/>
      <c r="L201" s="186"/>
      <c r="M201" s="186"/>
      <c r="N201" s="186"/>
      <c r="O201" s="186"/>
      <c r="P201" s="186"/>
      <c r="Q201" s="186"/>
      <c r="R201" s="186"/>
      <c r="S201" s="186"/>
      <c r="T201" s="186"/>
      <c r="U201" s="186"/>
      <c r="V201" s="186"/>
      <c r="W201" s="186"/>
      <c r="X201" s="186"/>
      <c r="Y201" s="186"/>
      <c r="Z201" s="186"/>
    </row>
    <row r="202" ht="14.25" customHeight="1">
      <c r="A202" s="182" t="s">
        <v>2460</v>
      </c>
      <c r="B202" s="177"/>
      <c r="C202" s="184" t="s">
        <v>2471</v>
      </c>
      <c r="D202" s="184" t="s">
        <v>271</v>
      </c>
      <c r="E202" s="184" t="s">
        <v>2424</v>
      </c>
      <c r="F202" s="184" t="s">
        <v>2472</v>
      </c>
      <c r="G202" s="184" t="s">
        <v>2473</v>
      </c>
      <c r="H202" s="185" t="s">
        <v>36</v>
      </c>
      <c r="I202" s="186"/>
      <c r="J202" s="164" t="s">
        <v>1784</v>
      </c>
      <c r="K202" s="186"/>
      <c r="L202" s="186"/>
      <c r="M202" s="186"/>
      <c r="N202" s="186"/>
      <c r="O202" s="186"/>
      <c r="P202" s="186"/>
      <c r="Q202" s="186"/>
      <c r="R202" s="186"/>
      <c r="S202" s="186"/>
      <c r="T202" s="186"/>
      <c r="U202" s="186"/>
      <c r="V202" s="186"/>
      <c r="W202" s="186"/>
      <c r="X202" s="186"/>
      <c r="Y202" s="186"/>
      <c r="Z202" s="186"/>
    </row>
    <row r="203" ht="14.25" customHeight="1">
      <c r="A203" s="182" t="s">
        <v>2460</v>
      </c>
      <c r="B203" s="177"/>
      <c r="C203" s="184" t="s">
        <v>2474</v>
      </c>
      <c r="D203" s="184" t="s">
        <v>271</v>
      </c>
      <c r="E203" s="184" t="s">
        <v>2424</v>
      </c>
      <c r="F203" s="184" t="s">
        <v>2475</v>
      </c>
      <c r="G203" s="184" t="s">
        <v>2473</v>
      </c>
      <c r="H203" s="185" t="s">
        <v>36</v>
      </c>
      <c r="I203" s="186"/>
      <c r="J203" s="164" t="s">
        <v>1784</v>
      </c>
      <c r="K203" s="186"/>
      <c r="L203" s="186"/>
      <c r="M203" s="186"/>
      <c r="N203" s="186"/>
      <c r="O203" s="186"/>
      <c r="P203" s="186"/>
      <c r="Q203" s="186"/>
      <c r="R203" s="186"/>
      <c r="S203" s="186"/>
      <c r="T203" s="186"/>
      <c r="U203" s="186"/>
      <c r="V203" s="186"/>
      <c r="W203" s="186"/>
      <c r="X203" s="186"/>
      <c r="Y203" s="186"/>
      <c r="Z203" s="186"/>
    </row>
    <row r="204" ht="14.25" customHeight="1">
      <c r="A204" s="182" t="s">
        <v>2460</v>
      </c>
      <c r="B204" s="179"/>
      <c r="C204" s="184" t="s">
        <v>2476</v>
      </c>
      <c r="D204" s="184" t="s">
        <v>271</v>
      </c>
      <c r="E204" s="184" t="s">
        <v>2424</v>
      </c>
      <c r="F204" s="184" t="s">
        <v>2477</v>
      </c>
      <c r="G204" s="184" t="s">
        <v>2478</v>
      </c>
      <c r="H204" s="185" t="s">
        <v>36</v>
      </c>
      <c r="I204" s="186"/>
      <c r="J204" s="164" t="s">
        <v>1784</v>
      </c>
      <c r="K204" s="186"/>
      <c r="L204" s="186"/>
      <c r="M204" s="186"/>
      <c r="N204" s="186"/>
      <c r="O204" s="186"/>
      <c r="P204" s="186"/>
      <c r="Q204" s="186"/>
      <c r="R204" s="186"/>
      <c r="S204" s="186"/>
      <c r="T204" s="186"/>
      <c r="U204" s="186"/>
      <c r="V204" s="186"/>
      <c r="W204" s="186"/>
      <c r="X204" s="186"/>
      <c r="Y204" s="186"/>
      <c r="Z204" s="186"/>
    </row>
    <row r="205" ht="14.25" customHeight="1">
      <c r="A205" s="176" t="s">
        <v>2479</v>
      </c>
      <c r="B205" s="180" t="s">
        <v>2480</v>
      </c>
      <c r="C205" s="178" t="s">
        <v>2481</v>
      </c>
      <c r="D205" s="178" t="s">
        <v>2482</v>
      </c>
      <c r="E205" s="178" t="s">
        <v>1701</v>
      </c>
      <c r="F205" s="178" t="s">
        <v>2483</v>
      </c>
      <c r="G205" s="178" t="s">
        <v>2484</v>
      </c>
      <c r="H205" s="185" t="s">
        <v>36</v>
      </c>
      <c r="I205" s="186"/>
      <c r="J205" s="164" t="s">
        <v>1784</v>
      </c>
      <c r="K205" s="163"/>
      <c r="L205" s="163"/>
      <c r="M205" s="163"/>
      <c r="N205" s="163"/>
      <c r="O205" s="163"/>
      <c r="P205" s="163"/>
      <c r="Q205" s="163"/>
      <c r="R205" s="163"/>
      <c r="S205" s="163"/>
      <c r="T205" s="163"/>
      <c r="U205" s="163"/>
      <c r="V205" s="163"/>
      <c r="W205" s="163"/>
      <c r="X205" s="163"/>
      <c r="Y205" s="163"/>
      <c r="Z205" s="163"/>
    </row>
    <row r="206" ht="14.25" customHeight="1">
      <c r="A206" s="176" t="s">
        <v>2479</v>
      </c>
      <c r="B206" s="177"/>
      <c r="C206" s="178" t="s">
        <v>2481</v>
      </c>
      <c r="D206" s="178" t="s">
        <v>2482</v>
      </c>
      <c r="E206" s="178" t="s">
        <v>1701</v>
      </c>
      <c r="F206" s="178" t="s">
        <v>2485</v>
      </c>
      <c r="G206" s="178" t="s">
        <v>2486</v>
      </c>
      <c r="H206" s="185" t="s">
        <v>36</v>
      </c>
      <c r="I206" s="186"/>
      <c r="J206" s="164" t="s">
        <v>1784</v>
      </c>
      <c r="K206" s="163"/>
      <c r="L206" s="163"/>
      <c r="M206" s="163"/>
      <c r="N206" s="163"/>
      <c r="O206" s="163"/>
      <c r="P206" s="163"/>
      <c r="Q206" s="163"/>
      <c r="R206" s="163"/>
      <c r="S206" s="163"/>
      <c r="T206" s="163"/>
      <c r="U206" s="163"/>
      <c r="V206" s="163"/>
      <c r="W206" s="163"/>
      <c r="X206" s="163"/>
      <c r="Y206" s="163"/>
      <c r="Z206" s="163"/>
    </row>
    <row r="207" ht="14.25" customHeight="1">
      <c r="A207" s="176" t="s">
        <v>2479</v>
      </c>
      <c r="B207" s="179"/>
      <c r="C207" s="178" t="s">
        <v>2481</v>
      </c>
      <c r="D207" s="178" t="s">
        <v>2482</v>
      </c>
      <c r="E207" s="178" t="s">
        <v>1701</v>
      </c>
      <c r="F207" s="178" t="s">
        <v>2487</v>
      </c>
      <c r="G207" s="178" t="s">
        <v>2488</v>
      </c>
      <c r="H207" s="185" t="s">
        <v>36</v>
      </c>
      <c r="I207" s="186"/>
      <c r="J207" s="164" t="s">
        <v>1784</v>
      </c>
      <c r="K207" s="163"/>
      <c r="L207" s="163"/>
      <c r="M207" s="163"/>
      <c r="N207" s="163"/>
      <c r="O207" s="163"/>
      <c r="P207" s="163"/>
      <c r="Q207" s="163"/>
      <c r="R207" s="163"/>
      <c r="S207" s="163"/>
      <c r="T207" s="163"/>
      <c r="U207" s="163"/>
      <c r="V207" s="163"/>
      <c r="W207" s="163"/>
      <c r="X207" s="163"/>
      <c r="Y207" s="163"/>
      <c r="Z207" s="163"/>
    </row>
    <row r="208" ht="14.25" customHeight="1">
      <c r="A208" s="176" t="s">
        <v>2489</v>
      </c>
      <c r="B208" s="180" t="s">
        <v>2490</v>
      </c>
      <c r="C208" s="178" t="s">
        <v>2491</v>
      </c>
      <c r="D208" s="178" t="s">
        <v>271</v>
      </c>
      <c r="E208" s="178" t="s">
        <v>2424</v>
      </c>
      <c r="F208" s="178" t="s">
        <v>2492</v>
      </c>
      <c r="G208" s="178" t="s">
        <v>2493</v>
      </c>
      <c r="H208" s="164" t="s">
        <v>36</v>
      </c>
      <c r="I208" s="163"/>
      <c r="J208" s="164" t="s">
        <v>1784</v>
      </c>
      <c r="K208" s="163"/>
      <c r="L208" s="163"/>
      <c r="M208" s="163"/>
      <c r="N208" s="163"/>
      <c r="O208" s="163"/>
      <c r="P208" s="163"/>
      <c r="Q208" s="163"/>
      <c r="R208" s="163"/>
      <c r="S208" s="163"/>
      <c r="T208" s="163"/>
      <c r="U208" s="163"/>
      <c r="V208" s="163"/>
      <c r="W208" s="163"/>
      <c r="X208" s="163"/>
      <c r="Y208" s="163"/>
      <c r="Z208" s="163"/>
    </row>
    <row r="209" ht="14.25" customHeight="1">
      <c r="A209" s="176" t="s">
        <v>2489</v>
      </c>
      <c r="B209" s="177"/>
      <c r="C209" s="178" t="s">
        <v>2494</v>
      </c>
      <c r="D209" s="178" t="s">
        <v>271</v>
      </c>
      <c r="E209" s="178" t="s">
        <v>2424</v>
      </c>
      <c r="F209" s="178" t="s">
        <v>2495</v>
      </c>
      <c r="G209" s="178" t="s">
        <v>2496</v>
      </c>
      <c r="H209" s="164" t="s">
        <v>36</v>
      </c>
      <c r="I209" s="163"/>
      <c r="J209" s="164" t="s">
        <v>1784</v>
      </c>
      <c r="K209" s="163"/>
      <c r="L209" s="163"/>
      <c r="M209" s="163"/>
      <c r="N209" s="163"/>
      <c r="O209" s="163"/>
      <c r="P209" s="163"/>
      <c r="Q209" s="163"/>
      <c r="R209" s="163"/>
      <c r="S209" s="163"/>
      <c r="T209" s="163"/>
      <c r="U209" s="163"/>
      <c r="V209" s="163"/>
      <c r="W209" s="163"/>
      <c r="X209" s="163"/>
      <c r="Y209" s="163"/>
      <c r="Z209" s="163"/>
    </row>
    <row r="210" ht="14.25" customHeight="1">
      <c r="A210" s="176" t="s">
        <v>2489</v>
      </c>
      <c r="B210" s="177"/>
      <c r="C210" s="178" t="s">
        <v>2497</v>
      </c>
      <c r="D210" s="178" t="s">
        <v>271</v>
      </c>
      <c r="E210" s="178" t="s">
        <v>2424</v>
      </c>
      <c r="F210" s="178" t="s">
        <v>2498</v>
      </c>
      <c r="G210" s="178" t="s">
        <v>2499</v>
      </c>
      <c r="H210" s="164" t="s">
        <v>36</v>
      </c>
      <c r="I210" s="163"/>
      <c r="J210" s="164" t="s">
        <v>1784</v>
      </c>
      <c r="K210" s="163"/>
      <c r="L210" s="163"/>
      <c r="M210" s="163"/>
      <c r="N210" s="163"/>
      <c r="O210" s="163"/>
      <c r="P210" s="163"/>
      <c r="Q210" s="163"/>
      <c r="R210" s="163"/>
      <c r="S210" s="163"/>
      <c r="T210" s="163"/>
      <c r="U210" s="163"/>
      <c r="V210" s="163"/>
      <c r="W210" s="163"/>
      <c r="X210" s="163"/>
      <c r="Y210" s="163"/>
      <c r="Z210" s="163"/>
    </row>
    <row r="211" ht="14.25" customHeight="1">
      <c r="A211" s="176" t="s">
        <v>2489</v>
      </c>
      <c r="B211" s="177"/>
      <c r="C211" s="178" t="s">
        <v>2500</v>
      </c>
      <c r="D211" s="178" t="s">
        <v>271</v>
      </c>
      <c r="E211" s="178" t="s">
        <v>2424</v>
      </c>
      <c r="F211" s="178" t="s">
        <v>2501</v>
      </c>
      <c r="G211" s="178" t="s">
        <v>2502</v>
      </c>
      <c r="H211" s="164" t="s">
        <v>36</v>
      </c>
      <c r="I211" s="163"/>
      <c r="J211" s="164" t="s">
        <v>1784</v>
      </c>
      <c r="K211" s="163"/>
      <c r="L211" s="163"/>
      <c r="M211" s="163"/>
      <c r="N211" s="163"/>
      <c r="O211" s="163"/>
      <c r="P211" s="163"/>
      <c r="Q211" s="163"/>
      <c r="R211" s="163"/>
      <c r="S211" s="163"/>
      <c r="T211" s="163"/>
      <c r="U211" s="163"/>
      <c r="V211" s="163"/>
      <c r="W211" s="163"/>
      <c r="X211" s="163"/>
      <c r="Y211" s="163"/>
      <c r="Z211" s="163"/>
    </row>
    <row r="212" ht="14.25" customHeight="1">
      <c r="A212" s="176" t="s">
        <v>2489</v>
      </c>
      <c r="B212" s="179"/>
      <c r="C212" s="178" t="s">
        <v>2503</v>
      </c>
      <c r="D212" s="178" t="s">
        <v>271</v>
      </c>
      <c r="E212" s="178" t="s">
        <v>2424</v>
      </c>
      <c r="F212" s="178" t="s">
        <v>2504</v>
      </c>
      <c r="G212" s="178" t="s">
        <v>2502</v>
      </c>
      <c r="H212" s="164" t="s">
        <v>36</v>
      </c>
      <c r="I212" s="163"/>
      <c r="J212" s="164" t="s">
        <v>1784</v>
      </c>
      <c r="K212" s="163"/>
      <c r="L212" s="163"/>
      <c r="M212" s="163"/>
      <c r="N212" s="163"/>
      <c r="O212" s="163"/>
      <c r="P212" s="163"/>
      <c r="Q212" s="163"/>
      <c r="R212" s="163"/>
      <c r="S212" s="163"/>
      <c r="T212" s="163"/>
      <c r="U212" s="163"/>
      <c r="V212" s="163"/>
      <c r="W212" s="163"/>
      <c r="X212" s="163"/>
      <c r="Y212" s="163"/>
      <c r="Z212" s="163"/>
    </row>
    <row r="213" ht="14.25" customHeight="1">
      <c r="A213" s="176" t="s">
        <v>2505</v>
      </c>
      <c r="B213" s="180" t="s">
        <v>2506</v>
      </c>
      <c r="C213" s="178" t="s">
        <v>2507</v>
      </c>
      <c r="D213" s="178" t="s">
        <v>271</v>
      </c>
      <c r="E213" s="178" t="s">
        <v>2508</v>
      </c>
      <c r="F213" s="178" t="s">
        <v>2509</v>
      </c>
      <c r="G213" s="178" t="s">
        <v>2510</v>
      </c>
      <c r="H213" s="164" t="s">
        <v>36</v>
      </c>
      <c r="I213" s="163"/>
      <c r="J213" s="164" t="s">
        <v>1784</v>
      </c>
      <c r="K213" s="163"/>
      <c r="L213" s="163"/>
      <c r="M213" s="163"/>
      <c r="N213" s="163"/>
      <c r="O213" s="163"/>
      <c r="P213" s="163"/>
      <c r="Q213" s="163"/>
      <c r="R213" s="163"/>
      <c r="S213" s="163"/>
      <c r="T213" s="163"/>
      <c r="U213" s="163"/>
      <c r="V213" s="163"/>
      <c r="W213" s="163"/>
      <c r="X213" s="163"/>
      <c r="Y213" s="163"/>
      <c r="Z213" s="163"/>
    </row>
    <row r="214" ht="14.25" customHeight="1">
      <c r="A214" s="176" t="s">
        <v>2505</v>
      </c>
      <c r="B214" s="177"/>
      <c r="C214" s="178" t="s">
        <v>2511</v>
      </c>
      <c r="D214" s="178" t="s">
        <v>271</v>
      </c>
      <c r="E214" s="178" t="s">
        <v>2508</v>
      </c>
      <c r="F214" s="178" t="s">
        <v>2512</v>
      </c>
      <c r="G214" s="178" t="s">
        <v>2513</v>
      </c>
      <c r="H214" s="164" t="s">
        <v>36</v>
      </c>
      <c r="I214" s="163"/>
      <c r="J214" s="164" t="s">
        <v>1784</v>
      </c>
      <c r="K214" s="163"/>
      <c r="L214" s="163"/>
      <c r="M214" s="163"/>
      <c r="N214" s="163"/>
      <c r="O214" s="163"/>
      <c r="P214" s="163"/>
      <c r="Q214" s="163"/>
      <c r="R214" s="163"/>
      <c r="S214" s="163"/>
      <c r="T214" s="163"/>
      <c r="U214" s="163"/>
      <c r="V214" s="163"/>
      <c r="W214" s="163"/>
      <c r="X214" s="163"/>
      <c r="Y214" s="163"/>
      <c r="Z214" s="163"/>
    </row>
    <row r="215" ht="14.25" customHeight="1">
      <c r="A215" s="176" t="s">
        <v>2505</v>
      </c>
      <c r="B215" s="177"/>
      <c r="C215" s="178" t="s">
        <v>2514</v>
      </c>
      <c r="D215" s="178" t="s">
        <v>271</v>
      </c>
      <c r="E215" s="178" t="s">
        <v>2508</v>
      </c>
      <c r="F215" s="178" t="s">
        <v>2515</v>
      </c>
      <c r="G215" s="178" t="s">
        <v>2516</v>
      </c>
      <c r="H215" s="164" t="s">
        <v>36</v>
      </c>
      <c r="I215" s="163"/>
      <c r="J215" s="164" t="s">
        <v>1784</v>
      </c>
      <c r="K215" s="163"/>
      <c r="L215" s="163"/>
      <c r="M215" s="163"/>
      <c r="N215" s="163"/>
      <c r="O215" s="163"/>
      <c r="P215" s="163"/>
      <c r="Q215" s="163"/>
      <c r="R215" s="163"/>
      <c r="S215" s="163"/>
      <c r="T215" s="163"/>
      <c r="U215" s="163"/>
      <c r="V215" s="163"/>
      <c r="W215" s="163"/>
      <c r="X215" s="163"/>
      <c r="Y215" s="163"/>
      <c r="Z215" s="163"/>
    </row>
    <row r="216" ht="14.25" customHeight="1">
      <c r="A216" s="176" t="s">
        <v>2505</v>
      </c>
      <c r="B216" s="177"/>
      <c r="C216" s="178" t="s">
        <v>2517</v>
      </c>
      <c r="D216" s="178" t="s">
        <v>271</v>
      </c>
      <c r="E216" s="178" t="s">
        <v>2508</v>
      </c>
      <c r="F216" s="178" t="s">
        <v>2518</v>
      </c>
      <c r="G216" s="178" t="s">
        <v>2519</v>
      </c>
      <c r="H216" s="164" t="s">
        <v>36</v>
      </c>
      <c r="I216" s="163"/>
      <c r="J216" s="164" t="s">
        <v>1784</v>
      </c>
      <c r="K216" s="163"/>
      <c r="L216" s="163"/>
      <c r="M216" s="163"/>
      <c r="N216" s="163"/>
      <c r="O216" s="163"/>
      <c r="P216" s="163"/>
      <c r="Q216" s="163"/>
      <c r="R216" s="163"/>
      <c r="S216" s="163"/>
      <c r="T216" s="163"/>
      <c r="U216" s="163"/>
      <c r="V216" s="163"/>
      <c r="W216" s="163"/>
      <c r="X216" s="163"/>
      <c r="Y216" s="163"/>
      <c r="Z216" s="163"/>
    </row>
    <row r="217" ht="14.25" customHeight="1">
      <c r="A217" s="176" t="s">
        <v>2505</v>
      </c>
      <c r="B217" s="177"/>
      <c r="C217" s="178" t="s">
        <v>2520</v>
      </c>
      <c r="D217" s="178" t="s">
        <v>271</v>
      </c>
      <c r="E217" s="178" t="s">
        <v>2508</v>
      </c>
      <c r="F217" s="178" t="s">
        <v>2521</v>
      </c>
      <c r="G217" s="178" t="s">
        <v>2522</v>
      </c>
      <c r="H217" s="164" t="s">
        <v>36</v>
      </c>
      <c r="I217" s="163"/>
      <c r="J217" s="164" t="s">
        <v>1784</v>
      </c>
      <c r="K217" s="163"/>
      <c r="L217" s="163"/>
      <c r="M217" s="163"/>
      <c r="N217" s="163"/>
      <c r="O217" s="163"/>
      <c r="P217" s="163"/>
      <c r="Q217" s="163"/>
      <c r="R217" s="163"/>
      <c r="S217" s="163"/>
      <c r="T217" s="163"/>
      <c r="U217" s="163"/>
      <c r="V217" s="163"/>
      <c r="W217" s="163"/>
      <c r="X217" s="163"/>
      <c r="Y217" s="163"/>
      <c r="Z217" s="163"/>
    </row>
    <row r="218" ht="14.25" customHeight="1">
      <c r="A218" s="176" t="s">
        <v>2505</v>
      </c>
      <c r="B218" s="179"/>
      <c r="C218" s="178" t="s">
        <v>2523</v>
      </c>
      <c r="D218" s="178" t="s">
        <v>271</v>
      </c>
      <c r="E218" s="178" t="s">
        <v>2508</v>
      </c>
      <c r="F218" s="178" t="s">
        <v>2524</v>
      </c>
      <c r="G218" s="178" t="s">
        <v>2525</v>
      </c>
      <c r="H218" s="164" t="s">
        <v>36</v>
      </c>
      <c r="I218" s="163"/>
      <c r="J218" s="164" t="s">
        <v>1784</v>
      </c>
      <c r="K218" s="163"/>
      <c r="L218" s="163"/>
      <c r="M218" s="163"/>
      <c r="N218" s="163"/>
      <c r="O218" s="163"/>
      <c r="P218" s="163"/>
      <c r="Q218" s="163"/>
      <c r="R218" s="163"/>
      <c r="S218" s="163"/>
      <c r="T218" s="163"/>
      <c r="U218" s="163"/>
      <c r="V218" s="163"/>
      <c r="W218" s="163"/>
      <c r="X218" s="163"/>
      <c r="Y218" s="163"/>
      <c r="Z218" s="163"/>
    </row>
    <row r="219" ht="14.25" customHeight="1">
      <c r="A219" s="176" t="s">
        <v>2526</v>
      </c>
      <c r="B219" s="180" t="s">
        <v>2527</v>
      </c>
      <c r="C219" s="178" t="s">
        <v>2528</v>
      </c>
      <c r="D219" s="178" t="s">
        <v>271</v>
      </c>
      <c r="E219" s="178" t="s">
        <v>2529</v>
      </c>
      <c r="F219" s="178" t="s">
        <v>2530</v>
      </c>
      <c r="G219" s="178" t="s">
        <v>2531</v>
      </c>
      <c r="H219" s="164" t="s">
        <v>36</v>
      </c>
      <c r="I219" s="163"/>
      <c r="J219" s="164" t="s">
        <v>1784</v>
      </c>
      <c r="K219" s="163"/>
      <c r="L219" s="163"/>
      <c r="M219" s="163"/>
      <c r="N219" s="163"/>
      <c r="O219" s="163"/>
      <c r="P219" s="163"/>
      <c r="Q219" s="163"/>
      <c r="R219" s="163"/>
      <c r="S219" s="163"/>
      <c r="T219" s="163"/>
      <c r="U219" s="163"/>
      <c r="V219" s="163"/>
      <c r="W219" s="163"/>
      <c r="X219" s="163"/>
      <c r="Y219" s="163"/>
      <c r="Z219" s="163"/>
    </row>
    <row r="220" ht="14.25" customHeight="1">
      <c r="A220" s="176" t="s">
        <v>2526</v>
      </c>
      <c r="B220" s="177"/>
      <c r="C220" s="178" t="s">
        <v>2532</v>
      </c>
      <c r="D220" s="178" t="s">
        <v>271</v>
      </c>
      <c r="E220" s="178" t="s">
        <v>2529</v>
      </c>
      <c r="F220" s="178" t="s">
        <v>2533</v>
      </c>
      <c r="G220" s="178" t="s">
        <v>2534</v>
      </c>
      <c r="H220" s="164" t="s">
        <v>36</v>
      </c>
      <c r="I220" s="163"/>
      <c r="J220" s="164" t="s">
        <v>1784</v>
      </c>
      <c r="K220" s="163"/>
      <c r="L220" s="163"/>
      <c r="M220" s="163"/>
      <c r="N220" s="163"/>
      <c r="O220" s="163"/>
      <c r="P220" s="163"/>
      <c r="Q220" s="163"/>
      <c r="R220" s="163"/>
      <c r="S220" s="163"/>
      <c r="T220" s="163"/>
      <c r="U220" s="163"/>
      <c r="V220" s="163"/>
      <c r="W220" s="163"/>
      <c r="X220" s="163"/>
      <c r="Y220" s="163"/>
      <c r="Z220" s="163"/>
    </row>
    <row r="221" ht="14.25" customHeight="1">
      <c r="A221" s="176" t="s">
        <v>2526</v>
      </c>
      <c r="B221" s="177"/>
      <c r="C221" s="178" t="s">
        <v>2535</v>
      </c>
      <c r="D221" s="178" t="s">
        <v>271</v>
      </c>
      <c r="E221" s="178" t="s">
        <v>2529</v>
      </c>
      <c r="F221" s="178" t="s">
        <v>2536</v>
      </c>
      <c r="G221" s="178" t="s">
        <v>2537</v>
      </c>
      <c r="H221" s="164" t="s">
        <v>36</v>
      </c>
      <c r="I221" s="163"/>
      <c r="J221" s="164" t="s">
        <v>1784</v>
      </c>
      <c r="K221" s="163"/>
      <c r="L221" s="163"/>
      <c r="M221" s="163"/>
      <c r="N221" s="163"/>
      <c r="O221" s="163"/>
      <c r="P221" s="163"/>
      <c r="Q221" s="163"/>
      <c r="R221" s="163"/>
      <c r="S221" s="163"/>
      <c r="T221" s="163"/>
      <c r="U221" s="163"/>
      <c r="V221" s="163"/>
      <c r="W221" s="163"/>
      <c r="X221" s="163"/>
      <c r="Y221" s="163"/>
      <c r="Z221" s="163"/>
    </row>
    <row r="222" ht="14.25" customHeight="1">
      <c r="A222" s="176" t="s">
        <v>2526</v>
      </c>
      <c r="B222" s="177"/>
      <c r="C222" s="178" t="s">
        <v>2538</v>
      </c>
      <c r="D222" s="178" t="s">
        <v>271</v>
      </c>
      <c r="E222" s="178" t="s">
        <v>2529</v>
      </c>
      <c r="F222" s="178" t="s">
        <v>2539</v>
      </c>
      <c r="G222" s="178" t="s">
        <v>2540</v>
      </c>
      <c r="H222" s="164" t="s">
        <v>36</v>
      </c>
      <c r="I222" s="163"/>
      <c r="J222" s="164" t="s">
        <v>1784</v>
      </c>
      <c r="K222" s="163"/>
      <c r="L222" s="163"/>
      <c r="M222" s="163"/>
      <c r="N222" s="163"/>
      <c r="O222" s="163"/>
      <c r="P222" s="163"/>
      <c r="Q222" s="163"/>
      <c r="R222" s="163"/>
      <c r="S222" s="163"/>
      <c r="T222" s="163"/>
      <c r="U222" s="163"/>
      <c r="V222" s="163"/>
      <c r="W222" s="163"/>
      <c r="X222" s="163"/>
      <c r="Y222" s="163"/>
      <c r="Z222" s="163"/>
    </row>
    <row r="223" ht="14.25" customHeight="1">
      <c r="A223" s="176" t="s">
        <v>2526</v>
      </c>
      <c r="B223" s="177"/>
      <c r="C223" s="178" t="s">
        <v>2541</v>
      </c>
      <c r="D223" s="178" t="s">
        <v>271</v>
      </c>
      <c r="E223" s="178" t="s">
        <v>2529</v>
      </c>
      <c r="F223" s="178" t="s">
        <v>2542</v>
      </c>
      <c r="G223" s="178" t="s">
        <v>2543</v>
      </c>
      <c r="H223" s="164" t="s">
        <v>36</v>
      </c>
      <c r="I223" s="163"/>
      <c r="J223" s="164" t="s">
        <v>1784</v>
      </c>
      <c r="K223" s="163"/>
      <c r="L223" s="163"/>
      <c r="M223" s="163"/>
      <c r="N223" s="163"/>
      <c r="O223" s="163"/>
      <c r="P223" s="163"/>
      <c r="Q223" s="163"/>
      <c r="R223" s="163"/>
      <c r="S223" s="163"/>
      <c r="T223" s="163"/>
      <c r="U223" s="163"/>
      <c r="V223" s="163"/>
      <c r="W223" s="163"/>
      <c r="X223" s="163"/>
      <c r="Y223" s="163"/>
      <c r="Z223" s="163"/>
    </row>
    <row r="224" ht="14.25" customHeight="1">
      <c r="A224" s="176" t="s">
        <v>2526</v>
      </c>
      <c r="B224" s="179"/>
      <c r="C224" s="178" t="s">
        <v>2544</v>
      </c>
      <c r="D224" s="178" t="s">
        <v>271</v>
      </c>
      <c r="E224" s="178" t="s">
        <v>2529</v>
      </c>
      <c r="F224" s="178" t="s">
        <v>2545</v>
      </c>
      <c r="G224" s="178" t="s">
        <v>2546</v>
      </c>
      <c r="H224" s="164" t="s">
        <v>36</v>
      </c>
      <c r="I224" s="163"/>
      <c r="J224" s="164" t="s">
        <v>1784</v>
      </c>
      <c r="K224" s="163"/>
      <c r="L224" s="163"/>
      <c r="M224" s="163"/>
      <c r="N224" s="163"/>
      <c r="O224" s="163"/>
      <c r="P224" s="163"/>
      <c r="Q224" s="163"/>
      <c r="R224" s="163"/>
      <c r="S224" s="163"/>
      <c r="T224" s="163"/>
      <c r="U224" s="163"/>
      <c r="V224" s="163"/>
      <c r="W224" s="163"/>
      <c r="X224" s="163"/>
      <c r="Y224" s="163"/>
      <c r="Z224" s="163"/>
    </row>
    <row r="225" ht="14.25" customHeight="1">
      <c r="A225" s="176" t="s">
        <v>2547</v>
      </c>
      <c r="B225" s="180" t="s">
        <v>2548</v>
      </c>
      <c r="C225" s="178" t="s">
        <v>2549</v>
      </c>
      <c r="D225" s="178" t="s">
        <v>271</v>
      </c>
      <c r="E225" s="178" t="s">
        <v>2550</v>
      </c>
      <c r="F225" s="178" t="s">
        <v>2551</v>
      </c>
      <c r="G225" s="178" t="s">
        <v>2552</v>
      </c>
      <c r="H225" s="164" t="s">
        <v>36</v>
      </c>
      <c r="I225" s="163"/>
      <c r="J225" s="164" t="s">
        <v>1784</v>
      </c>
      <c r="K225" s="163"/>
      <c r="L225" s="163"/>
      <c r="M225" s="163"/>
      <c r="N225" s="163"/>
      <c r="O225" s="163"/>
      <c r="P225" s="163"/>
      <c r="Q225" s="163"/>
      <c r="R225" s="163"/>
      <c r="S225" s="163"/>
      <c r="T225" s="163"/>
      <c r="U225" s="163"/>
      <c r="V225" s="163"/>
      <c r="W225" s="163"/>
      <c r="X225" s="163"/>
      <c r="Y225" s="163"/>
      <c r="Z225" s="163"/>
    </row>
    <row r="226" ht="14.25" customHeight="1">
      <c r="A226" s="176" t="s">
        <v>2547</v>
      </c>
      <c r="B226" s="177"/>
      <c r="C226" s="178" t="s">
        <v>2553</v>
      </c>
      <c r="D226" s="178" t="s">
        <v>271</v>
      </c>
      <c r="E226" s="178" t="s">
        <v>2550</v>
      </c>
      <c r="F226" s="178" t="s">
        <v>2554</v>
      </c>
      <c r="G226" s="178" t="s">
        <v>2555</v>
      </c>
      <c r="H226" s="164" t="s">
        <v>36</v>
      </c>
      <c r="I226" s="163"/>
      <c r="J226" s="164" t="s">
        <v>1784</v>
      </c>
      <c r="K226" s="163"/>
      <c r="L226" s="163"/>
      <c r="M226" s="163"/>
      <c r="N226" s="163"/>
      <c r="O226" s="163"/>
      <c r="P226" s="163"/>
      <c r="Q226" s="163"/>
      <c r="R226" s="163"/>
      <c r="S226" s="163"/>
      <c r="T226" s="163"/>
      <c r="U226" s="163"/>
      <c r="V226" s="163"/>
      <c r="W226" s="163"/>
      <c r="X226" s="163"/>
      <c r="Y226" s="163"/>
      <c r="Z226" s="163"/>
    </row>
    <row r="227" ht="14.25" customHeight="1">
      <c r="A227" s="176" t="s">
        <v>2547</v>
      </c>
      <c r="B227" s="177"/>
      <c r="C227" s="178" t="s">
        <v>2556</v>
      </c>
      <c r="D227" s="178" t="s">
        <v>271</v>
      </c>
      <c r="E227" s="178" t="s">
        <v>2550</v>
      </c>
      <c r="F227" s="178" t="s">
        <v>2557</v>
      </c>
      <c r="G227" s="178" t="s">
        <v>2558</v>
      </c>
      <c r="H227" s="164" t="s">
        <v>36</v>
      </c>
      <c r="I227" s="163"/>
      <c r="J227" s="164" t="s">
        <v>1784</v>
      </c>
      <c r="K227" s="163"/>
      <c r="L227" s="163"/>
      <c r="M227" s="163"/>
      <c r="N227" s="163"/>
      <c r="O227" s="163"/>
      <c r="P227" s="163"/>
      <c r="Q227" s="163"/>
      <c r="R227" s="163"/>
      <c r="S227" s="163"/>
      <c r="T227" s="163"/>
      <c r="U227" s="163"/>
      <c r="V227" s="163"/>
      <c r="W227" s="163"/>
      <c r="X227" s="163"/>
      <c r="Y227" s="163"/>
      <c r="Z227" s="163"/>
    </row>
    <row r="228" ht="14.25" customHeight="1">
      <c r="A228" s="176" t="s">
        <v>2547</v>
      </c>
      <c r="B228" s="177"/>
      <c r="C228" s="178" t="s">
        <v>2559</v>
      </c>
      <c r="D228" s="178" t="s">
        <v>271</v>
      </c>
      <c r="E228" s="178" t="s">
        <v>2550</v>
      </c>
      <c r="F228" s="178" t="s">
        <v>2560</v>
      </c>
      <c r="G228" s="178" t="s">
        <v>2561</v>
      </c>
      <c r="H228" s="164" t="s">
        <v>36</v>
      </c>
      <c r="I228" s="163"/>
      <c r="J228" s="164" t="s">
        <v>1784</v>
      </c>
      <c r="K228" s="163"/>
      <c r="L228" s="163"/>
      <c r="M228" s="163"/>
      <c r="N228" s="163"/>
      <c r="O228" s="163"/>
      <c r="P228" s="163"/>
      <c r="Q228" s="163"/>
      <c r="R228" s="163"/>
      <c r="S228" s="163"/>
      <c r="T228" s="163"/>
      <c r="U228" s="163"/>
      <c r="V228" s="163"/>
      <c r="W228" s="163"/>
      <c r="X228" s="163"/>
      <c r="Y228" s="163"/>
      <c r="Z228" s="163"/>
    </row>
    <row r="229" ht="14.25" customHeight="1">
      <c r="A229" s="176" t="s">
        <v>2547</v>
      </c>
      <c r="B229" s="177"/>
      <c r="C229" s="178" t="s">
        <v>2562</v>
      </c>
      <c r="D229" s="178" t="s">
        <v>271</v>
      </c>
      <c r="E229" s="178" t="s">
        <v>2550</v>
      </c>
      <c r="F229" s="178" t="s">
        <v>2563</v>
      </c>
      <c r="G229" s="178" t="s">
        <v>2564</v>
      </c>
      <c r="H229" s="164" t="s">
        <v>36</v>
      </c>
      <c r="I229" s="163"/>
      <c r="J229" s="164" t="s">
        <v>1784</v>
      </c>
      <c r="K229" s="163"/>
      <c r="L229" s="163"/>
      <c r="M229" s="163"/>
      <c r="N229" s="163"/>
      <c r="O229" s="163"/>
      <c r="P229" s="163"/>
      <c r="Q229" s="163"/>
      <c r="R229" s="163"/>
      <c r="S229" s="163"/>
      <c r="T229" s="163"/>
      <c r="U229" s="163"/>
      <c r="V229" s="163"/>
      <c r="W229" s="163"/>
      <c r="X229" s="163"/>
      <c r="Y229" s="163"/>
      <c r="Z229" s="163"/>
    </row>
    <row r="230" ht="14.25" customHeight="1">
      <c r="A230" s="176" t="s">
        <v>2547</v>
      </c>
      <c r="B230" s="177"/>
      <c r="C230" s="178" t="s">
        <v>2565</v>
      </c>
      <c r="D230" s="178" t="s">
        <v>271</v>
      </c>
      <c r="E230" s="178" t="s">
        <v>2550</v>
      </c>
      <c r="F230" s="178" t="s">
        <v>2566</v>
      </c>
      <c r="G230" s="178" t="s">
        <v>2567</v>
      </c>
      <c r="H230" s="164" t="s">
        <v>36</v>
      </c>
      <c r="I230" s="163"/>
      <c r="J230" s="164" t="s">
        <v>1784</v>
      </c>
      <c r="K230" s="163"/>
      <c r="L230" s="163"/>
      <c r="M230" s="163"/>
      <c r="N230" s="163"/>
      <c r="O230" s="163"/>
      <c r="P230" s="163"/>
      <c r="Q230" s="163"/>
      <c r="R230" s="163"/>
      <c r="S230" s="163"/>
      <c r="T230" s="163"/>
      <c r="U230" s="163"/>
      <c r="V230" s="163"/>
      <c r="W230" s="163"/>
      <c r="X230" s="163"/>
      <c r="Y230" s="163"/>
      <c r="Z230" s="163"/>
    </row>
    <row r="231" ht="14.25" customHeight="1">
      <c r="A231" s="176" t="s">
        <v>2547</v>
      </c>
      <c r="B231" s="179"/>
      <c r="C231" s="178" t="s">
        <v>2568</v>
      </c>
      <c r="D231" s="178" t="s">
        <v>271</v>
      </c>
      <c r="E231" s="178" t="s">
        <v>2550</v>
      </c>
      <c r="F231" s="178" t="s">
        <v>2569</v>
      </c>
      <c r="G231" s="178" t="s">
        <v>2570</v>
      </c>
      <c r="H231" s="164" t="s">
        <v>36</v>
      </c>
      <c r="I231" s="163"/>
      <c r="J231" s="164" t="s">
        <v>1784</v>
      </c>
      <c r="K231" s="163"/>
      <c r="L231" s="163"/>
      <c r="M231" s="163"/>
      <c r="N231" s="163"/>
      <c r="O231" s="163"/>
      <c r="P231" s="163"/>
      <c r="Q231" s="163"/>
      <c r="R231" s="163"/>
      <c r="S231" s="163"/>
      <c r="T231" s="163"/>
      <c r="U231" s="163"/>
      <c r="V231" s="163"/>
      <c r="W231" s="163"/>
      <c r="X231" s="163"/>
      <c r="Y231" s="163"/>
      <c r="Z231" s="163"/>
    </row>
    <row r="232" ht="14.25" customHeight="1">
      <c r="A232" s="176" t="s">
        <v>2571</v>
      </c>
      <c r="B232" s="180" t="s">
        <v>2572</v>
      </c>
      <c r="C232" s="178" t="s">
        <v>2573</v>
      </c>
      <c r="D232" s="178" t="s">
        <v>271</v>
      </c>
      <c r="E232" s="178" t="s">
        <v>2574</v>
      </c>
      <c r="F232" s="178" t="s">
        <v>2575</v>
      </c>
      <c r="G232" s="178" t="s">
        <v>2576</v>
      </c>
      <c r="H232" s="164" t="s">
        <v>36</v>
      </c>
      <c r="I232" s="163"/>
      <c r="J232" s="164" t="s">
        <v>1784</v>
      </c>
      <c r="K232" s="163"/>
      <c r="L232" s="163"/>
      <c r="M232" s="163"/>
      <c r="N232" s="163"/>
      <c r="O232" s="163"/>
      <c r="P232" s="163"/>
      <c r="Q232" s="163"/>
      <c r="R232" s="163"/>
      <c r="S232" s="163"/>
      <c r="T232" s="163"/>
      <c r="U232" s="163"/>
      <c r="V232" s="163"/>
      <c r="W232" s="163"/>
      <c r="X232" s="163"/>
      <c r="Y232" s="163"/>
      <c r="Z232" s="163"/>
    </row>
    <row r="233" ht="14.25" customHeight="1">
      <c r="A233" s="176" t="s">
        <v>2571</v>
      </c>
      <c r="B233" s="177"/>
      <c r="C233" s="178" t="s">
        <v>2577</v>
      </c>
      <c r="D233" s="178" t="s">
        <v>271</v>
      </c>
      <c r="E233" s="178" t="s">
        <v>2574</v>
      </c>
      <c r="F233" s="178" t="s">
        <v>2578</v>
      </c>
      <c r="G233" s="178" t="s">
        <v>2579</v>
      </c>
      <c r="H233" s="164" t="s">
        <v>36</v>
      </c>
      <c r="I233" s="163"/>
      <c r="J233" s="164" t="s">
        <v>1784</v>
      </c>
      <c r="K233" s="163"/>
      <c r="L233" s="163"/>
      <c r="M233" s="163"/>
      <c r="N233" s="163"/>
      <c r="O233" s="163"/>
      <c r="P233" s="163"/>
      <c r="Q233" s="163"/>
      <c r="R233" s="163"/>
      <c r="S233" s="163"/>
      <c r="T233" s="163"/>
      <c r="U233" s="163"/>
      <c r="V233" s="163"/>
      <c r="W233" s="163"/>
      <c r="X233" s="163"/>
      <c r="Y233" s="163"/>
      <c r="Z233" s="163"/>
    </row>
    <row r="234" ht="14.25" customHeight="1">
      <c r="A234" s="176" t="s">
        <v>2571</v>
      </c>
      <c r="B234" s="177"/>
      <c r="C234" s="178" t="s">
        <v>2580</v>
      </c>
      <c r="D234" s="178" t="s">
        <v>271</v>
      </c>
      <c r="E234" s="178" t="s">
        <v>2574</v>
      </c>
      <c r="F234" s="178" t="s">
        <v>2581</v>
      </c>
      <c r="G234" s="178" t="s">
        <v>2582</v>
      </c>
      <c r="H234" s="164" t="s">
        <v>36</v>
      </c>
      <c r="I234" s="163"/>
      <c r="J234" s="164" t="s">
        <v>1784</v>
      </c>
      <c r="K234" s="163"/>
      <c r="L234" s="163"/>
      <c r="M234" s="163"/>
      <c r="N234" s="163"/>
      <c r="O234" s="163"/>
      <c r="P234" s="163"/>
      <c r="Q234" s="163"/>
      <c r="R234" s="163"/>
      <c r="S234" s="163"/>
      <c r="T234" s="163"/>
      <c r="U234" s="163"/>
      <c r="V234" s="163"/>
      <c r="W234" s="163"/>
      <c r="X234" s="163"/>
      <c r="Y234" s="163"/>
      <c r="Z234" s="163"/>
    </row>
    <row r="235" ht="14.25" customHeight="1">
      <c r="A235" s="176" t="s">
        <v>2571</v>
      </c>
      <c r="B235" s="177"/>
      <c r="C235" s="178" t="s">
        <v>2583</v>
      </c>
      <c r="D235" s="178" t="s">
        <v>271</v>
      </c>
      <c r="E235" s="178" t="s">
        <v>2574</v>
      </c>
      <c r="F235" s="178" t="s">
        <v>2584</v>
      </c>
      <c r="G235" s="178" t="s">
        <v>2585</v>
      </c>
      <c r="H235" s="164" t="s">
        <v>36</v>
      </c>
      <c r="I235" s="163"/>
      <c r="J235" s="164" t="s">
        <v>1784</v>
      </c>
      <c r="K235" s="163"/>
      <c r="L235" s="163"/>
      <c r="M235" s="163"/>
      <c r="N235" s="163"/>
      <c r="O235" s="163"/>
      <c r="P235" s="163"/>
      <c r="Q235" s="163"/>
      <c r="R235" s="163"/>
      <c r="S235" s="163"/>
      <c r="T235" s="163"/>
      <c r="U235" s="163"/>
      <c r="V235" s="163"/>
      <c r="W235" s="163"/>
      <c r="X235" s="163"/>
      <c r="Y235" s="163"/>
      <c r="Z235" s="163"/>
    </row>
    <row r="236" ht="14.25" customHeight="1">
      <c r="A236" s="176" t="s">
        <v>2571</v>
      </c>
      <c r="B236" s="179"/>
      <c r="C236" s="178" t="s">
        <v>2586</v>
      </c>
      <c r="D236" s="178" t="s">
        <v>271</v>
      </c>
      <c r="E236" s="178" t="s">
        <v>2574</v>
      </c>
      <c r="F236" s="178" t="s">
        <v>2587</v>
      </c>
      <c r="G236" s="178" t="s">
        <v>2588</v>
      </c>
      <c r="H236" s="164" t="s">
        <v>36</v>
      </c>
      <c r="I236" s="163"/>
      <c r="J236" s="164" t="s">
        <v>1784</v>
      </c>
      <c r="K236" s="163"/>
      <c r="L236" s="163"/>
      <c r="M236" s="163"/>
      <c r="N236" s="163"/>
      <c r="O236" s="163"/>
      <c r="P236" s="163"/>
      <c r="Q236" s="163"/>
      <c r="R236" s="163"/>
      <c r="S236" s="163"/>
      <c r="T236" s="163"/>
      <c r="U236" s="163"/>
      <c r="V236" s="163"/>
      <c r="W236" s="163"/>
      <c r="X236" s="163"/>
      <c r="Y236" s="163"/>
      <c r="Z236" s="163"/>
    </row>
    <row r="237" ht="14.25" customHeight="1">
      <c r="A237" s="176" t="s">
        <v>2589</v>
      </c>
      <c r="B237" s="180" t="s">
        <v>2590</v>
      </c>
      <c r="C237" s="178" t="s">
        <v>2591</v>
      </c>
      <c r="D237" s="178" t="s">
        <v>271</v>
      </c>
      <c r="E237" s="178" t="s">
        <v>2592</v>
      </c>
      <c r="F237" s="178" t="s">
        <v>2593</v>
      </c>
      <c r="G237" s="178" t="s">
        <v>2594</v>
      </c>
      <c r="H237" s="164" t="s">
        <v>36</v>
      </c>
      <c r="I237" s="163"/>
      <c r="J237" s="164" t="s">
        <v>1784</v>
      </c>
      <c r="K237" s="163"/>
      <c r="L237" s="163"/>
      <c r="M237" s="163"/>
      <c r="N237" s="163"/>
      <c r="O237" s="163"/>
      <c r="P237" s="163"/>
      <c r="Q237" s="163"/>
      <c r="R237" s="163"/>
      <c r="S237" s="163"/>
      <c r="T237" s="163"/>
      <c r="U237" s="163"/>
      <c r="V237" s="163"/>
      <c r="W237" s="163"/>
      <c r="X237" s="163"/>
      <c r="Y237" s="163"/>
      <c r="Z237" s="163"/>
    </row>
    <row r="238" ht="14.25" customHeight="1">
      <c r="A238" s="176" t="s">
        <v>2589</v>
      </c>
      <c r="B238" s="177"/>
      <c r="C238" s="178" t="s">
        <v>2595</v>
      </c>
      <c r="D238" s="178" t="s">
        <v>271</v>
      </c>
      <c r="E238" s="178" t="s">
        <v>2592</v>
      </c>
      <c r="F238" s="178" t="s">
        <v>2596</v>
      </c>
      <c r="G238" s="178" t="s">
        <v>2597</v>
      </c>
      <c r="H238" s="164" t="s">
        <v>36</v>
      </c>
      <c r="I238" s="163"/>
      <c r="J238" s="164" t="s">
        <v>1784</v>
      </c>
      <c r="K238" s="163"/>
      <c r="L238" s="163"/>
      <c r="M238" s="163"/>
      <c r="N238" s="163"/>
      <c r="O238" s="163"/>
      <c r="P238" s="163"/>
      <c r="Q238" s="163"/>
      <c r="R238" s="163"/>
      <c r="S238" s="163"/>
      <c r="T238" s="163"/>
      <c r="U238" s="163"/>
      <c r="V238" s="163"/>
      <c r="W238" s="163"/>
      <c r="X238" s="163"/>
      <c r="Y238" s="163"/>
      <c r="Z238" s="163"/>
    </row>
    <row r="239" ht="14.25" customHeight="1">
      <c r="A239" s="176" t="s">
        <v>2589</v>
      </c>
      <c r="B239" s="177"/>
      <c r="C239" s="178" t="s">
        <v>2598</v>
      </c>
      <c r="D239" s="178" t="s">
        <v>271</v>
      </c>
      <c r="E239" s="178" t="s">
        <v>2592</v>
      </c>
      <c r="F239" s="178" t="s">
        <v>2599</v>
      </c>
      <c r="G239" s="178" t="s">
        <v>2600</v>
      </c>
      <c r="H239" s="164" t="s">
        <v>36</v>
      </c>
      <c r="I239" s="163"/>
      <c r="J239" s="164" t="s">
        <v>1784</v>
      </c>
      <c r="K239" s="163"/>
      <c r="L239" s="163"/>
      <c r="M239" s="163"/>
      <c r="N239" s="163"/>
      <c r="O239" s="163"/>
      <c r="P239" s="163"/>
      <c r="Q239" s="163"/>
      <c r="R239" s="163"/>
      <c r="S239" s="163"/>
      <c r="T239" s="163"/>
      <c r="U239" s="163"/>
      <c r="V239" s="163"/>
      <c r="W239" s="163"/>
      <c r="X239" s="163"/>
      <c r="Y239" s="163"/>
      <c r="Z239" s="163"/>
    </row>
    <row r="240" ht="14.25" customHeight="1">
      <c r="A240" s="176" t="s">
        <v>2589</v>
      </c>
      <c r="B240" s="177"/>
      <c r="C240" s="178" t="s">
        <v>2601</v>
      </c>
      <c r="D240" s="187"/>
      <c r="E240" s="187"/>
      <c r="F240" s="178" t="s">
        <v>2602</v>
      </c>
      <c r="G240" s="178" t="s">
        <v>2594</v>
      </c>
      <c r="H240" s="164" t="s">
        <v>36</v>
      </c>
      <c r="I240" s="163"/>
      <c r="J240" s="164" t="s">
        <v>1784</v>
      </c>
      <c r="K240" s="163"/>
      <c r="L240" s="163"/>
      <c r="M240" s="163"/>
      <c r="N240" s="163"/>
      <c r="O240" s="163"/>
      <c r="P240" s="163"/>
      <c r="Q240" s="163"/>
      <c r="R240" s="163"/>
      <c r="S240" s="163"/>
      <c r="T240" s="163"/>
      <c r="U240" s="163"/>
      <c r="V240" s="163"/>
      <c r="W240" s="163"/>
      <c r="X240" s="163"/>
      <c r="Y240" s="163"/>
      <c r="Z240" s="163"/>
    </row>
    <row r="241" ht="14.25" customHeight="1">
      <c r="A241" s="176" t="s">
        <v>2589</v>
      </c>
      <c r="B241" s="177"/>
      <c r="C241" s="178" t="s">
        <v>2603</v>
      </c>
      <c r="D241" s="178" t="s">
        <v>271</v>
      </c>
      <c r="E241" s="178" t="s">
        <v>2592</v>
      </c>
      <c r="F241" s="178" t="s">
        <v>2604</v>
      </c>
      <c r="G241" s="178" t="s">
        <v>2605</v>
      </c>
      <c r="H241" s="164" t="s">
        <v>36</v>
      </c>
      <c r="I241" s="163"/>
      <c r="J241" s="164" t="s">
        <v>1784</v>
      </c>
      <c r="K241" s="163"/>
      <c r="L241" s="163"/>
      <c r="M241" s="163"/>
      <c r="N241" s="163"/>
      <c r="O241" s="163"/>
      <c r="P241" s="163"/>
      <c r="Q241" s="163"/>
      <c r="R241" s="163"/>
      <c r="S241" s="163"/>
      <c r="T241" s="163"/>
      <c r="U241" s="163"/>
      <c r="V241" s="163"/>
      <c r="W241" s="163"/>
      <c r="X241" s="163"/>
      <c r="Y241" s="163"/>
      <c r="Z241" s="163"/>
    </row>
    <row r="242" ht="14.25" customHeight="1">
      <c r="A242" s="176" t="s">
        <v>2589</v>
      </c>
      <c r="B242" s="177"/>
      <c r="C242" s="178" t="s">
        <v>2606</v>
      </c>
      <c r="D242" s="187"/>
      <c r="E242" s="187"/>
      <c r="F242" s="178" t="s">
        <v>2607</v>
      </c>
      <c r="G242" s="178" t="s">
        <v>2605</v>
      </c>
      <c r="H242" s="164" t="s">
        <v>36</v>
      </c>
      <c r="I242" s="163"/>
      <c r="J242" s="164" t="s">
        <v>1784</v>
      </c>
      <c r="K242" s="163"/>
      <c r="L242" s="163"/>
      <c r="M242" s="163"/>
      <c r="N242" s="163"/>
      <c r="O242" s="163"/>
      <c r="P242" s="163"/>
      <c r="Q242" s="163"/>
      <c r="R242" s="163"/>
      <c r="S242" s="163"/>
      <c r="T242" s="163"/>
      <c r="U242" s="163"/>
      <c r="V242" s="163"/>
      <c r="W242" s="163"/>
      <c r="X242" s="163"/>
      <c r="Y242" s="163"/>
      <c r="Z242" s="163"/>
    </row>
    <row r="243" ht="14.25" customHeight="1">
      <c r="A243" s="176" t="s">
        <v>2589</v>
      </c>
      <c r="B243" s="177"/>
      <c r="C243" s="178" t="s">
        <v>2608</v>
      </c>
      <c r="D243" s="178" t="s">
        <v>271</v>
      </c>
      <c r="E243" s="178" t="s">
        <v>2592</v>
      </c>
      <c r="F243" s="178" t="s">
        <v>2609</v>
      </c>
      <c r="G243" s="178" t="s">
        <v>2610</v>
      </c>
      <c r="H243" s="164" t="s">
        <v>36</v>
      </c>
      <c r="I243" s="163"/>
      <c r="J243" s="164" t="s">
        <v>1784</v>
      </c>
      <c r="K243" s="163"/>
      <c r="L243" s="163"/>
      <c r="M243" s="163"/>
      <c r="N243" s="163"/>
      <c r="O243" s="163"/>
      <c r="P243" s="163"/>
      <c r="Q243" s="163"/>
      <c r="R243" s="163"/>
      <c r="S243" s="163"/>
      <c r="T243" s="163"/>
      <c r="U243" s="163"/>
      <c r="V243" s="163"/>
      <c r="W243" s="163"/>
      <c r="X243" s="163"/>
      <c r="Y243" s="163"/>
      <c r="Z243" s="163"/>
    </row>
    <row r="244" ht="14.25" customHeight="1">
      <c r="A244" s="176" t="s">
        <v>2589</v>
      </c>
      <c r="B244" s="177"/>
      <c r="C244" s="178" t="s">
        <v>2611</v>
      </c>
      <c r="D244" s="187"/>
      <c r="E244" s="187"/>
      <c r="F244" s="178" t="s">
        <v>2612</v>
      </c>
      <c r="G244" s="178" t="s">
        <v>2613</v>
      </c>
      <c r="H244" s="164" t="s">
        <v>36</v>
      </c>
      <c r="I244" s="163"/>
      <c r="J244" s="164" t="s">
        <v>1784</v>
      </c>
      <c r="K244" s="163"/>
      <c r="L244" s="163"/>
      <c r="M244" s="163"/>
      <c r="N244" s="163"/>
      <c r="O244" s="163"/>
      <c r="P244" s="163"/>
      <c r="Q244" s="163"/>
      <c r="R244" s="163"/>
      <c r="S244" s="163"/>
      <c r="T244" s="163"/>
      <c r="U244" s="163"/>
      <c r="V244" s="163"/>
      <c r="W244" s="163"/>
      <c r="X244" s="163"/>
      <c r="Y244" s="163"/>
      <c r="Z244" s="163"/>
    </row>
    <row r="245" ht="14.25" customHeight="1">
      <c r="A245" s="176" t="s">
        <v>2589</v>
      </c>
      <c r="B245" s="177"/>
      <c r="C245" s="178" t="s">
        <v>2614</v>
      </c>
      <c r="D245" s="178" t="s">
        <v>271</v>
      </c>
      <c r="E245" s="178" t="s">
        <v>2592</v>
      </c>
      <c r="F245" s="178" t="s">
        <v>2615</v>
      </c>
      <c r="G245" s="178" t="s">
        <v>2616</v>
      </c>
      <c r="H245" s="164" t="s">
        <v>36</v>
      </c>
      <c r="I245" s="163"/>
      <c r="J245" s="164" t="s">
        <v>1784</v>
      </c>
      <c r="K245" s="163"/>
      <c r="L245" s="163"/>
      <c r="M245" s="163"/>
      <c r="N245" s="163"/>
      <c r="O245" s="163"/>
      <c r="P245" s="163"/>
      <c r="Q245" s="163"/>
      <c r="R245" s="163"/>
      <c r="S245" s="163"/>
      <c r="T245" s="163"/>
      <c r="U245" s="163"/>
      <c r="V245" s="163"/>
      <c r="W245" s="163"/>
      <c r="X245" s="163"/>
      <c r="Y245" s="163"/>
      <c r="Z245" s="163"/>
    </row>
    <row r="246" ht="14.25" customHeight="1">
      <c r="A246" s="176" t="s">
        <v>2589</v>
      </c>
      <c r="B246" s="179"/>
      <c r="C246" s="178" t="s">
        <v>2617</v>
      </c>
      <c r="D246" s="178" t="s">
        <v>271</v>
      </c>
      <c r="E246" s="178" t="s">
        <v>2592</v>
      </c>
      <c r="F246" s="178" t="s">
        <v>2618</v>
      </c>
      <c r="G246" s="178" t="s">
        <v>2619</v>
      </c>
      <c r="H246" s="164" t="s">
        <v>36</v>
      </c>
      <c r="I246" s="163"/>
      <c r="J246" s="164" t="s">
        <v>1784</v>
      </c>
      <c r="K246" s="163"/>
      <c r="L246" s="163"/>
      <c r="M246" s="163"/>
      <c r="N246" s="163"/>
      <c r="O246" s="163"/>
      <c r="P246" s="163"/>
      <c r="Q246" s="163"/>
      <c r="R246" s="163"/>
      <c r="S246" s="163"/>
      <c r="T246" s="163"/>
      <c r="U246" s="163"/>
      <c r="V246" s="163"/>
      <c r="W246" s="163"/>
      <c r="X246" s="163"/>
      <c r="Y246" s="163"/>
      <c r="Z246" s="163"/>
    </row>
    <row r="247" ht="14.25" customHeight="1">
      <c r="A247" s="176" t="s">
        <v>2620</v>
      </c>
      <c r="B247" s="180" t="s">
        <v>2621</v>
      </c>
      <c r="C247" s="178" t="s">
        <v>2622</v>
      </c>
      <c r="D247" s="178" t="s">
        <v>271</v>
      </c>
      <c r="E247" s="178" t="s">
        <v>2623</v>
      </c>
      <c r="F247" s="178" t="s">
        <v>2624</v>
      </c>
      <c r="G247" s="178" t="s">
        <v>2625</v>
      </c>
      <c r="H247" s="164" t="s">
        <v>36</v>
      </c>
      <c r="I247" s="163"/>
      <c r="J247" s="164" t="s">
        <v>1784</v>
      </c>
      <c r="K247" s="163"/>
      <c r="L247" s="163"/>
      <c r="M247" s="163"/>
      <c r="N247" s="163"/>
      <c r="O247" s="163"/>
      <c r="P247" s="163"/>
      <c r="Q247" s="163"/>
      <c r="R247" s="163"/>
      <c r="S247" s="163"/>
      <c r="T247" s="163"/>
      <c r="U247" s="163"/>
      <c r="V247" s="163"/>
      <c r="W247" s="163"/>
      <c r="X247" s="163"/>
      <c r="Y247" s="163"/>
      <c r="Z247" s="163"/>
    </row>
    <row r="248" ht="14.25" customHeight="1">
      <c r="A248" s="176" t="s">
        <v>2620</v>
      </c>
      <c r="B248" s="177"/>
      <c r="C248" s="178" t="s">
        <v>2626</v>
      </c>
      <c r="D248" s="178" t="s">
        <v>271</v>
      </c>
      <c r="E248" s="178" t="s">
        <v>2627</v>
      </c>
      <c r="F248" s="178" t="s">
        <v>2628</v>
      </c>
      <c r="G248" s="178" t="s">
        <v>2629</v>
      </c>
      <c r="H248" s="164" t="s">
        <v>36</v>
      </c>
      <c r="I248" s="163"/>
      <c r="J248" s="164" t="s">
        <v>1784</v>
      </c>
      <c r="K248" s="163"/>
      <c r="L248" s="163"/>
      <c r="M248" s="163"/>
      <c r="N248" s="163"/>
      <c r="O248" s="163"/>
      <c r="P248" s="163"/>
      <c r="Q248" s="163"/>
      <c r="R248" s="163"/>
      <c r="S248" s="163"/>
      <c r="T248" s="163"/>
      <c r="U248" s="163"/>
      <c r="V248" s="163"/>
      <c r="W248" s="163"/>
      <c r="X248" s="163"/>
      <c r="Y248" s="163"/>
      <c r="Z248" s="163"/>
    </row>
    <row r="249" ht="14.25" customHeight="1">
      <c r="A249" s="176" t="s">
        <v>2620</v>
      </c>
      <c r="B249" s="177"/>
      <c r="C249" s="178" t="s">
        <v>2630</v>
      </c>
      <c r="D249" s="178" t="s">
        <v>271</v>
      </c>
      <c r="E249" s="178" t="s">
        <v>2631</v>
      </c>
      <c r="F249" s="178" t="s">
        <v>2632</v>
      </c>
      <c r="G249" s="178" t="s">
        <v>2633</v>
      </c>
      <c r="H249" s="164" t="s">
        <v>36</v>
      </c>
      <c r="I249" s="163"/>
      <c r="J249" s="164" t="s">
        <v>1784</v>
      </c>
      <c r="K249" s="163"/>
      <c r="L249" s="163"/>
      <c r="M249" s="163"/>
      <c r="N249" s="163"/>
      <c r="O249" s="163"/>
      <c r="P249" s="163"/>
      <c r="Q249" s="163"/>
      <c r="R249" s="163"/>
      <c r="S249" s="163"/>
      <c r="T249" s="163"/>
      <c r="U249" s="163"/>
      <c r="V249" s="163"/>
      <c r="W249" s="163"/>
      <c r="X249" s="163"/>
      <c r="Y249" s="163"/>
      <c r="Z249" s="163"/>
    </row>
    <row r="250" ht="14.25" customHeight="1">
      <c r="A250" s="176" t="s">
        <v>2620</v>
      </c>
      <c r="B250" s="177"/>
      <c r="C250" s="178" t="s">
        <v>2634</v>
      </c>
      <c r="D250" s="178" t="s">
        <v>271</v>
      </c>
      <c r="E250" s="178" t="s">
        <v>2635</v>
      </c>
      <c r="F250" s="178" t="s">
        <v>2636</v>
      </c>
      <c r="G250" s="178" t="s">
        <v>2633</v>
      </c>
      <c r="H250" s="164" t="s">
        <v>36</v>
      </c>
      <c r="I250" s="163"/>
      <c r="J250" s="164" t="s">
        <v>1784</v>
      </c>
      <c r="K250" s="163"/>
      <c r="L250" s="163"/>
      <c r="M250" s="163"/>
      <c r="N250" s="163"/>
      <c r="O250" s="163"/>
      <c r="P250" s="163"/>
      <c r="Q250" s="163"/>
      <c r="R250" s="163"/>
      <c r="S250" s="163"/>
      <c r="T250" s="163"/>
      <c r="U250" s="163"/>
      <c r="V250" s="163"/>
      <c r="W250" s="163"/>
      <c r="X250" s="163"/>
      <c r="Y250" s="163"/>
      <c r="Z250" s="163"/>
    </row>
    <row r="251" ht="14.25" customHeight="1">
      <c r="A251" s="176" t="s">
        <v>2620</v>
      </c>
      <c r="B251" s="177"/>
      <c r="C251" s="178" t="s">
        <v>2637</v>
      </c>
      <c r="D251" s="178" t="s">
        <v>271</v>
      </c>
      <c r="E251" s="178" t="s">
        <v>2638</v>
      </c>
      <c r="F251" s="178" t="s">
        <v>2639</v>
      </c>
      <c r="G251" s="178" t="s">
        <v>2633</v>
      </c>
      <c r="H251" s="164" t="s">
        <v>36</v>
      </c>
      <c r="I251" s="163"/>
      <c r="J251" s="164" t="s">
        <v>1784</v>
      </c>
      <c r="K251" s="163"/>
      <c r="L251" s="163"/>
      <c r="M251" s="163"/>
      <c r="N251" s="163"/>
      <c r="O251" s="163"/>
      <c r="P251" s="163"/>
      <c r="Q251" s="163"/>
      <c r="R251" s="163"/>
      <c r="S251" s="163"/>
      <c r="T251" s="163"/>
      <c r="U251" s="163"/>
      <c r="V251" s="163"/>
      <c r="W251" s="163"/>
      <c r="X251" s="163"/>
      <c r="Y251" s="163"/>
      <c r="Z251" s="163"/>
    </row>
    <row r="252" ht="14.25" customHeight="1">
      <c r="A252" s="176" t="s">
        <v>2620</v>
      </c>
      <c r="B252" s="177"/>
      <c r="C252" s="178" t="s">
        <v>2640</v>
      </c>
      <c r="D252" s="178" t="s">
        <v>271</v>
      </c>
      <c r="E252" s="178" t="s">
        <v>2641</v>
      </c>
      <c r="F252" s="178" t="s">
        <v>2642</v>
      </c>
      <c r="G252" s="178" t="s">
        <v>2643</v>
      </c>
      <c r="H252" s="164" t="s">
        <v>36</v>
      </c>
      <c r="I252" s="163"/>
      <c r="J252" s="164" t="s">
        <v>1784</v>
      </c>
      <c r="K252" s="163"/>
      <c r="L252" s="163"/>
      <c r="M252" s="163"/>
      <c r="N252" s="163"/>
      <c r="O252" s="163"/>
      <c r="P252" s="163"/>
      <c r="Q252" s="163"/>
      <c r="R252" s="163"/>
      <c r="S252" s="163"/>
      <c r="T252" s="163"/>
      <c r="U252" s="163"/>
      <c r="V252" s="163"/>
      <c r="W252" s="163"/>
      <c r="X252" s="163"/>
      <c r="Y252" s="163"/>
      <c r="Z252" s="163"/>
    </row>
    <row r="253" ht="14.25" customHeight="1">
      <c r="A253" s="176" t="s">
        <v>2620</v>
      </c>
      <c r="B253" s="177"/>
      <c r="C253" s="178" t="s">
        <v>2644</v>
      </c>
      <c r="D253" s="178" t="s">
        <v>271</v>
      </c>
      <c r="E253" s="178" t="s">
        <v>2641</v>
      </c>
      <c r="F253" s="178" t="s">
        <v>2645</v>
      </c>
      <c r="G253" s="178" t="s">
        <v>2646</v>
      </c>
      <c r="H253" s="164" t="s">
        <v>36</v>
      </c>
      <c r="I253" s="163"/>
      <c r="J253" s="164" t="s">
        <v>1784</v>
      </c>
      <c r="K253" s="163"/>
      <c r="L253" s="163"/>
      <c r="M253" s="163"/>
      <c r="N253" s="163"/>
      <c r="O253" s="163"/>
      <c r="P253" s="163"/>
      <c r="Q253" s="163"/>
      <c r="R253" s="163"/>
      <c r="S253" s="163"/>
      <c r="T253" s="163"/>
      <c r="U253" s="163"/>
      <c r="V253" s="163"/>
      <c r="W253" s="163"/>
      <c r="X253" s="163"/>
      <c r="Y253" s="163"/>
      <c r="Z253" s="163"/>
    </row>
    <row r="254" ht="14.25" customHeight="1">
      <c r="A254" s="176" t="s">
        <v>2620</v>
      </c>
      <c r="B254" s="177"/>
      <c r="C254" s="178" t="s">
        <v>2647</v>
      </c>
      <c r="D254" s="178" t="s">
        <v>271</v>
      </c>
      <c r="E254" s="178" t="s">
        <v>2641</v>
      </c>
      <c r="F254" s="178" t="s">
        <v>2648</v>
      </c>
      <c r="G254" s="178" t="s">
        <v>2649</v>
      </c>
      <c r="H254" s="164" t="s">
        <v>36</v>
      </c>
      <c r="I254" s="163"/>
      <c r="J254" s="164" t="s">
        <v>1784</v>
      </c>
      <c r="K254" s="163"/>
      <c r="L254" s="163"/>
      <c r="M254" s="163"/>
      <c r="N254" s="163"/>
      <c r="O254" s="163"/>
      <c r="P254" s="163"/>
      <c r="Q254" s="163"/>
      <c r="R254" s="163"/>
      <c r="S254" s="163"/>
      <c r="T254" s="163"/>
      <c r="U254" s="163"/>
      <c r="V254" s="163"/>
      <c r="W254" s="163"/>
      <c r="X254" s="163"/>
      <c r="Y254" s="163"/>
      <c r="Z254" s="163"/>
    </row>
    <row r="255" ht="14.25" customHeight="1">
      <c r="A255" s="176" t="s">
        <v>2620</v>
      </c>
      <c r="B255" s="177"/>
      <c r="C255" s="178" t="s">
        <v>2650</v>
      </c>
      <c r="D255" s="178" t="s">
        <v>271</v>
      </c>
      <c r="E255" s="178" t="s">
        <v>2641</v>
      </c>
      <c r="F255" s="178" t="s">
        <v>2651</v>
      </c>
      <c r="G255" s="178" t="s">
        <v>2652</v>
      </c>
      <c r="H255" s="164" t="s">
        <v>36</v>
      </c>
      <c r="I255" s="163"/>
      <c r="J255" s="164" t="s">
        <v>1784</v>
      </c>
      <c r="K255" s="163"/>
      <c r="L255" s="163"/>
      <c r="M255" s="163"/>
      <c r="N255" s="163"/>
      <c r="O255" s="163"/>
      <c r="P255" s="163"/>
      <c r="Q255" s="163"/>
      <c r="R255" s="163"/>
      <c r="S255" s="163"/>
      <c r="T255" s="163"/>
      <c r="U255" s="163"/>
      <c r="V255" s="163"/>
      <c r="W255" s="163"/>
      <c r="X255" s="163"/>
      <c r="Y255" s="163"/>
      <c r="Z255" s="163"/>
    </row>
    <row r="256" ht="14.25" customHeight="1">
      <c r="A256" s="176" t="s">
        <v>2620</v>
      </c>
      <c r="B256" s="177"/>
      <c r="C256" s="178" t="s">
        <v>2653</v>
      </c>
      <c r="D256" s="178" t="s">
        <v>271</v>
      </c>
      <c r="E256" s="178" t="s">
        <v>2641</v>
      </c>
      <c r="F256" s="178" t="s">
        <v>2654</v>
      </c>
      <c r="G256" s="178" t="s">
        <v>2655</v>
      </c>
      <c r="H256" s="164" t="s">
        <v>36</v>
      </c>
      <c r="I256" s="163"/>
      <c r="J256" s="164" t="s">
        <v>1784</v>
      </c>
      <c r="K256" s="163"/>
      <c r="L256" s="163"/>
      <c r="M256" s="163"/>
      <c r="N256" s="163"/>
      <c r="O256" s="163"/>
      <c r="P256" s="163"/>
      <c r="Q256" s="163"/>
      <c r="R256" s="163"/>
      <c r="S256" s="163"/>
      <c r="T256" s="163"/>
      <c r="U256" s="163"/>
      <c r="V256" s="163"/>
      <c r="W256" s="163"/>
      <c r="X256" s="163"/>
      <c r="Y256" s="163"/>
      <c r="Z256" s="163"/>
    </row>
    <row r="257" ht="14.25" customHeight="1">
      <c r="A257" s="176" t="s">
        <v>2620</v>
      </c>
      <c r="B257" s="179"/>
      <c r="C257" s="178" t="s">
        <v>2656</v>
      </c>
      <c r="D257" s="178" t="s">
        <v>271</v>
      </c>
      <c r="E257" s="178" t="s">
        <v>2657</v>
      </c>
      <c r="F257" s="178" t="s">
        <v>2658</v>
      </c>
      <c r="G257" s="178" t="s">
        <v>2659</v>
      </c>
      <c r="H257" s="164" t="s">
        <v>36</v>
      </c>
      <c r="I257" s="163"/>
      <c r="J257" s="164" t="s">
        <v>1784</v>
      </c>
      <c r="K257" s="163"/>
      <c r="L257" s="163"/>
      <c r="M257" s="163"/>
      <c r="N257" s="163"/>
      <c r="O257" s="163"/>
      <c r="P257" s="163"/>
      <c r="Q257" s="163"/>
      <c r="R257" s="163"/>
      <c r="S257" s="163"/>
      <c r="T257" s="163"/>
      <c r="U257" s="163"/>
      <c r="V257" s="163"/>
      <c r="W257" s="163"/>
      <c r="X257" s="163"/>
      <c r="Y257" s="163"/>
      <c r="Z257" s="163"/>
    </row>
    <row r="258" ht="14.25" customHeight="1">
      <c r="A258" s="176" t="s">
        <v>2660</v>
      </c>
      <c r="B258" s="180" t="s">
        <v>2661</v>
      </c>
      <c r="C258" s="178" t="s">
        <v>2662</v>
      </c>
      <c r="D258" s="178" t="s">
        <v>2082</v>
      </c>
      <c r="E258" s="178" t="s">
        <v>2663</v>
      </c>
      <c r="F258" s="178" t="s">
        <v>2664</v>
      </c>
      <c r="G258" s="178" t="s">
        <v>2665</v>
      </c>
      <c r="H258" s="164" t="s">
        <v>36</v>
      </c>
      <c r="I258" s="163"/>
      <c r="J258" s="164" t="s">
        <v>1784</v>
      </c>
      <c r="K258" s="163"/>
      <c r="L258" s="163"/>
      <c r="M258" s="163"/>
      <c r="N258" s="163"/>
      <c r="O258" s="163"/>
      <c r="P258" s="163"/>
      <c r="Q258" s="163"/>
      <c r="R258" s="163"/>
      <c r="S258" s="163"/>
      <c r="T258" s="163"/>
      <c r="U258" s="163"/>
      <c r="V258" s="163"/>
      <c r="W258" s="163"/>
      <c r="X258" s="163"/>
      <c r="Y258" s="163"/>
      <c r="Z258" s="163"/>
    </row>
    <row r="259" ht="14.25" customHeight="1">
      <c r="A259" s="176" t="s">
        <v>2660</v>
      </c>
      <c r="B259" s="177"/>
      <c r="C259" s="178" t="s">
        <v>2666</v>
      </c>
      <c r="D259" s="178" t="s">
        <v>2082</v>
      </c>
      <c r="E259" s="178" t="s">
        <v>2663</v>
      </c>
      <c r="F259" s="178" t="s">
        <v>2667</v>
      </c>
      <c r="G259" s="178" t="s">
        <v>2668</v>
      </c>
      <c r="H259" s="164" t="s">
        <v>36</v>
      </c>
      <c r="I259" s="163"/>
      <c r="J259" s="164" t="s">
        <v>1784</v>
      </c>
      <c r="K259" s="163"/>
      <c r="L259" s="163"/>
      <c r="M259" s="163"/>
      <c r="N259" s="163"/>
      <c r="O259" s="163"/>
      <c r="P259" s="163"/>
      <c r="Q259" s="163"/>
      <c r="R259" s="163"/>
      <c r="S259" s="163"/>
      <c r="T259" s="163"/>
      <c r="U259" s="163"/>
      <c r="V259" s="163"/>
      <c r="W259" s="163"/>
      <c r="X259" s="163"/>
      <c r="Y259" s="163"/>
      <c r="Z259" s="163"/>
    </row>
    <row r="260" ht="14.25" customHeight="1">
      <c r="A260" s="176" t="s">
        <v>2660</v>
      </c>
      <c r="B260" s="177"/>
      <c r="C260" s="178" t="s">
        <v>2669</v>
      </c>
      <c r="D260" s="178" t="s">
        <v>2082</v>
      </c>
      <c r="E260" s="178" t="s">
        <v>2663</v>
      </c>
      <c r="F260" s="178" t="s">
        <v>2670</v>
      </c>
      <c r="G260" s="178" t="s">
        <v>2671</v>
      </c>
      <c r="H260" s="164" t="s">
        <v>36</v>
      </c>
      <c r="I260" s="163"/>
      <c r="J260" s="164" t="s">
        <v>1784</v>
      </c>
      <c r="K260" s="163"/>
      <c r="L260" s="163"/>
      <c r="M260" s="163"/>
      <c r="N260" s="163"/>
      <c r="O260" s="163"/>
      <c r="P260" s="163"/>
      <c r="Q260" s="163"/>
      <c r="R260" s="163"/>
      <c r="S260" s="163"/>
      <c r="T260" s="163"/>
      <c r="U260" s="163"/>
      <c r="V260" s="163"/>
      <c r="W260" s="163"/>
      <c r="X260" s="163"/>
      <c r="Y260" s="163"/>
      <c r="Z260" s="163"/>
    </row>
    <row r="261" ht="14.25" customHeight="1">
      <c r="A261" s="176" t="s">
        <v>2660</v>
      </c>
      <c r="B261" s="177"/>
      <c r="C261" s="178" t="s">
        <v>2672</v>
      </c>
      <c r="D261" s="178" t="s">
        <v>2082</v>
      </c>
      <c r="E261" s="178" t="s">
        <v>2663</v>
      </c>
      <c r="F261" s="178" t="s">
        <v>2673</v>
      </c>
      <c r="G261" s="178" t="s">
        <v>2674</v>
      </c>
      <c r="H261" s="164" t="s">
        <v>36</v>
      </c>
      <c r="I261" s="163"/>
      <c r="J261" s="164" t="s">
        <v>1784</v>
      </c>
      <c r="K261" s="163"/>
      <c r="L261" s="163"/>
      <c r="M261" s="163"/>
      <c r="N261" s="163"/>
      <c r="O261" s="163"/>
      <c r="P261" s="163"/>
      <c r="Q261" s="163"/>
      <c r="R261" s="163"/>
      <c r="S261" s="163"/>
      <c r="T261" s="163"/>
      <c r="U261" s="163"/>
      <c r="V261" s="163"/>
      <c r="W261" s="163"/>
      <c r="X261" s="163"/>
      <c r="Y261" s="163"/>
      <c r="Z261" s="163"/>
    </row>
    <row r="262" ht="14.25" customHeight="1">
      <c r="A262" s="176" t="s">
        <v>2660</v>
      </c>
      <c r="B262" s="179"/>
      <c r="C262" s="178" t="s">
        <v>2675</v>
      </c>
      <c r="D262" s="178" t="s">
        <v>2082</v>
      </c>
      <c r="E262" s="178" t="s">
        <v>2663</v>
      </c>
      <c r="F262" s="178" t="s">
        <v>2676</v>
      </c>
      <c r="G262" s="178" t="s">
        <v>2677</v>
      </c>
      <c r="H262" s="164" t="s">
        <v>36</v>
      </c>
      <c r="I262" s="163"/>
      <c r="J262" s="164" t="s">
        <v>1784</v>
      </c>
      <c r="K262" s="163"/>
      <c r="L262" s="163"/>
      <c r="M262" s="163"/>
      <c r="N262" s="163"/>
      <c r="O262" s="163"/>
      <c r="P262" s="163"/>
      <c r="Q262" s="163"/>
      <c r="R262" s="163"/>
      <c r="S262" s="163"/>
      <c r="T262" s="163"/>
      <c r="U262" s="163"/>
      <c r="V262" s="163"/>
      <c r="W262" s="163"/>
      <c r="X262" s="163"/>
      <c r="Y262" s="163"/>
      <c r="Z262" s="163"/>
    </row>
    <row r="263" ht="14.25" customHeight="1">
      <c r="A263" s="165" t="s">
        <v>2678</v>
      </c>
      <c r="B263" s="188" t="s">
        <v>2679</v>
      </c>
      <c r="C263" s="175" t="s">
        <v>2680</v>
      </c>
      <c r="D263" s="175" t="s">
        <v>2482</v>
      </c>
      <c r="E263" s="175" t="s">
        <v>2681</v>
      </c>
      <c r="F263" s="165" t="s">
        <v>2682</v>
      </c>
      <c r="G263" s="189"/>
      <c r="H263" s="175" t="s">
        <v>36</v>
      </c>
      <c r="I263" s="163"/>
      <c r="J263" s="164" t="s">
        <v>1784</v>
      </c>
      <c r="K263" s="163"/>
      <c r="L263" s="163"/>
      <c r="M263" s="163"/>
      <c r="N263" s="163"/>
      <c r="O263" s="163"/>
      <c r="P263" s="163"/>
      <c r="Q263" s="163"/>
      <c r="R263" s="163"/>
      <c r="S263" s="163"/>
      <c r="T263" s="163"/>
      <c r="U263" s="163"/>
      <c r="V263" s="163"/>
      <c r="W263" s="163"/>
      <c r="X263" s="163"/>
      <c r="Y263" s="163"/>
      <c r="Z263" s="163"/>
    </row>
    <row r="264" ht="14.25" customHeight="1">
      <c r="A264" s="176" t="s">
        <v>2678</v>
      </c>
      <c r="B264" s="108"/>
      <c r="C264" s="178" t="s">
        <v>2683</v>
      </c>
      <c r="D264" s="178" t="s">
        <v>2482</v>
      </c>
      <c r="E264" s="178" t="s">
        <v>2681</v>
      </c>
      <c r="F264" s="176" t="s">
        <v>2684</v>
      </c>
      <c r="G264" s="178" t="s">
        <v>2685</v>
      </c>
      <c r="H264" s="175" t="s">
        <v>36</v>
      </c>
      <c r="I264" s="163"/>
      <c r="J264" s="164" t="s">
        <v>1784</v>
      </c>
      <c r="K264" s="163"/>
      <c r="L264" s="163"/>
      <c r="M264" s="163"/>
      <c r="N264" s="163"/>
      <c r="O264" s="163"/>
      <c r="P264" s="163"/>
      <c r="Q264" s="163"/>
      <c r="R264" s="163"/>
      <c r="S264" s="163"/>
      <c r="T264" s="163"/>
      <c r="U264" s="163"/>
      <c r="V264" s="163"/>
      <c r="W264" s="163"/>
      <c r="X264" s="163"/>
      <c r="Y264" s="163"/>
      <c r="Z264" s="163"/>
    </row>
    <row r="265" ht="14.25" customHeight="1">
      <c r="A265" s="176" t="s">
        <v>2678</v>
      </c>
      <c r="B265" s="108"/>
      <c r="C265" s="178" t="s">
        <v>2686</v>
      </c>
      <c r="D265" s="178" t="s">
        <v>2482</v>
      </c>
      <c r="E265" s="178" t="s">
        <v>2681</v>
      </c>
      <c r="F265" s="176" t="s">
        <v>2687</v>
      </c>
      <c r="G265" s="178" t="s">
        <v>2688</v>
      </c>
      <c r="H265" s="175" t="s">
        <v>36</v>
      </c>
      <c r="I265" s="163"/>
      <c r="J265" s="164" t="s">
        <v>1784</v>
      </c>
      <c r="K265" s="163"/>
      <c r="L265" s="163"/>
      <c r="M265" s="163"/>
      <c r="N265" s="163"/>
      <c r="O265" s="163"/>
      <c r="P265" s="163"/>
      <c r="Q265" s="163"/>
      <c r="R265" s="163"/>
      <c r="S265" s="163"/>
      <c r="T265" s="163"/>
      <c r="U265" s="163"/>
      <c r="V265" s="163"/>
      <c r="W265" s="163"/>
      <c r="X265" s="163"/>
      <c r="Y265" s="163"/>
      <c r="Z265" s="163"/>
    </row>
    <row r="266" ht="14.25" customHeight="1">
      <c r="A266" s="176" t="s">
        <v>2678</v>
      </c>
      <c r="B266" s="108"/>
      <c r="C266" s="178" t="s">
        <v>2689</v>
      </c>
      <c r="D266" s="178" t="s">
        <v>2482</v>
      </c>
      <c r="E266" s="178" t="s">
        <v>2681</v>
      </c>
      <c r="F266" s="176" t="s">
        <v>2690</v>
      </c>
      <c r="G266" s="178" t="s">
        <v>2691</v>
      </c>
      <c r="H266" s="175" t="s">
        <v>36</v>
      </c>
      <c r="I266" s="163"/>
      <c r="J266" s="164" t="s">
        <v>1784</v>
      </c>
      <c r="K266" s="163"/>
      <c r="L266" s="163"/>
      <c r="M266" s="163"/>
      <c r="N266" s="163"/>
      <c r="O266" s="163"/>
      <c r="P266" s="163"/>
      <c r="Q266" s="163"/>
      <c r="R266" s="163"/>
      <c r="S266" s="163"/>
      <c r="T266" s="163"/>
      <c r="U266" s="163"/>
      <c r="V266" s="163"/>
      <c r="W266" s="163"/>
      <c r="X266" s="163"/>
      <c r="Y266" s="163"/>
      <c r="Z266" s="163"/>
    </row>
    <row r="267" ht="14.25" customHeight="1">
      <c r="A267" s="176" t="s">
        <v>2678</v>
      </c>
      <c r="B267" s="108"/>
      <c r="C267" s="178" t="s">
        <v>2692</v>
      </c>
      <c r="D267" s="178" t="s">
        <v>2482</v>
      </c>
      <c r="E267" s="178" t="s">
        <v>2681</v>
      </c>
      <c r="F267" s="176" t="s">
        <v>2693</v>
      </c>
      <c r="G267" s="178" t="s">
        <v>2694</v>
      </c>
      <c r="H267" s="175" t="s">
        <v>36</v>
      </c>
      <c r="I267" s="163"/>
      <c r="J267" s="164" t="s">
        <v>1784</v>
      </c>
      <c r="K267" s="163"/>
      <c r="L267" s="163"/>
      <c r="M267" s="163"/>
      <c r="N267" s="163"/>
      <c r="O267" s="163"/>
      <c r="P267" s="163"/>
      <c r="Q267" s="163"/>
      <c r="R267" s="163"/>
      <c r="S267" s="163"/>
      <c r="T267" s="163"/>
      <c r="U267" s="163"/>
      <c r="V267" s="163"/>
      <c r="W267" s="163"/>
      <c r="X267" s="163"/>
      <c r="Y267" s="163"/>
      <c r="Z267" s="163"/>
    </row>
    <row r="268" ht="14.25" customHeight="1">
      <c r="A268" s="176" t="s">
        <v>2678</v>
      </c>
      <c r="B268" s="108"/>
      <c r="C268" s="178" t="s">
        <v>2695</v>
      </c>
      <c r="D268" s="178" t="s">
        <v>2482</v>
      </c>
      <c r="E268" s="178" t="s">
        <v>2681</v>
      </c>
      <c r="F268" s="176" t="s">
        <v>2696</v>
      </c>
      <c r="G268" s="178" t="s">
        <v>2697</v>
      </c>
      <c r="H268" s="175" t="s">
        <v>36</v>
      </c>
      <c r="I268" s="163"/>
      <c r="J268" s="164" t="s">
        <v>1784</v>
      </c>
      <c r="K268" s="163"/>
      <c r="L268" s="163"/>
      <c r="M268" s="163"/>
      <c r="N268" s="163"/>
      <c r="O268" s="163"/>
      <c r="P268" s="163"/>
      <c r="Q268" s="163"/>
      <c r="R268" s="163"/>
      <c r="S268" s="163"/>
      <c r="T268" s="163"/>
      <c r="U268" s="163"/>
      <c r="V268" s="163"/>
      <c r="W268" s="163"/>
      <c r="X268" s="163"/>
      <c r="Y268" s="163"/>
      <c r="Z268" s="163"/>
    </row>
    <row r="269" ht="14.25" customHeight="1">
      <c r="A269" s="176" t="s">
        <v>2678</v>
      </c>
      <c r="B269" s="108"/>
      <c r="C269" s="178" t="s">
        <v>2698</v>
      </c>
      <c r="D269" s="178" t="s">
        <v>2482</v>
      </c>
      <c r="E269" s="178" t="s">
        <v>2681</v>
      </c>
      <c r="F269" s="176" t="s">
        <v>2699</v>
      </c>
      <c r="G269" s="178" t="s">
        <v>2700</v>
      </c>
      <c r="H269" s="175" t="s">
        <v>36</v>
      </c>
      <c r="I269" s="163"/>
      <c r="J269" s="164" t="s">
        <v>1784</v>
      </c>
      <c r="K269" s="163"/>
      <c r="L269" s="163"/>
      <c r="M269" s="163"/>
      <c r="N269" s="163"/>
      <c r="O269" s="163"/>
      <c r="P269" s="163"/>
      <c r="Q269" s="163"/>
      <c r="R269" s="163"/>
      <c r="S269" s="163"/>
      <c r="T269" s="163"/>
      <c r="U269" s="163"/>
      <c r="V269" s="163"/>
      <c r="W269" s="163"/>
      <c r="X269" s="163"/>
      <c r="Y269" s="163"/>
      <c r="Z269" s="163"/>
    </row>
    <row r="270" ht="14.25" customHeight="1">
      <c r="A270" s="176" t="s">
        <v>2678</v>
      </c>
      <c r="B270" s="108"/>
      <c r="C270" s="178" t="s">
        <v>2701</v>
      </c>
      <c r="D270" s="178" t="s">
        <v>2482</v>
      </c>
      <c r="E270" s="178" t="s">
        <v>2681</v>
      </c>
      <c r="F270" s="176" t="s">
        <v>2702</v>
      </c>
      <c r="G270" s="178" t="s">
        <v>2703</v>
      </c>
      <c r="H270" s="175" t="s">
        <v>36</v>
      </c>
      <c r="I270" s="163"/>
      <c r="J270" s="164" t="s">
        <v>1784</v>
      </c>
      <c r="K270" s="163"/>
      <c r="L270" s="163"/>
      <c r="M270" s="163"/>
      <c r="N270" s="163"/>
      <c r="O270" s="163"/>
      <c r="P270" s="163"/>
      <c r="Q270" s="163"/>
      <c r="R270" s="163"/>
      <c r="S270" s="163"/>
      <c r="T270" s="163"/>
      <c r="U270" s="163"/>
      <c r="V270" s="163"/>
      <c r="W270" s="163"/>
      <c r="X270" s="163"/>
      <c r="Y270" s="163"/>
      <c r="Z270" s="163"/>
    </row>
    <row r="271" ht="14.25" customHeight="1">
      <c r="A271" s="176" t="s">
        <v>2678</v>
      </c>
      <c r="B271" s="108"/>
      <c r="C271" s="178" t="s">
        <v>2704</v>
      </c>
      <c r="D271" s="178" t="s">
        <v>2482</v>
      </c>
      <c r="E271" s="178" t="s">
        <v>2681</v>
      </c>
      <c r="F271" s="176" t="s">
        <v>2705</v>
      </c>
      <c r="G271" s="178" t="s">
        <v>2706</v>
      </c>
      <c r="H271" s="175" t="s">
        <v>36</v>
      </c>
      <c r="I271" s="163"/>
      <c r="J271" s="164" t="s">
        <v>1784</v>
      </c>
      <c r="K271" s="163"/>
      <c r="L271" s="163"/>
      <c r="M271" s="163"/>
      <c r="N271" s="163"/>
      <c r="O271" s="163"/>
      <c r="P271" s="163"/>
      <c r="Q271" s="163"/>
      <c r="R271" s="163"/>
      <c r="S271" s="163"/>
      <c r="T271" s="163"/>
      <c r="U271" s="163"/>
      <c r="V271" s="163"/>
      <c r="W271" s="163"/>
      <c r="X271" s="163"/>
      <c r="Y271" s="163"/>
      <c r="Z271" s="163"/>
    </row>
    <row r="272" ht="14.25" customHeight="1">
      <c r="A272" s="176" t="s">
        <v>2678</v>
      </c>
      <c r="B272" s="108"/>
      <c r="C272" s="178" t="s">
        <v>2707</v>
      </c>
      <c r="D272" s="178" t="s">
        <v>2482</v>
      </c>
      <c r="E272" s="178" t="s">
        <v>2681</v>
      </c>
      <c r="F272" s="176" t="s">
        <v>2708</v>
      </c>
      <c r="G272" s="178" t="s">
        <v>2709</v>
      </c>
      <c r="H272" s="175" t="s">
        <v>36</v>
      </c>
      <c r="I272" s="163"/>
      <c r="J272" s="164" t="s">
        <v>1784</v>
      </c>
      <c r="K272" s="163"/>
      <c r="L272" s="163"/>
      <c r="M272" s="163"/>
      <c r="N272" s="163"/>
      <c r="O272" s="163"/>
      <c r="P272" s="163"/>
      <c r="Q272" s="163"/>
      <c r="R272" s="163"/>
      <c r="S272" s="163"/>
      <c r="T272" s="163"/>
      <c r="U272" s="163"/>
      <c r="V272" s="163"/>
      <c r="W272" s="163"/>
      <c r="X272" s="163"/>
      <c r="Y272" s="163"/>
      <c r="Z272" s="163"/>
    </row>
    <row r="273" ht="14.25" customHeight="1">
      <c r="A273" s="176" t="s">
        <v>2678</v>
      </c>
      <c r="B273" s="108"/>
      <c r="C273" s="178" t="s">
        <v>2710</v>
      </c>
      <c r="D273" s="178" t="s">
        <v>2482</v>
      </c>
      <c r="E273" s="178" t="s">
        <v>2681</v>
      </c>
      <c r="F273" s="176" t="s">
        <v>2711</v>
      </c>
      <c r="G273" s="178" t="s">
        <v>2712</v>
      </c>
      <c r="H273" s="175" t="s">
        <v>36</v>
      </c>
      <c r="I273" s="163"/>
      <c r="J273" s="164" t="s">
        <v>1784</v>
      </c>
      <c r="K273" s="163"/>
      <c r="L273" s="163"/>
      <c r="M273" s="163"/>
      <c r="N273" s="163"/>
      <c r="O273" s="163"/>
      <c r="P273" s="163"/>
      <c r="Q273" s="163"/>
      <c r="R273" s="163"/>
      <c r="S273" s="163"/>
      <c r="T273" s="163"/>
      <c r="U273" s="163"/>
      <c r="V273" s="163"/>
      <c r="W273" s="163"/>
      <c r="X273" s="163"/>
      <c r="Y273" s="163"/>
      <c r="Z273" s="163"/>
    </row>
    <row r="274" ht="14.25" customHeight="1">
      <c r="A274" s="176" t="s">
        <v>2678</v>
      </c>
      <c r="B274" s="108"/>
      <c r="C274" s="178" t="s">
        <v>2713</v>
      </c>
      <c r="D274" s="178" t="s">
        <v>2482</v>
      </c>
      <c r="E274" s="178" t="s">
        <v>2681</v>
      </c>
      <c r="F274" s="176" t="s">
        <v>2714</v>
      </c>
      <c r="G274" s="178" t="s">
        <v>2715</v>
      </c>
      <c r="H274" s="175" t="s">
        <v>36</v>
      </c>
      <c r="I274" s="163"/>
      <c r="J274" s="164" t="s">
        <v>1784</v>
      </c>
      <c r="K274" s="163"/>
      <c r="L274" s="163"/>
      <c r="M274" s="163"/>
      <c r="N274" s="163"/>
      <c r="O274" s="163"/>
      <c r="P274" s="163"/>
      <c r="Q274" s="163"/>
      <c r="R274" s="163"/>
      <c r="S274" s="163"/>
      <c r="T274" s="163"/>
      <c r="U274" s="163"/>
      <c r="V274" s="163"/>
      <c r="W274" s="163"/>
      <c r="X274" s="163"/>
      <c r="Y274" s="163"/>
      <c r="Z274" s="163"/>
    </row>
    <row r="275" ht="14.25" customHeight="1">
      <c r="A275" s="176" t="s">
        <v>2678</v>
      </c>
      <c r="B275" s="108"/>
      <c r="C275" s="178" t="s">
        <v>2716</v>
      </c>
      <c r="D275" s="178" t="s">
        <v>2482</v>
      </c>
      <c r="E275" s="178" t="s">
        <v>2681</v>
      </c>
      <c r="F275" s="176" t="s">
        <v>2717</v>
      </c>
      <c r="G275" s="178" t="s">
        <v>2703</v>
      </c>
      <c r="H275" s="175" t="s">
        <v>36</v>
      </c>
      <c r="I275" s="163"/>
      <c r="J275" s="164" t="s">
        <v>1784</v>
      </c>
      <c r="K275" s="163"/>
      <c r="L275" s="163"/>
      <c r="M275" s="163"/>
      <c r="N275" s="163"/>
      <c r="O275" s="163"/>
      <c r="P275" s="163"/>
      <c r="Q275" s="163"/>
      <c r="R275" s="163"/>
      <c r="S275" s="163"/>
      <c r="T275" s="163"/>
      <c r="U275" s="163"/>
      <c r="V275" s="163"/>
      <c r="W275" s="163"/>
      <c r="X275" s="163"/>
      <c r="Y275" s="163"/>
      <c r="Z275" s="163"/>
    </row>
    <row r="276" ht="14.25" customHeight="1">
      <c r="A276" s="176" t="s">
        <v>2678</v>
      </c>
      <c r="B276" s="108"/>
      <c r="C276" s="178" t="s">
        <v>2718</v>
      </c>
      <c r="D276" s="178" t="s">
        <v>2482</v>
      </c>
      <c r="E276" s="178" t="s">
        <v>2681</v>
      </c>
      <c r="F276" s="176" t="s">
        <v>2719</v>
      </c>
      <c r="G276" s="178" t="s">
        <v>2720</v>
      </c>
      <c r="H276" s="175" t="s">
        <v>36</v>
      </c>
      <c r="I276" s="163"/>
      <c r="J276" s="164" t="s">
        <v>1784</v>
      </c>
      <c r="K276" s="163"/>
      <c r="L276" s="163"/>
      <c r="M276" s="163"/>
      <c r="N276" s="163"/>
      <c r="O276" s="163"/>
      <c r="P276" s="163"/>
      <c r="Q276" s="163"/>
      <c r="R276" s="163"/>
      <c r="S276" s="163"/>
      <c r="T276" s="163"/>
      <c r="U276" s="163"/>
      <c r="V276" s="163"/>
      <c r="W276" s="163"/>
      <c r="X276" s="163"/>
      <c r="Y276" s="163"/>
      <c r="Z276" s="163"/>
    </row>
    <row r="277" ht="14.25" customHeight="1">
      <c r="A277" s="176" t="s">
        <v>2678</v>
      </c>
      <c r="B277" s="108"/>
      <c r="C277" s="178" t="s">
        <v>2721</v>
      </c>
      <c r="D277" s="178" t="s">
        <v>2482</v>
      </c>
      <c r="E277" s="178" t="s">
        <v>2681</v>
      </c>
      <c r="F277" s="176" t="s">
        <v>2722</v>
      </c>
      <c r="G277" s="178" t="s">
        <v>2723</v>
      </c>
      <c r="H277" s="178" t="s">
        <v>317</v>
      </c>
      <c r="I277" s="163"/>
      <c r="J277" s="164" t="s">
        <v>1784</v>
      </c>
      <c r="K277" s="164" t="s">
        <v>2724</v>
      </c>
      <c r="L277" s="163"/>
      <c r="M277" s="163"/>
      <c r="N277" s="163"/>
      <c r="O277" s="163"/>
      <c r="P277" s="163"/>
      <c r="Q277" s="163"/>
      <c r="R277" s="163"/>
      <c r="S277" s="163"/>
      <c r="T277" s="163"/>
      <c r="U277" s="163"/>
      <c r="V277" s="163"/>
      <c r="W277" s="163"/>
      <c r="X277" s="163"/>
      <c r="Y277" s="163"/>
      <c r="Z277" s="163"/>
    </row>
    <row r="278" ht="14.25" customHeight="1">
      <c r="A278" s="176" t="s">
        <v>2678</v>
      </c>
      <c r="B278" s="109"/>
      <c r="C278" s="178" t="s">
        <v>2725</v>
      </c>
      <c r="D278" s="178" t="s">
        <v>2482</v>
      </c>
      <c r="E278" s="178" t="s">
        <v>2681</v>
      </c>
      <c r="F278" s="176" t="s">
        <v>2726</v>
      </c>
      <c r="G278" s="178" t="s">
        <v>2727</v>
      </c>
      <c r="H278" s="178" t="s">
        <v>36</v>
      </c>
      <c r="I278" s="163"/>
      <c r="J278" s="164" t="s">
        <v>1784</v>
      </c>
      <c r="K278" s="163"/>
      <c r="L278" s="163"/>
      <c r="M278" s="163"/>
      <c r="N278" s="163"/>
      <c r="O278" s="163"/>
      <c r="P278" s="163"/>
      <c r="Q278" s="163"/>
      <c r="R278" s="163"/>
      <c r="S278" s="163"/>
      <c r="T278" s="163"/>
      <c r="U278" s="163"/>
      <c r="V278" s="163"/>
      <c r="W278" s="163"/>
      <c r="X278" s="163"/>
      <c r="Y278" s="163"/>
      <c r="Z278" s="163"/>
    </row>
    <row r="279" ht="14.25" customHeight="1">
      <c r="A279" s="147" t="s">
        <v>2728</v>
      </c>
      <c r="B279" s="190" t="s">
        <v>2729</v>
      </c>
      <c r="C279" s="191" t="s">
        <v>2730</v>
      </c>
      <c r="D279" s="191" t="s">
        <v>2482</v>
      </c>
      <c r="E279" s="191" t="s">
        <v>2731</v>
      </c>
      <c r="F279" s="191" t="s">
        <v>2732</v>
      </c>
      <c r="G279" s="191" t="s">
        <v>2733</v>
      </c>
      <c r="H279" s="191" t="s">
        <v>36</v>
      </c>
      <c r="I279" s="191" t="s">
        <v>2062</v>
      </c>
      <c r="J279" s="164" t="s">
        <v>2062</v>
      </c>
      <c r="K279" s="163"/>
      <c r="L279" s="163"/>
      <c r="M279" s="163"/>
      <c r="N279" s="163"/>
      <c r="O279" s="163"/>
      <c r="P279" s="163"/>
      <c r="Q279" s="163"/>
      <c r="R279" s="163"/>
      <c r="S279" s="163"/>
      <c r="T279" s="163"/>
      <c r="U279" s="163"/>
      <c r="V279" s="163"/>
      <c r="W279" s="163"/>
      <c r="X279" s="163"/>
      <c r="Y279" s="163"/>
      <c r="Z279" s="163"/>
    </row>
    <row r="280" ht="14.25" customHeight="1">
      <c r="A280" s="192" t="s">
        <v>2728</v>
      </c>
      <c r="B280" s="108"/>
      <c r="C280" s="193" t="s">
        <v>2734</v>
      </c>
      <c r="D280" s="191" t="s">
        <v>2482</v>
      </c>
      <c r="E280" s="178" t="s">
        <v>2735</v>
      </c>
      <c r="F280" s="178" t="s">
        <v>2736</v>
      </c>
      <c r="G280" s="178" t="s">
        <v>2737</v>
      </c>
      <c r="H280" s="191" t="s">
        <v>36</v>
      </c>
      <c r="I280" s="193" t="s">
        <v>2062</v>
      </c>
      <c r="J280" s="164" t="s">
        <v>2062</v>
      </c>
      <c r="K280" s="163"/>
      <c r="L280" s="163"/>
      <c r="M280" s="163"/>
      <c r="N280" s="163"/>
      <c r="O280" s="163"/>
      <c r="P280" s="163"/>
      <c r="Q280" s="163"/>
      <c r="R280" s="163"/>
      <c r="S280" s="163"/>
      <c r="T280" s="163"/>
      <c r="U280" s="163"/>
      <c r="V280" s="163"/>
      <c r="W280" s="163"/>
      <c r="X280" s="163"/>
      <c r="Y280" s="163"/>
      <c r="Z280" s="163"/>
    </row>
    <row r="281" ht="14.25" customHeight="1">
      <c r="A281" s="192" t="s">
        <v>2728</v>
      </c>
      <c r="B281" s="108"/>
      <c r="C281" s="193" t="s">
        <v>2738</v>
      </c>
      <c r="D281" s="191" t="s">
        <v>2482</v>
      </c>
      <c r="E281" s="178" t="s">
        <v>2739</v>
      </c>
      <c r="F281" s="178" t="s">
        <v>2740</v>
      </c>
      <c r="G281" s="178" t="s">
        <v>2741</v>
      </c>
      <c r="H281" s="191" t="s">
        <v>36</v>
      </c>
      <c r="I281" s="193" t="s">
        <v>2062</v>
      </c>
      <c r="J281" s="164" t="s">
        <v>2062</v>
      </c>
      <c r="K281" s="163"/>
      <c r="L281" s="163"/>
      <c r="M281" s="163"/>
      <c r="N281" s="163"/>
      <c r="O281" s="163"/>
      <c r="P281" s="163"/>
      <c r="Q281" s="163"/>
      <c r="R281" s="163"/>
      <c r="S281" s="163"/>
      <c r="T281" s="163"/>
      <c r="U281" s="163"/>
      <c r="V281" s="163"/>
      <c r="W281" s="163"/>
      <c r="X281" s="163"/>
      <c r="Y281" s="163"/>
      <c r="Z281" s="163"/>
    </row>
    <row r="282" ht="14.25" customHeight="1">
      <c r="A282" s="192" t="s">
        <v>2728</v>
      </c>
      <c r="B282" s="108"/>
      <c r="C282" s="193" t="s">
        <v>2742</v>
      </c>
      <c r="D282" s="191" t="s">
        <v>2482</v>
      </c>
      <c r="E282" s="178" t="s">
        <v>2743</v>
      </c>
      <c r="F282" s="178" t="s">
        <v>2744</v>
      </c>
      <c r="G282" s="178" t="s">
        <v>2745</v>
      </c>
      <c r="H282" s="191" t="s">
        <v>36</v>
      </c>
      <c r="I282" s="193" t="s">
        <v>2062</v>
      </c>
      <c r="J282" s="164" t="s">
        <v>2062</v>
      </c>
      <c r="K282" s="163"/>
      <c r="L282" s="163"/>
      <c r="M282" s="163"/>
      <c r="N282" s="163"/>
      <c r="O282" s="163"/>
      <c r="P282" s="163"/>
      <c r="Q282" s="163"/>
      <c r="R282" s="163"/>
      <c r="S282" s="163"/>
      <c r="T282" s="163"/>
      <c r="U282" s="163"/>
      <c r="V282" s="163"/>
      <c r="W282" s="163"/>
      <c r="X282" s="163"/>
      <c r="Y282" s="163"/>
      <c r="Z282" s="163"/>
    </row>
    <row r="283" ht="14.25" customHeight="1">
      <c r="A283" s="192" t="s">
        <v>2728</v>
      </c>
      <c r="B283" s="108"/>
      <c r="C283" s="193" t="s">
        <v>2746</v>
      </c>
      <c r="D283" s="191" t="s">
        <v>2482</v>
      </c>
      <c r="E283" s="178" t="s">
        <v>2747</v>
      </c>
      <c r="F283" s="178" t="s">
        <v>2748</v>
      </c>
      <c r="G283" s="178" t="s">
        <v>2749</v>
      </c>
      <c r="H283" s="191" t="s">
        <v>36</v>
      </c>
      <c r="I283" s="193" t="s">
        <v>2062</v>
      </c>
      <c r="J283" s="164" t="s">
        <v>2062</v>
      </c>
      <c r="K283" s="163"/>
      <c r="L283" s="163"/>
      <c r="M283" s="163"/>
      <c r="N283" s="163"/>
      <c r="O283" s="163"/>
      <c r="P283" s="163"/>
      <c r="Q283" s="163"/>
      <c r="R283" s="163"/>
      <c r="S283" s="163"/>
      <c r="T283" s="163"/>
      <c r="U283" s="163"/>
      <c r="V283" s="163"/>
      <c r="W283" s="163"/>
      <c r="X283" s="163"/>
      <c r="Y283" s="163"/>
      <c r="Z283" s="163"/>
    </row>
    <row r="284" ht="14.25" customHeight="1">
      <c r="A284" s="192" t="s">
        <v>2728</v>
      </c>
      <c r="B284" s="108"/>
      <c r="C284" s="193" t="s">
        <v>2750</v>
      </c>
      <c r="D284" s="191" t="s">
        <v>2482</v>
      </c>
      <c r="E284" s="178" t="s">
        <v>2751</v>
      </c>
      <c r="F284" s="178" t="s">
        <v>2752</v>
      </c>
      <c r="G284" s="178" t="s">
        <v>2753</v>
      </c>
      <c r="H284" s="191" t="s">
        <v>36</v>
      </c>
      <c r="I284" s="193" t="s">
        <v>2062</v>
      </c>
      <c r="J284" s="164" t="s">
        <v>2062</v>
      </c>
      <c r="K284" s="163"/>
      <c r="L284" s="163"/>
      <c r="M284" s="163"/>
      <c r="N284" s="163"/>
      <c r="O284" s="163"/>
      <c r="P284" s="163"/>
      <c r="Q284" s="163"/>
      <c r="R284" s="163"/>
      <c r="S284" s="163"/>
      <c r="T284" s="163"/>
      <c r="U284" s="163"/>
      <c r="V284" s="163"/>
      <c r="W284" s="163"/>
      <c r="X284" s="163"/>
      <c r="Y284" s="163"/>
      <c r="Z284" s="163"/>
    </row>
    <row r="285" ht="14.25" customHeight="1">
      <c r="A285" s="192" t="s">
        <v>2728</v>
      </c>
      <c r="B285" s="108"/>
      <c r="C285" s="193" t="s">
        <v>2754</v>
      </c>
      <c r="D285" s="191" t="s">
        <v>2482</v>
      </c>
      <c r="E285" s="178" t="s">
        <v>2755</v>
      </c>
      <c r="F285" s="178" t="s">
        <v>2756</v>
      </c>
      <c r="G285" s="178" t="s">
        <v>2757</v>
      </c>
      <c r="H285" s="191" t="s">
        <v>36</v>
      </c>
      <c r="I285" s="193" t="s">
        <v>2062</v>
      </c>
      <c r="J285" s="164" t="s">
        <v>2062</v>
      </c>
      <c r="K285" s="163"/>
      <c r="L285" s="163"/>
      <c r="M285" s="163"/>
      <c r="N285" s="163"/>
      <c r="O285" s="163"/>
      <c r="P285" s="163"/>
      <c r="Q285" s="163"/>
      <c r="R285" s="163"/>
      <c r="S285" s="163"/>
      <c r="T285" s="163"/>
      <c r="U285" s="163"/>
      <c r="V285" s="163"/>
      <c r="W285" s="163"/>
      <c r="X285" s="163"/>
      <c r="Y285" s="163"/>
      <c r="Z285" s="163"/>
    </row>
    <row r="286" ht="14.25" customHeight="1">
      <c r="A286" s="192" t="s">
        <v>2728</v>
      </c>
      <c r="B286" s="108"/>
      <c r="C286" s="193" t="s">
        <v>2758</v>
      </c>
      <c r="D286" s="191" t="s">
        <v>2482</v>
      </c>
      <c r="E286" s="178" t="s">
        <v>2759</v>
      </c>
      <c r="F286" s="178" t="s">
        <v>2760</v>
      </c>
      <c r="G286" s="178" t="s">
        <v>2757</v>
      </c>
      <c r="H286" s="191" t="s">
        <v>36</v>
      </c>
      <c r="I286" s="193" t="s">
        <v>2062</v>
      </c>
      <c r="J286" s="164" t="s">
        <v>2062</v>
      </c>
      <c r="K286" s="163"/>
      <c r="L286" s="163"/>
      <c r="M286" s="163"/>
      <c r="N286" s="163"/>
      <c r="O286" s="163"/>
      <c r="P286" s="163"/>
      <c r="Q286" s="163"/>
      <c r="R286" s="163"/>
      <c r="S286" s="163"/>
      <c r="T286" s="163"/>
      <c r="U286" s="163"/>
      <c r="V286" s="163"/>
      <c r="W286" s="163"/>
      <c r="X286" s="163"/>
      <c r="Y286" s="163"/>
      <c r="Z286" s="163"/>
    </row>
    <row r="287" ht="14.25" customHeight="1">
      <c r="A287" s="192" t="s">
        <v>2728</v>
      </c>
      <c r="B287" s="108"/>
      <c r="C287" s="193" t="s">
        <v>2761</v>
      </c>
      <c r="D287" s="191" t="s">
        <v>2482</v>
      </c>
      <c r="E287" s="178" t="s">
        <v>2762</v>
      </c>
      <c r="F287" s="178" t="s">
        <v>2763</v>
      </c>
      <c r="G287" s="178" t="s">
        <v>2764</v>
      </c>
      <c r="H287" s="191" t="s">
        <v>36</v>
      </c>
      <c r="I287" s="193" t="s">
        <v>2062</v>
      </c>
      <c r="J287" s="164" t="s">
        <v>2062</v>
      </c>
      <c r="K287" s="163"/>
      <c r="L287" s="163"/>
      <c r="M287" s="163"/>
      <c r="N287" s="163"/>
      <c r="O287" s="163"/>
      <c r="P287" s="163"/>
      <c r="Q287" s="163"/>
      <c r="R287" s="163"/>
      <c r="S287" s="163"/>
      <c r="T287" s="163"/>
      <c r="U287" s="163"/>
      <c r="V287" s="163"/>
      <c r="W287" s="163"/>
      <c r="X287" s="163"/>
      <c r="Y287" s="163"/>
      <c r="Z287" s="163"/>
    </row>
    <row r="288" ht="14.25" customHeight="1">
      <c r="A288" s="192" t="s">
        <v>2728</v>
      </c>
      <c r="B288" s="108"/>
      <c r="C288" s="193" t="s">
        <v>2765</v>
      </c>
      <c r="D288" s="191" t="s">
        <v>2482</v>
      </c>
      <c r="E288" s="178" t="s">
        <v>2766</v>
      </c>
      <c r="F288" s="178" t="s">
        <v>2767</v>
      </c>
      <c r="G288" s="178" t="s">
        <v>2768</v>
      </c>
      <c r="H288" s="191" t="s">
        <v>36</v>
      </c>
      <c r="I288" s="193" t="s">
        <v>2062</v>
      </c>
      <c r="J288" s="164" t="s">
        <v>2062</v>
      </c>
      <c r="K288" s="163"/>
      <c r="L288" s="163"/>
      <c r="M288" s="163"/>
      <c r="N288" s="163"/>
      <c r="O288" s="163"/>
      <c r="P288" s="163"/>
      <c r="Q288" s="163"/>
      <c r="R288" s="163"/>
      <c r="S288" s="163"/>
      <c r="T288" s="163"/>
      <c r="U288" s="163"/>
      <c r="V288" s="163"/>
      <c r="W288" s="163"/>
      <c r="X288" s="163"/>
      <c r="Y288" s="163"/>
      <c r="Z288" s="163"/>
    </row>
    <row r="289" ht="14.25" customHeight="1">
      <c r="A289" s="192" t="s">
        <v>2728</v>
      </c>
      <c r="B289" s="108"/>
      <c r="C289" s="193" t="s">
        <v>2769</v>
      </c>
      <c r="D289" s="191" t="s">
        <v>2482</v>
      </c>
      <c r="E289" s="178" t="s">
        <v>2770</v>
      </c>
      <c r="F289" s="178" t="s">
        <v>2771</v>
      </c>
      <c r="G289" s="178" t="s">
        <v>2772</v>
      </c>
      <c r="H289" s="191" t="s">
        <v>36</v>
      </c>
      <c r="I289" s="193" t="s">
        <v>2062</v>
      </c>
      <c r="J289" s="164" t="s">
        <v>2062</v>
      </c>
      <c r="K289" s="163"/>
      <c r="L289" s="163"/>
      <c r="M289" s="163"/>
      <c r="N289" s="163"/>
      <c r="O289" s="163"/>
      <c r="P289" s="163"/>
      <c r="Q289" s="163"/>
      <c r="R289" s="163"/>
      <c r="S289" s="163"/>
      <c r="T289" s="163"/>
      <c r="U289" s="163"/>
      <c r="V289" s="163"/>
      <c r="W289" s="163"/>
      <c r="X289" s="163"/>
      <c r="Y289" s="163"/>
      <c r="Z289" s="163"/>
    </row>
    <row r="290" ht="14.25" customHeight="1">
      <c r="A290" s="192" t="s">
        <v>2728</v>
      </c>
      <c r="B290" s="108"/>
      <c r="C290" s="193" t="s">
        <v>2773</v>
      </c>
      <c r="D290" s="191" t="s">
        <v>2482</v>
      </c>
      <c r="E290" s="178" t="s">
        <v>2774</v>
      </c>
      <c r="F290" s="178" t="s">
        <v>2775</v>
      </c>
      <c r="G290" s="178" t="s">
        <v>2776</v>
      </c>
      <c r="H290" s="191" t="s">
        <v>36</v>
      </c>
      <c r="I290" s="193" t="s">
        <v>2062</v>
      </c>
      <c r="J290" s="164" t="s">
        <v>2062</v>
      </c>
      <c r="K290" s="163"/>
      <c r="L290" s="163"/>
      <c r="M290" s="163"/>
      <c r="N290" s="163"/>
      <c r="O290" s="163"/>
      <c r="P290" s="163"/>
      <c r="Q290" s="163"/>
      <c r="R290" s="163"/>
      <c r="S290" s="163"/>
      <c r="T290" s="163"/>
      <c r="U290" s="163"/>
      <c r="V290" s="163"/>
      <c r="W290" s="163"/>
      <c r="X290" s="163"/>
      <c r="Y290" s="163"/>
      <c r="Z290" s="163"/>
    </row>
    <row r="291" ht="14.25" customHeight="1">
      <c r="A291" s="192" t="s">
        <v>2728</v>
      </c>
      <c r="B291" s="108"/>
      <c r="C291" s="193" t="s">
        <v>2777</v>
      </c>
      <c r="D291" s="191" t="s">
        <v>2482</v>
      </c>
      <c r="E291" s="178" t="s">
        <v>2778</v>
      </c>
      <c r="F291" s="178" t="s">
        <v>2779</v>
      </c>
      <c r="G291" s="178" t="s">
        <v>2780</v>
      </c>
      <c r="H291" s="191" t="s">
        <v>36</v>
      </c>
      <c r="I291" s="193" t="s">
        <v>2062</v>
      </c>
      <c r="J291" s="164" t="s">
        <v>2062</v>
      </c>
      <c r="K291" s="163"/>
      <c r="L291" s="163"/>
      <c r="M291" s="163"/>
      <c r="N291" s="163"/>
      <c r="O291" s="163"/>
      <c r="P291" s="163"/>
      <c r="Q291" s="163"/>
      <c r="R291" s="163"/>
      <c r="S291" s="163"/>
      <c r="T291" s="163"/>
      <c r="U291" s="163"/>
      <c r="V291" s="163"/>
      <c r="W291" s="163"/>
      <c r="X291" s="163"/>
      <c r="Y291" s="163"/>
      <c r="Z291" s="163"/>
    </row>
    <row r="292" ht="14.25" customHeight="1">
      <c r="A292" s="192" t="s">
        <v>2728</v>
      </c>
      <c r="B292" s="108"/>
      <c r="C292" s="193" t="s">
        <v>2781</v>
      </c>
      <c r="D292" s="191" t="s">
        <v>2482</v>
      </c>
      <c r="E292" s="178" t="s">
        <v>2774</v>
      </c>
      <c r="F292" s="178" t="s">
        <v>2782</v>
      </c>
      <c r="G292" s="178" t="s">
        <v>2783</v>
      </c>
      <c r="H292" s="191" t="s">
        <v>36</v>
      </c>
      <c r="I292" s="193" t="s">
        <v>2062</v>
      </c>
      <c r="J292" s="164" t="s">
        <v>2062</v>
      </c>
      <c r="K292" s="163"/>
      <c r="L292" s="163"/>
      <c r="M292" s="163"/>
      <c r="N292" s="163"/>
      <c r="O292" s="163"/>
      <c r="P292" s="163"/>
      <c r="Q292" s="163"/>
      <c r="R292" s="163"/>
      <c r="S292" s="163"/>
      <c r="T292" s="163"/>
      <c r="U292" s="163"/>
      <c r="V292" s="163"/>
      <c r="W292" s="163"/>
      <c r="X292" s="163"/>
      <c r="Y292" s="163"/>
      <c r="Z292" s="163"/>
    </row>
    <row r="293" ht="14.25" customHeight="1">
      <c r="A293" s="192" t="s">
        <v>2728</v>
      </c>
      <c r="B293" s="108"/>
      <c r="C293" s="193" t="s">
        <v>2784</v>
      </c>
      <c r="D293" s="191" t="s">
        <v>2482</v>
      </c>
      <c r="E293" s="178" t="s">
        <v>2785</v>
      </c>
      <c r="F293" s="178" t="s">
        <v>2786</v>
      </c>
      <c r="G293" s="178" t="s">
        <v>2787</v>
      </c>
      <c r="H293" s="191" t="s">
        <v>36</v>
      </c>
      <c r="I293" s="193" t="s">
        <v>2062</v>
      </c>
      <c r="J293" s="164" t="s">
        <v>2062</v>
      </c>
      <c r="K293" s="163"/>
      <c r="L293" s="163"/>
      <c r="M293" s="163"/>
      <c r="N293" s="163"/>
      <c r="O293" s="163"/>
      <c r="P293" s="163"/>
      <c r="Q293" s="163"/>
      <c r="R293" s="163"/>
      <c r="S293" s="163"/>
      <c r="T293" s="163"/>
      <c r="U293" s="163"/>
      <c r="V293" s="163"/>
      <c r="W293" s="163"/>
      <c r="X293" s="163"/>
      <c r="Y293" s="163"/>
      <c r="Z293" s="163"/>
    </row>
    <row r="294" ht="14.25" customHeight="1">
      <c r="A294" s="192" t="s">
        <v>2728</v>
      </c>
      <c r="B294" s="108"/>
      <c r="C294" s="193" t="s">
        <v>2788</v>
      </c>
      <c r="D294" s="191" t="s">
        <v>2482</v>
      </c>
      <c r="E294" s="178" t="s">
        <v>2789</v>
      </c>
      <c r="F294" s="178" t="s">
        <v>2790</v>
      </c>
      <c r="G294" s="178" t="s">
        <v>2791</v>
      </c>
      <c r="H294" s="191" t="s">
        <v>36</v>
      </c>
      <c r="I294" s="193" t="s">
        <v>2062</v>
      </c>
      <c r="J294" s="164" t="s">
        <v>2062</v>
      </c>
      <c r="K294" s="163"/>
      <c r="L294" s="163"/>
      <c r="M294" s="163"/>
      <c r="N294" s="163"/>
      <c r="O294" s="163"/>
      <c r="P294" s="163"/>
      <c r="Q294" s="163"/>
      <c r="R294" s="163"/>
      <c r="S294" s="163"/>
      <c r="T294" s="163"/>
      <c r="U294" s="163"/>
      <c r="V294" s="163"/>
      <c r="W294" s="163"/>
      <c r="X294" s="163"/>
      <c r="Y294" s="163"/>
      <c r="Z294" s="163"/>
    </row>
    <row r="295" ht="14.25" customHeight="1">
      <c r="A295" s="192" t="s">
        <v>2728</v>
      </c>
      <c r="B295" s="108"/>
      <c r="C295" s="193" t="s">
        <v>2792</v>
      </c>
      <c r="D295" s="191" t="s">
        <v>2482</v>
      </c>
      <c r="E295" s="178" t="s">
        <v>2793</v>
      </c>
      <c r="F295" s="178" t="s">
        <v>2794</v>
      </c>
      <c r="G295" s="178" t="s">
        <v>2795</v>
      </c>
      <c r="H295" s="191" t="s">
        <v>36</v>
      </c>
      <c r="I295" s="193" t="s">
        <v>2062</v>
      </c>
      <c r="J295" s="164" t="s">
        <v>2062</v>
      </c>
      <c r="K295" s="163"/>
      <c r="L295" s="163"/>
      <c r="M295" s="163"/>
      <c r="N295" s="163"/>
      <c r="O295" s="163"/>
      <c r="P295" s="163"/>
      <c r="Q295" s="163"/>
      <c r="R295" s="163"/>
      <c r="S295" s="163"/>
      <c r="T295" s="163"/>
      <c r="U295" s="163"/>
      <c r="V295" s="163"/>
      <c r="W295" s="163"/>
      <c r="X295" s="163"/>
      <c r="Y295" s="163"/>
      <c r="Z295" s="163"/>
    </row>
    <row r="296" ht="14.25" customHeight="1">
      <c r="A296" s="192" t="s">
        <v>2728</v>
      </c>
      <c r="B296" s="108"/>
      <c r="C296" s="193" t="s">
        <v>2796</v>
      </c>
      <c r="D296" s="191" t="s">
        <v>2482</v>
      </c>
      <c r="E296" s="178" t="s">
        <v>2797</v>
      </c>
      <c r="F296" s="178" t="s">
        <v>2798</v>
      </c>
      <c r="G296" s="178" t="s">
        <v>2795</v>
      </c>
      <c r="H296" s="191" t="s">
        <v>36</v>
      </c>
      <c r="I296" s="193" t="s">
        <v>2062</v>
      </c>
      <c r="J296" s="164" t="s">
        <v>2062</v>
      </c>
      <c r="K296" s="163"/>
      <c r="L296" s="163"/>
      <c r="M296" s="163"/>
      <c r="N296" s="163"/>
      <c r="O296" s="163"/>
      <c r="P296" s="163"/>
      <c r="Q296" s="163"/>
      <c r="R296" s="163"/>
      <c r="S296" s="163"/>
      <c r="T296" s="163"/>
      <c r="U296" s="163"/>
      <c r="V296" s="163"/>
      <c r="W296" s="163"/>
      <c r="X296" s="163"/>
      <c r="Y296" s="163"/>
      <c r="Z296" s="163"/>
    </row>
    <row r="297" ht="14.25" customHeight="1">
      <c r="A297" s="192" t="s">
        <v>2728</v>
      </c>
      <c r="B297" s="108"/>
      <c r="C297" s="193" t="s">
        <v>2799</v>
      </c>
      <c r="D297" s="191" t="s">
        <v>2482</v>
      </c>
      <c r="E297" s="178" t="s">
        <v>2800</v>
      </c>
      <c r="F297" s="178" t="s">
        <v>2801</v>
      </c>
      <c r="G297" s="178" t="s">
        <v>2802</v>
      </c>
      <c r="H297" s="191" t="s">
        <v>36</v>
      </c>
      <c r="I297" s="193" t="s">
        <v>2062</v>
      </c>
      <c r="J297" s="164" t="s">
        <v>2062</v>
      </c>
      <c r="K297" s="163"/>
      <c r="L297" s="163"/>
      <c r="M297" s="163"/>
      <c r="N297" s="163"/>
      <c r="O297" s="163"/>
      <c r="P297" s="163"/>
      <c r="Q297" s="163"/>
      <c r="R297" s="163"/>
      <c r="S297" s="163"/>
      <c r="T297" s="163"/>
      <c r="U297" s="163"/>
      <c r="V297" s="163"/>
      <c r="W297" s="163"/>
      <c r="X297" s="163"/>
      <c r="Y297" s="163"/>
      <c r="Z297" s="163"/>
    </row>
    <row r="298" ht="14.25" customHeight="1">
      <c r="A298" s="192" t="s">
        <v>2728</v>
      </c>
      <c r="B298" s="108"/>
      <c r="C298" s="193" t="s">
        <v>2803</v>
      </c>
      <c r="D298" s="191" t="s">
        <v>2482</v>
      </c>
      <c r="E298" s="178" t="s">
        <v>2804</v>
      </c>
      <c r="F298" s="178" t="s">
        <v>2805</v>
      </c>
      <c r="G298" s="178" t="s">
        <v>2806</v>
      </c>
      <c r="H298" s="191" t="s">
        <v>36</v>
      </c>
      <c r="I298" s="193" t="s">
        <v>2062</v>
      </c>
      <c r="J298" s="164" t="s">
        <v>2062</v>
      </c>
      <c r="K298" s="163"/>
      <c r="L298" s="163"/>
      <c r="M298" s="163"/>
      <c r="N298" s="163"/>
      <c r="O298" s="163"/>
      <c r="P298" s="163"/>
      <c r="Q298" s="163"/>
      <c r="R298" s="163"/>
      <c r="S298" s="163"/>
      <c r="T298" s="163"/>
      <c r="U298" s="163"/>
      <c r="V298" s="163"/>
      <c r="W298" s="163"/>
      <c r="X298" s="163"/>
      <c r="Y298" s="163"/>
      <c r="Z298" s="163"/>
    </row>
    <row r="299" ht="14.25" customHeight="1">
      <c r="A299" s="192" t="s">
        <v>2728</v>
      </c>
      <c r="B299" s="108"/>
      <c r="C299" s="193" t="s">
        <v>2807</v>
      </c>
      <c r="D299" s="191" t="s">
        <v>2482</v>
      </c>
      <c r="E299" s="178" t="s">
        <v>2808</v>
      </c>
      <c r="F299" s="178" t="s">
        <v>2809</v>
      </c>
      <c r="G299" s="178" t="s">
        <v>2810</v>
      </c>
      <c r="H299" s="191" t="s">
        <v>36</v>
      </c>
      <c r="I299" s="193" t="s">
        <v>2062</v>
      </c>
      <c r="J299" s="164" t="s">
        <v>2062</v>
      </c>
      <c r="K299" s="163"/>
      <c r="L299" s="163"/>
      <c r="M299" s="163"/>
      <c r="N299" s="163"/>
      <c r="O299" s="163"/>
      <c r="P299" s="163"/>
      <c r="Q299" s="163"/>
      <c r="R299" s="163"/>
      <c r="S299" s="163"/>
      <c r="T299" s="163"/>
      <c r="U299" s="163"/>
      <c r="V299" s="163"/>
      <c r="W299" s="163"/>
      <c r="X299" s="163"/>
      <c r="Y299" s="163"/>
      <c r="Z299" s="163"/>
    </row>
    <row r="300" ht="14.25" customHeight="1">
      <c r="A300" s="192" t="s">
        <v>2728</v>
      </c>
      <c r="B300" s="108"/>
      <c r="C300" s="193" t="s">
        <v>2811</v>
      </c>
      <c r="D300" s="191" t="s">
        <v>2482</v>
      </c>
      <c r="E300" s="178" t="s">
        <v>2812</v>
      </c>
      <c r="F300" s="178" t="s">
        <v>2813</v>
      </c>
      <c r="G300" s="178" t="s">
        <v>2783</v>
      </c>
      <c r="H300" s="191" t="s">
        <v>36</v>
      </c>
      <c r="I300" s="193" t="s">
        <v>2062</v>
      </c>
      <c r="J300" s="164" t="s">
        <v>2062</v>
      </c>
      <c r="K300" s="163"/>
      <c r="L300" s="163"/>
      <c r="M300" s="163"/>
      <c r="N300" s="163"/>
      <c r="O300" s="163"/>
      <c r="P300" s="163"/>
      <c r="Q300" s="163"/>
      <c r="R300" s="163"/>
      <c r="S300" s="163"/>
      <c r="T300" s="163"/>
      <c r="U300" s="163"/>
      <c r="V300" s="163"/>
      <c r="W300" s="163"/>
      <c r="X300" s="163"/>
      <c r="Y300" s="163"/>
      <c r="Z300" s="163"/>
    </row>
    <row r="301" ht="14.25" customHeight="1">
      <c r="A301" s="192" t="s">
        <v>2728</v>
      </c>
      <c r="B301" s="108"/>
      <c r="C301" s="193" t="s">
        <v>2814</v>
      </c>
      <c r="D301" s="191" t="s">
        <v>2482</v>
      </c>
      <c r="E301" s="178" t="s">
        <v>2815</v>
      </c>
      <c r="F301" s="178" t="s">
        <v>2816</v>
      </c>
      <c r="G301" s="178" t="s">
        <v>2817</v>
      </c>
      <c r="H301" s="191" t="s">
        <v>317</v>
      </c>
      <c r="I301" s="193" t="s">
        <v>2062</v>
      </c>
      <c r="J301" s="164" t="s">
        <v>2062</v>
      </c>
      <c r="K301" s="163"/>
      <c r="L301" s="163"/>
      <c r="M301" s="163"/>
      <c r="N301" s="163"/>
      <c r="O301" s="163"/>
      <c r="P301" s="163"/>
      <c r="Q301" s="163"/>
      <c r="R301" s="163"/>
      <c r="S301" s="163"/>
      <c r="T301" s="163"/>
      <c r="U301" s="163"/>
      <c r="V301" s="163"/>
      <c r="W301" s="163"/>
      <c r="X301" s="163"/>
      <c r="Y301" s="163"/>
      <c r="Z301" s="163"/>
    </row>
    <row r="302" ht="14.25" customHeight="1">
      <c r="A302" s="192" t="s">
        <v>2728</v>
      </c>
      <c r="B302" s="108"/>
      <c r="C302" s="193" t="s">
        <v>2818</v>
      </c>
      <c r="D302" s="191" t="s">
        <v>2482</v>
      </c>
      <c r="E302" s="178" t="s">
        <v>2819</v>
      </c>
      <c r="F302" s="178" t="s">
        <v>2820</v>
      </c>
      <c r="G302" s="178" t="s">
        <v>2821</v>
      </c>
      <c r="H302" s="191" t="s">
        <v>36</v>
      </c>
      <c r="I302" s="193" t="s">
        <v>2062</v>
      </c>
      <c r="J302" s="164" t="s">
        <v>2062</v>
      </c>
      <c r="K302" s="163"/>
      <c r="L302" s="163"/>
      <c r="M302" s="163"/>
      <c r="N302" s="163"/>
      <c r="O302" s="163"/>
      <c r="P302" s="163"/>
      <c r="Q302" s="163"/>
      <c r="R302" s="163"/>
      <c r="S302" s="163"/>
      <c r="T302" s="163"/>
      <c r="U302" s="163"/>
      <c r="V302" s="163"/>
      <c r="W302" s="163"/>
      <c r="X302" s="163"/>
      <c r="Y302" s="163"/>
      <c r="Z302" s="163"/>
    </row>
    <row r="303" ht="14.25" customHeight="1">
      <c r="A303" s="192" t="s">
        <v>2728</v>
      </c>
      <c r="B303" s="108"/>
      <c r="C303" s="193" t="s">
        <v>2822</v>
      </c>
      <c r="D303" s="191" t="s">
        <v>2482</v>
      </c>
      <c r="E303" s="178" t="s">
        <v>2823</v>
      </c>
      <c r="F303" s="178" t="s">
        <v>2824</v>
      </c>
      <c r="G303" s="178" t="s">
        <v>2825</v>
      </c>
      <c r="H303" s="191" t="s">
        <v>36</v>
      </c>
      <c r="I303" s="193" t="s">
        <v>2062</v>
      </c>
      <c r="J303" s="164" t="s">
        <v>2062</v>
      </c>
      <c r="K303" s="163"/>
      <c r="L303" s="163"/>
      <c r="M303" s="163"/>
      <c r="N303" s="163"/>
      <c r="O303" s="163"/>
      <c r="P303" s="163"/>
      <c r="Q303" s="163"/>
      <c r="R303" s="163"/>
      <c r="S303" s="163"/>
      <c r="T303" s="163"/>
      <c r="U303" s="163"/>
      <c r="V303" s="163"/>
      <c r="W303" s="163"/>
      <c r="X303" s="163"/>
      <c r="Y303" s="163"/>
      <c r="Z303" s="163"/>
    </row>
    <row r="304" ht="14.25" customHeight="1">
      <c r="A304" s="192" t="s">
        <v>2728</v>
      </c>
      <c r="B304" s="108"/>
      <c r="C304" s="193" t="s">
        <v>2826</v>
      </c>
      <c r="D304" s="191" t="s">
        <v>2482</v>
      </c>
      <c r="E304" s="178" t="s">
        <v>2827</v>
      </c>
      <c r="F304" s="178" t="s">
        <v>2828</v>
      </c>
      <c r="G304" s="178" t="s">
        <v>2829</v>
      </c>
      <c r="H304" s="191" t="s">
        <v>36</v>
      </c>
      <c r="I304" s="193" t="s">
        <v>2062</v>
      </c>
      <c r="J304" s="164" t="s">
        <v>2062</v>
      </c>
      <c r="K304" s="163"/>
      <c r="L304" s="163"/>
      <c r="M304" s="163"/>
      <c r="N304" s="163"/>
      <c r="O304" s="163"/>
      <c r="P304" s="163"/>
      <c r="Q304" s="163"/>
      <c r="R304" s="163"/>
      <c r="S304" s="163"/>
      <c r="T304" s="163"/>
      <c r="U304" s="163"/>
      <c r="V304" s="163"/>
      <c r="W304" s="163"/>
      <c r="X304" s="163"/>
      <c r="Y304" s="163"/>
      <c r="Z304" s="163"/>
    </row>
    <row r="305" ht="14.25" customHeight="1">
      <c r="A305" s="192" t="s">
        <v>2728</v>
      </c>
      <c r="B305" s="108"/>
      <c r="C305" s="193" t="s">
        <v>2830</v>
      </c>
      <c r="D305" s="191" t="s">
        <v>2482</v>
      </c>
      <c r="E305" s="178" t="s">
        <v>2831</v>
      </c>
      <c r="F305" s="178" t="s">
        <v>2832</v>
      </c>
      <c r="G305" s="178" t="s">
        <v>2833</v>
      </c>
      <c r="H305" s="191" t="s">
        <v>36</v>
      </c>
      <c r="I305" s="193" t="s">
        <v>2062</v>
      </c>
      <c r="J305" s="164" t="s">
        <v>2062</v>
      </c>
      <c r="K305" s="163"/>
      <c r="L305" s="163"/>
      <c r="M305" s="163"/>
      <c r="N305" s="163"/>
      <c r="O305" s="163"/>
      <c r="P305" s="163"/>
      <c r="Q305" s="163"/>
      <c r="R305" s="163"/>
      <c r="S305" s="163"/>
      <c r="T305" s="163"/>
      <c r="U305" s="163"/>
      <c r="V305" s="163"/>
      <c r="W305" s="163"/>
      <c r="X305" s="163"/>
      <c r="Y305" s="163"/>
      <c r="Z305" s="163"/>
    </row>
    <row r="306" ht="14.25" customHeight="1">
      <c r="A306" s="192" t="s">
        <v>2728</v>
      </c>
      <c r="B306" s="108"/>
      <c r="C306" s="193" t="s">
        <v>2834</v>
      </c>
      <c r="D306" s="191" t="s">
        <v>2482</v>
      </c>
      <c r="E306" s="178" t="s">
        <v>2835</v>
      </c>
      <c r="F306" s="178" t="s">
        <v>2836</v>
      </c>
      <c r="G306" s="178" t="s">
        <v>2829</v>
      </c>
      <c r="H306" s="191" t="s">
        <v>36</v>
      </c>
      <c r="I306" s="193" t="s">
        <v>2062</v>
      </c>
      <c r="J306" s="164" t="s">
        <v>2062</v>
      </c>
      <c r="K306" s="163"/>
      <c r="L306" s="163"/>
      <c r="M306" s="163"/>
      <c r="N306" s="163"/>
      <c r="O306" s="163"/>
      <c r="P306" s="163"/>
      <c r="Q306" s="163"/>
      <c r="R306" s="163"/>
      <c r="S306" s="163"/>
      <c r="T306" s="163"/>
      <c r="U306" s="163"/>
      <c r="V306" s="163"/>
      <c r="W306" s="163"/>
      <c r="X306" s="163"/>
      <c r="Y306" s="163"/>
      <c r="Z306" s="163"/>
    </row>
    <row r="307" ht="14.25" customHeight="1">
      <c r="A307" s="192" t="s">
        <v>2728</v>
      </c>
      <c r="B307" s="108"/>
      <c r="C307" s="193" t="s">
        <v>2837</v>
      </c>
      <c r="D307" s="191" t="s">
        <v>2482</v>
      </c>
      <c r="E307" s="178" t="s">
        <v>2838</v>
      </c>
      <c r="F307" s="178" t="s">
        <v>2839</v>
      </c>
      <c r="G307" s="178" t="s">
        <v>2829</v>
      </c>
      <c r="H307" s="191" t="s">
        <v>36</v>
      </c>
      <c r="I307" s="193" t="s">
        <v>2062</v>
      </c>
      <c r="J307" s="164" t="s">
        <v>2062</v>
      </c>
      <c r="K307" s="163"/>
      <c r="L307" s="163"/>
      <c r="M307" s="163"/>
      <c r="N307" s="163"/>
      <c r="O307" s="163"/>
      <c r="P307" s="163"/>
      <c r="Q307" s="163"/>
      <c r="R307" s="163"/>
      <c r="S307" s="163"/>
      <c r="T307" s="163"/>
      <c r="U307" s="163"/>
      <c r="V307" s="163"/>
      <c r="W307" s="163"/>
      <c r="X307" s="163"/>
      <c r="Y307" s="163"/>
      <c r="Z307" s="163"/>
    </row>
    <row r="308" ht="14.25" customHeight="1">
      <c r="A308" s="192" t="s">
        <v>2728</v>
      </c>
      <c r="B308" s="108"/>
      <c r="C308" s="193" t="s">
        <v>2840</v>
      </c>
      <c r="D308" s="191" t="s">
        <v>2482</v>
      </c>
      <c r="E308" s="178" t="s">
        <v>2841</v>
      </c>
      <c r="F308" s="178" t="s">
        <v>2842</v>
      </c>
      <c r="G308" s="178" t="s">
        <v>2829</v>
      </c>
      <c r="H308" s="191" t="s">
        <v>36</v>
      </c>
      <c r="I308" s="193" t="s">
        <v>2062</v>
      </c>
      <c r="J308" s="164" t="s">
        <v>2062</v>
      </c>
      <c r="K308" s="163"/>
      <c r="L308" s="163"/>
      <c r="M308" s="163"/>
      <c r="N308" s="163"/>
      <c r="O308" s="163"/>
      <c r="P308" s="163"/>
      <c r="Q308" s="163"/>
      <c r="R308" s="163"/>
      <c r="S308" s="163"/>
      <c r="T308" s="163"/>
      <c r="U308" s="163"/>
      <c r="V308" s="163"/>
      <c r="W308" s="163"/>
      <c r="X308" s="163"/>
      <c r="Y308" s="163"/>
      <c r="Z308" s="163"/>
    </row>
    <row r="309" ht="14.25" customHeight="1">
      <c r="A309" s="192" t="s">
        <v>2728</v>
      </c>
      <c r="B309" s="108"/>
      <c r="C309" s="193" t="s">
        <v>2843</v>
      </c>
      <c r="D309" s="191" t="s">
        <v>2482</v>
      </c>
      <c r="E309" s="178" t="s">
        <v>2844</v>
      </c>
      <c r="F309" s="178" t="s">
        <v>2845</v>
      </c>
      <c r="G309" s="178" t="s">
        <v>2846</v>
      </c>
      <c r="H309" s="191" t="s">
        <v>36</v>
      </c>
      <c r="I309" s="193" t="s">
        <v>2062</v>
      </c>
      <c r="J309" s="164" t="s">
        <v>2062</v>
      </c>
      <c r="K309" s="163"/>
      <c r="L309" s="163"/>
      <c r="M309" s="163"/>
      <c r="N309" s="163"/>
      <c r="O309" s="163"/>
      <c r="P309" s="163"/>
      <c r="Q309" s="163"/>
      <c r="R309" s="163"/>
      <c r="S309" s="163"/>
      <c r="T309" s="163"/>
      <c r="U309" s="163"/>
      <c r="V309" s="163"/>
      <c r="W309" s="163"/>
      <c r="X309" s="163"/>
      <c r="Y309" s="163"/>
      <c r="Z309" s="163"/>
    </row>
    <row r="310" ht="14.25" customHeight="1">
      <c r="A310" s="192" t="s">
        <v>2728</v>
      </c>
      <c r="B310" s="108"/>
      <c r="C310" s="193" t="s">
        <v>2847</v>
      </c>
      <c r="D310" s="191" t="s">
        <v>2482</v>
      </c>
      <c r="E310" s="178" t="s">
        <v>2848</v>
      </c>
      <c r="F310" s="178" t="s">
        <v>2849</v>
      </c>
      <c r="G310" s="178" t="s">
        <v>2850</v>
      </c>
      <c r="H310" s="191" t="s">
        <v>36</v>
      </c>
      <c r="I310" s="193" t="s">
        <v>2062</v>
      </c>
      <c r="J310" s="164" t="s">
        <v>2062</v>
      </c>
      <c r="K310" s="163"/>
      <c r="L310" s="163"/>
      <c r="M310" s="163"/>
      <c r="N310" s="163"/>
      <c r="O310" s="163"/>
      <c r="P310" s="163"/>
      <c r="Q310" s="163"/>
      <c r="R310" s="163"/>
      <c r="S310" s="163"/>
      <c r="T310" s="163"/>
      <c r="U310" s="163"/>
      <c r="V310" s="163"/>
      <c r="W310" s="163"/>
      <c r="X310" s="163"/>
      <c r="Y310" s="163"/>
      <c r="Z310" s="163"/>
    </row>
    <row r="311" ht="14.25" customHeight="1">
      <c r="A311" s="192" t="s">
        <v>2728</v>
      </c>
      <c r="B311" s="108"/>
      <c r="C311" s="193" t="s">
        <v>2851</v>
      </c>
      <c r="D311" s="191" t="s">
        <v>2482</v>
      </c>
      <c r="E311" s="178" t="s">
        <v>2852</v>
      </c>
      <c r="F311" s="178" t="s">
        <v>2853</v>
      </c>
      <c r="G311" s="178" t="s">
        <v>2829</v>
      </c>
      <c r="H311" s="191" t="s">
        <v>36</v>
      </c>
      <c r="I311" s="193" t="s">
        <v>2062</v>
      </c>
      <c r="J311" s="164" t="s">
        <v>2062</v>
      </c>
      <c r="K311" s="163"/>
      <c r="L311" s="163"/>
      <c r="M311" s="163"/>
      <c r="N311" s="163"/>
      <c r="O311" s="163"/>
      <c r="P311" s="163"/>
      <c r="Q311" s="163"/>
      <c r="R311" s="163"/>
      <c r="S311" s="163"/>
      <c r="T311" s="163"/>
      <c r="U311" s="163"/>
      <c r="V311" s="163"/>
      <c r="W311" s="163"/>
      <c r="X311" s="163"/>
      <c r="Y311" s="163"/>
      <c r="Z311" s="163"/>
    </row>
    <row r="312" ht="14.25" customHeight="1">
      <c r="A312" s="192" t="s">
        <v>2728</v>
      </c>
      <c r="B312" s="108"/>
      <c r="C312" s="193" t="s">
        <v>2854</v>
      </c>
      <c r="D312" s="191" t="s">
        <v>2482</v>
      </c>
      <c r="E312" s="178" t="s">
        <v>2855</v>
      </c>
      <c r="F312" s="178" t="s">
        <v>2856</v>
      </c>
      <c r="G312" s="178" t="s">
        <v>2829</v>
      </c>
      <c r="H312" s="191" t="s">
        <v>36</v>
      </c>
      <c r="I312" s="193" t="s">
        <v>2062</v>
      </c>
      <c r="J312" s="164" t="s">
        <v>2062</v>
      </c>
      <c r="K312" s="163"/>
      <c r="L312" s="163"/>
      <c r="M312" s="163"/>
      <c r="N312" s="163"/>
      <c r="O312" s="163"/>
      <c r="P312" s="163"/>
      <c r="Q312" s="163"/>
      <c r="R312" s="163"/>
      <c r="S312" s="163"/>
      <c r="T312" s="163"/>
      <c r="U312" s="163"/>
      <c r="V312" s="163"/>
      <c r="W312" s="163"/>
      <c r="X312" s="163"/>
      <c r="Y312" s="163"/>
      <c r="Z312" s="163"/>
    </row>
    <row r="313" ht="14.25" customHeight="1">
      <c r="A313" s="192" t="s">
        <v>2728</v>
      </c>
      <c r="B313" s="108"/>
      <c r="C313" s="193" t="s">
        <v>2857</v>
      </c>
      <c r="D313" s="191" t="s">
        <v>2482</v>
      </c>
      <c r="E313" s="178" t="s">
        <v>2858</v>
      </c>
      <c r="F313" s="178" t="s">
        <v>2859</v>
      </c>
      <c r="G313" s="178" t="s">
        <v>2860</v>
      </c>
      <c r="H313" s="191" t="s">
        <v>36</v>
      </c>
      <c r="I313" s="193" t="s">
        <v>2062</v>
      </c>
      <c r="J313" s="164" t="s">
        <v>2062</v>
      </c>
      <c r="K313" s="163"/>
      <c r="L313" s="163"/>
      <c r="M313" s="163"/>
      <c r="N313" s="163"/>
      <c r="O313" s="163"/>
      <c r="P313" s="163"/>
      <c r="Q313" s="163"/>
      <c r="R313" s="163"/>
      <c r="S313" s="163"/>
      <c r="T313" s="163"/>
      <c r="U313" s="163"/>
      <c r="V313" s="163"/>
      <c r="W313" s="163"/>
      <c r="X313" s="163"/>
      <c r="Y313" s="163"/>
      <c r="Z313" s="163"/>
    </row>
    <row r="314" ht="14.25" customHeight="1">
      <c r="A314" s="192" t="s">
        <v>2728</v>
      </c>
      <c r="B314" s="108"/>
      <c r="C314" s="193" t="s">
        <v>2861</v>
      </c>
      <c r="D314" s="191" t="s">
        <v>2482</v>
      </c>
      <c r="E314" s="178" t="s">
        <v>2862</v>
      </c>
      <c r="F314" s="178" t="s">
        <v>2863</v>
      </c>
      <c r="G314" s="178" t="s">
        <v>2864</v>
      </c>
      <c r="H314" s="191" t="s">
        <v>36</v>
      </c>
      <c r="I314" s="193" t="s">
        <v>2062</v>
      </c>
      <c r="J314" s="164" t="s">
        <v>2062</v>
      </c>
      <c r="K314" s="163"/>
      <c r="L314" s="163"/>
      <c r="M314" s="163"/>
      <c r="N314" s="163"/>
      <c r="O314" s="163"/>
      <c r="P314" s="163"/>
      <c r="Q314" s="163"/>
      <c r="R314" s="163"/>
      <c r="S314" s="163"/>
      <c r="T314" s="163"/>
      <c r="U314" s="163"/>
      <c r="V314" s="163"/>
      <c r="W314" s="163"/>
      <c r="X314" s="163"/>
      <c r="Y314" s="163"/>
      <c r="Z314" s="163"/>
    </row>
    <row r="315" ht="14.25" customHeight="1">
      <c r="A315" s="192" t="s">
        <v>2728</v>
      </c>
      <c r="B315" s="108"/>
      <c r="C315" s="193" t="s">
        <v>2865</v>
      </c>
      <c r="D315" s="191" t="s">
        <v>2482</v>
      </c>
      <c r="E315" s="178" t="s">
        <v>2866</v>
      </c>
      <c r="F315" s="178" t="s">
        <v>2863</v>
      </c>
      <c r="G315" s="178" t="s">
        <v>2867</v>
      </c>
      <c r="H315" s="191" t="s">
        <v>36</v>
      </c>
      <c r="I315" s="193" t="s">
        <v>2062</v>
      </c>
      <c r="J315" s="164" t="s">
        <v>2062</v>
      </c>
      <c r="K315" s="163"/>
      <c r="L315" s="163"/>
      <c r="M315" s="163"/>
      <c r="N315" s="163"/>
      <c r="O315" s="163"/>
      <c r="P315" s="163"/>
      <c r="Q315" s="163"/>
      <c r="R315" s="163"/>
      <c r="S315" s="163"/>
      <c r="T315" s="163"/>
      <c r="U315" s="163"/>
      <c r="V315" s="163"/>
      <c r="W315" s="163"/>
      <c r="X315" s="163"/>
      <c r="Y315" s="163"/>
      <c r="Z315" s="163"/>
    </row>
    <row r="316" ht="14.25" customHeight="1">
      <c r="A316" s="192" t="s">
        <v>2728</v>
      </c>
      <c r="B316" s="108"/>
      <c r="C316" s="193" t="s">
        <v>2868</v>
      </c>
      <c r="D316" s="191" t="s">
        <v>2482</v>
      </c>
      <c r="E316" s="178" t="s">
        <v>2862</v>
      </c>
      <c r="F316" s="178" t="s">
        <v>2863</v>
      </c>
      <c r="G316" s="178" t="s">
        <v>2864</v>
      </c>
      <c r="H316" s="191" t="s">
        <v>36</v>
      </c>
      <c r="I316" s="193" t="s">
        <v>2062</v>
      </c>
      <c r="J316" s="164" t="s">
        <v>2062</v>
      </c>
      <c r="K316" s="163"/>
      <c r="L316" s="163"/>
      <c r="M316" s="163"/>
      <c r="N316" s="163"/>
      <c r="O316" s="163"/>
      <c r="P316" s="163"/>
      <c r="Q316" s="163"/>
      <c r="R316" s="163"/>
      <c r="S316" s="163"/>
      <c r="T316" s="163"/>
      <c r="U316" s="163"/>
      <c r="V316" s="163"/>
      <c r="W316" s="163"/>
      <c r="X316" s="163"/>
      <c r="Y316" s="163"/>
      <c r="Z316" s="163"/>
    </row>
    <row r="317" ht="14.25" customHeight="1">
      <c r="A317" s="192" t="s">
        <v>2728</v>
      </c>
      <c r="B317" s="108"/>
      <c r="C317" s="193" t="s">
        <v>2869</v>
      </c>
      <c r="D317" s="191" t="s">
        <v>2482</v>
      </c>
      <c r="E317" s="178" t="s">
        <v>2870</v>
      </c>
      <c r="F317" s="178" t="s">
        <v>2813</v>
      </c>
      <c r="G317" s="178" t="s">
        <v>2783</v>
      </c>
      <c r="H317" s="191" t="s">
        <v>36</v>
      </c>
      <c r="I317" s="193" t="s">
        <v>2062</v>
      </c>
      <c r="J317" s="164" t="s">
        <v>2062</v>
      </c>
      <c r="K317" s="163"/>
      <c r="L317" s="163"/>
      <c r="M317" s="163"/>
      <c r="N317" s="163"/>
      <c r="O317" s="163"/>
      <c r="P317" s="163"/>
      <c r="Q317" s="163"/>
      <c r="R317" s="163"/>
      <c r="S317" s="163"/>
      <c r="T317" s="163"/>
      <c r="U317" s="163"/>
      <c r="V317" s="163"/>
      <c r="W317" s="163"/>
      <c r="X317" s="163"/>
      <c r="Y317" s="163"/>
      <c r="Z317" s="163"/>
    </row>
    <row r="318" ht="14.25" customHeight="1">
      <c r="A318" s="192" t="s">
        <v>2728</v>
      </c>
      <c r="B318" s="108"/>
      <c r="C318" s="193" t="s">
        <v>2871</v>
      </c>
      <c r="D318" s="191" t="s">
        <v>2482</v>
      </c>
      <c r="E318" s="178" t="s">
        <v>2872</v>
      </c>
      <c r="F318" s="178" t="s">
        <v>2873</v>
      </c>
      <c r="G318" s="178" t="s">
        <v>2874</v>
      </c>
      <c r="H318" s="191" t="s">
        <v>36</v>
      </c>
      <c r="I318" s="193" t="s">
        <v>2062</v>
      </c>
      <c r="J318" s="164" t="s">
        <v>2062</v>
      </c>
      <c r="K318" s="163"/>
      <c r="L318" s="163"/>
      <c r="M318" s="163"/>
      <c r="N318" s="163"/>
      <c r="O318" s="163"/>
      <c r="P318" s="163"/>
      <c r="Q318" s="163"/>
      <c r="R318" s="163"/>
      <c r="S318" s="163"/>
      <c r="T318" s="163"/>
      <c r="U318" s="163"/>
      <c r="V318" s="163"/>
      <c r="W318" s="163"/>
      <c r="X318" s="163"/>
      <c r="Y318" s="163"/>
      <c r="Z318" s="163"/>
    </row>
    <row r="319" ht="14.25" customHeight="1">
      <c r="A319" s="192" t="s">
        <v>2728</v>
      </c>
      <c r="B319" s="108"/>
      <c r="C319" s="193" t="s">
        <v>2875</v>
      </c>
      <c r="D319" s="191" t="s">
        <v>2482</v>
      </c>
      <c r="E319" s="178" t="s">
        <v>2876</v>
      </c>
      <c r="F319" s="178" t="s">
        <v>2877</v>
      </c>
      <c r="G319" s="178" t="s">
        <v>2878</v>
      </c>
      <c r="H319" s="191" t="s">
        <v>36</v>
      </c>
      <c r="I319" s="193" t="s">
        <v>2062</v>
      </c>
      <c r="J319" s="164" t="s">
        <v>2062</v>
      </c>
      <c r="K319" s="163"/>
      <c r="L319" s="163"/>
      <c r="M319" s="163"/>
      <c r="N319" s="163"/>
      <c r="O319" s="163"/>
      <c r="P319" s="163"/>
      <c r="Q319" s="163"/>
      <c r="R319" s="163"/>
      <c r="S319" s="163"/>
      <c r="T319" s="163"/>
      <c r="U319" s="163"/>
      <c r="V319" s="163"/>
      <c r="W319" s="163"/>
      <c r="X319" s="163"/>
      <c r="Y319" s="163"/>
      <c r="Z319" s="163"/>
    </row>
    <row r="320" ht="14.25" customHeight="1">
      <c r="A320" s="192" t="s">
        <v>2728</v>
      </c>
      <c r="B320" s="108"/>
      <c r="C320" s="193" t="s">
        <v>2879</v>
      </c>
      <c r="D320" s="191" t="s">
        <v>2482</v>
      </c>
      <c r="E320" s="178" t="s">
        <v>2880</v>
      </c>
      <c r="F320" s="178" t="s">
        <v>2881</v>
      </c>
      <c r="G320" s="178" t="s">
        <v>2882</v>
      </c>
      <c r="H320" s="191" t="s">
        <v>36</v>
      </c>
      <c r="I320" s="193" t="s">
        <v>2062</v>
      </c>
      <c r="J320" s="164" t="s">
        <v>2062</v>
      </c>
      <c r="K320" s="163"/>
      <c r="L320" s="163"/>
      <c r="M320" s="163"/>
      <c r="N320" s="163"/>
      <c r="O320" s="163"/>
      <c r="P320" s="163"/>
      <c r="Q320" s="163"/>
      <c r="R320" s="163"/>
      <c r="S320" s="163"/>
      <c r="T320" s="163"/>
      <c r="U320" s="163"/>
      <c r="V320" s="163"/>
      <c r="W320" s="163"/>
      <c r="X320" s="163"/>
      <c r="Y320" s="163"/>
      <c r="Z320" s="163"/>
    </row>
    <row r="321" ht="14.25" customHeight="1">
      <c r="A321" s="192" t="s">
        <v>2728</v>
      </c>
      <c r="B321" s="108"/>
      <c r="C321" s="193" t="s">
        <v>2883</v>
      </c>
      <c r="D321" s="191" t="s">
        <v>2482</v>
      </c>
      <c r="E321" s="178" t="s">
        <v>2884</v>
      </c>
      <c r="F321" s="178" t="s">
        <v>2885</v>
      </c>
      <c r="G321" s="178" t="s">
        <v>2783</v>
      </c>
      <c r="H321" s="191" t="s">
        <v>36</v>
      </c>
      <c r="I321" s="193" t="s">
        <v>2062</v>
      </c>
      <c r="J321" s="164" t="s">
        <v>2062</v>
      </c>
      <c r="K321" s="163"/>
      <c r="L321" s="163"/>
      <c r="M321" s="163"/>
      <c r="N321" s="163"/>
      <c r="O321" s="163"/>
      <c r="P321" s="163"/>
      <c r="Q321" s="163"/>
      <c r="R321" s="163"/>
      <c r="S321" s="163"/>
      <c r="T321" s="163"/>
      <c r="U321" s="163"/>
      <c r="V321" s="163"/>
      <c r="W321" s="163"/>
      <c r="X321" s="163"/>
      <c r="Y321" s="163"/>
      <c r="Z321" s="163"/>
    </row>
    <row r="322" ht="14.25" customHeight="1">
      <c r="A322" s="192" t="s">
        <v>2728</v>
      </c>
      <c r="B322" s="108"/>
      <c r="C322" s="193" t="s">
        <v>2886</v>
      </c>
      <c r="D322" s="191" t="s">
        <v>2482</v>
      </c>
      <c r="E322" s="178" t="s">
        <v>2887</v>
      </c>
      <c r="F322" s="178" t="s">
        <v>2888</v>
      </c>
      <c r="G322" s="178" t="s">
        <v>2889</v>
      </c>
      <c r="H322" s="191" t="s">
        <v>36</v>
      </c>
      <c r="I322" s="193" t="s">
        <v>2062</v>
      </c>
      <c r="J322" s="164" t="s">
        <v>2062</v>
      </c>
      <c r="K322" s="163"/>
      <c r="L322" s="163"/>
      <c r="M322" s="163"/>
      <c r="N322" s="163"/>
      <c r="O322" s="163"/>
      <c r="P322" s="163"/>
      <c r="Q322" s="163"/>
      <c r="R322" s="163"/>
      <c r="S322" s="163"/>
      <c r="T322" s="163"/>
      <c r="U322" s="163"/>
      <c r="V322" s="163"/>
      <c r="W322" s="163"/>
      <c r="X322" s="163"/>
      <c r="Y322" s="163"/>
      <c r="Z322" s="163"/>
    </row>
    <row r="323" ht="14.25" customHeight="1">
      <c r="A323" s="192" t="s">
        <v>2728</v>
      </c>
      <c r="B323" s="108"/>
      <c r="C323" s="193" t="s">
        <v>2890</v>
      </c>
      <c r="D323" s="191" t="s">
        <v>2482</v>
      </c>
      <c r="E323" s="178" t="s">
        <v>2891</v>
      </c>
      <c r="F323" s="178" t="s">
        <v>2892</v>
      </c>
      <c r="G323" s="178" t="s">
        <v>2893</v>
      </c>
      <c r="H323" s="191" t="s">
        <v>36</v>
      </c>
      <c r="I323" s="193" t="s">
        <v>2062</v>
      </c>
      <c r="J323" s="164" t="s">
        <v>2062</v>
      </c>
      <c r="K323" s="163"/>
      <c r="L323" s="163"/>
      <c r="M323" s="163"/>
      <c r="N323" s="163"/>
      <c r="O323" s="163"/>
      <c r="P323" s="163"/>
      <c r="Q323" s="163"/>
      <c r="R323" s="163"/>
      <c r="S323" s="163"/>
      <c r="T323" s="163"/>
      <c r="U323" s="163"/>
      <c r="V323" s="163"/>
      <c r="W323" s="163"/>
      <c r="X323" s="163"/>
      <c r="Y323" s="163"/>
      <c r="Z323" s="163"/>
    </row>
    <row r="324" ht="14.25" customHeight="1">
      <c r="A324" s="192" t="s">
        <v>2728</v>
      </c>
      <c r="B324" s="108"/>
      <c r="C324" s="193" t="s">
        <v>2894</v>
      </c>
      <c r="D324" s="191" t="s">
        <v>2482</v>
      </c>
      <c r="E324" s="178" t="s">
        <v>2895</v>
      </c>
      <c r="F324" s="178" t="s">
        <v>2896</v>
      </c>
      <c r="G324" s="178" t="s">
        <v>2897</v>
      </c>
      <c r="H324" s="191" t="s">
        <v>36</v>
      </c>
      <c r="I324" s="193" t="s">
        <v>2062</v>
      </c>
      <c r="J324" s="164" t="s">
        <v>2062</v>
      </c>
      <c r="K324" s="163"/>
      <c r="L324" s="163"/>
      <c r="M324" s="163"/>
      <c r="N324" s="163"/>
      <c r="O324" s="163"/>
      <c r="P324" s="163"/>
      <c r="Q324" s="163"/>
      <c r="R324" s="163"/>
      <c r="S324" s="163"/>
      <c r="T324" s="163"/>
      <c r="U324" s="163"/>
      <c r="V324" s="163"/>
      <c r="W324" s="163"/>
      <c r="X324" s="163"/>
      <c r="Y324" s="163"/>
      <c r="Z324" s="163"/>
    </row>
    <row r="325" ht="14.25" customHeight="1">
      <c r="A325" s="192" t="s">
        <v>2728</v>
      </c>
      <c r="B325" s="108"/>
      <c r="C325" s="193" t="s">
        <v>2898</v>
      </c>
      <c r="D325" s="191" t="s">
        <v>2482</v>
      </c>
      <c r="E325" s="178" t="s">
        <v>2899</v>
      </c>
      <c r="F325" s="178" t="s">
        <v>2900</v>
      </c>
      <c r="G325" s="178" t="s">
        <v>2749</v>
      </c>
      <c r="H325" s="191" t="s">
        <v>36</v>
      </c>
      <c r="I325" s="193" t="s">
        <v>2062</v>
      </c>
      <c r="J325" s="164" t="s">
        <v>2062</v>
      </c>
      <c r="K325" s="163"/>
      <c r="L325" s="163"/>
      <c r="M325" s="163"/>
      <c r="N325" s="163"/>
      <c r="O325" s="163"/>
      <c r="P325" s="163"/>
      <c r="Q325" s="163"/>
      <c r="R325" s="163"/>
      <c r="S325" s="163"/>
      <c r="T325" s="163"/>
      <c r="U325" s="163"/>
      <c r="V325" s="163"/>
      <c r="W325" s="163"/>
      <c r="X325" s="163"/>
      <c r="Y325" s="163"/>
      <c r="Z325" s="163"/>
    </row>
    <row r="326" ht="14.25" customHeight="1">
      <c r="A326" s="192" t="s">
        <v>2728</v>
      </c>
      <c r="B326" s="108"/>
      <c r="C326" s="193" t="s">
        <v>2901</v>
      </c>
      <c r="D326" s="191" t="s">
        <v>2482</v>
      </c>
      <c r="E326" s="178" t="s">
        <v>2902</v>
      </c>
      <c r="F326" s="178" t="s">
        <v>2903</v>
      </c>
      <c r="G326" s="178" t="s">
        <v>2904</v>
      </c>
      <c r="H326" s="191" t="s">
        <v>36</v>
      </c>
      <c r="I326" s="193" t="s">
        <v>2062</v>
      </c>
      <c r="J326" s="164" t="s">
        <v>2062</v>
      </c>
      <c r="K326" s="163"/>
      <c r="L326" s="163"/>
      <c r="M326" s="163"/>
      <c r="N326" s="163"/>
      <c r="O326" s="163"/>
      <c r="P326" s="163"/>
      <c r="Q326" s="163"/>
      <c r="R326" s="163"/>
      <c r="S326" s="163"/>
      <c r="T326" s="163"/>
      <c r="U326" s="163"/>
      <c r="V326" s="163"/>
      <c r="W326" s="163"/>
      <c r="X326" s="163"/>
      <c r="Y326" s="163"/>
      <c r="Z326" s="163"/>
    </row>
    <row r="327" ht="14.25" customHeight="1">
      <c r="A327" s="192" t="s">
        <v>2728</v>
      </c>
      <c r="B327" s="108"/>
      <c r="C327" s="193" t="s">
        <v>2905</v>
      </c>
      <c r="D327" s="191" t="s">
        <v>2482</v>
      </c>
      <c r="E327" s="178" t="s">
        <v>2906</v>
      </c>
      <c r="F327" s="178" t="s">
        <v>2907</v>
      </c>
      <c r="G327" s="178" t="s">
        <v>2908</v>
      </c>
      <c r="H327" s="191" t="s">
        <v>36</v>
      </c>
      <c r="I327" s="193" t="s">
        <v>2062</v>
      </c>
      <c r="J327" s="164" t="s">
        <v>2062</v>
      </c>
      <c r="K327" s="163"/>
      <c r="L327" s="163"/>
      <c r="M327" s="163"/>
      <c r="N327" s="163"/>
      <c r="O327" s="163"/>
      <c r="P327" s="163"/>
      <c r="Q327" s="163"/>
      <c r="R327" s="163"/>
      <c r="S327" s="163"/>
      <c r="T327" s="163"/>
      <c r="U327" s="163"/>
      <c r="V327" s="163"/>
      <c r="W327" s="163"/>
      <c r="X327" s="163"/>
      <c r="Y327" s="163"/>
      <c r="Z327" s="163"/>
    </row>
    <row r="328" ht="14.25" customHeight="1">
      <c r="A328" s="192" t="s">
        <v>2728</v>
      </c>
      <c r="B328" s="108"/>
      <c r="C328" s="193" t="s">
        <v>2909</v>
      </c>
      <c r="D328" s="191" t="s">
        <v>2482</v>
      </c>
      <c r="E328" s="178" t="s">
        <v>2910</v>
      </c>
      <c r="F328" s="178" t="s">
        <v>2911</v>
      </c>
      <c r="G328" s="178" t="s">
        <v>2897</v>
      </c>
      <c r="H328" s="191" t="s">
        <v>36</v>
      </c>
      <c r="I328" s="193" t="s">
        <v>2062</v>
      </c>
      <c r="J328" s="164" t="s">
        <v>2062</v>
      </c>
      <c r="K328" s="163"/>
      <c r="L328" s="163"/>
      <c r="M328" s="163"/>
      <c r="N328" s="163"/>
      <c r="O328" s="163"/>
      <c r="P328" s="163"/>
      <c r="Q328" s="163"/>
      <c r="R328" s="163"/>
      <c r="S328" s="163"/>
      <c r="T328" s="163"/>
      <c r="U328" s="163"/>
      <c r="V328" s="163"/>
      <c r="W328" s="163"/>
      <c r="X328" s="163"/>
      <c r="Y328" s="163"/>
      <c r="Z328" s="163"/>
    </row>
    <row r="329" ht="14.25" customHeight="1">
      <c r="A329" s="192" t="s">
        <v>2728</v>
      </c>
      <c r="B329" s="108"/>
      <c r="C329" s="193" t="s">
        <v>2912</v>
      </c>
      <c r="D329" s="191" t="s">
        <v>2482</v>
      </c>
      <c r="E329" s="178" t="s">
        <v>2913</v>
      </c>
      <c r="F329" s="178" t="s">
        <v>2914</v>
      </c>
      <c r="G329" s="178" t="s">
        <v>2749</v>
      </c>
      <c r="H329" s="191" t="s">
        <v>36</v>
      </c>
      <c r="I329" s="193" t="s">
        <v>2062</v>
      </c>
      <c r="J329" s="164" t="s">
        <v>2062</v>
      </c>
      <c r="K329" s="163"/>
      <c r="L329" s="163"/>
      <c r="M329" s="163"/>
      <c r="N329" s="163"/>
      <c r="O329" s="163"/>
      <c r="P329" s="163"/>
      <c r="Q329" s="163"/>
      <c r="R329" s="163"/>
      <c r="S329" s="163"/>
      <c r="T329" s="163"/>
      <c r="U329" s="163"/>
      <c r="V329" s="163"/>
      <c r="W329" s="163"/>
      <c r="X329" s="163"/>
      <c r="Y329" s="163"/>
      <c r="Z329" s="163"/>
    </row>
    <row r="330" ht="14.25" customHeight="1">
      <c r="A330" s="192" t="s">
        <v>2728</v>
      </c>
      <c r="B330" s="108"/>
      <c r="C330" s="193" t="s">
        <v>2915</v>
      </c>
      <c r="D330" s="191" t="s">
        <v>2482</v>
      </c>
      <c r="E330" s="178" t="s">
        <v>2916</v>
      </c>
      <c r="F330" s="178" t="s">
        <v>2917</v>
      </c>
      <c r="G330" s="178" t="s">
        <v>2918</v>
      </c>
      <c r="H330" s="191" t="s">
        <v>36</v>
      </c>
      <c r="I330" s="193" t="s">
        <v>2062</v>
      </c>
      <c r="J330" s="164" t="s">
        <v>2062</v>
      </c>
      <c r="K330" s="163"/>
      <c r="L330" s="163"/>
      <c r="M330" s="163"/>
      <c r="N330" s="163"/>
      <c r="O330" s="163"/>
      <c r="P330" s="163"/>
      <c r="Q330" s="163"/>
      <c r="R330" s="163"/>
      <c r="S330" s="163"/>
      <c r="T330" s="163"/>
      <c r="U330" s="163"/>
      <c r="V330" s="163"/>
      <c r="W330" s="163"/>
      <c r="X330" s="163"/>
      <c r="Y330" s="163"/>
      <c r="Z330" s="163"/>
    </row>
    <row r="331" ht="14.25" customHeight="1">
      <c r="A331" s="192" t="s">
        <v>2728</v>
      </c>
      <c r="B331" s="108"/>
      <c r="C331" s="193" t="s">
        <v>2919</v>
      </c>
      <c r="D331" s="191" t="s">
        <v>2482</v>
      </c>
      <c r="E331" s="178" t="s">
        <v>2920</v>
      </c>
      <c r="F331" s="178" t="s">
        <v>2921</v>
      </c>
      <c r="G331" s="178" t="s">
        <v>2757</v>
      </c>
      <c r="H331" s="191" t="s">
        <v>36</v>
      </c>
      <c r="I331" s="193" t="s">
        <v>2062</v>
      </c>
      <c r="J331" s="164" t="s">
        <v>2062</v>
      </c>
      <c r="K331" s="163"/>
      <c r="L331" s="163"/>
      <c r="M331" s="163"/>
      <c r="N331" s="163"/>
      <c r="O331" s="163"/>
      <c r="P331" s="163"/>
      <c r="Q331" s="163"/>
      <c r="R331" s="163"/>
      <c r="S331" s="163"/>
      <c r="T331" s="163"/>
      <c r="U331" s="163"/>
      <c r="V331" s="163"/>
      <c r="W331" s="163"/>
      <c r="X331" s="163"/>
      <c r="Y331" s="163"/>
      <c r="Z331" s="163"/>
    </row>
    <row r="332" ht="14.25" customHeight="1">
      <c r="A332" s="192" t="s">
        <v>2728</v>
      </c>
      <c r="B332" s="108"/>
      <c r="C332" s="193" t="s">
        <v>2922</v>
      </c>
      <c r="D332" s="191" t="s">
        <v>2482</v>
      </c>
      <c r="E332" s="178" t="s">
        <v>2923</v>
      </c>
      <c r="F332" s="178" t="s">
        <v>2924</v>
      </c>
      <c r="G332" s="178" t="s">
        <v>2925</v>
      </c>
      <c r="H332" s="191" t="s">
        <v>36</v>
      </c>
      <c r="I332" s="193" t="s">
        <v>2062</v>
      </c>
      <c r="J332" s="164" t="s">
        <v>2062</v>
      </c>
      <c r="K332" s="163"/>
      <c r="L332" s="163"/>
      <c r="M332" s="163"/>
      <c r="N332" s="163"/>
      <c r="O332" s="163"/>
      <c r="P332" s="163"/>
      <c r="Q332" s="163"/>
      <c r="R332" s="163"/>
      <c r="S332" s="163"/>
      <c r="T332" s="163"/>
      <c r="U332" s="163"/>
      <c r="V332" s="163"/>
      <c r="W332" s="163"/>
      <c r="X332" s="163"/>
      <c r="Y332" s="163"/>
      <c r="Z332" s="163"/>
    </row>
    <row r="333" ht="14.25" customHeight="1">
      <c r="A333" s="192" t="s">
        <v>2728</v>
      </c>
      <c r="B333" s="108"/>
      <c r="C333" s="193" t="s">
        <v>2926</v>
      </c>
      <c r="D333" s="191" t="s">
        <v>2482</v>
      </c>
      <c r="E333" s="178" t="s">
        <v>2927</v>
      </c>
      <c r="F333" s="178" t="s">
        <v>2928</v>
      </c>
      <c r="G333" s="178" t="s">
        <v>2806</v>
      </c>
      <c r="H333" s="191" t="s">
        <v>36</v>
      </c>
      <c r="I333" s="193" t="s">
        <v>2062</v>
      </c>
      <c r="J333" s="164" t="s">
        <v>2062</v>
      </c>
      <c r="K333" s="163"/>
      <c r="L333" s="163"/>
      <c r="M333" s="163"/>
      <c r="N333" s="163"/>
      <c r="O333" s="163"/>
      <c r="P333" s="163"/>
      <c r="Q333" s="163"/>
      <c r="R333" s="163"/>
      <c r="S333" s="163"/>
      <c r="T333" s="163"/>
      <c r="U333" s="163"/>
      <c r="V333" s="163"/>
      <c r="W333" s="163"/>
      <c r="X333" s="163"/>
      <c r="Y333" s="163"/>
      <c r="Z333" s="163"/>
    </row>
    <row r="334" ht="14.25" customHeight="1">
      <c r="A334" s="192" t="s">
        <v>2728</v>
      </c>
      <c r="B334" s="108"/>
      <c r="C334" s="193" t="s">
        <v>2929</v>
      </c>
      <c r="D334" s="191" t="s">
        <v>2482</v>
      </c>
      <c r="E334" s="178" t="s">
        <v>2930</v>
      </c>
      <c r="F334" s="178" t="s">
        <v>2931</v>
      </c>
      <c r="G334" s="178" t="s">
        <v>2932</v>
      </c>
      <c r="H334" s="191" t="s">
        <v>36</v>
      </c>
      <c r="I334" s="193" t="s">
        <v>2062</v>
      </c>
      <c r="J334" s="164" t="s">
        <v>2062</v>
      </c>
      <c r="K334" s="163"/>
      <c r="L334" s="163"/>
      <c r="M334" s="163"/>
      <c r="N334" s="163"/>
      <c r="O334" s="163"/>
      <c r="P334" s="163"/>
      <c r="Q334" s="163"/>
      <c r="R334" s="163"/>
      <c r="S334" s="163"/>
      <c r="T334" s="163"/>
      <c r="U334" s="163"/>
      <c r="V334" s="163"/>
      <c r="W334" s="163"/>
      <c r="X334" s="163"/>
      <c r="Y334" s="163"/>
      <c r="Z334" s="163"/>
    </row>
    <row r="335" ht="14.25" customHeight="1">
      <c r="A335" s="192" t="s">
        <v>2728</v>
      </c>
      <c r="B335" s="108"/>
      <c r="C335" s="193" t="s">
        <v>2933</v>
      </c>
      <c r="D335" s="191" t="s">
        <v>2482</v>
      </c>
      <c r="E335" s="178" t="s">
        <v>2934</v>
      </c>
      <c r="F335" s="178" t="s">
        <v>2935</v>
      </c>
      <c r="G335" s="178" t="s">
        <v>2908</v>
      </c>
      <c r="H335" s="191" t="s">
        <v>36</v>
      </c>
      <c r="I335" s="193" t="s">
        <v>2062</v>
      </c>
      <c r="J335" s="164" t="s">
        <v>2062</v>
      </c>
      <c r="K335" s="163"/>
      <c r="L335" s="163"/>
      <c r="M335" s="163"/>
      <c r="N335" s="163"/>
      <c r="O335" s="163"/>
      <c r="P335" s="163"/>
      <c r="Q335" s="163"/>
      <c r="R335" s="163"/>
      <c r="S335" s="163"/>
      <c r="T335" s="163"/>
      <c r="U335" s="163"/>
      <c r="V335" s="163"/>
      <c r="W335" s="163"/>
      <c r="X335" s="163"/>
      <c r="Y335" s="163"/>
      <c r="Z335" s="163"/>
    </row>
    <row r="336" ht="14.25" customHeight="1">
      <c r="A336" s="192" t="s">
        <v>2728</v>
      </c>
      <c r="B336" s="108"/>
      <c r="C336" s="193" t="s">
        <v>2936</v>
      </c>
      <c r="D336" s="191" t="s">
        <v>2482</v>
      </c>
      <c r="E336" s="178" t="s">
        <v>2937</v>
      </c>
      <c r="F336" s="178" t="s">
        <v>2938</v>
      </c>
      <c r="G336" s="178" t="s">
        <v>2939</v>
      </c>
      <c r="H336" s="191" t="s">
        <v>36</v>
      </c>
      <c r="I336" s="193" t="s">
        <v>2062</v>
      </c>
      <c r="J336" s="164" t="s">
        <v>2062</v>
      </c>
      <c r="K336" s="163"/>
      <c r="L336" s="163"/>
      <c r="M336" s="163"/>
      <c r="N336" s="163"/>
      <c r="O336" s="163"/>
      <c r="P336" s="163"/>
      <c r="Q336" s="163"/>
      <c r="R336" s="163"/>
      <c r="S336" s="163"/>
      <c r="T336" s="163"/>
      <c r="U336" s="163"/>
      <c r="V336" s="163"/>
      <c r="W336" s="163"/>
      <c r="X336" s="163"/>
      <c r="Y336" s="163"/>
      <c r="Z336" s="163"/>
    </row>
    <row r="337" ht="14.25" customHeight="1">
      <c r="A337" s="192" t="s">
        <v>2728</v>
      </c>
      <c r="B337" s="108"/>
      <c r="C337" s="193" t="s">
        <v>2940</v>
      </c>
      <c r="D337" s="191" t="s">
        <v>2482</v>
      </c>
      <c r="E337" s="178" t="s">
        <v>2941</v>
      </c>
      <c r="F337" s="178" t="s">
        <v>2942</v>
      </c>
      <c r="G337" s="178" t="s">
        <v>2908</v>
      </c>
      <c r="H337" s="191" t="s">
        <v>36</v>
      </c>
      <c r="I337" s="193" t="s">
        <v>2062</v>
      </c>
      <c r="J337" s="164" t="s">
        <v>2062</v>
      </c>
      <c r="K337" s="163"/>
      <c r="L337" s="163"/>
      <c r="M337" s="163"/>
      <c r="N337" s="163"/>
      <c r="O337" s="163"/>
      <c r="P337" s="163"/>
      <c r="Q337" s="163"/>
      <c r="R337" s="163"/>
      <c r="S337" s="163"/>
      <c r="T337" s="163"/>
      <c r="U337" s="163"/>
      <c r="V337" s="163"/>
      <c r="W337" s="163"/>
      <c r="X337" s="163"/>
      <c r="Y337" s="163"/>
      <c r="Z337" s="163"/>
    </row>
    <row r="338" ht="14.25" customHeight="1">
      <c r="A338" s="192" t="s">
        <v>2728</v>
      </c>
      <c r="B338" s="108"/>
      <c r="C338" s="193" t="s">
        <v>2943</v>
      </c>
      <c r="D338" s="191" t="s">
        <v>2482</v>
      </c>
      <c r="E338" s="178" t="s">
        <v>2944</v>
      </c>
      <c r="F338" s="178" t="s">
        <v>2945</v>
      </c>
      <c r="G338" s="178" t="s">
        <v>2946</v>
      </c>
      <c r="H338" s="191" t="s">
        <v>36</v>
      </c>
      <c r="I338" s="193" t="s">
        <v>2062</v>
      </c>
      <c r="J338" s="164" t="s">
        <v>2062</v>
      </c>
      <c r="K338" s="163"/>
      <c r="L338" s="163"/>
      <c r="M338" s="163"/>
      <c r="N338" s="163"/>
      <c r="O338" s="163"/>
      <c r="P338" s="163"/>
      <c r="Q338" s="163"/>
      <c r="R338" s="163"/>
      <c r="S338" s="163"/>
      <c r="T338" s="163"/>
      <c r="U338" s="163"/>
      <c r="V338" s="163"/>
      <c r="W338" s="163"/>
      <c r="X338" s="163"/>
      <c r="Y338" s="163"/>
      <c r="Z338" s="163"/>
    </row>
    <row r="339" ht="14.25" customHeight="1">
      <c r="A339" s="192" t="s">
        <v>2728</v>
      </c>
      <c r="B339" s="108"/>
      <c r="C339" s="193" t="s">
        <v>2947</v>
      </c>
      <c r="D339" s="191" t="s">
        <v>2482</v>
      </c>
      <c r="E339" s="178" t="s">
        <v>2948</v>
      </c>
      <c r="F339" s="178" t="s">
        <v>2949</v>
      </c>
      <c r="G339" s="178" t="s">
        <v>2908</v>
      </c>
      <c r="H339" s="191" t="s">
        <v>36</v>
      </c>
      <c r="I339" s="193" t="s">
        <v>2062</v>
      </c>
      <c r="J339" s="164" t="s">
        <v>2062</v>
      </c>
      <c r="K339" s="163"/>
      <c r="L339" s="163"/>
      <c r="M339" s="163"/>
      <c r="N339" s="163"/>
      <c r="O339" s="163"/>
      <c r="P339" s="163"/>
      <c r="Q339" s="163"/>
      <c r="R339" s="163"/>
      <c r="S339" s="163"/>
      <c r="T339" s="163"/>
      <c r="U339" s="163"/>
      <c r="V339" s="163"/>
      <c r="W339" s="163"/>
      <c r="X339" s="163"/>
      <c r="Y339" s="163"/>
      <c r="Z339" s="163"/>
    </row>
    <row r="340" ht="14.25" customHeight="1">
      <c r="A340" s="192" t="s">
        <v>2728</v>
      </c>
      <c r="B340" s="108"/>
      <c r="C340" s="193" t="s">
        <v>2950</v>
      </c>
      <c r="D340" s="191" t="s">
        <v>2482</v>
      </c>
      <c r="E340" s="178" t="s">
        <v>2951</v>
      </c>
      <c r="F340" s="178" t="s">
        <v>2952</v>
      </c>
      <c r="G340" s="178" t="s">
        <v>2953</v>
      </c>
      <c r="H340" s="191" t="s">
        <v>36</v>
      </c>
      <c r="I340" s="193" t="s">
        <v>2062</v>
      </c>
      <c r="J340" s="164" t="s">
        <v>2062</v>
      </c>
      <c r="K340" s="163"/>
      <c r="L340" s="163"/>
      <c r="M340" s="163"/>
      <c r="N340" s="163"/>
      <c r="O340" s="163"/>
      <c r="P340" s="163"/>
      <c r="Q340" s="163"/>
      <c r="R340" s="163"/>
      <c r="S340" s="163"/>
      <c r="T340" s="163"/>
      <c r="U340" s="163"/>
      <c r="V340" s="163"/>
      <c r="W340" s="163"/>
      <c r="X340" s="163"/>
      <c r="Y340" s="163"/>
      <c r="Z340" s="163"/>
    </row>
    <row r="341" ht="14.25" customHeight="1">
      <c r="A341" s="192" t="s">
        <v>2728</v>
      </c>
      <c r="B341" s="108"/>
      <c r="C341" s="193" t="s">
        <v>2954</v>
      </c>
      <c r="D341" s="191" t="s">
        <v>2482</v>
      </c>
      <c r="E341" s="178" t="s">
        <v>2955</v>
      </c>
      <c r="F341" s="178" t="s">
        <v>2956</v>
      </c>
      <c r="G341" s="178" t="s">
        <v>2749</v>
      </c>
      <c r="H341" s="191" t="s">
        <v>36</v>
      </c>
      <c r="I341" s="193" t="s">
        <v>2062</v>
      </c>
      <c r="J341" s="164" t="s">
        <v>2062</v>
      </c>
      <c r="K341" s="163"/>
      <c r="L341" s="163"/>
      <c r="M341" s="163"/>
      <c r="N341" s="163"/>
      <c r="O341" s="163"/>
      <c r="P341" s="163"/>
      <c r="Q341" s="163"/>
      <c r="R341" s="163"/>
      <c r="S341" s="163"/>
      <c r="T341" s="163"/>
      <c r="U341" s="163"/>
      <c r="V341" s="163"/>
      <c r="W341" s="163"/>
      <c r="X341" s="163"/>
      <c r="Y341" s="163"/>
      <c r="Z341" s="163"/>
    </row>
    <row r="342" ht="14.25" customHeight="1">
      <c r="A342" s="192" t="s">
        <v>2728</v>
      </c>
      <c r="B342" s="108"/>
      <c r="C342" s="193" t="s">
        <v>2957</v>
      </c>
      <c r="D342" s="191" t="s">
        <v>2482</v>
      </c>
      <c r="E342" s="178" t="s">
        <v>2958</v>
      </c>
      <c r="F342" s="178" t="s">
        <v>2959</v>
      </c>
      <c r="G342" s="178" t="s">
        <v>2737</v>
      </c>
      <c r="H342" s="191" t="s">
        <v>36</v>
      </c>
      <c r="I342" s="193" t="s">
        <v>2062</v>
      </c>
      <c r="J342" s="164" t="s">
        <v>2062</v>
      </c>
      <c r="K342" s="163"/>
      <c r="L342" s="163"/>
      <c r="M342" s="163"/>
      <c r="N342" s="163"/>
      <c r="O342" s="163"/>
      <c r="P342" s="163"/>
      <c r="Q342" s="163"/>
      <c r="R342" s="163"/>
      <c r="S342" s="163"/>
      <c r="T342" s="163"/>
      <c r="U342" s="163"/>
      <c r="V342" s="163"/>
      <c r="W342" s="163"/>
      <c r="X342" s="163"/>
      <c r="Y342" s="163"/>
      <c r="Z342" s="163"/>
    </row>
    <row r="343" ht="14.25" customHeight="1">
      <c r="A343" s="192" t="s">
        <v>2728</v>
      </c>
      <c r="B343" s="108"/>
      <c r="C343" s="193" t="s">
        <v>2960</v>
      </c>
      <c r="D343" s="191" t="s">
        <v>2482</v>
      </c>
      <c r="E343" s="178" t="s">
        <v>2961</v>
      </c>
      <c r="F343" s="178" t="s">
        <v>2962</v>
      </c>
      <c r="G343" s="178" t="s">
        <v>2963</v>
      </c>
      <c r="H343" s="191" t="s">
        <v>36</v>
      </c>
      <c r="I343" s="193" t="s">
        <v>2062</v>
      </c>
      <c r="J343" s="164" t="s">
        <v>2062</v>
      </c>
      <c r="K343" s="163"/>
      <c r="L343" s="163"/>
      <c r="M343" s="163"/>
      <c r="N343" s="163"/>
      <c r="O343" s="163"/>
      <c r="P343" s="163"/>
      <c r="Q343" s="163"/>
      <c r="R343" s="163"/>
      <c r="S343" s="163"/>
      <c r="T343" s="163"/>
      <c r="U343" s="163"/>
      <c r="V343" s="163"/>
      <c r="W343" s="163"/>
      <c r="X343" s="163"/>
      <c r="Y343" s="163"/>
      <c r="Z343" s="163"/>
    </row>
    <row r="344" ht="14.25" customHeight="1">
      <c r="A344" s="192" t="s">
        <v>2728</v>
      </c>
      <c r="B344" s="109"/>
      <c r="C344" s="193" t="s">
        <v>2964</v>
      </c>
      <c r="D344" s="191" t="s">
        <v>2482</v>
      </c>
      <c r="E344" s="178" t="s">
        <v>2965</v>
      </c>
      <c r="F344" s="178" t="s">
        <v>2966</v>
      </c>
      <c r="G344" s="178" t="s">
        <v>2757</v>
      </c>
      <c r="H344" s="191" t="s">
        <v>36</v>
      </c>
      <c r="I344" s="193" t="s">
        <v>2062</v>
      </c>
      <c r="J344" s="164" t="s">
        <v>2062</v>
      </c>
      <c r="K344" s="163"/>
      <c r="L344" s="163"/>
      <c r="M344" s="163"/>
      <c r="N344" s="163"/>
      <c r="O344" s="163"/>
      <c r="P344" s="163"/>
      <c r="Q344" s="163"/>
      <c r="R344" s="163"/>
      <c r="S344" s="163"/>
      <c r="T344" s="163"/>
      <c r="U344" s="163"/>
      <c r="V344" s="163"/>
      <c r="W344" s="163"/>
      <c r="X344" s="163"/>
      <c r="Y344" s="163"/>
      <c r="Z344" s="163"/>
    </row>
    <row r="345" ht="14.25" customHeight="1">
      <c r="A345" s="176" t="s">
        <v>2967</v>
      </c>
      <c r="B345" s="175" t="s">
        <v>2968</v>
      </c>
      <c r="C345" s="191" t="s">
        <v>2969</v>
      </c>
      <c r="D345" s="175" t="s">
        <v>2482</v>
      </c>
      <c r="E345" s="175" t="s">
        <v>2970</v>
      </c>
      <c r="F345" s="175" t="s">
        <v>2971</v>
      </c>
      <c r="G345" s="175" t="s">
        <v>2972</v>
      </c>
      <c r="H345" s="175" t="s">
        <v>36</v>
      </c>
      <c r="I345" s="189"/>
      <c r="J345" s="175" t="s">
        <v>1784</v>
      </c>
      <c r="K345" s="163"/>
      <c r="L345" s="163"/>
      <c r="M345" s="163"/>
      <c r="N345" s="163"/>
      <c r="O345" s="163"/>
      <c r="P345" s="163"/>
      <c r="Q345" s="163"/>
      <c r="R345" s="163"/>
      <c r="S345" s="163"/>
      <c r="T345" s="163"/>
      <c r="U345" s="163"/>
      <c r="V345" s="163"/>
      <c r="W345" s="163"/>
      <c r="X345" s="163"/>
      <c r="Y345" s="163"/>
      <c r="Z345" s="163"/>
    </row>
    <row r="346" ht="14.25" customHeight="1">
      <c r="A346" s="176" t="s">
        <v>2967</v>
      </c>
      <c r="B346" s="178" t="s">
        <v>2968</v>
      </c>
      <c r="C346" s="193" t="s">
        <v>2973</v>
      </c>
      <c r="D346" s="178" t="s">
        <v>2482</v>
      </c>
      <c r="E346" s="178" t="s">
        <v>2974</v>
      </c>
      <c r="F346" s="178" t="s">
        <v>2975</v>
      </c>
      <c r="G346" s="178" t="s">
        <v>2976</v>
      </c>
      <c r="H346" s="178" t="s">
        <v>36</v>
      </c>
      <c r="I346" s="187"/>
      <c r="J346" s="175" t="s">
        <v>1784</v>
      </c>
      <c r="K346" s="163"/>
      <c r="L346" s="163"/>
      <c r="M346" s="163"/>
      <c r="N346" s="163"/>
      <c r="O346" s="163"/>
      <c r="P346" s="163"/>
      <c r="Q346" s="163"/>
      <c r="R346" s="163"/>
      <c r="S346" s="163"/>
      <c r="T346" s="163"/>
      <c r="U346" s="163"/>
      <c r="V346" s="163"/>
      <c r="W346" s="163"/>
      <c r="X346" s="163"/>
      <c r="Y346" s="163"/>
      <c r="Z346" s="163"/>
    </row>
    <row r="347" ht="14.25" customHeight="1">
      <c r="A347" s="176" t="s">
        <v>2967</v>
      </c>
      <c r="B347" s="178" t="s">
        <v>2977</v>
      </c>
      <c r="C347" s="193" t="s">
        <v>2978</v>
      </c>
      <c r="D347" s="178" t="s">
        <v>2482</v>
      </c>
      <c r="E347" s="178" t="s">
        <v>2979</v>
      </c>
      <c r="F347" s="178" t="s">
        <v>2980</v>
      </c>
      <c r="G347" s="178" t="s">
        <v>2981</v>
      </c>
      <c r="H347" s="178" t="s">
        <v>36</v>
      </c>
      <c r="I347" s="187"/>
      <c r="J347" s="175" t="s">
        <v>1784</v>
      </c>
      <c r="K347" s="163"/>
      <c r="L347" s="163"/>
      <c r="M347" s="163"/>
      <c r="N347" s="163"/>
      <c r="O347" s="163"/>
      <c r="P347" s="163"/>
      <c r="Q347" s="163"/>
      <c r="R347" s="163"/>
      <c r="S347" s="163"/>
      <c r="T347" s="163"/>
      <c r="U347" s="163"/>
      <c r="V347" s="163"/>
      <c r="W347" s="163"/>
      <c r="X347" s="163"/>
      <c r="Y347" s="163"/>
      <c r="Z347" s="163"/>
    </row>
    <row r="348" ht="14.25" customHeight="1">
      <c r="A348" s="176" t="s">
        <v>2967</v>
      </c>
      <c r="B348" s="178" t="s">
        <v>2977</v>
      </c>
      <c r="C348" s="193" t="s">
        <v>2982</v>
      </c>
      <c r="D348" s="178" t="s">
        <v>2983</v>
      </c>
      <c r="E348" s="178" t="s">
        <v>2984</v>
      </c>
      <c r="F348" s="178" t="s">
        <v>2985</v>
      </c>
      <c r="G348" s="178" t="s">
        <v>2986</v>
      </c>
      <c r="H348" s="178" t="s">
        <v>36</v>
      </c>
      <c r="I348" s="187"/>
      <c r="J348" s="175" t="s">
        <v>1784</v>
      </c>
      <c r="K348" s="163"/>
      <c r="L348" s="163"/>
      <c r="M348" s="163"/>
      <c r="N348" s="163"/>
      <c r="O348" s="163"/>
      <c r="P348" s="163"/>
      <c r="Q348" s="163"/>
      <c r="R348" s="163"/>
      <c r="S348" s="163"/>
      <c r="T348" s="163"/>
      <c r="U348" s="163"/>
      <c r="V348" s="163"/>
      <c r="W348" s="163"/>
      <c r="X348" s="163"/>
      <c r="Y348" s="163"/>
      <c r="Z348" s="163"/>
    </row>
    <row r="349" ht="14.25" customHeight="1">
      <c r="A349" s="176" t="s">
        <v>2967</v>
      </c>
      <c r="B349" s="178" t="s">
        <v>2977</v>
      </c>
      <c r="C349" s="193" t="s">
        <v>2987</v>
      </c>
      <c r="D349" s="178" t="s">
        <v>2482</v>
      </c>
      <c r="E349" s="178" t="s">
        <v>2988</v>
      </c>
      <c r="F349" s="178" t="s">
        <v>2989</v>
      </c>
      <c r="G349" s="178" t="s">
        <v>2990</v>
      </c>
      <c r="H349" s="178" t="s">
        <v>36</v>
      </c>
      <c r="I349" s="187"/>
      <c r="J349" s="175" t="s">
        <v>1784</v>
      </c>
      <c r="K349" s="163"/>
      <c r="L349" s="163"/>
      <c r="M349" s="163"/>
      <c r="N349" s="163"/>
      <c r="O349" s="163"/>
      <c r="P349" s="163"/>
      <c r="Q349" s="163"/>
      <c r="R349" s="163"/>
      <c r="S349" s="163"/>
      <c r="T349" s="163"/>
      <c r="U349" s="163"/>
      <c r="V349" s="163"/>
      <c r="W349" s="163"/>
      <c r="X349" s="163"/>
      <c r="Y349" s="163"/>
      <c r="Z349" s="163"/>
    </row>
    <row r="350" ht="14.25" customHeight="1">
      <c r="A350" s="176" t="s">
        <v>2967</v>
      </c>
      <c r="B350" s="178" t="s">
        <v>2977</v>
      </c>
      <c r="C350" s="193" t="s">
        <v>2991</v>
      </c>
      <c r="D350" s="178" t="s">
        <v>2983</v>
      </c>
      <c r="E350" s="178" t="s">
        <v>2992</v>
      </c>
      <c r="F350" s="178" t="s">
        <v>2993</v>
      </c>
      <c r="G350" s="178" t="s">
        <v>2986</v>
      </c>
      <c r="H350" s="178" t="s">
        <v>36</v>
      </c>
      <c r="I350" s="187"/>
      <c r="J350" s="175" t="s">
        <v>1784</v>
      </c>
      <c r="K350" s="163"/>
      <c r="L350" s="163"/>
      <c r="M350" s="163"/>
      <c r="N350" s="163"/>
      <c r="O350" s="163"/>
      <c r="P350" s="163"/>
      <c r="Q350" s="163"/>
      <c r="R350" s="163"/>
      <c r="S350" s="163"/>
      <c r="T350" s="163"/>
      <c r="U350" s="163"/>
      <c r="V350" s="163"/>
      <c r="W350" s="163"/>
      <c r="X350" s="163"/>
      <c r="Y350" s="163"/>
      <c r="Z350" s="163"/>
    </row>
    <row r="351" ht="14.25" customHeight="1">
      <c r="A351" s="176" t="s">
        <v>2967</v>
      </c>
      <c r="B351" s="178" t="s">
        <v>2994</v>
      </c>
      <c r="C351" s="193" t="s">
        <v>2995</v>
      </c>
      <c r="D351" s="178" t="s">
        <v>2983</v>
      </c>
      <c r="E351" s="178" t="s">
        <v>2996</v>
      </c>
      <c r="F351" s="178" t="s">
        <v>2997</v>
      </c>
      <c r="G351" s="178" t="s">
        <v>2998</v>
      </c>
      <c r="H351" s="178" t="s">
        <v>36</v>
      </c>
      <c r="I351" s="187"/>
      <c r="J351" s="175" t="s">
        <v>1784</v>
      </c>
      <c r="K351" s="163"/>
      <c r="L351" s="163"/>
      <c r="M351" s="163"/>
      <c r="N351" s="163"/>
      <c r="O351" s="163"/>
      <c r="P351" s="163"/>
      <c r="Q351" s="163"/>
      <c r="R351" s="163"/>
      <c r="S351" s="163"/>
      <c r="T351" s="163"/>
      <c r="U351" s="163"/>
      <c r="V351" s="163"/>
      <c r="W351" s="163"/>
      <c r="X351" s="163"/>
      <c r="Y351" s="163"/>
      <c r="Z351" s="163"/>
    </row>
    <row r="352" ht="14.25" customHeight="1">
      <c r="A352" s="176" t="s">
        <v>2967</v>
      </c>
      <c r="B352" s="178" t="s">
        <v>2994</v>
      </c>
      <c r="C352" s="193" t="s">
        <v>2999</v>
      </c>
      <c r="D352" s="178" t="s">
        <v>2983</v>
      </c>
      <c r="E352" s="178" t="s">
        <v>3000</v>
      </c>
      <c r="F352" s="178" t="s">
        <v>3001</v>
      </c>
      <c r="G352" s="178" t="s">
        <v>3002</v>
      </c>
      <c r="H352" s="178" t="s">
        <v>36</v>
      </c>
      <c r="I352" s="187"/>
      <c r="J352" s="175" t="s">
        <v>1784</v>
      </c>
      <c r="K352" s="163"/>
      <c r="L352" s="163"/>
      <c r="M352" s="163"/>
      <c r="N352" s="163"/>
      <c r="O352" s="163"/>
      <c r="P352" s="163"/>
      <c r="Q352" s="163"/>
      <c r="R352" s="163"/>
      <c r="S352" s="163"/>
      <c r="T352" s="163"/>
      <c r="U352" s="163"/>
      <c r="V352" s="163"/>
      <c r="W352" s="163"/>
      <c r="X352" s="163"/>
      <c r="Y352" s="163"/>
      <c r="Z352" s="163"/>
    </row>
    <row r="353" ht="14.25" customHeight="1">
      <c r="A353" s="176" t="s">
        <v>2967</v>
      </c>
      <c r="B353" s="178" t="s">
        <v>2994</v>
      </c>
      <c r="C353" s="193" t="s">
        <v>3003</v>
      </c>
      <c r="D353" s="178" t="s">
        <v>2983</v>
      </c>
      <c r="E353" s="178" t="s">
        <v>3004</v>
      </c>
      <c r="F353" s="178" t="s">
        <v>3005</v>
      </c>
      <c r="G353" s="178" t="s">
        <v>3006</v>
      </c>
      <c r="H353" s="178" t="s">
        <v>36</v>
      </c>
      <c r="I353" s="187"/>
      <c r="J353" s="175" t="s">
        <v>1784</v>
      </c>
      <c r="K353" s="163"/>
      <c r="L353" s="163"/>
      <c r="M353" s="163"/>
      <c r="N353" s="163"/>
      <c r="O353" s="163"/>
      <c r="P353" s="163"/>
      <c r="Q353" s="163"/>
      <c r="R353" s="163"/>
      <c r="S353" s="163"/>
      <c r="T353" s="163"/>
      <c r="U353" s="163"/>
      <c r="V353" s="163"/>
      <c r="W353" s="163"/>
      <c r="X353" s="163"/>
      <c r="Y353" s="163"/>
      <c r="Z353" s="163"/>
    </row>
    <row r="354" ht="14.25" customHeight="1">
      <c r="A354" s="176" t="s">
        <v>2967</v>
      </c>
      <c r="B354" s="178" t="s">
        <v>2994</v>
      </c>
      <c r="C354" s="193" t="s">
        <v>3007</v>
      </c>
      <c r="D354" s="178" t="s">
        <v>2983</v>
      </c>
      <c r="E354" s="178" t="s">
        <v>3008</v>
      </c>
      <c r="F354" s="178" t="s">
        <v>2985</v>
      </c>
      <c r="G354" s="178" t="s">
        <v>3009</v>
      </c>
      <c r="H354" s="178" t="s">
        <v>36</v>
      </c>
      <c r="I354" s="187"/>
      <c r="J354" s="175" t="s">
        <v>1784</v>
      </c>
      <c r="K354" s="163"/>
      <c r="L354" s="163"/>
      <c r="M354" s="163"/>
      <c r="N354" s="163"/>
      <c r="O354" s="163"/>
      <c r="P354" s="163"/>
      <c r="Q354" s="163"/>
      <c r="R354" s="163"/>
      <c r="S354" s="163"/>
      <c r="T354" s="163"/>
      <c r="U354" s="163"/>
      <c r="V354" s="163"/>
      <c r="W354" s="163"/>
      <c r="X354" s="163"/>
      <c r="Y354" s="163"/>
      <c r="Z354" s="163"/>
    </row>
    <row r="355" ht="14.25" customHeight="1">
      <c r="A355" s="176" t="s">
        <v>2967</v>
      </c>
      <c r="B355" s="178" t="s">
        <v>2994</v>
      </c>
      <c r="C355" s="193" t="s">
        <v>3010</v>
      </c>
      <c r="D355" s="178" t="s">
        <v>2983</v>
      </c>
      <c r="E355" s="178" t="s">
        <v>3011</v>
      </c>
      <c r="F355" s="178" t="s">
        <v>3012</v>
      </c>
      <c r="G355" s="178" t="s">
        <v>3013</v>
      </c>
      <c r="H355" s="178" t="s">
        <v>36</v>
      </c>
      <c r="I355" s="187"/>
      <c r="J355" s="175" t="s">
        <v>1784</v>
      </c>
      <c r="K355" s="163"/>
      <c r="L355" s="163"/>
      <c r="M355" s="163"/>
      <c r="N355" s="163"/>
      <c r="O355" s="163"/>
      <c r="P355" s="163"/>
      <c r="Q355" s="163"/>
      <c r="R355" s="163"/>
      <c r="S355" s="163"/>
      <c r="T355" s="163"/>
      <c r="U355" s="163"/>
      <c r="V355" s="163"/>
      <c r="W355" s="163"/>
      <c r="X355" s="163"/>
      <c r="Y355" s="163"/>
      <c r="Z355" s="163"/>
    </row>
    <row r="356" ht="14.25" customHeight="1">
      <c r="A356" s="176" t="s">
        <v>2967</v>
      </c>
      <c r="B356" s="178" t="s">
        <v>2994</v>
      </c>
      <c r="C356" s="193" t="s">
        <v>3014</v>
      </c>
      <c r="D356" s="178" t="s">
        <v>2983</v>
      </c>
      <c r="E356" s="178" t="s">
        <v>3015</v>
      </c>
      <c r="F356" s="178" t="s">
        <v>3016</v>
      </c>
      <c r="G356" s="178" t="s">
        <v>3017</v>
      </c>
      <c r="H356" s="178" t="s">
        <v>317</v>
      </c>
      <c r="I356" s="187"/>
      <c r="J356" s="175" t="s">
        <v>1784</v>
      </c>
      <c r="K356" s="163"/>
      <c r="L356" s="163"/>
      <c r="M356" s="163"/>
      <c r="N356" s="163"/>
      <c r="O356" s="163"/>
      <c r="P356" s="163"/>
      <c r="Q356" s="163"/>
      <c r="R356" s="163"/>
      <c r="S356" s="163"/>
      <c r="T356" s="163"/>
      <c r="U356" s="163"/>
      <c r="V356" s="163"/>
      <c r="W356" s="163"/>
      <c r="X356" s="163"/>
      <c r="Y356" s="163"/>
      <c r="Z356" s="163"/>
    </row>
    <row r="357" ht="14.25" customHeight="1">
      <c r="A357" s="176" t="s">
        <v>2967</v>
      </c>
      <c r="B357" s="178" t="s">
        <v>2994</v>
      </c>
      <c r="C357" s="193" t="s">
        <v>3018</v>
      </c>
      <c r="D357" s="178" t="s">
        <v>2983</v>
      </c>
      <c r="E357" s="178" t="s">
        <v>3019</v>
      </c>
      <c r="F357" s="178" t="s">
        <v>3020</v>
      </c>
      <c r="G357" s="178" t="s">
        <v>3021</v>
      </c>
      <c r="H357" s="178" t="s">
        <v>36</v>
      </c>
      <c r="I357" s="187"/>
      <c r="J357" s="175" t="s">
        <v>1784</v>
      </c>
      <c r="K357" s="163"/>
      <c r="L357" s="163"/>
      <c r="M357" s="163"/>
      <c r="N357" s="163"/>
      <c r="O357" s="163"/>
      <c r="P357" s="163"/>
      <c r="Q357" s="163"/>
      <c r="R357" s="163"/>
      <c r="S357" s="163"/>
      <c r="T357" s="163"/>
      <c r="U357" s="163"/>
      <c r="V357" s="163"/>
      <c r="W357" s="163"/>
      <c r="X357" s="163"/>
      <c r="Y357" s="163"/>
      <c r="Z357" s="163"/>
    </row>
    <row r="358" ht="14.25" customHeight="1">
      <c r="A358" s="176" t="s">
        <v>2967</v>
      </c>
      <c r="B358" s="178" t="s">
        <v>2994</v>
      </c>
      <c r="C358" s="193" t="s">
        <v>3022</v>
      </c>
      <c r="D358" s="178" t="s">
        <v>2482</v>
      </c>
      <c r="E358" s="178" t="s">
        <v>3023</v>
      </c>
      <c r="F358" s="178" t="s">
        <v>3024</v>
      </c>
      <c r="G358" s="178" t="s">
        <v>3025</v>
      </c>
      <c r="H358" s="178" t="s">
        <v>36</v>
      </c>
      <c r="I358" s="187"/>
      <c r="J358" s="175" t="s">
        <v>1784</v>
      </c>
      <c r="K358" s="163"/>
      <c r="L358" s="163"/>
      <c r="M358" s="163"/>
      <c r="N358" s="163"/>
      <c r="O358" s="163"/>
      <c r="P358" s="163"/>
      <c r="Q358" s="163"/>
      <c r="R358" s="163"/>
      <c r="S358" s="163"/>
      <c r="T358" s="163"/>
      <c r="U358" s="163"/>
      <c r="V358" s="163"/>
      <c r="W358" s="163"/>
      <c r="X358" s="163"/>
      <c r="Y358" s="163"/>
      <c r="Z358" s="163"/>
    </row>
    <row r="359" ht="14.25" customHeight="1">
      <c r="A359" s="176" t="s">
        <v>2967</v>
      </c>
      <c r="B359" s="178" t="s">
        <v>2994</v>
      </c>
      <c r="C359" s="193" t="s">
        <v>3026</v>
      </c>
      <c r="D359" s="178" t="s">
        <v>2983</v>
      </c>
      <c r="E359" s="178" t="s">
        <v>3027</v>
      </c>
      <c r="F359" s="178" t="s">
        <v>3028</v>
      </c>
      <c r="G359" s="178" t="s">
        <v>3029</v>
      </c>
      <c r="H359" s="178" t="s">
        <v>36</v>
      </c>
      <c r="I359" s="187"/>
      <c r="J359" s="175" t="s">
        <v>1784</v>
      </c>
      <c r="K359" s="163"/>
      <c r="L359" s="163"/>
      <c r="M359" s="163"/>
      <c r="N359" s="163"/>
      <c r="O359" s="163"/>
      <c r="P359" s="163"/>
      <c r="Q359" s="163"/>
      <c r="R359" s="163"/>
      <c r="S359" s="163"/>
      <c r="T359" s="163"/>
      <c r="U359" s="163"/>
      <c r="V359" s="163"/>
      <c r="W359" s="163"/>
      <c r="X359" s="163"/>
      <c r="Y359" s="163"/>
      <c r="Z359" s="163"/>
    </row>
    <row r="360" ht="14.25" customHeight="1">
      <c r="A360" s="176" t="s">
        <v>2967</v>
      </c>
      <c r="B360" s="178" t="s">
        <v>2994</v>
      </c>
      <c r="C360" s="193" t="s">
        <v>3030</v>
      </c>
      <c r="D360" s="178" t="s">
        <v>2983</v>
      </c>
      <c r="E360" s="178" t="s">
        <v>3031</v>
      </c>
      <c r="F360" s="178" t="s">
        <v>3032</v>
      </c>
      <c r="G360" s="178" t="s">
        <v>3033</v>
      </c>
      <c r="H360" s="178" t="s">
        <v>36</v>
      </c>
      <c r="I360" s="187"/>
      <c r="J360" s="175" t="s">
        <v>1784</v>
      </c>
      <c r="K360" s="163"/>
      <c r="L360" s="163"/>
      <c r="M360" s="163"/>
      <c r="N360" s="163"/>
      <c r="O360" s="163"/>
      <c r="P360" s="163"/>
      <c r="Q360" s="163"/>
      <c r="R360" s="163"/>
      <c r="S360" s="163"/>
      <c r="T360" s="163"/>
      <c r="U360" s="163"/>
      <c r="V360" s="163"/>
      <c r="W360" s="163"/>
      <c r="X360" s="163"/>
      <c r="Y360" s="163"/>
      <c r="Z360" s="163"/>
    </row>
    <row r="361" ht="14.25" customHeight="1">
      <c r="A361" s="176" t="s">
        <v>2967</v>
      </c>
      <c r="B361" s="178" t="s">
        <v>2994</v>
      </c>
      <c r="C361" s="193" t="s">
        <v>3034</v>
      </c>
      <c r="D361" s="178" t="s">
        <v>2983</v>
      </c>
      <c r="E361" s="178" t="s">
        <v>3035</v>
      </c>
      <c r="F361" s="178" t="s">
        <v>3036</v>
      </c>
      <c r="G361" s="178" t="s">
        <v>3037</v>
      </c>
      <c r="H361" s="178" t="s">
        <v>36</v>
      </c>
      <c r="I361" s="187"/>
      <c r="J361" s="175" t="s">
        <v>1784</v>
      </c>
      <c r="K361" s="163"/>
      <c r="L361" s="163"/>
      <c r="M361" s="163"/>
      <c r="N361" s="163"/>
      <c r="O361" s="163"/>
      <c r="P361" s="163"/>
      <c r="Q361" s="163"/>
      <c r="R361" s="163"/>
      <c r="S361" s="163"/>
      <c r="T361" s="163"/>
      <c r="U361" s="163"/>
      <c r="V361" s="163"/>
      <c r="W361" s="163"/>
      <c r="X361" s="163"/>
      <c r="Y361" s="163"/>
      <c r="Z361" s="163"/>
    </row>
    <row r="362" ht="14.25" customHeight="1">
      <c r="A362" s="194"/>
      <c r="B362" s="178" t="s">
        <v>1772</v>
      </c>
      <c r="C362" s="193" t="s">
        <v>3038</v>
      </c>
      <c r="D362" s="178" t="s">
        <v>2983</v>
      </c>
      <c r="E362" s="178" t="s">
        <v>3039</v>
      </c>
      <c r="F362" s="178" t="s">
        <v>3040</v>
      </c>
      <c r="G362" s="178" t="s">
        <v>3041</v>
      </c>
      <c r="H362" s="178" t="s">
        <v>36</v>
      </c>
      <c r="I362" s="187"/>
      <c r="J362" s="175" t="s">
        <v>1784</v>
      </c>
      <c r="K362" s="163"/>
      <c r="L362" s="163"/>
      <c r="M362" s="163"/>
      <c r="N362" s="163"/>
      <c r="O362" s="163"/>
      <c r="P362" s="163"/>
      <c r="Q362" s="163"/>
      <c r="R362" s="163"/>
      <c r="S362" s="163"/>
      <c r="T362" s="163"/>
      <c r="U362" s="163"/>
      <c r="V362" s="163"/>
      <c r="W362" s="163"/>
      <c r="X362" s="163"/>
      <c r="Y362" s="163"/>
      <c r="Z362" s="163"/>
    </row>
    <row r="363" ht="14.25" customHeight="1">
      <c r="A363" s="194"/>
      <c r="B363" s="178" t="s">
        <v>1772</v>
      </c>
      <c r="C363" s="193" t="s">
        <v>3042</v>
      </c>
      <c r="D363" s="178" t="s">
        <v>2983</v>
      </c>
      <c r="E363" s="178" t="s">
        <v>3043</v>
      </c>
      <c r="F363" s="178" t="s">
        <v>3040</v>
      </c>
      <c r="G363" s="178" t="s">
        <v>3041</v>
      </c>
      <c r="H363" s="178" t="s">
        <v>36</v>
      </c>
      <c r="I363" s="187"/>
      <c r="J363" s="175" t="s">
        <v>1784</v>
      </c>
      <c r="K363" s="163"/>
      <c r="L363" s="163"/>
      <c r="M363" s="163"/>
      <c r="N363" s="163"/>
      <c r="O363" s="163"/>
      <c r="P363" s="163"/>
      <c r="Q363" s="163"/>
      <c r="R363" s="163"/>
      <c r="S363" s="163"/>
      <c r="T363" s="163"/>
      <c r="U363" s="163"/>
      <c r="V363" s="163"/>
      <c r="W363" s="163"/>
      <c r="X363" s="163"/>
      <c r="Y363" s="163"/>
      <c r="Z363" s="163"/>
    </row>
    <row r="364" ht="14.25" customHeight="1">
      <c r="A364" s="194"/>
      <c r="B364" s="178" t="s">
        <v>1772</v>
      </c>
      <c r="C364" s="193" t="s">
        <v>3044</v>
      </c>
      <c r="D364" s="178" t="s">
        <v>2983</v>
      </c>
      <c r="E364" s="178" t="s">
        <v>3045</v>
      </c>
      <c r="F364" s="178" t="s">
        <v>3046</v>
      </c>
      <c r="G364" s="178" t="s">
        <v>3047</v>
      </c>
      <c r="H364" s="178" t="s">
        <v>36</v>
      </c>
      <c r="I364" s="187"/>
      <c r="J364" s="175" t="s">
        <v>1784</v>
      </c>
      <c r="K364" s="163"/>
      <c r="L364" s="163"/>
      <c r="M364" s="163"/>
      <c r="N364" s="163"/>
      <c r="O364" s="163"/>
      <c r="P364" s="163"/>
      <c r="Q364" s="163"/>
      <c r="R364" s="163"/>
      <c r="S364" s="163"/>
      <c r="T364" s="163"/>
      <c r="U364" s="163"/>
      <c r="V364" s="163"/>
      <c r="W364" s="163"/>
      <c r="X364" s="163"/>
      <c r="Y364" s="163"/>
      <c r="Z364" s="163"/>
    </row>
    <row r="365" ht="14.25" customHeight="1">
      <c r="A365" s="194"/>
      <c r="B365" s="178" t="s">
        <v>1772</v>
      </c>
      <c r="C365" s="193" t="s">
        <v>3048</v>
      </c>
      <c r="D365" s="178" t="s">
        <v>2983</v>
      </c>
      <c r="E365" s="178" t="s">
        <v>3049</v>
      </c>
      <c r="F365" s="178" t="s">
        <v>3050</v>
      </c>
      <c r="G365" s="178" t="s">
        <v>3051</v>
      </c>
      <c r="H365" s="178" t="s">
        <v>36</v>
      </c>
      <c r="I365" s="187"/>
      <c r="J365" s="175" t="s">
        <v>1784</v>
      </c>
      <c r="K365" s="163"/>
      <c r="L365" s="163"/>
      <c r="M365" s="163"/>
      <c r="N365" s="163"/>
      <c r="O365" s="163"/>
      <c r="P365" s="163"/>
      <c r="Q365" s="163"/>
      <c r="R365" s="163"/>
      <c r="S365" s="163"/>
      <c r="T365" s="163"/>
      <c r="U365" s="163"/>
      <c r="V365" s="163"/>
      <c r="W365" s="163"/>
      <c r="X365" s="163"/>
      <c r="Y365" s="163"/>
      <c r="Z365" s="163"/>
    </row>
    <row r="366" ht="14.25" customHeight="1">
      <c r="A366" s="194"/>
      <c r="B366" s="178" t="s">
        <v>3052</v>
      </c>
      <c r="C366" s="193" t="s">
        <v>3053</v>
      </c>
      <c r="D366" s="178" t="s">
        <v>2983</v>
      </c>
      <c r="E366" s="178" t="s">
        <v>3054</v>
      </c>
      <c r="F366" s="178" t="s">
        <v>3055</v>
      </c>
      <c r="G366" s="178" t="s">
        <v>3056</v>
      </c>
      <c r="H366" s="178" t="s">
        <v>36</v>
      </c>
      <c r="I366" s="187"/>
      <c r="J366" s="175" t="s">
        <v>1784</v>
      </c>
      <c r="K366" s="163"/>
      <c r="L366" s="163"/>
      <c r="M366" s="163"/>
      <c r="N366" s="163"/>
      <c r="O366" s="163"/>
      <c r="P366" s="163"/>
      <c r="Q366" s="163"/>
      <c r="R366" s="163"/>
      <c r="S366" s="163"/>
      <c r="T366" s="163"/>
      <c r="U366" s="163"/>
      <c r="V366" s="163"/>
      <c r="W366" s="163"/>
      <c r="X366" s="163"/>
      <c r="Y366" s="163"/>
      <c r="Z366" s="163"/>
    </row>
    <row r="367" ht="14.25" customHeight="1">
      <c r="A367" s="194"/>
      <c r="B367" s="178" t="s">
        <v>3052</v>
      </c>
      <c r="C367" s="193" t="s">
        <v>3057</v>
      </c>
      <c r="D367" s="178" t="s">
        <v>2983</v>
      </c>
      <c r="E367" s="178" t="s">
        <v>3058</v>
      </c>
      <c r="F367" s="178" t="s">
        <v>3059</v>
      </c>
      <c r="G367" s="178" t="s">
        <v>3060</v>
      </c>
      <c r="H367" s="178" t="s">
        <v>36</v>
      </c>
      <c r="I367" s="187"/>
      <c r="J367" s="175" t="s">
        <v>1784</v>
      </c>
      <c r="K367" s="163"/>
      <c r="L367" s="163"/>
      <c r="M367" s="163"/>
      <c r="N367" s="163"/>
      <c r="O367" s="163"/>
      <c r="P367" s="163"/>
      <c r="Q367" s="163"/>
      <c r="R367" s="163"/>
      <c r="S367" s="163"/>
      <c r="T367" s="163"/>
      <c r="U367" s="163"/>
      <c r="V367" s="163"/>
      <c r="W367" s="163"/>
      <c r="X367" s="163"/>
      <c r="Y367" s="163"/>
      <c r="Z367" s="163"/>
    </row>
    <row r="368" ht="14.25" customHeight="1">
      <c r="A368" s="194"/>
      <c r="B368" s="178" t="s">
        <v>3052</v>
      </c>
      <c r="C368" s="193" t="s">
        <v>3061</v>
      </c>
      <c r="D368" s="178" t="s">
        <v>2983</v>
      </c>
      <c r="E368" s="178" t="s">
        <v>3062</v>
      </c>
      <c r="F368" s="178" t="s">
        <v>3063</v>
      </c>
      <c r="G368" s="178" t="s">
        <v>3064</v>
      </c>
      <c r="H368" s="178" t="s">
        <v>36</v>
      </c>
      <c r="I368" s="187"/>
      <c r="J368" s="175" t="s">
        <v>1784</v>
      </c>
      <c r="K368" s="163"/>
      <c r="L368" s="163"/>
      <c r="M368" s="163"/>
      <c r="N368" s="163"/>
      <c r="O368" s="163"/>
      <c r="P368" s="163"/>
      <c r="Q368" s="163"/>
      <c r="R368" s="163"/>
      <c r="S368" s="163"/>
      <c r="T368" s="163"/>
      <c r="U368" s="163"/>
      <c r="V368" s="163"/>
      <c r="W368" s="163"/>
      <c r="X368" s="163"/>
      <c r="Y368" s="163"/>
      <c r="Z368" s="163"/>
    </row>
    <row r="369" ht="14.25" customHeight="1">
      <c r="A369" s="194"/>
      <c r="B369" s="178" t="s">
        <v>3052</v>
      </c>
      <c r="C369" s="193" t="s">
        <v>3065</v>
      </c>
      <c r="D369" s="178" t="s">
        <v>2983</v>
      </c>
      <c r="E369" s="178" t="s">
        <v>3066</v>
      </c>
      <c r="F369" s="178" t="s">
        <v>3067</v>
      </c>
      <c r="G369" s="178" t="s">
        <v>3068</v>
      </c>
      <c r="H369" s="178" t="s">
        <v>36</v>
      </c>
      <c r="I369" s="187"/>
      <c r="J369" s="175" t="s">
        <v>1784</v>
      </c>
      <c r="K369" s="163"/>
      <c r="L369" s="163"/>
      <c r="M369" s="163"/>
      <c r="N369" s="163"/>
      <c r="O369" s="163"/>
      <c r="P369" s="163"/>
      <c r="Q369" s="163"/>
      <c r="R369" s="163"/>
      <c r="S369" s="163"/>
      <c r="T369" s="163"/>
      <c r="U369" s="163"/>
      <c r="V369" s="163"/>
      <c r="W369" s="163"/>
      <c r="X369" s="163"/>
      <c r="Y369" s="163"/>
      <c r="Z369" s="163"/>
    </row>
    <row r="370" ht="14.25" customHeight="1">
      <c r="A370" s="194"/>
      <c r="B370" s="178" t="s">
        <v>0</v>
      </c>
      <c r="C370" s="193" t="s">
        <v>3069</v>
      </c>
      <c r="D370" s="178" t="s">
        <v>2482</v>
      </c>
      <c r="E370" s="178" t="s">
        <v>3070</v>
      </c>
      <c r="F370" s="178" t="s">
        <v>3071</v>
      </c>
      <c r="G370" s="178" t="s">
        <v>3072</v>
      </c>
      <c r="H370" s="178" t="s">
        <v>36</v>
      </c>
      <c r="I370" s="187"/>
      <c r="J370" s="175" t="s">
        <v>1784</v>
      </c>
      <c r="K370" s="163"/>
      <c r="L370" s="163"/>
      <c r="M370" s="163"/>
      <c r="N370" s="163"/>
      <c r="O370" s="163"/>
      <c r="P370" s="163"/>
      <c r="Q370" s="163"/>
      <c r="R370" s="163"/>
      <c r="S370" s="163"/>
      <c r="T370" s="163"/>
      <c r="U370" s="163"/>
      <c r="V370" s="163"/>
      <c r="W370" s="163"/>
      <c r="X370" s="163"/>
      <c r="Y370" s="163"/>
      <c r="Z370" s="163"/>
    </row>
    <row r="371" ht="14.25" customHeight="1">
      <c r="A371" s="194"/>
      <c r="B371" s="178" t="s">
        <v>0</v>
      </c>
      <c r="C371" s="193" t="s">
        <v>3073</v>
      </c>
      <c r="D371" s="178" t="s">
        <v>2482</v>
      </c>
      <c r="E371" s="178" t="s">
        <v>3070</v>
      </c>
      <c r="F371" s="178" t="s">
        <v>3074</v>
      </c>
      <c r="G371" s="178" t="s">
        <v>3075</v>
      </c>
      <c r="H371" s="178" t="s">
        <v>36</v>
      </c>
      <c r="I371" s="187"/>
      <c r="J371" s="175" t="s">
        <v>1784</v>
      </c>
      <c r="K371" s="163"/>
      <c r="L371" s="163"/>
      <c r="M371" s="163"/>
      <c r="N371" s="163"/>
      <c r="O371" s="163"/>
      <c r="P371" s="163"/>
      <c r="Q371" s="163"/>
      <c r="R371" s="163"/>
      <c r="S371" s="163"/>
      <c r="T371" s="163"/>
      <c r="U371" s="163"/>
      <c r="V371" s="163"/>
      <c r="W371" s="163"/>
      <c r="X371" s="163"/>
      <c r="Y371" s="163"/>
      <c r="Z371" s="163"/>
    </row>
    <row r="372" ht="14.25" customHeight="1">
      <c r="A372" s="194"/>
      <c r="B372" s="178" t="s">
        <v>0</v>
      </c>
      <c r="C372" s="193" t="s">
        <v>3076</v>
      </c>
      <c r="D372" s="178" t="s">
        <v>2482</v>
      </c>
      <c r="E372" s="178" t="s">
        <v>3070</v>
      </c>
      <c r="F372" s="178" t="s">
        <v>3077</v>
      </c>
      <c r="G372" s="178" t="s">
        <v>3078</v>
      </c>
      <c r="H372" s="178" t="s">
        <v>36</v>
      </c>
      <c r="I372" s="187"/>
      <c r="J372" s="175" t="s">
        <v>1784</v>
      </c>
      <c r="K372" s="163"/>
      <c r="L372" s="163"/>
      <c r="M372" s="163"/>
      <c r="N372" s="163"/>
      <c r="O372" s="163"/>
      <c r="P372" s="163"/>
      <c r="Q372" s="163"/>
      <c r="R372" s="163"/>
      <c r="S372" s="163"/>
      <c r="T372" s="163"/>
      <c r="U372" s="163"/>
      <c r="V372" s="163"/>
      <c r="W372" s="163"/>
      <c r="X372" s="163"/>
      <c r="Y372" s="163"/>
      <c r="Z372" s="163"/>
    </row>
    <row r="373" ht="14.25" customHeight="1">
      <c r="A373" s="194"/>
      <c r="B373" s="178" t="s">
        <v>0</v>
      </c>
      <c r="C373" s="193" t="s">
        <v>3079</v>
      </c>
      <c r="D373" s="178" t="s">
        <v>2482</v>
      </c>
      <c r="E373" s="178" t="s">
        <v>3070</v>
      </c>
      <c r="F373" s="178" t="s">
        <v>3080</v>
      </c>
      <c r="G373" s="178" t="s">
        <v>3078</v>
      </c>
      <c r="H373" s="178" t="s">
        <v>36</v>
      </c>
      <c r="I373" s="187"/>
      <c r="J373" s="175" t="s">
        <v>1784</v>
      </c>
      <c r="K373" s="163"/>
      <c r="L373" s="163"/>
      <c r="M373" s="163"/>
      <c r="N373" s="163"/>
      <c r="O373" s="163"/>
      <c r="P373" s="163"/>
      <c r="Q373" s="163"/>
      <c r="R373" s="163"/>
      <c r="S373" s="163"/>
      <c r="T373" s="163"/>
      <c r="U373" s="163"/>
      <c r="V373" s="163"/>
      <c r="W373" s="163"/>
      <c r="X373" s="163"/>
      <c r="Y373" s="163"/>
      <c r="Z373" s="163"/>
    </row>
    <row r="374" ht="14.25" customHeight="1">
      <c r="A374" s="194"/>
      <c r="B374" s="178" t="s">
        <v>0</v>
      </c>
      <c r="C374" s="193" t="s">
        <v>3081</v>
      </c>
      <c r="D374" s="178" t="s">
        <v>2482</v>
      </c>
      <c r="E374" s="178" t="s">
        <v>3070</v>
      </c>
      <c r="F374" s="178" t="s">
        <v>3082</v>
      </c>
      <c r="G374" s="178" t="s">
        <v>3083</v>
      </c>
      <c r="H374" s="178" t="s">
        <v>36</v>
      </c>
      <c r="I374" s="187"/>
      <c r="J374" s="175" t="s">
        <v>1784</v>
      </c>
      <c r="K374" s="163"/>
      <c r="L374" s="163"/>
      <c r="M374" s="163"/>
      <c r="N374" s="163"/>
      <c r="O374" s="163"/>
      <c r="P374" s="163"/>
      <c r="Q374" s="163"/>
      <c r="R374" s="163"/>
      <c r="S374" s="163"/>
      <c r="T374" s="163"/>
      <c r="U374" s="163"/>
      <c r="V374" s="163"/>
      <c r="W374" s="163"/>
      <c r="X374" s="163"/>
      <c r="Y374" s="163"/>
      <c r="Z374" s="163"/>
    </row>
    <row r="375" ht="14.25" customHeight="1">
      <c r="A375" s="194"/>
      <c r="B375" s="178" t="s">
        <v>0</v>
      </c>
      <c r="C375" s="193" t="s">
        <v>3084</v>
      </c>
      <c r="D375" s="178" t="s">
        <v>2482</v>
      </c>
      <c r="E375" s="178" t="s">
        <v>3070</v>
      </c>
      <c r="F375" s="178" t="s">
        <v>3085</v>
      </c>
      <c r="G375" s="178" t="s">
        <v>3086</v>
      </c>
      <c r="H375" s="178" t="s">
        <v>36</v>
      </c>
      <c r="I375" s="187"/>
      <c r="J375" s="175" t="s">
        <v>1784</v>
      </c>
      <c r="K375" s="163"/>
      <c r="L375" s="163"/>
      <c r="M375" s="163"/>
      <c r="N375" s="163"/>
      <c r="O375" s="163"/>
      <c r="P375" s="163"/>
      <c r="Q375" s="163"/>
      <c r="R375" s="163"/>
      <c r="S375" s="163"/>
      <c r="T375" s="163"/>
      <c r="U375" s="163"/>
      <c r="V375" s="163"/>
      <c r="W375" s="163"/>
      <c r="X375" s="163"/>
      <c r="Y375" s="163"/>
      <c r="Z375" s="163"/>
    </row>
    <row r="376" ht="14.25" customHeight="1">
      <c r="A376" s="194"/>
      <c r="B376" s="178" t="s">
        <v>0</v>
      </c>
      <c r="C376" s="193" t="s">
        <v>3087</v>
      </c>
      <c r="D376" s="178" t="s">
        <v>2482</v>
      </c>
      <c r="E376" s="178" t="s">
        <v>3070</v>
      </c>
      <c r="F376" s="178" t="s">
        <v>3088</v>
      </c>
      <c r="G376" s="178" t="s">
        <v>3089</v>
      </c>
      <c r="H376" s="178" t="s">
        <v>36</v>
      </c>
      <c r="I376" s="187"/>
      <c r="J376" s="175" t="s">
        <v>1784</v>
      </c>
      <c r="K376" s="163"/>
      <c r="L376" s="163"/>
      <c r="M376" s="163"/>
      <c r="N376" s="163"/>
      <c r="O376" s="163"/>
      <c r="P376" s="163"/>
      <c r="Q376" s="163"/>
      <c r="R376" s="163"/>
      <c r="S376" s="163"/>
      <c r="T376" s="163"/>
      <c r="U376" s="163"/>
      <c r="V376" s="163"/>
      <c r="W376" s="163"/>
      <c r="X376" s="163"/>
      <c r="Y376" s="163"/>
      <c r="Z376" s="163"/>
    </row>
    <row r="377" ht="14.25" customHeight="1">
      <c r="A377" s="194"/>
      <c r="B377" s="178" t="s">
        <v>0</v>
      </c>
      <c r="C377" s="193" t="s">
        <v>3090</v>
      </c>
      <c r="D377" s="178" t="s">
        <v>2482</v>
      </c>
      <c r="E377" s="178" t="s">
        <v>3091</v>
      </c>
      <c r="F377" s="178" t="s">
        <v>3092</v>
      </c>
      <c r="G377" s="178" t="s">
        <v>3093</v>
      </c>
      <c r="H377" s="178" t="s">
        <v>36</v>
      </c>
      <c r="I377" s="187"/>
      <c r="J377" s="175" t="s">
        <v>1784</v>
      </c>
      <c r="K377" s="163"/>
      <c r="L377" s="163"/>
      <c r="M377" s="163"/>
      <c r="N377" s="163"/>
      <c r="O377" s="163"/>
      <c r="P377" s="163"/>
      <c r="Q377" s="163"/>
      <c r="R377" s="163"/>
      <c r="S377" s="163"/>
      <c r="T377" s="163"/>
      <c r="U377" s="163"/>
      <c r="V377" s="163"/>
      <c r="W377" s="163"/>
      <c r="X377" s="163"/>
      <c r="Y377" s="163"/>
      <c r="Z377" s="163"/>
    </row>
    <row r="378" ht="14.25" customHeight="1">
      <c r="A378" s="194"/>
      <c r="B378" s="178" t="s">
        <v>0</v>
      </c>
      <c r="C378" s="193" t="s">
        <v>3094</v>
      </c>
      <c r="D378" s="178" t="s">
        <v>2482</v>
      </c>
      <c r="E378" s="178" t="s">
        <v>3091</v>
      </c>
      <c r="F378" s="178" t="s">
        <v>3095</v>
      </c>
      <c r="G378" s="178" t="s">
        <v>3096</v>
      </c>
      <c r="H378" s="178" t="s">
        <v>36</v>
      </c>
      <c r="I378" s="187"/>
      <c r="J378" s="175" t="s">
        <v>1784</v>
      </c>
      <c r="K378" s="163"/>
      <c r="L378" s="163"/>
      <c r="M378" s="163"/>
      <c r="N378" s="163"/>
      <c r="O378" s="163"/>
      <c r="P378" s="163"/>
      <c r="Q378" s="163"/>
      <c r="R378" s="163"/>
      <c r="S378" s="163"/>
      <c r="T378" s="163"/>
      <c r="U378" s="163"/>
      <c r="V378" s="163"/>
      <c r="W378" s="163"/>
      <c r="X378" s="163"/>
      <c r="Y378" s="163"/>
      <c r="Z378" s="163"/>
    </row>
    <row r="379" ht="14.25" customHeight="1">
      <c r="A379" s="194"/>
      <c r="B379" s="178" t="s">
        <v>0</v>
      </c>
      <c r="C379" s="193" t="s">
        <v>3097</v>
      </c>
      <c r="D379" s="178" t="s">
        <v>2482</v>
      </c>
      <c r="E379" s="178" t="s">
        <v>3091</v>
      </c>
      <c r="F379" s="178" t="s">
        <v>3098</v>
      </c>
      <c r="G379" s="178" t="s">
        <v>3099</v>
      </c>
      <c r="H379" s="178" t="s">
        <v>36</v>
      </c>
      <c r="I379" s="187"/>
      <c r="J379" s="175" t="s">
        <v>1784</v>
      </c>
      <c r="K379" s="163"/>
      <c r="L379" s="163"/>
      <c r="M379" s="163"/>
      <c r="N379" s="163"/>
      <c r="O379" s="163"/>
      <c r="P379" s="163"/>
      <c r="Q379" s="163"/>
      <c r="R379" s="163"/>
      <c r="S379" s="163"/>
      <c r="T379" s="163"/>
      <c r="U379" s="163"/>
      <c r="V379" s="163"/>
      <c r="W379" s="163"/>
      <c r="X379" s="163"/>
      <c r="Y379" s="163"/>
      <c r="Z379" s="163"/>
    </row>
    <row r="380" ht="14.25" customHeight="1">
      <c r="A380" s="194"/>
      <c r="B380" s="178" t="s">
        <v>0</v>
      </c>
      <c r="C380" s="193" t="s">
        <v>3100</v>
      </c>
      <c r="D380" s="178" t="s">
        <v>2482</v>
      </c>
      <c r="E380" s="178" t="s">
        <v>3101</v>
      </c>
      <c r="F380" s="178" t="s">
        <v>3102</v>
      </c>
      <c r="G380" s="178" t="s">
        <v>3103</v>
      </c>
      <c r="H380" s="178" t="s">
        <v>36</v>
      </c>
      <c r="I380" s="187"/>
      <c r="J380" s="175" t="s">
        <v>1784</v>
      </c>
      <c r="K380" s="163"/>
      <c r="L380" s="163"/>
      <c r="M380" s="163"/>
      <c r="N380" s="163"/>
      <c r="O380" s="163"/>
      <c r="P380" s="163"/>
      <c r="Q380" s="163"/>
      <c r="R380" s="163"/>
      <c r="S380" s="163"/>
      <c r="T380" s="163"/>
      <c r="U380" s="163"/>
      <c r="V380" s="163"/>
      <c r="W380" s="163"/>
      <c r="X380" s="163"/>
      <c r="Y380" s="163"/>
      <c r="Z380" s="163"/>
    </row>
    <row r="381" ht="14.25" customHeight="1">
      <c r="A381" s="194"/>
      <c r="B381" s="178" t="s">
        <v>0</v>
      </c>
      <c r="C381" s="193" t="s">
        <v>3104</v>
      </c>
      <c r="D381" s="178" t="s">
        <v>2482</v>
      </c>
      <c r="E381" s="178" t="s">
        <v>3105</v>
      </c>
      <c r="F381" s="178" t="s">
        <v>3106</v>
      </c>
      <c r="G381" s="178" t="s">
        <v>3107</v>
      </c>
      <c r="H381" s="178" t="s">
        <v>36</v>
      </c>
      <c r="I381" s="187"/>
      <c r="J381" s="175" t="s">
        <v>1784</v>
      </c>
      <c r="K381" s="163"/>
      <c r="L381" s="163"/>
      <c r="M381" s="163"/>
      <c r="N381" s="163"/>
      <c r="O381" s="163"/>
      <c r="P381" s="163"/>
      <c r="Q381" s="163"/>
      <c r="R381" s="163"/>
      <c r="S381" s="163"/>
      <c r="T381" s="163"/>
      <c r="U381" s="163"/>
      <c r="V381" s="163"/>
      <c r="W381" s="163"/>
      <c r="X381" s="163"/>
      <c r="Y381" s="163"/>
      <c r="Z381" s="163"/>
    </row>
    <row r="382" ht="14.25" customHeight="1">
      <c r="A382" s="194"/>
      <c r="B382" s="178" t="s">
        <v>0</v>
      </c>
      <c r="C382" s="193" t="s">
        <v>3108</v>
      </c>
      <c r="D382" s="178" t="s">
        <v>2482</v>
      </c>
      <c r="E382" s="178" t="s">
        <v>3109</v>
      </c>
      <c r="F382" s="178" t="s">
        <v>3110</v>
      </c>
      <c r="G382" s="178" t="s">
        <v>3111</v>
      </c>
      <c r="H382" s="178" t="s">
        <v>36</v>
      </c>
      <c r="I382" s="187"/>
      <c r="J382" s="175" t="s">
        <v>1784</v>
      </c>
      <c r="K382" s="163"/>
      <c r="L382" s="163"/>
      <c r="M382" s="163"/>
      <c r="N382" s="163"/>
      <c r="O382" s="163"/>
      <c r="P382" s="163"/>
      <c r="Q382" s="163"/>
      <c r="R382" s="163"/>
      <c r="S382" s="163"/>
      <c r="T382" s="163"/>
      <c r="U382" s="163"/>
      <c r="V382" s="163"/>
      <c r="W382" s="163"/>
      <c r="X382" s="163"/>
      <c r="Y382" s="163"/>
      <c r="Z382" s="163"/>
    </row>
    <row r="383" ht="14.25" customHeight="1">
      <c r="A383" s="194"/>
      <c r="B383" s="178" t="s">
        <v>0</v>
      </c>
      <c r="C383" s="193" t="s">
        <v>3112</v>
      </c>
      <c r="D383" s="178" t="s">
        <v>2482</v>
      </c>
      <c r="E383" s="178" t="s">
        <v>3113</v>
      </c>
      <c r="F383" s="178" t="s">
        <v>3114</v>
      </c>
      <c r="G383" s="178" t="s">
        <v>3115</v>
      </c>
      <c r="H383" s="178" t="s">
        <v>36</v>
      </c>
      <c r="I383" s="187"/>
      <c r="J383" s="175" t="s">
        <v>1784</v>
      </c>
      <c r="K383" s="163"/>
      <c r="L383" s="163"/>
      <c r="M383" s="163"/>
      <c r="N383" s="163"/>
      <c r="O383" s="163"/>
      <c r="P383" s="163"/>
      <c r="Q383" s="163"/>
      <c r="R383" s="163"/>
      <c r="S383" s="163"/>
      <c r="T383" s="163"/>
      <c r="U383" s="163"/>
      <c r="V383" s="163"/>
      <c r="W383" s="163"/>
      <c r="X383" s="163"/>
      <c r="Y383" s="163"/>
      <c r="Z383" s="163"/>
    </row>
    <row r="384" ht="14.25" customHeight="1">
      <c r="A384" s="194"/>
      <c r="B384" s="178" t="s">
        <v>0</v>
      </c>
      <c r="C384" s="193" t="s">
        <v>3116</v>
      </c>
      <c r="D384" s="178" t="s">
        <v>2482</v>
      </c>
      <c r="E384" s="178" t="s">
        <v>3117</v>
      </c>
      <c r="F384" s="178" t="s">
        <v>3114</v>
      </c>
      <c r="G384" s="178" t="s">
        <v>3118</v>
      </c>
      <c r="H384" s="178" t="s">
        <v>36</v>
      </c>
      <c r="I384" s="187"/>
      <c r="J384" s="175" t="s">
        <v>1784</v>
      </c>
      <c r="K384" s="163"/>
      <c r="L384" s="163"/>
      <c r="M384" s="163"/>
      <c r="N384" s="163"/>
      <c r="O384" s="163"/>
      <c r="P384" s="163"/>
      <c r="Q384" s="163"/>
      <c r="R384" s="163"/>
      <c r="S384" s="163"/>
      <c r="T384" s="163"/>
      <c r="U384" s="163"/>
      <c r="V384" s="163"/>
      <c r="W384" s="163"/>
      <c r="X384" s="163"/>
      <c r="Y384" s="163"/>
      <c r="Z384" s="163"/>
    </row>
    <row r="385" ht="14.25" customHeight="1">
      <c r="A385" s="195"/>
      <c r="B385" s="193" t="s">
        <v>0</v>
      </c>
      <c r="C385" s="193" t="s">
        <v>3119</v>
      </c>
      <c r="D385" s="193" t="s">
        <v>2983</v>
      </c>
      <c r="E385" s="193" t="s">
        <v>3120</v>
      </c>
      <c r="F385" s="193" t="s">
        <v>3121</v>
      </c>
      <c r="G385" s="193" t="s">
        <v>3122</v>
      </c>
      <c r="H385" s="178" t="s">
        <v>36</v>
      </c>
      <c r="I385" s="196"/>
      <c r="J385" s="175" t="s">
        <v>1784</v>
      </c>
      <c r="K385" s="163"/>
      <c r="L385" s="163"/>
      <c r="M385" s="163"/>
      <c r="N385" s="163"/>
      <c r="O385" s="163"/>
      <c r="P385" s="163"/>
      <c r="Q385" s="163"/>
      <c r="R385" s="163"/>
      <c r="S385" s="163"/>
      <c r="T385" s="163"/>
      <c r="U385" s="163"/>
      <c r="V385" s="163"/>
      <c r="W385" s="163"/>
      <c r="X385" s="163"/>
      <c r="Y385" s="163"/>
      <c r="Z385" s="163"/>
    </row>
    <row r="386" ht="14.25" customHeight="1">
      <c r="A386" s="194"/>
      <c r="B386" s="178" t="s">
        <v>0</v>
      </c>
      <c r="C386" s="193" t="s">
        <v>3123</v>
      </c>
      <c r="D386" s="178" t="s">
        <v>2482</v>
      </c>
      <c r="E386" s="178" t="s">
        <v>3124</v>
      </c>
      <c r="F386" s="178" t="s">
        <v>3125</v>
      </c>
      <c r="G386" s="178" t="s">
        <v>3126</v>
      </c>
      <c r="H386" s="178" t="s">
        <v>36</v>
      </c>
      <c r="I386" s="187"/>
      <c r="J386" s="175" t="s">
        <v>1784</v>
      </c>
      <c r="K386" s="163"/>
      <c r="L386" s="163"/>
      <c r="M386" s="163"/>
      <c r="N386" s="163"/>
      <c r="O386" s="163"/>
      <c r="P386" s="163"/>
      <c r="Q386" s="163"/>
      <c r="R386" s="163"/>
      <c r="S386" s="163"/>
      <c r="T386" s="163"/>
      <c r="U386" s="163"/>
      <c r="V386" s="163"/>
      <c r="W386" s="163"/>
      <c r="X386" s="163"/>
      <c r="Y386" s="163"/>
      <c r="Z386" s="163"/>
    </row>
    <row r="387" ht="14.25" customHeight="1">
      <c r="A387" s="194"/>
      <c r="B387" s="178" t="s">
        <v>0</v>
      </c>
      <c r="C387" s="193" t="s">
        <v>3127</v>
      </c>
      <c r="D387" s="178" t="s">
        <v>2983</v>
      </c>
      <c r="E387" s="178" t="s">
        <v>3128</v>
      </c>
      <c r="F387" s="178" t="s">
        <v>3129</v>
      </c>
      <c r="G387" s="178" t="s">
        <v>3130</v>
      </c>
      <c r="H387" s="178" t="s">
        <v>36</v>
      </c>
      <c r="I387" s="187"/>
      <c r="J387" s="175" t="s">
        <v>1784</v>
      </c>
      <c r="K387" s="163"/>
      <c r="L387" s="163"/>
      <c r="M387" s="163"/>
      <c r="N387" s="163"/>
      <c r="O387" s="163"/>
      <c r="P387" s="163"/>
      <c r="Q387" s="163"/>
      <c r="R387" s="163"/>
      <c r="S387" s="163"/>
      <c r="T387" s="163"/>
      <c r="U387" s="163"/>
      <c r="V387" s="163"/>
      <c r="W387" s="163"/>
      <c r="X387" s="163"/>
      <c r="Y387" s="163"/>
      <c r="Z387" s="163"/>
    </row>
    <row r="388" ht="14.25" customHeight="1">
      <c r="A388" s="194"/>
      <c r="B388" s="178" t="s">
        <v>0</v>
      </c>
      <c r="C388" s="193" t="s">
        <v>3131</v>
      </c>
      <c r="D388" s="178" t="s">
        <v>2482</v>
      </c>
      <c r="E388" s="178" t="s">
        <v>3132</v>
      </c>
      <c r="F388" s="178" t="s">
        <v>3133</v>
      </c>
      <c r="G388" s="178" t="s">
        <v>3134</v>
      </c>
      <c r="H388" s="178" t="s">
        <v>36</v>
      </c>
      <c r="I388" s="187"/>
      <c r="J388" s="175" t="s">
        <v>1784</v>
      </c>
      <c r="K388" s="163"/>
      <c r="L388" s="163"/>
      <c r="M388" s="163"/>
      <c r="N388" s="163"/>
      <c r="O388" s="163"/>
      <c r="P388" s="163"/>
      <c r="Q388" s="163"/>
      <c r="R388" s="163"/>
      <c r="S388" s="163"/>
      <c r="T388" s="163"/>
      <c r="U388" s="163"/>
      <c r="V388" s="163"/>
      <c r="W388" s="163"/>
      <c r="X388" s="163"/>
      <c r="Y388" s="163"/>
      <c r="Z388" s="163"/>
    </row>
    <row r="389" ht="14.25" customHeight="1">
      <c r="A389" s="195"/>
      <c r="B389" s="193" t="s">
        <v>0</v>
      </c>
      <c r="C389" s="193" t="s">
        <v>3135</v>
      </c>
      <c r="D389" s="193" t="s">
        <v>2482</v>
      </c>
      <c r="E389" s="193" t="s">
        <v>3136</v>
      </c>
      <c r="F389" s="193" t="s">
        <v>3137</v>
      </c>
      <c r="G389" s="193" t="s">
        <v>3138</v>
      </c>
      <c r="H389" s="193" t="s">
        <v>36</v>
      </c>
      <c r="I389" s="196"/>
      <c r="J389" s="175" t="s">
        <v>1784</v>
      </c>
      <c r="K389" s="163"/>
      <c r="L389" s="163"/>
      <c r="M389" s="163"/>
      <c r="N389" s="163"/>
      <c r="O389" s="163"/>
      <c r="P389" s="163"/>
      <c r="Q389" s="163"/>
      <c r="R389" s="163"/>
      <c r="S389" s="163"/>
      <c r="T389" s="163"/>
      <c r="U389" s="163"/>
      <c r="V389" s="163"/>
      <c r="W389" s="163"/>
      <c r="X389" s="163"/>
      <c r="Y389" s="163"/>
      <c r="Z389" s="163"/>
    </row>
    <row r="390" ht="14.25" customHeight="1">
      <c r="A390" s="194"/>
      <c r="B390" s="178" t="s">
        <v>0</v>
      </c>
      <c r="C390" s="193" t="s">
        <v>3139</v>
      </c>
      <c r="D390" s="178" t="s">
        <v>2482</v>
      </c>
      <c r="E390" s="178" t="s">
        <v>3140</v>
      </c>
      <c r="F390" s="178" t="s">
        <v>3141</v>
      </c>
      <c r="G390" s="178" t="s">
        <v>3142</v>
      </c>
      <c r="H390" s="178" t="s">
        <v>36</v>
      </c>
      <c r="I390" s="187"/>
      <c r="J390" s="175" t="s">
        <v>1784</v>
      </c>
      <c r="K390" s="163"/>
      <c r="L390" s="163"/>
      <c r="M390" s="163"/>
      <c r="N390" s="163"/>
      <c r="O390" s="163"/>
      <c r="P390" s="163"/>
      <c r="Q390" s="163"/>
      <c r="R390" s="163"/>
      <c r="S390" s="163"/>
      <c r="T390" s="163"/>
      <c r="U390" s="163"/>
      <c r="V390" s="163"/>
      <c r="W390" s="163"/>
      <c r="X390" s="163"/>
      <c r="Y390" s="163"/>
      <c r="Z390" s="163"/>
    </row>
    <row r="391" ht="14.25" customHeight="1">
      <c r="A391" s="194"/>
      <c r="B391" s="178" t="s">
        <v>0</v>
      </c>
      <c r="C391" s="193" t="s">
        <v>3143</v>
      </c>
      <c r="D391" s="178" t="s">
        <v>2482</v>
      </c>
      <c r="E391" s="178" t="s">
        <v>3144</v>
      </c>
      <c r="F391" s="178" t="s">
        <v>3145</v>
      </c>
      <c r="G391" s="178" t="s">
        <v>3146</v>
      </c>
      <c r="H391" s="178" t="s">
        <v>36</v>
      </c>
      <c r="I391" s="187"/>
      <c r="J391" s="175" t="s">
        <v>1784</v>
      </c>
      <c r="K391" s="163"/>
      <c r="L391" s="163"/>
      <c r="M391" s="163"/>
      <c r="N391" s="163"/>
      <c r="O391" s="163"/>
      <c r="P391" s="163"/>
      <c r="Q391" s="163"/>
      <c r="R391" s="163"/>
      <c r="S391" s="163"/>
      <c r="T391" s="163"/>
      <c r="U391" s="163"/>
      <c r="V391" s="163"/>
      <c r="W391" s="163"/>
      <c r="X391" s="163"/>
      <c r="Y391" s="163"/>
      <c r="Z391" s="163"/>
    </row>
    <row r="392" ht="14.25" customHeight="1">
      <c r="A392" s="194"/>
      <c r="B392" s="178" t="s">
        <v>0</v>
      </c>
      <c r="C392" s="193" t="s">
        <v>3147</v>
      </c>
      <c r="D392" s="178" t="s">
        <v>2482</v>
      </c>
      <c r="E392" s="178" t="s">
        <v>3148</v>
      </c>
      <c r="F392" s="178" t="s">
        <v>3149</v>
      </c>
      <c r="G392" s="178" t="s">
        <v>3150</v>
      </c>
      <c r="H392" s="178" t="s">
        <v>36</v>
      </c>
      <c r="I392" s="187"/>
      <c r="J392" s="175" t="s">
        <v>1784</v>
      </c>
      <c r="K392" s="163"/>
      <c r="L392" s="163"/>
      <c r="M392" s="163"/>
      <c r="N392" s="163"/>
      <c r="O392" s="163"/>
      <c r="P392" s="163"/>
      <c r="Q392" s="163"/>
      <c r="R392" s="163"/>
      <c r="S392" s="163"/>
      <c r="T392" s="163"/>
      <c r="U392" s="163"/>
      <c r="V392" s="163"/>
      <c r="W392" s="163"/>
      <c r="X392" s="163"/>
      <c r="Y392" s="163"/>
      <c r="Z392" s="163"/>
    </row>
    <row r="393" ht="14.25" customHeight="1">
      <c r="A393" s="194"/>
      <c r="B393" s="178" t="s">
        <v>0</v>
      </c>
      <c r="C393" s="193" t="s">
        <v>3151</v>
      </c>
      <c r="D393" s="178" t="s">
        <v>2482</v>
      </c>
      <c r="E393" s="178" t="s">
        <v>3152</v>
      </c>
      <c r="F393" s="178" t="s">
        <v>3153</v>
      </c>
      <c r="G393" s="178" t="s">
        <v>3154</v>
      </c>
      <c r="H393" s="178" t="s">
        <v>36</v>
      </c>
      <c r="I393" s="187"/>
      <c r="J393" s="175" t="s">
        <v>1784</v>
      </c>
      <c r="K393" s="163"/>
      <c r="L393" s="163"/>
      <c r="M393" s="163"/>
      <c r="N393" s="163"/>
      <c r="O393" s="163"/>
      <c r="P393" s="163"/>
      <c r="Q393" s="163"/>
      <c r="R393" s="163"/>
      <c r="S393" s="163"/>
      <c r="T393" s="163"/>
      <c r="U393" s="163"/>
      <c r="V393" s="163"/>
      <c r="W393" s="163"/>
      <c r="X393" s="163"/>
      <c r="Y393" s="163"/>
      <c r="Z393" s="163"/>
    </row>
    <row r="394" ht="14.25" customHeight="1">
      <c r="A394" s="194"/>
      <c r="B394" s="178" t="s">
        <v>0</v>
      </c>
      <c r="C394" s="193" t="s">
        <v>3155</v>
      </c>
      <c r="D394" s="178" t="s">
        <v>2482</v>
      </c>
      <c r="E394" s="178" t="s">
        <v>3136</v>
      </c>
      <c r="F394" s="178" t="s">
        <v>3137</v>
      </c>
      <c r="G394" s="178" t="s">
        <v>3156</v>
      </c>
      <c r="H394" s="178" t="s">
        <v>36</v>
      </c>
      <c r="I394" s="187"/>
      <c r="J394" s="175" t="s">
        <v>1784</v>
      </c>
      <c r="K394" s="163"/>
      <c r="L394" s="163"/>
      <c r="M394" s="163"/>
      <c r="N394" s="163"/>
      <c r="O394" s="163"/>
      <c r="P394" s="163"/>
      <c r="Q394" s="163"/>
      <c r="R394" s="163"/>
      <c r="S394" s="163"/>
      <c r="T394" s="163"/>
      <c r="U394" s="163"/>
      <c r="V394" s="163"/>
      <c r="W394" s="163"/>
      <c r="X394" s="163"/>
      <c r="Y394" s="163"/>
      <c r="Z394" s="163"/>
    </row>
    <row r="395" ht="14.25" customHeight="1">
      <c r="A395" s="194"/>
      <c r="B395" s="178" t="s">
        <v>0</v>
      </c>
      <c r="C395" s="193" t="s">
        <v>3157</v>
      </c>
      <c r="D395" s="178" t="s">
        <v>2983</v>
      </c>
      <c r="E395" s="178" t="s">
        <v>3158</v>
      </c>
      <c r="F395" s="178" t="s">
        <v>3159</v>
      </c>
      <c r="G395" s="178" t="s">
        <v>3160</v>
      </c>
      <c r="H395" s="178" t="s">
        <v>317</v>
      </c>
      <c r="I395" s="187"/>
      <c r="J395" s="175" t="s">
        <v>1784</v>
      </c>
      <c r="K395" s="163"/>
      <c r="L395" s="163"/>
      <c r="M395" s="163"/>
      <c r="N395" s="163"/>
      <c r="O395" s="163"/>
      <c r="P395" s="163"/>
      <c r="Q395" s="163"/>
      <c r="R395" s="163"/>
      <c r="S395" s="163"/>
      <c r="T395" s="163"/>
      <c r="U395" s="163"/>
      <c r="V395" s="163"/>
      <c r="W395" s="163"/>
      <c r="X395" s="163"/>
      <c r="Y395" s="163"/>
      <c r="Z395" s="163"/>
    </row>
    <row r="396" ht="14.25" customHeight="1">
      <c r="A396" s="194"/>
      <c r="B396" s="178" t="s">
        <v>0</v>
      </c>
      <c r="C396" s="193" t="s">
        <v>3161</v>
      </c>
      <c r="D396" s="178" t="s">
        <v>2983</v>
      </c>
      <c r="E396" s="178" t="s">
        <v>3162</v>
      </c>
      <c r="F396" s="178" t="s">
        <v>3163</v>
      </c>
      <c r="G396" s="178" t="s">
        <v>3164</v>
      </c>
      <c r="H396" s="178" t="s">
        <v>36</v>
      </c>
      <c r="I396" s="187"/>
      <c r="J396" s="175" t="s">
        <v>1784</v>
      </c>
      <c r="K396" s="163"/>
      <c r="L396" s="163"/>
      <c r="M396" s="163"/>
      <c r="N396" s="163"/>
      <c r="O396" s="163"/>
      <c r="P396" s="163"/>
      <c r="Q396" s="163"/>
      <c r="R396" s="163"/>
      <c r="S396" s="163"/>
      <c r="T396" s="163"/>
      <c r="U396" s="163"/>
      <c r="V396" s="163"/>
      <c r="W396" s="163"/>
      <c r="X396" s="163"/>
      <c r="Y396" s="163"/>
      <c r="Z396" s="163"/>
    </row>
    <row r="397" ht="14.25" customHeight="1">
      <c r="A397" s="194"/>
      <c r="B397" s="178" t="s">
        <v>0</v>
      </c>
      <c r="C397" s="193" t="s">
        <v>3165</v>
      </c>
      <c r="D397" s="178" t="s">
        <v>2983</v>
      </c>
      <c r="E397" s="178" t="s">
        <v>3166</v>
      </c>
      <c r="F397" s="178" t="s">
        <v>3167</v>
      </c>
      <c r="G397" s="178" t="s">
        <v>3168</v>
      </c>
      <c r="H397" s="178" t="s">
        <v>36</v>
      </c>
      <c r="I397" s="187"/>
      <c r="J397" s="175" t="s">
        <v>1784</v>
      </c>
      <c r="K397" s="163"/>
      <c r="L397" s="163"/>
      <c r="M397" s="163"/>
      <c r="N397" s="163"/>
      <c r="O397" s="163"/>
      <c r="P397" s="163"/>
      <c r="Q397" s="163"/>
      <c r="R397" s="163"/>
      <c r="S397" s="163"/>
      <c r="T397" s="163"/>
      <c r="U397" s="163"/>
      <c r="V397" s="163"/>
      <c r="W397" s="163"/>
      <c r="X397" s="163"/>
      <c r="Y397" s="163"/>
      <c r="Z397" s="163"/>
    </row>
    <row r="398" ht="14.25" customHeight="1">
      <c r="A398" s="194"/>
      <c r="B398" s="178" t="s">
        <v>0</v>
      </c>
      <c r="C398" s="193" t="s">
        <v>3169</v>
      </c>
      <c r="D398" s="178" t="s">
        <v>2983</v>
      </c>
      <c r="E398" s="178" t="s">
        <v>3170</v>
      </c>
      <c r="F398" s="178" t="s">
        <v>3171</v>
      </c>
      <c r="G398" s="178" t="s">
        <v>3172</v>
      </c>
      <c r="H398" s="178" t="s">
        <v>36</v>
      </c>
      <c r="I398" s="187"/>
      <c r="J398" s="175" t="s">
        <v>1784</v>
      </c>
      <c r="K398" s="163"/>
      <c r="L398" s="163"/>
      <c r="M398" s="163"/>
      <c r="N398" s="163"/>
      <c r="O398" s="163"/>
      <c r="P398" s="163"/>
      <c r="Q398" s="163"/>
      <c r="R398" s="163"/>
      <c r="S398" s="163"/>
      <c r="T398" s="163"/>
      <c r="U398" s="163"/>
      <c r="V398" s="163"/>
      <c r="W398" s="163"/>
      <c r="X398" s="163"/>
      <c r="Y398" s="163"/>
      <c r="Z398" s="163"/>
    </row>
    <row r="399" ht="14.25" customHeight="1">
      <c r="A399" s="194"/>
      <c r="B399" s="178" t="s">
        <v>0</v>
      </c>
      <c r="C399" s="193" t="s">
        <v>3173</v>
      </c>
      <c r="D399" s="178" t="s">
        <v>2983</v>
      </c>
      <c r="E399" s="178" t="s">
        <v>3174</v>
      </c>
      <c r="F399" s="178" t="s">
        <v>3175</v>
      </c>
      <c r="G399" s="178" t="s">
        <v>3172</v>
      </c>
      <c r="H399" s="178" t="s">
        <v>36</v>
      </c>
      <c r="I399" s="187"/>
      <c r="J399" s="175" t="s">
        <v>1784</v>
      </c>
      <c r="K399" s="163"/>
      <c r="L399" s="163"/>
      <c r="M399" s="163"/>
      <c r="N399" s="163"/>
      <c r="O399" s="163"/>
      <c r="P399" s="163"/>
      <c r="Q399" s="163"/>
      <c r="R399" s="163"/>
      <c r="S399" s="163"/>
      <c r="T399" s="163"/>
      <c r="U399" s="163"/>
      <c r="V399" s="163"/>
      <c r="W399" s="163"/>
      <c r="X399" s="163"/>
      <c r="Y399" s="163"/>
      <c r="Z399" s="163"/>
    </row>
    <row r="400" ht="14.25" customHeight="1">
      <c r="A400" s="194"/>
      <c r="B400" s="178" t="s">
        <v>0</v>
      </c>
      <c r="C400" s="193" t="s">
        <v>3176</v>
      </c>
      <c r="D400" s="178" t="s">
        <v>2983</v>
      </c>
      <c r="E400" s="178" t="s">
        <v>3166</v>
      </c>
      <c r="F400" s="178" t="s">
        <v>3177</v>
      </c>
      <c r="G400" s="178" t="s">
        <v>3178</v>
      </c>
      <c r="H400" s="178" t="s">
        <v>36</v>
      </c>
      <c r="I400" s="187"/>
      <c r="J400" s="175" t="s">
        <v>1784</v>
      </c>
      <c r="K400" s="163"/>
      <c r="L400" s="163"/>
      <c r="M400" s="163"/>
      <c r="N400" s="163"/>
      <c r="O400" s="163"/>
      <c r="P400" s="163"/>
      <c r="Q400" s="163"/>
      <c r="R400" s="163"/>
      <c r="S400" s="163"/>
      <c r="T400" s="163"/>
      <c r="U400" s="163"/>
      <c r="V400" s="163"/>
      <c r="W400" s="163"/>
      <c r="X400" s="163"/>
      <c r="Y400" s="163"/>
      <c r="Z400" s="163"/>
    </row>
    <row r="401" ht="14.25" customHeight="1">
      <c r="A401" s="194"/>
      <c r="B401" s="178" t="s">
        <v>0</v>
      </c>
      <c r="C401" s="193" t="s">
        <v>3179</v>
      </c>
      <c r="D401" s="178" t="s">
        <v>2983</v>
      </c>
      <c r="E401" s="178" t="s">
        <v>3180</v>
      </c>
      <c r="F401" s="178" t="s">
        <v>3181</v>
      </c>
      <c r="G401" s="178" t="s">
        <v>3182</v>
      </c>
      <c r="H401" s="178" t="s">
        <v>36</v>
      </c>
      <c r="I401" s="187"/>
      <c r="J401" s="175" t="s">
        <v>1784</v>
      </c>
      <c r="K401" s="163"/>
      <c r="L401" s="163"/>
      <c r="M401" s="163"/>
      <c r="N401" s="163"/>
      <c r="O401" s="163"/>
      <c r="P401" s="163"/>
      <c r="Q401" s="163"/>
      <c r="R401" s="163"/>
      <c r="S401" s="163"/>
      <c r="T401" s="163"/>
      <c r="U401" s="163"/>
      <c r="V401" s="163"/>
      <c r="W401" s="163"/>
      <c r="X401" s="163"/>
      <c r="Y401" s="163"/>
      <c r="Z401" s="163"/>
    </row>
    <row r="402" ht="14.25" customHeight="1">
      <c r="A402" s="194"/>
      <c r="B402" s="178" t="s">
        <v>0</v>
      </c>
      <c r="C402" s="193" t="s">
        <v>3183</v>
      </c>
      <c r="D402" s="178" t="s">
        <v>2983</v>
      </c>
      <c r="E402" s="178" t="s">
        <v>3184</v>
      </c>
      <c r="F402" s="178" t="s">
        <v>3185</v>
      </c>
      <c r="G402" s="178" t="s">
        <v>3186</v>
      </c>
      <c r="H402" s="178" t="s">
        <v>317</v>
      </c>
      <c r="I402" s="187"/>
      <c r="J402" s="175" t="s">
        <v>1784</v>
      </c>
      <c r="K402" s="163"/>
      <c r="L402" s="163"/>
      <c r="M402" s="163"/>
      <c r="N402" s="163"/>
      <c r="O402" s="163"/>
      <c r="P402" s="163"/>
      <c r="Q402" s="163"/>
      <c r="R402" s="163"/>
      <c r="S402" s="163"/>
      <c r="T402" s="163"/>
      <c r="U402" s="163"/>
      <c r="V402" s="163"/>
      <c r="W402" s="163"/>
      <c r="X402" s="163"/>
      <c r="Y402" s="163"/>
      <c r="Z402" s="163"/>
    </row>
    <row r="403" ht="14.25" customHeight="1">
      <c r="A403" s="194"/>
      <c r="B403" s="178" t="s">
        <v>0</v>
      </c>
      <c r="C403" s="193" t="s">
        <v>3187</v>
      </c>
      <c r="D403" s="178" t="s">
        <v>2983</v>
      </c>
      <c r="E403" s="178" t="s">
        <v>3188</v>
      </c>
      <c r="F403" s="178" t="s">
        <v>3185</v>
      </c>
      <c r="G403" s="178" t="s">
        <v>3189</v>
      </c>
      <c r="H403" s="178" t="s">
        <v>36</v>
      </c>
      <c r="I403" s="187"/>
      <c r="J403" s="175" t="s">
        <v>1784</v>
      </c>
      <c r="K403" s="163"/>
      <c r="L403" s="163"/>
      <c r="M403" s="163"/>
      <c r="N403" s="163"/>
      <c r="O403" s="163"/>
      <c r="P403" s="163"/>
      <c r="Q403" s="163"/>
      <c r="R403" s="163"/>
      <c r="S403" s="163"/>
      <c r="T403" s="163"/>
      <c r="U403" s="163"/>
      <c r="V403" s="163"/>
      <c r="W403" s="163"/>
      <c r="X403" s="163"/>
      <c r="Y403" s="163"/>
      <c r="Z403" s="163"/>
    </row>
    <row r="404" ht="14.25" customHeight="1">
      <c r="A404" s="194"/>
      <c r="B404" s="178" t="s">
        <v>0</v>
      </c>
      <c r="C404" s="193" t="s">
        <v>3190</v>
      </c>
      <c r="D404" s="178" t="s">
        <v>2983</v>
      </c>
      <c r="E404" s="178" t="s">
        <v>3191</v>
      </c>
      <c r="F404" s="178" t="s">
        <v>3185</v>
      </c>
      <c r="G404" s="178" t="s">
        <v>3192</v>
      </c>
      <c r="H404" s="178" t="s">
        <v>36</v>
      </c>
      <c r="I404" s="187"/>
      <c r="J404" s="175" t="s">
        <v>1784</v>
      </c>
      <c r="K404" s="163"/>
      <c r="L404" s="163"/>
      <c r="M404" s="163"/>
      <c r="N404" s="163"/>
      <c r="O404" s="163"/>
      <c r="P404" s="163"/>
      <c r="Q404" s="163"/>
      <c r="R404" s="163"/>
      <c r="S404" s="163"/>
      <c r="T404" s="163"/>
      <c r="U404" s="163"/>
      <c r="V404" s="163"/>
      <c r="W404" s="163"/>
      <c r="X404" s="163"/>
      <c r="Y404" s="163"/>
      <c r="Z404" s="163"/>
    </row>
    <row r="405" ht="14.25" customHeight="1">
      <c r="A405" s="194"/>
      <c r="B405" s="178" t="s">
        <v>0</v>
      </c>
      <c r="C405" s="193" t="s">
        <v>3193</v>
      </c>
      <c r="D405" s="178" t="s">
        <v>2983</v>
      </c>
      <c r="E405" s="178" t="s">
        <v>3194</v>
      </c>
      <c r="F405" s="178" t="s">
        <v>3195</v>
      </c>
      <c r="G405" s="178" t="s">
        <v>3196</v>
      </c>
      <c r="H405" s="178" t="s">
        <v>36</v>
      </c>
      <c r="I405" s="187"/>
      <c r="J405" s="175" t="s">
        <v>1784</v>
      </c>
      <c r="K405" s="163"/>
      <c r="L405" s="163"/>
      <c r="M405" s="163"/>
      <c r="N405" s="163"/>
      <c r="O405" s="163"/>
      <c r="P405" s="163"/>
      <c r="Q405" s="163"/>
      <c r="R405" s="163"/>
      <c r="S405" s="163"/>
      <c r="T405" s="163"/>
      <c r="U405" s="163"/>
      <c r="V405" s="163"/>
      <c r="W405" s="163"/>
      <c r="X405" s="163"/>
      <c r="Y405" s="163"/>
      <c r="Z405" s="163"/>
    </row>
    <row r="406" ht="14.25" customHeight="1">
      <c r="A406" s="194"/>
      <c r="B406" s="178" t="s">
        <v>0</v>
      </c>
      <c r="C406" s="193" t="s">
        <v>3197</v>
      </c>
      <c r="D406" s="178" t="s">
        <v>2983</v>
      </c>
      <c r="E406" s="178" t="s">
        <v>3198</v>
      </c>
      <c r="F406" s="178" t="s">
        <v>3199</v>
      </c>
      <c r="G406" s="178" t="s">
        <v>3200</v>
      </c>
      <c r="H406" s="178" t="s">
        <v>36</v>
      </c>
      <c r="I406" s="187"/>
      <c r="J406" s="175" t="s">
        <v>1784</v>
      </c>
      <c r="K406" s="163"/>
      <c r="L406" s="163"/>
      <c r="M406" s="163"/>
      <c r="N406" s="163"/>
      <c r="O406" s="163"/>
      <c r="P406" s="163"/>
      <c r="Q406" s="163"/>
      <c r="R406" s="163"/>
      <c r="S406" s="163"/>
      <c r="T406" s="163"/>
      <c r="U406" s="163"/>
      <c r="V406" s="163"/>
      <c r="W406" s="163"/>
      <c r="X406" s="163"/>
      <c r="Y406" s="163"/>
      <c r="Z406" s="163"/>
    </row>
    <row r="407" ht="14.25" customHeight="1">
      <c r="A407" s="194"/>
      <c r="B407" s="178" t="s">
        <v>0</v>
      </c>
      <c r="C407" s="193" t="s">
        <v>3201</v>
      </c>
      <c r="D407" s="178" t="s">
        <v>2983</v>
      </c>
      <c r="E407" s="178" t="s">
        <v>3202</v>
      </c>
      <c r="F407" s="178" t="s">
        <v>3203</v>
      </c>
      <c r="G407" s="178" t="s">
        <v>3204</v>
      </c>
      <c r="H407" s="178" t="s">
        <v>317</v>
      </c>
      <c r="I407" s="187"/>
      <c r="J407" s="175" t="s">
        <v>1784</v>
      </c>
      <c r="K407" s="163"/>
      <c r="L407" s="163"/>
      <c r="M407" s="163"/>
      <c r="N407" s="163"/>
      <c r="O407" s="163"/>
      <c r="P407" s="163"/>
      <c r="Q407" s="163"/>
      <c r="R407" s="163"/>
      <c r="S407" s="163"/>
      <c r="T407" s="163"/>
      <c r="U407" s="163"/>
      <c r="V407" s="163"/>
      <c r="W407" s="163"/>
      <c r="X407" s="163"/>
      <c r="Y407" s="163"/>
      <c r="Z407" s="163"/>
    </row>
    <row r="408" ht="14.25" customHeight="1">
      <c r="A408" s="194"/>
      <c r="B408" s="178" t="s">
        <v>0</v>
      </c>
      <c r="C408" s="193" t="s">
        <v>3205</v>
      </c>
      <c r="D408" s="178" t="s">
        <v>2983</v>
      </c>
      <c r="E408" s="178" t="s">
        <v>3206</v>
      </c>
      <c r="F408" s="178" t="s">
        <v>3207</v>
      </c>
      <c r="G408" s="178" t="s">
        <v>3208</v>
      </c>
      <c r="H408" s="178" t="s">
        <v>36</v>
      </c>
      <c r="I408" s="187"/>
      <c r="J408" s="175" t="s">
        <v>1784</v>
      </c>
      <c r="K408" s="163"/>
      <c r="L408" s="163"/>
      <c r="M408" s="163"/>
      <c r="N408" s="163"/>
      <c r="O408" s="163"/>
      <c r="P408" s="163"/>
      <c r="Q408" s="163"/>
      <c r="R408" s="163"/>
      <c r="S408" s="163"/>
      <c r="T408" s="163"/>
      <c r="U408" s="163"/>
      <c r="V408" s="163"/>
      <c r="W408" s="163"/>
      <c r="X408" s="163"/>
      <c r="Y408" s="163"/>
      <c r="Z408" s="163"/>
    </row>
    <row r="409" ht="14.25" customHeight="1">
      <c r="A409" s="194"/>
      <c r="B409" s="178" t="s">
        <v>0</v>
      </c>
      <c r="C409" s="193" t="s">
        <v>3209</v>
      </c>
      <c r="D409" s="178" t="s">
        <v>2482</v>
      </c>
      <c r="E409" s="178" t="s">
        <v>3210</v>
      </c>
      <c r="F409" s="178" t="s">
        <v>3211</v>
      </c>
      <c r="G409" s="178" t="s">
        <v>3212</v>
      </c>
      <c r="H409" s="178" t="s">
        <v>36</v>
      </c>
      <c r="I409" s="187"/>
      <c r="J409" s="175" t="s">
        <v>1784</v>
      </c>
      <c r="K409" s="163"/>
      <c r="L409" s="163"/>
      <c r="M409" s="163"/>
      <c r="N409" s="163"/>
      <c r="O409" s="163"/>
      <c r="P409" s="163"/>
      <c r="Q409" s="163"/>
      <c r="R409" s="163"/>
      <c r="S409" s="163"/>
      <c r="T409" s="163"/>
      <c r="U409" s="163"/>
      <c r="V409" s="163"/>
      <c r="W409" s="163"/>
      <c r="X409" s="163"/>
      <c r="Y409" s="163"/>
      <c r="Z409" s="163"/>
    </row>
    <row r="410" ht="14.25" customHeight="1">
      <c r="A410" s="194"/>
      <c r="B410" s="178" t="s">
        <v>0</v>
      </c>
      <c r="C410" s="193" t="s">
        <v>3213</v>
      </c>
      <c r="D410" s="178" t="s">
        <v>2482</v>
      </c>
      <c r="E410" s="178" t="s">
        <v>3214</v>
      </c>
      <c r="F410" s="178" t="s">
        <v>3215</v>
      </c>
      <c r="G410" s="178" t="s">
        <v>3216</v>
      </c>
      <c r="H410" s="178" t="s">
        <v>36</v>
      </c>
      <c r="I410" s="187"/>
      <c r="J410" s="175" t="s">
        <v>1784</v>
      </c>
      <c r="K410" s="163"/>
      <c r="L410" s="163"/>
      <c r="M410" s="163"/>
      <c r="N410" s="163"/>
      <c r="O410" s="163"/>
      <c r="P410" s="163"/>
      <c r="Q410" s="163"/>
      <c r="R410" s="163"/>
      <c r="S410" s="163"/>
      <c r="T410" s="163"/>
      <c r="U410" s="163"/>
      <c r="V410" s="163"/>
      <c r="W410" s="163"/>
      <c r="X410" s="163"/>
      <c r="Y410" s="163"/>
      <c r="Z410" s="163"/>
    </row>
    <row r="411" ht="14.25" customHeight="1">
      <c r="A411" s="194"/>
      <c r="B411" s="178" t="s">
        <v>0</v>
      </c>
      <c r="C411" s="193" t="s">
        <v>3217</v>
      </c>
      <c r="D411" s="178" t="s">
        <v>2482</v>
      </c>
      <c r="E411" s="178" t="s">
        <v>3218</v>
      </c>
      <c r="F411" s="178" t="s">
        <v>3219</v>
      </c>
      <c r="G411" s="178" t="s">
        <v>3220</v>
      </c>
      <c r="H411" s="178" t="s">
        <v>36</v>
      </c>
      <c r="I411" s="187"/>
      <c r="J411" s="175" t="s">
        <v>1784</v>
      </c>
      <c r="K411" s="163"/>
      <c r="L411" s="163"/>
      <c r="M411" s="163"/>
      <c r="N411" s="163"/>
      <c r="O411" s="163"/>
      <c r="P411" s="163"/>
      <c r="Q411" s="163"/>
      <c r="R411" s="163"/>
      <c r="S411" s="163"/>
      <c r="T411" s="163"/>
      <c r="U411" s="163"/>
      <c r="V411" s="163"/>
      <c r="W411" s="163"/>
      <c r="X411" s="163"/>
      <c r="Y411" s="163"/>
      <c r="Z411" s="163"/>
    </row>
    <row r="412" ht="14.25" customHeight="1">
      <c r="A412" s="194"/>
      <c r="B412" s="178" t="s">
        <v>0</v>
      </c>
      <c r="C412" s="193" t="s">
        <v>3221</v>
      </c>
      <c r="D412" s="178" t="s">
        <v>2482</v>
      </c>
      <c r="E412" s="178" t="s">
        <v>3222</v>
      </c>
      <c r="F412" s="178" t="s">
        <v>3223</v>
      </c>
      <c r="G412" s="178" t="s">
        <v>3224</v>
      </c>
      <c r="H412" s="178" t="s">
        <v>36</v>
      </c>
      <c r="I412" s="187"/>
      <c r="J412" s="175" t="s">
        <v>1784</v>
      </c>
      <c r="K412" s="163"/>
      <c r="L412" s="163"/>
      <c r="M412" s="163"/>
      <c r="N412" s="163"/>
      <c r="O412" s="163"/>
      <c r="P412" s="163"/>
      <c r="Q412" s="163"/>
      <c r="R412" s="163"/>
      <c r="S412" s="163"/>
      <c r="T412" s="163"/>
      <c r="U412" s="163"/>
      <c r="V412" s="163"/>
      <c r="W412" s="163"/>
      <c r="X412" s="163"/>
      <c r="Y412" s="163"/>
      <c r="Z412" s="163"/>
    </row>
    <row r="413" ht="14.25" customHeight="1">
      <c r="A413" s="194"/>
      <c r="B413" s="178" t="s">
        <v>0</v>
      </c>
      <c r="C413" s="193" t="s">
        <v>3225</v>
      </c>
      <c r="D413" s="178" t="s">
        <v>2482</v>
      </c>
      <c r="E413" s="178" t="s">
        <v>3226</v>
      </c>
      <c r="F413" s="178" t="s">
        <v>3227</v>
      </c>
      <c r="G413" s="178" t="s">
        <v>3228</v>
      </c>
      <c r="H413" s="178" t="s">
        <v>36</v>
      </c>
      <c r="I413" s="187"/>
      <c r="J413" s="175" t="s">
        <v>1784</v>
      </c>
      <c r="K413" s="163"/>
      <c r="L413" s="163"/>
      <c r="M413" s="163"/>
      <c r="N413" s="163"/>
      <c r="O413" s="163"/>
      <c r="P413" s="163"/>
      <c r="Q413" s="163"/>
      <c r="R413" s="163"/>
      <c r="S413" s="163"/>
      <c r="T413" s="163"/>
      <c r="U413" s="163"/>
      <c r="V413" s="163"/>
      <c r="W413" s="163"/>
      <c r="X413" s="163"/>
      <c r="Y413" s="163"/>
      <c r="Z413" s="163"/>
    </row>
    <row r="414" ht="14.25" customHeight="1">
      <c r="A414" s="194"/>
      <c r="B414" s="178" t="s">
        <v>0</v>
      </c>
      <c r="C414" s="193" t="s">
        <v>3229</v>
      </c>
      <c r="D414" s="178" t="s">
        <v>2482</v>
      </c>
      <c r="E414" s="178" t="s">
        <v>3230</v>
      </c>
      <c r="F414" s="178" t="s">
        <v>3231</v>
      </c>
      <c r="G414" s="178" t="s">
        <v>3232</v>
      </c>
      <c r="H414" s="178" t="s">
        <v>36</v>
      </c>
      <c r="I414" s="187"/>
      <c r="J414" s="175" t="s">
        <v>1784</v>
      </c>
      <c r="K414" s="163"/>
      <c r="L414" s="163"/>
      <c r="M414" s="163"/>
      <c r="N414" s="163"/>
      <c r="O414" s="163"/>
      <c r="P414" s="163"/>
      <c r="Q414" s="163"/>
      <c r="R414" s="163"/>
      <c r="S414" s="163"/>
      <c r="T414" s="163"/>
      <c r="U414" s="163"/>
      <c r="V414" s="163"/>
      <c r="W414" s="163"/>
      <c r="X414" s="163"/>
      <c r="Y414" s="163"/>
      <c r="Z414" s="163"/>
    </row>
    <row r="415" ht="14.25" customHeight="1">
      <c r="A415" s="194"/>
      <c r="B415" s="178" t="s">
        <v>0</v>
      </c>
      <c r="C415" s="193" t="s">
        <v>3233</v>
      </c>
      <c r="D415" s="178" t="s">
        <v>2482</v>
      </c>
      <c r="E415" s="178" t="s">
        <v>3234</v>
      </c>
      <c r="F415" s="178" t="s">
        <v>3235</v>
      </c>
      <c r="G415" s="178" t="s">
        <v>3236</v>
      </c>
      <c r="H415" s="178" t="s">
        <v>36</v>
      </c>
      <c r="I415" s="187"/>
      <c r="J415" s="175" t="s">
        <v>1784</v>
      </c>
      <c r="K415" s="163"/>
      <c r="L415" s="163"/>
      <c r="M415" s="163"/>
      <c r="N415" s="163"/>
      <c r="O415" s="163"/>
      <c r="P415" s="163"/>
      <c r="Q415" s="163"/>
      <c r="R415" s="163"/>
      <c r="S415" s="163"/>
      <c r="T415" s="163"/>
      <c r="U415" s="163"/>
      <c r="V415" s="163"/>
      <c r="W415" s="163"/>
      <c r="X415" s="163"/>
      <c r="Y415" s="163"/>
      <c r="Z415" s="163"/>
    </row>
    <row r="416" ht="14.25" customHeight="1">
      <c r="A416" s="194"/>
      <c r="B416" s="178" t="s">
        <v>0</v>
      </c>
      <c r="C416" s="193" t="s">
        <v>3237</v>
      </c>
      <c r="D416" s="178" t="s">
        <v>2482</v>
      </c>
      <c r="E416" s="178" t="s">
        <v>3238</v>
      </c>
      <c r="F416" s="178" t="s">
        <v>3239</v>
      </c>
      <c r="G416" s="178" t="s">
        <v>3240</v>
      </c>
      <c r="H416" s="178" t="s">
        <v>36</v>
      </c>
      <c r="I416" s="187"/>
      <c r="J416" s="175" t="s">
        <v>1784</v>
      </c>
      <c r="K416" s="163"/>
      <c r="L416" s="163"/>
      <c r="M416" s="163"/>
      <c r="N416" s="163"/>
      <c r="O416" s="163"/>
      <c r="P416" s="163"/>
      <c r="Q416" s="163"/>
      <c r="R416" s="163"/>
      <c r="S416" s="163"/>
      <c r="T416" s="163"/>
      <c r="U416" s="163"/>
      <c r="V416" s="163"/>
      <c r="W416" s="163"/>
      <c r="X416" s="163"/>
      <c r="Y416" s="163"/>
      <c r="Z416" s="163"/>
    </row>
    <row r="417" ht="14.25" customHeight="1">
      <c r="A417" s="194"/>
      <c r="B417" s="178" t="s">
        <v>0</v>
      </c>
      <c r="C417" s="193" t="s">
        <v>3241</v>
      </c>
      <c r="D417" s="178" t="s">
        <v>2482</v>
      </c>
      <c r="E417" s="178" t="s">
        <v>3242</v>
      </c>
      <c r="F417" s="178" t="s">
        <v>3243</v>
      </c>
      <c r="G417" s="178" t="s">
        <v>3244</v>
      </c>
      <c r="H417" s="178" t="s">
        <v>36</v>
      </c>
      <c r="I417" s="187"/>
      <c r="J417" s="175" t="s">
        <v>1784</v>
      </c>
      <c r="K417" s="163"/>
      <c r="L417" s="163"/>
      <c r="M417" s="163"/>
      <c r="N417" s="163"/>
      <c r="O417" s="163"/>
      <c r="P417" s="163"/>
      <c r="Q417" s="163"/>
      <c r="R417" s="163"/>
      <c r="S417" s="163"/>
      <c r="T417" s="163"/>
      <c r="U417" s="163"/>
      <c r="V417" s="163"/>
      <c r="W417" s="163"/>
      <c r="X417" s="163"/>
      <c r="Y417" s="163"/>
      <c r="Z417" s="163"/>
    </row>
    <row r="418" ht="14.25" customHeight="1">
      <c r="A418" s="194"/>
      <c r="B418" s="178" t="s">
        <v>0</v>
      </c>
      <c r="C418" s="193" t="s">
        <v>3245</v>
      </c>
      <c r="D418" s="178" t="s">
        <v>2482</v>
      </c>
      <c r="E418" s="178" t="s">
        <v>3246</v>
      </c>
      <c r="F418" s="178" t="s">
        <v>3247</v>
      </c>
      <c r="G418" s="178" t="s">
        <v>3248</v>
      </c>
      <c r="H418" s="178" t="s">
        <v>36</v>
      </c>
      <c r="I418" s="187"/>
      <c r="J418" s="175" t="s">
        <v>1784</v>
      </c>
      <c r="K418" s="163"/>
      <c r="L418" s="163"/>
      <c r="M418" s="163"/>
      <c r="N418" s="163"/>
      <c r="O418" s="163"/>
      <c r="P418" s="163"/>
      <c r="Q418" s="163"/>
      <c r="R418" s="163"/>
      <c r="S418" s="163"/>
      <c r="T418" s="163"/>
      <c r="U418" s="163"/>
      <c r="V418" s="163"/>
      <c r="W418" s="163"/>
      <c r="X418" s="163"/>
      <c r="Y418" s="163"/>
      <c r="Z418" s="163"/>
    </row>
    <row r="419" ht="14.25" customHeight="1">
      <c r="A419" s="194"/>
      <c r="B419" s="178" t="s">
        <v>0</v>
      </c>
      <c r="C419" s="193" t="s">
        <v>3249</v>
      </c>
      <c r="D419" s="178" t="s">
        <v>2482</v>
      </c>
      <c r="E419" s="178" t="s">
        <v>3250</v>
      </c>
      <c r="F419" s="178" t="s">
        <v>3251</v>
      </c>
      <c r="G419" s="178" t="s">
        <v>3252</v>
      </c>
      <c r="H419" s="178" t="s">
        <v>36</v>
      </c>
      <c r="I419" s="187"/>
      <c r="J419" s="175" t="s">
        <v>1784</v>
      </c>
      <c r="K419" s="163"/>
      <c r="L419" s="163"/>
      <c r="M419" s="163"/>
      <c r="N419" s="163"/>
      <c r="O419" s="163"/>
      <c r="P419" s="163"/>
      <c r="Q419" s="163"/>
      <c r="R419" s="163"/>
      <c r="S419" s="163"/>
      <c r="T419" s="163"/>
      <c r="U419" s="163"/>
      <c r="V419" s="163"/>
      <c r="W419" s="163"/>
      <c r="X419" s="163"/>
      <c r="Y419" s="163"/>
      <c r="Z419" s="163"/>
    </row>
    <row r="420" ht="14.25" customHeight="1">
      <c r="A420" s="195"/>
      <c r="B420" s="193" t="s">
        <v>0</v>
      </c>
      <c r="C420" s="193" t="s">
        <v>3253</v>
      </c>
      <c r="D420" s="193" t="s">
        <v>2482</v>
      </c>
      <c r="E420" s="193" t="s">
        <v>3254</v>
      </c>
      <c r="F420" s="193" t="s">
        <v>3255</v>
      </c>
      <c r="G420" s="193" t="s">
        <v>3256</v>
      </c>
      <c r="H420" s="193" t="s">
        <v>36</v>
      </c>
      <c r="I420" s="196"/>
      <c r="J420" s="175" t="s">
        <v>1784</v>
      </c>
      <c r="K420" s="163"/>
      <c r="L420" s="163"/>
      <c r="M420" s="163"/>
      <c r="N420" s="163"/>
      <c r="O420" s="163"/>
      <c r="P420" s="163"/>
      <c r="Q420" s="163"/>
      <c r="R420" s="163"/>
      <c r="S420" s="163"/>
      <c r="T420" s="163"/>
      <c r="U420" s="163"/>
      <c r="V420" s="163"/>
      <c r="W420" s="163"/>
      <c r="X420" s="163"/>
      <c r="Y420" s="163"/>
      <c r="Z420" s="163"/>
    </row>
    <row r="421" ht="14.25" customHeight="1">
      <c r="A421" s="195"/>
      <c r="B421" s="193" t="s">
        <v>0</v>
      </c>
      <c r="C421" s="193" t="s">
        <v>3257</v>
      </c>
      <c r="D421" s="193" t="s">
        <v>2482</v>
      </c>
      <c r="E421" s="193" t="s">
        <v>3258</v>
      </c>
      <c r="F421" s="193" t="s">
        <v>3259</v>
      </c>
      <c r="G421" s="193" t="s">
        <v>3260</v>
      </c>
      <c r="H421" s="193" t="s">
        <v>36</v>
      </c>
      <c r="I421" s="196"/>
      <c r="J421" s="175" t="s">
        <v>1784</v>
      </c>
      <c r="K421" s="163"/>
      <c r="L421" s="163"/>
      <c r="M421" s="163"/>
      <c r="N421" s="163"/>
      <c r="O421" s="163"/>
      <c r="P421" s="163"/>
      <c r="Q421" s="163"/>
      <c r="R421" s="163"/>
      <c r="S421" s="163"/>
      <c r="T421" s="163"/>
      <c r="U421" s="163"/>
      <c r="V421" s="163"/>
      <c r="W421" s="163"/>
      <c r="X421" s="163"/>
      <c r="Y421" s="163"/>
      <c r="Z421" s="163"/>
    </row>
    <row r="422" ht="14.25" customHeight="1">
      <c r="A422" s="195"/>
      <c r="B422" s="193" t="s">
        <v>0</v>
      </c>
      <c r="C422" s="193" t="s">
        <v>3261</v>
      </c>
      <c r="D422" s="193" t="s">
        <v>2482</v>
      </c>
      <c r="E422" s="193" t="s">
        <v>3262</v>
      </c>
      <c r="F422" s="193" t="s">
        <v>3263</v>
      </c>
      <c r="G422" s="193" t="s">
        <v>3264</v>
      </c>
      <c r="H422" s="193" t="s">
        <v>36</v>
      </c>
      <c r="I422" s="196"/>
      <c r="J422" s="175" t="s">
        <v>1784</v>
      </c>
      <c r="K422" s="163"/>
      <c r="L422" s="163"/>
      <c r="M422" s="163"/>
      <c r="N422" s="163"/>
      <c r="O422" s="163"/>
      <c r="P422" s="163"/>
      <c r="Q422" s="163"/>
      <c r="R422" s="163"/>
      <c r="S422" s="163"/>
      <c r="T422" s="163"/>
      <c r="U422" s="163"/>
      <c r="V422" s="163"/>
      <c r="W422" s="163"/>
      <c r="X422" s="163"/>
      <c r="Y422" s="163"/>
      <c r="Z422" s="163"/>
    </row>
    <row r="423" ht="14.25" customHeight="1">
      <c r="A423" s="195"/>
      <c r="B423" s="193" t="s">
        <v>0</v>
      </c>
      <c r="C423" s="193" t="s">
        <v>3265</v>
      </c>
      <c r="D423" s="193" t="s">
        <v>2482</v>
      </c>
      <c r="E423" s="193" t="s">
        <v>3266</v>
      </c>
      <c r="F423" s="193" t="s">
        <v>3267</v>
      </c>
      <c r="G423" s="193" t="s">
        <v>3268</v>
      </c>
      <c r="H423" s="193" t="s">
        <v>36</v>
      </c>
      <c r="I423" s="196"/>
      <c r="J423" s="175" t="s">
        <v>1784</v>
      </c>
      <c r="K423" s="163"/>
      <c r="L423" s="163"/>
      <c r="M423" s="163"/>
      <c r="N423" s="163"/>
      <c r="O423" s="163"/>
      <c r="P423" s="163"/>
      <c r="Q423" s="163"/>
      <c r="R423" s="163"/>
      <c r="S423" s="163"/>
      <c r="T423" s="163"/>
      <c r="U423" s="163"/>
      <c r="V423" s="163"/>
      <c r="W423" s="163"/>
      <c r="X423" s="163"/>
      <c r="Y423" s="163"/>
      <c r="Z423" s="163"/>
    </row>
    <row r="424" ht="14.25" customHeight="1">
      <c r="A424" s="194"/>
      <c r="B424" s="178" t="s">
        <v>0</v>
      </c>
      <c r="C424" s="193" t="s">
        <v>3269</v>
      </c>
      <c r="D424" s="178" t="s">
        <v>2482</v>
      </c>
      <c r="E424" s="178" t="s">
        <v>3270</v>
      </c>
      <c r="F424" s="178" t="s">
        <v>3271</v>
      </c>
      <c r="G424" s="178" t="s">
        <v>3272</v>
      </c>
      <c r="H424" s="178" t="s">
        <v>36</v>
      </c>
      <c r="I424" s="187"/>
      <c r="J424" s="175" t="s">
        <v>1784</v>
      </c>
      <c r="K424" s="163"/>
      <c r="L424" s="163"/>
      <c r="M424" s="163"/>
      <c r="N424" s="163"/>
      <c r="O424" s="163"/>
      <c r="P424" s="163"/>
      <c r="Q424" s="163"/>
      <c r="R424" s="163"/>
      <c r="S424" s="163"/>
      <c r="T424" s="163"/>
      <c r="U424" s="163"/>
      <c r="V424" s="163"/>
      <c r="W424" s="163"/>
      <c r="X424" s="163"/>
      <c r="Y424" s="163"/>
      <c r="Z424" s="163"/>
    </row>
    <row r="425" ht="14.25" customHeight="1">
      <c r="A425" s="194"/>
      <c r="B425" s="178" t="s">
        <v>0</v>
      </c>
      <c r="C425" s="193" t="s">
        <v>3273</v>
      </c>
      <c r="D425" s="178" t="s">
        <v>2482</v>
      </c>
      <c r="E425" s="178" t="s">
        <v>3274</v>
      </c>
      <c r="F425" s="178" t="s">
        <v>3275</v>
      </c>
      <c r="G425" s="193" t="s">
        <v>3276</v>
      </c>
      <c r="H425" s="178" t="s">
        <v>36</v>
      </c>
      <c r="I425" s="187"/>
      <c r="J425" s="175" t="s">
        <v>1784</v>
      </c>
      <c r="K425" s="163"/>
      <c r="L425" s="163"/>
      <c r="M425" s="163"/>
      <c r="N425" s="163"/>
      <c r="O425" s="163"/>
      <c r="P425" s="163"/>
      <c r="Q425" s="163"/>
      <c r="R425" s="163"/>
      <c r="S425" s="163"/>
      <c r="T425" s="163"/>
      <c r="U425" s="163"/>
      <c r="V425" s="163"/>
      <c r="W425" s="163"/>
      <c r="X425" s="163"/>
      <c r="Y425" s="163"/>
      <c r="Z425" s="163"/>
    </row>
    <row r="426" ht="14.25" customHeight="1">
      <c r="A426" s="195"/>
      <c r="B426" s="193" t="s">
        <v>0</v>
      </c>
      <c r="C426" s="193" t="s">
        <v>3277</v>
      </c>
      <c r="D426" s="193" t="s">
        <v>2482</v>
      </c>
      <c r="E426" s="193" t="s">
        <v>3278</v>
      </c>
      <c r="F426" s="193" t="s">
        <v>3279</v>
      </c>
      <c r="G426" s="193" t="s">
        <v>3272</v>
      </c>
      <c r="H426" s="178" t="s">
        <v>36</v>
      </c>
      <c r="I426" s="196"/>
      <c r="J426" s="175" t="s">
        <v>1784</v>
      </c>
      <c r="K426" s="163"/>
      <c r="L426" s="163"/>
      <c r="M426" s="163"/>
      <c r="N426" s="163"/>
      <c r="O426" s="163"/>
      <c r="P426" s="163"/>
      <c r="Q426" s="163"/>
      <c r="R426" s="163"/>
      <c r="S426" s="163"/>
      <c r="T426" s="163"/>
      <c r="U426" s="163"/>
      <c r="V426" s="163"/>
      <c r="W426" s="163"/>
      <c r="X426" s="163"/>
      <c r="Y426" s="163"/>
      <c r="Z426" s="163"/>
    </row>
    <row r="427" ht="14.25" customHeight="1">
      <c r="A427" s="194"/>
      <c r="B427" s="178" t="s">
        <v>0</v>
      </c>
      <c r="C427" s="193" t="s">
        <v>3280</v>
      </c>
      <c r="D427" s="178" t="s">
        <v>2482</v>
      </c>
      <c r="E427" s="178" t="s">
        <v>3281</v>
      </c>
      <c r="F427" s="178" t="s">
        <v>3282</v>
      </c>
      <c r="G427" s="178" t="s">
        <v>3283</v>
      </c>
      <c r="H427" s="178" t="s">
        <v>36</v>
      </c>
      <c r="I427" s="187"/>
      <c r="J427" s="175" t="s">
        <v>1784</v>
      </c>
      <c r="K427" s="163"/>
      <c r="L427" s="163"/>
      <c r="M427" s="163"/>
      <c r="N427" s="163"/>
      <c r="O427" s="163"/>
      <c r="P427" s="163"/>
      <c r="Q427" s="163"/>
      <c r="R427" s="163"/>
      <c r="S427" s="163"/>
      <c r="T427" s="163"/>
      <c r="U427" s="163"/>
      <c r="V427" s="163"/>
      <c r="W427" s="163"/>
      <c r="X427" s="163"/>
      <c r="Y427" s="163"/>
      <c r="Z427" s="163"/>
    </row>
    <row r="428" ht="14.25" customHeight="1">
      <c r="A428" s="194"/>
      <c r="B428" s="178" t="s">
        <v>0</v>
      </c>
      <c r="C428" s="193" t="s">
        <v>3284</v>
      </c>
      <c r="D428" s="178" t="s">
        <v>2983</v>
      </c>
      <c r="E428" s="178" t="s">
        <v>3285</v>
      </c>
      <c r="F428" s="178" t="s">
        <v>3286</v>
      </c>
      <c r="G428" s="178" t="s">
        <v>3287</v>
      </c>
      <c r="H428" s="178" t="s">
        <v>36</v>
      </c>
      <c r="I428" s="187"/>
      <c r="J428" s="175" t="s">
        <v>1784</v>
      </c>
      <c r="K428" s="163"/>
      <c r="L428" s="163"/>
      <c r="M428" s="163"/>
      <c r="N428" s="163"/>
      <c r="O428" s="163"/>
      <c r="P428" s="163"/>
      <c r="Q428" s="163"/>
      <c r="R428" s="163"/>
      <c r="S428" s="163"/>
      <c r="T428" s="163"/>
      <c r="U428" s="163"/>
      <c r="V428" s="163"/>
      <c r="W428" s="163"/>
      <c r="X428" s="163"/>
      <c r="Y428" s="163"/>
      <c r="Z428" s="163"/>
    </row>
    <row r="429" ht="14.25" customHeight="1">
      <c r="A429" s="194"/>
      <c r="B429" s="178" t="s">
        <v>0</v>
      </c>
      <c r="C429" s="193" t="s">
        <v>3288</v>
      </c>
      <c r="D429" s="178" t="s">
        <v>2983</v>
      </c>
      <c r="E429" s="178" t="s">
        <v>3289</v>
      </c>
      <c r="F429" s="178" t="s">
        <v>3290</v>
      </c>
      <c r="G429" s="178" t="s">
        <v>3291</v>
      </c>
      <c r="H429" s="178" t="s">
        <v>36</v>
      </c>
      <c r="I429" s="187"/>
      <c r="J429" s="175" t="s">
        <v>1784</v>
      </c>
      <c r="K429" s="163"/>
      <c r="L429" s="163"/>
      <c r="M429" s="163"/>
      <c r="N429" s="163"/>
      <c r="O429" s="163"/>
      <c r="P429" s="163"/>
      <c r="Q429" s="163"/>
      <c r="R429" s="163"/>
      <c r="S429" s="163"/>
      <c r="T429" s="163"/>
      <c r="U429" s="163"/>
      <c r="V429" s="163"/>
      <c r="W429" s="163"/>
      <c r="X429" s="163"/>
      <c r="Y429" s="163"/>
      <c r="Z429" s="163"/>
    </row>
    <row r="430" ht="14.25" customHeight="1">
      <c r="A430" s="194"/>
      <c r="B430" s="178" t="s">
        <v>0</v>
      </c>
      <c r="C430" s="193" t="s">
        <v>3292</v>
      </c>
      <c r="D430" s="178" t="s">
        <v>2983</v>
      </c>
      <c r="E430" s="178" t="s">
        <v>3293</v>
      </c>
      <c r="F430" s="178" t="s">
        <v>3294</v>
      </c>
      <c r="G430" s="178" t="s">
        <v>3295</v>
      </c>
      <c r="H430" s="178" t="s">
        <v>36</v>
      </c>
      <c r="I430" s="187"/>
      <c r="J430" s="175" t="s">
        <v>1784</v>
      </c>
      <c r="K430" s="163"/>
      <c r="L430" s="163"/>
      <c r="M430" s="163"/>
      <c r="N430" s="163"/>
      <c r="O430" s="163"/>
      <c r="P430" s="163"/>
      <c r="Q430" s="163"/>
      <c r="R430" s="163"/>
      <c r="S430" s="163"/>
      <c r="T430" s="163"/>
      <c r="U430" s="163"/>
      <c r="V430" s="163"/>
      <c r="W430" s="163"/>
      <c r="X430" s="163"/>
      <c r="Y430" s="163"/>
      <c r="Z430" s="163"/>
    </row>
    <row r="431" ht="14.25" customHeight="1">
      <c r="A431" s="194"/>
      <c r="B431" s="178" t="s">
        <v>0</v>
      </c>
      <c r="C431" s="193" t="s">
        <v>3296</v>
      </c>
      <c r="D431" s="178" t="s">
        <v>2983</v>
      </c>
      <c r="E431" s="178" t="s">
        <v>3297</v>
      </c>
      <c r="F431" s="178" t="s">
        <v>3298</v>
      </c>
      <c r="G431" s="178" t="s">
        <v>3299</v>
      </c>
      <c r="H431" s="178" t="s">
        <v>36</v>
      </c>
      <c r="I431" s="187"/>
      <c r="J431" s="175" t="s">
        <v>1784</v>
      </c>
      <c r="K431" s="163"/>
      <c r="L431" s="163"/>
      <c r="M431" s="163"/>
      <c r="N431" s="163"/>
      <c r="O431" s="163"/>
      <c r="P431" s="163"/>
      <c r="Q431" s="163"/>
      <c r="R431" s="163"/>
      <c r="S431" s="163"/>
      <c r="T431" s="163"/>
      <c r="U431" s="163"/>
      <c r="V431" s="163"/>
      <c r="W431" s="163"/>
      <c r="X431" s="163"/>
      <c r="Y431" s="163"/>
      <c r="Z431" s="163"/>
    </row>
    <row r="432" ht="14.25" customHeight="1">
      <c r="A432" s="194"/>
      <c r="B432" s="178" t="s">
        <v>0</v>
      </c>
      <c r="C432" s="193" t="s">
        <v>3300</v>
      </c>
      <c r="D432" s="178" t="s">
        <v>2983</v>
      </c>
      <c r="E432" s="178" t="s">
        <v>3301</v>
      </c>
      <c r="F432" s="178" t="s">
        <v>3302</v>
      </c>
      <c r="G432" s="178" t="s">
        <v>3303</v>
      </c>
      <c r="H432" s="178" t="s">
        <v>36</v>
      </c>
      <c r="I432" s="187"/>
      <c r="J432" s="175" t="s">
        <v>1784</v>
      </c>
      <c r="K432" s="163"/>
      <c r="L432" s="163"/>
      <c r="M432" s="163"/>
      <c r="N432" s="163"/>
      <c r="O432" s="163"/>
      <c r="P432" s="163"/>
      <c r="Q432" s="163"/>
      <c r="R432" s="163"/>
      <c r="S432" s="163"/>
      <c r="T432" s="163"/>
      <c r="U432" s="163"/>
      <c r="V432" s="163"/>
      <c r="W432" s="163"/>
      <c r="X432" s="163"/>
      <c r="Y432" s="163"/>
      <c r="Z432" s="163"/>
    </row>
    <row r="433" ht="14.25" customHeight="1">
      <c r="A433" s="194"/>
      <c r="B433" s="178" t="s">
        <v>0</v>
      </c>
      <c r="C433" s="193" t="s">
        <v>3304</v>
      </c>
      <c r="D433" s="178" t="s">
        <v>2983</v>
      </c>
      <c r="E433" s="178" t="s">
        <v>3305</v>
      </c>
      <c r="F433" s="178" t="s">
        <v>3306</v>
      </c>
      <c r="G433" s="178" t="s">
        <v>3307</v>
      </c>
      <c r="H433" s="178" t="s">
        <v>36</v>
      </c>
      <c r="I433" s="187"/>
      <c r="J433" s="175" t="s">
        <v>1784</v>
      </c>
      <c r="K433" s="163"/>
      <c r="L433" s="163"/>
      <c r="M433" s="163"/>
      <c r="N433" s="163"/>
      <c r="O433" s="163"/>
      <c r="P433" s="163"/>
      <c r="Q433" s="163"/>
      <c r="R433" s="163"/>
      <c r="S433" s="163"/>
      <c r="T433" s="163"/>
      <c r="U433" s="163"/>
      <c r="V433" s="163"/>
      <c r="W433" s="163"/>
      <c r="X433" s="163"/>
      <c r="Y433" s="163"/>
      <c r="Z433" s="163"/>
    </row>
    <row r="434" ht="14.25" customHeight="1">
      <c r="A434" s="194"/>
      <c r="B434" s="178" t="s">
        <v>0</v>
      </c>
      <c r="C434" s="193" t="s">
        <v>3308</v>
      </c>
      <c r="D434" s="178" t="s">
        <v>2482</v>
      </c>
      <c r="E434" s="178" t="s">
        <v>3309</v>
      </c>
      <c r="F434" s="178" t="s">
        <v>3310</v>
      </c>
      <c r="G434" s="178" t="s">
        <v>3311</v>
      </c>
      <c r="H434" s="178" t="s">
        <v>36</v>
      </c>
      <c r="I434" s="187"/>
      <c r="J434" s="175" t="s">
        <v>1784</v>
      </c>
      <c r="K434" s="163"/>
      <c r="L434" s="163"/>
      <c r="M434" s="163"/>
      <c r="N434" s="163"/>
      <c r="O434" s="163"/>
      <c r="P434" s="163"/>
      <c r="Q434" s="163"/>
      <c r="R434" s="163"/>
      <c r="S434" s="163"/>
      <c r="T434" s="163"/>
      <c r="U434" s="163"/>
      <c r="V434" s="163"/>
      <c r="W434" s="163"/>
      <c r="X434" s="163"/>
      <c r="Y434" s="163"/>
      <c r="Z434" s="163"/>
    </row>
    <row r="435" ht="14.25" customHeight="1">
      <c r="A435" s="194"/>
      <c r="B435" s="178" t="s">
        <v>0</v>
      </c>
      <c r="C435" s="193" t="s">
        <v>3312</v>
      </c>
      <c r="D435" s="178" t="s">
        <v>2482</v>
      </c>
      <c r="E435" s="178" t="s">
        <v>3313</v>
      </c>
      <c r="F435" s="178" t="s">
        <v>3314</v>
      </c>
      <c r="G435" s="178" t="s">
        <v>3315</v>
      </c>
      <c r="H435" s="178" t="s">
        <v>36</v>
      </c>
      <c r="I435" s="187"/>
      <c r="J435" s="175" t="s">
        <v>1784</v>
      </c>
      <c r="K435" s="163"/>
      <c r="L435" s="163"/>
      <c r="M435" s="163"/>
      <c r="N435" s="163"/>
      <c r="O435" s="163"/>
      <c r="P435" s="163"/>
      <c r="Q435" s="163"/>
      <c r="R435" s="163"/>
      <c r="S435" s="163"/>
      <c r="T435" s="163"/>
      <c r="U435" s="163"/>
      <c r="V435" s="163"/>
      <c r="W435" s="163"/>
      <c r="X435" s="163"/>
      <c r="Y435" s="163"/>
      <c r="Z435" s="163"/>
    </row>
    <row r="436" ht="14.25" customHeight="1">
      <c r="A436" s="195"/>
      <c r="B436" s="193" t="s">
        <v>0</v>
      </c>
      <c r="C436" s="193" t="s">
        <v>3316</v>
      </c>
      <c r="D436" s="193" t="s">
        <v>2482</v>
      </c>
      <c r="E436" s="193" t="s">
        <v>3317</v>
      </c>
      <c r="F436" s="193" t="s">
        <v>3318</v>
      </c>
      <c r="G436" s="193" t="s">
        <v>3319</v>
      </c>
      <c r="H436" s="178" t="s">
        <v>36</v>
      </c>
      <c r="I436" s="196"/>
      <c r="J436" s="175" t="s">
        <v>1784</v>
      </c>
      <c r="K436" s="163"/>
      <c r="L436" s="163"/>
      <c r="M436" s="163"/>
      <c r="N436" s="163"/>
      <c r="O436" s="163"/>
      <c r="P436" s="163"/>
      <c r="Q436" s="163"/>
      <c r="R436" s="163"/>
      <c r="S436" s="163"/>
      <c r="T436" s="163"/>
      <c r="U436" s="163"/>
      <c r="V436" s="163"/>
      <c r="W436" s="163"/>
      <c r="X436" s="163"/>
      <c r="Y436" s="163"/>
      <c r="Z436" s="163"/>
    </row>
    <row r="437" ht="14.25" customHeight="1">
      <c r="A437" s="194"/>
      <c r="B437" s="178" t="s">
        <v>0</v>
      </c>
      <c r="C437" s="193" t="s">
        <v>3320</v>
      </c>
      <c r="D437" s="178" t="s">
        <v>2482</v>
      </c>
      <c r="E437" s="178" t="s">
        <v>3321</v>
      </c>
      <c r="F437" s="178" t="s">
        <v>3322</v>
      </c>
      <c r="G437" s="178" t="s">
        <v>3323</v>
      </c>
      <c r="H437" s="178" t="s">
        <v>317</v>
      </c>
      <c r="I437" s="187"/>
      <c r="J437" s="175" t="s">
        <v>1784</v>
      </c>
      <c r="K437" s="163"/>
      <c r="L437" s="163"/>
      <c r="M437" s="163"/>
      <c r="N437" s="163"/>
      <c r="O437" s="163"/>
      <c r="P437" s="163"/>
      <c r="Q437" s="163"/>
      <c r="R437" s="163"/>
      <c r="S437" s="163"/>
      <c r="T437" s="163"/>
      <c r="U437" s="163"/>
      <c r="V437" s="163"/>
      <c r="W437" s="163"/>
      <c r="X437" s="163"/>
      <c r="Y437" s="163"/>
      <c r="Z437" s="163"/>
    </row>
    <row r="438" ht="14.25" customHeight="1">
      <c r="A438" s="194"/>
      <c r="B438" s="178" t="s">
        <v>0</v>
      </c>
      <c r="C438" s="193" t="s">
        <v>3324</v>
      </c>
      <c r="D438" s="178" t="s">
        <v>2482</v>
      </c>
      <c r="E438" s="178" t="s">
        <v>3325</v>
      </c>
      <c r="F438" s="178" t="s">
        <v>3326</v>
      </c>
      <c r="G438" s="178" t="s">
        <v>3327</v>
      </c>
      <c r="H438" s="178" t="s">
        <v>36</v>
      </c>
      <c r="I438" s="187"/>
      <c r="J438" s="175" t="s">
        <v>1784</v>
      </c>
      <c r="K438" s="163"/>
      <c r="L438" s="163"/>
      <c r="M438" s="163"/>
      <c r="N438" s="163"/>
      <c r="O438" s="163"/>
      <c r="P438" s="163"/>
      <c r="Q438" s="163"/>
      <c r="R438" s="163"/>
      <c r="S438" s="163"/>
      <c r="T438" s="163"/>
      <c r="U438" s="163"/>
      <c r="V438" s="163"/>
      <c r="W438" s="163"/>
      <c r="X438" s="163"/>
      <c r="Y438" s="163"/>
      <c r="Z438" s="163"/>
    </row>
    <row r="439" ht="14.25" customHeight="1">
      <c r="A439" s="195"/>
      <c r="B439" s="193" t="s">
        <v>0</v>
      </c>
      <c r="C439" s="193" t="s">
        <v>3328</v>
      </c>
      <c r="D439" s="193" t="s">
        <v>2482</v>
      </c>
      <c r="E439" s="193" t="s">
        <v>3329</v>
      </c>
      <c r="F439" s="193" t="s">
        <v>3330</v>
      </c>
      <c r="G439" s="193" t="s">
        <v>3331</v>
      </c>
      <c r="H439" s="193" t="s">
        <v>36</v>
      </c>
      <c r="I439" s="196"/>
      <c r="J439" s="175" t="s">
        <v>1784</v>
      </c>
      <c r="K439" s="163"/>
      <c r="L439" s="163"/>
      <c r="M439" s="163"/>
      <c r="N439" s="163"/>
      <c r="O439" s="163"/>
      <c r="P439" s="163"/>
      <c r="Q439" s="163"/>
      <c r="R439" s="163"/>
      <c r="S439" s="163"/>
      <c r="T439" s="163"/>
      <c r="U439" s="163"/>
      <c r="V439" s="163"/>
      <c r="W439" s="163"/>
      <c r="X439" s="163"/>
      <c r="Y439" s="163"/>
      <c r="Z439" s="163"/>
    </row>
    <row r="440" ht="14.25" customHeight="1">
      <c r="A440" s="194"/>
      <c r="B440" s="178" t="s">
        <v>0</v>
      </c>
      <c r="C440" s="193" t="s">
        <v>3332</v>
      </c>
      <c r="D440" s="178" t="s">
        <v>2482</v>
      </c>
      <c r="E440" s="178" t="s">
        <v>3333</v>
      </c>
      <c r="F440" s="178" t="s">
        <v>3334</v>
      </c>
      <c r="G440" s="178" t="s">
        <v>3335</v>
      </c>
      <c r="H440" s="178" t="s">
        <v>36</v>
      </c>
      <c r="I440" s="187"/>
      <c r="J440" s="175" t="s">
        <v>1784</v>
      </c>
      <c r="K440" s="163"/>
      <c r="L440" s="163"/>
      <c r="M440" s="163"/>
      <c r="N440" s="163"/>
      <c r="O440" s="163"/>
      <c r="P440" s="163"/>
      <c r="Q440" s="163"/>
      <c r="R440" s="163"/>
      <c r="S440" s="163"/>
      <c r="T440" s="163"/>
      <c r="U440" s="163"/>
      <c r="V440" s="163"/>
      <c r="W440" s="163"/>
      <c r="X440" s="163"/>
      <c r="Y440" s="163"/>
      <c r="Z440" s="163"/>
    </row>
    <row r="441" ht="14.25" customHeight="1">
      <c r="A441" s="194"/>
      <c r="B441" s="178" t="s">
        <v>0</v>
      </c>
      <c r="C441" s="193" t="s">
        <v>3336</v>
      </c>
      <c r="D441" s="178" t="s">
        <v>2482</v>
      </c>
      <c r="E441" s="178" t="s">
        <v>3337</v>
      </c>
      <c r="F441" s="178" t="s">
        <v>3338</v>
      </c>
      <c r="G441" s="178" t="s">
        <v>3339</v>
      </c>
      <c r="H441" s="178" t="s">
        <v>36</v>
      </c>
      <c r="I441" s="187"/>
      <c r="J441" s="175" t="s">
        <v>1784</v>
      </c>
      <c r="K441" s="163"/>
      <c r="L441" s="163"/>
      <c r="M441" s="163"/>
      <c r="N441" s="163"/>
      <c r="O441" s="163"/>
      <c r="P441" s="163"/>
      <c r="Q441" s="163"/>
      <c r="R441" s="163"/>
      <c r="S441" s="163"/>
      <c r="T441" s="163"/>
      <c r="U441" s="163"/>
      <c r="V441" s="163"/>
      <c r="W441" s="163"/>
      <c r="X441" s="163"/>
      <c r="Y441" s="163"/>
      <c r="Z441" s="163"/>
    </row>
    <row r="442" ht="14.25" customHeight="1">
      <c r="A442" s="194"/>
      <c r="B442" s="178" t="s">
        <v>0</v>
      </c>
      <c r="C442" s="193" t="s">
        <v>3340</v>
      </c>
      <c r="D442" s="178" t="s">
        <v>2482</v>
      </c>
      <c r="E442" s="178" t="s">
        <v>3341</v>
      </c>
      <c r="F442" s="178" t="s">
        <v>3338</v>
      </c>
      <c r="G442" s="178" t="s">
        <v>3342</v>
      </c>
      <c r="H442" s="178" t="s">
        <v>36</v>
      </c>
      <c r="I442" s="187"/>
      <c r="J442" s="175" t="s">
        <v>1784</v>
      </c>
      <c r="K442" s="163"/>
      <c r="L442" s="163"/>
      <c r="M442" s="163"/>
      <c r="N442" s="163"/>
      <c r="O442" s="163"/>
      <c r="P442" s="163"/>
      <c r="Q442" s="163"/>
      <c r="R442" s="163"/>
      <c r="S442" s="163"/>
      <c r="T442" s="163"/>
      <c r="U442" s="163"/>
      <c r="V442" s="163"/>
      <c r="W442" s="163"/>
      <c r="X442" s="163"/>
      <c r="Y442" s="163"/>
      <c r="Z442" s="163"/>
    </row>
    <row r="443" ht="14.25" customHeight="1">
      <c r="A443" s="194"/>
      <c r="B443" s="178" t="s">
        <v>0</v>
      </c>
      <c r="C443" s="193" t="s">
        <v>3343</v>
      </c>
      <c r="D443" s="178" t="s">
        <v>2482</v>
      </c>
      <c r="E443" s="178" t="s">
        <v>1911</v>
      </c>
      <c r="F443" s="178" t="s">
        <v>3344</v>
      </c>
      <c r="G443" s="178" t="s">
        <v>3345</v>
      </c>
      <c r="H443" s="178" t="s">
        <v>36</v>
      </c>
      <c r="I443" s="187"/>
      <c r="J443" s="175" t="s">
        <v>1784</v>
      </c>
      <c r="K443" s="163"/>
      <c r="L443" s="163"/>
      <c r="M443" s="163"/>
      <c r="N443" s="163"/>
      <c r="O443" s="163"/>
      <c r="P443" s="163"/>
      <c r="Q443" s="163"/>
      <c r="R443" s="163"/>
      <c r="S443" s="163"/>
      <c r="T443" s="163"/>
      <c r="U443" s="163"/>
      <c r="V443" s="163"/>
      <c r="W443" s="163"/>
      <c r="X443" s="163"/>
      <c r="Y443" s="163"/>
      <c r="Z443" s="163"/>
    </row>
    <row r="444" ht="14.25" customHeight="1">
      <c r="A444" s="194"/>
      <c r="B444" s="178" t="s">
        <v>0</v>
      </c>
      <c r="C444" s="193" t="s">
        <v>3346</v>
      </c>
      <c r="D444" s="178" t="s">
        <v>2482</v>
      </c>
      <c r="E444" s="178" t="s">
        <v>3347</v>
      </c>
      <c r="F444" s="178" t="s">
        <v>3348</v>
      </c>
      <c r="G444" s="178" t="s">
        <v>3349</v>
      </c>
      <c r="H444" s="178" t="s">
        <v>36</v>
      </c>
      <c r="I444" s="187"/>
      <c r="J444" s="175" t="s">
        <v>1784</v>
      </c>
      <c r="K444" s="163"/>
      <c r="L444" s="163"/>
      <c r="M444" s="163"/>
      <c r="N444" s="163"/>
      <c r="O444" s="163"/>
      <c r="P444" s="163"/>
      <c r="Q444" s="163"/>
      <c r="R444" s="163"/>
      <c r="S444" s="163"/>
      <c r="T444" s="163"/>
      <c r="U444" s="163"/>
      <c r="V444" s="163"/>
      <c r="W444" s="163"/>
      <c r="X444" s="163"/>
      <c r="Y444" s="163"/>
      <c r="Z444" s="163"/>
    </row>
    <row r="445" ht="14.25" customHeight="1">
      <c r="A445" s="194"/>
      <c r="B445" s="178" t="s">
        <v>0</v>
      </c>
      <c r="C445" s="193" t="s">
        <v>3350</v>
      </c>
      <c r="D445" s="178" t="s">
        <v>2482</v>
      </c>
      <c r="E445" s="178" t="s">
        <v>3351</v>
      </c>
      <c r="F445" s="178" t="s">
        <v>3352</v>
      </c>
      <c r="G445" s="178" t="s">
        <v>3353</v>
      </c>
      <c r="H445" s="178" t="s">
        <v>36</v>
      </c>
      <c r="I445" s="187"/>
      <c r="J445" s="175" t="s">
        <v>1784</v>
      </c>
      <c r="K445" s="163"/>
      <c r="L445" s="163"/>
      <c r="M445" s="163"/>
      <c r="N445" s="163"/>
      <c r="O445" s="163"/>
      <c r="P445" s="163"/>
      <c r="Q445" s="163"/>
      <c r="R445" s="163"/>
      <c r="S445" s="163"/>
      <c r="T445" s="163"/>
      <c r="U445" s="163"/>
      <c r="V445" s="163"/>
      <c r="W445" s="163"/>
      <c r="X445" s="163"/>
      <c r="Y445" s="163"/>
      <c r="Z445" s="163"/>
    </row>
    <row r="446" ht="14.25" customHeight="1">
      <c r="A446" s="194"/>
      <c r="B446" s="178" t="s">
        <v>0</v>
      </c>
      <c r="C446" s="193" t="s">
        <v>3354</v>
      </c>
      <c r="D446" s="178" t="s">
        <v>2482</v>
      </c>
      <c r="E446" s="178" t="s">
        <v>3355</v>
      </c>
      <c r="F446" s="178" t="s">
        <v>3356</v>
      </c>
      <c r="G446" s="178" t="s">
        <v>3357</v>
      </c>
      <c r="H446" s="178" t="s">
        <v>36</v>
      </c>
      <c r="I446" s="187"/>
      <c r="J446" s="175" t="s">
        <v>1784</v>
      </c>
      <c r="K446" s="163"/>
      <c r="L446" s="163"/>
      <c r="M446" s="163"/>
      <c r="N446" s="163"/>
      <c r="O446" s="163"/>
      <c r="P446" s="163"/>
      <c r="Q446" s="163"/>
      <c r="R446" s="163"/>
      <c r="S446" s="163"/>
      <c r="T446" s="163"/>
      <c r="U446" s="163"/>
      <c r="V446" s="163"/>
      <c r="W446" s="163"/>
      <c r="X446" s="163"/>
      <c r="Y446" s="163"/>
      <c r="Z446" s="163"/>
    </row>
    <row r="447" ht="14.25" customHeight="1">
      <c r="A447" s="194"/>
      <c r="B447" s="178" t="s">
        <v>0</v>
      </c>
      <c r="C447" s="193" t="s">
        <v>3358</v>
      </c>
      <c r="D447" s="178" t="s">
        <v>2482</v>
      </c>
      <c r="E447" s="178" t="s">
        <v>3359</v>
      </c>
      <c r="F447" s="178" t="s">
        <v>3360</v>
      </c>
      <c r="G447" s="178" t="s">
        <v>3361</v>
      </c>
      <c r="H447" s="178" t="s">
        <v>36</v>
      </c>
      <c r="I447" s="187"/>
      <c r="J447" s="175" t="s">
        <v>1784</v>
      </c>
      <c r="K447" s="163"/>
      <c r="L447" s="163"/>
      <c r="M447" s="163"/>
      <c r="N447" s="163"/>
      <c r="O447" s="163"/>
      <c r="P447" s="163"/>
      <c r="Q447" s="163"/>
      <c r="R447" s="163"/>
      <c r="S447" s="163"/>
      <c r="T447" s="163"/>
      <c r="U447" s="163"/>
      <c r="V447" s="163"/>
      <c r="W447" s="163"/>
      <c r="X447" s="163"/>
      <c r="Y447" s="163"/>
      <c r="Z447" s="163"/>
    </row>
    <row r="448" ht="14.25" customHeight="1">
      <c r="A448" s="195"/>
      <c r="B448" s="193" t="s">
        <v>0</v>
      </c>
      <c r="C448" s="193" t="s">
        <v>3362</v>
      </c>
      <c r="D448" s="193" t="s">
        <v>2482</v>
      </c>
      <c r="E448" s="193" t="s">
        <v>3363</v>
      </c>
      <c r="F448" s="193" t="s">
        <v>3364</v>
      </c>
      <c r="G448" s="193" t="s">
        <v>3365</v>
      </c>
      <c r="H448" s="178" t="s">
        <v>36</v>
      </c>
      <c r="I448" s="196"/>
      <c r="J448" s="175" t="s">
        <v>1784</v>
      </c>
      <c r="K448" s="163"/>
      <c r="L448" s="163"/>
      <c r="M448" s="163"/>
      <c r="N448" s="163"/>
      <c r="O448" s="163"/>
      <c r="P448" s="163"/>
      <c r="Q448" s="163"/>
      <c r="R448" s="163"/>
      <c r="S448" s="163"/>
      <c r="T448" s="163"/>
      <c r="U448" s="163"/>
      <c r="V448" s="163"/>
      <c r="W448" s="163"/>
      <c r="X448" s="163"/>
      <c r="Y448" s="163"/>
      <c r="Z448" s="163"/>
    </row>
    <row r="449" ht="14.25" customHeight="1">
      <c r="A449" s="194"/>
      <c r="B449" s="178" t="s">
        <v>0</v>
      </c>
      <c r="C449" s="193" t="s">
        <v>3366</v>
      </c>
      <c r="D449" s="178" t="s">
        <v>2482</v>
      </c>
      <c r="E449" s="178" t="s">
        <v>3367</v>
      </c>
      <c r="F449" s="178" t="s">
        <v>3368</v>
      </c>
      <c r="G449" s="178" t="s">
        <v>3369</v>
      </c>
      <c r="H449" s="178" t="s">
        <v>36</v>
      </c>
      <c r="I449" s="187"/>
      <c r="J449" s="175" t="s">
        <v>1784</v>
      </c>
      <c r="K449" s="163"/>
      <c r="L449" s="163"/>
      <c r="M449" s="163"/>
      <c r="N449" s="163"/>
      <c r="O449" s="163"/>
      <c r="P449" s="163"/>
      <c r="Q449" s="163"/>
      <c r="R449" s="163"/>
      <c r="S449" s="163"/>
      <c r="T449" s="163"/>
      <c r="U449" s="163"/>
      <c r="V449" s="163"/>
      <c r="W449" s="163"/>
      <c r="X449" s="163"/>
      <c r="Y449" s="163"/>
      <c r="Z449" s="163"/>
    </row>
    <row r="450" ht="14.25" customHeight="1">
      <c r="A450" s="194"/>
      <c r="B450" s="178" t="s">
        <v>0</v>
      </c>
      <c r="C450" s="193" t="s">
        <v>3370</v>
      </c>
      <c r="D450" s="178" t="s">
        <v>2482</v>
      </c>
      <c r="E450" s="178" t="s">
        <v>3371</v>
      </c>
      <c r="F450" s="178" t="s">
        <v>3372</v>
      </c>
      <c r="G450" s="178" t="s">
        <v>3373</v>
      </c>
      <c r="H450" s="178" t="s">
        <v>36</v>
      </c>
      <c r="I450" s="187"/>
      <c r="J450" s="175" t="s">
        <v>1784</v>
      </c>
      <c r="K450" s="163"/>
      <c r="L450" s="163"/>
      <c r="M450" s="163"/>
      <c r="N450" s="163"/>
      <c r="O450" s="163"/>
      <c r="P450" s="163"/>
      <c r="Q450" s="163"/>
      <c r="R450" s="163"/>
      <c r="S450" s="163"/>
      <c r="T450" s="163"/>
      <c r="U450" s="163"/>
      <c r="V450" s="163"/>
      <c r="W450" s="163"/>
      <c r="X450" s="163"/>
      <c r="Y450" s="163"/>
      <c r="Z450" s="163"/>
    </row>
    <row r="451" ht="14.25" customHeight="1">
      <c r="A451" s="194"/>
      <c r="B451" s="178" t="s">
        <v>0</v>
      </c>
      <c r="C451" s="193" t="s">
        <v>3374</v>
      </c>
      <c r="D451" s="178" t="s">
        <v>2482</v>
      </c>
      <c r="E451" s="178" t="s">
        <v>3375</v>
      </c>
      <c r="F451" s="178" t="s">
        <v>3376</v>
      </c>
      <c r="G451" s="178" t="s">
        <v>3377</v>
      </c>
      <c r="H451" s="178" t="s">
        <v>36</v>
      </c>
      <c r="I451" s="187"/>
      <c r="J451" s="175" t="s">
        <v>1784</v>
      </c>
      <c r="K451" s="163"/>
      <c r="L451" s="163"/>
      <c r="M451" s="163"/>
      <c r="N451" s="163"/>
      <c r="O451" s="163"/>
      <c r="P451" s="163"/>
      <c r="Q451" s="163"/>
      <c r="R451" s="163"/>
      <c r="S451" s="163"/>
      <c r="T451" s="163"/>
      <c r="U451" s="163"/>
      <c r="V451" s="163"/>
      <c r="W451" s="163"/>
      <c r="X451" s="163"/>
      <c r="Y451" s="163"/>
      <c r="Z451" s="163"/>
    </row>
    <row r="452" ht="14.25" customHeight="1">
      <c r="A452" s="194"/>
      <c r="B452" s="178" t="s">
        <v>0</v>
      </c>
      <c r="C452" s="193" t="s">
        <v>3378</v>
      </c>
      <c r="D452" s="178" t="s">
        <v>2482</v>
      </c>
      <c r="E452" s="178" t="s">
        <v>3379</v>
      </c>
      <c r="F452" s="178" t="s">
        <v>3380</v>
      </c>
      <c r="G452" s="178" t="s">
        <v>3381</v>
      </c>
      <c r="H452" s="178" t="s">
        <v>36</v>
      </c>
      <c r="I452" s="187"/>
      <c r="J452" s="175" t="s">
        <v>1784</v>
      </c>
      <c r="K452" s="163"/>
      <c r="L452" s="163"/>
      <c r="M452" s="163"/>
      <c r="N452" s="163"/>
      <c r="O452" s="163"/>
      <c r="P452" s="163"/>
      <c r="Q452" s="163"/>
      <c r="R452" s="163"/>
      <c r="S452" s="163"/>
      <c r="T452" s="163"/>
      <c r="U452" s="163"/>
      <c r="V452" s="163"/>
      <c r="W452" s="163"/>
      <c r="X452" s="163"/>
      <c r="Y452" s="163"/>
      <c r="Z452" s="163"/>
    </row>
    <row r="453" ht="14.25" customHeight="1">
      <c r="A453" s="194"/>
      <c r="B453" s="178" t="s">
        <v>0</v>
      </c>
      <c r="C453" s="193" t="s">
        <v>3382</v>
      </c>
      <c r="D453" s="178" t="s">
        <v>2482</v>
      </c>
      <c r="E453" s="178" t="s">
        <v>3383</v>
      </c>
      <c r="F453" s="178" t="s">
        <v>3384</v>
      </c>
      <c r="G453" s="178" t="s">
        <v>3385</v>
      </c>
      <c r="H453" s="178" t="s">
        <v>36</v>
      </c>
      <c r="I453" s="187"/>
      <c r="J453" s="175" t="s">
        <v>1784</v>
      </c>
      <c r="K453" s="163"/>
      <c r="L453" s="163"/>
      <c r="M453" s="163"/>
      <c r="N453" s="163"/>
      <c r="O453" s="163"/>
      <c r="P453" s="163"/>
      <c r="Q453" s="163"/>
      <c r="R453" s="163"/>
      <c r="S453" s="163"/>
      <c r="T453" s="163"/>
      <c r="U453" s="163"/>
      <c r="V453" s="163"/>
      <c r="W453" s="163"/>
      <c r="X453" s="163"/>
      <c r="Y453" s="163"/>
      <c r="Z453" s="163"/>
    </row>
    <row r="454" ht="14.25" customHeight="1">
      <c r="A454" s="194"/>
      <c r="B454" s="178" t="s">
        <v>0</v>
      </c>
      <c r="C454" s="193" t="s">
        <v>3386</v>
      </c>
      <c r="D454" s="178" t="s">
        <v>2482</v>
      </c>
      <c r="E454" s="178" t="s">
        <v>3387</v>
      </c>
      <c r="F454" s="178" t="s">
        <v>3388</v>
      </c>
      <c r="G454" s="178" t="s">
        <v>3389</v>
      </c>
      <c r="H454" s="178" t="s">
        <v>36</v>
      </c>
      <c r="I454" s="187"/>
      <c r="J454" s="175" t="s">
        <v>1784</v>
      </c>
      <c r="K454" s="163"/>
      <c r="L454" s="163"/>
      <c r="M454" s="163"/>
      <c r="N454" s="163"/>
      <c r="O454" s="163"/>
      <c r="P454" s="163"/>
      <c r="Q454" s="163"/>
      <c r="R454" s="163"/>
      <c r="S454" s="163"/>
      <c r="T454" s="163"/>
      <c r="U454" s="163"/>
      <c r="V454" s="163"/>
      <c r="W454" s="163"/>
      <c r="X454" s="163"/>
      <c r="Y454" s="163"/>
      <c r="Z454" s="163"/>
    </row>
    <row r="455" ht="14.25" customHeight="1">
      <c r="A455" s="194"/>
      <c r="B455" s="178" t="s">
        <v>0</v>
      </c>
      <c r="C455" s="193" t="s">
        <v>3390</v>
      </c>
      <c r="D455" s="178" t="s">
        <v>2482</v>
      </c>
      <c r="E455" s="178" t="s">
        <v>3391</v>
      </c>
      <c r="F455" s="178" t="s">
        <v>3392</v>
      </c>
      <c r="G455" s="178" t="s">
        <v>3393</v>
      </c>
      <c r="H455" s="178" t="s">
        <v>36</v>
      </c>
      <c r="I455" s="187"/>
      <c r="J455" s="175" t="s">
        <v>1784</v>
      </c>
      <c r="K455" s="163"/>
      <c r="L455" s="163"/>
      <c r="M455" s="163"/>
      <c r="N455" s="163"/>
      <c r="O455" s="163"/>
      <c r="P455" s="163"/>
      <c r="Q455" s="163"/>
      <c r="R455" s="163"/>
      <c r="S455" s="163"/>
      <c r="T455" s="163"/>
      <c r="U455" s="163"/>
      <c r="V455" s="163"/>
      <c r="W455" s="163"/>
      <c r="X455" s="163"/>
      <c r="Y455" s="163"/>
      <c r="Z455" s="163"/>
    </row>
    <row r="456" ht="14.25" customHeight="1">
      <c r="A456" s="194"/>
      <c r="B456" s="178" t="s">
        <v>0</v>
      </c>
      <c r="C456" s="193" t="s">
        <v>3394</v>
      </c>
      <c r="D456" s="178" t="s">
        <v>2482</v>
      </c>
      <c r="E456" s="178" t="s">
        <v>3395</v>
      </c>
      <c r="F456" s="178" t="s">
        <v>3396</v>
      </c>
      <c r="G456" s="178" t="s">
        <v>3397</v>
      </c>
      <c r="H456" s="178" t="s">
        <v>36</v>
      </c>
      <c r="I456" s="187"/>
      <c r="J456" s="175" t="s">
        <v>1784</v>
      </c>
      <c r="K456" s="163"/>
      <c r="L456" s="163"/>
      <c r="M456" s="163"/>
      <c r="N456" s="163"/>
      <c r="O456" s="163"/>
      <c r="P456" s="163"/>
      <c r="Q456" s="163"/>
      <c r="R456" s="163"/>
      <c r="S456" s="163"/>
      <c r="T456" s="163"/>
      <c r="U456" s="163"/>
      <c r="V456" s="163"/>
      <c r="W456" s="163"/>
      <c r="X456" s="163"/>
      <c r="Y456" s="163"/>
      <c r="Z456" s="163"/>
    </row>
    <row r="457" ht="14.25" customHeight="1">
      <c r="A457" s="195"/>
      <c r="B457" s="178" t="s">
        <v>0</v>
      </c>
      <c r="C457" s="193" t="s">
        <v>3398</v>
      </c>
      <c r="D457" s="178" t="s">
        <v>2482</v>
      </c>
      <c r="E457" s="193" t="s">
        <v>3399</v>
      </c>
      <c r="F457" s="193" t="s">
        <v>3400</v>
      </c>
      <c r="G457" s="193" t="s">
        <v>3401</v>
      </c>
      <c r="H457" s="178" t="s">
        <v>36</v>
      </c>
      <c r="I457" s="196"/>
      <c r="J457" s="175" t="s">
        <v>1784</v>
      </c>
      <c r="K457" s="163"/>
      <c r="L457" s="163"/>
      <c r="M457" s="163"/>
      <c r="N457" s="163"/>
      <c r="O457" s="163"/>
      <c r="P457" s="163"/>
      <c r="Q457" s="163"/>
      <c r="R457" s="163"/>
      <c r="S457" s="163"/>
      <c r="T457" s="163"/>
      <c r="U457" s="163"/>
      <c r="V457" s="163"/>
      <c r="W457" s="163"/>
      <c r="X457" s="163"/>
      <c r="Y457" s="163"/>
      <c r="Z457" s="163"/>
    </row>
    <row r="458" ht="14.25" customHeight="1">
      <c r="A458" s="194"/>
      <c r="B458" s="178" t="s">
        <v>0</v>
      </c>
      <c r="C458" s="193" t="s">
        <v>3402</v>
      </c>
      <c r="D458" s="178" t="s">
        <v>2482</v>
      </c>
      <c r="E458" s="178" t="s">
        <v>3403</v>
      </c>
      <c r="F458" s="178" t="s">
        <v>3404</v>
      </c>
      <c r="G458" s="178" t="s">
        <v>3405</v>
      </c>
      <c r="H458" s="178" t="s">
        <v>36</v>
      </c>
      <c r="I458" s="187"/>
      <c r="J458" s="175" t="s">
        <v>1784</v>
      </c>
      <c r="K458" s="163"/>
      <c r="L458" s="163"/>
      <c r="M458" s="163"/>
      <c r="N458" s="163"/>
      <c r="O458" s="163"/>
      <c r="P458" s="163"/>
      <c r="Q458" s="163"/>
      <c r="R458" s="163"/>
      <c r="S458" s="163"/>
      <c r="T458" s="163"/>
      <c r="U458" s="163"/>
      <c r="V458" s="163"/>
      <c r="W458" s="163"/>
      <c r="X458" s="163"/>
      <c r="Y458" s="163"/>
      <c r="Z458" s="163"/>
    </row>
    <row r="459" ht="14.25" customHeight="1">
      <c r="A459" s="194"/>
      <c r="B459" s="178" t="s">
        <v>0</v>
      </c>
      <c r="C459" s="193" t="s">
        <v>3406</v>
      </c>
      <c r="D459" s="178" t="s">
        <v>2482</v>
      </c>
      <c r="E459" s="178" t="s">
        <v>3407</v>
      </c>
      <c r="F459" s="178" t="s">
        <v>3408</v>
      </c>
      <c r="G459" s="178" t="s">
        <v>3409</v>
      </c>
      <c r="H459" s="178" t="s">
        <v>36</v>
      </c>
      <c r="I459" s="187"/>
      <c r="J459" s="175" t="s">
        <v>1784</v>
      </c>
      <c r="K459" s="163"/>
      <c r="L459" s="163"/>
      <c r="M459" s="163"/>
      <c r="N459" s="163"/>
      <c r="O459" s="163"/>
      <c r="P459" s="163"/>
      <c r="Q459" s="163"/>
      <c r="R459" s="163"/>
      <c r="S459" s="163"/>
      <c r="T459" s="163"/>
      <c r="U459" s="163"/>
      <c r="V459" s="163"/>
      <c r="W459" s="163"/>
      <c r="X459" s="163"/>
      <c r="Y459" s="163"/>
      <c r="Z459" s="163"/>
    </row>
    <row r="460" ht="14.25" customHeight="1">
      <c r="A460" s="194"/>
      <c r="B460" s="178" t="s">
        <v>0</v>
      </c>
      <c r="C460" s="193" t="s">
        <v>3410</v>
      </c>
      <c r="D460" s="178" t="s">
        <v>2482</v>
      </c>
      <c r="E460" s="178" t="s">
        <v>3411</v>
      </c>
      <c r="F460" s="178" t="s">
        <v>3412</v>
      </c>
      <c r="G460" s="178" t="s">
        <v>3413</v>
      </c>
      <c r="H460" s="178" t="s">
        <v>36</v>
      </c>
      <c r="I460" s="187"/>
      <c r="J460" s="175" t="s">
        <v>1784</v>
      </c>
      <c r="K460" s="163"/>
      <c r="L460" s="163"/>
      <c r="M460" s="163"/>
      <c r="N460" s="163"/>
      <c r="O460" s="163"/>
      <c r="P460" s="163"/>
      <c r="Q460" s="163"/>
      <c r="R460" s="163"/>
      <c r="S460" s="163"/>
      <c r="T460" s="163"/>
      <c r="U460" s="163"/>
      <c r="V460" s="163"/>
      <c r="W460" s="163"/>
      <c r="X460" s="163"/>
      <c r="Y460" s="163"/>
      <c r="Z460" s="163"/>
    </row>
    <row r="461" ht="14.25" customHeight="1">
      <c r="A461" s="194"/>
      <c r="B461" s="178" t="s">
        <v>0</v>
      </c>
      <c r="C461" s="193" t="s">
        <v>3414</v>
      </c>
      <c r="D461" s="178" t="s">
        <v>2482</v>
      </c>
      <c r="E461" s="178" t="s">
        <v>3281</v>
      </c>
      <c r="F461" s="178" t="s">
        <v>3282</v>
      </c>
      <c r="G461" s="178" t="s">
        <v>3283</v>
      </c>
      <c r="H461" s="178" t="s">
        <v>36</v>
      </c>
      <c r="I461" s="187"/>
      <c r="J461" s="175" t="s">
        <v>1784</v>
      </c>
      <c r="K461" s="163"/>
      <c r="L461" s="163"/>
      <c r="M461" s="163"/>
      <c r="N461" s="163"/>
      <c r="O461" s="163"/>
      <c r="P461" s="163"/>
      <c r="Q461" s="163"/>
      <c r="R461" s="163"/>
      <c r="S461" s="163"/>
      <c r="T461" s="163"/>
      <c r="U461" s="163"/>
      <c r="V461" s="163"/>
      <c r="W461" s="163"/>
      <c r="X461" s="163"/>
      <c r="Y461" s="163"/>
      <c r="Z461" s="163"/>
    </row>
    <row r="462" ht="14.25" customHeight="1">
      <c r="A462" s="194"/>
      <c r="B462" s="178" t="s">
        <v>0</v>
      </c>
      <c r="C462" s="193" t="s">
        <v>3415</v>
      </c>
      <c r="D462" s="178" t="s">
        <v>2983</v>
      </c>
      <c r="E462" s="178" t="s">
        <v>3285</v>
      </c>
      <c r="F462" s="178" t="s">
        <v>3286</v>
      </c>
      <c r="G462" s="178" t="s">
        <v>3287</v>
      </c>
      <c r="H462" s="178" t="s">
        <v>36</v>
      </c>
      <c r="I462" s="187"/>
      <c r="J462" s="175" t="s">
        <v>1784</v>
      </c>
      <c r="K462" s="163"/>
      <c r="L462" s="163"/>
      <c r="M462" s="163"/>
      <c r="N462" s="163"/>
      <c r="O462" s="163"/>
      <c r="P462" s="163"/>
      <c r="Q462" s="163"/>
      <c r="R462" s="163"/>
      <c r="S462" s="163"/>
      <c r="T462" s="163"/>
      <c r="U462" s="163"/>
      <c r="V462" s="163"/>
      <c r="W462" s="163"/>
      <c r="X462" s="163"/>
      <c r="Y462" s="163"/>
      <c r="Z462" s="163"/>
    </row>
    <row r="463" ht="14.25" customHeight="1">
      <c r="A463" s="194"/>
      <c r="B463" s="178" t="s">
        <v>0</v>
      </c>
      <c r="C463" s="193" t="s">
        <v>3416</v>
      </c>
      <c r="D463" s="178" t="s">
        <v>2983</v>
      </c>
      <c r="E463" s="178" t="s">
        <v>3289</v>
      </c>
      <c r="F463" s="178" t="s">
        <v>3290</v>
      </c>
      <c r="G463" s="178" t="s">
        <v>3291</v>
      </c>
      <c r="H463" s="178" t="s">
        <v>36</v>
      </c>
      <c r="I463" s="187"/>
      <c r="J463" s="175" t="s">
        <v>1784</v>
      </c>
      <c r="K463" s="163"/>
      <c r="L463" s="163"/>
      <c r="M463" s="163"/>
      <c r="N463" s="163"/>
      <c r="O463" s="163"/>
      <c r="P463" s="163"/>
      <c r="Q463" s="163"/>
      <c r="R463" s="163"/>
      <c r="S463" s="163"/>
      <c r="T463" s="163"/>
      <c r="U463" s="163"/>
      <c r="V463" s="163"/>
      <c r="W463" s="163"/>
      <c r="X463" s="163"/>
      <c r="Y463" s="163"/>
      <c r="Z463" s="163"/>
    </row>
    <row r="464" ht="14.25" customHeight="1">
      <c r="A464" s="194"/>
      <c r="B464" s="178" t="s">
        <v>0</v>
      </c>
      <c r="C464" s="193" t="s">
        <v>3417</v>
      </c>
      <c r="D464" s="178" t="s">
        <v>2983</v>
      </c>
      <c r="E464" s="178" t="s">
        <v>3305</v>
      </c>
      <c r="F464" s="178" t="s">
        <v>3306</v>
      </c>
      <c r="G464" s="178" t="s">
        <v>3418</v>
      </c>
      <c r="H464" s="178" t="s">
        <v>36</v>
      </c>
      <c r="I464" s="187"/>
      <c r="J464" s="175" t="s">
        <v>1784</v>
      </c>
      <c r="K464" s="163"/>
      <c r="L464" s="163"/>
      <c r="M464" s="163"/>
      <c r="N464" s="163"/>
      <c r="O464" s="163"/>
      <c r="P464" s="163"/>
      <c r="Q464" s="163"/>
      <c r="R464" s="163"/>
      <c r="S464" s="163"/>
      <c r="T464" s="163"/>
      <c r="U464" s="163"/>
      <c r="V464" s="163"/>
      <c r="W464" s="163"/>
      <c r="X464" s="163"/>
      <c r="Y464" s="163"/>
      <c r="Z464" s="163"/>
    </row>
    <row r="465" ht="14.25" customHeight="1">
      <c r="A465" s="194"/>
      <c r="B465" s="178" t="s">
        <v>0</v>
      </c>
      <c r="C465" s="193" t="s">
        <v>3419</v>
      </c>
      <c r="D465" s="178" t="s">
        <v>2482</v>
      </c>
      <c r="E465" s="178" t="s">
        <v>3420</v>
      </c>
      <c r="F465" s="178" t="s">
        <v>3421</v>
      </c>
      <c r="G465" s="178" t="s">
        <v>3405</v>
      </c>
      <c r="H465" s="178" t="s">
        <v>36</v>
      </c>
      <c r="I465" s="187"/>
      <c r="J465" s="175" t="s">
        <v>1784</v>
      </c>
      <c r="K465" s="163"/>
      <c r="L465" s="163"/>
      <c r="M465" s="163"/>
      <c r="N465" s="163"/>
      <c r="O465" s="163"/>
      <c r="P465" s="163"/>
      <c r="Q465" s="163"/>
      <c r="R465" s="163"/>
      <c r="S465" s="163"/>
      <c r="T465" s="163"/>
      <c r="U465" s="163"/>
      <c r="V465" s="163"/>
      <c r="W465" s="163"/>
      <c r="X465" s="163"/>
      <c r="Y465" s="163"/>
      <c r="Z465" s="163"/>
    </row>
    <row r="466" ht="14.25" customHeight="1">
      <c r="A466" s="194"/>
      <c r="B466" s="178" t="s">
        <v>0</v>
      </c>
      <c r="C466" s="193" t="s">
        <v>3422</v>
      </c>
      <c r="D466" s="178" t="s">
        <v>2482</v>
      </c>
      <c r="E466" s="178" t="s">
        <v>3423</v>
      </c>
      <c r="F466" s="178" t="s">
        <v>3424</v>
      </c>
      <c r="G466" s="178" t="s">
        <v>3425</v>
      </c>
      <c r="H466" s="178" t="s">
        <v>36</v>
      </c>
      <c r="I466" s="187"/>
      <c r="J466" s="175" t="s">
        <v>1784</v>
      </c>
      <c r="K466" s="163"/>
      <c r="L466" s="163"/>
      <c r="M466" s="163"/>
      <c r="N466" s="163"/>
      <c r="O466" s="163"/>
      <c r="P466" s="163"/>
      <c r="Q466" s="163"/>
      <c r="R466" s="163"/>
      <c r="S466" s="163"/>
      <c r="T466" s="163"/>
      <c r="U466" s="163"/>
      <c r="V466" s="163"/>
      <c r="W466" s="163"/>
      <c r="X466" s="163"/>
      <c r="Y466" s="163"/>
      <c r="Z466" s="163"/>
    </row>
    <row r="467" ht="14.25" customHeight="1">
      <c r="A467" s="194"/>
      <c r="B467" s="178" t="s">
        <v>0</v>
      </c>
      <c r="C467" s="193" t="s">
        <v>3426</v>
      </c>
      <c r="D467" s="178" t="s">
        <v>2482</v>
      </c>
      <c r="E467" s="178" t="s">
        <v>3427</v>
      </c>
      <c r="F467" s="178" t="s">
        <v>3428</v>
      </c>
      <c r="G467" s="178" t="s">
        <v>3429</v>
      </c>
      <c r="H467" s="178" t="s">
        <v>36</v>
      </c>
      <c r="I467" s="187"/>
      <c r="J467" s="175" t="s">
        <v>1784</v>
      </c>
      <c r="K467" s="163"/>
      <c r="L467" s="163"/>
      <c r="M467" s="163"/>
      <c r="N467" s="163"/>
      <c r="O467" s="163"/>
      <c r="P467" s="163"/>
      <c r="Q467" s="163"/>
      <c r="R467" s="163"/>
      <c r="S467" s="163"/>
      <c r="T467" s="163"/>
      <c r="U467" s="163"/>
      <c r="V467" s="163"/>
      <c r="W467" s="163"/>
      <c r="X467" s="163"/>
      <c r="Y467" s="163"/>
      <c r="Z467" s="163"/>
    </row>
    <row r="468" ht="14.25" customHeight="1">
      <c r="A468" s="194"/>
      <c r="B468" s="178" t="s">
        <v>0</v>
      </c>
      <c r="C468" s="193" t="s">
        <v>3430</v>
      </c>
      <c r="D468" s="178" t="s">
        <v>2482</v>
      </c>
      <c r="E468" s="178" t="s">
        <v>3431</v>
      </c>
      <c r="F468" s="178" t="s">
        <v>3432</v>
      </c>
      <c r="G468" s="178" t="s">
        <v>3433</v>
      </c>
      <c r="H468" s="178" t="s">
        <v>36</v>
      </c>
      <c r="I468" s="187"/>
      <c r="J468" s="175" t="s">
        <v>1784</v>
      </c>
      <c r="K468" s="163"/>
      <c r="L468" s="163"/>
      <c r="M468" s="163"/>
      <c r="N468" s="163"/>
      <c r="O468" s="163"/>
      <c r="P468" s="163"/>
      <c r="Q468" s="163"/>
      <c r="R468" s="163"/>
      <c r="S468" s="163"/>
      <c r="T468" s="163"/>
      <c r="U468" s="163"/>
      <c r="V468" s="163"/>
      <c r="W468" s="163"/>
      <c r="X468" s="163"/>
      <c r="Y468" s="163"/>
      <c r="Z468" s="163"/>
    </row>
    <row r="469" ht="14.25" customHeight="1">
      <c r="A469" s="194"/>
      <c r="B469" s="178" t="s">
        <v>0</v>
      </c>
      <c r="C469" s="193" t="s">
        <v>3434</v>
      </c>
      <c r="D469" s="178" t="s">
        <v>2482</v>
      </c>
      <c r="E469" s="178" t="s">
        <v>3435</v>
      </c>
      <c r="F469" s="178" t="s">
        <v>3436</v>
      </c>
      <c r="G469" s="178" t="s">
        <v>3437</v>
      </c>
      <c r="H469" s="178" t="s">
        <v>36</v>
      </c>
      <c r="I469" s="187"/>
      <c r="J469" s="175" t="s">
        <v>1784</v>
      </c>
      <c r="K469" s="163"/>
      <c r="L469" s="163"/>
      <c r="M469" s="163"/>
      <c r="N469" s="163"/>
      <c r="O469" s="163"/>
      <c r="P469" s="163"/>
      <c r="Q469" s="163"/>
      <c r="R469" s="163"/>
      <c r="S469" s="163"/>
      <c r="T469" s="163"/>
      <c r="U469" s="163"/>
      <c r="V469" s="163"/>
      <c r="W469" s="163"/>
      <c r="X469" s="163"/>
      <c r="Y469" s="163"/>
      <c r="Z469" s="163"/>
    </row>
    <row r="470" ht="14.25" customHeight="1">
      <c r="A470" s="194"/>
      <c r="B470" s="178" t="s">
        <v>0</v>
      </c>
      <c r="C470" s="193" t="s">
        <v>3438</v>
      </c>
      <c r="D470" s="178" t="s">
        <v>2482</v>
      </c>
      <c r="E470" s="178" t="s">
        <v>3439</v>
      </c>
      <c r="F470" s="178" t="s">
        <v>3440</v>
      </c>
      <c r="G470" s="178" t="s">
        <v>3441</v>
      </c>
      <c r="H470" s="178" t="s">
        <v>36</v>
      </c>
      <c r="I470" s="187"/>
      <c r="J470" s="175" t="s">
        <v>1784</v>
      </c>
      <c r="K470" s="163"/>
      <c r="L470" s="163"/>
      <c r="M470" s="163"/>
      <c r="N470" s="163"/>
      <c r="O470" s="163"/>
      <c r="P470" s="163"/>
      <c r="Q470" s="163"/>
      <c r="R470" s="163"/>
      <c r="S470" s="163"/>
      <c r="T470" s="163"/>
      <c r="U470" s="163"/>
      <c r="V470" s="163"/>
      <c r="W470" s="163"/>
      <c r="X470" s="163"/>
      <c r="Y470" s="163"/>
      <c r="Z470" s="163"/>
    </row>
    <row r="471" ht="14.25" customHeight="1">
      <c r="A471" s="194"/>
      <c r="B471" s="178" t="s">
        <v>0</v>
      </c>
      <c r="C471" s="193" t="s">
        <v>3442</v>
      </c>
      <c r="D471" s="178" t="s">
        <v>2482</v>
      </c>
      <c r="E471" s="178" t="s">
        <v>3443</v>
      </c>
      <c r="F471" s="178" t="s">
        <v>3440</v>
      </c>
      <c r="G471" s="178" t="s">
        <v>3444</v>
      </c>
      <c r="H471" s="178" t="s">
        <v>36</v>
      </c>
      <c r="I471" s="187"/>
      <c r="J471" s="175" t="s">
        <v>1784</v>
      </c>
      <c r="K471" s="163"/>
      <c r="L471" s="163"/>
      <c r="M471" s="163"/>
      <c r="N471" s="163"/>
      <c r="O471" s="163"/>
      <c r="P471" s="163"/>
      <c r="Q471" s="163"/>
      <c r="R471" s="163"/>
      <c r="S471" s="163"/>
      <c r="T471" s="163"/>
      <c r="U471" s="163"/>
      <c r="V471" s="163"/>
      <c r="W471" s="163"/>
      <c r="X471" s="163"/>
      <c r="Y471" s="163"/>
      <c r="Z471" s="163"/>
    </row>
    <row r="472" ht="14.25" customHeight="1">
      <c r="A472" s="194"/>
      <c r="B472" s="178" t="s">
        <v>0</v>
      </c>
      <c r="C472" s="193" t="s">
        <v>3445</v>
      </c>
      <c r="D472" s="178" t="s">
        <v>2482</v>
      </c>
      <c r="E472" s="178" t="s">
        <v>3446</v>
      </c>
      <c r="F472" s="178" t="s">
        <v>3440</v>
      </c>
      <c r="G472" s="178" t="s">
        <v>3447</v>
      </c>
      <c r="H472" s="178" t="s">
        <v>36</v>
      </c>
      <c r="I472" s="187"/>
      <c r="J472" s="175" t="s">
        <v>1784</v>
      </c>
      <c r="K472" s="163"/>
      <c r="L472" s="163"/>
      <c r="M472" s="163"/>
      <c r="N472" s="163"/>
      <c r="O472" s="163"/>
      <c r="P472" s="163"/>
      <c r="Q472" s="163"/>
      <c r="R472" s="163"/>
      <c r="S472" s="163"/>
      <c r="T472" s="163"/>
      <c r="U472" s="163"/>
      <c r="V472" s="163"/>
      <c r="W472" s="163"/>
      <c r="X472" s="163"/>
      <c r="Y472" s="163"/>
      <c r="Z472" s="163"/>
    </row>
    <row r="473" ht="14.25" customHeight="1">
      <c r="A473" s="194"/>
      <c r="B473" s="178" t="s">
        <v>0</v>
      </c>
      <c r="C473" s="193" t="s">
        <v>3448</v>
      </c>
      <c r="D473" s="178" t="s">
        <v>2482</v>
      </c>
      <c r="E473" s="178" t="s">
        <v>3449</v>
      </c>
      <c r="F473" s="178" t="s">
        <v>3440</v>
      </c>
      <c r="G473" s="178" t="s">
        <v>3450</v>
      </c>
      <c r="H473" s="178" t="s">
        <v>36</v>
      </c>
      <c r="I473" s="187"/>
      <c r="J473" s="175" t="s">
        <v>1784</v>
      </c>
      <c r="K473" s="163"/>
      <c r="L473" s="163"/>
      <c r="M473" s="163"/>
      <c r="N473" s="163"/>
      <c r="O473" s="163"/>
      <c r="P473" s="163"/>
      <c r="Q473" s="163"/>
      <c r="R473" s="163"/>
      <c r="S473" s="163"/>
      <c r="T473" s="163"/>
      <c r="U473" s="163"/>
      <c r="V473" s="163"/>
      <c r="W473" s="163"/>
      <c r="X473" s="163"/>
      <c r="Y473" s="163"/>
      <c r="Z473" s="163"/>
    </row>
    <row r="474" ht="14.25" customHeight="1">
      <c r="A474" s="194"/>
      <c r="B474" s="178" t="s">
        <v>0</v>
      </c>
      <c r="C474" s="193" t="s">
        <v>3451</v>
      </c>
      <c r="D474" s="178" t="s">
        <v>2482</v>
      </c>
      <c r="E474" s="178" t="s">
        <v>3452</v>
      </c>
      <c r="F474" s="178" t="s">
        <v>3440</v>
      </c>
      <c r="G474" s="178" t="s">
        <v>3453</v>
      </c>
      <c r="H474" s="178" t="s">
        <v>36</v>
      </c>
      <c r="I474" s="187"/>
      <c r="J474" s="175" t="s">
        <v>1784</v>
      </c>
      <c r="K474" s="163"/>
      <c r="L474" s="163"/>
      <c r="M474" s="163"/>
      <c r="N474" s="163"/>
      <c r="O474" s="163"/>
      <c r="P474" s="163"/>
      <c r="Q474" s="163"/>
      <c r="R474" s="163"/>
      <c r="S474" s="163"/>
      <c r="T474" s="163"/>
      <c r="U474" s="163"/>
      <c r="V474" s="163"/>
      <c r="W474" s="163"/>
      <c r="X474" s="163"/>
      <c r="Y474" s="163"/>
      <c r="Z474" s="163"/>
    </row>
    <row r="475" ht="14.25" customHeight="1">
      <c r="A475" s="194"/>
      <c r="B475" s="178" t="s">
        <v>0</v>
      </c>
      <c r="C475" s="193" t="s">
        <v>3454</v>
      </c>
      <c r="D475" s="178" t="s">
        <v>2482</v>
      </c>
      <c r="E475" s="178" t="s">
        <v>3455</v>
      </c>
      <c r="F475" s="178" t="s">
        <v>3440</v>
      </c>
      <c r="G475" s="178" t="s">
        <v>3456</v>
      </c>
      <c r="H475" s="178" t="s">
        <v>36</v>
      </c>
      <c r="I475" s="187"/>
      <c r="J475" s="175" t="s">
        <v>1784</v>
      </c>
      <c r="K475" s="163"/>
      <c r="L475" s="163"/>
      <c r="M475" s="163"/>
      <c r="N475" s="163"/>
      <c r="O475" s="163"/>
      <c r="P475" s="163"/>
      <c r="Q475" s="163"/>
      <c r="R475" s="163"/>
      <c r="S475" s="163"/>
      <c r="T475" s="163"/>
      <c r="U475" s="163"/>
      <c r="V475" s="163"/>
      <c r="W475" s="163"/>
      <c r="X475" s="163"/>
      <c r="Y475" s="163"/>
      <c r="Z475" s="163"/>
    </row>
    <row r="476" ht="14.25" customHeight="1">
      <c r="A476" s="194"/>
      <c r="B476" s="178" t="s">
        <v>0</v>
      </c>
      <c r="C476" s="193" t="s">
        <v>3457</v>
      </c>
      <c r="D476" s="178" t="s">
        <v>2482</v>
      </c>
      <c r="E476" s="178" t="s">
        <v>3458</v>
      </c>
      <c r="F476" s="178" t="s">
        <v>3440</v>
      </c>
      <c r="G476" s="178" t="s">
        <v>3459</v>
      </c>
      <c r="H476" s="178" t="s">
        <v>36</v>
      </c>
      <c r="I476" s="187"/>
      <c r="J476" s="175" t="s">
        <v>1784</v>
      </c>
      <c r="K476" s="163"/>
      <c r="L476" s="163"/>
      <c r="M476" s="163"/>
      <c r="N476" s="163"/>
      <c r="O476" s="163"/>
      <c r="P476" s="163"/>
      <c r="Q476" s="163"/>
      <c r="R476" s="163"/>
      <c r="S476" s="163"/>
      <c r="T476" s="163"/>
      <c r="U476" s="163"/>
      <c r="V476" s="163"/>
      <c r="W476" s="163"/>
      <c r="X476" s="163"/>
      <c r="Y476" s="163"/>
      <c r="Z476" s="163"/>
    </row>
    <row r="477" ht="14.25" customHeight="1">
      <c r="A477" s="194"/>
      <c r="B477" s="178" t="s">
        <v>0</v>
      </c>
      <c r="C477" s="193" t="s">
        <v>3460</v>
      </c>
      <c r="D477" s="178" t="s">
        <v>2482</v>
      </c>
      <c r="E477" s="178" t="s">
        <v>3461</v>
      </c>
      <c r="F477" s="178" t="s">
        <v>3462</v>
      </c>
      <c r="G477" s="178" t="s">
        <v>3463</v>
      </c>
      <c r="H477" s="178" t="s">
        <v>36</v>
      </c>
      <c r="I477" s="187"/>
      <c r="J477" s="175" t="s">
        <v>1784</v>
      </c>
      <c r="K477" s="163"/>
      <c r="L477" s="163"/>
      <c r="M477" s="163"/>
      <c r="N477" s="163"/>
      <c r="O477" s="163"/>
      <c r="P477" s="163"/>
      <c r="Q477" s="163"/>
      <c r="R477" s="163"/>
      <c r="S477" s="163"/>
      <c r="T477" s="163"/>
      <c r="U477" s="163"/>
      <c r="V477" s="163"/>
      <c r="W477" s="163"/>
      <c r="X477" s="163"/>
      <c r="Y477" s="163"/>
      <c r="Z477" s="163"/>
    </row>
    <row r="478" ht="14.25" customHeight="1">
      <c r="A478" s="194"/>
      <c r="B478" s="178" t="s">
        <v>0</v>
      </c>
      <c r="C478" s="193" t="s">
        <v>3464</v>
      </c>
      <c r="D478" s="178" t="s">
        <v>2482</v>
      </c>
      <c r="E478" s="178" t="s">
        <v>3465</v>
      </c>
      <c r="F478" s="178" t="s">
        <v>3466</v>
      </c>
      <c r="G478" s="178" t="s">
        <v>3467</v>
      </c>
      <c r="H478" s="178" t="s">
        <v>36</v>
      </c>
      <c r="I478" s="187"/>
      <c r="J478" s="175" t="s">
        <v>1784</v>
      </c>
      <c r="K478" s="163"/>
      <c r="L478" s="163"/>
      <c r="M478" s="163"/>
      <c r="N478" s="163"/>
      <c r="O478" s="163"/>
      <c r="P478" s="163"/>
      <c r="Q478" s="163"/>
      <c r="R478" s="163"/>
      <c r="S478" s="163"/>
      <c r="T478" s="163"/>
      <c r="U478" s="163"/>
      <c r="V478" s="163"/>
      <c r="W478" s="163"/>
      <c r="X478" s="163"/>
      <c r="Y478" s="163"/>
      <c r="Z478" s="163"/>
    </row>
    <row r="479" ht="14.25" customHeight="1">
      <c r="A479" s="194"/>
      <c r="B479" s="178" t="s">
        <v>0</v>
      </c>
      <c r="C479" s="193" t="s">
        <v>3468</v>
      </c>
      <c r="D479" s="178" t="s">
        <v>2482</v>
      </c>
      <c r="E479" s="178" t="s">
        <v>3469</v>
      </c>
      <c r="F479" s="178" t="s">
        <v>3470</v>
      </c>
      <c r="G479" s="178" t="s">
        <v>3471</v>
      </c>
      <c r="H479" s="178" t="s">
        <v>36</v>
      </c>
      <c r="I479" s="187"/>
      <c r="J479" s="175" t="s">
        <v>1784</v>
      </c>
      <c r="K479" s="163"/>
      <c r="L479" s="163"/>
      <c r="M479" s="163"/>
      <c r="N479" s="163"/>
      <c r="O479" s="163"/>
      <c r="P479" s="163"/>
      <c r="Q479" s="163"/>
      <c r="R479" s="163"/>
      <c r="S479" s="163"/>
      <c r="T479" s="163"/>
      <c r="U479" s="163"/>
      <c r="V479" s="163"/>
      <c r="W479" s="163"/>
      <c r="X479" s="163"/>
      <c r="Y479" s="163"/>
      <c r="Z479" s="163"/>
    </row>
    <row r="480" ht="14.25" customHeight="1">
      <c r="A480" s="194"/>
      <c r="B480" s="178" t="s">
        <v>0</v>
      </c>
      <c r="C480" s="193" t="s">
        <v>3472</v>
      </c>
      <c r="D480" s="178" t="s">
        <v>2482</v>
      </c>
      <c r="E480" s="178" t="s">
        <v>3473</v>
      </c>
      <c r="F480" s="178" t="s">
        <v>3474</v>
      </c>
      <c r="G480" s="178" t="s">
        <v>3475</v>
      </c>
      <c r="H480" s="178" t="s">
        <v>36</v>
      </c>
      <c r="I480" s="187"/>
      <c r="J480" s="175" t="s">
        <v>1784</v>
      </c>
      <c r="K480" s="163"/>
      <c r="L480" s="163"/>
      <c r="M480" s="163"/>
      <c r="N480" s="163"/>
      <c r="O480" s="163"/>
      <c r="P480" s="163"/>
      <c r="Q480" s="163"/>
      <c r="R480" s="163"/>
      <c r="S480" s="163"/>
      <c r="T480" s="163"/>
      <c r="U480" s="163"/>
      <c r="V480" s="163"/>
      <c r="W480" s="163"/>
      <c r="X480" s="163"/>
      <c r="Y480" s="163"/>
      <c r="Z480" s="163"/>
    </row>
    <row r="481" ht="14.25" customHeight="1">
      <c r="A481" s="194"/>
      <c r="B481" s="178" t="s">
        <v>0</v>
      </c>
      <c r="C481" s="193" t="s">
        <v>3476</v>
      </c>
      <c r="D481" s="178" t="s">
        <v>2482</v>
      </c>
      <c r="E481" s="178" t="s">
        <v>3477</v>
      </c>
      <c r="F481" s="178" t="s">
        <v>3478</v>
      </c>
      <c r="G481" s="178" t="s">
        <v>3479</v>
      </c>
      <c r="H481" s="178" t="s">
        <v>36</v>
      </c>
      <c r="I481" s="187"/>
      <c r="J481" s="175" t="s">
        <v>1784</v>
      </c>
      <c r="K481" s="163"/>
      <c r="L481" s="163"/>
      <c r="M481" s="163"/>
      <c r="N481" s="163"/>
      <c r="O481" s="163"/>
      <c r="P481" s="163"/>
      <c r="Q481" s="163"/>
      <c r="R481" s="163"/>
      <c r="S481" s="163"/>
      <c r="T481" s="163"/>
      <c r="U481" s="163"/>
      <c r="V481" s="163"/>
      <c r="W481" s="163"/>
      <c r="X481" s="163"/>
      <c r="Y481" s="163"/>
      <c r="Z481" s="163"/>
    </row>
    <row r="482" ht="14.25" customHeight="1">
      <c r="A482" s="194"/>
      <c r="B482" s="178" t="s">
        <v>0</v>
      </c>
      <c r="C482" s="193" t="s">
        <v>3480</v>
      </c>
      <c r="D482" s="178" t="s">
        <v>2482</v>
      </c>
      <c r="E482" s="178" t="s">
        <v>3481</v>
      </c>
      <c r="F482" s="178" t="s">
        <v>3482</v>
      </c>
      <c r="G482" s="178" t="s">
        <v>3483</v>
      </c>
      <c r="H482" s="178" t="s">
        <v>36</v>
      </c>
      <c r="I482" s="187"/>
      <c r="J482" s="175" t="s">
        <v>1784</v>
      </c>
      <c r="K482" s="163"/>
      <c r="L482" s="163"/>
      <c r="M482" s="163"/>
      <c r="N482" s="163"/>
      <c r="O482" s="163"/>
      <c r="P482" s="163"/>
      <c r="Q482" s="163"/>
      <c r="R482" s="163"/>
      <c r="S482" s="163"/>
      <c r="T482" s="163"/>
      <c r="U482" s="163"/>
      <c r="V482" s="163"/>
      <c r="W482" s="163"/>
      <c r="X482" s="163"/>
      <c r="Y482" s="163"/>
      <c r="Z482" s="163"/>
    </row>
    <row r="483" ht="14.25" customHeight="1">
      <c r="A483" s="194"/>
      <c r="B483" s="178" t="s">
        <v>0</v>
      </c>
      <c r="C483" s="193" t="s">
        <v>3484</v>
      </c>
      <c r="D483" s="178" t="s">
        <v>2482</v>
      </c>
      <c r="E483" s="178" t="s">
        <v>3485</v>
      </c>
      <c r="F483" s="178" t="s">
        <v>3486</v>
      </c>
      <c r="G483" s="178" t="s">
        <v>3487</v>
      </c>
      <c r="H483" s="178" t="s">
        <v>36</v>
      </c>
      <c r="I483" s="187"/>
      <c r="J483" s="175" t="s">
        <v>1784</v>
      </c>
      <c r="K483" s="163"/>
      <c r="L483" s="163"/>
      <c r="M483" s="163"/>
      <c r="N483" s="163"/>
      <c r="O483" s="163"/>
      <c r="P483" s="163"/>
      <c r="Q483" s="163"/>
      <c r="R483" s="163"/>
      <c r="S483" s="163"/>
      <c r="T483" s="163"/>
      <c r="U483" s="163"/>
      <c r="V483" s="163"/>
      <c r="W483" s="163"/>
      <c r="X483" s="163"/>
      <c r="Y483" s="163"/>
      <c r="Z483" s="163"/>
    </row>
    <row r="484" ht="14.25" customHeight="1">
      <c r="A484" s="194"/>
      <c r="B484" s="178" t="s">
        <v>0</v>
      </c>
      <c r="C484" s="193" t="s">
        <v>3488</v>
      </c>
      <c r="D484" s="178" t="s">
        <v>2482</v>
      </c>
      <c r="E484" s="178" t="s">
        <v>3489</v>
      </c>
      <c r="F484" s="178" t="s">
        <v>3490</v>
      </c>
      <c r="G484" s="178" t="s">
        <v>3491</v>
      </c>
      <c r="H484" s="178" t="s">
        <v>36</v>
      </c>
      <c r="I484" s="187"/>
      <c r="J484" s="175" t="s">
        <v>1784</v>
      </c>
      <c r="K484" s="163"/>
      <c r="L484" s="163"/>
      <c r="M484" s="163"/>
      <c r="N484" s="163"/>
      <c r="O484" s="163"/>
      <c r="P484" s="163"/>
      <c r="Q484" s="163"/>
      <c r="R484" s="163"/>
      <c r="S484" s="163"/>
      <c r="T484" s="163"/>
      <c r="U484" s="163"/>
      <c r="V484" s="163"/>
      <c r="W484" s="163"/>
      <c r="X484" s="163"/>
      <c r="Y484" s="163"/>
      <c r="Z484" s="163"/>
    </row>
    <row r="485" ht="14.25" customHeight="1">
      <c r="A485" s="194"/>
      <c r="B485" s="178" t="s">
        <v>0</v>
      </c>
      <c r="C485" s="193" t="s">
        <v>3492</v>
      </c>
      <c r="D485" s="178" t="s">
        <v>2482</v>
      </c>
      <c r="E485" s="178" t="s">
        <v>3493</v>
      </c>
      <c r="F485" s="178" t="s">
        <v>3494</v>
      </c>
      <c r="G485" s="178" t="s">
        <v>3495</v>
      </c>
      <c r="H485" s="178" t="s">
        <v>36</v>
      </c>
      <c r="I485" s="187"/>
      <c r="J485" s="175" t="s">
        <v>1784</v>
      </c>
      <c r="K485" s="163"/>
      <c r="L485" s="163"/>
      <c r="M485" s="163"/>
      <c r="N485" s="163"/>
      <c r="O485" s="163"/>
      <c r="P485" s="163"/>
      <c r="Q485" s="163"/>
      <c r="R485" s="163"/>
      <c r="S485" s="163"/>
      <c r="T485" s="163"/>
      <c r="U485" s="163"/>
      <c r="V485" s="163"/>
      <c r="W485" s="163"/>
      <c r="X485" s="163"/>
      <c r="Y485" s="163"/>
      <c r="Z485" s="163"/>
    </row>
    <row r="486" ht="14.25" customHeight="1">
      <c r="A486" s="194"/>
      <c r="B486" s="178" t="s">
        <v>0</v>
      </c>
      <c r="C486" s="193" t="s">
        <v>3496</v>
      </c>
      <c r="D486" s="178" t="s">
        <v>2482</v>
      </c>
      <c r="E486" s="178" t="s">
        <v>3497</v>
      </c>
      <c r="F486" s="178" t="s">
        <v>3498</v>
      </c>
      <c r="G486" s="178" t="s">
        <v>3499</v>
      </c>
      <c r="H486" s="178" t="s">
        <v>36</v>
      </c>
      <c r="I486" s="187"/>
      <c r="J486" s="175" t="s">
        <v>1784</v>
      </c>
      <c r="K486" s="163"/>
      <c r="L486" s="163"/>
      <c r="M486" s="163"/>
      <c r="N486" s="163"/>
      <c r="O486" s="163"/>
      <c r="P486" s="163"/>
      <c r="Q486" s="163"/>
      <c r="R486" s="163"/>
      <c r="S486" s="163"/>
      <c r="T486" s="163"/>
      <c r="U486" s="163"/>
      <c r="V486" s="163"/>
      <c r="W486" s="163"/>
      <c r="X486" s="163"/>
      <c r="Y486" s="163"/>
      <c r="Z486" s="163"/>
    </row>
    <row r="487" ht="14.25" customHeight="1">
      <c r="A487" s="195"/>
      <c r="B487" s="193" t="s">
        <v>0</v>
      </c>
      <c r="C487" s="193" t="s">
        <v>3500</v>
      </c>
      <c r="D487" s="193" t="s">
        <v>2482</v>
      </c>
      <c r="E487" s="193" t="s">
        <v>3501</v>
      </c>
      <c r="F487" s="193" t="s">
        <v>3502</v>
      </c>
      <c r="G487" s="193" t="s">
        <v>3503</v>
      </c>
      <c r="H487" s="178" t="s">
        <v>36</v>
      </c>
      <c r="I487" s="196"/>
      <c r="J487" s="175" t="s">
        <v>1784</v>
      </c>
      <c r="K487" s="163"/>
      <c r="L487" s="163"/>
      <c r="M487" s="163"/>
      <c r="N487" s="163"/>
      <c r="O487" s="163"/>
      <c r="P487" s="163"/>
      <c r="Q487" s="163"/>
      <c r="R487" s="163"/>
      <c r="S487" s="163"/>
      <c r="T487" s="163"/>
      <c r="U487" s="163"/>
      <c r="V487" s="163"/>
      <c r="W487" s="163"/>
      <c r="X487" s="163"/>
      <c r="Y487" s="163"/>
      <c r="Z487" s="163"/>
    </row>
    <row r="488" ht="14.25" customHeight="1">
      <c r="A488" s="194"/>
      <c r="B488" s="178" t="s">
        <v>0</v>
      </c>
      <c r="C488" s="193" t="s">
        <v>3504</v>
      </c>
      <c r="D488" s="178" t="s">
        <v>2482</v>
      </c>
      <c r="E488" s="178" t="s">
        <v>3505</v>
      </c>
      <c r="F488" s="178" t="s">
        <v>3506</v>
      </c>
      <c r="G488" s="178" t="s">
        <v>3507</v>
      </c>
      <c r="H488" s="178" t="s">
        <v>317</v>
      </c>
      <c r="I488" s="187"/>
      <c r="J488" s="175" t="s">
        <v>1784</v>
      </c>
      <c r="K488" s="163"/>
      <c r="L488" s="163"/>
      <c r="M488" s="163"/>
      <c r="N488" s="163"/>
      <c r="O488" s="163"/>
      <c r="P488" s="163"/>
      <c r="Q488" s="163"/>
      <c r="R488" s="163"/>
      <c r="S488" s="163"/>
      <c r="T488" s="163"/>
      <c r="U488" s="163"/>
      <c r="V488" s="163"/>
      <c r="W488" s="163"/>
      <c r="X488" s="163"/>
      <c r="Y488" s="163"/>
      <c r="Z488" s="163"/>
    </row>
    <row r="489" ht="14.25" customHeight="1">
      <c r="A489" s="195"/>
      <c r="B489" s="193" t="s">
        <v>0</v>
      </c>
      <c r="C489" s="193" t="s">
        <v>3508</v>
      </c>
      <c r="D489" s="193" t="s">
        <v>2482</v>
      </c>
      <c r="E489" s="193" t="s">
        <v>3509</v>
      </c>
      <c r="F489" s="193" t="s">
        <v>3510</v>
      </c>
      <c r="G489" s="193" t="s">
        <v>3511</v>
      </c>
      <c r="H489" s="178" t="s">
        <v>36</v>
      </c>
      <c r="I489" s="196"/>
      <c r="J489" s="175" t="s">
        <v>1784</v>
      </c>
      <c r="K489" s="163"/>
      <c r="L489" s="163"/>
      <c r="M489" s="163"/>
      <c r="N489" s="163"/>
      <c r="O489" s="163"/>
      <c r="P489" s="163"/>
      <c r="Q489" s="163"/>
      <c r="R489" s="163"/>
      <c r="S489" s="163"/>
      <c r="T489" s="163"/>
      <c r="U489" s="163"/>
      <c r="V489" s="163"/>
      <c r="W489" s="163"/>
      <c r="X489" s="163"/>
      <c r="Y489" s="163"/>
      <c r="Z489" s="163"/>
    </row>
    <row r="490" ht="14.25" customHeight="1">
      <c r="A490" s="195"/>
      <c r="B490" s="193" t="s">
        <v>0</v>
      </c>
      <c r="C490" s="193" t="s">
        <v>3512</v>
      </c>
      <c r="D490" s="193" t="s">
        <v>2482</v>
      </c>
      <c r="E490" s="193" t="s">
        <v>3513</v>
      </c>
      <c r="F490" s="193" t="s">
        <v>3514</v>
      </c>
      <c r="G490" s="193" t="s">
        <v>3515</v>
      </c>
      <c r="H490" s="178" t="s">
        <v>36</v>
      </c>
      <c r="I490" s="196"/>
      <c r="J490" s="175" t="s">
        <v>1784</v>
      </c>
      <c r="K490" s="163"/>
      <c r="L490" s="163"/>
      <c r="M490" s="163"/>
      <c r="N490" s="163"/>
      <c r="O490" s="163"/>
      <c r="P490" s="163"/>
      <c r="Q490" s="163"/>
      <c r="R490" s="163"/>
      <c r="S490" s="163"/>
      <c r="T490" s="163"/>
      <c r="U490" s="163"/>
      <c r="V490" s="163"/>
      <c r="W490" s="163"/>
      <c r="X490" s="163"/>
      <c r="Y490" s="163"/>
      <c r="Z490" s="163"/>
    </row>
    <row r="491" ht="14.25" customHeight="1">
      <c r="A491" s="195"/>
      <c r="B491" s="193" t="s">
        <v>0</v>
      </c>
      <c r="C491" s="193" t="s">
        <v>3516</v>
      </c>
      <c r="D491" s="193" t="s">
        <v>2482</v>
      </c>
      <c r="E491" s="193" t="s">
        <v>3517</v>
      </c>
      <c r="F491" s="193" t="s">
        <v>3518</v>
      </c>
      <c r="G491" s="193" t="s">
        <v>3519</v>
      </c>
      <c r="H491" s="178" t="s">
        <v>36</v>
      </c>
      <c r="I491" s="196"/>
      <c r="J491" s="175" t="s">
        <v>1784</v>
      </c>
      <c r="K491" s="163"/>
      <c r="L491" s="163"/>
      <c r="M491" s="163"/>
      <c r="N491" s="163"/>
      <c r="O491" s="163"/>
      <c r="P491" s="163"/>
      <c r="Q491" s="163"/>
      <c r="R491" s="163"/>
      <c r="S491" s="163"/>
      <c r="T491" s="163"/>
      <c r="U491" s="163"/>
      <c r="V491" s="163"/>
      <c r="W491" s="163"/>
      <c r="X491" s="163"/>
      <c r="Y491" s="163"/>
      <c r="Z491" s="163"/>
    </row>
    <row r="492" ht="14.25" customHeight="1">
      <c r="A492" s="194"/>
      <c r="B492" s="178" t="s">
        <v>0</v>
      </c>
      <c r="C492" s="193" t="s">
        <v>3520</v>
      </c>
      <c r="D492" s="178" t="s">
        <v>2482</v>
      </c>
      <c r="E492" s="178" t="s">
        <v>3521</v>
      </c>
      <c r="F492" s="178" t="s">
        <v>3522</v>
      </c>
      <c r="G492" s="178" t="s">
        <v>3523</v>
      </c>
      <c r="H492" s="178" t="s">
        <v>36</v>
      </c>
      <c r="I492" s="187"/>
      <c r="J492" s="175" t="s">
        <v>1784</v>
      </c>
      <c r="K492" s="163"/>
      <c r="L492" s="163"/>
      <c r="M492" s="163"/>
      <c r="N492" s="163"/>
      <c r="O492" s="163"/>
      <c r="P492" s="163"/>
      <c r="Q492" s="163"/>
      <c r="R492" s="163"/>
      <c r="S492" s="163"/>
      <c r="T492" s="163"/>
      <c r="U492" s="163"/>
      <c r="V492" s="163"/>
      <c r="W492" s="163"/>
      <c r="X492" s="163"/>
      <c r="Y492" s="163"/>
      <c r="Z492" s="163"/>
    </row>
    <row r="493" ht="14.25" customHeight="1">
      <c r="A493" s="194"/>
      <c r="B493" s="178" t="s">
        <v>3524</v>
      </c>
      <c r="C493" s="193" t="s">
        <v>3525</v>
      </c>
      <c r="D493" s="178" t="s">
        <v>2482</v>
      </c>
      <c r="E493" s="178" t="s">
        <v>3526</v>
      </c>
      <c r="F493" s="178" t="s">
        <v>3527</v>
      </c>
      <c r="G493" s="178" t="s">
        <v>3528</v>
      </c>
      <c r="H493" s="178" t="s">
        <v>36</v>
      </c>
      <c r="I493" s="187"/>
      <c r="J493" s="175" t="s">
        <v>1784</v>
      </c>
      <c r="K493" s="163"/>
      <c r="L493" s="163"/>
      <c r="M493" s="163"/>
      <c r="N493" s="163"/>
      <c r="O493" s="163"/>
      <c r="P493" s="163"/>
      <c r="Q493" s="163"/>
      <c r="R493" s="163"/>
      <c r="S493" s="163"/>
      <c r="T493" s="163"/>
      <c r="U493" s="163"/>
      <c r="V493" s="163"/>
      <c r="W493" s="163"/>
      <c r="X493" s="163"/>
      <c r="Y493" s="163"/>
      <c r="Z493" s="163"/>
    </row>
    <row r="494" ht="14.25" customHeight="1">
      <c r="A494" s="194"/>
      <c r="B494" s="178" t="s">
        <v>3524</v>
      </c>
      <c r="C494" s="193" t="s">
        <v>3529</v>
      </c>
      <c r="D494" s="178" t="s">
        <v>2482</v>
      </c>
      <c r="E494" s="178" t="s">
        <v>3530</v>
      </c>
      <c r="F494" s="178" t="s">
        <v>3531</v>
      </c>
      <c r="G494" s="178" t="s">
        <v>3532</v>
      </c>
      <c r="H494" s="178" t="s">
        <v>36</v>
      </c>
      <c r="I494" s="187"/>
      <c r="J494" s="175" t="s">
        <v>1784</v>
      </c>
      <c r="K494" s="163"/>
      <c r="L494" s="163"/>
      <c r="M494" s="163"/>
      <c r="N494" s="163"/>
      <c r="O494" s="163"/>
      <c r="P494" s="163"/>
      <c r="Q494" s="163"/>
      <c r="R494" s="163"/>
      <c r="S494" s="163"/>
      <c r="T494" s="163"/>
      <c r="U494" s="163"/>
      <c r="V494" s="163"/>
      <c r="W494" s="163"/>
      <c r="X494" s="163"/>
      <c r="Y494" s="163"/>
      <c r="Z494" s="163"/>
    </row>
    <row r="495" ht="14.25" customHeight="1">
      <c r="A495" s="194"/>
      <c r="B495" s="178" t="s">
        <v>3524</v>
      </c>
      <c r="C495" s="193" t="s">
        <v>3533</v>
      </c>
      <c r="D495" s="178" t="s">
        <v>2482</v>
      </c>
      <c r="E495" s="178" t="s">
        <v>3534</v>
      </c>
      <c r="F495" s="178" t="s">
        <v>3535</v>
      </c>
      <c r="G495" s="178" t="s">
        <v>3536</v>
      </c>
      <c r="H495" s="178" t="s">
        <v>36</v>
      </c>
      <c r="I495" s="187"/>
      <c r="J495" s="175" t="s">
        <v>1784</v>
      </c>
      <c r="K495" s="163"/>
      <c r="L495" s="163"/>
      <c r="M495" s="163"/>
      <c r="N495" s="163"/>
      <c r="O495" s="163"/>
      <c r="P495" s="163"/>
      <c r="Q495" s="163"/>
      <c r="R495" s="163"/>
      <c r="S495" s="163"/>
      <c r="T495" s="163"/>
      <c r="U495" s="163"/>
      <c r="V495" s="163"/>
      <c r="W495" s="163"/>
      <c r="X495" s="163"/>
      <c r="Y495" s="163"/>
      <c r="Z495" s="163"/>
    </row>
    <row r="496" ht="14.25" customHeight="1">
      <c r="A496" s="194"/>
      <c r="B496" s="178" t="s">
        <v>3524</v>
      </c>
      <c r="C496" s="193" t="s">
        <v>3537</v>
      </c>
      <c r="D496" s="178" t="s">
        <v>2482</v>
      </c>
      <c r="E496" s="178" t="s">
        <v>3538</v>
      </c>
      <c r="F496" s="178" t="s">
        <v>3539</v>
      </c>
      <c r="G496" s="178" t="s">
        <v>3540</v>
      </c>
      <c r="H496" s="178" t="s">
        <v>36</v>
      </c>
      <c r="I496" s="187"/>
      <c r="J496" s="175" t="s">
        <v>1784</v>
      </c>
      <c r="K496" s="163"/>
      <c r="L496" s="163"/>
      <c r="M496" s="163"/>
      <c r="N496" s="163"/>
      <c r="O496" s="163"/>
      <c r="P496" s="163"/>
      <c r="Q496" s="163"/>
      <c r="R496" s="163"/>
      <c r="S496" s="163"/>
      <c r="T496" s="163"/>
      <c r="U496" s="163"/>
      <c r="V496" s="163"/>
      <c r="W496" s="163"/>
      <c r="X496" s="163"/>
      <c r="Y496" s="163"/>
      <c r="Z496" s="163"/>
    </row>
    <row r="497" ht="14.25" customHeight="1">
      <c r="A497" s="194"/>
      <c r="B497" s="178" t="s">
        <v>3524</v>
      </c>
      <c r="C497" s="193" t="s">
        <v>3541</v>
      </c>
      <c r="D497" s="178" t="s">
        <v>2482</v>
      </c>
      <c r="E497" s="178" t="s">
        <v>3542</v>
      </c>
      <c r="F497" s="178" t="s">
        <v>3543</v>
      </c>
      <c r="G497" s="178" t="s">
        <v>3544</v>
      </c>
      <c r="H497" s="178" t="s">
        <v>36</v>
      </c>
      <c r="I497" s="187"/>
      <c r="J497" s="175" t="s">
        <v>1784</v>
      </c>
      <c r="K497" s="163"/>
      <c r="L497" s="163"/>
      <c r="M497" s="163"/>
      <c r="N497" s="163"/>
      <c r="O497" s="163"/>
      <c r="P497" s="163"/>
      <c r="Q497" s="163"/>
      <c r="R497" s="163"/>
      <c r="S497" s="163"/>
      <c r="T497" s="163"/>
      <c r="U497" s="163"/>
      <c r="V497" s="163"/>
      <c r="W497" s="163"/>
      <c r="X497" s="163"/>
      <c r="Y497" s="163"/>
      <c r="Z497" s="163"/>
    </row>
    <row r="498" ht="14.25" customHeight="1">
      <c r="A498" s="194"/>
      <c r="B498" s="178" t="s">
        <v>3524</v>
      </c>
      <c r="C498" s="193" t="s">
        <v>3545</v>
      </c>
      <c r="D498" s="178" t="s">
        <v>2482</v>
      </c>
      <c r="E498" s="178" t="s">
        <v>3546</v>
      </c>
      <c r="F498" s="178" t="s">
        <v>3547</v>
      </c>
      <c r="G498" s="178" t="s">
        <v>3548</v>
      </c>
      <c r="H498" s="178" t="s">
        <v>36</v>
      </c>
      <c r="I498" s="187"/>
      <c r="J498" s="175" t="s">
        <v>1784</v>
      </c>
      <c r="K498" s="163"/>
      <c r="L498" s="163"/>
      <c r="M498" s="163"/>
      <c r="N498" s="163"/>
      <c r="O498" s="163"/>
      <c r="P498" s="163"/>
      <c r="Q498" s="163"/>
      <c r="R498" s="163"/>
      <c r="S498" s="163"/>
      <c r="T498" s="163"/>
      <c r="U498" s="163"/>
      <c r="V498" s="163"/>
      <c r="W498" s="163"/>
      <c r="X498" s="163"/>
      <c r="Y498" s="163"/>
      <c r="Z498" s="163"/>
    </row>
    <row r="499" ht="14.25" customHeight="1">
      <c r="A499" s="194"/>
      <c r="B499" s="178" t="s">
        <v>3524</v>
      </c>
      <c r="C499" s="193" t="s">
        <v>3549</v>
      </c>
      <c r="D499" s="178" t="s">
        <v>2482</v>
      </c>
      <c r="E499" s="178" t="s">
        <v>1917</v>
      </c>
      <c r="F499" s="178" t="s">
        <v>3550</v>
      </c>
      <c r="G499" s="178" t="s">
        <v>3551</v>
      </c>
      <c r="H499" s="178" t="s">
        <v>36</v>
      </c>
      <c r="I499" s="187"/>
      <c r="J499" s="175" t="s">
        <v>1784</v>
      </c>
      <c r="K499" s="163"/>
      <c r="L499" s="163"/>
      <c r="M499" s="163"/>
      <c r="N499" s="163"/>
      <c r="O499" s="163"/>
      <c r="P499" s="163"/>
      <c r="Q499" s="163"/>
      <c r="R499" s="163"/>
      <c r="S499" s="163"/>
      <c r="T499" s="163"/>
      <c r="U499" s="163"/>
      <c r="V499" s="163"/>
      <c r="W499" s="163"/>
      <c r="X499" s="163"/>
      <c r="Y499" s="163"/>
      <c r="Z499" s="163"/>
    </row>
    <row r="500" ht="14.25" customHeight="1">
      <c r="A500" s="194"/>
      <c r="B500" s="178" t="s">
        <v>3524</v>
      </c>
      <c r="C500" s="193" t="s">
        <v>3552</v>
      </c>
      <c r="D500" s="178" t="s">
        <v>2482</v>
      </c>
      <c r="E500" s="178" t="s">
        <v>3553</v>
      </c>
      <c r="F500" s="178" t="s">
        <v>3554</v>
      </c>
      <c r="G500" s="178" t="s">
        <v>3555</v>
      </c>
      <c r="H500" s="178" t="s">
        <v>36</v>
      </c>
      <c r="I500" s="187"/>
      <c r="J500" s="175" t="s">
        <v>1784</v>
      </c>
      <c r="K500" s="163"/>
      <c r="L500" s="163"/>
      <c r="M500" s="163"/>
      <c r="N500" s="163"/>
      <c r="O500" s="163"/>
      <c r="P500" s="163"/>
      <c r="Q500" s="163"/>
      <c r="R500" s="163"/>
      <c r="S500" s="163"/>
      <c r="T500" s="163"/>
      <c r="U500" s="163"/>
      <c r="V500" s="163"/>
      <c r="W500" s="163"/>
      <c r="X500" s="163"/>
      <c r="Y500" s="163"/>
      <c r="Z500" s="163"/>
    </row>
    <row r="501" ht="14.25" customHeight="1">
      <c r="A501" s="194"/>
      <c r="B501" s="178" t="s">
        <v>3524</v>
      </c>
      <c r="C501" s="193" t="s">
        <v>3556</v>
      </c>
      <c r="D501" s="178" t="s">
        <v>2482</v>
      </c>
      <c r="E501" s="178" t="s">
        <v>3557</v>
      </c>
      <c r="F501" s="178" t="s">
        <v>3554</v>
      </c>
      <c r="G501" s="178" t="s">
        <v>3558</v>
      </c>
      <c r="H501" s="178" t="s">
        <v>36</v>
      </c>
      <c r="I501" s="187"/>
      <c r="J501" s="175" t="s">
        <v>1784</v>
      </c>
      <c r="K501" s="163"/>
      <c r="L501" s="163"/>
      <c r="M501" s="163"/>
      <c r="N501" s="163"/>
      <c r="O501" s="163"/>
      <c r="P501" s="163"/>
      <c r="Q501" s="163"/>
      <c r="R501" s="163"/>
      <c r="S501" s="163"/>
      <c r="T501" s="163"/>
      <c r="U501" s="163"/>
      <c r="V501" s="163"/>
      <c r="W501" s="163"/>
      <c r="X501" s="163"/>
      <c r="Y501" s="163"/>
      <c r="Z501" s="163"/>
    </row>
    <row r="502" ht="14.25" customHeight="1">
      <c r="A502" s="194"/>
      <c r="B502" s="178" t="s">
        <v>3524</v>
      </c>
      <c r="C502" s="193" t="s">
        <v>3559</v>
      </c>
      <c r="D502" s="178" t="s">
        <v>2482</v>
      </c>
      <c r="E502" s="178" t="s">
        <v>3560</v>
      </c>
      <c r="F502" s="178" t="s">
        <v>3561</v>
      </c>
      <c r="G502" s="178" t="s">
        <v>3562</v>
      </c>
      <c r="H502" s="178" t="s">
        <v>36</v>
      </c>
      <c r="I502" s="187"/>
      <c r="J502" s="175" t="s">
        <v>1784</v>
      </c>
      <c r="K502" s="163"/>
      <c r="L502" s="163"/>
      <c r="M502" s="163"/>
      <c r="N502" s="163"/>
      <c r="O502" s="163"/>
      <c r="P502" s="163"/>
      <c r="Q502" s="163"/>
      <c r="R502" s="163"/>
      <c r="S502" s="163"/>
      <c r="T502" s="163"/>
      <c r="U502" s="163"/>
      <c r="V502" s="163"/>
      <c r="W502" s="163"/>
      <c r="X502" s="163"/>
      <c r="Y502" s="163"/>
      <c r="Z502" s="163"/>
    </row>
    <row r="503" ht="14.25" customHeight="1">
      <c r="A503" s="194"/>
      <c r="B503" s="178" t="s">
        <v>3524</v>
      </c>
      <c r="C503" s="193" t="s">
        <v>3563</v>
      </c>
      <c r="D503" s="178" t="s">
        <v>2482</v>
      </c>
      <c r="E503" s="178" t="s">
        <v>3564</v>
      </c>
      <c r="F503" s="178" t="s">
        <v>3565</v>
      </c>
      <c r="G503" s="178" t="s">
        <v>3566</v>
      </c>
      <c r="H503" s="178" t="s">
        <v>36</v>
      </c>
      <c r="I503" s="187"/>
      <c r="J503" s="175" t="s">
        <v>1784</v>
      </c>
      <c r="K503" s="163"/>
      <c r="L503" s="163"/>
      <c r="M503" s="163"/>
      <c r="N503" s="163"/>
      <c r="O503" s="163"/>
      <c r="P503" s="163"/>
      <c r="Q503" s="163"/>
      <c r="R503" s="163"/>
      <c r="S503" s="163"/>
      <c r="T503" s="163"/>
      <c r="U503" s="163"/>
      <c r="V503" s="163"/>
      <c r="W503" s="163"/>
      <c r="X503" s="163"/>
      <c r="Y503" s="163"/>
      <c r="Z503" s="163"/>
    </row>
    <row r="504" ht="14.25" customHeight="1">
      <c r="A504" s="194"/>
      <c r="B504" s="178" t="s">
        <v>3524</v>
      </c>
      <c r="C504" s="193" t="s">
        <v>3567</v>
      </c>
      <c r="D504" s="178" t="s">
        <v>2482</v>
      </c>
      <c r="E504" s="178" t="s">
        <v>3568</v>
      </c>
      <c r="F504" s="178" t="s">
        <v>3569</v>
      </c>
      <c r="G504" s="178" t="s">
        <v>3570</v>
      </c>
      <c r="H504" s="178" t="s">
        <v>36</v>
      </c>
      <c r="I504" s="187"/>
      <c r="J504" s="175" t="s">
        <v>1784</v>
      </c>
      <c r="K504" s="163"/>
      <c r="L504" s="163"/>
      <c r="M504" s="163"/>
      <c r="N504" s="163"/>
      <c r="O504" s="163"/>
      <c r="P504" s="163"/>
      <c r="Q504" s="163"/>
      <c r="R504" s="163"/>
      <c r="S504" s="163"/>
      <c r="T504" s="163"/>
      <c r="U504" s="163"/>
      <c r="V504" s="163"/>
      <c r="W504" s="163"/>
      <c r="X504" s="163"/>
      <c r="Y504" s="163"/>
      <c r="Z504" s="163"/>
    </row>
    <row r="505" ht="14.25" customHeight="1">
      <c r="A505" s="194"/>
      <c r="B505" s="178" t="s">
        <v>3524</v>
      </c>
      <c r="C505" s="193" t="s">
        <v>3571</v>
      </c>
      <c r="D505" s="178" t="s">
        <v>2482</v>
      </c>
      <c r="E505" s="178" t="s">
        <v>3572</v>
      </c>
      <c r="F505" s="178" t="s">
        <v>3573</v>
      </c>
      <c r="G505" s="178" t="s">
        <v>3574</v>
      </c>
      <c r="H505" s="178" t="s">
        <v>36</v>
      </c>
      <c r="I505" s="187"/>
      <c r="J505" s="175" t="s">
        <v>1784</v>
      </c>
      <c r="K505" s="163"/>
      <c r="L505" s="163"/>
      <c r="M505" s="163"/>
      <c r="N505" s="163"/>
      <c r="O505" s="163"/>
      <c r="P505" s="163"/>
      <c r="Q505" s="163"/>
      <c r="R505" s="163"/>
      <c r="S505" s="163"/>
      <c r="T505" s="163"/>
      <c r="U505" s="163"/>
      <c r="V505" s="163"/>
      <c r="W505" s="163"/>
      <c r="X505" s="163"/>
      <c r="Y505" s="163"/>
      <c r="Z505" s="163"/>
    </row>
    <row r="506" ht="14.25" customHeight="1">
      <c r="A506" s="194"/>
      <c r="B506" s="178" t="s">
        <v>3524</v>
      </c>
      <c r="C506" s="193" t="s">
        <v>3575</v>
      </c>
      <c r="D506" s="178" t="s">
        <v>2482</v>
      </c>
      <c r="E506" s="178" t="s">
        <v>3568</v>
      </c>
      <c r="F506" s="178" t="s">
        <v>3576</v>
      </c>
      <c r="G506" s="178" t="s">
        <v>3299</v>
      </c>
      <c r="H506" s="178" t="s">
        <v>36</v>
      </c>
      <c r="I506" s="187"/>
      <c r="J506" s="175" t="s">
        <v>1784</v>
      </c>
      <c r="K506" s="163"/>
      <c r="L506" s="163"/>
      <c r="M506" s="163"/>
      <c r="N506" s="163"/>
      <c r="O506" s="163"/>
      <c r="P506" s="163"/>
      <c r="Q506" s="163"/>
      <c r="R506" s="163"/>
      <c r="S506" s="163"/>
      <c r="T506" s="163"/>
      <c r="U506" s="163"/>
      <c r="V506" s="163"/>
      <c r="W506" s="163"/>
      <c r="X506" s="163"/>
      <c r="Y506" s="163"/>
      <c r="Z506" s="163"/>
    </row>
    <row r="507" ht="14.25" customHeight="1">
      <c r="A507" s="194"/>
      <c r="B507" s="178" t="s">
        <v>3524</v>
      </c>
      <c r="C507" s="193" t="s">
        <v>3577</v>
      </c>
      <c r="D507" s="178" t="s">
        <v>2482</v>
      </c>
      <c r="E507" s="178" t="s">
        <v>3578</v>
      </c>
      <c r="F507" s="178" t="s">
        <v>3579</v>
      </c>
      <c r="G507" s="178" t="s">
        <v>3580</v>
      </c>
      <c r="H507" s="178" t="s">
        <v>36</v>
      </c>
      <c r="I507" s="187"/>
      <c r="J507" s="175" t="s">
        <v>1784</v>
      </c>
      <c r="K507" s="163"/>
      <c r="L507" s="163"/>
      <c r="M507" s="163"/>
      <c r="N507" s="163"/>
      <c r="O507" s="163"/>
      <c r="P507" s="163"/>
      <c r="Q507" s="163"/>
      <c r="R507" s="163"/>
      <c r="S507" s="163"/>
      <c r="T507" s="163"/>
      <c r="U507" s="163"/>
      <c r="V507" s="163"/>
      <c r="W507" s="163"/>
      <c r="X507" s="163"/>
      <c r="Y507" s="163"/>
      <c r="Z507" s="163"/>
    </row>
    <row r="508" ht="14.25" customHeight="1">
      <c r="A508" s="194"/>
      <c r="B508" s="178" t="s">
        <v>3524</v>
      </c>
      <c r="C508" s="193" t="s">
        <v>3581</v>
      </c>
      <c r="D508" s="178" t="s">
        <v>2482</v>
      </c>
      <c r="E508" s="178" t="s">
        <v>3582</v>
      </c>
      <c r="F508" s="178" t="s">
        <v>3579</v>
      </c>
      <c r="G508" s="178" t="s">
        <v>3583</v>
      </c>
      <c r="H508" s="178" t="s">
        <v>36</v>
      </c>
      <c r="I508" s="187"/>
      <c r="J508" s="175" t="s">
        <v>1784</v>
      </c>
      <c r="K508" s="163"/>
      <c r="L508" s="163"/>
      <c r="M508" s="163"/>
      <c r="N508" s="163"/>
      <c r="O508" s="163"/>
      <c r="P508" s="163"/>
      <c r="Q508" s="163"/>
      <c r="R508" s="163"/>
      <c r="S508" s="163"/>
      <c r="T508" s="163"/>
      <c r="U508" s="163"/>
      <c r="V508" s="163"/>
      <c r="W508" s="163"/>
      <c r="X508" s="163"/>
      <c r="Y508" s="163"/>
      <c r="Z508" s="163"/>
    </row>
    <row r="509" ht="14.25" customHeight="1">
      <c r="A509" s="194"/>
      <c r="B509" s="178" t="s">
        <v>3524</v>
      </c>
      <c r="C509" s="193" t="s">
        <v>3584</v>
      </c>
      <c r="D509" s="178" t="s">
        <v>2482</v>
      </c>
      <c r="E509" s="178" t="s">
        <v>3585</v>
      </c>
      <c r="F509" s="178" t="s">
        <v>3586</v>
      </c>
      <c r="G509" s="178" t="s">
        <v>3587</v>
      </c>
      <c r="H509" s="178" t="s">
        <v>36</v>
      </c>
      <c r="I509" s="187"/>
      <c r="J509" s="175" t="s">
        <v>1784</v>
      </c>
      <c r="K509" s="163"/>
      <c r="L509" s="163"/>
      <c r="M509" s="163"/>
      <c r="N509" s="163"/>
      <c r="O509" s="163"/>
      <c r="P509" s="163"/>
      <c r="Q509" s="163"/>
      <c r="R509" s="163"/>
      <c r="S509" s="163"/>
      <c r="T509" s="163"/>
      <c r="U509" s="163"/>
      <c r="V509" s="163"/>
      <c r="W509" s="163"/>
      <c r="X509" s="163"/>
      <c r="Y509" s="163"/>
      <c r="Z509" s="163"/>
    </row>
    <row r="510" ht="14.25" customHeight="1">
      <c r="A510" s="194"/>
      <c r="B510" s="178" t="s">
        <v>3524</v>
      </c>
      <c r="C510" s="193" t="s">
        <v>3588</v>
      </c>
      <c r="D510" s="178" t="s">
        <v>2482</v>
      </c>
      <c r="E510" s="178" t="s">
        <v>3589</v>
      </c>
      <c r="F510" s="178" t="s">
        <v>3590</v>
      </c>
      <c r="G510" s="178" t="s">
        <v>3591</v>
      </c>
      <c r="H510" s="178" t="s">
        <v>36</v>
      </c>
      <c r="I510" s="187"/>
      <c r="J510" s="175" t="s">
        <v>1784</v>
      </c>
      <c r="K510" s="163"/>
      <c r="L510" s="163"/>
      <c r="M510" s="163"/>
      <c r="N510" s="163"/>
      <c r="O510" s="163"/>
      <c r="P510" s="163"/>
      <c r="Q510" s="163"/>
      <c r="R510" s="163"/>
      <c r="S510" s="163"/>
      <c r="T510" s="163"/>
      <c r="U510" s="163"/>
      <c r="V510" s="163"/>
      <c r="W510" s="163"/>
      <c r="X510" s="163"/>
      <c r="Y510" s="163"/>
      <c r="Z510" s="163"/>
    </row>
    <row r="511" ht="14.25" customHeight="1">
      <c r="A511" s="194"/>
      <c r="B511" s="178" t="s">
        <v>0</v>
      </c>
      <c r="C511" s="193" t="s">
        <v>3592</v>
      </c>
      <c r="D511" s="178" t="s">
        <v>2482</v>
      </c>
      <c r="E511" s="178" t="s">
        <v>3593</v>
      </c>
      <c r="F511" s="178" t="s">
        <v>3594</v>
      </c>
      <c r="G511" s="178" t="s">
        <v>3595</v>
      </c>
      <c r="H511" s="178" t="s">
        <v>36</v>
      </c>
      <c r="I511" s="187"/>
      <c r="J511" s="175" t="s">
        <v>1784</v>
      </c>
      <c r="K511" s="163"/>
      <c r="L511" s="163"/>
      <c r="M511" s="163"/>
      <c r="N511" s="163"/>
      <c r="O511" s="163"/>
      <c r="P511" s="163"/>
      <c r="Q511" s="163"/>
      <c r="R511" s="163"/>
      <c r="S511" s="163"/>
      <c r="T511" s="163"/>
      <c r="U511" s="163"/>
      <c r="V511" s="163"/>
      <c r="W511" s="163"/>
      <c r="X511" s="163"/>
      <c r="Y511" s="163"/>
      <c r="Z511" s="163"/>
    </row>
    <row r="512" ht="14.25" customHeight="1">
      <c r="A512" s="194"/>
      <c r="B512" s="178" t="s">
        <v>0</v>
      </c>
      <c r="C512" s="193" t="s">
        <v>3596</v>
      </c>
      <c r="D512" s="178" t="s">
        <v>2482</v>
      </c>
      <c r="E512" s="178" t="s">
        <v>3597</v>
      </c>
      <c r="F512" s="178" t="s">
        <v>3598</v>
      </c>
      <c r="G512" s="178" t="s">
        <v>3599</v>
      </c>
      <c r="H512" s="178" t="s">
        <v>36</v>
      </c>
      <c r="I512" s="187"/>
      <c r="J512" s="175" t="s">
        <v>1784</v>
      </c>
      <c r="K512" s="163"/>
      <c r="L512" s="163"/>
      <c r="M512" s="163"/>
      <c r="N512" s="163"/>
      <c r="O512" s="163"/>
      <c r="P512" s="163"/>
      <c r="Q512" s="163"/>
      <c r="R512" s="163"/>
      <c r="S512" s="163"/>
      <c r="T512" s="163"/>
      <c r="U512" s="163"/>
      <c r="V512" s="163"/>
      <c r="W512" s="163"/>
      <c r="X512" s="163"/>
      <c r="Y512" s="163"/>
      <c r="Z512" s="163"/>
    </row>
    <row r="513" ht="14.25" customHeight="1">
      <c r="A513" s="194"/>
      <c r="B513" s="178" t="s">
        <v>0</v>
      </c>
      <c r="C513" s="193" t="s">
        <v>3600</v>
      </c>
      <c r="D513" s="178" t="s">
        <v>2482</v>
      </c>
      <c r="E513" s="178" t="s">
        <v>3601</v>
      </c>
      <c r="F513" s="178" t="s">
        <v>3602</v>
      </c>
      <c r="G513" s="178" t="s">
        <v>3603</v>
      </c>
      <c r="H513" s="178" t="s">
        <v>36</v>
      </c>
      <c r="I513" s="187"/>
      <c r="J513" s="175" t="s">
        <v>1784</v>
      </c>
      <c r="K513" s="163"/>
      <c r="L513" s="163"/>
      <c r="M513" s="163"/>
      <c r="N513" s="163"/>
      <c r="O513" s="163"/>
      <c r="P513" s="163"/>
      <c r="Q513" s="163"/>
      <c r="R513" s="163"/>
      <c r="S513" s="163"/>
      <c r="T513" s="163"/>
      <c r="U513" s="163"/>
      <c r="V513" s="163"/>
      <c r="W513" s="163"/>
      <c r="X513" s="163"/>
      <c r="Y513" s="163"/>
      <c r="Z513" s="163"/>
    </row>
    <row r="514" ht="14.25" customHeight="1">
      <c r="A514" s="194"/>
      <c r="B514" s="178" t="s">
        <v>0</v>
      </c>
      <c r="C514" s="193" t="s">
        <v>3604</v>
      </c>
      <c r="D514" s="178" t="s">
        <v>2482</v>
      </c>
      <c r="E514" s="178" t="s">
        <v>3605</v>
      </c>
      <c r="F514" s="178" t="s">
        <v>3606</v>
      </c>
      <c r="G514" s="178" t="s">
        <v>3607</v>
      </c>
      <c r="H514" s="178" t="s">
        <v>36</v>
      </c>
      <c r="I514" s="187"/>
      <c r="J514" s="175" t="s">
        <v>1784</v>
      </c>
      <c r="K514" s="163"/>
      <c r="L514" s="163"/>
      <c r="M514" s="163"/>
      <c r="N514" s="163"/>
      <c r="O514" s="163"/>
      <c r="P514" s="163"/>
      <c r="Q514" s="163"/>
      <c r="R514" s="163"/>
      <c r="S514" s="163"/>
      <c r="T514" s="163"/>
      <c r="U514" s="163"/>
      <c r="V514" s="163"/>
      <c r="W514" s="163"/>
      <c r="X514" s="163"/>
      <c r="Y514" s="163"/>
      <c r="Z514" s="163"/>
    </row>
    <row r="515" ht="14.25" customHeight="1">
      <c r="A515" s="194"/>
      <c r="B515" s="178" t="s">
        <v>0</v>
      </c>
      <c r="C515" s="193" t="s">
        <v>3608</v>
      </c>
      <c r="D515" s="178" t="s">
        <v>2482</v>
      </c>
      <c r="E515" s="178" t="s">
        <v>3609</v>
      </c>
      <c r="F515" s="178" t="s">
        <v>3610</v>
      </c>
      <c r="G515" s="178" t="s">
        <v>3611</v>
      </c>
      <c r="H515" s="178" t="s">
        <v>36</v>
      </c>
      <c r="I515" s="187"/>
      <c r="J515" s="175" t="s">
        <v>1784</v>
      </c>
      <c r="K515" s="163"/>
      <c r="L515" s="163"/>
      <c r="M515" s="163"/>
      <c r="N515" s="163"/>
      <c r="O515" s="163"/>
      <c r="P515" s="163"/>
      <c r="Q515" s="163"/>
      <c r="R515" s="163"/>
      <c r="S515" s="163"/>
      <c r="T515" s="163"/>
      <c r="U515" s="163"/>
      <c r="V515" s="163"/>
      <c r="W515" s="163"/>
      <c r="X515" s="163"/>
      <c r="Y515" s="163"/>
      <c r="Z515" s="163"/>
    </row>
    <row r="516" ht="14.25" customHeight="1">
      <c r="A516" s="194"/>
      <c r="B516" s="178" t="s">
        <v>0</v>
      </c>
      <c r="C516" s="193" t="s">
        <v>3612</v>
      </c>
      <c r="D516" s="178" t="s">
        <v>2482</v>
      </c>
      <c r="E516" s="178" t="s">
        <v>3613</v>
      </c>
      <c r="F516" s="178" t="s">
        <v>3614</v>
      </c>
      <c r="G516" s="178" t="s">
        <v>3615</v>
      </c>
      <c r="H516" s="178" t="s">
        <v>36</v>
      </c>
      <c r="I516" s="187"/>
      <c r="J516" s="175" t="s">
        <v>1784</v>
      </c>
      <c r="K516" s="163"/>
      <c r="L516" s="163"/>
      <c r="M516" s="163"/>
      <c r="N516" s="163"/>
      <c r="O516" s="163"/>
      <c r="P516" s="163"/>
      <c r="Q516" s="163"/>
      <c r="R516" s="163"/>
      <c r="S516" s="163"/>
      <c r="T516" s="163"/>
      <c r="U516" s="163"/>
      <c r="V516" s="163"/>
      <c r="W516" s="163"/>
      <c r="X516" s="163"/>
      <c r="Y516" s="163"/>
      <c r="Z516" s="163"/>
    </row>
    <row r="517" ht="14.25" customHeight="1">
      <c r="A517" s="194"/>
      <c r="B517" s="178" t="s">
        <v>0</v>
      </c>
      <c r="C517" s="193" t="s">
        <v>3616</v>
      </c>
      <c r="D517" s="178" t="s">
        <v>2482</v>
      </c>
      <c r="E517" s="178" t="s">
        <v>3617</v>
      </c>
      <c r="F517" s="178" t="s">
        <v>3618</v>
      </c>
      <c r="G517" s="178" t="s">
        <v>3619</v>
      </c>
      <c r="H517" s="178" t="s">
        <v>36</v>
      </c>
      <c r="I517" s="187"/>
      <c r="J517" s="175" t="s">
        <v>1784</v>
      </c>
      <c r="K517" s="163"/>
      <c r="L517" s="163"/>
      <c r="M517" s="163"/>
      <c r="N517" s="163"/>
      <c r="O517" s="163"/>
      <c r="P517" s="163"/>
      <c r="Q517" s="163"/>
      <c r="R517" s="163"/>
      <c r="S517" s="163"/>
      <c r="T517" s="163"/>
      <c r="U517" s="163"/>
      <c r="V517" s="163"/>
      <c r="W517" s="163"/>
      <c r="X517" s="163"/>
      <c r="Y517" s="163"/>
      <c r="Z517" s="163"/>
    </row>
    <row r="518" ht="14.25" customHeight="1">
      <c r="A518" s="194"/>
      <c r="B518" s="178" t="s">
        <v>0</v>
      </c>
      <c r="C518" s="193" t="s">
        <v>3620</v>
      </c>
      <c r="D518" s="178" t="s">
        <v>2482</v>
      </c>
      <c r="E518" s="178" t="s">
        <v>3621</v>
      </c>
      <c r="F518" s="178" t="s">
        <v>3622</v>
      </c>
      <c r="G518" s="178" t="s">
        <v>3623</v>
      </c>
      <c r="H518" s="178" t="s">
        <v>36</v>
      </c>
      <c r="I518" s="187"/>
      <c r="J518" s="175" t="s">
        <v>1784</v>
      </c>
      <c r="K518" s="163"/>
      <c r="L518" s="163"/>
      <c r="M518" s="163"/>
      <c r="N518" s="163"/>
      <c r="O518" s="163"/>
      <c r="P518" s="163"/>
      <c r="Q518" s="163"/>
      <c r="R518" s="163"/>
      <c r="S518" s="163"/>
      <c r="T518" s="163"/>
      <c r="U518" s="163"/>
      <c r="V518" s="163"/>
      <c r="W518" s="163"/>
      <c r="X518" s="163"/>
      <c r="Y518" s="163"/>
      <c r="Z518" s="163"/>
    </row>
    <row r="519" ht="14.25" customHeight="1">
      <c r="A519" s="194"/>
      <c r="B519" s="178" t="s">
        <v>0</v>
      </c>
      <c r="C519" s="193" t="s">
        <v>3624</v>
      </c>
      <c r="D519" s="178" t="s">
        <v>2482</v>
      </c>
      <c r="E519" s="178" t="s">
        <v>3625</v>
      </c>
      <c r="F519" s="178" t="s">
        <v>3626</v>
      </c>
      <c r="G519" s="178" t="s">
        <v>3627</v>
      </c>
      <c r="H519" s="178" t="s">
        <v>36</v>
      </c>
      <c r="I519" s="187"/>
      <c r="J519" s="175" t="s">
        <v>1784</v>
      </c>
      <c r="K519" s="163"/>
      <c r="L519" s="163"/>
      <c r="M519" s="163"/>
      <c r="N519" s="163"/>
      <c r="O519" s="163"/>
      <c r="P519" s="163"/>
      <c r="Q519" s="163"/>
      <c r="R519" s="163"/>
      <c r="S519" s="163"/>
      <c r="T519" s="163"/>
      <c r="U519" s="163"/>
      <c r="V519" s="163"/>
      <c r="W519" s="163"/>
      <c r="X519" s="163"/>
      <c r="Y519" s="163"/>
      <c r="Z519" s="163"/>
    </row>
    <row r="520" ht="14.25" customHeight="1">
      <c r="A520" s="194"/>
      <c r="B520" s="178" t="s">
        <v>0</v>
      </c>
      <c r="C520" s="193" t="s">
        <v>3628</v>
      </c>
      <c r="D520" s="178" t="s">
        <v>2482</v>
      </c>
      <c r="E520" s="178" t="s">
        <v>3629</v>
      </c>
      <c r="F520" s="178" t="s">
        <v>3614</v>
      </c>
      <c r="G520" s="178" t="s">
        <v>3615</v>
      </c>
      <c r="H520" s="178" t="s">
        <v>36</v>
      </c>
      <c r="I520" s="187"/>
      <c r="J520" s="175" t="s">
        <v>1784</v>
      </c>
      <c r="K520" s="163"/>
      <c r="L520" s="163"/>
      <c r="M520" s="163"/>
      <c r="N520" s="163"/>
      <c r="O520" s="163"/>
      <c r="P520" s="163"/>
      <c r="Q520" s="163"/>
      <c r="R520" s="163"/>
      <c r="S520" s="163"/>
      <c r="T520" s="163"/>
      <c r="U520" s="163"/>
      <c r="V520" s="163"/>
      <c r="W520" s="163"/>
      <c r="X520" s="163"/>
      <c r="Y520" s="163"/>
      <c r="Z520" s="163"/>
    </row>
    <row r="521" ht="14.25" customHeight="1">
      <c r="A521" s="194"/>
      <c r="B521" s="178" t="s">
        <v>0</v>
      </c>
      <c r="C521" s="193" t="s">
        <v>3630</v>
      </c>
      <c r="D521" s="178" t="s">
        <v>2482</v>
      </c>
      <c r="E521" s="178" t="s">
        <v>3631</v>
      </c>
      <c r="F521" s="178" t="s">
        <v>3632</v>
      </c>
      <c r="G521" s="178" t="s">
        <v>3633</v>
      </c>
      <c r="H521" s="178" t="s">
        <v>36</v>
      </c>
      <c r="I521" s="187"/>
      <c r="J521" s="175" t="s">
        <v>1784</v>
      </c>
      <c r="K521" s="163"/>
      <c r="L521" s="163"/>
      <c r="M521" s="163"/>
      <c r="N521" s="163"/>
      <c r="O521" s="163"/>
      <c r="P521" s="163"/>
      <c r="Q521" s="163"/>
      <c r="R521" s="163"/>
      <c r="S521" s="163"/>
      <c r="T521" s="163"/>
      <c r="U521" s="163"/>
      <c r="V521" s="163"/>
      <c r="W521" s="163"/>
      <c r="X521" s="163"/>
      <c r="Y521" s="163"/>
      <c r="Z521" s="163"/>
    </row>
    <row r="522" ht="14.25" customHeight="1">
      <c r="A522" s="194"/>
      <c r="B522" s="178" t="s">
        <v>0</v>
      </c>
      <c r="C522" s="193" t="s">
        <v>3634</v>
      </c>
      <c r="D522" s="178" t="s">
        <v>2482</v>
      </c>
      <c r="E522" s="178" t="s">
        <v>3635</v>
      </c>
      <c r="F522" s="178" t="s">
        <v>3622</v>
      </c>
      <c r="G522" s="178" t="s">
        <v>3636</v>
      </c>
      <c r="H522" s="178" t="s">
        <v>36</v>
      </c>
      <c r="I522" s="187"/>
      <c r="J522" s="175" t="s">
        <v>1784</v>
      </c>
      <c r="K522" s="163"/>
      <c r="L522" s="163"/>
      <c r="M522" s="163"/>
      <c r="N522" s="163"/>
      <c r="O522" s="163"/>
      <c r="P522" s="163"/>
      <c r="Q522" s="163"/>
      <c r="R522" s="163"/>
      <c r="S522" s="163"/>
      <c r="T522" s="163"/>
      <c r="U522" s="163"/>
      <c r="V522" s="163"/>
      <c r="W522" s="163"/>
      <c r="X522" s="163"/>
      <c r="Y522" s="163"/>
      <c r="Z522" s="163"/>
    </row>
    <row r="523" ht="14.25" customHeight="1">
      <c r="A523" s="194"/>
      <c r="B523" s="178" t="s">
        <v>3637</v>
      </c>
      <c r="C523" s="193" t="s">
        <v>3638</v>
      </c>
      <c r="D523" s="178" t="s">
        <v>2482</v>
      </c>
      <c r="E523" s="178" t="s">
        <v>3639</v>
      </c>
      <c r="F523" s="178" t="s">
        <v>3640</v>
      </c>
      <c r="G523" s="178" t="s">
        <v>3641</v>
      </c>
      <c r="H523" s="178" t="s">
        <v>36</v>
      </c>
      <c r="I523" s="187"/>
      <c r="J523" s="175" t="s">
        <v>1784</v>
      </c>
      <c r="K523" s="163"/>
      <c r="L523" s="163"/>
      <c r="M523" s="163"/>
      <c r="N523" s="163"/>
      <c r="O523" s="163"/>
      <c r="P523" s="163"/>
      <c r="Q523" s="163"/>
      <c r="R523" s="163"/>
      <c r="S523" s="163"/>
      <c r="T523" s="163"/>
      <c r="U523" s="163"/>
      <c r="V523" s="163"/>
      <c r="W523" s="163"/>
      <c r="X523" s="163"/>
      <c r="Y523" s="163"/>
      <c r="Z523" s="163"/>
    </row>
    <row r="524" ht="14.25" customHeight="1">
      <c r="A524" s="194"/>
      <c r="B524" s="178" t="s">
        <v>3637</v>
      </c>
      <c r="C524" s="193" t="s">
        <v>3642</v>
      </c>
      <c r="D524" s="178" t="s">
        <v>2482</v>
      </c>
      <c r="E524" s="178" t="s">
        <v>3643</v>
      </c>
      <c r="F524" s="178" t="s">
        <v>3644</v>
      </c>
      <c r="G524" s="178" t="s">
        <v>3645</v>
      </c>
      <c r="H524" s="178" t="s">
        <v>36</v>
      </c>
      <c r="I524" s="187"/>
      <c r="J524" s="175" t="s">
        <v>1784</v>
      </c>
      <c r="K524" s="163"/>
      <c r="L524" s="163"/>
      <c r="M524" s="163"/>
      <c r="N524" s="163"/>
      <c r="O524" s="163"/>
      <c r="P524" s="163"/>
      <c r="Q524" s="163"/>
      <c r="R524" s="163"/>
      <c r="S524" s="163"/>
      <c r="T524" s="163"/>
      <c r="U524" s="163"/>
      <c r="V524" s="163"/>
      <c r="W524" s="163"/>
      <c r="X524" s="163"/>
      <c r="Y524" s="163"/>
      <c r="Z524" s="163"/>
    </row>
    <row r="525" ht="14.25" customHeight="1">
      <c r="A525" s="194"/>
      <c r="B525" s="178" t="s">
        <v>3637</v>
      </c>
      <c r="C525" s="193" t="s">
        <v>3646</v>
      </c>
      <c r="D525" s="178" t="s">
        <v>2482</v>
      </c>
      <c r="E525" s="178" t="s">
        <v>3647</v>
      </c>
      <c r="F525" s="178" t="s">
        <v>3648</v>
      </c>
      <c r="G525" s="178" t="s">
        <v>3649</v>
      </c>
      <c r="H525" s="178" t="s">
        <v>36</v>
      </c>
      <c r="I525" s="187"/>
      <c r="J525" s="175" t="s">
        <v>1784</v>
      </c>
      <c r="K525" s="163"/>
      <c r="L525" s="163"/>
      <c r="M525" s="163"/>
      <c r="N525" s="163"/>
      <c r="O525" s="163"/>
      <c r="P525" s="163"/>
      <c r="Q525" s="163"/>
      <c r="R525" s="163"/>
      <c r="S525" s="163"/>
      <c r="T525" s="163"/>
      <c r="U525" s="163"/>
      <c r="V525" s="163"/>
      <c r="W525" s="163"/>
      <c r="X525" s="163"/>
      <c r="Y525" s="163"/>
      <c r="Z525" s="163"/>
    </row>
    <row r="526" ht="14.25" customHeight="1">
      <c r="A526" s="194"/>
      <c r="B526" s="178" t="s">
        <v>0</v>
      </c>
      <c r="C526" s="193" t="s">
        <v>3650</v>
      </c>
      <c r="D526" s="178" t="s">
        <v>3651</v>
      </c>
      <c r="E526" s="178" t="s">
        <v>3652</v>
      </c>
      <c r="F526" s="178" t="s">
        <v>3653</v>
      </c>
      <c r="G526" s="178" t="s">
        <v>3654</v>
      </c>
      <c r="H526" s="178" t="s">
        <v>36</v>
      </c>
      <c r="I526" s="187"/>
      <c r="J526" s="175" t="s">
        <v>1784</v>
      </c>
      <c r="K526" s="163"/>
      <c r="L526" s="163"/>
      <c r="M526" s="163"/>
      <c r="N526" s="163"/>
      <c r="O526" s="163"/>
      <c r="P526" s="163"/>
      <c r="Q526" s="163"/>
      <c r="R526" s="163"/>
      <c r="S526" s="163"/>
      <c r="T526" s="163"/>
      <c r="U526" s="163"/>
      <c r="V526" s="163"/>
      <c r="W526" s="163"/>
      <c r="X526" s="163"/>
      <c r="Y526" s="163"/>
      <c r="Z526" s="163"/>
    </row>
    <row r="527" ht="14.25" customHeight="1">
      <c r="A527" s="194"/>
      <c r="B527" s="178" t="s">
        <v>0</v>
      </c>
      <c r="C527" s="193" t="s">
        <v>3655</v>
      </c>
      <c r="D527" s="178" t="s">
        <v>3651</v>
      </c>
      <c r="E527" s="178" t="s">
        <v>3656</v>
      </c>
      <c r="F527" s="178" t="s">
        <v>3657</v>
      </c>
      <c r="G527" s="178" t="s">
        <v>3658</v>
      </c>
      <c r="H527" s="178" t="s">
        <v>36</v>
      </c>
      <c r="I527" s="187"/>
      <c r="J527" s="175" t="s">
        <v>1784</v>
      </c>
      <c r="K527" s="163"/>
      <c r="L527" s="163"/>
      <c r="M527" s="163"/>
      <c r="N527" s="163"/>
      <c r="O527" s="163"/>
      <c r="P527" s="163"/>
      <c r="Q527" s="163"/>
      <c r="R527" s="163"/>
      <c r="S527" s="163"/>
      <c r="T527" s="163"/>
      <c r="U527" s="163"/>
      <c r="V527" s="163"/>
      <c r="W527" s="163"/>
      <c r="X527" s="163"/>
      <c r="Y527" s="163"/>
      <c r="Z527" s="163"/>
    </row>
    <row r="528" ht="14.25" customHeight="1">
      <c r="A528" s="194"/>
      <c r="B528" s="178" t="s">
        <v>0</v>
      </c>
      <c r="C528" s="193" t="s">
        <v>3659</v>
      </c>
      <c r="D528" s="178" t="s">
        <v>3651</v>
      </c>
      <c r="E528" s="178" t="s">
        <v>3660</v>
      </c>
      <c r="F528" s="178" t="s">
        <v>3661</v>
      </c>
      <c r="G528" s="178" t="s">
        <v>3662</v>
      </c>
      <c r="H528" s="178" t="s">
        <v>36</v>
      </c>
      <c r="I528" s="187"/>
      <c r="J528" s="175" t="s">
        <v>1784</v>
      </c>
      <c r="K528" s="163"/>
      <c r="L528" s="163"/>
      <c r="M528" s="163"/>
      <c r="N528" s="163"/>
      <c r="O528" s="163"/>
      <c r="P528" s="163"/>
      <c r="Q528" s="163"/>
      <c r="R528" s="163"/>
      <c r="S528" s="163"/>
      <c r="T528" s="163"/>
      <c r="U528" s="163"/>
      <c r="V528" s="163"/>
      <c r="W528" s="163"/>
      <c r="X528" s="163"/>
      <c r="Y528" s="163"/>
      <c r="Z528" s="163"/>
    </row>
    <row r="529" ht="14.25" customHeight="1">
      <c r="A529" s="194"/>
      <c r="B529" s="178" t="s">
        <v>0</v>
      </c>
      <c r="C529" s="193" t="s">
        <v>3663</v>
      </c>
      <c r="D529" s="178" t="s">
        <v>271</v>
      </c>
      <c r="E529" s="178" t="s">
        <v>2125</v>
      </c>
      <c r="F529" s="178" t="s">
        <v>3664</v>
      </c>
      <c r="G529" s="178" t="s">
        <v>3665</v>
      </c>
      <c r="H529" s="178" t="s">
        <v>36</v>
      </c>
      <c r="I529" s="187"/>
      <c r="J529" s="175" t="s">
        <v>1784</v>
      </c>
      <c r="K529" s="163"/>
      <c r="L529" s="163"/>
      <c r="M529" s="163"/>
      <c r="N529" s="163"/>
      <c r="O529" s="163"/>
      <c r="P529" s="163"/>
      <c r="Q529" s="163"/>
      <c r="R529" s="163"/>
      <c r="S529" s="163"/>
      <c r="T529" s="163"/>
      <c r="U529" s="163"/>
      <c r="V529" s="163"/>
      <c r="W529" s="163"/>
      <c r="X529" s="163"/>
      <c r="Y529" s="163"/>
      <c r="Z529" s="163"/>
    </row>
    <row r="530" ht="14.25" customHeight="1">
      <c r="A530" s="173"/>
      <c r="B530" s="175" t="s">
        <v>3666</v>
      </c>
      <c r="C530" s="191" t="s">
        <v>3667</v>
      </c>
      <c r="D530" s="175" t="s">
        <v>2482</v>
      </c>
      <c r="E530" s="175" t="s">
        <v>3668</v>
      </c>
      <c r="F530" s="175" t="s">
        <v>3669</v>
      </c>
      <c r="G530" s="175" t="s">
        <v>3670</v>
      </c>
      <c r="H530" s="175" t="s">
        <v>36</v>
      </c>
      <c r="I530" s="175" t="s">
        <v>1784</v>
      </c>
      <c r="J530" s="175" t="s">
        <v>1784</v>
      </c>
      <c r="K530" s="163"/>
      <c r="L530" s="163"/>
      <c r="M530" s="163"/>
      <c r="N530" s="163"/>
      <c r="O530" s="163"/>
      <c r="P530" s="163"/>
      <c r="Q530" s="163"/>
      <c r="R530" s="163"/>
      <c r="S530" s="163"/>
      <c r="T530" s="163"/>
      <c r="U530" s="163"/>
      <c r="V530" s="163"/>
      <c r="W530" s="163"/>
      <c r="X530" s="163"/>
      <c r="Y530" s="163"/>
      <c r="Z530" s="163"/>
    </row>
    <row r="531" ht="14.25" customHeight="1">
      <c r="A531" s="194"/>
      <c r="B531" s="178" t="s">
        <v>3666</v>
      </c>
      <c r="C531" s="193" t="s">
        <v>3671</v>
      </c>
      <c r="D531" s="178" t="s">
        <v>2482</v>
      </c>
      <c r="E531" s="178" t="s">
        <v>3672</v>
      </c>
      <c r="F531" s="178" t="s">
        <v>3673</v>
      </c>
      <c r="G531" s="178" t="s">
        <v>3674</v>
      </c>
      <c r="H531" s="178" t="s">
        <v>317</v>
      </c>
      <c r="I531" s="178" t="s">
        <v>1784</v>
      </c>
      <c r="J531" s="175" t="s">
        <v>1784</v>
      </c>
      <c r="K531" s="163"/>
      <c r="L531" s="163"/>
      <c r="M531" s="163"/>
      <c r="N531" s="163"/>
      <c r="O531" s="163"/>
      <c r="P531" s="163"/>
      <c r="Q531" s="163"/>
      <c r="R531" s="163"/>
      <c r="S531" s="163"/>
      <c r="T531" s="163"/>
      <c r="U531" s="163"/>
      <c r="V531" s="163"/>
      <c r="W531" s="163"/>
      <c r="X531" s="163"/>
      <c r="Y531" s="163"/>
      <c r="Z531" s="163"/>
    </row>
    <row r="532" ht="14.25" customHeight="1">
      <c r="A532" s="194"/>
      <c r="B532" s="178" t="s">
        <v>3666</v>
      </c>
      <c r="C532" s="193" t="s">
        <v>3675</v>
      </c>
      <c r="D532" s="178" t="s">
        <v>2482</v>
      </c>
      <c r="E532" s="178" t="s">
        <v>3676</v>
      </c>
      <c r="F532" s="178" t="s">
        <v>3677</v>
      </c>
      <c r="G532" s="178" t="s">
        <v>3678</v>
      </c>
      <c r="H532" s="178" t="s">
        <v>36</v>
      </c>
      <c r="I532" s="178" t="s">
        <v>1784</v>
      </c>
      <c r="J532" s="175" t="s">
        <v>1784</v>
      </c>
      <c r="K532" s="163"/>
      <c r="L532" s="163"/>
      <c r="M532" s="163"/>
      <c r="N532" s="163"/>
      <c r="O532" s="163"/>
      <c r="P532" s="163"/>
      <c r="Q532" s="163"/>
      <c r="R532" s="163"/>
      <c r="S532" s="163"/>
      <c r="T532" s="163"/>
      <c r="U532" s="163"/>
      <c r="V532" s="163"/>
      <c r="W532" s="163"/>
      <c r="X532" s="163"/>
      <c r="Y532" s="163"/>
      <c r="Z532" s="163"/>
    </row>
    <row r="533" ht="14.25" customHeight="1">
      <c r="A533" s="194"/>
      <c r="B533" s="178" t="s">
        <v>3666</v>
      </c>
      <c r="C533" s="193" t="s">
        <v>3679</v>
      </c>
      <c r="D533" s="178" t="s">
        <v>2482</v>
      </c>
      <c r="E533" s="178" t="s">
        <v>3680</v>
      </c>
      <c r="F533" s="178" t="s">
        <v>3681</v>
      </c>
      <c r="G533" s="178" t="s">
        <v>3682</v>
      </c>
      <c r="H533" s="178" t="s">
        <v>36</v>
      </c>
      <c r="I533" s="178" t="s">
        <v>1784</v>
      </c>
      <c r="J533" s="175" t="s">
        <v>1784</v>
      </c>
      <c r="K533" s="163"/>
      <c r="L533" s="163"/>
      <c r="M533" s="163"/>
      <c r="N533" s="163"/>
      <c r="O533" s="163"/>
      <c r="P533" s="163"/>
      <c r="Q533" s="163"/>
      <c r="R533" s="163"/>
      <c r="S533" s="163"/>
      <c r="T533" s="163"/>
      <c r="U533" s="163"/>
      <c r="V533" s="163"/>
      <c r="W533" s="163"/>
      <c r="X533" s="163"/>
      <c r="Y533" s="163"/>
      <c r="Z533" s="163"/>
    </row>
    <row r="534" ht="14.25" customHeight="1">
      <c r="A534" s="194"/>
      <c r="B534" s="178" t="s">
        <v>3666</v>
      </c>
      <c r="C534" s="193" t="s">
        <v>3683</v>
      </c>
      <c r="D534" s="178" t="s">
        <v>2482</v>
      </c>
      <c r="E534" s="178" t="s">
        <v>3684</v>
      </c>
      <c r="F534" s="178" t="s">
        <v>3685</v>
      </c>
      <c r="G534" s="178" t="s">
        <v>3686</v>
      </c>
      <c r="H534" s="178" t="s">
        <v>36</v>
      </c>
      <c r="I534" s="178" t="s">
        <v>1784</v>
      </c>
      <c r="J534" s="175" t="s">
        <v>1784</v>
      </c>
      <c r="K534" s="163"/>
      <c r="L534" s="163"/>
      <c r="M534" s="163"/>
      <c r="N534" s="163"/>
      <c r="O534" s="163"/>
      <c r="P534" s="163"/>
      <c r="Q534" s="163"/>
      <c r="R534" s="163"/>
      <c r="S534" s="163"/>
      <c r="T534" s="163"/>
      <c r="U534" s="163"/>
      <c r="V534" s="163"/>
      <c r="W534" s="163"/>
      <c r="X534" s="163"/>
      <c r="Y534" s="163"/>
      <c r="Z534" s="163"/>
    </row>
    <row r="535" ht="14.25" customHeight="1">
      <c r="A535" s="194"/>
      <c r="B535" s="178" t="s">
        <v>3666</v>
      </c>
      <c r="C535" s="193" t="s">
        <v>3687</v>
      </c>
      <c r="D535" s="178" t="s">
        <v>2482</v>
      </c>
      <c r="E535" s="178" t="s">
        <v>3688</v>
      </c>
      <c r="F535" s="178" t="s">
        <v>3689</v>
      </c>
      <c r="G535" s="178" t="s">
        <v>3690</v>
      </c>
      <c r="H535" s="178" t="s">
        <v>36</v>
      </c>
      <c r="I535" s="178" t="s">
        <v>1784</v>
      </c>
      <c r="J535" s="175" t="s">
        <v>1784</v>
      </c>
      <c r="K535" s="163"/>
      <c r="L535" s="163"/>
      <c r="M535" s="163"/>
      <c r="N535" s="163"/>
      <c r="O535" s="163"/>
      <c r="P535" s="163"/>
      <c r="Q535" s="163"/>
      <c r="R535" s="163"/>
      <c r="S535" s="163"/>
      <c r="T535" s="163"/>
      <c r="U535" s="163"/>
      <c r="V535" s="163"/>
      <c r="W535" s="163"/>
      <c r="X535" s="163"/>
      <c r="Y535" s="163"/>
      <c r="Z535" s="163"/>
    </row>
    <row r="536" ht="14.25" customHeight="1">
      <c r="A536" s="194"/>
      <c r="B536" s="178" t="s">
        <v>3666</v>
      </c>
      <c r="C536" s="193" t="s">
        <v>3691</v>
      </c>
      <c r="D536" s="178" t="s">
        <v>2482</v>
      </c>
      <c r="E536" s="178" t="s">
        <v>3692</v>
      </c>
      <c r="F536" s="178" t="s">
        <v>3693</v>
      </c>
      <c r="G536" s="178" t="s">
        <v>3694</v>
      </c>
      <c r="H536" s="178" t="s">
        <v>36</v>
      </c>
      <c r="I536" s="178" t="s">
        <v>1784</v>
      </c>
      <c r="J536" s="175" t="s">
        <v>1784</v>
      </c>
      <c r="K536" s="163"/>
      <c r="L536" s="163"/>
      <c r="M536" s="163"/>
      <c r="N536" s="163"/>
      <c r="O536" s="163"/>
      <c r="P536" s="163"/>
      <c r="Q536" s="163"/>
      <c r="R536" s="163"/>
      <c r="S536" s="163"/>
      <c r="T536" s="163"/>
      <c r="U536" s="163"/>
      <c r="V536" s="163"/>
      <c r="W536" s="163"/>
      <c r="X536" s="163"/>
      <c r="Y536" s="163"/>
      <c r="Z536" s="163"/>
    </row>
    <row r="537" ht="14.25" customHeight="1">
      <c r="A537" s="194"/>
      <c r="B537" s="178" t="s">
        <v>3666</v>
      </c>
      <c r="C537" s="193" t="s">
        <v>3695</v>
      </c>
      <c r="D537" s="178" t="s">
        <v>2482</v>
      </c>
      <c r="E537" s="178" t="s">
        <v>3696</v>
      </c>
      <c r="F537" s="178" t="s">
        <v>3697</v>
      </c>
      <c r="G537" s="178" t="s">
        <v>3698</v>
      </c>
      <c r="H537" s="178" t="s">
        <v>36</v>
      </c>
      <c r="I537" s="178" t="s">
        <v>1784</v>
      </c>
      <c r="J537" s="175" t="s">
        <v>1784</v>
      </c>
      <c r="K537" s="163"/>
      <c r="L537" s="163"/>
      <c r="M537" s="163"/>
      <c r="N537" s="163"/>
      <c r="O537" s="163"/>
      <c r="P537" s="163"/>
      <c r="Q537" s="163"/>
      <c r="R537" s="163"/>
      <c r="S537" s="163"/>
      <c r="T537" s="163"/>
      <c r="U537" s="163"/>
      <c r="V537" s="163"/>
      <c r="W537" s="163"/>
      <c r="X537" s="163"/>
      <c r="Y537" s="163"/>
      <c r="Z537" s="163"/>
    </row>
    <row r="538" ht="14.25" customHeight="1">
      <c r="A538" s="194"/>
      <c r="B538" s="178" t="s">
        <v>3666</v>
      </c>
      <c r="C538" s="193" t="s">
        <v>3699</v>
      </c>
      <c r="D538" s="178" t="s">
        <v>2983</v>
      </c>
      <c r="E538" s="178" t="s">
        <v>3700</v>
      </c>
      <c r="F538" s="178" t="s">
        <v>3701</v>
      </c>
      <c r="G538" s="178" t="s">
        <v>3702</v>
      </c>
      <c r="H538" s="178" t="s">
        <v>36</v>
      </c>
      <c r="I538" s="178" t="s">
        <v>1784</v>
      </c>
      <c r="J538" s="175" t="s">
        <v>1784</v>
      </c>
      <c r="K538" s="163"/>
      <c r="L538" s="163"/>
      <c r="M538" s="163"/>
      <c r="N538" s="163"/>
      <c r="O538" s="163"/>
      <c r="P538" s="163"/>
      <c r="Q538" s="163"/>
      <c r="R538" s="163"/>
      <c r="S538" s="163"/>
      <c r="T538" s="163"/>
      <c r="U538" s="163"/>
      <c r="V538" s="163"/>
      <c r="W538" s="163"/>
      <c r="X538" s="163"/>
      <c r="Y538" s="163"/>
      <c r="Z538" s="163"/>
    </row>
    <row r="539" ht="14.25" customHeight="1">
      <c r="A539" s="194"/>
      <c r="B539" s="178" t="s">
        <v>3666</v>
      </c>
      <c r="C539" s="193" t="s">
        <v>3703</v>
      </c>
      <c r="D539" s="178" t="s">
        <v>2983</v>
      </c>
      <c r="E539" s="178" t="s">
        <v>3700</v>
      </c>
      <c r="F539" s="178" t="s">
        <v>3704</v>
      </c>
      <c r="G539" s="178" t="s">
        <v>3702</v>
      </c>
      <c r="H539" s="178" t="s">
        <v>36</v>
      </c>
      <c r="I539" s="178" t="s">
        <v>1784</v>
      </c>
      <c r="J539" s="175" t="s">
        <v>1784</v>
      </c>
      <c r="K539" s="163"/>
      <c r="L539" s="163"/>
      <c r="M539" s="163"/>
      <c r="N539" s="163"/>
      <c r="O539" s="163"/>
      <c r="P539" s="163"/>
      <c r="Q539" s="163"/>
      <c r="R539" s="163"/>
      <c r="S539" s="163"/>
      <c r="T539" s="163"/>
      <c r="U539" s="163"/>
      <c r="V539" s="163"/>
      <c r="W539" s="163"/>
      <c r="X539" s="163"/>
      <c r="Y539" s="163"/>
      <c r="Z539" s="163"/>
    </row>
    <row r="540" ht="14.25" customHeight="1">
      <c r="A540" s="194"/>
      <c r="B540" s="178" t="s">
        <v>3666</v>
      </c>
      <c r="C540" s="193" t="s">
        <v>3705</v>
      </c>
      <c r="D540" s="178" t="s">
        <v>2983</v>
      </c>
      <c r="E540" s="178" t="s">
        <v>3700</v>
      </c>
      <c r="F540" s="178" t="s">
        <v>3706</v>
      </c>
      <c r="G540" s="178" t="s">
        <v>3707</v>
      </c>
      <c r="H540" s="178" t="s">
        <v>36</v>
      </c>
      <c r="I540" s="178" t="s">
        <v>1784</v>
      </c>
      <c r="J540" s="175" t="s">
        <v>1784</v>
      </c>
      <c r="K540" s="163"/>
      <c r="L540" s="163"/>
      <c r="M540" s="163"/>
      <c r="N540" s="163"/>
      <c r="O540" s="163"/>
      <c r="P540" s="163"/>
      <c r="Q540" s="163"/>
      <c r="R540" s="163"/>
      <c r="S540" s="163"/>
      <c r="T540" s="163"/>
      <c r="U540" s="163"/>
      <c r="V540" s="163"/>
      <c r="W540" s="163"/>
      <c r="X540" s="163"/>
      <c r="Y540" s="163"/>
      <c r="Z540" s="163"/>
    </row>
    <row r="541" ht="14.25" customHeight="1">
      <c r="A541" s="194"/>
      <c r="B541" s="178" t="s">
        <v>3666</v>
      </c>
      <c r="C541" s="193" t="s">
        <v>3708</v>
      </c>
      <c r="D541" s="178" t="s">
        <v>2983</v>
      </c>
      <c r="E541" s="178" t="s">
        <v>3700</v>
      </c>
      <c r="F541" s="178" t="s">
        <v>3709</v>
      </c>
      <c r="G541" s="178" t="s">
        <v>3707</v>
      </c>
      <c r="H541" s="178" t="s">
        <v>36</v>
      </c>
      <c r="I541" s="178" t="s">
        <v>1784</v>
      </c>
      <c r="J541" s="175" t="s">
        <v>1784</v>
      </c>
      <c r="K541" s="163"/>
      <c r="L541" s="163"/>
      <c r="M541" s="163"/>
      <c r="N541" s="163"/>
      <c r="O541" s="163"/>
      <c r="P541" s="163"/>
      <c r="Q541" s="163"/>
      <c r="R541" s="163"/>
      <c r="S541" s="163"/>
      <c r="T541" s="163"/>
      <c r="U541" s="163"/>
      <c r="V541" s="163"/>
      <c r="W541" s="163"/>
      <c r="X541" s="163"/>
      <c r="Y541" s="163"/>
      <c r="Z541" s="163"/>
    </row>
    <row r="542" ht="14.25" customHeight="1">
      <c r="A542" s="194"/>
      <c r="B542" s="178" t="s">
        <v>3666</v>
      </c>
      <c r="C542" s="193" t="s">
        <v>3710</v>
      </c>
      <c r="D542" s="178" t="s">
        <v>2983</v>
      </c>
      <c r="E542" s="178" t="s">
        <v>3700</v>
      </c>
      <c r="F542" s="178" t="s">
        <v>3711</v>
      </c>
      <c r="G542" s="178" t="s">
        <v>3712</v>
      </c>
      <c r="H542" s="178" t="s">
        <v>36</v>
      </c>
      <c r="I542" s="178" t="s">
        <v>1784</v>
      </c>
      <c r="J542" s="175" t="s">
        <v>1784</v>
      </c>
      <c r="K542" s="163"/>
      <c r="L542" s="163"/>
      <c r="M542" s="163"/>
      <c r="N542" s="163"/>
      <c r="O542" s="163"/>
      <c r="P542" s="163"/>
      <c r="Q542" s="163"/>
      <c r="R542" s="163"/>
      <c r="S542" s="163"/>
      <c r="T542" s="163"/>
      <c r="U542" s="163"/>
      <c r="V542" s="163"/>
      <c r="W542" s="163"/>
      <c r="X542" s="163"/>
      <c r="Y542" s="163"/>
      <c r="Z542" s="163"/>
    </row>
    <row r="543" ht="14.25" customHeight="1">
      <c r="A543" s="194"/>
      <c r="B543" s="178" t="s">
        <v>3666</v>
      </c>
      <c r="C543" s="193" t="s">
        <v>3713</v>
      </c>
      <c r="D543" s="178" t="s">
        <v>0</v>
      </c>
      <c r="E543" s="178" t="s">
        <v>3700</v>
      </c>
      <c r="F543" s="178" t="s">
        <v>3714</v>
      </c>
      <c r="G543" s="178" t="s">
        <v>1982</v>
      </c>
      <c r="H543" s="178" t="s">
        <v>36</v>
      </c>
      <c r="I543" s="178" t="s">
        <v>1784</v>
      </c>
      <c r="J543" s="175" t="s">
        <v>1784</v>
      </c>
      <c r="K543" s="163"/>
      <c r="L543" s="163"/>
      <c r="M543" s="163"/>
      <c r="N543" s="163"/>
      <c r="O543" s="163"/>
      <c r="P543" s="163"/>
      <c r="Q543" s="163"/>
      <c r="R543" s="163"/>
      <c r="S543" s="163"/>
      <c r="T543" s="163"/>
      <c r="U543" s="163"/>
      <c r="V543" s="163"/>
      <c r="W543" s="163"/>
      <c r="X543" s="163"/>
      <c r="Y543" s="163"/>
      <c r="Z543" s="163"/>
    </row>
    <row r="544" ht="14.25" customHeight="1">
      <c r="A544" s="194"/>
      <c r="B544" s="193" t="s">
        <v>3715</v>
      </c>
      <c r="C544" s="193" t="s">
        <v>3716</v>
      </c>
      <c r="D544" s="178" t="s">
        <v>2482</v>
      </c>
      <c r="E544" s="147" t="s">
        <v>3717</v>
      </c>
      <c r="F544" s="178" t="s">
        <v>3718</v>
      </c>
      <c r="G544" s="165" t="s">
        <v>3719</v>
      </c>
      <c r="H544" s="178" t="s">
        <v>36</v>
      </c>
      <c r="I544" s="178" t="s">
        <v>1784</v>
      </c>
      <c r="J544" s="175" t="s">
        <v>1784</v>
      </c>
      <c r="K544" s="163"/>
      <c r="L544" s="163"/>
      <c r="M544" s="163"/>
      <c r="N544" s="163"/>
      <c r="O544" s="163"/>
      <c r="P544" s="163"/>
      <c r="Q544" s="163"/>
      <c r="R544" s="163"/>
      <c r="S544" s="163"/>
      <c r="T544" s="163"/>
      <c r="U544" s="163"/>
      <c r="V544" s="163"/>
      <c r="W544" s="163"/>
      <c r="X544" s="163"/>
      <c r="Y544" s="163"/>
      <c r="Z544" s="163"/>
    </row>
    <row r="545" ht="14.25" customHeight="1">
      <c r="A545" s="194"/>
      <c r="B545" s="193" t="s">
        <v>3715</v>
      </c>
      <c r="C545" s="193" t="s">
        <v>3720</v>
      </c>
      <c r="D545" s="178" t="s">
        <v>2482</v>
      </c>
      <c r="E545" s="192" t="s">
        <v>3721</v>
      </c>
      <c r="F545" s="178" t="s">
        <v>3722</v>
      </c>
      <c r="G545" s="176" t="s">
        <v>3723</v>
      </c>
      <c r="H545" s="178" t="s">
        <v>36</v>
      </c>
      <c r="I545" s="178" t="s">
        <v>1784</v>
      </c>
      <c r="J545" s="175" t="s">
        <v>1784</v>
      </c>
      <c r="K545" s="163"/>
      <c r="L545" s="163"/>
      <c r="M545" s="163"/>
      <c r="N545" s="163"/>
      <c r="O545" s="163"/>
      <c r="P545" s="163"/>
      <c r="Q545" s="163"/>
      <c r="R545" s="163"/>
      <c r="S545" s="163"/>
      <c r="T545" s="163"/>
      <c r="U545" s="163"/>
      <c r="V545" s="163"/>
      <c r="W545" s="163"/>
      <c r="X545" s="163"/>
      <c r="Y545" s="163"/>
      <c r="Z545" s="163"/>
    </row>
    <row r="546" ht="14.25" customHeight="1">
      <c r="A546" s="194"/>
      <c r="B546" s="193" t="s">
        <v>3715</v>
      </c>
      <c r="C546" s="193" t="s">
        <v>3724</v>
      </c>
      <c r="D546" s="178" t="s">
        <v>2482</v>
      </c>
      <c r="E546" s="192" t="s">
        <v>3725</v>
      </c>
      <c r="F546" s="178" t="s">
        <v>3726</v>
      </c>
      <c r="G546" s="176" t="s">
        <v>3727</v>
      </c>
      <c r="H546" s="178" t="s">
        <v>36</v>
      </c>
      <c r="I546" s="178" t="s">
        <v>1784</v>
      </c>
      <c r="J546" s="175" t="s">
        <v>1784</v>
      </c>
      <c r="K546" s="163"/>
      <c r="L546" s="163"/>
      <c r="M546" s="163"/>
      <c r="N546" s="163"/>
      <c r="O546" s="163"/>
      <c r="P546" s="163"/>
      <c r="Q546" s="163"/>
      <c r="R546" s="163"/>
      <c r="S546" s="163"/>
      <c r="T546" s="163"/>
      <c r="U546" s="163"/>
      <c r="V546" s="163"/>
      <c r="W546" s="163"/>
      <c r="X546" s="163"/>
      <c r="Y546" s="163"/>
      <c r="Z546" s="163"/>
    </row>
    <row r="547" ht="14.25" customHeight="1">
      <c r="A547" s="194"/>
      <c r="B547" s="193" t="s">
        <v>3715</v>
      </c>
      <c r="C547" s="193" t="s">
        <v>3728</v>
      </c>
      <c r="D547" s="178" t="s">
        <v>2482</v>
      </c>
      <c r="E547" s="192" t="s">
        <v>3729</v>
      </c>
      <c r="F547" s="178" t="s">
        <v>3730</v>
      </c>
      <c r="G547" s="176" t="s">
        <v>3731</v>
      </c>
      <c r="H547" s="178" t="s">
        <v>36</v>
      </c>
      <c r="I547" s="178" t="s">
        <v>1784</v>
      </c>
      <c r="J547" s="175" t="s">
        <v>1784</v>
      </c>
      <c r="K547" s="163"/>
      <c r="L547" s="163"/>
      <c r="M547" s="163"/>
      <c r="N547" s="163"/>
      <c r="O547" s="163"/>
      <c r="P547" s="163"/>
      <c r="Q547" s="163"/>
      <c r="R547" s="163"/>
      <c r="S547" s="163"/>
      <c r="T547" s="163"/>
      <c r="U547" s="163"/>
      <c r="V547" s="163"/>
      <c r="W547" s="163"/>
      <c r="X547" s="163"/>
      <c r="Y547" s="163"/>
      <c r="Z547" s="163"/>
    </row>
    <row r="548" ht="14.25" customHeight="1">
      <c r="A548" s="194"/>
      <c r="B548" s="193" t="s">
        <v>3715</v>
      </c>
      <c r="C548" s="193" t="s">
        <v>3732</v>
      </c>
      <c r="D548" s="178" t="s">
        <v>2482</v>
      </c>
      <c r="E548" s="192" t="s">
        <v>3733</v>
      </c>
      <c r="F548" s="178" t="s">
        <v>3734</v>
      </c>
      <c r="G548" s="176" t="s">
        <v>3735</v>
      </c>
      <c r="H548" s="178" t="s">
        <v>36</v>
      </c>
      <c r="I548" s="178" t="s">
        <v>1784</v>
      </c>
      <c r="J548" s="175" t="s">
        <v>1784</v>
      </c>
      <c r="K548" s="163"/>
      <c r="L548" s="163"/>
      <c r="M548" s="163"/>
      <c r="N548" s="163"/>
      <c r="O548" s="163"/>
      <c r="P548" s="163"/>
      <c r="Q548" s="163"/>
      <c r="R548" s="163"/>
      <c r="S548" s="163"/>
      <c r="T548" s="163"/>
      <c r="U548" s="163"/>
      <c r="V548" s="163"/>
      <c r="W548" s="163"/>
      <c r="X548" s="163"/>
      <c r="Y548" s="163"/>
      <c r="Z548" s="163"/>
    </row>
    <row r="549" ht="14.25" customHeight="1">
      <c r="A549" s="194"/>
      <c r="B549" s="193" t="s">
        <v>3715</v>
      </c>
      <c r="C549" s="193" t="s">
        <v>3736</v>
      </c>
      <c r="D549" s="178" t="s">
        <v>2482</v>
      </c>
      <c r="E549" s="192" t="s">
        <v>3737</v>
      </c>
      <c r="F549" s="178" t="s">
        <v>3738</v>
      </c>
      <c r="G549" s="176" t="s">
        <v>3739</v>
      </c>
      <c r="H549" s="178" t="s">
        <v>36</v>
      </c>
      <c r="I549" s="178" t="s">
        <v>1784</v>
      </c>
      <c r="J549" s="175" t="s">
        <v>1784</v>
      </c>
      <c r="K549" s="163"/>
      <c r="L549" s="163"/>
      <c r="M549" s="163"/>
      <c r="N549" s="163"/>
      <c r="O549" s="163"/>
      <c r="P549" s="163"/>
      <c r="Q549" s="163"/>
      <c r="R549" s="163"/>
      <c r="S549" s="163"/>
      <c r="T549" s="163"/>
      <c r="U549" s="163"/>
      <c r="V549" s="163"/>
      <c r="W549" s="163"/>
      <c r="X549" s="163"/>
      <c r="Y549" s="163"/>
      <c r="Z549" s="163"/>
    </row>
    <row r="550" ht="14.25" customHeight="1">
      <c r="A550" s="194"/>
      <c r="B550" s="193" t="s">
        <v>3715</v>
      </c>
      <c r="C550" s="193" t="s">
        <v>3740</v>
      </c>
      <c r="D550" s="178" t="s">
        <v>2482</v>
      </c>
      <c r="E550" s="192" t="s">
        <v>3741</v>
      </c>
      <c r="F550" s="178" t="s">
        <v>3742</v>
      </c>
      <c r="G550" s="176" t="s">
        <v>3743</v>
      </c>
      <c r="H550" s="178" t="s">
        <v>36</v>
      </c>
      <c r="I550" s="178" t="s">
        <v>1784</v>
      </c>
      <c r="J550" s="175" t="s">
        <v>1784</v>
      </c>
      <c r="K550" s="163"/>
      <c r="L550" s="163"/>
      <c r="M550" s="163"/>
      <c r="N550" s="163"/>
      <c r="O550" s="163"/>
      <c r="P550" s="163"/>
      <c r="Q550" s="163"/>
      <c r="R550" s="163"/>
      <c r="S550" s="163"/>
      <c r="T550" s="163"/>
      <c r="U550" s="163"/>
      <c r="V550" s="163"/>
      <c r="W550" s="163"/>
      <c r="X550" s="163"/>
      <c r="Y550" s="163"/>
      <c r="Z550" s="163"/>
    </row>
    <row r="551" ht="14.25" customHeight="1">
      <c r="A551" s="194"/>
      <c r="B551" s="193" t="s">
        <v>3715</v>
      </c>
      <c r="C551" s="193" t="s">
        <v>3744</v>
      </c>
      <c r="D551" s="178" t="s">
        <v>2482</v>
      </c>
      <c r="E551" s="192" t="s">
        <v>3745</v>
      </c>
      <c r="F551" s="178" t="s">
        <v>3746</v>
      </c>
      <c r="G551" s="176" t="s">
        <v>3747</v>
      </c>
      <c r="H551" s="178" t="s">
        <v>36</v>
      </c>
      <c r="I551" s="178" t="s">
        <v>1784</v>
      </c>
      <c r="J551" s="175" t="s">
        <v>1784</v>
      </c>
      <c r="K551" s="163"/>
      <c r="L551" s="163"/>
      <c r="M551" s="163"/>
      <c r="N551" s="163"/>
      <c r="O551" s="163"/>
      <c r="P551" s="163"/>
      <c r="Q551" s="163"/>
      <c r="R551" s="163"/>
      <c r="S551" s="163"/>
      <c r="T551" s="163"/>
      <c r="U551" s="163"/>
      <c r="V551" s="163"/>
      <c r="W551" s="163"/>
      <c r="X551" s="163"/>
      <c r="Y551" s="163"/>
      <c r="Z551" s="163"/>
    </row>
    <row r="552" ht="14.25" customHeight="1">
      <c r="A552" s="194"/>
      <c r="B552" s="193" t="s">
        <v>3715</v>
      </c>
      <c r="C552" s="193" t="s">
        <v>3748</v>
      </c>
      <c r="D552" s="178" t="s">
        <v>2482</v>
      </c>
      <c r="E552" s="192" t="s">
        <v>3749</v>
      </c>
      <c r="F552" s="178" t="s">
        <v>3750</v>
      </c>
      <c r="G552" s="176" t="s">
        <v>3735</v>
      </c>
      <c r="H552" s="178" t="s">
        <v>36</v>
      </c>
      <c r="I552" s="178" t="s">
        <v>1784</v>
      </c>
      <c r="J552" s="175" t="s">
        <v>1784</v>
      </c>
      <c r="K552" s="163"/>
      <c r="L552" s="163"/>
      <c r="M552" s="163"/>
      <c r="N552" s="163"/>
      <c r="O552" s="163"/>
      <c r="P552" s="163"/>
      <c r="Q552" s="163"/>
      <c r="R552" s="163"/>
      <c r="S552" s="163"/>
      <c r="T552" s="163"/>
      <c r="U552" s="163"/>
      <c r="V552" s="163"/>
      <c r="W552" s="163"/>
      <c r="X552" s="163"/>
      <c r="Y552" s="163"/>
      <c r="Z552" s="163"/>
    </row>
    <row r="553" ht="14.25" customHeight="1">
      <c r="A553" s="194"/>
      <c r="B553" s="193" t="s">
        <v>3715</v>
      </c>
      <c r="C553" s="193" t="s">
        <v>3751</v>
      </c>
      <c r="D553" s="178" t="s">
        <v>2482</v>
      </c>
      <c r="E553" s="192" t="s">
        <v>3752</v>
      </c>
      <c r="F553" s="178" t="s">
        <v>3753</v>
      </c>
      <c r="G553" s="176" t="s">
        <v>3739</v>
      </c>
      <c r="H553" s="178" t="s">
        <v>36</v>
      </c>
      <c r="I553" s="178" t="s">
        <v>1784</v>
      </c>
      <c r="J553" s="175" t="s">
        <v>1784</v>
      </c>
      <c r="K553" s="163"/>
      <c r="L553" s="163"/>
      <c r="M553" s="163"/>
      <c r="N553" s="163"/>
      <c r="O553" s="163"/>
      <c r="P553" s="163"/>
      <c r="Q553" s="163"/>
      <c r="R553" s="163"/>
      <c r="S553" s="163"/>
      <c r="T553" s="163"/>
      <c r="U553" s="163"/>
      <c r="V553" s="163"/>
      <c r="W553" s="163"/>
      <c r="X553" s="163"/>
      <c r="Y553" s="163"/>
      <c r="Z553" s="163"/>
    </row>
    <row r="554" ht="14.25" customHeight="1">
      <c r="A554" s="194"/>
      <c r="B554" s="193" t="s">
        <v>3715</v>
      </c>
      <c r="C554" s="193" t="s">
        <v>3754</v>
      </c>
      <c r="D554" s="178" t="s">
        <v>2482</v>
      </c>
      <c r="E554" s="192" t="s">
        <v>3755</v>
      </c>
      <c r="F554" s="178" t="s">
        <v>3756</v>
      </c>
      <c r="G554" s="176" t="s">
        <v>3743</v>
      </c>
      <c r="H554" s="178" t="s">
        <v>36</v>
      </c>
      <c r="I554" s="178" t="s">
        <v>1784</v>
      </c>
      <c r="J554" s="175" t="s">
        <v>1784</v>
      </c>
      <c r="K554" s="163"/>
      <c r="L554" s="163"/>
      <c r="M554" s="163"/>
      <c r="N554" s="163"/>
      <c r="O554" s="163"/>
      <c r="P554" s="163"/>
      <c r="Q554" s="163"/>
      <c r="R554" s="163"/>
      <c r="S554" s="163"/>
      <c r="T554" s="163"/>
      <c r="U554" s="163"/>
      <c r="V554" s="163"/>
      <c r="W554" s="163"/>
      <c r="X554" s="163"/>
      <c r="Y554" s="163"/>
      <c r="Z554" s="163"/>
    </row>
    <row r="555" ht="14.25" customHeight="1">
      <c r="A555" s="194"/>
      <c r="B555" s="193" t="s">
        <v>3715</v>
      </c>
      <c r="C555" s="193" t="s">
        <v>3757</v>
      </c>
      <c r="D555" s="178" t="s">
        <v>2482</v>
      </c>
      <c r="E555" s="192" t="s">
        <v>3758</v>
      </c>
      <c r="F555" s="178" t="s">
        <v>3759</v>
      </c>
      <c r="G555" s="176" t="s">
        <v>3747</v>
      </c>
      <c r="H555" s="178" t="s">
        <v>36</v>
      </c>
      <c r="I555" s="178" t="s">
        <v>1784</v>
      </c>
      <c r="J555" s="175" t="s">
        <v>1784</v>
      </c>
      <c r="K555" s="163"/>
      <c r="L555" s="163"/>
      <c r="M555" s="163"/>
      <c r="N555" s="163"/>
      <c r="O555" s="163"/>
      <c r="P555" s="163"/>
      <c r="Q555" s="163"/>
      <c r="R555" s="163"/>
      <c r="S555" s="163"/>
      <c r="T555" s="163"/>
      <c r="U555" s="163"/>
      <c r="V555" s="163"/>
      <c r="W555" s="163"/>
      <c r="X555" s="163"/>
      <c r="Y555" s="163"/>
      <c r="Z555" s="163"/>
    </row>
    <row r="556" ht="14.25" customHeight="1">
      <c r="A556" s="194"/>
      <c r="B556" s="178" t="s">
        <v>3760</v>
      </c>
      <c r="C556" s="193" t="s">
        <v>3761</v>
      </c>
      <c r="D556" s="178" t="s">
        <v>3651</v>
      </c>
      <c r="E556" s="178" t="s">
        <v>3762</v>
      </c>
      <c r="F556" s="178" t="s">
        <v>3763</v>
      </c>
      <c r="G556" s="178" t="s">
        <v>3764</v>
      </c>
      <c r="H556" s="178" t="s">
        <v>36</v>
      </c>
      <c r="I556" s="178" t="s">
        <v>1784</v>
      </c>
      <c r="J556" s="175" t="s">
        <v>1784</v>
      </c>
      <c r="K556" s="163"/>
      <c r="L556" s="163"/>
      <c r="M556" s="163"/>
      <c r="N556" s="163"/>
      <c r="O556" s="163"/>
      <c r="P556" s="163"/>
      <c r="Q556" s="163"/>
      <c r="R556" s="163"/>
      <c r="S556" s="163"/>
      <c r="T556" s="163"/>
      <c r="U556" s="163"/>
      <c r="V556" s="163"/>
      <c r="W556" s="163"/>
      <c r="X556" s="163"/>
      <c r="Y556" s="163"/>
      <c r="Z556" s="163"/>
    </row>
    <row r="557" ht="14.25" customHeight="1">
      <c r="A557" s="194"/>
      <c r="B557" s="178" t="s">
        <v>3760</v>
      </c>
      <c r="C557" s="193" t="s">
        <v>3765</v>
      </c>
      <c r="D557" s="178" t="s">
        <v>3651</v>
      </c>
      <c r="E557" s="178" t="s">
        <v>3766</v>
      </c>
      <c r="F557" s="178" t="s">
        <v>3767</v>
      </c>
      <c r="G557" s="178" t="s">
        <v>3768</v>
      </c>
      <c r="H557" s="178" t="s">
        <v>36</v>
      </c>
      <c r="I557" s="178" t="s">
        <v>1784</v>
      </c>
      <c r="J557" s="175" t="s">
        <v>1784</v>
      </c>
      <c r="K557" s="163"/>
      <c r="L557" s="163"/>
      <c r="M557" s="163"/>
      <c r="N557" s="163"/>
      <c r="O557" s="163"/>
      <c r="P557" s="163"/>
      <c r="Q557" s="163"/>
      <c r="R557" s="163"/>
      <c r="S557" s="163"/>
      <c r="T557" s="163"/>
      <c r="U557" s="163"/>
      <c r="V557" s="163"/>
      <c r="W557" s="163"/>
      <c r="X557" s="163"/>
      <c r="Y557" s="163"/>
      <c r="Z557" s="163"/>
    </row>
    <row r="558" ht="14.25" customHeight="1">
      <c r="A558" s="194"/>
      <c r="B558" s="178" t="s">
        <v>3760</v>
      </c>
      <c r="C558" s="193" t="s">
        <v>3769</v>
      </c>
      <c r="D558" s="178" t="s">
        <v>3651</v>
      </c>
      <c r="E558" s="178" t="s">
        <v>3770</v>
      </c>
      <c r="F558" s="178" t="s">
        <v>3771</v>
      </c>
      <c r="G558" s="178" t="s">
        <v>3772</v>
      </c>
      <c r="H558" s="178" t="s">
        <v>36</v>
      </c>
      <c r="I558" s="178" t="s">
        <v>1784</v>
      </c>
      <c r="J558" s="175" t="s">
        <v>1784</v>
      </c>
      <c r="K558" s="163"/>
      <c r="L558" s="163"/>
      <c r="M558" s="163"/>
      <c r="N558" s="163"/>
      <c r="O558" s="163"/>
      <c r="P558" s="163"/>
      <c r="Q558" s="163"/>
      <c r="R558" s="163"/>
      <c r="S558" s="163"/>
      <c r="T558" s="163"/>
      <c r="U558" s="163"/>
      <c r="V558" s="163"/>
      <c r="W558" s="163"/>
      <c r="X558" s="163"/>
      <c r="Y558" s="163"/>
      <c r="Z558" s="163"/>
    </row>
    <row r="559" ht="14.25" customHeight="1">
      <c r="A559" s="194"/>
      <c r="B559" s="178" t="s">
        <v>3760</v>
      </c>
      <c r="C559" s="193" t="s">
        <v>3773</v>
      </c>
      <c r="D559" s="178" t="s">
        <v>3651</v>
      </c>
      <c r="E559" s="178" t="s">
        <v>3774</v>
      </c>
      <c r="F559" s="178" t="s">
        <v>3775</v>
      </c>
      <c r="G559" s="178" t="s">
        <v>3776</v>
      </c>
      <c r="H559" s="178" t="s">
        <v>36</v>
      </c>
      <c r="I559" s="178" t="s">
        <v>1784</v>
      </c>
      <c r="J559" s="175" t="s">
        <v>1784</v>
      </c>
      <c r="K559" s="163"/>
      <c r="L559" s="163"/>
      <c r="M559" s="163"/>
      <c r="N559" s="163"/>
      <c r="O559" s="163"/>
      <c r="P559" s="163"/>
      <c r="Q559" s="163"/>
      <c r="R559" s="163"/>
      <c r="S559" s="163"/>
      <c r="T559" s="163"/>
      <c r="U559" s="163"/>
      <c r="V559" s="163"/>
      <c r="W559" s="163"/>
      <c r="X559" s="163"/>
      <c r="Y559" s="163"/>
      <c r="Z559" s="163"/>
    </row>
    <row r="560" ht="14.25" customHeight="1">
      <c r="A560" s="194"/>
      <c r="B560" s="178" t="s">
        <v>3760</v>
      </c>
      <c r="C560" s="193" t="s">
        <v>3777</v>
      </c>
      <c r="D560" s="178" t="s">
        <v>3651</v>
      </c>
      <c r="E560" s="178" t="s">
        <v>3778</v>
      </c>
      <c r="F560" s="178" t="s">
        <v>3779</v>
      </c>
      <c r="G560" s="178" t="s">
        <v>3780</v>
      </c>
      <c r="H560" s="178" t="s">
        <v>36</v>
      </c>
      <c r="I560" s="178" t="s">
        <v>1784</v>
      </c>
      <c r="J560" s="175" t="s">
        <v>1784</v>
      </c>
      <c r="K560" s="163"/>
      <c r="L560" s="163"/>
      <c r="M560" s="163"/>
      <c r="N560" s="163"/>
      <c r="O560" s="163"/>
      <c r="P560" s="163"/>
      <c r="Q560" s="163"/>
      <c r="R560" s="163"/>
      <c r="S560" s="163"/>
      <c r="T560" s="163"/>
      <c r="U560" s="163"/>
      <c r="V560" s="163"/>
      <c r="W560" s="163"/>
      <c r="X560" s="163"/>
      <c r="Y560" s="163"/>
      <c r="Z560" s="163"/>
    </row>
    <row r="561" ht="14.25" customHeight="1">
      <c r="A561" s="194"/>
      <c r="B561" s="178" t="s">
        <v>3760</v>
      </c>
      <c r="C561" s="193" t="s">
        <v>3781</v>
      </c>
      <c r="D561" s="178" t="s">
        <v>3651</v>
      </c>
      <c r="E561" s="178" t="s">
        <v>3782</v>
      </c>
      <c r="F561" s="178" t="s">
        <v>3783</v>
      </c>
      <c r="G561" s="178" t="s">
        <v>3784</v>
      </c>
      <c r="H561" s="178" t="s">
        <v>36</v>
      </c>
      <c r="I561" s="178" t="s">
        <v>1784</v>
      </c>
      <c r="J561" s="175" t="s">
        <v>1784</v>
      </c>
      <c r="K561" s="163"/>
      <c r="L561" s="163"/>
      <c r="M561" s="163"/>
      <c r="N561" s="163"/>
      <c r="O561" s="163"/>
      <c r="P561" s="163"/>
      <c r="Q561" s="163"/>
      <c r="R561" s="163"/>
      <c r="S561" s="163"/>
      <c r="T561" s="163"/>
      <c r="U561" s="163"/>
      <c r="V561" s="163"/>
      <c r="W561" s="163"/>
      <c r="X561" s="163"/>
      <c r="Y561" s="163"/>
      <c r="Z561" s="163"/>
    </row>
    <row r="562" ht="14.25" customHeight="1">
      <c r="A562" s="194"/>
      <c r="B562" s="178" t="s">
        <v>3760</v>
      </c>
      <c r="C562" s="193" t="s">
        <v>3785</v>
      </c>
      <c r="D562" s="178" t="s">
        <v>3651</v>
      </c>
      <c r="E562" s="178" t="s">
        <v>3786</v>
      </c>
      <c r="F562" s="178" t="s">
        <v>3787</v>
      </c>
      <c r="G562" s="178" t="s">
        <v>3788</v>
      </c>
      <c r="H562" s="178" t="s">
        <v>36</v>
      </c>
      <c r="I562" s="178" t="s">
        <v>1784</v>
      </c>
      <c r="J562" s="175" t="s">
        <v>1784</v>
      </c>
      <c r="K562" s="163"/>
      <c r="L562" s="163"/>
      <c r="M562" s="163"/>
      <c r="N562" s="163"/>
      <c r="O562" s="163"/>
      <c r="P562" s="163"/>
      <c r="Q562" s="163"/>
      <c r="R562" s="163"/>
      <c r="S562" s="163"/>
      <c r="T562" s="163"/>
      <c r="U562" s="163"/>
      <c r="V562" s="163"/>
      <c r="W562" s="163"/>
      <c r="X562" s="163"/>
      <c r="Y562" s="163"/>
      <c r="Z562" s="163"/>
    </row>
    <row r="563" ht="14.25" customHeight="1">
      <c r="A563" s="194"/>
      <c r="B563" s="178" t="s">
        <v>3760</v>
      </c>
      <c r="C563" s="193" t="s">
        <v>3789</v>
      </c>
      <c r="D563" s="178" t="s">
        <v>3651</v>
      </c>
      <c r="E563" s="178" t="s">
        <v>3790</v>
      </c>
      <c r="F563" s="178" t="s">
        <v>3791</v>
      </c>
      <c r="G563" s="178" t="s">
        <v>3792</v>
      </c>
      <c r="H563" s="178" t="s">
        <v>36</v>
      </c>
      <c r="I563" s="178" t="s">
        <v>1784</v>
      </c>
      <c r="J563" s="175" t="s">
        <v>1784</v>
      </c>
      <c r="K563" s="163"/>
      <c r="L563" s="163"/>
      <c r="M563" s="163"/>
      <c r="N563" s="163"/>
      <c r="O563" s="163"/>
      <c r="P563" s="163"/>
      <c r="Q563" s="163"/>
      <c r="R563" s="163"/>
      <c r="S563" s="163"/>
      <c r="T563" s="163"/>
      <c r="U563" s="163"/>
      <c r="V563" s="163"/>
      <c r="W563" s="163"/>
      <c r="X563" s="163"/>
      <c r="Y563" s="163"/>
      <c r="Z563" s="163"/>
    </row>
    <row r="564" ht="14.25" customHeight="1">
      <c r="A564" s="165" t="s">
        <v>3793</v>
      </c>
      <c r="B564" s="188" t="s">
        <v>3794</v>
      </c>
      <c r="C564" s="191" t="s">
        <v>3795</v>
      </c>
      <c r="D564" s="175" t="s">
        <v>2482</v>
      </c>
      <c r="E564" s="175" t="s">
        <v>3140</v>
      </c>
      <c r="F564" s="175" t="s">
        <v>3141</v>
      </c>
      <c r="G564" s="175" t="s">
        <v>3142</v>
      </c>
      <c r="H564" s="175" t="s">
        <v>36</v>
      </c>
      <c r="I564" s="189"/>
      <c r="J564" s="175" t="s">
        <v>1784</v>
      </c>
      <c r="K564" s="163"/>
      <c r="L564" s="163"/>
      <c r="M564" s="163"/>
      <c r="N564" s="163"/>
      <c r="O564" s="163"/>
      <c r="P564" s="163"/>
      <c r="Q564" s="163"/>
      <c r="R564" s="163"/>
      <c r="S564" s="163"/>
      <c r="T564" s="163"/>
      <c r="U564" s="163"/>
      <c r="V564" s="163"/>
      <c r="W564" s="163"/>
      <c r="X564" s="163"/>
      <c r="Y564" s="163"/>
      <c r="Z564" s="163"/>
    </row>
    <row r="565" ht="14.25" customHeight="1">
      <c r="A565" s="176" t="s">
        <v>3793</v>
      </c>
      <c r="B565" s="108"/>
      <c r="C565" s="193" t="s">
        <v>3796</v>
      </c>
      <c r="D565" s="178" t="s">
        <v>2482</v>
      </c>
      <c r="E565" s="178" t="s">
        <v>3144</v>
      </c>
      <c r="F565" s="178" t="s">
        <v>3145</v>
      </c>
      <c r="G565" s="178" t="s">
        <v>3146</v>
      </c>
      <c r="H565" s="178" t="s">
        <v>36</v>
      </c>
      <c r="I565" s="187"/>
      <c r="J565" s="175" t="s">
        <v>1784</v>
      </c>
      <c r="K565" s="163"/>
      <c r="L565" s="163"/>
      <c r="M565" s="163"/>
      <c r="N565" s="163"/>
      <c r="O565" s="163"/>
      <c r="P565" s="163"/>
      <c r="Q565" s="163"/>
      <c r="R565" s="163"/>
      <c r="S565" s="163"/>
      <c r="T565" s="163"/>
      <c r="U565" s="163"/>
      <c r="V565" s="163"/>
      <c r="W565" s="163"/>
      <c r="X565" s="163"/>
      <c r="Y565" s="163"/>
      <c r="Z565" s="163"/>
    </row>
    <row r="566" ht="14.25" customHeight="1">
      <c r="A566" s="176" t="s">
        <v>3793</v>
      </c>
      <c r="B566" s="108"/>
      <c r="C566" s="193" t="s">
        <v>3797</v>
      </c>
      <c r="D566" s="178" t="s">
        <v>2482</v>
      </c>
      <c r="E566" s="178" t="s">
        <v>3148</v>
      </c>
      <c r="F566" s="178" t="s">
        <v>3149</v>
      </c>
      <c r="G566" s="178" t="s">
        <v>3150</v>
      </c>
      <c r="H566" s="178" t="s">
        <v>36</v>
      </c>
      <c r="I566" s="187"/>
      <c r="J566" s="175" t="s">
        <v>1784</v>
      </c>
      <c r="K566" s="163"/>
      <c r="L566" s="163"/>
      <c r="M566" s="163"/>
      <c r="N566" s="163"/>
      <c r="O566" s="163"/>
      <c r="P566" s="163"/>
      <c r="Q566" s="163"/>
      <c r="R566" s="163"/>
      <c r="S566" s="163"/>
      <c r="T566" s="163"/>
      <c r="U566" s="163"/>
      <c r="V566" s="163"/>
      <c r="W566" s="163"/>
      <c r="X566" s="163"/>
      <c r="Y566" s="163"/>
      <c r="Z566" s="163"/>
    </row>
    <row r="567" ht="14.25" customHeight="1">
      <c r="A567" s="176" t="s">
        <v>3793</v>
      </c>
      <c r="B567" s="108"/>
      <c r="C567" s="193" t="s">
        <v>3798</v>
      </c>
      <c r="D567" s="178" t="s">
        <v>2482</v>
      </c>
      <c r="E567" s="178" t="s">
        <v>3152</v>
      </c>
      <c r="F567" s="178" t="s">
        <v>3153</v>
      </c>
      <c r="G567" s="178" t="s">
        <v>3154</v>
      </c>
      <c r="H567" s="178" t="s">
        <v>36</v>
      </c>
      <c r="I567" s="187"/>
      <c r="J567" s="175" t="s">
        <v>1784</v>
      </c>
      <c r="K567" s="163"/>
      <c r="L567" s="163"/>
      <c r="M567" s="163"/>
      <c r="N567" s="163"/>
      <c r="O567" s="163"/>
      <c r="P567" s="163"/>
      <c r="Q567" s="163"/>
      <c r="R567" s="163"/>
      <c r="S567" s="163"/>
      <c r="T567" s="163"/>
      <c r="U567" s="163"/>
      <c r="V567" s="163"/>
      <c r="W567" s="163"/>
      <c r="X567" s="163"/>
      <c r="Y567" s="163"/>
      <c r="Z567" s="163"/>
    </row>
    <row r="568" ht="14.25" customHeight="1">
      <c r="A568" s="176" t="s">
        <v>3793</v>
      </c>
      <c r="B568" s="108"/>
      <c r="C568" s="193" t="s">
        <v>3799</v>
      </c>
      <c r="D568" s="178" t="s">
        <v>2482</v>
      </c>
      <c r="E568" s="178" t="s">
        <v>3136</v>
      </c>
      <c r="F568" s="178" t="s">
        <v>3137</v>
      </c>
      <c r="G568" s="178" t="s">
        <v>3156</v>
      </c>
      <c r="H568" s="178" t="s">
        <v>36</v>
      </c>
      <c r="I568" s="187"/>
      <c r="J568" s="175" t="s">
        <v>1784</v>
      </c>
      <c r="K568" s="163"/>
      <c r="L568" s="163"/>
      <c r="M568" s="163"/>
      <c r="N568" s="163"/>
      <c r="O568" s="163"/>
      <c r="P568" s="163"/>
      <c r="Q568" s="163"/>
      <c r="R568" s="163"/>
      <c r="S568" s="163"/>
      <c r="T568" s="163"/>
      <c r="U568" s="163"/>
      <c r="V568" s="163"/>
      <c r="W568" s="163"/>
      <c r="X568" s="163"/>
      <c r="Y568" s="163"/>
      <c r="Z568" s="163"/>
    </row>
    <row r="569" ht="14.25" customHeight="1">
      <c r="A569" s="176" t="s">
        <v>3793</v>
      </c>
      <c r="B569" s="108"/>
      <c r="C569" s="193" t="s">
        <v>3800</v>
      </c>
      <c r="D569" s="178" t="s">
        <v>2983</v>
      </c>
      <c r="E569" s="178" t="s">
        <v>3158</v>
      </c>
      <c r="F569" s="178" t="s">
        <v>3159</v>
      </c>
      <c r="G569" s="178" t="s">
        <v>3160</v>
      </c>
      <c r="H569" s="178" t="s">
        <v>317</v>
      </c>
      <c r="I569" s="187"/>
      <c r="J569" s="175" t="s">
        <v>1784</v>
      </c>
      <c r="K569" s="163"/>
      <c r="L569" s="163"/>
      <c r="M569" s="163"/>
      <c r="N569" s="163"/>
      <c r="O569" s="163"/>
      <c r="P569" s="163"/>
      <c r="Q569" s="163"/>
      <c r="R569" s="163"/>
      <c r="S569" s="163"/>
      <c r="T569" s="163"/>
      <c r="U569" s="163"/>
      <c r="V569" s="163"/>
      <c r="W569" s="163"/>
      <c r="X569" s="163"/>
      <c r="Y569" s="163"/>
      <c r="Z569" s="163"/>
    </row>
    <row r="570" ht="14.25" customHeight="1">
      <c r="A570" s="176" t="s">
        <v>3793</v>
      </c>
      <c r="B570" s="109"/>
      <c r="C570" s="193" t="s">
        <v>3801</v>
      </c>
      <c r="D570" s="178" t="s">
        <v>2983</v>
      </c>
      <c r="E570" s="178" t="s">
        <v>3162</v>
      </c>
      <c r="F570" s="178" t="s">
        <v>3163</v>
      </c>
      <c r="G570" s="178" t="s">
        <v>3164</v>
      </c>
      <c r="H570" s="178" t="s">
        <v>36</v>
      </c>
      <c r="I570" s="187"/>
      <c r="J570" s="175" t="s">
        <v>1784</v>
      </c>
      <c r="K570" s="163"/>
      <c r="L570" s="163"/>
      <c r="M570" s="163"/>
      <c r="N570" s="163"/>
      <c r="O570" s="163"/>
      <c r="P570" s="163"/>
      <c r="Q570" s="163"/>
      <c r="R570" s="163"/>
      <c r="S570" s="163"/>
      <c r="T570" s="163"/>
      <c r="U570" s="163"/>
      <c r="V570" s="163"/>
      <c r="W570" s="163"/>
      <c r="X570" s="163"/>
      <c r="Y570" s="163"/>
      <c r="Z570" s="163"/>
    </row>
    <row r="571" ht="14.25" customHeight="1">
      <c r="A571" s="197" t="s">
        <v>3802</v>
      </c>
      <c r="B571" s="188" t="s">
        <v>3803</v>
      </c>
      <c r="C571" s="198" t="s">
        <v>3804</v>
      </c>
      <c r="D571" s="147" t="s">
        <v>2482</v>
      </c>
      <c r="E571" s="191" t="s">
        <v>3805</v>
      </c>
      <c r="F571" s="191" t="s">
        <v>3806</v>
      </c>
      <c r="G571" s="191" t="s">
        <v>3807</v>
      </c>
      <c r="H571" s="175" t="s">
        <v>36</v>
      </c>
      <c r="I571" s="175" t="s">
        <v>1784</v>
      </c>
      <c r="J571" s="175" t="s">
        <v>1784</v>
      </c>
      <c r="K571" s="163"/>
      <c r="L571" s="163"/>
      <c r="M571" s="163"/>
      <c r="N571" s="163"/>
      <c r="O571" s="163"/>
      <c r="P571" s="163"/>
      <c r="Q571" s="163"/>
      <c r="R571" s="163"/>
      <c r="S571" s="163"/>
      <c r="T571" s="163"/>
      <c r="U571" s="163"/>
      <c r="V571" s="163"/>
      <c r="W571" s="163"/>
      <c r="X571" s="163"/>
      <c r="Y571" s="163"/>
      <c r="Z571" s="163"/>
    </row>
    <row r="572" ht="14.25" customHeight="1">
      <c r="A572" s="199" t="s">
        <v>3802</v>
      </c>
      <c r="B572" s="108"/>
      <c r="C572" s="200" t="s">
        <v>3808</v>
      </c>
      <c r="D572" s="192" t="s">
        <v>2482</v>
      </c>
      <c r="E572" s="193" t="s">
        <v>3809</v>
      </c>
      <c r="F572" s="193" t="s">
        <v>3810</v>
      </c>
      <c r="G572" s="193" t="s">
        <v>3811</v>
      </c>
      <c r="H572" s="178" t="s">
        <v>36</v>
      </c>
      <c r="I572" s="178" t="s">
        <v>1784</v>
      </c>
      <c r="J572" s="175" t="s">
        <v>1784</v>
      </c>
      <c r="K572" s="163"/>
      <c r="L572" s="163"/>
      <c r="M572" s="163"/>
      <c r="N572" s="163"/>
      <c r="O572" s="163"/>
      <c r="P572" s="163"/>
      <c r="Q572" s="163"/>
      <c r="R572" s="163"/>
      <c r="S572" s="163"/>
      <c r="T572" s="163"/>
      <c r="U572" s="163"/>
      <c r="V572" s="163"/>
      <c r="W572" s="163"/>
      <c r="X572" s="163"/>
      <c r="Y572" s="163"/>
      <c r="Z572" s="163"/>
    </row>
    <row r="573" ht="14.25" customHeight="1">
      <c r="A573" s="199" t="s">
        <v>3802</v>
      </c>
      <c r="B573" s="108"/>
      <c r="C573" s="200" t="s">
        <v>3812</v>
      </c>
      <c r="D573" s="192" t="s">
        <v>2482</v>
      </c>
      <c r="E573" s="193" t="s">
        <v>3813</v>
      </c>
      <c r="F573" s="193" t="s">
        <v>3814</v>
      </c>
      <c r="G573" s="193" t="s">
        <v>3815</v>
      </c>
      <c r="H573" s="178" t="s">
        <v>36</v>
      </c>
      <c r="I573" s="178" t="s">
        <v>1784</v>
      </c>
      <c r="J573" s="175" t="s">
        <v>1784</v>
      </c>
      <c r="K573" s="163"/>
      <c r="L573" s="163"/>
      <c r="M573" s="163"/>
      <c r="N573" s="163"/>
      <c r="O573" s="163"/>
      <c r="P573" s="163"/>
      <c r="Q573" s="163"/>
      <c r="R573" s="163"/>
      <c r="S573" s="163"/>
      <c r="T573" s="163"/>
      <c r="U573" s="163"/>
      <c r="V573" s="163"/>
      <c r="W573" s="163"/>
      <c r="X573" s="163"/>
      <c r="Y573" s="163"/>
      <c r="Z573" s="163"/>
    </row>
    <row r="574" ht="14.25" customHeight="1">
      <c r="A574" s="199" t="s">
        <v>3802</v>
      </c>
      <c r="B574" s="108"/>
      <c r="C574" s="200" t="s">
        <v>3816</v>
      </c>
      <c r="D574" s="192" t="s">
        <v>2482</v>
      </c>
      <c r="E574" s="193" t="s">
        <v>3817</v>
      </c>
      <c r="F574" s="193" t="s">
        <v>3818</v>
      </c>
      <c r="G574" s="193" t="s">
        <v>3815</v>
      </c>
      <c r="H574" s="178" t="s">
        <v>36</v>
      </c>
      <c r="I574" s="178" t="s">
        <v>1784</v>
      </c>
      <c r="J574" s="175" t="s">
        <v>1784</v>
      </c>
      <c r="K574" s="163"/>
      <c r="L574" s="163"/>
      <c r="M574" s="163"/>
      <c r="N574" s="163"/>
      <c r="O574" s="163"/>
      <c r="P574" s="163"/>
      <c r="Q574" s="163"/>
      <c r="R574" s="163"/>
      <c r="S574" s="163"/>
      <c r="T574" s="163"/>
      <c r="U574" s="163"/>
      <c r="V574" s="163"/>
      <c r="W574" s="163"/>
      <c r="X574" s="163"/>
      <c r="Y574" s="163"/>
      <c r="Z574" s="163"/>
    </row>
    <row r="575" ht="14.25" customHeight="1">
      <c r="A575" s="199" t="s">
        <v>3802</v>
      </c>
      <c r="B575" s="108"/>
      <c r="C575" s="200" t="s">
        <v>3819</v>
      </c>
      <c r="D575" s="192" t="s">
        <v>2482</v>
      </c>
      <c r="E575" s="193" t="s">
        <v>3820</v>
      </c>
      <c r="F575" s="193" t="s">
        <v>3821</v>
      </c>
      <c r="G575" s="193" t="s">
        <v>3822</v>
      </c>
      <c r="H575" s="178" t="s">
        <v>36</v>
      </c>
      <c r="I575" s="178" t="s">
        <v>1784</v>
      </c>
      <c r="J575" s="175" t="s">
        <v>1784</v>
      </c>
      <c r="K575" s="163"/>
      <c r="L575" s="163"/>
      <c r="M575" s="163"/>
      <c r="N575" s="163"/>
      <c r="O575" s="163"/>
      <c r="P575" s="163"/>
      <c r="Q575" s="163"/>
      <c r="R575" s="163"/>
      <c r="S575" s="163"/>
      <c r="T575" s="163"/>
      <c r="U575" s="163"/>
      <c r="V575" s="163"/>
      <c r="W575" s="163"/>
      <c r="X575" s="163"/>
      <c r="Y575" s="163"/>
      <c r="Z575" s="163"/>
    </row>
    <row r="576" ht="14.25" customHeight="1">
      <c r="A576" s="199" t="s">
        <v>3802</v>
      </c>
      <c r="B576" s="108"/>
      <c r="C576" s="200" t="s">
        <v>3823</v>
      </c>
      <c r="D576" s="192" t="s">
        <v>2482</v>
      </c>
      <c r="E576" s="193" t="s">
        <v>3824</v>
      </c>
      <c r="F576" s="193" t="s">
        <v>3821</v>
      </c>
      <c r="G576" s="193" t="s">
        <v>3825</v>
      </c>
      <c r="H576" s="178" t="s">
        <v>36</v>
      </c>
      <c r="I576" s="178" t="s">
        <v>1784</v>
      </c>
      <c r="J576" s="175" t="s">
        <v>1784</v>
      </c>
      <c r="K576" s="163"/>
      <c r="L576" s="163"/>
      <c r="M576" s="163"/>
      <c r="N576" s="163"/>
      <c r="O576" s="163"/>
      <c r="P576" s="163"/>
      <c r="Q576" s="163"/>
      <c r="R576" s="163"/>
      <c r="S576" s="163"/>
      <c r="T576" s="163"/>
      <c r="U576" s="163"/>
      <c r="V576" s="163"/>
      <c r="W576" s="163"/>
      <c r="X576" s="163"/>
      <c r="Y576" s="163"/>
      <c r="Z576" s="163"/>
    </row>
    <row r="577" ht="14.25" customHeight="1">
      <c r="A577" s="199" t="s">
        <v>3802</v>
      </c>
      <c r="B577" s="109"/>
      <c r="C577" s="200" t="s">
        <v>3826</v>
      </c>
      <c r="D577" s="192" t="s">
        <v>2482</v>
      </c>
      <c r="E577" s="193" t="s">
        <v>3827</v>
      </c>
      <c r="F577" s="193" t="s">
        <v>3828</v>
      </c>
      <c r="G577" s="193" t="s">
        <v>3829</v>
      </c>
      <c r="H577" s="178" t="s">
        <v>36</v>
      </c>
      <c r="I577" s="178" t="s">
        <v>1784</v>
      </c>
      <c r="J577" s="175" t="s">
        <v>1784</v>
      </c>
      <c r="K577" s="163"/>
      <c r="L577" s="163"/>
      <c r="M577" s="163"/>
      <c r="N577" s="163"/>
      <c r="O577" s="163"/>
      <c r="P577" s="163"/>
      <c r="Q577" s="163"/>
      <c r="R577" s="163"/>
      <c r="S577" s="163"/>
      <c r="T577" s="163"/>
      <c r="U577" s="163"/>
      <c r="V577" s="163"/>
      <c r="W577" s="163"/>
      <c r="X577" s="163"/>
      <c r="Y577" s="163"/>
      <c r="Z577" s="163"/>
    </row>
    <row r="578" ht="14.25" customHeight="1">
      <c r="A578" s="197" t="s">
        <v>3830</v>
      </c>
      <c r="B578" s="188" t="s">
        <v>3831</v>
      </c>
      <c r="C578" s="198" t="s">
        <v>3832</v>
      </c>
      <c r="D578" s="147" t="s">
        <v>2482</v>
      </c>
      <c r="E578" s="191" t="s">
        <v>3833</v>
      </c>
      <c r="F578" s="191" t="s">
        <v>3834</v>
      </c>
      <c r="G578" s="191" t="s">
        <v>3835</v>
      </c>
      <c r="H578" s="175" t="s">
        <v>36</v>
      </c>
      <c r="I578" s="163"/>
      <c r="J578" s="175" t="s">
        <v>1784</v>
      </c>
      <c r="K578" s="163"/>
      <c r="L578" s="163"/>
      <c r="M578" s="163"/>
      <c r="N578" s="163"/>
      <c r="O578" s="163"/>
      <c r="P578" s="163"/>
      <c r="Q578" s="163"/>
      <c r="R578" s="163"/>
      <c r="S578" s="163"/>
      <c r="T578" s="163"/>
      <c r="U578" s="163"/>
      <c r="V578" s="163"/>
      <c r="W578" s="163"/>
      <c r="X578" s="163"/>
      <c r="Y578" s="163"/>
      <c r="Z578" s="163"/>
    </row>
    <row r="579" ht="14.25" customHeight="1">
      <c r="A579" s="199" t="s">
        <v>3830</v>
      </c>
      <c r="B579" s="108"/>
      <c r="C579" s="200" t="s">
        <v>3836</v>
      </c>
      <c r="D579" s="192" t="s">
        <v>2482</v>
      </c>
      <c r="E579" s="193" t="s">
        <v>3837</v>
      </c>
      <c r="F579" s="193" t="s">
        <v>3838</v>
      </c>
      <c r="G579" s="193" t="s">
        <v>3835</v>
      </c>
      <c r="H579" s="178" t="s">
        <v>36</v>
      </c>
      <c r="I579" s="163"/>
      <c r="J579" s="175" t="s">
        <v>1784</v>
      </c>
      <c r="K579" s="163"/>
      <c r="L579" s="163"/>
      <c r="M579" s="163"/>
      <c r="N579" s="163"/>
      <c r="O579" s="163"/>
      <c r="P579" s="163"/>
      <c r="Q579" s="163"/>
      <c r="R579" s="163"/>
      <c r="S579" s="163"/>
      <c r="T579" s="163"/>
      <c r="U579" s="163"/>
      <c r="V579" s="163"/>
      <c r="W579" s="163"/>
      <c r="X579" s="163"/>
      <c r="Y579" s="163"/>
      <c r="Z579" s="163"/>
    </row>
    <row r="580" ht="14.25" customHeight="1">
      <c r="A580" s="199" t="s">
        <v>3830</v>
      </c>
      <c r="B580" s="108"/>
      <c r="C580" s="200" t="s">
        <v>3839</v>
      </c>
      <c r="D580" s="192" t="s">
        <v>2482</v>
      </c>
      <c r="E580" s="193" t="s">
        <v>3840</v>
      </c>
      <c r="F580" s="193" t="s">
        <v>3841</v>
      </c>
      <c r="G580" s="193" t="s">
        <v>3835</v>
      </c>
      <c r="H580" s="178" t="s">
        <v>36</v>
      </c>
      <c r="I580" s="163"/>
      <c r="J580" s="175" t="s">
        <v>1784</v>
      </c>
      <c r="K580" s="163"/>
      <c r="L580" s="163"/>
      <c r="M580" s="163"/>
      <c r="N580" s="163"/>
      <c r="O580" s="163"/>
      <c r="P580" s="163"/>
      <c r="Q580" s="163"/>
      <c r="R580" s="163"/>
      <c r="S580" s="163"/>
      <c r="T580" s="163"/>
      <c r="U580" s="163"/>
      <c r="V580" s="163"/>
      <c r="W580" s="163"/>
      <c r="X580" s="163"/>
      <c r="Y580" s="163"/>
      <c r="Z580" s="163"/>
    </row>
    <row r="581" ht="14.25" customHeight="1">
      <c r="A581" s="199" t="s">
        <v>3830</v>
      </c>
      <c r="B581" s="108"/>
      <c r="C581" s="200" t="s">
        <v>3842</v>
      </c>
      <c r="D581" s="192" t="s">
        <v>2482</v>
      </c>
      <c r="E581" s="193" t="s">
        <v>3843</v>
      </c>
      <c r="F581" s="193" t="s">
        <v>3844</v>
      </c>
      <c r="G581" s="193" t="s">
        <v>3845</v>
      </c>
      <c r="H581" s="178" t="s">
        <v>36</v>
      </c>
      <c r="I581" s="163"/>
      <c r="J581" s="175" t="s">
        <v>1784</v>
      </c>
      <c r="K581" s="163"/>
      <c r="L581" s="163"/>
      <c r="M581" s="163"/>
      <c r="N581" s="163"/>
      <c r="O581" s="163"/>
      <c r="P581" s="163"/>
      <c r="Q581" s="163"/>
      <c r="R581" s="163"/>
      <c r="S581" s="163"/>
      <c r="T581" s="163"/>
      <c r="U581" s="163"/>
      <c r="V581" s="163"/>
      <c r="W581" s="163"/>
      <c r="X581" s="163"/>
      <c r="Y581" s="163"/>
      <c r="Z581" s="163"/>
    </row>
    <row r="582" ht="14.25" customHeight="1">
      <c r="A582" s="199" t="s">
        <v>3830</v>
      </c>
      <c r="B582" s="108"/>
      <c r="C582" s="200" t="s">
        <v>3846</v>
      </c>
      <c r="D582" s="192" t="s">
        <v>2482</v>
      </c>
      <c r="E582" s="193" t="s">
        <v>3847</v>
      </c>
      <c r="F582" s="193" t="s">
        <v>3848</v>
      </c>
      <c r="G582" s="193" t="s">
        <v>3845</v>
      </c>
      <c r="H582" s="178" t="s">
        <v>36</v>
      </c>
      <c r="I582" s="163"/>
      <c r="J582" s="175" t="s">
        <v>1784</v>
      </c>
      <c r="K582" s="163"/>
      <c r="L582" s="163"/>
      <c r="M582" s="163"/>
      <c r="N582" s="163"/>
      <c r="O582" s="163"/>
      <c r="P582" s="163"/>
      <c r="Q582" s="163"/>
      <c r="R582" s="163"/>
      <c r="S582" s="163"/>
      <c r="T582" s="163"/>
      <c r="U582" s="163"/>
      <c r="V582" s="163"/>
      <c r="W582" s="163"/>
      <c r="X582" s="163"/>
      <c r="Y582" s="163"/>
      <c r="Z582" s="163"/>
    </row>
    <row r="583" ht="14.25" customHeight="1">
      <c r="A583" s="199" t="s">
        <v>3830</v>
      </c>
      <c r="B583" s="108"/>
      <c r="C583" s="200" t="s">
        <v>3849</v>
      </c>
      <c r="D583" s="192" t="s">
        <v>2482</v>
      </c>
      <c r="E583" s="193" t="s">
        <v>3850</v>
      </c>
      <c r="F583" s="193" t="s">
        <v>3851</v>
      </c>
      <c r="G583" s="193" t="s">
        <v>3845</v>
      </c>
      <c r="H583" s="178" t="s">
        <v>36</v>
      </c>
      <c r="I583" s="163"/>
      <c r="J583" s="175" t="s">
        <v>1784</v>
      </c>
      <c r="K583" s="163"/>
      <c r="L583" s="163"/>
      <c r="M583" s="163"/>
      <c r="N583" s="163"/>
      <c r="O583" s="163"/>
      <c r="P583" s="163"/>
      <c r="Q583" s="163"/>
      <c r="R583" s="163"/>
      <c r="S583" s="163"/>
      <c r="T583" s="163"/>
      <c r="U583" s="163"/>
      <c r="V583" s="163"/>
      <c r="W583" s="163"/>
      <c r="X583" s="163"/>
      <c r="Y583" s="163"/>
      <c r="Z583" s="163"/>
    </row>
    <row r="584" ht="14.25" customHeight="1">
      <c r="A584" s="199" t="s">
        <v>3830</v>
      </c>
      <c r="B584" s="108"/>
      <c r="C584" s="200" t="s">
        <v>3852</v>
      </c>
      <c r="D584" s="192" t="s">
        <v>2482</v>
      </c>
      <c r="E584" s="193" t="s">
        <v>3853</v>
      </c>
      <c r="F584" s="193" t="s">
        <v>3854</v>
      </c>
      <c r="G584" s="193" t="s">
        <v>3855</v>
      </c>
      <c r="H584" s="178" t="s">
        <v>36</v>
      </c>
      <c r="I584" s="163"/>
      <c r="J584" s="175" t="s">
        <v>1784</v>
      </c>
      <c r="K584" s="163"/>
      <c r="L584" s="163"/>
      <c r="M584" s="163"/>
      <c r="N584" s="163"/>
      <c r="O584" s="163"/>
      <c r="P584" s="163"/>
      <c r="Q584" s="163"/>
      <c r="R584" s="163"/>
      <c r="S584" s="163"/>
      <c r="T584" s="163"/>
      <c r="U584" s="163"/>
      <c r="V584" s="163"/>
      <c r="W584" s="163"/>
      <c r="X584" s="163"/>
      <c r="Y584" s="163"/>
      <c r="Z584" s="163"/>
    </row>
    <row r="585" ht="14.25" customHeight="1">
      <c r="A585" s="199" t="s">
        <v>3830</v>
      </c>
      <c r="B585" s="108"/>
      <c r="C585" s="200" t="s">
        <v>3856</v>
      </c>
      <c r="D585" s="192" t="s">
        <v>2482</v>
      </c>
      <c r="E585" s="193" t="s">
        <v>3857</v>
      </c>
      <c r="F585" s="193" t="s">
        <v>3854</v>
      </c>
      <c r="G585" s="193" t="s">
        <v>3855</v>
      </c>
      <c r="H585" s="178" t="s">
        <v>36</v>
      </c>
      <c r="I585" s="163"/>
      <c r="J585" s="175" t="s">
        <v>1784</v>
      </c>
      <c r="K585" s="163"/>
      <c r="L585" s="163"/>
      <c r="M585" s="163"/>
      <c r="N585" s="163"/>
      <c r="O585" s="163"/>
      <c r="P585" s="163"/>
      <c r="Q585" s="163"/>
      <c r="R585" s="163"/>
      <c r="S585" s="163"/>
      <c r="T585" s="163"/>
      <c r="U585" s="163"/>
      <c r="V585" s="163"/>
      <c r="W585" s="163"/>
      <c r="X585" s="163"/>
      <c r="Y585" s="163"/>
      <c r="Z585" s="163"/>
    </row>
    <row r="586" ht="14.25" customHeight="1">
      <c r="A586" s="199" t="s">
        <v>3830</v>
      </c>
      <c r="B586" s="109"/>
      <c r="C586" s="200" t="s">
        <v>3858</v>
      </c>
      <c r="D586" s="192" t="s">
        <v>2482</v>
      </c>
      <c r="E586" s="193" t="s">
        <v>3859</v>
      </c>
      <c r="F586" s="193" t="s">
        <v>3860</v>
      </c>
      <c r="G586" s="193" t="s">
        <v>3855</v>
      </c>
      <c r="H586" s="178" t="s">
        <v>36</v>
      </c>
      <c r="I586" s="163"/>
      <c r="J586" s="175" t="s">
        <v>1784</v>
      </c>
      <c r="K586" s="163"/>
      <c r="L586" s="163"/>
      <c r="M586" s="163"/>
      <c r="N586" s="163"/>
      <c r="O586" s="163"/>
      <c r="P586" s="163"/>
      <c r="Q586" s="163"/>
      <c r="R586" s="163"/>
      <c r="S586" s="163"/>
      <c r="T586" s="163"/>
      <c r="U586" s="163"/>
      <c r="V586" s="163"/>
      <c r="W586" s="163"/>
      <c r="X586" s="163"/>
      <c r="Y586" s="163"/>
      <c r="Z586" s="163"/>
    </row>
    <row r="587" ht="14.25" customHeight="1">
      <c r="A587" s="197" t="s">
        <v>3861</v>
      </c>
      <c r="B587" s="188" t="s">
        <v>3862</v>
      </c>
      <c r="C587" s="198" t="s">
        <v>3863</v>
      </c>
      <c r="D587" s="147" t="s">
        <v>2482</v>
      </c>
      <c r="E587" s="191" t="s">
        <v>3864</v>
      </c>
      <c r="F587" s="191" t="s">
        <v>3865</v>
      </c>
      <c r="G587" s="191" t="s">
        <v>3866</v>
      </c>
      <c r="H587" s="175" t="s">
        <v>36</v>
      </c>
      <c r="I587" s="163"/>
      <c r="J587" s="175" t="s">
        <v>1784</v>
      </c>
      <c r="K587" s="163"/>
      <c r="L587" s="163"/>
      <c r="M587" s="163"/>
      <c r="N587" s="163"/>
      <c r="O587" s="163"/>
      <c r="P587" s="163"/>
      <c r="Q587" s="163"/>
      <c r="R587" s="163"/>
      <c r="S587" s="163"/>
      <c r="T587" s="163"/>
      <c r="U587" s="163"/>
      <c r="V587" s="163"/>
      <c r="W587" s="163"/>
      <c r="X587" s="163"/>
      <c r="Y587" s="163"/>
      <c r="Z587" s="163"/>
    </row>
    <row r="588" ht="14.25" customHeight="1">
      <c r="A588" s="199" t="s">
        <v>3861</v>
      </c>
      <c r="B588" s="108"/>
      <c r="C588" s="200" t="s">
        <v>3867</v>
      </c>
      <c r="D588" s="192" t="s">
        <v>2482</v>
      </c>
      <c r="E588" s="193" t="s">
        <v>3868</v>
      </c>
      <c r="F588" s="193" t="s">
        <v>3869</v>
      </c>
      <c r="G588" s="193" t="s">
        <v>3870</v>
      </c>
      <c r="H588" s="178" t="s">
        <v>36</v>
      </c>
      <c r="I588" s="163"/>
      <c r="J588" s="175" t="s">
        <v>1784</v>
      </c>
      <c r="K588" s="163"/>
      <c r="L588" s="163"/>
      <c r="M588" s="163"/>
      <c r="N588" s="163"/>
      <c r="O588" s="163"/>
      <c r="P588" s="163"/>
      <c r="Q588" s="163"/>
      <c r="R588" s="163"/>
      <c r="S588" s="163"/>
      <c r="T588" s="163"/>
      <c r="U588" s="163"/>
      <c r="V588" s="163"/>
      <c r="W588" s="163"/>
      <c r="X588" s="163"/>
      <c r="Y588" s="163"/>
      <c r="Z588" s="163"/>
    </row>
    <row r="589" ht="14.25" customHeight="1">
      <c r="A589" s="199" t="s">
        <v>3861</v>
      </c>
      <c r="B589" s="108"/>
      <c r="C589" s="200" t="s">
        <v>3871</v>
      </c>
      <c r="D589" s="192" t="s">
        <v>2482</v>
      </c>
      <c r="E589" s="193" t="s">
        <v>3872</v>
      </c>
      <c r="F589" s="193" t="s">
        <v>3873</v>
      </c>
      <c r="G589" s="193" t="s">
        <v>3874</v>
      </c>
      <c r="H589" s="178" t="s">
        <v>36</v>
      </c>
      <c r="I589" s="163"/>
      <c r="J589" s="175" t="s">
        <v>1784</v>
      </c>
      <c r="K589" s="163"/>
      <c r="L589" s="163"/>
      <c r="M589" s="163"/>
      <c r="N589" s="163"/>
      <c r="O589" s="163"/>
      <c r="P589" s="163"/>
      <c r="Q589" s="163"/>
      <c r="R589" s="163"/>
      <c r="S589" s="163"/>
      <c r="T589" s="163"/>
      <c r="U589" s="163"/>
      <c r="V589" s="163"/>
      <c r="W589" s="163"/>
      <c r="X589" s="163"/>
      <c r="Y589" s="163"/>
      <c r="Z589" s="163"/>
    </row>
    <row r="590" ht="14.25" customHeight="1">
      <c r="A590" s="199" t="s">
        <v>3861</v>
      </c>
      <c r="B590" s="108"/>
      <c r="C590" s="200" t="s">
        <v>3875</v>
      </c>
      <c r="D590" s="192" t="s">
        <v>2482</v>
      </c>
      <c r="E590" s="193" t="s">
        <v>3876</v>
      </c>
      <c r="F590" s="193" t="s">
        <v>3877</v>
      </c>
      <c r="G590" s="193" t="s">
        <v>3878</v>
      </c>
      <c r="H590" s="178" t="s">
        <v>36</v>
      </c>
      <c r="I590" s="163"/>
      <c r="J590" s="175" t="s">
        <v>1784</v>
      </c>
      <c r="K590" s="163"/>
      <c r="L590" s="163"/>
      <c r="M590" s="163"/>
      <c r="N590" s="163"/>
      <c r="O590" s="163"/>
      <c r="P590" s="163"/>
      <c r="Q590" s="163"/>
      <c r="R590" s="163"/>
      <c r="S590" s="163"/>
      <c r="T590" s="163"/>
      <c r="U590" s="163"/>
      <c r="V590" s="163"/>
      <c r="W590" s="163"/>
      <c r="X590" s="163"/>
      <c r="Y590" s="163"/>
      <c r="Z590" s="163"/>
    </row>
    <row r="591" ht="14.25" customHeight="1">
      <c r="A591" s="199" t="s">
        <v>3861</v>
      </c>
      <c r="B591" s="108"/>
      <c r="C591" s="200" t="s">
        <v>3879</v>
      </c>
      <c r="D591" s="192" t="s">
        <v>2482</v>
      </c>
      <c r="E591" s="193" t="s">
        <v>3880</v>
      </c>
      <c r="F591" s="193" t="s">
        <v>3881</v>
      </c>
      <c r="G591" s="193" t="s">
        <v>3882</v>
      </c>
      <c r="H591" s="178" t="s">
        <v>36</v>
      </c>
      <c r="I591" s="163"/>
      <c r="J591" s="175" t="s">
        <v>1784</v>
      </c>
      <c r="K591" s="163"/>
      <c r="L591" s="163"/>
      <c r="M591" s="163"/>
      <c r="N591" s="163"/>
      <c r="O591" s="163"/>
      <c r="P591" s="163"/>
      <c r="Q591" s="163"/>
      <c r="R591" s="163"/>
      <c r="S591" s="163"/>
      <c r="T591" s="163"/>
      <c r="U591" s="163"/>
      <c r="V591" s="163"/>
      <c r="W591" s="163"/>
      <c r="X591" s="163"/>
      <c r="Y591" s="163"/>
      <c r="Z591" s="163"/>
    </row>
    <row r="592" ht="14.25" customHeight="1">
      <c r="A592" s="199" t="s">
        <v>3861</v>
      </c>
      <c r="B592" s="108"/>
      <c r="C592" s="200" t="s">
        <v>3883</v>
      </c>
      <c r="D592" s="192" t="s">
        <v>2482</v>
      </c>
      <c r="E592" s="193" t="s">
        <v>3884</v>
      </c>
      <c r="F592" s="193" t="s">
        <v>3885</v>
      </c>
      <c r="G592" s="193" t="s">
        <v>3886</v>
      </c>
      <c r="H592" s="178" t="s">
        <v>36</v>
      </c>
      <c r="I592" s="163"/>
      <c r="J592" s="175" t="s">
        <v>1784</v>
      </c>
      <c r="K592" s="163"/>
      <c r="L592" s="163"/>
      <c r="M592" s="163"/>
      <c r="N592" s="163"/>
      <c r="O592" s="163"/>
      <c r="P592" s="163"/>
      <c r="Q592" s="163"/>
      <c r="R592" s="163"/>
      <c r="S592" s="163"/>
      <c r="T592" s="163"/>
      <c r="U592" s="163"/>
      <c r="V592" s="163"/>
      <c r="W592" s="163"/>
      <c r="X592" s="163"/>
      <c r="Y592" s="163"/>
      <c r="Z592" s="163"/>
    </row>
    <row r="593" ht="14.25" customHeight="1">
      <c r="A593" s="199" t="s">
        <v>3861</v>
      </c>
      <c r="B593" s="109"/>
      <c r="C593" s="200" t="s">
        <v>3887</v>
      </c>
      <c r="D593" s="192" t="s">
        <v>2482</v>
      </c>
      <c r="E593" s="193" t="s">
        <v>3888</v>
      </c>
      <c r="F593" s="193" t="s">
        <v>3889</v>
      </c>
      <c r="G593" s="193" t="s">
        <v>3890</v>
      </c>
      <c r="H593" s="178" t="s">
        <v>36</v>
      </c>
      <c r="I593" s="163"/>
      <c r="J593" s="175" t="s">
        <v>1784</v>
      </c>
      <c r="K593" s="163"/>
      <c r="L593" s="163"/>
      <c r="M593" s="163"/>
      <c r="N593" s="163"/>
      <c r="O593" s="163"/>
      <c r="P593" s="163"/>
      <c r="Q593" s="163"/>
      <c r="R593" s="163"/>
      <c r="S593" s="163"/>
      <c r="T593" s="163"/>
      <c r="U593" s="163"/>
      <c r="V593" s="163"/>
      <c r="W593" s="163"/>
      <c r="X593" s="163"/>
      <c r="Y593" s="163"/>
      <c r="Z593" s="163"/>
    </row>
    <row r="594" ht="14.25" customHeight="1">
      <c r="A594" s="197" t="s">
        <v>3891</v>
      </c>
      <c r="B594" s="188" t="s">
        <v>3892</v>
      </c>
      <c r="C594" s="198" t="s">
        <v>3893</v>
      </c>
      <c r="D594" s="147" t="s">
        <v>2482</v>
      </c>
      <c r="E594" s="191" t="s">
        <v>3894</v>
      </c>
      <c r="F594" s="191" t="s">
        <v>3895</v>
      </c>
      <c r="G594" s="191" t="s">
        <v>3896</v>
      </c>
      <c r="H594" s="175" t="s">
        <v>36</v>
      </c>
      <c r="I594" s="163"/>
      <c r="J594" s="175" t="s">
        <v>1784</v>
      </c>
      <c r="K594" s="163"/>
      <c r="L594" s="163"/>
      <c r="M594" s="163"/>
      <c r="N594" s="163"/>
      <c r="O594" s="163"/>
      <c r="P594" s="163"/>
      <c r="Q594" s="163"/>
      <c r="R594" s="163"/>
      <c r="S594" s="163"/>
      <c r="T594" s="163"/>
      <c r="U594" s="163"/>
      <c r="V594" s="163"/>
      <c r="W594" s="163"/>
      <c r="X594" s="163"/>
      <c r="Y594" s="163"/>
      <c r="Z594" s="163"/>
    </row>
    <row r="595" ht="14.25" customHeight="1">
      <c r="A595" s="199" t="s">
        <v>3891</v>
      </c>
      <c r="B595" s="108"/>
      <c r="C595" s="200" t="s">
        <v>3897</v>
      </c>
      <c r="D595" s="192" t="s">
        <v>2482</v>
      </c>
      <c r="E595" s="193" t="s">
        <v>3898</v>
      </c>
      <c r="F595" s="193" t="s">
        <v>3899</v>
      </c>
      <c r="G595" s="193" t="s">
        <v>3900</v>
      </c>
      <c r="H595" s="178" t="s">
        <v>36</v>
      </c>
      <c r="I595" s="163"/>
      <c r="J595" s="175" t="s">
        <v>1784</v>
      </c>
      <c r="K595" s="163"/>
      <c r="L595" s="163"/>
      <c r="M595" s="163"/>
      <c r="N595" s="163"/>
      <c r="O595" s="163"/>
      <c r="P595" s="163"/>
      <c r="Q595" s="163"/>
      <c r="R595" s="163"/>
      <c r="S595" s="163"/>
      <c r="T595" s="163"/>
      <c r="U595" s="163"/>
      <c r="V595" s="163"/>
      <c r="W595" s="163"/>
      <c r="X595" s="163"/>
      <c r="Y595" s="163"/>
      <c r="Z595" s="163"/>
    </row>
    <row r="596" ht="14.25" customHeight="1">
      <c r="A596" s="199" t="s">
        <v>3891</v>
      </c>
      <c r="B596" s="108"/>
      <c r="C596" s="200" t="s">
        <v>3901</v>
      </c>
      <c r="D596" s="192" t="s">
        <v>2482</v>
      </c>
      <c r="E596" s="193" t="s">
        <v>3902</v>
      </c>
      <c r="F596" s="193" t="s">
        <v>3903</v>
      </c>
      <c r="G596" s="193" t="s">
        <v>3904</v>
      </c>
      <c r="H596" s="178" t="s">
        <v>36</v>
      </c>
      <c r="I596" s="163"/>
      <c r="J596" s="175" t="s">
        <v>1784</v>
      </c>
      <c r="K596" s="163"/>
      <c r="L596" s="163"/>
      <c r="M596" s="163"/>
      <c r="N596" s="163"/>
      <c r="O596" s="163"/>
      <c r="P596" s="163"/>
      <c r="Q596" s="163"/>
      <c r="R596" s="163"/>
      <c r="S596" s="163"/>
      <c r="T596" s="163"/>
      <c r="U596" s="163"/>
      <c r="V596" s="163"/>
      <c r="W596" s="163"/>
      <c r="X596" s="163"/>
      <c r="Y596" s="163"/>
      <c r="Z596" s="163"/>
    </row>
    <row r="597" ht="14.25" customHeight="1">
      <c r="A597" s="199" t="s">
        <v>3891</v>
      </c>
      <c r="B597" s="108"/>
      <c r="C597" s="200" t="s">
        <v>3905</v>
      </c>
      <c r="D597" s="192" t="s">
        <v>2482</v>
      </c>
      <c r="E597" s="193" t="s">
        <v>3906</v>
      </c>
      <c r="F597" s="193" t="s">
        <v>3907</v>
      </c>
      <c r="G597" s="193" t="s">
        <v>3908</v>
      </c>
      <c r="H597" s="178" t="s">
        <v>36</v>
      </c>
      <c r="I597" s="163"/>
      <c r="J597" s="175" t="s">
        <v>1784</v>
      </c>
      <c r="K597" s="163"/>
      <c r="L597" s="163"/>
      <c r="M597" s="163"/>
      <c r="N597" s="163"/>
      <c r="O597" s="163"/>
      <c r="P597" s="163"/>
      <c r="Q597" s="163"/>
      <c r="R597" s="163"/>
      <c r="S597" s="163"/>
      <c r="T597" s="163"/>
      <c r="U597" s="163"/>
      <c r="V597" s="163"/>
      <c r="W597" s="163"/>
      <c r="X597" s="163"/>
      <c r="Y597" s="163"/>
      <c r="Z597" s="163"/>
    </row>
    <row r="598" ht="14.25" customHeight="1">
      <c r="A598" s="199" t="s">
        <v>3891</v>
      </c>
      <c r="B598" s="108"/>
      <c r="C598" s="200" t="s">
        <v>3909</v>
      </c>
      <c r="D598" s="192" t="s">
        <v>2482</v>
      </c>
      <c r="E598" s="193" t="s">
        <v>3910</v>
      </c>
      <c r="F598" s="193" t="s">
        <v>3911</v>
      </c>
      <c r="G598" s="193" t="s">
        <v>3912</v>
      </c>
      <c r="H598" s="178" t="s">
        <v>36</v>
      </c>
      <c r="I598" s="163"/>
      <c r="J598" s="175" t="s">
        <v>1784</v>
      </c>
      <c r="K598" s="163"/>
      <c r="L598" s="163"/>
      <c r="M598" s="163"/>
      <c r="N598" s="163"/>
      <c r="O598" s="163"/>
      <c r="P598" s="163"/>
      <c r="Q598" s="163"/>
      <c r="R598" s="163"/>
      <c r="S598" s="163"/>
      <c r="T598" s="163"/>
      <c r="U598" s="163"/>
      <c r="V598" s="163"/>
      <c r="W598" s="163"/>
      <c r="X598" s="163"/>
      <c r="Y598" s="163"/>
      <c r="Z598" s="163"/>
    </row>
    <row r="599" ht="14.25" customHeight="1">
      <c r="A599" s="199" t="s">
        <v>3891</v>
      </c>
      <c r="B599" s="108"/>
      <c r="C599" s="200" t="s">
        <v>3913</v>
      </c>
      <c r="D599" s="192" t="s">
        <v>2482</v>
      </c>
      <c r="E599" s="193" t="s">
        <v>3914</v>
      </c>
      <c r="F599" s="193" t="s">
        <v>3915</v>
      </c>
      <c r="G599" s="193" t="s">
        <v>3916</v>
      </c>
      <c r="H599" s="178" t="s">
        <v>36</v>
      </c>
      <c r="I599" s="163"/>
      <c r="J599" s="175" t="s">
        <v>1784</v>
      </c>
      <c r="K599" s="163"/>
      <c r="L599" s="163"/>
      <c r="M599" s="163"/>
      <c r="N599" s="163"/>
      <c r="O599" s="163"/>
      <c r="P599" s="163"/>
      <c r="Q599" s="163"/>
      <c r="R599" s="163"/>
      <c r="S599" s="163"/>
      <c r="T599" s="163"/>
      <c r="U599" s="163"/>
      <c r="V599" s="163"/>
      <c r="W599" s="163"/>
      <c r="X599" s="163"/>
      <c r="Y599" s="163"/>
      <c r="Z599" s="163"/>
    </row>
    <row r="600" ht="14.25" customHeight="1">
      <c r="A600" s="199" t="s">
        <v>3891</v>
      </c>
      <c r="B600" s="108"/>
      <c r="C600" s="200" t="s">
        <v>3917</v>
      </c>
      <c r="D600" s="192" t="s">
        <v>2482</v>
      </c>
      <c r="E600" s="193" t="s">
        <v>3918</v>
      </c>
      <c r="F600" s="193" t="s">
        <v>3919</v>
      </c>
      <c r="G600" s="193" t="s">
        <v>3920</v>
      </c>
      <c r="H600" s="178" t="s">
        <v>36</v>
      </c>
      <c r="I600" s="163"/>
      <c r="J600" s="175" t="s">
        <v>1784</v>
      </c>
      <c r="K600" s="163"/>
      <c r="L600" s="163"/>
      <c r="M600" s="163"/>
      <c r="N600" s="163"/>
      <c r="O600" s="163"/>
      <c r="P600" s="163"/>
      <c r="Q600" s="163"/>
      <c r="R600" s="163"/>
      <c r="S600" s="163"/>
      <c r="T600" s="163"/>
      <c r="U600" s="163"/>
      <c r="V600" s="163"/>
      <c r="W600" s="163"/>
      <c r="X600" s="163"/>
      <c r="Y600" s="163"/>
      <c r="Z600" s="163"/>
    </row>
    <row r="601" ht="14.25" customHeight="1">
      <c r="A601" s="199" t="s">
        <v>3891</v>
      </c>
      <c r="B601" s="108"/>
      <c r="C601" s="200" t="s">
        <v>3921</v>
      </c>
      <c r="D601" s="192" t="s">
        <v>2482</v>
      </c>
      <c r="E601" s="193" t="s">
        <v>3922</v>
      </c>
      <c r="F601" s="193" t="s">
        <v>3923</v>
      </c>
      <c r="G601" s="193" t="s">
        <v>3924</v>
      </c>
      <c r="H601" s="178" t="s">
        <v>36</v>
      </c>
      <c r="I601" s="163"/>
      <c r="J601" s="175" t="s">
        <v>1784</v>
      </c>
      <c r="K601" s="163"/>
      <c r="L601" s="163"/>
      <c r="M601" s="163"/>
      <c r="N601" s="163"/>
      <c r="O601" s="163"/>
      <c r="P601" s="163"/>
      <c r="Q601" s="163"/>
      <c r="R601" s="163"/>
      <c r="S601" s="163"/>
      <c r="T601" s="163"/>
      <c r="U601" s="163"/>
      <c r="V601" s="163"/>
      <c r="W601" s="163"/>
      <c r="X601" s="163"/>
      <c r="Y601" s="163"/>
      <c r="Z601" s="163"/>
    </row>
    <row r="602" ht="14.25" customHeight="1">
      <c r="A602" s="199" t="s">
        <v>3891</v>
      </c>
      <c r="B602" s="108"/>
      <c r="C602" s="200" t="s">
        <v>3925</v>
      </c>
      <c r="D602" s="192" t="s">
        <v>2482</v>
      </c>
      <c r="E602" s="193" t="s">
        <v>3926</v>
      </c>
      <c r="F602" s="193" t="s">
        <v>3927</v>
      </c>
      <c r="G602" s="193" t="s">
        <v>3904</v>
      </c>
      <c r="H602" s="178" t="s">
        <v>36</v>
      </c>
      <c r="I602" s="163"/>
      <c r="J602" s="175" t="s">
        <v>1784</v>
      </c>
      <c r="K602" s="163"/>
      <c r="L602" s="163"/>
      <c r="M602" s="163"/>
      <c r="N602" s="163"/>
      <c r="O602" s="163"/>
      <c r="P602" s="163"/>
      <c r="Q602" s="163"/>
      <c r="R602" s="163"/>
      <c r="S602" s="163"/>
      <c r="T602" s="163"/>
      <c r="U602" s="163"/>
      <c r="V602" s="163"/>
      <c r="W602" s="163"/>
      <c r="X602" s="163"/>
      <c r="Y602" s="163"/>
      <c r="Z602" s="163"/>
    </row>
    <row r="603" ht="14.25" customHeight="1">
      <c r="A603" s="199" t="s">
        <v>3891</v>
      </c>
      <c r="B603" s="108"/>
      <c r="C603" s="200" t="s">
        <v>3928</v>
      </c>
      <c r="D603" s="192" t="s">
        <v>2482</v>
      </c>
      <c r="E603" s="193" t="s">
        <v>3929</v>
      </c>
      <c r="F603" s="193" t="s">
        <v>3930</v>
      </c>
      <c r="G603" s="193" t="s">
        <v>3931</v>
      </c>
      <c r="H603" s="178" t="s">
        <v>36</v>
      </c>
      <c r="I603" s="163"/>
      <c r="J603" s="175" t="s">
        <v>1784</v>
      </c>
      <c r="K603" s="163"/>
      <c r="L603" s="163"/>
      <c r="M603" s="163"/>
      <c r="N603" s="163"/>
      <c r="O603" s="163"/>
      <c r="P603" s="163"/>
      <c r="Q603" s="163"/>
      <c r="R603" s="163"/>
      <c r="S603" s="163"/>
      <c r="T603" s="163"/>
      <c r="U603" s="163"/>
      <c r="V603" s="163"/>
      <c r="W603" s="163"/>
      <c r="X603" s="163"/>
      <c r="Y603" s="163"/>
      <c r="Z603" s="163"/>
    </row>
    <row r="604" ht="14.25" customHeight="1">
      <c r="A604" s="199" t="s">
        <v>3891</v>
      </c>
      <c r="B604" s="108"/>
      <c r="C604" s="200" t="s">
        <v>3932</v>
      </c>
      <c r="D604" s="192" t="s">
        <v>2482</v>
      </c>
      <c r="E604" s="193" t="s">
        <v>3933</v>
      </c>
      <c r="F604" s="193" t="s">
        <v>3934</v>
      </c>
      <c r="G604" s="193" t="s">
        <v>3924</v>
      </c>
      <c r="H604" s="178" t="s">
        <v>36</v>
      </c>
      <c r="I604" s="163"/>
      <c r="J604" s="175" t="s">
        <v>1784</v>
      </c>
      <c r="K604" s="163"/>
      <c r="L604" s="163"/>
      <c r="M604" s="163"/>
      <c r="N604" s="163"/>
      <c r="O604" s="163"/>
      <c r="P604" s="163"/>
      <c r="Q604" s="163"/>
      <c r="R604" s="163"/>
      <c r="S604" s="163"/>
      <c r="T604" s="163"/>
      <c r="U604" s="163"/>
      <c r="V604" s="163"/>
      <c r="W604" s="163"/>
      <c r="X604" s="163"/>
      <c r="Y604" s="163"/>
      <c r="Z604" s="163"/>
    </row>
    <row r="605" ht="14.25" customHeight="1">
      <c r="A605" s="199" t="s">
        <v>3891</v>
      </c>
      <c r="B605" s="108"/>
      <c r="C605" s="200" t="s">
        <v>3935</v>
      </c>
      <c r="D605" s="192" t="s">
        <v>2482</v>
      </c>
      <c r="E605" s="193" t="s">
        <v>3936</v>
      </c>
      <c r="F605" s="193" t="s">
        <v>3937</v>
      </c>
      <c r="G605" s="193" t="s">
        <v>3938</v>
      </c>
      <c r="H605" s="178" t="s">
        <v>36</v>
      </c>
      <c r="I605" s="163"/>
      <c r="J605" s="175" t="s">
        <v>1784</v>
      </c>
      <c r="K605" s="163"/>
      <c r="L605" s="163"/>
      <c r="M605" s="163"/>
      <c r="N605" s="163"/>
      <c r="O605" s="163"/>
      <c r="P605" s="163"/>
      <c r="Q605" s="163"/>
      <c r="R605" s="163"/>
      <c r="S605" s="163"/>
      <c r="T605" s="163"/>
      <c r="U605" s="163"/>
      <c r="V605" s="163"/>
      <c r="W605" s="163"/>
      <c r="X605" s="163"/>
      <c r="Y605" s="163"/>
      <c r="Z605" s="163"/>
    </row>
    <row r="606" ht="14.25" customHeight="1">
      <c r="A606" s="199" t="s">
        <v>3891</v>
      </c>
      <c r="B606" s="108"/>
      <c r="C606" s="200" t="s">
        <v>3939</v>
      </c>
      <c r="D606" s="192" t="s">
        <v>2482</v>
      </c>
      <c r="E606" s="193" t="s">
        <v>3940</v>
      </c>
      <c r="F606" s="193" t="s">
        <v>3941</v>
      </c>
      <c r="G606" s="193" t="s">
        <v>3942</v>
      </c>
      <c r="H606" s="178" t="s">
        <v>36</v>
      </c>
      <c r="I606" s="163"/>
      <c r="J606" s="175" t="s">
        <v>1784</v>
      </c>
      <c r="K606" s="163"/>
      <c r="L606" s="163"/>
      <c r="M606" s="163"/>
      <c r="N606" s="163"/>
      <c r="O606" s="163"/>
      <c r="P606" s="163"/>
      <c r="Q606" s="163"/>
      <c r="R606" s="163"/>
      <c r="S606" s="163"/>
      <c r="T606" s="163"/>
      <c r="U606" s="163"/>
      <c r="V606" s="163"/>
      <c r="W606" s="163"/>
      <c r="X606" s="163"/>
      <c r="Y606" s="163"/>
      <c r="Z606" s="163"/>
    </row>
    <row r="607" ht="14.25" customHeight="1">
      <c r="A607" s="199" t="s">
        <v>3891</v>
      </c>
      <c r="B607" s="108"/>
      <c r="C607" s="200" t="s">
        <v>3943</v>
      </c>
      <c r="D607" s="192" t="s">
        <v>2482</v>
      </c>
      <c r="E607" s="193" t="s">
        <v>3944</v>
      </c>
      <c r="F607" s="193" t="s">
        <v>3945</v>
      </c>
      <c r="G607" s="193" t="s">
        <v>3946</v>
      </c>
      <c r="H607" s="178" t="s">
        <v>36</v>
      </c>
      <c r="I607" s="163"/>
      <c r="J607" s="175" t="s">
        <v>1784</v>
      </c>
      <c r="K607" s="163"/>
      <c r="L607" s="163"/>
      <c r="M607" s="163"/>
      <c r="N607" s="163"/>
      <c r="O607" s="163"/>
      <c r="P607" s="163"/>
      <c r="Q607" s="163"/>
      <c r="R607" s="163"/>
      <c r="S607" s="163"/>
      <c r="T607" s="163"/>
      <c r="U607" s="163"/>
      <c r="V607" s="163"/>
      <c r="W607" s="163"/>
      <c r="X607" s="163"/>
      <c r="Y607" s="163"/>
      <c r="Z607" s="163"/>
    </row>
    <row r="608" ht="14.25" customHeight="1">
      <c r="A608" s="199" t="s">
        <v>3891</v>
      </c>
      <c r="B608" s="108"/>
      <c r="C608" s="200" t="s">
        <v>3947</v>
      </c>
      <c r="D608" s="192" t="s">
        <v>2482</v>
      </c>
      <c r="E608" s="193" t="s">
        <v>3948</v>
      </c>
      <c r="F608" s="193" t="s">
        <v>3949</v>
      </c>
      <c r="G608" s="193" t="s">
        <v>3904</v>
      </c>
      <c r="H608" s="178" t="s">
        <v>36</v>
      </c>
      <c r="I608" s="163"/>
      <c r="J608" s="175" t="s">
        <v>1784</v>
      </c>
      <c r="K608" s="163"/>
      <c r="L608" s="163"/>
      <c r="M608" s="163"/>
      <c r="N608" s="163"/>
      <c r="O608" s="163"/>
      <c r="P608" s="163"/>
      <c r="Q608" s="163"/>
      <c r="R608" s="163"/>
      <c r="S608" s="163"/>
      <c r="T608" s="163"/>
      <c r="U608" s="163"/>
      <c r="V608" s="163"/>
      <c r="W608" s="163"/>
      <c r="X608" s="163"/>
      <c r="Y608" s="163"/>
      <c r="Z608" s="163"/>
    </row>
    <row r="609" ht="14.25" customHeight="1">
      <c r="A609" s="199" t="s">
        <v>3891</v>
      </c>
      <c r="B609" s="108"/>
      <c r="C609" s="200" t="s">
        <v>3950</v>
      </c>
      <c r="D609" s="192" t="s">
        <v>2482</v>
      </c>
      <c r="E609" s="193" t="s">
        <v>3951</v>
      </c>
      <c r="F609" s="193" t="s">
        <v>3952</v>
      </c>
      <c r="G609" s="193" t="s">
        <v>3953</v>
      </c>
      <c r="H609" s="178" t="s">
        <v>36</v>
      </c>
      <c r="I609" s="163"/>
      <c r="J609" s="175" t="s">
        <v>1784</v>
      </c>
      <c r="K609" s="163"/>
      <c r="L609" s="163"/>
      <c r="M609" s="163"/>
      <c r="N609" s="163"/>
      <c r="O609" s="163"/>
      <c r="P609" s="163"/>
      <c r="Q609" s="163"/>
      <c r="R609" s="163"/>
      <c r="S609" s="163"/>
      <c r="T609" s="163"/>
      <c r="U609" s="163"/>
      <c r="V609" s="163"/>
      <c r="W609" s="163"/>
      <c r="X609" s="163"/>
      <c r="Y609" s="163"/>
      <c r="Z609" s="163"/>
    </row>
    <row r="610" ht="14.25" customHeight="1">
      <c r="A610" s="199" t="s">
        <v>3891</v>
      </c>
      <c r="B610" s="108"/>
      <c r="C610" s="200" t="s">
        <v>3954</v>
      </c>
      <c r="D610" s="192" t="s">
        <v>2482</v>
      </c>
      <c r="E610" s="193" t="s">
        <v>3910</v>
      </c>
      <c r="F610" s="193" t="s">
        <v>3955</v>
      </c>
      <c r="G610" s="193" t="s">
        <v>3956</v>
      </c>
      <c r="H610" s="178" t="s">
        <v>36</v>
      </c>
      <c r="I610" s="163"/>
      <c r="J610" s="175" t="s">
        <v>1784</v>
      </c>
      <c r="K610" s="163"/>
      <c r="L610" s="163"/>
      <c r="M610" s="163"/>
      <c r="N610" s="163"/>
      <c r="O610" s="163"/>
      <c r="P610" s="163"/>
      <c r="Q610" s="163"/>
      <c r="R610" s="163"/>
      <c r="S610" s="163"/>
      <c r="T610" s="163"/>
      <c r="U610" s="163"/>
      <c r="V610" s="163"/>
      <c r="W610" s="163"/>
      <c r="X610" s="163"/>
      <c r="Y610" s="163"/>
      <c r="Z610" s="163"/>
    </row>
    <row r="611" ht="14.25" customHeight="1">
      <c r="A611" s="199" t="s">
        <v>3891</v>
      </c>
      <c r="B611" s="108"/>
      <c r="C611" s="200" t="s">
        <v>3957</v>
      </c>
      <c r="D611" s="192" t="s">
        <v>2482</v>
      </c>
      <c r="E611" s="193" t="s">
        <v>3914</v>
      </c>
      <c r="F611" s="193" t="s">
        <v>3958</v>
      </c>
      <c r="G611" s="193" t="s">
        <v>3916</v>
      </c>
      <c r="H611" s="178" t="s">
        <v>36</v>
      </c>
      <c r="I611" s="163"/>
      <c r="J611" s="175" t="s">
        <v>1784</v>
      </c>
      <c r="K611" s="163"/>
      <c r="L611" s="163"/>
      <c r="M611" s="163"/>
      <c r="N611" s="163"/>
      <c r="O611" s="163"/>
      <c r="P611" s="163"/>
      <c r="Q611" s="163"/>
      <c r="R611" s="163"/>
      <c r="S611" s="163"/>
      <c r="T611" s="163"/>
      <c r="U611" s="163"/>
      <c r="V611" s="163"/>
      <c r="W611" s="163"/>
      <c r="X611" s="163"/>
      <c r="Y611" s="163"/>
      <c r="Z611" s="163"/>
    </row>
    <row r="612" ht="14.25" customHeight="1">
      <c r="A612" s="199" t="s">
        <v>3891</v>
      </c>
      <c r="B612" s="108"/>
      <c r="C612" s="200" t="s">
        <v>3959</v>
      </c>
      <c r="D612" s="192" t="s">
        <v>2482</v>
      </c>
      <c r="E612" s="193" t="s">
        <v>3960</v>
      </c>
      <c r="F612" s="193" t="s">
        <v>3919</v>
      </c>
      <c r="G612" s="193" t="s">
        <v>3961</v>
      </c>
      <c r="H612" s="178" t="s">
        <v>36</v>
      </c>
      <c r="I612" s="163"/>
      <c r="J612" s="175" t="s">
        <v>1784</v>
      </c>
      <c r="K612" s="163"/>
      <c r="L612" s="163"/>
      <c r="M612" s="163"/>
      <c r="N612" s="163"/>
      <c r="O612" s="163"/>
      <c r="P612" s="163"/>
      <c r="Q612" s="163"/>
      <c r="R612" s="163"/>
      <c r="S612" s="163"/>
      <c r="T612" s="163"/>
      <c r="U612" s="163"/>
      <c r="V612" s="163"/>
      <c r="W612" s="163"/>
      <c r="X612" s="163"/>
      <c r="Y612" s="163"/>
      <c r="Z612" s="163"/>
    </row>
    <row r="613" ht="14.25" customHeight="1">
      <c r="A613" s="199" t="s">
        <v>3891</v>
      </c>
      <c r="B613" s="108"/>
      <c r="C613" s="200" t="s">
        <v>3962</v>
      </c>
      <c r="D613" s="192" t="s">
        <v>2482</v>
      </c>
      <c r="E613" s="193" t="s">
        <v>3963</v>
      </c>
      <c r="F613" s="193" t="s">
        <v>3923</v>
      </c>
      <c r="G613" s="193" t="s">
        <v>3964</v>
      </c>
      <c r="H613" s="178" t="s">
        <v>36</v>
      </c>
      <c r="I613" s="163"/>
      <c r="J613" s="175" t="s">
        <v>1784</v>
      </c>
      <c r="K613" s="163"/>
      <c r="L613" s="163"/>
      <c r="M613" s="163"/>
      <c r="N613" s="163"/>
      <c r="O613" s="163"/>
      <c r="P613" s="163"/>
      <c r="Q613" s="163"/>
      <c r="R613" s="163"/>
      <c r="S613" s="163"/>
      <c r="T613" s="163"/>
      <c r="U613" s="163"/>
      <c r="V613" s="163"/>
      <c r="W613" s="163"/>
      <c r="X613" s="163"/>
      <c r="Y613" s="163"/>
      <c r="Z613" s="163"/>
    </row>
    <row r="614" ht="14.25" customHeight="1">
      <c r="A614" s="199" t="s">
        <v>3891</v>
      </c>
      <c r="B614" s="108"/>
      <c r="C614" s="200" t="s">
        <v>3965</v>
      </c>
      <c r="D614" s="192" t="s">
        <v>2482</v>
      </c>
      <c r="E614" s="193" t="s">
        <v>3966</v>
      </c>
      <c r="F614" s="193" t="s">
        <v>3927</v>
      </c>
      <c r="G614" s="193" t="s">
        <v>3967</v>
      </c>
      <c r="H614" s="178" t="s">
        <v>36</v>
      </c>
      <c r="I614" s="163"/>
      <c r="J614" s="175" t="s">
        <v>1784</v>
      </c>
      <c r="K614" s="163"/>
      <c r="L614" s="163"/>
      <c r="M614" s="163"/>
      <c r="N614" s="163"/>
      <c r="O614" s="163"/>
      <c r="P614" s="163"/>
      <c r="Q614" s="163"/>
      <c r="R614" s="163"/>
      <c r="S614" s="163"/>
      <c r="T614" s="163"/>
      <c r="U614" s="163"/>
      <c r="V614" s="163"/>
      <c r="W614" s="163"/>
      <c r="X614" s="163"/>
      <c r="Y614" s="163"/>
      <c r="Z614" s="163"/>
    </row>
    <row r="615" ht="14.25" customHeight="1">
      <c r="A615" s="199" t="s">
        <v>3891</v>
      </c>
      <c r="B615" s="108"/>
      <c r="C615" s="200" t="s">
        <v>3968</v>
      </c>
      <c r="D615" s="192" t="s">
        <v>2482</v>
      </c>
      <c r="E615" s="193" t="s">
        <v>3969</v>
      </c>
      <c r="F615" s="193" t="s">
        <v>3930</v>
      </c>
      <c r="G615" s="193" t="s">
        <v>3970</v>
      </c>
      <c r="H615" s="178" t="s">
        <v>36</v>
      </c>
      <c r="I615" s="163"/>
      <c r="J615" s="175" t="s">
        <v>1784</v>
      </c>
      <c r="K615" s="163"/>
      <c r="L615" s="163"/>
      <c r="M615" s="163"/>
      <c r="N615" s="163"/>
      <c r="O615" s="163"/>
      <c r="P615" s="163"/>
      <c r="Q615" s="163"/>
      <c r="R615" s="163"/>
      <c r="S615" s="163"/>
      <c r="T615" s="163"/>
      <c r="U615" s="163"/>
      <c r="V615" s="163"/>
      <c r="W615" s="163"/>
      <c r="X615" s="163"/>
      <c r="Y615" s="163"/>
      <c r="Z615" s="163"/>
    </row>
    <row r="616" ht="14.25" customHeight="1">
      <c r="A616" s="199" t="s">
        <v>3891</v>
      </c>
      <c r="B616" s="108"/>
      <c r="C616" s="200" t="s">
        <v>3971</v>
      </c>
      <c r="D616" s="192" t="s">
        <v>2482</v>
      </c>
      <c r="E616" s="193" t="s">
        <v>3972</v>
      </c>
      <c r="F616" s="193" t="s">
        <v>3934</v>
      </c>
      <c r="G616" s="193" t="s">
        <v>3964</v>
      </c>
      <c r="H616" s="178" t="s">
        <v>36</v>
      </c>
      <c r="I616" s="163"/>
      <c r="J616" s="175" t="s">
        <v>1784</v>
      </c>
      <c r="K616" s="163"/>
      <c r="L616" s="163"/>
      <c r="M616" s="163"/>
      <c r="N616" s="163"/>
      <c r="O616" s="163"/>
      <c r="P616" s="163"/>
      <c r="Q616" s="163"/>
      <c r="R616" s="163"/>
      <c r="S616" s="163"/>
      <c r="T616" s="163"/>
      <c r="U616" s="163"/>
      <c r="V616" s="163"/>
      <c r="W616" s="163"/>
      <c r="X616" s="163"/>
      <c r="Y616" s="163"/>
      <c r="Z616" s="163"/>
    </row>
    <row r="617" ht="14.25" customHeight="1">
      <c r="A617" s="199" t="s">
        <v>3891</v>
      </c>
      <c r="B617" s="108"/>
      <c r="C617" s="200" t="s">
        <v>3973</v>
      </c>
      <c r="D617" s="192" t="s">
        <v>2482</v>
      </c>
      <c r="E617" s="193" t="s">
        <v>3974</v>
      </c>
      <c r="F617" s="193" t="s">
        <v>3937</v>
      </c>
      <c r="G617" s="193" t="s">
        <v>3938</v>
      </c>
      <c r="H617" s="178" t="s">
        <v>36</v>
      </c>
      <c r="I617" s="163"/>
      <c r="J617" s="175" t="s">
        <v>1784</v>
      </c>
      <c r="K617" s="163"/>
      <c r="L617" s="163"/>
      <c r="M617" s="163"/>
      <c r="N617" s="163"/>
      <c r="O617" s="163"/>
      <c r="P617" s="163"/>
      <c r="Q617" s="163"/>
      <c r="R617" s="163"/>
      <c r="S617" s="163"/>
      <c r="T617" s="163"/>
      <c r="U617" s="163"/>
      <c r="V617" s="163"/>
      <c r="W617" s="163"/>
      <c r="X617" s="163"/>
      <c r="Y617" s="163"/>
      <c r="Z617" s="163"/>
    </row>
    <row r="618" ht="14.25" customHeight="1">
      <c r="A618" s="199" t="s">
        <v>3891</v>
      </c>
      <c r="B618" s="109"/>
      <c r="C618" s="200" t="s">
        <v>3975</v>
      </c>
      <c r="D618" s="192" t="s">
        <v>2482</v>
      </c>
      <c r="E618" s="193" t="s">
        <v>3976</v>
      </c>
      <c r="F618" s="193" t="s">
        <v>3977</v>
      </c>
      <c r="G618" s="193" t="s">
        <v>3978</v>
      </c>
      <c r="H618" s="178" t="s">
        <v>36</v>
      </c>
      <c r="I618" s="163"/>
      <c r="J618" s="175" t="s">
        <v>1784</v>
      </c>
      <c r="K618" s="163"/>
      <c r="L618" s="163"/>
      <c r="M618" s="163"/>
      <c r="N618" s="163"/>
      <c r="O618" s="163"/>
      <c r="P618" s="163"/>
      <c r="Q618" s="163"/>
      <c r="R618" s="163"/>
      <c r="S618" s="163"/>
      <c r="T618" s="163"/>
      <c r="U618" s="163"/>
      <c r="V618" s="163"/>
      <c r="W618" s="163"/>
      <c r="X618" s="163"/>
      <c r="Y618" s="163"/>
      <c r="Z618" s="163"/>
    </row>
    <row r="619" ht="14.25" customHeight="1">
      <c r="A619" s="197" t="s">
        <v>3979</v>
      </c>
      <c r="B619" s="188" t="s">
        <v>3980</v>
      </c>
      <c r="C619" s="191" t="s">
        <v>3981</v>
      </c>
      <c r="D619" s="191" t="s">
        <v>2482</v>
      </c>
      <c r="E619" s="191" t="s">
        <v>3982</v>
      </c>
      <c r="F619" s="191" t="s">
        <v>3983</v>
      </c>
      <c r="G619" s="191" t="s">
        <v>3984</v>
      </c>
      <c r="H619" s="175" t="s">
        <v>36</v>
      </c>
      <c r="I619" s="163"/>
      <c r="J619" s="175" t="s">
        <v>1784</v>
      </c>
      <c r="K619" s="163"/>
      <c r="L619" s="163"/>
      <c r="M619" s="163"/>
      <c r="N619" s="163"/>
      <c r="O619" s="163"/>
      <c r="P619" s="163"/>
      <c r="Q619" s="163"/>
      <c r="R619" s="163"/>
      <c r="S619" s="163"/>
      <c r="T619" s="163"/>
      <c r="U619" s="163"/>
      <c r="V619" s="163"/>
      <c r="W619" s="163"/>
      <c r="X619" s="163"/>
      <c r="Y619" s="163"/>
      <c r="Z619" s="163"/>
    </row>
    <row r="620" ht="14.25" customHeight="1">
      <c r="A620" s="199" t="s">
        <v>3979</v>
      </c>
      <c r="B620" s="108"/>
      <c r="C620" s="193" t="s">
        <v>3985</v>
      </c>
      <c r="D620" s="193" t="s">
        <v>2482</v>
      </c>
      <c r="E620" s="193" t="s">
        <v>3986</v>
      </c>
      <c r="F620" s="193" t="s">
        <v>3987</v>
      </c>
      <c r="G620" s="193" t="s">
        <v>3984</v>
      </c>
      <c r="H620" s="178" t="s">
        <v>36</v>
      </c>
      <c r="I620" s="163"/>
      <c r="J620" s="175" t="s">
        <v>1784</v>
      </c>
      <c r="K620" s="163"/>
      <c r="L620" s="163"/>
      <c r="M620" s="163"/>
      <c r="N620" s="163"/>
      <c r="O620" s="163"/>
      <c r="P620" s="163"/>
      <c r="Q620" s="163"/>
      <c r="R620" s="163"/>
      <c r="S620" s="163"/>
      <c r="T620" s="163"/>
      <c r="U620" s="163"/>
      <c r="V620" s="163"/>
      <c r="W620" s="163"/>
      <c r="X620" s="163"/>
      <c r="Y620" s="163"/>
      <c r="Z620" s="163"/>
    </row>
    <row r="621" ht="14.25" customHeight="1">
      <c r="A621" s="201"/>
      <c r="B621" s="108"/>
      <c r="C621" s="193" t="s">
        <v>3988</v>
      </c>
      <c r="D621" s="193" t="s">
        <v>2482</v>
      </c>
      <c r="E621" s="193" t="s">
        <v>3989</v>
      </c>
      <c r="F621" s="193" t="s">
        <v>3990</v>
      </c>
      <c r="G621" s="193" t="s">
        <v>3991</v>
      </c>
      <c r="H621" s="178" t="s">
        <v>36</v>
      </c>
      <c r="I621" s="163"/>
      <c r="J621" s="175" t="s">
        <v>2034</v>
      </c>
      <c r="K621" s="163"/>
      <c r="L621" s="163"/>
      <c r="M621" s="163"/>
      <c r="N621" s="163"/>
      <c r="O621" s="163"/>
      <c r="P621" s="163"/>
      <c r="Q621" s="163"/>
      <c r="R621" s="163"/>
      <c r="S621" s="163"/>
      <c r="T621" s="163"/>
      <c r="U621" s="163"/>
      <c r="V621" s="163"/>
      <c r="W621" s="163"/>
      <c r="X621" s="163"/>
      <c r="Y621" s="163"/>
      <c r="Z621" s="163"/>
    </row>
    <row r="622" ht="14.25" customHeight="1">
      <c r="A622" s="201"/>
      <c r="B622" s="108"/>
      <c r="C622" s="193" t="s">
        <v>3992</v>
      </c>
      <c r="D622" s="193" t="s">
        <v>2482</v>
      </c>
      <c r="E622" s="193" t="s">
        <v>3993</v>
      </c>
      <c r="F622" s="193" t="s">
        <v>3994</v>
      </c>
      <c r="G622" s="193" t="s">
        <v>3995</v>
      </c>
      <c r="H622" s="178" t="s">
        <v>36</v>
      </c>
      <c r="I622" s="163"/>
      <c r="J622" s="175" t="s">
        <v>2034</v>
      </c>
      <c r="K622" s="163"/>
      <c r="L622" s="163"/>
      <c r="M622" s="163"/>
      <c r="N622" s="163"/>
      <c r="O622" s="163"/>
      <c r="P622" s="163"/>
      <c r="Q622" s="163"/>
      <c r="R622" s="163"/>
      <c r="S622" s="163"/>
      <c r="T622" s="163"/>
      <c r="U622" s="163"/>
      <c r="V622" s="163"/>
      <c r="W622" s="163"/>
      <c r="X622" s="163"/>
      <c r="Y622" s="163"/>
      <c r="Z622" s="163"/>
    </row>
    <row r="623" ht="14.25" customHeight="1">
      <c r="A623" s="199" t="s">
        <v>3979</v>
      </c>
      <c r="B623" s="108"/>
      <c r="C623" s="193" t="s">
        <v>3996</v>
      </c>
      <c r="D623" s="193" t="s">
        <v>2482</v>
      </c>
      <c r="E623" s="193" t="s">
        <v>3997</v>
      </c>
      <c r="F623" s="193" t="s">
        <v>3998</v>
      </c>
      <c r="G623" s="193" t="s">
        <v>3999</v>
      </c>
      <c r="H623" s="178" t="s">
        <v>36</v>
      </c>
      <c r="I623" s="163"/>
      <c r="J623" s="175" t="s">
        <v>1784</v>
      </c>
      <c r="K623" s="163"/>
      <c r="L623" s="163"/>
      <c r="M623" s="163"/>
      <c r="N623" s="163"/>
      <c r="O623" s="163"/>
      <c r="P623" s="163"/>
      <c r="Q623" s="163"/>
      <c r="R623" s="163"/>
      <c r="S623" s="163"/>
      <c r="T623" s="163"/>
      <c r="U623" s="163"/>
      <c r="V623" s="163"/>
      <c r="W623" s="163"/>
      <c r="X623" s="163"/>
      <c r="Y623" s="163"/>
      <c r="Z623" s="163"/>
    </row>
    <row r="624" ht="14.25" customHeight="1">
      <c r="A624" s="199" t="s">
        <v>3979</v>
      </c>
      <c r="B624" s="108"/>
      <c r="C624" s="193" t="s">
        <v>4000</v>
      </c>
      <c r="D624" s="193" t="s">
        <v>2482</v>
      </c>
      <c r="E624" s="193" t="s">
        <v>4001</v>
      </c>
      <c r="F624" s="193" t="s">
        <v>4002</v>
      </c>
      <c r="G624" s="193" t="s">
        <v>4003</v>
      </c>
      <c r="H624" s="178" t="s">
        <v>36</v>
      </c>
      <c r="I624" s="163"/>
      <c r="J624" s="175" t="s">
        <v>1784</v>
      </c>
      <c r="K624" s="163"/>
      <c r="L624" s="163"/>
      <c r="M624" s="163"/>
      <c r="N624" s="163"/>
      <c r="O624" s="163"/>
      <c r="P624" s="163"/>
      <c r="Q624" s="163"/>
      <c r="R624" s="163"/>
      <c r="S624" s="163"/>
      <c r="T624" s="163"/>
      <c r="U624" s="163"/>
      <c r="V624" s="163"/>
      <c r="W624" s="163"/>
      <c r="X624" s="163"/>
      <c r="Y624" s="163"/>
      <c r="Z624" s="163"/>
    </row>
    <row r="625" ht="14.25" customHeight="1">
      <c r="A625" s="199" t="s">
        <v>3979</v>
      </c>
      <c r="B625" s="108"/>
      <c r="C625" s="193" t="s">
        <v>4004</v>
      </c>
      <c r="D625" s="193" t="s">
        <v>2482</v>
      </c>
      <c r="E625" s="193" t="s">
        <v>4005</v>
      </c>
      <c r="F625" s="193" t="s">
        <v>4006</v>
      </c>
      <c r="G625" s="193" t="s">
        <v>4007</v>
      </c>
      <c r="H625" s="178" t="s">
        <v>36</v>
      </c>
      <c r="I625" s="163"/>
      <c r="J625" s="175" t="s">
        <v>1784</v>
      </c>
      <c r="K625" s="163"/>
      <c r="L625" s="163"/>
      <c r="M625" s="163"/>
      <c r="N625" s="163"/>
      <c r="O625" s="163"/>
      <c r="P625" s="163"/>
      <c r="Q625" s="163"/>
      <c r="R625" s="163"/>
      <c r="S625" s="163"/>
      <c r="T625" s="163"/>
      <c r="U625" s="163"/>
      <c r="V625" s="163"/>
      <c r="W625" s="163"/>
      <c r="X625" s="163"/>
      <c r="Y625" s="163"/>
      <c r="Z625" s="163"/>
    </row>
    <row r="626" ht="14.25" customHeight="1">
      <c r="A626" s="199" t="s">
        <v>3979</v>
      </c>
      <c r="B626" s="108"/>
      <c r="C626" s="193" t="s">
        <v>4008</v>
      </c>
      <c r="D626" s="193" t="s">
        <v>2482</v>
      </c>
      <c r="E626" s="193" t="s">
        <v>4009</v>
      </c>
      <c r="F626" s="193" t="s">
        <v>4010</v>
      </c>
      <c r="G626" s="193" t="s">
        <v>4011</v>
      </c>
      <c r="H626" s="178" t="s">
        <v>36</v>
      </c>
      <c r="I626" s="163"/>
      <c r="J626" s="175" t="s">
        <v>1784</v>
      </c>
      <c r="K626" s="163"/>
      <c r="L626" s="163"/>
      <c r="M626" s="163"/>
      <c r="N626" s="163"/>
      <c r="O626" s="163"/>
      <c r="P626" s="163"/>
      <c r="Q626" s="163"/>
      <c r="R626" s="163"/>
      <c r="S626" s="163"/>
      <c r="T626" s="163"/>
      <c r="U626" s="163"/>
      <c r="V626" s="163"/>
      <c r="W626" s="163"/>
      <c r="X626" s="163"/>
      <c r="Y626" s="163"/>
      <c r="Z626" s="163"/>
    </row>
    <row r="627" ht="14.25" customHeight="1">
      <c r="A627" s="199" t="s">
        <v>3979</v>
      </c>
      <c r="B627" s="108"/>
      <c r="C627" s="193" t="s">
        <v>4012</v>
      </c>
      <c r="D627" s="193" t="s">
        <v>2482</v>
      </c>
      <c r="E627" s="193" t="s">
        <v>4013</v>
      </c>
      <c r="F627" s="193" t="s">
        <v>4014</v>
      </c>
      <c r="G627" s="193" t="s">
        <v>4015</v>
      </c>
      <c r="H627" s="178" t="s">
        <v>36</v>
      </c>
      <c r="I627" s="163"/>
      <c r="J627" s="175" t="s">
        <v>1784</v>
      </c>
      <c r="K627" s="163"/>
      <c r="L627" s="163"/>
      <c r="M627" s="163"/>
      <c r="N627" s="163"/>
      <c r="O627" s="163"/>
      <c r="P627" s="163"/>
      <c r="Q627" s="163"/>
      <c r="R627" s="163"/>
      <c r="S627" s="163"/>
      <c r="T627" s="163"/>
      <c r="U627" s="163"/>
      <c r="V627" s="163"/>
      <c r="W627" s="163"/>
      <c r="X627" s="163"/>
      <c r="Y627" s="163"/>
      <c r="Z627" s="163"/>
    </row>
    <row r="628" ht="14.25" customHeight="1">
      <c r="A628" s="199" t="s">
        <v>3979</v>
      </c>
      <c r="B628" s="108"/>
      <c r="C628" s="193" t="s">
        <v>4016</v>
      </c>
      <c r="D628" s="193" t="s">
        <v>2482</v>
      </c>
      <c r="E628" s="193" t="s">
        <v>4017</v>
      </c>
      <c r="F628" s="193" t="s">
        <v>4018</v>
      </c>
      <c r="G628" s="193" t="s">
        <v>4019</v>
      </c>
      <c r="H628" s="178" t="s">
        <v>36</v>
      </c>
      <c r="I628" s="163"/>
      <c r="J628" s="175" t="s">
        <v>1784</v>
      </c>
      <c r="K628" s="163"/>
      <c r="L628" s="163"/>
      <c r="M628" s="163"/>
      <c r="N628" s="163"/>
      <c r="O628" s="163"/>
      <c r="P628" s="163"/>
      <c r="Q628" s="163"/>
      <c r="R628" s="163"/>
      <c r="S628" s="163"/>
      <c r="T628" s="163"/>
      <c r="U628" s="163"/>
      <c r="V628" s="163"/>
      <c r="W628" s="163"/>
      <c r="X628" s="163"/>
      <c r="Y628" s="163"/>
      <c r="Z628" s="163"/>
    </row>
    <row r="629" ht="14.25" customHeight="1">
      <c r="A629" s="199" t="s">
        <v>3979</v>
      </c>
      <c r="B629" s="108"/>
      <c r="C629" s="193" t="s">
        <v>4020</v>
      </c>
      <c r="D629" s="193" t="s">
        <v>2482</v>
      </c>
      <c r="E629" s="193" t="s">
        <v>4021</v>
      </c>
      <c r="F629" s="193" t="s">
        <v>4022</v>
      </c>
      <c r="G629" s="193" t="s">
        <v>4023</v>
      </c>
      <c r="H629" s="178" t="s">
        <v>36</v>
      </c>
      <c r="I629" s="163"/>
      <c r="J629" s="175" t="s">
        <v>1784</v>
      </c>
      <c r="K629" s="163"/>
      <c r="L629" s="163"/>
      <c r="M629" s="163"/>
      <c r="N629" s="163"/>
      <c r="O629" s="163"/>
      <c r="P629" s="163"/>
      <c r="Q629" s="163"/>
      <c r="R629" s="163"/>
      <c r="S629" s="163"/>
      <c r="T629" s="163"/>
      <c r="U629" s="163"/>
      <c r="V629" s="163"/>
      <c r="W629" s="163"/>
      <c r="X629" s="163"/>
      <c r="Y629" s="163"/>
      <c r="Z629" s="163"/>
    </row>
    <row r="630" ht="14.25" customHeight="1">
      <c r="A630" s="199" t="s">
        <v>3979</v>
      </c>
      <c r="B630" s="108"/>
      <c r="C630" s="193" t="s">
        <v>4024</v>
      </c>
      <c r="D630" s="193" t="s">
        <v>2482</v>
      </c>
      <c r="E630" s="193" t="s">
        <v>4025</v>
      </c>
      <c r="F630" s="193" t="s">
        <v>4026</v>
      </c>
      <c r="G630" s="193" t="s">
        <v>4027</v>
      </c>
      <c r="H630" s="178" t="s">
        <v>36</v>
      </c>
      <c r="I630" s="163"/>
      <c r="J630" s="175" t="s">
        <v>1784</v>
      </c>
      <c r="K630" s="163"/>
      <c r="L630" s="163"/>
      <c r="M630" s="163"/>
      <c r="N630" s="163"/>
      <c r="O630" s="163"/>
      <c r="P630" s="163"/>
      <c r="Q630" s="163"/>
      <c r="R630" s="163"/>
      <c r="S630" s="163"/>
      <c r="T630" s="163"/>
      <c r="U630" s="163"/>
      <c r="V630" s="163"/>
      <c r="W630" s="163"/>
      <c r="X630" s="163"/>
      <c r="Y630" s="163"/>
      <c r="Z630" s="163"/>
    </row>
    <row r="631" ht="14.25" customHeight="1">
      <c r="A631" s="199" t="s">
        <v>3979</v>
      </c>
      <c r="B631" s="108"/>
      <c r="C631" s="193" t="s">
        <v>4028</v>
      </c>
      <c r="D631" s="193" t="s">
        <v>2482</v>
      </c>
      <c r="E631" s="193" t="s">
        <v>4029</v>
      </c>
      <c r="F631" s="193" t="s">
        <v>4030</v>
      </c>
      <c r="G631" s="193" t="s">
        <v>4023</v>
      </c>
      <c r="H631" s="178" t="s">
        <v>36</v>
      </c>
      <c r="I631" s="163"/>
      <c r="J631" s="175" t="s">
        <v>1784</v>
      </c>
      <c r="K631" s="163"/>
      <c r="L631" s="163"/>
      <c r="M631" s="163"/>
      <c r="N631" s="163"/>
      <c r="O631" s="163"/>
      <c r="P631" s="163"/>
      <c r="Q631" s="163"/>
      <c r="R631" s="163"/>
      <c r="S631" s="163"/>
      <c r="T631" s="163"/>
      <c r="U631" s="163"/>
      <c r="V631" s="163"/>
      <c r="W631" s="163"/>
      <c r="X631" s="163"/>
      <c r="Y631" s="163"/>
      <c r="Z631" s="163"/>
    </row>
    <row r="632" ht="14.25" customHeight="1">
      <c r="A632" s="199" t="s">
        <v>3979</v>
      </c>
      <c r="B632" s="108"/>
      <c r="C632" s="193" t="s">
        <v>4031</v>
      </c>
      <c r="D632" s="193" t="s">
        <v>2482</v>
      </c>
      <c r="E632" s="193" t="s">
        <v>4032</v>
      </c>
      <c r="F632" s="193" t="s">
        <v>4033</v>
      </c>
      <c r="G632" s="193" t="s">
        <v>4034</v>
      </c>
      <c r="H632" s="178" t="s">
        <v>36</v>
      </c>
      <c r="I632" s="163"/>
      <c r="J632" s="175" t="s">
        <v>1784</v>
      </c>
      <c r="K632" s="163"/>
      <c r="L632" s="163"/>
      <c r="M632" s="163"/>
      <c r="N632" s="163"/>
      <c r="O632" s="163"/>
      <c r="P632" s="163"/>
      <c r="Q632" s="163"/>
      <c r="R632" s="163"/>
      <c r="S632" s="163"/>
      <c r="T632" s="163"/>
      <c r="U632" s="163"/>
      <c r="V632" s="163"/>
      <c r="W632" s="163"/>
      <c r="X632" s="163"/>
      <c r="Y632" s="163"/>
      <c r="Z632" s="163"/>
    </row>
    <row r="633" ht="14.25" customHeight="1">
      <c r="A633" s="199" t="s">
        <v>3979</v>
      </c>
      <c r="B633" s="108"/>
      <c r="C633" s="193" t="s">
        <v>4035</v>
      </c>
      <c r="D633" s="193" t="s">
        <v>2482</v>
      </c>
      <c r="E633" s="193" t="s">
        <v>4036</v>
      </c>
      <c r="F633" s="193" t="s">
        <v>4037</v>
      </c>
      <c r="G633" s="193" t="s">
        <v>4023</v>
      </c>
      <c r="H633" s="178" t="s">
        <v>36</v>
      </c>
      <c r="I633" s="163"/>
      <c r="J633" s="175" t="s">
        <v>1784</v>
      </c>
      <c r="K633" s="163"/>
      <c r="L633" s="163"/>
      <c r="M633" s="163"/>
      <c r="N633" s="163"/>
      <c r="O633" s="163"/>
      <c r="P633" s="163"/>
      <c r="Q633" s="163"/>
      <c r="R633" s="163"/>
      <c r="S633" s="163"/>
      <c r="T633" s="163"/>
      <c r="U633" s="163"/>
      <c r="V633" s="163"/>
      <c r="W633" s="163"/>
      <c r="X633" s="163"/>
      <c r="Y633" s="163"/>
      <c r="Z633" s="163"/>
    </row>
    <row r="634" ht="14.25" customHeight="1">
      <c r="A634" s="199" t="s">
        <v>3979</v>
      </c>
      <c r="B634" s="108"/>
      <c r="C634" s="193" t="s">
        <v>4038</v>
      </c>
      <c r="D634" s="193" t="s">
        <v>2482</v>
      </c>
      <c r="E634" s="193" t="s">
        <v>4039</v>
      </c>
      <c r="F634" s="193" t="s">
        <v>4040</v>
      </c>
      <c r="G634" s="193" t="s">
        <v>3999</v>
      </c>
      <c r="H634" s="178" t="s">
        <v>36</v>
      </c>
      <c r="I634" s="163"/>
      <c r="J634" s="175" t="s">
        <v>1784</v>
      </c>
      <c r="K634" s="163"/>
      <c r="L634" s="163"/>
      <c r="M634" s="163"/>
      <c r="N634" s="163"/>
      <c r="O634" s="163"/>
      <c r="P634" s="163"/>
      <c r="Q634" s="163"/>
      <c r="R634" s="163"/>
      <c r="S634" s="163"/>
      <c r="T634" s="163"/>
      <c r="U634" s="163"/>
      <c r="V634" s="163"/>
      <c r="W634" s="163"/>
      <c r="X634" s="163"/>
      <c r="Y634" s="163"/>
      <c r="Z634" s="163"/>
    </row>
    <row r="635" ht="14.25" customHeight="1">
      <c r="A635" s="199" t="s">
        <v>3979</v>
      </c>
      <c r="B635" s="108"/>
      <c r="C635" s="193" t="s">
        <v>4041</v>
      </c>
      <c r="D635" s="193" t="s">
        <v>2482</v>
      </c>
      <c r="E635" s="193" t="s">
        <v>4042</v>
      </c>
      <c r="F635" s="193" t="s">
        <v>4043</v>
      </c>
      <c r="G635" s="193" t="s">
        <v>4003</v>
      </c>
      <c r="H635" s="178" t="s">
        <v>36</v>
      </c>
      <c r="I635" s="163"/>
      <c r="J635" s="175" t="s">
        <v>1784</v>
      </c>
      <c r="K635" s="163"/>
      <c r="L635" s="163"/>
      <c r="M635" s="163"/>
      <c r="N635" s="163"/>
      <c r="O635" s="163"/>
      <c r="P635" s="163"/>
      <c r="Q635" s="163"/>
      <c r="R635" s="163"/>
      <c r="S635" s="163"/>
      <c r="T635" s="163"/>
      <c r="U635" s="163"/>
      <c r="V635" s="163"/>
      <c r="W635" s="163"/>
      <c r="X635" s="163"/>
      <c r="Y635" s="163"/>
      <c r="Z635" s="163"/>
    </row>
    <row r="636" ht="14.25" customHeight="1">
      <c r="A636" s="199" t="s">
        <v>3979</v>
      </c>
      <c r="B636" s="109"/>
      <c r="C636" s="193" t="s">
        <v>4044</v>
      </c>
      <c r="D636" s="193" t="s">
        <v>2482</v>
      </c>
      <c r="E636" s="193" t="s">
        <v>4045</v>
      </c>
      <c r="F636" s="193" t="s">
        <v>4046</v>
      </c>
      <c r="G636" s="193" t="s">
        <v>4007</v>
      </c>
      <c r="H636" s="178" t="s">
        <v>36</v>
      </c>
      <c r="I636" s="163"/>
      <c r="J636" s="175" t="s">
        <v>1784</v>
      </c>
      <c r="K636" s="163"/>
      <c r="L636" s="163"/>
      <c r="M636" s="163"/>
      <c r="N636" s="163"/>
      <c r="O636" s="163"/>
      <c r="P636" s="163"/>
      <c r="Q636" s="163"/>
      <c r="R636" s="163"/>
      <c r="S636" s="163"/>
      <c r="T636" s="163"/>
      <c r="U636" s="163"/>
      <c r="V636" s="163"/>
      <c r="W636" s="163"/>
      <c r="X636" s="163"/>
      <c r="Y636" s="163"/>
      <c r="Z636" s="163"/>
    </row>
    <row r="637" ht="14.25" customHeight="1">
      <c r="A637" s="199" t="s">
        <v>4047</v>
      </c>
      <c r="B637" s="188" t="s">
        <v>4048</v>
      </c>
      <c r="C637" s="191" t="s">
        <v>4049</v>
      </c>
      <c r="D637" s="175" t="s">
        <v>2482</v>
      </c>
      <c r="E637" s="175" t="s">
        <v>4050</v>
      </c>
      <c r="F637" s="175" t="s">
        <v>4051</v>
      </c>
      <c r="G637" s="175" t="s">
        <v>4052</v>
      </c>
      <c r="H637" s="175" t="s">
        <v>36</v>
      </c>
      <c r="I637" s="163"/>
      <c r="J637" s="175" t="s">
        <v>1784</v>
      </c>
      <c r="K637" s="163"/>
      <c r="L637" s="163"/>
      <c r="M637" s="163"/>
      <c r="N637" s="163"/>
      <c r="O637" s="163"/>
      <c r="P637" s="163"/>
      <c r="Q637" s="163"/>
      <c r="R637" s="163"/>
      <c r="S637" s="163"/>
      <c r="T637" s="163"/>
      <c r="U637" s="163"/>
      <c r="V637" s="163"/>
      <c r="W637" s="163"/>
      <c r="X637" s="163"/>
      <c r="Y637" s="163"/>
      <c r="Z637" s="163"/>
    </row>
    <row r="638" ht="14.25" customHeight="1">
      <c r="A638" s="199" t="s">
        <v>4047</v>
      </c>
      <c r="B638" s="108"/>
      <c r="C638" s="193" t="s">
        <v>4053</v>
      </c>
      <c r="D638" s="178" t="s">
        <v>2482</v>
      </c>
      <c r="E638" s="178" t="s">
        <v>4054</v>
      </c>
      <c r="F638" s="178" t="s">
        <v>4055</v>
      </c>
      <c r="G638" s="178" t="s">
        <v>4056</v>
      </c>
      <c r="H638" s="178" t="s">
        <v>36</v>
      </c>
      <c r="I638" s="163"/>
      <c r="J638" s="175" t="s">
        <v>1784</v>
      </c>
      <c r="K638" s="163"/>
      <c r="L638" s="163"/>
      <c r="M638" s="163"/>
      <c r="N638" s="163"/>
      <c r="O638" s="163"/>
      <c r="P638" s="163"/>
      <c r="Q638" s="163"/>
      <c r="R638" s="163"/>
      <c r="S638" s="163"/>
      <c r="T638" s="163"/>
      <c r="U638" s="163"/>
      <c r="V638" s="163"/>
      <c r="W638" s="163"/>
      <c r="X638" s="163"/>
      <c r="Y638" s="163"/>
      <c r="Z638" s="163"/>
    </row>
    <row r="639" ht="14.25" customHeight="1">
      <c r="A639" s="199" t="s">
        <v>4047</v>
      </c>
      <c r="B639" s="108"/>
      <c r="C639" s="193" t="s">
        <v>4057</v>
      </c>
      <c r="D639" s="178" t="s">
        <v>2482</v>
      </c>
      <c r="E639" s="178" t="s">
        <v>4058</v>
      </c>
      <c r="F639" s="178" t="s">
        <v>4059</v>
      </c>
      <c r="G639" s="178" t="s">
        <v>4060</v>
      </c>
      <c r="H639" s="178" t="s">
        <v>36</v>
      </c>
      <c r="I639" s="163"/>
      <c r="J639" s="175" t="s">
        <v>1784</v>
      </c>
      <c r="K639" s="163"/>
      <c r="L639" s="163"/>
      <c r="M639" s="163"/>
      <c r="N639" s="163"/>
      <c r="O639" s="163"/>
      <c r="P639" s="163"/>
      <c r="Q639" s="163"/>
      <c r="R639" s="163"/>
      <c r="S639" s="163"/>
      <c r="T639" s="163"/>
      <c r="U639" s="163"/>
      <c r="V639" s="163"/>
      <c r="W639" s="163"/>
      <c r="X639" s="163"/>
      <c r="Y639" s="163"/>
      <c r="Z639" s="163"/>
    </row>
    <row r="640" ht="14.25" customHeight="1">
      <c r="A640" s="199" t="s">
        <v>4047</v>
      </c>
      <c r="B640" s="108"/>
      <c r="C640" s="193" t="s">
        <v>4061</v>
      </c>
      <c r="D640" s="178" t="s">
        <v>2482</v>
      </c>
      <c r="E640" s="178" t="s">
        <v>4062</v>
      </c>
      <c r="F640" s="178" t="s">
        <v>4063</v>
      </c>
      <c r="G640" s="178" t="s">
        <v>4064</v>
      </c>
      <c r="H640" s="178" t="s">
        <v>36</v>
      </c>
      <c r="I640" s="163"/>
      <c r="J640" s="175" t="s">
        <v>1784</v>
      </c>
      <c r="K640" s="163"/>
      <c r="L640" s="163"/>
      <c r="M640" s="163"/>
      <c r="N640" s="163"/>
      <c r="O640" s="163"/>
      <c r="P640" s="163"/>
      <c r="Q640" s="163"/>
      <c r="R640" s="163"/>
      <c r="S640" s="163"/>
      <c r="T640" s="163"/>
      <c r="U640" s="163"/>
      <c r="V640" s="163"/>
      <c r="W640" s="163"/>
      <c r="X640" s="163"/>
      <c r="Y640" s="163"/>
      <c r="Z640" s="163"/>
    </row>
    <row r="641" ht="14.25" customHeight="1">
      <c r="A641" s="199" t="s">
        <v>4047</v>
      </c>
      <c r="B641" s="108"/>
      <c r="C641" s="193" t="s">
        <v>4065</v>
      </c>
      <c r="D641" s="178" t="s">
        <v>2482</v>
      </c>
      <c r="E641" s="178" t="s">
        <v>4066</v>
      </c>
      <c r="F641" s="178" t="s">
        <v>4067</v>
      </c>
      <c r="G641" s="178" t="s">
        <v>4068</v>
      </c>
      <c r="H641" s="178" t="s">
        <v>36</v>
      </c>
      <c r="I641" s="163"/>
      <c r="J641" s="175" t="s">
        <v>1784</v>
      </c>
      <c r="K641" s="163"/>
      <c r="L641" s="163"/>
      <c r="M641" s="163"/>
      <c r="N641" s="163"/>
      <c r="O641" s="163"/>
      <c r="P641" s="163"/>
      <c r="Q641" s="163"/>
      <c r="R641" s="163"/>
      <c r="S641" s="163"/>
      <c r="T641" s="163"/>
      <c r="U641" s="163"/>
      <c r="V641" s="163"/>
      <c r="W641" s="163"/>
      <c r="X641" s="163"/>
      <c r="Y641" s="163"/>
      <c r="Z641" s="163"/>
    </row>
    <row r="642" ht="14.25" customHeight="1">
      <c r="A642" s="199" t="s">
        <v>4047</v>
      </c>
      <c r="B642" s="108"/>
      <c r="C642" s="193" t="s">
        <v>4069</v>
      </c>
      <c r="D642" s="178" t="s">
        <v>2482</v>
      </c>
      <c r="E642" s="178" t="s">
        <v>4070</v>
      </c>
      <c r="F642" s="178" t="s">
        <v>4071</v>
      </c>
      <c r="G642" s="178" t="s">
        <v>4072</v>
      </c>
      <c r="H642" s="178" t="s">
        <v>36</v>
      </c>
      <c r="I642" s="163"/>
      <c r="J642" s="175" t="s">
        <v>1784</v>
      </c>
      <c r="K642" s="163"/>
      <c r="L642" s="163"/>
      <c r="M642" s="163"/>
      <c r="N642" s="163"/>
      <c r="O642" s="163"/>
      <c r="P642" s="163"/>
      <c r="Q642" s="163"/>
      <c r="R642" s="163"/>
      <c r="S642" s="163"/>
      <c r="T642" s="163"/>
      <c r="U642" s="163"/>
      <c r="V642" s="163"/>
      <c r="W642" s="163"/>
      <c r="X642" s="163"/>
      <c r="Y642" s="163"/>
      <c r="Z642" s="163"/>
    </row>
    <row r="643" ht="14.25" customHeight="1">
      <c r="A643" s="199" t="s">
        <v>4047</v>
      </c>
      <c r="B643" s="108"/>
      <c r="C643" s="193" t="s">
        <v>4073</v>
      </c>
      <c r="D643" s="178" t="s">
        <v>2482</v>
      </c>
      <c r="E643" s="178" t="s">
        <v>4074</v>
      </c>
      <c r="F643" s="178" t="s">
        <v>4075</v>
      </c>
      <c r="G643" s="178" t="s">
        <v>4068</v>
      </c>
      <c r="H643" s="178" t="s">
        <v>36</v>
      </c>
      <c r="I643" s="163"/>
      <c r="J643" s="175" t="s">
        <v>1784</v>
      </c>
      <c r="K643" s="163"/>
      <c r="L643" s="163"/>
      <c r="M643" s="163"/>
      <c r="N643" s="163"/>
      <c r="O643" s="163"/>
      <c r="P643" s="163"/>
      <c r="Q643" s="163"/>
      <c r="R643" s="163"/>
      <c r="S643" s="163"/>
      <c r="T643" s="163"/>
      <c r="U643" s="163"/>
      <c r="V643" s="163"/>
      <c r="W643" s="163"/>
      <c r="X643" s="163"/>
      <c r="Y643" s="163"/>
      <c r="Z643" s="163"/>
    </row>
    <row r="644" ht="14.25" customHeight="1">
      <c r="A644" s="199" t="s">
        <v>4047</v>
      </c>
      <c r="B644" s="108"/>
      <c r="C644" s="193" t="s">
        <v>4076</v>
      </c>
      <c r="D644" s="178" t="s">
        <v>2482</v>
      </c>
      <c r="E644" s="178" t="s">
        <v>4077</v>
      </c>
      <c r="F644" s="178" t="s">
        <v>4078</v>
      </c>
      <c r="G644" s="178" t="s">
        <v>4072</v>
      </c>
      <c r="H644" s="178" t="s">
        <v>36</v>
      </c>
      <c r="I644" s="163"/>
      <c r="J644" s="175" t="s">
        <v>1784</v>
      </c>
      <c r="K644" s="163"/>
      <c r="L644" s="163"/>
      <c r="M644" s="163"/>
      <c r="N644" s="163"/>
      <c r="O644" s="163"/>
      <c r="P644" s="163"/>
      <c r="Q644" s="163"/>
      <c r="R644" s="163"/>
      <c r="S644" s="163"/>
      <c r="T644" s="163"/>
      <c r="U644" s="163"/>
      <c r="V644" s="163"/>
      <c r="W644" s="163"/>
      <c r="X644" s="163"/>
      <c r="Y644" s="163"/>
      <c r="Z644" s="163"/>
    </row>
    <row r="645" ht="14.25" customHeight="1">
      <c r="A645" s="199" t="s">
        <v>4047</v>
      </c>
      <c r="B645" s="108"/>
      <c r="C645" s="193" t="s">
        <v>4079</v>
      </c>
      <c r="D645" s="178" t="s">
        <v>2482</v>
      </c>
      <c r="E645" s="178" t="s">
        <v>4080</v>
      </c>
      <c r="F645" s="178" t="s">
        <v>4067</v>
      </c>
      <c r="G645" s="178" t="s">
        <v>4081</v>
      </c>
      <c r="H645" s="178" t="s">
        <v>36</v>
      </c>
      <c r="I645" s="163"/>
      <c r="J645" s="175" t="s">
        <v>1784</v>
      </c>
      <c r="K645" s="163"/>
      <c r="L645" s="163"/>
      <c r="M645" s="163"/>
      <c r="N645" s="163"/>
      <c r="O645" s="163"/>
      <c r="P645" s="163"/>
      <c r="Q645" s="163"/>
      <c r="R645" s="163"/>
      <c r="S645" s="163"/>
      <c r="T645" s="163"/>
      <c r="U645" s="163"/>
      <c r="V645" s="163"/>
      <c r="W645" s="163"/>
      <c r="X645" s="163"/>
      <c r="Y645" s="163"/>
      <c r="Z645" s="163"/>
    </row>
    <row r="646" ht="14.25" customHeight="1">
      <c r="A646" s="199" t="s">
        <v>4047</v>
      </c>
      <c r="B646" s="109"/>
      <c r="C646" s="193" t="s">
        <v>4082</v>
      </c>
      <c r="D646" s="178" t="s">
        <v>2482</v>
      </c>
      <c r="E646" s="178" t="s">
        <v>4083</v>
      </c>
      <c r="F646" s="178" t="s">
        <v>4084</v>
      </c>
      <c r="G646" s="178" t="s">
        <v>4085</v>
      </c>
      <c r="H646" s="178" t="s">
        <v>317</v>
      </c>
      <c r="I646" s="163"/>
      <c r="J646" s="175" t="s">
        <v>1784</v>
      </c>
      <c r="K646" s="163"/>
      <c r="L646" s="163"/>
      <c r="M646" s="163"/>
      <c r="N646" s="163"/>
      <c r="O646" s="163"/>
      <c r="P646" s="163"/>
      <c r="Q646" s="163"/>
      <c r="R646" s="163"/>
      <c r="S646" s="163"/>
      <c r="T646" s="163"/>
      <c r="U646" s="163"/>
      <c r="V646" s="163"/>
      <c r="W646" s="163"/>
      <c r="X646" s="163"/>
      <c r="Y646" s="163"/>
      <c r="Z646" s="163"/>
    </row>
    <row r="647" ht="14.25" customHeight="1">
      <c r="A647" s="163"/>
      <c r="B647" s="163"/>
      <c r="C647" s="163"/>
      <c r="D647" s="163"/>
      <c r="E647" s="163"/>
      <c r="F647" s="163"/>
      <c r="G647" s="163"/>
      <c r="H647" s="163"/>
      <c r="I647" s="163"/>
      <c r="J647" s="163"/>
      <c r="K647" s="163"/>
      <c r="L647" s="163"/>
      <c r="M647" s="163"/>
      <c r="N647" s="163"/>
      <c r="O647" s="163"/>
      <c r="P647" s="163"/>
      <c r="Q647" s="163"/>
      <c r="R647" s="163"/>
      <c r="S647" s="163"/>
      <c r="T647" s="163"/>
      <c r="U647" s="163"/>
      <c r="V647" s="163"/>
      <c r="W647" s="163"/>
      <c r="X647" s="163"/>
      <c r="Y647" s="163"/>
      <c r="Z647" s="163"/>
    </row>
    <row r="648" ht="14.25" customHeight="1">
      <c r="A648" s="163"/>
      <c r="B648" s="163"/>
      <c r="C648" s="163"/>
      <c r="D648" s="163"/>
      <c r="E648" s="163"/>
      <c r="F648" s="163"/>
      <c r="G648" s="163"/>
      <c r="H648" s="163"/>
      <c r="I648" s="163"/>
      <c r="J648" s="163"/>
      <c r="K648" s="163"/>
      <c r="L648" s="163"/>
      <c r="M648" s="163"/>
      <c r="N648" s="163"/>
      <c r="O648" s="163"/>
      <c r="P648" s="163"/>
      <c r="Q648" s="163"/>
      <c r="R648" s="163"/>
      <c r="S648" s="163"/>
      <c r="T648" s="163"/>
      <c r="U648" s="163"/>
      <c r="V648" s="163"/>
      <c r="W648" s="163"/>
      <c r="X648" s="163"/>
      <c r="Y648" s="163"/>
      <c r="Z648" s="163"/>
    </row>
    <row r="649" ht="14.25" customHeight="1">
      <c r="A649" s="163"/>
      <c r="B649" s="163"/>
      <c r="C649" s="163"/>
      <c r="D649" s="163"/>
      <c r="E649" s="163"/>
      <c r="F649" s="163"/>
      <c r="G649" s="163"/>
      <c r="H649" s="163"/>
      <c r="I649" s="163"/>
      <c r="J649" s="163"/>
      <c r="K649" s="163"/>
      <c r="L649" s="163"/>
      <c r="M649" s="163"/>
      <c r="N649" s="163"/>
      <c r="O649" s="163"/>
      <c r="P649" s="163"/>
      <c r="Q649" s="163"/>
      <c r="R649" s="163"/>
      <c r="S649" s="163"/>
      <c r="T649" s="163"/>
      <c r="U649" s="163"/>
      <c r="V649" s="163"/>
      <c r="W649" s="163"/>
      <c r="X649" s="163"/>
      <c r="Y649" s="163"/>
      <c r="Z649" s="163"/>
    </row>
    <row r="650" ht="14.25" customHeight="1">
      <c r="A650" s="163"/>
      <c r="B650" s="163"/>
      <c r="C650" s="163"/>
      <c r="D650" s="163"/>
      <c r="E650" s="163"/>
      <c r="F650" s="163"/>
      <c r="G650" s="163"/>
      <c r="H650" s="163"/>
      <c r="I650" s="163"/>
      <c r="J650" s="163"/>
      <c r="K650" s="163"/>
      <c r="L650" s="163"/>
      <c r="M650" s="163"/>
      <c r="N650" s="163"/>
      <c r="O650" s="163"/>
      <c r="P650" s="163"/>
      <c r="Q650" s="163"/>
      <c r="R650" s="163"/>
      <c r="S650" s="163"/>
      <c r="T650" s="163"/>
      <c r="U650" s="163"/>
      <c r="V650" s="163"/>
      <c r="W650" s="163"/>
      <c r="X650" s="163"/>
      <c r="Y650" s="163"/>
      <c r="Z650" s="163"/>
    </row>
    <row r="651" ht="14.25" customHeight="1">
      <c r="A651" s="163"/>
      <c r="B651" s="163"/>
      <c r="C651" s="163"/>
      <c r="D651" s="163"/>
      <c r="E651" s="163"/>
      <c r="F651" s="163"/>
      <c r="G651" s="163"/>
      <c r="H651" s="163"/>
      <c r="I651" s="163"/>
      <c r="J651" s="163"/>
      <c r="K651" s="163"/>
      <c r="L651" s="163"/>
      <c r="M651" s="163"/>
      <c r="N651" s="163"/>
      <c r="O651" s="163"/>
      <c r="P651" s="163"/>
      <c r="Q651" s="163"/>
      <c r="R651" s="163"/>
      <c r="S651" s="163"/>
      <c r="T651" s="163"/>
      <c r="U651" s="163"/>
      <c r="V651" s="163"/>
      <c r="W651" s="163"/>
      <c r="X651" s="163"/>
      <c r="Y651" s="163"/>
      <c r="Z651" s="163"/>
    </row>
    <row r="652" ht="14.25" customHeight="1">
      <c r="A652" s="163"/>
      <c r="B652" s="163"/>
      <c r="C652" s="163"/>
      <c r="D652" s="163"/>
      <c r="E652" s="163"/>
      <c r="F652" s="163"/>
      <c r="G652" s="163"/>
      <c r="H652" s="163"/>
      <c r="I652" s="163"/>
      <c r="J652" s="163"/>
      <c r="K652" s="163"/>
      <c r="L652" s="163"/>
      <c r="M652" s="163"/>
      <c r="N652" s="163"/>
      <c r="O652" s="163"/>
      <c r="P652" s="163"/>
      <c r="Q652" s="163"/>
      <c r="R652" s="163"/>
      <c r="S652" s="163"/>
      <c r="T652" s="163"/>
      <c r="U652" s="163"/>
      <c r="V652" s="163"/>
      <c r="W652" s="163"/>
      <c r="X652" s="163"/>
      <c r="Y652" s="163"/>
      <c r="Z652" s="163"/>
    </row>
    <row r="653" ht="14.25" customHeight="1">
      <c r="A653" s="163"/>
      <c r="B653" s="163"/>
      <c r="C653" s="163"/>
      <c r="D653" s="163"/>
      <c r="E653" s="163"/>
      <c r="F653" s="163"/>
      <c r="G653" s="163"/>
      <c r="H653" s="163"/>
      <c r="I653" s="163"/>
      <c r="J653" s="163"/>
      <c r="K653" s="163"/>
      <c r="L653" s="163"/>
      <c r="M653" s="163"/>
      <c r="N653" s="163"/>
      <c r="O653" s="163"/>
      <c r="P653" s="163"/>
      <c r="Q653" s="163"/>
      <c r="R653" s="163"/>
      <c r="S653" s="163"/>
      <c r="T653" s="163"/>
      <c r="U653" s="163"/>
      <c r="V653" s="163"/>
      <c r="W653" s="163"/>
      <c r="X653" s="163"/>
      <c r="Y653" s="163"/>
      <c r="Z653" s="163"/>
    </row>
    <row r="654" ht="14.25" customHeight="1">
      <c r="A654" s="163"/>
      <c r="B654" s="163"/>
      <c r="C654" s="163"/>
      <c r="D654" s="163"/>
      <c r="E654" s="163"/>
      <c r="F654" s="163"/>
      <c r="G654" s="163"/>
      <c r="H654" s="163"/>
      <c r="I654" s="163"/>
      <c r="J654" s="163"/>
      <c r="K654" s="163"/>
      <c r="L654" s="163"/>
      <c r="M654" s="163"/>
      <c r="N654" s="163"/>
      <c r="O654" s="163"/>
      <c r="P654" s="163"/>
      <c r="Q654" s="163"/>
      <c r="R654" s="163"/>
      <c r="S654" s="163"/>
      <c r="T654" s="163"/>
      <c r="U654" s="163"/>
      <c r="V654" s="163"/>
      <c r="W654" s="163"/>
      <c r="X654" s="163"/>
      <c r="Y654" s="163"/>
      <c r="Z654" s="163"/>
    </row>
    <row r="655" ht="14.25" customHeight="1">
      <c r="A655" s="163"/>
      <c r="B655" s="163"/>
      <c r="C655" s="163"/>
      <c r="D655" s="163"/>
      <c r="E655" s="163"/>
      <c r="F655" s="163"/>
      <c r="G655" s="163"/>
      <c r="H655" s="163"/>
      <c r="I655" s="163"/>
      <c r="J655" s="163"/>
      <c r="K655" s="163"/>
      <c r="L655" s="163"/>
      <c r="M655" s="163"/>
      <c r="N655" s="163"/>
      <c r="O655" s="163"/>
      <c r="P655" s="163"/>
      <c r="Q655" s="163"/>
      <c r="R655" s="163"/>
      <c r="S655" s="163"/>
      <c r="T655" s="163"/>
      <c r="U655" s="163"/>
      <c r="V655" s="163"/>
      <c r="W655" s="163"/>
      <c r="X655" s="163"/>
      <c r="Y655" s="163"/>
      <c r="Z655" s="163"/>
    </row>
    <row r="656" ht="14.25" customHeight="1">
      <c r="A656" s="163"/>
      <c r="B656" s="163"/>
      <c r="C656" s="163"/>
      <c r="D656" s="163"/>
      <c r="E656" s="163"/>
      <c r="F656" s="163"/>
      <c r="G656" s="163"/>
      <c r="H656" s="163"/>
      <c r="I656" s="163"/>
      <c r="J656" s="163"/>
      <c r="K656" s="163"/>
      <c r="L656" s="163"/>
      <c r="M656" s="163"/>
      <c r="N656" s="163"/>
      <c r="O656" s="163"/>
      <c r="P656" s="163"/>
      <c r="Q656" s="163"/>
      <c r="R656" s="163"/>
      <c r="S656" s="163"/>
      <c r="T656" s="163"/>
      <c r="U656" s="163"/>
      <c r="V656" s="163"/>
      <c r="W656" s="163"/>
      <c r="X656" s="163"/>
      <c r="Y656" s="163"/>
      <c r="Z656" s="163"/>
    </row>
    <row r="657" ht="14.25" customHeight="1">
      <c r="A657" s="163"/>
      <c r="B657" s="163"/>
      <c r="C657" s="163"/>
      <c r="D657" s="163"/>
      <c r="E657" s="163"/>
      <c r="F657" s="163"/>
      <c r="G657" s="163"/>
      <c r="H657" s="163"/>
      <c r="I657" s="163"/>
      <c r="J657" s="163"/>
      <c r="K657" s="163"/>
      <c r="L657" s="163"/>
      <c r="M657" s="163"/>
      <c r="N657" s="163"/>
      <c r="O657" s="163"/>
      <c r="P657" s="163"/>
      <c r="Q657" s="163"/>
      <c r="R657" s="163"/>
      <c r="S657" s="163"/>
      <c r="T657" s="163"/>
      <c r="U657" s="163"/>
      <c r="V657" s="163"/>
      <c r="W657" s="163"/>
      <c r="X657" s="163"/>
      <c r="Y657" s="163"/>
      <c r="Z657" s="163"/>
    </row>
    <row r="658" ht="14.25" customHeight="1">
      <c r="A658" s="163"/>
      <c r="B658" s="163"/>
      <c r="C658" s="163"/>
      <c r="D658" s="163"/>
      <c r="E658" s="163"/>
      <c r="F658" s="163"/>
      <c r="G658" s="163"/>
      <c r="H658" s="163"/>
      <c r="I658" s="163"/>
      <c r="J658" s="163"/>
      <c r="K658" s="163"/>
      <c r="L658" s="163"/>
      <c r="M658" s="163"/>
      <c r="N658" s="163"/>
      <c r="O658" s="163"/>
      <c r="P658" s="163"/>
      <c r="Q658" s="163"/>
      <c r="R658" s="163"/>
      <c r="S658" s="163"/>
      <c r="T658" s="163"/>
      <c r="U658" s="163"/>
      <c r="V658" s="163"/>
      <c r="W658" s="163"/>
      <c r="X658" s="163"/>
      <c r="Y658" s="163"/>
      <c r="Z658" s="163"/>
    </row>
    <row r="659" ht="14.25" customHeight="1">
      <c r="A659" s="163"/>
      <c r="B659" s="163"/>
      <c r="C659" s="163"/>
      <c r="D659" s="163"/>
      <c r="E659" s="163"/>
      <c r="F659" s="163"/>
      <c r="G659" s="163"/>
      <c r="H659" s="163"/>
      <c r="I659" s="163"/>
      <c r="J659" s="163"/>
      <c r="K659" s="163"/>
      <c r="L659" s="163"/>
      <c r="M659" s="163"/>
      <c r="N659" s="163"/>
      <c r="O659" s="163"/>
      <c r="P659" s="163"/>
      <c r="Q659" s="163"/>
      <c r="R659" s="163"/>
      <c r="S659" s="163"/>
      <c r="T659" s="163"/>
      <c r="U659" s="163"/>
      <c r="V659" s="163"/>
      <c r="W659" s="163"/>
      <c r="X659" s="163"/>
      <c r="Y659" s="163"/>
      <c r="Z659" s="163"/>
    </row>
    <row r="660" ht="14.25" customHeight="1">
      <c r="A660" s="163"/>
      <c r="B660" s="163"/>
      <c r="C660" s="163"/>
      <c r="D660" s="163"/>
      <c r="E660" s="163"/>
      <c r="F660" s="163"/>
      <c r="G660" s="163"/>
      <c r="H660" s="163"/>
      <c r="I660" s="163"/>
      <c r="J660" s="163"/>
      <c r="K660" s="163"/>
      <c r="L660" s="163"/>
      <c r="M660" s="163"/>
      <c r="N660" s="163"/>
      <c r="O660" s="163"/>
      <c r="P660" s="163"/>
      <c r="Q660" s="163"/>
      <c r="R660" s="163"/>
      <c r="S660" s="163"/>
      <c r="T660" s="163"/>
      <c r="U660" s="163"/>
      <c r="V660" s="163"/>
      <c r="W660" s="163"/>
      <c r="X660" s="163"/>
      <c r="Y660" s="163"/>
      <c r="Z660" s="163"/>
    </row>
    <row r="661" ht="14.25" customHeight="1">
      <c r="A661" s="163"/>
      <c r="B661" s="163"/>
      <c r="C661" s="163"/>
      <c r="D661" s="163"/>
      <c r="E661" s="163"/>
      <c r="F661" s="163"/>
      <c r="G661" s="163"/>
      <c r="H661" s="163"/>
      <c r="I661" s="163"/>
      <c r="J661" s="163"/>
      <c r="K661" s="163"/>
      <c r="L661" s="163"/>
      <c r="M661" s="163"/>
      <c r="N661" s="163"/>
      <c r="O661" s="163"/>
      <c r="P661" s="163"/>
      <c r="Q661" s="163"/>
      <c r="R661" s="163"/>
      <c r="S661" s="163"/>
      <c r="T661" s="163"/>
      <c r="U661" s="163"/>
      <c r="V661" s="163"/>
      <c r="W661" s="163"/>
      <c r="X661" s="163"/>
      <c r="Y661" s="163"/>
      <c r="Z661" s="163"/>
    </row>
    <row r="662" ht="14.25" customHeight="1">
      <c r="A662" s="163"/>
      <c r="B662" s="163"/>
      <c r="C662" s="163"/>
      <c r="D662" s="163"/>
      <c r="E662" s="163"/>
      <c r="F662" s="163"/>
      <c r="G662" s="163"/>
      <c r="H662" s="163"/>
      <c r="I662" s="163"/>
      <c r="J662" s="163"/>
      <c r="K662" s="163"/>
      <c r="L662" s="163"/>
      <c r="M662" s="163"/>
      <c r="N662" s="163"/>
      <c r="O662" s="163"/>
      <c r="P662" s="163"/>
      <c r="Q662" s="163"/>
      <c r="R662" s="163"/>
      <c r="S662" s="163"/>
      <c r="T662" s="163"/>
      <c r="U662" s="163"/>
      <c r="V662" s="163"/>
      <c r="W662" s="163"/>
      <c r="X662" s="163"/>
      <c r="Y662" s="163"/>
      <c r="Z662" s="163"/>
    </row>
    <row r="663" ht="14.25" customHeight="1">
      <c r="A663" s="163"/>
      <c r="B663" s="163"/>
      <c r="C663" s="163"/>
      <c r="D663" s="163"/>
      <c r="E663" s="163"/>
      <c r="F663" s="163"/>
      <c r="G663" s="163"/>
      <c r="H663" s="163"/>
      <c r="I663" s="163"/>
      <c r="J663" s="163"/>
      <c r="K663" s="163"/>
      <c r="L663" s="163"/>
      <c r="M663" s="163"/>
      <c r="N663" s="163"/>
      <c r="O663" s="163"/>
      <c r="P663" s="163"/>
      <c r="Q663" s="163"/>
      <c r="R663" s="163"/>
      <c r="S663" s="163"/>
      <c r="T663" s="163"/>
      <c r="U663" s="163"/>
      <c r="V663" s="163"/>
      <c r="W663" s="163"/>
      <c r="X663" s="163"/>
      <c r="Y663" s="163"/>
      <c r="Z663" s="163"/>
    </row>
    <row r="664" ht="14.25" customHeight="1">
      <c r="A664" s="163"/>
      <c r="B664" s="163"/>
      <c r="C664" s="163"/>
      <c r="D664" s="163"/>
      <c r="E664" s="163"/>
      <c r="F664" s="163"/>
      <c r="G664" s="163"/>
      <c r="H664" s="163"/>
      <c r="I664" s="163"/>
      <c r="J664" s="163"/>
      <c r="K664" s="163"/>
      <c r="L664" s="163"/>
      <c r="M664" s="163"/>
      <c r="N664" s="163"/>
      <c r="O664" s="163"/>
      <c r="P664" s="163"/>
      <c r="Q664" s="163"/>
      <c r="R664" s="163"/>
      <c r="S664" s="163"/>
      <c r="T664" s="163"/>
      <c r="U664" s="163"/>
      <c r="V664" s="163"/>
      <c r="W664" s="163"/>
      <c r="X664" s="163"/>
      <c r="Y664" s="163"/>
      <c r="Z664" s="163"/>
    </row>
    <row r="665" ht="14.25" customHeight="1">
      <c r="A665" s="163"/>
      <c r="B665" s="163"/>
      <c r="C665" s="163"/>
      <c r="D665" s="163"/>
      <c r="E665" s="163"/>
      <c r="F665" s="163"/>
      <c r="G665" s="163"/>
      <c r="H665" s="163"/>
      <c r="I665" s="163"/>
      <c r="J665" s="163"/>
      <c r="K665" s="163"/>
      <c r="L665" s="163"/>
      <c r="M665" s="163"/>
      <c r="N665" s="163"/>
      <c r="O665" s="163"/>
      <c r="P665" s="163"/>
      <c r="Q665" s="163"/>
      <c r="R665" s="163"/>
      <c r="S665" s="163"/>
      <c r="T665" s="163"/>
      <c r="U665" s="163"/>
      <c r="V665" s="163"/>
      <c r="W665" s="163"/>
      <c r="X665" s="163"/>
      <c r="Y665" s="163"/>
      <c r="Z665" s="163"/>
    </row>
    <row r="666" ht="14.25" customHeight="1">
      <c r="A666" s="163"/>
      <c r="B666" s="163"/>
      <c r="C666" s="163"/>
      <c r="D666" s="163"/>
      <c r="E666" s="163"/>
      <c r="F666" s="163"/>
      <c r="G666" s="163"/>
      <c r="H666" s="163"/>
      <c r="I666" s="163"/>
      <c r="J666" s="163"/>
      <c r="K666" s="163"/>
      <c r="L666" s="163"/>
      <c r="M666" s="163"/>
      <c r="N666" s="163"/>
      <c r="O666" s="163"/>
      <c r="P666" s="163"/>
      <c r="Q666" s="163"/>
      <c r="R666" s="163"/>
      <c r="S666" s="163"/>
      <c r="T666" s="163"/>
      <c r="U666" s="163"/>
      <c r="V666" s="163"/>
      <c r="W666" s="163"/>
      <c r="X666" s="163"/>
      <c r="Y666" s="163"/>
      <c r="Z666" s="163"/>
    </row>
    <row r="667" ht="14.25" customHeight="1">
      <c r="A667" s="163"/>
      <c r="B667" s="163"/>
      <c r="C667" s="163"/>
      <c r="D667" s="163"/>
      <c r="E667" s="163"/>
      <c r="F667" s="163"/>
      <c r="G667" s="163"/>
      <c r="H667" s="163"/>
      <c r="I667" s="163"/>
      <c r="J667" s="163"/>
      <c r="K667" s="163"/>
      <c r="L667" s="163"/>
      <c r="M667" s="163"/>
      <c r="N667" s="163"/>
      <c r="O667" s="163"/>
      <c r="P667" s="163"/>
      <c r="Q667" s="163"/>
      <c r="R667" s="163"/>
      <c r="S667" s="163"/>
      <c r="T667" s="163"/>
      <c r="U667" s="163"/>
      <c r="V667" s="163"/>
      <c r="W667" s="163"/>
      <c r="X667" s="163"/>
      <c r="Y667" s="163"/>
      <c r="Z667" s="163"/>
    </row>
    <row r="668" ht="14.25" customHeight="1">
      <c r="A668" s="163"/>
      <c r="B668" s="163"/>
      <c r="C668" s="163"/>
      <c r="D668" s="163"/>
      <c r="E668" s="163"/>
      <c r="F668" s="163"/>
      <c r="G668" s="163"/>
      <c r="H668" s="163"/>
      <c r="I668" s="163"/>
      <c r="J668" s="163"/>
      <c r="K668" s="163"/>
      <c r="L668" s="163"/>
      <c r="M668" s="163"/>
      <c r="N668" s="163"/>
      <c r="O668" s="163"/>
      <c r="P668" s="163"/>
      <c r="Q668" s="163"/>
      <c r="R668" s="163"/>
      <c r="S668" s="163"/>
      <c r="T668" s="163"/>
      <c r="U668" s="163"/>
      <c r="V668" s="163"/>
      <c r="W668" s="163"/>
      <c r="X668" s="163"/>
      <c r="Y668" s="163"/>
      <c r="Z668" s="163"/>
    </row>
    <row r="669" ht="14.25" customHeight="1">
      <c r="A669" s="163"/>
      <c r="B669" s="163"/>
      <c r="C669" s="163"/>
      <c r="D669" s="163"/>
      <c r="E669" s="163"/>
      <c r="F669" s="163"/>
      <c r="G669" s="163"/>
      <c r="H669" s="163"/>
      <c r="I669" s="163"/>
      <c r="J669" s="163"/>
      <c r="K669" s="163"/>
      <c r="L669" s="163"/>
      <c r="M669" s="163"/>
      <c r="N669" s="163"/>
      <c r="O669" s="163"/>
      <c r="P669" s="163"/>
      <c r="Q669" s="163"/>
      <c r="R669" s="163"/>
      <c r="S669" s="163"/>
      <c r="T669" s="163"/>
      <c r="U669" s="163"/>
      <c r="V669" s="163"/>
      <c r="W669" s="163"/>
      <c r="X669" s="163"/>
      <c r="Y669" s="163"/>
      <c r="Z669" s="163"/>
    </row>
    <row r="670" ht="14.25" customHeight="1">
      <c r="A670" s="163"/>
      <c r="B670" s="163"/>
      <c r="C670" s="163"/>
      <c r="D670" s="163"/>
      <c r="E670" s="163"/>
      <c r="F670" s="163"/>
      <c r="G670" s="163"/>
      <c r="H670" s="163"/>
      <c r="I670" s="163"/>
      <c r="J670" s="163"/>
      <c r="K670" s="163"/>
      <c r="L670" s="163"/>
      <c r="M670" s="163"/>
      <c r="N670" s="163"/>
      <c r="O670" s="163"/>
      <c r="P670" s="163"/>
      <c r="Q670" s="163"/>
      <c r="R670" s="163"/>
      <c r="S670" s="163"/>
      <c r="T670" s="163"/>
      <c r="U670" s="163"/>
      <c r="V670" s="163"/>
      <c r="W670" s="163"/>
      <c r="X670" s="163"/>
      <c r="Y670" s="163"/>
      <c r="Z670" s="163"/>
    </row>
    <row r="671" ht="14.25" customHeight="1">
      <c r="A671" s="163"/>
      <c r="B671" s="163"/>
      <c r="C671" s="163"/>
      <c r="D671" s="163"/>
      <c r="E671" s="163"/>
      <c r="F671" s="163"/>
      <c r="G671" s="163"/>
      <c r="H671" s="163"/>
      <c r="I671" s="163"/>
      <c r="J671" s="163"/>
      <c r="K671" s="163"/>
      <c r="L671" s="163"/>
      <c r="M671" s="163"/>
      <c r="N671" s="163"/>
      <c r="O671" s="163"/>
      <c r="P671" s="163"/>
      <c r="Q671" s="163"/>
      <c r="R671" s="163"/>
      <c r="S671" s="163"/>
      <c r="T671" s="163"/>
      <c r="U671" s="163"/>
      <c r="V671" s="163"/>
      <c r="W671" s="163"/>
      <c r="X671" s="163"/>
      <c r="Y671" s="163"/>
      <c r="Z671" s="163"/>
    </row>
    <row r="672" ht="14.25" customHeight="1">
      <c r="A672" s="163"/>
      <c r="B672" s="163"/>
      <c r="C672" s="163"/>
      <c r="D672" s="163"/>
      <c r="E672" s="163"/>
      <c r="F672" s="163"/>
      <c r="G672" s="163"/>
      <c r="H672" s="163"/>
      <c r="I672" s="163"/>
      <c r="J672" s="163"/>
      <c r="K672" s="163"/>
      <c r="L672" s="163"/>
      <c r="M672" s="163"/>
      <c r="N672" s="163"/>
      <c r="O672" s="163"/>
      <c r="P672" s="163"/>
      <c r="Q672" s="163"/>
      <c r="R672" s="163"/>
      <c r="S672" s="163"/>
      <c r="T672" s="163"/>
      <c r="U672" s="163"/>
      <c r="V672" s="163"/>
      <c r="W672" s="163"/>
      <c r="X672" s="163"/>
      <c r="Y672" s="163"/>
      <c r="Z672" s="163"/>
    </row>
    <row r="673" ht="14.25" customHeight="1">
      <c r="A673" s="163"/>
      <c r="B673" s="163"/>
      <c r="C673" s="163"/>
      <c r="D673" s="163"/>
      <c r="E673" s="163"/>
      <c r="F673" s="163"/>
      <c r="G673" s="163"/>
      <c r="H673" s="163"/>
      <c r="I673" s="163"/>
      <c r="J673" s="163"/>
      <c r="K673" s="163"/>
      <c r="L673" s="163"/>
      <c r="M673" s="163"/>
      <c r="N673" s="163"/>
      <c r="O673" s="163"/>
      <c r="P673" s="163"/>
      <c r="Q673" s="163"/>
      <c r="R673" s="163"/>
      <c r="S673" s="163"/>
      <c r="T673" s="163"/>
      <c r="U673" s="163"/>
      <c r="V673" s="163"/>
      <c r="W673" s="163"/>
      <c r="X673" s="163"/>
      <c r="Y673" s="163"/>
      <c r="Z673" s="163"/>
    </row>
    <row r="674" ht="14.25" customHeight="1">
      <c r="A674" s="163"/>
      <c r="B674" s="163"/>
      <c r="C674" s="163"/>
      <c r="D674" s="163"/>
      <c r="E674" s="163"/>
      <c r="F674" s="163"/>
      <c r="G674" s="163"/>
      <c r="H674" s="163"/>
      <c r="I674" s="163"/>
      <c r="J674" s="163"/>
      <c r="K674" s="163"/>
      <c r="L674" s="163"/>
      <c r="M674" s="163"/>
      <c r="N674" s="163"/>
      <c r="O674" s="163"/>
      <c r="P674" s="163"/>
      <c r="Q674" s="163"/>
      <c r="R674" s="163"/>
      <c r="S674" s="163"/>
      <c r="T674" s="163"/>
      <c r="U674" s="163"/>
      <c r="V674" s="163"/>
      <c r="W674" s="163"/>
      <c r="X674" s="163"/>
      <c r="Y674" s="163"/>
      <c r="Z674" s="163"/>
    </row>
    <row r="675" ht="14.25" customHeight="1">
      <c r="A675" s="163"/>
      <c r="B675" s="163"/>
      <c r="C675" s="163"/>
      <c r="D675" s="163"/>
      <c r="E675" s="163"/>
      <c r="F675" s="163"/>
      <c r="G675" s="163"/>
      <c r="H675" s="163"/>
      <c r="I675" s="163"/>
      <c r="J675" s="163"/>
      <c r="K675" s="163"/>
      <c r="L675" s="163"/>
      <c r="M675" s="163"/>
      <c r="N675" s="163"/>
      <c r="O675" s="163"/>
      <c r="P675" s="163"/>
      <c r="Q675" s="163"/>
      <c r="R675" s="163"/>
      <c r="S675" s="163"/>
      <c r="T675" s="163"/>
      <c r="U675" s="163"/>
      <c r="V675" s="163"/>
      <c r="W675" s="163"/>
      <c r="X675" s="163"/>
      <c r="Y675" s="163"/>
      <c r="Z675" s="163"/>
    </row>
    <row r="676" ht="14.25" customHeight="1">
      <c r="A676" s="163"/>
      <c r="B676" s="163"/>
      <c r="C676" s="163"/>
      <c r="D676" s="163"/>
      <c r="E676" s="163"/>
      <c r="F676" s="163"/>
      <c r="G676" s="163"/>
      <c r="H676" s="163"/>
      <c r="I676" s="163"/>
      <c r="J676" s="163"/>
      <c r="K676" s="163"/>
      <c r="L676" s="163"/>
      <c r="M676" s="163"/>
      <c r="N676" s="163"/>
      <c r="O676" s="163"/>
      <c r="P676" s="163"/>
      <c r="Q676" s="163"/>
      <c r="R676" s="163"/>
      <c r="S676" s="163"/>
      <c r="T676" s="163"/>
      <c r="U676" s="163"/>
      <c r="V676" s="163"/>
      <c r="W676" s="163"/>
      <c r="X676" s="163"/>
      <c r="Y676" s="163"/>
      <c r="Z676" s="163"/>
    </row>
    <row r="677" ht="14.25" customHeight="1">
      <c r="A677" s="163"/>
      <c r="B677" s="163"/>
      <c r="C677" s="163"/>
      <c r="D677" s="163"/>
      <c r="E677" s="163"/>
      <c r="F677" s="163"/>
      <c r="G677" s="163"/>
      <c r="H677" s="163"/>
      <c r="I677" s="163"/>
      <c r="J677" s="163"/>
      <c r="K677" s="163"/>
      <c r="L677" s="163"/>
      <c r="M677" s="163"/>
      <c r="N677" s="163"/>
      <c r="O677" s="163"/>
      <c r="P677" s="163"/>
      <c r="Q677" s="163"/>
      <c r="R677" s="163"/>
      <c r="S677" s="163"/>
      <c r="T677" s="163"/>
      <c r="U677" s="163"/>
      <c r="V677" s="163"/>
      <c r="W677" s="163"/>
      <c r="X677" s="163"/>
      <c r="Y677" s="163"/>
      <c r="Z677" s="163"/>
    </row>
    <row r="678" ht="14.25" customHeight="1">
      <c r="A678" s="163"/>
      <c r="B678" s="163"/>
      <c r="C678" s="163"/>
      <c r="D678" s="163"/>
      <c r="E678" s="163"/>
      <c r="F678" s="163"/>
      <c r="G678" s="163"/>
      <c r="H678" s="163"/>
      <c r="I678" s="163"/>
      <c r="J678" s="163"/>
      <c r="K678" s="163"/>
      <c r="L678" s="163"/>
      <c r="M678" s="163"/>
      <c r="N678" s="163"/>
      <c r="O678" s="163"/>
      <c r="P678" s="163"/>
      <c r="Q678" s="163"/>
      <c r="R678" s="163"/>
      <c r="S678" s="163"/>
      <c r="T678" s="163"/>
      <c r="U678" s="163"/>
      <c r="V678" s="163"/>
      <c r="W678" s="163"/>
      <c r="X678" s="163"/>
      <c r="Y678" s="163"/>
      <c r="Z678" s="163"/>
    </row>
    <row r="679" ht="14.25" customHeight="1">
      <c r="A679" s="163"/>
      <c r="B679" s="163"/>
      <c r="C679" s="163"/>
      <c r="D679" s="163"/>
      <c r="E679" s="163"/>
      <c r="F679" s="163"/>
      <c r="G679" s="163"/>
      <c r="H679" s="163"/>
      <c r="I679" s="163"/>
      <c r="J679" s="163"/>
      <c r="K679" s="163"/>
      <c r="L679" s="163"/>
      <c r="M679" s="163"/>
      <c r="N679" s="163"/>
      <c r="O679" s="163"/>
      <c r="P679" s="163"/>
      <c r="Q679" s="163"/>
      <c r="R679" s="163"/>
      <c r="S679" s="163"/>
      <c r="T679" s="163"/>
      <c r="U679" s="163"/>
      <c r="V679" s="163"/>
      <c r="W679" s="163"/>
      <c r="X679" s="163"/>
      <c r="Y679" s="163"/>
      <c r="Z679" s="163"/>
    </row>
    <row r="680" ht="14.25" customHeight="1">
      <c r="A680" s="163"/>
      <c r="B680" s="163"/>
      <c r="C680" s="163"/>
      <c r="D680" s="163"/>
      <c r="E680" s="163"/>
      <c r="F680" s="163"/>
      <c r="G680" s="163"/>
      <c r="H680" s="163"/>
      <c r="I680" s="163"/>
      <c r="J680" s="163"/>
      <c r="K680" s="163"/>
      <c r="L680" s="163"/>
      <c r="M680" s="163"/>
      <c r="N680" s="163"/>
      <c r="O680" s="163"/>
      <c r="P680" s="163"/>
      <c r="Q680" s="163"/>
      <c r="R680" s="163"/>
      <c r="S680" s="163"/>
      <c r="T680" s="163"/>
      <c r="U680" s="163"/>
      <c r="V680" s="163"/>
      <c r="W680" s="163"/>
      <c r="X680" s="163"/>
      <c r="Y680" s="163"/>
      <c r="Z680" s="163"/>
    </row>
    <row r="681" ht="14.25" customHeight="1">
      <c r="A681" s="163"/>
      <c r="B681" s="163"/>
      <c r="C681" s="163"/>
      <c r="D681" s="163"/>
      <c r="E681" s="163"/>
      <c r="F681" s="163"/>
      <c r="G681" s="163"/>
      <c r="H681" s="163"/>
      <c r="I681" s="163"/>
      <c r="J681" s="163"/>
      <c r="K681" s="163"/>
      <c r="L681" s="163"/>
      <c r="M681" s="163"/>
      <c r="N681" s="163"/>
      <c r="O681" s="163"/>
      <c r="P681" s="163"/>
      <c r="Q681" s="163"/>
      <c r="R681" s="163"/>
      <c r="S681" s="163"/>
      <c r="T681" s="163"/>
      <c r="U681" s="163"/>
      <c r="V681" s="163"/>
      <c r="W681" s="163"/>
      <c r="X681" s="163"/>
      <c r="Y681" s="163"/>
      <c r="Z681" s="163"/>
    </row>
    <row r="682" ht="14.25" customHeight="1">
      <c r="A682" s="163"/>
      <c r="B682" s="163"/>
      <c r="C682" s="163"/>
      <c r="D682" s="163"/>
      <c r="E682" s="163"/>
      <c r="F682" s="163"/>
      <c r="G682" s="163"/>
      <c r="H682" s="163"/>
      <c r="I682" s="163"/>
      <c r="J682" s="163"/>
      <c r="K682" s="163"/>
      <c r="L682" s="163"/>
      <c r="M682" s="163"/>
      <c r="N682" s="163"/>
      <c r="O682" s="163"/>
      <c r="P682" s="163"/>
      <c r="Q682" s="163"/>
      <c r="R682" s="163"/>
      <c r="S682" s="163"/>
      <c r="T682" s="163"/>
      <c r="U682" s="163"/>
      <c r="V682" s="163"/>
      <c r="W682" s="163"/>
      <c r="X682" s="163"/>
      <c r="Y682" s="163"/>
      <c r="Z682" s="163"/>
    </row>
    <row r="683" ht="14.25" customHeight="1">
      <c r="A683" s="163"/>
      <c r="B683" s="163"/>
      <c r="C683" s="163"/>
      <c r="D683" s="163"/>
      <c r="E683" s="163"/>
      <c r="F683" s="163"/>
      <c r="G683" s="163"/>
      <c r="H683" s="163"/>
      <c r="I683" s="163"/>
      <c r="J683" s="163"/>
      <c r="K683" s="163"/>
      <c r="L683" s="163"/>
      <c r="M683" s="163"/>
      <c r="N683" s="163"/>
      <c r="O683" s="163"/>
      <c r="P683" s="163"/>
      <c r="Q683" s="163"/>
      <c r="R683" s="163"/>
      <c r="S683" s="163"/>
      <c r="T683" s="163"/>
      <c r="U683" s="163"/>
      <c r="V683" s="163"/>
      <c r="W683" s="163"/>
      <c r="X683" s="163"/>
      <c r="Y683" s="163"/>
      <c r="Z683" s="163"/>
    </row>
    <row r="684" ht="14.25" customHeight="1">
      <c r="A684" s="163"/>
      <c r="B684" s="163"/>
      <c r="C684" s="163"/>
      <c r="D684" s="163"/>
      <c r="E684" s="163"/>
      <c r="F684" s="163"/>
      <c r="G684" s="163"/>
      <c r="H684" s="163"/>
      <c r="I684" s="163"/>
      <c r="J684" s="163"/>
      <c r="K684" s="163"/>
      <c r="L684" s="163"/>
      <c r="M684" s="163"/>
      <c r="N684" s="163"/>
      <c r="O684" s="163"/>
      <c r="P684" s="163"/>
      <c r="Q684" s="163"/>
      <c r="R684" s="163"/>
      <c r="S684" s="163"/>
      <c r="T684" s="163"/>
      <c r="U684" s="163"/>
      <c r="V684" s="163"/>
      <c r="W684" s="163"/>
      <c r="X684" s="163"/>
      <c r="Y684" s="163"/>
      <c r="Z684" s="163"/>
    </row>
    <row r="685" ht="14.25" customHeight="1">
      <c r="A685" s="163"/>
      <c r="B685" s="163"/>
      <c r="C685" s="163"/>
      <c r="D685" s="163"/>
      <c r="E685" s="163"/>
      <c r="F685" s="163"/>
      <c r="G685" s="163"/>
      <c r="H685" s="163"/>
      <c r="I685" s="163"/>
      <c r="J685" s="163"/>
      <c r="K685" s="163"/>
      <c r="L685" s="163"/>
      <c r="M685" s="163"/>
      <c r="N685" s="163"/>
      <c r="O685" s="163"/>
      <c r="P685" s="163"/>
      <c r="Q685" s="163"/>
      <c r="R685" s="163"/>
      <c r="S685" s="163"/>
      <c r="T685" s="163"/>
      <c r="U685" s="163"/>
      <c r="V685" s="163"/>
      <c r="W685" s="163"/>
      <c r="X685" s="163"/>
      <c r="Y685" s="163"/>
      <c r="Z685" s="163"/>
    </row>
    <row r="686" ht="14.25" customHeight="1">
      <c r="A686" s="163"/>
      <c r="B686" s="163"/>
      <c r="C686" s="163"/>
      <c r="D686" s="163"/>
      <c r="E686" s="163"/>
      <c r="F686" s="163"/>
      <c r="G686" s="163"/>
      <c r="H686" s="163"/>
      <c r="I686" s="163"/>
      <c r="J686" s="163"/>
      <c r="K686" s="163"/>
      <c r="L686" s="163"/>
      <c r="M686" s="163"/>
      <c r="N686" s="163"/>
      <c r="O686" s="163"/>
      <c r="P686" s="163"/>
      <c r="Q686" s="163"/>
      <c r="R686" s="163"/>
      <c r="S686" s="163"/>
      <c r="T686" s="163"/>
      <c r="U686" s="163"/>
      <c r="V686" s="163"/>
      <c r="W686" s="163"/>
      <c r="X686" s="163"/>
      <c r="Y686" s="163"/>
      <c r="Z686" s="163"/>
    </row>
    <row r="687" ht="14.25" customHeight="1">
      <c r="A687" s="163"/>
      <c r="B687" s="163"/>
      <c r="C687" s="163"/>
      <c r="D687" s="163"/>
      <c r="E687" s="163"/>
      <c r="F687" s="163"/>
      <c r="G687" s="163"/>
      <c r="H687" s="163"/>
      <c r="I687" s="163"/>
      <c r="J687" s="163"/>
      <c r="K687" s="163"/>
      <c r="L687" s="163"/>
      <c r="M687" s="163"/>
      <c r="N687" s="163"/>
      <c r="O687" s="163"/>
      <c r="P687" s="163"/>
      <c r="Q687" s="163"/>
      <c r="R687" s="163"/>
      <c r="S687" s="163"/>
      <c r="T687" s="163"/>
      <c r="U687" s="163"/>
      <c r="V687" s="163"/>
      <c r="W687" s="163"/>
      <c r="X687" s="163"/>
      <c r="Y687" s="163"/>
      <c r="Z687" s="163"/>
    </row>
    <row r="688" ht="14.25" customHeight="1">
      <c r="A688" s="163"/>
      <c r="B688" s="163"/>
      <c r="C688" s="163"/>
      <c r="D688" s="163"/>
      <c r="E688" s="163"/>
      <c r="F688" s="163"/>
      <c r="G688" s="163"/>
      <c r="H688" s="163"/>
      <c r="I688" s="163"/>
      <c r="J688" s="163"/>
      <c r="K688" s="163"/>
      <c r="L688" s="163"/>
      <c r="M688" s="163"/>
      <c r="N688" s="163"/>
      <c r="O688" s="163"/>
      <c r="P688" s="163"/>
      <c r="Q688" s="163"/>
      <c r="R688" s="163"/>
      <c r="S688" s="163"/>
      <c r="T688" s="163"/>
      <c r="U688" s="163"/>
      <c r="V688" s="163"/>
      <c r="W688" s="163"/>
      <c r="X688" s="163"/>
      <c r="Y688" s="163"/>
      <c r="Z688" s="163"/>
    </row>
    <row r="689" ht="14.25" customHeight="1">
      <c r="A689" s="163"/>
      <c r="B689" s="163"/>
      <c r="C689" s="163"/>
      <c r="D689" s="163"/>
      <c r="E689" s="163"/>
      <c r="F689" s="163"/>
      <c r="G689" s="163"/>
      <c r="H689" s="163"/>
      <c r="I689" s="163"/>
      <c r="J689" s="163"/>
      <c r="K689" s="163"/>
      <c r="L689" s="163"/>
      <c r="M689" s="163"/>
      <c r="N689" s="163"/>
      <c r="O689" s="163"/>
      <c r="P689" s="163"/>
      <c r="Q689" s="163"/>
      <c r="R689" s="163"/>
      <c r="S689" s="163"/>
      <c r="T689" s="163"/>
      <c r="U689" s="163"/>
      <c r="V689" s="163"/>
      <c r="W689" s="163"/>
      <c r="X689" s="163"/>
      <c r="Y689" s="163"/>
      <c r="Z689" s="163"/>
    </row>
    <row r="690" ht="14.25" customHeight="1">
      <c r="A690" s="163"/>
      <c r="B690" s="163"/>
      <c r="C690" s="163"/>
      <c r="D690" s="163"/>
      <c r="E690" s="163"/>
      <c r="F690" s="163"/>
      <c r="G690" s="163"/>
      <c r="H690" s="163"/>
      <c r="I690" s="163"/>
      <c r="J690" s="163"/>
      <c r="K690" s="163"/>
      <c r="L690" s="163"/>
      <c r="M690" s="163"/>
      <c r="N690" s="163"/>
      <c r="O690" s="163"/>
      <c r="P690" s="163"/>
      <c r="Q690" s="163"/>
      <c r="R690" s="163"/>
      <c r="S690" s="163"/>
      <c r="T690" s="163"/>
      <c r="U690" s="163"/>
      <c r="V690" s="163"/>
      <c r="W690" s="163"/>
      <c r="X690" s="163"/>
      <c r="Y690" s="163"/>
      <c r="Z690" s="163"/>
    </row>
    <row r="691" ht="14.25" customHeight="1">
      <c r="A691" s="163"/>
      <c r="B691" s="163"/>
      <c r="C691" s="163"/>
      <c r="D691" s="163"/>
      <c r="E691" s="163"/>
      <c r="F691" s="163"/>
      <c r="G691" s="163"/>
      <c r="H691" s="163"/>
      <c r="I691" s="163"/>
      <c r="J691" s="163"/>
      <c r="K691" s="163"/>
      <c r="L691" s="163"/>
      <c r="M691" s="163"/>
      <c r="N691" s="163"/>
      <c r="O691" s="163"/>
      <c r="P691" s="163"/>
      <c r="Q691" s="163"/>
      <c r="R691" s="163"/>
      <c r="S691" s="163"/>
      <c r="T691" s="163"/>
      <c r="U691" s="163"/>
      <c r="V691" s="163"/>
      <c r="W691" s="163"/>
      <c r="X691" s="163"/>
      <c r="Y691" s="163"/>
      <c r="Z691" s="163"/>
    </row>
    <row r="692" ht="14.25" customHeight="1">
      <c r="A692" s="163"/>
      <c r="B692" s="163"/>
      <c r="C692" s="163"/>
      <c r="D692" s="163"/>
      <c r="E692" s="163"/>
      <c r="F692" s="163"/>
      <c r="G692" s="163"/>
      <c r="H692" s="163"/>
      <c r="I692" s="163"/>
      <c r="J692" s="163"/>
      <c r="K692" s="163"/>
      <c r="L692" s="163"/>
      <c r="M692" s="163"/>
      <c r="N692" s="163"/>
      <c r="O692" s="163"/>
      <c r="P692" s="163"/>
      <c r="Q692" s="163"/>
      <c r="R692" s="163"/>
      <c r="S692" s="163"/>
      <c r="T692" s="163"/>
      <c r="U692" s="163"/>
      <c r="V692" s="163"/>
      <c r="W692" s="163"/>
      <c r="X692" s="163"/>
      <c r="Y692" s="163"/>
      <c r="Z692" s="163"/>
    </row>
    <row r="693" ht="14.25" customHeight="1">
      <c r="A693" s="163"/>
      <c r="B693" s="163"/>
      <c r="C693" s="163"/>
      <c r="D693" s="163"/>
      <c r="E693" s="163"/>
      <c r="F693" s="163"/>
      <c r="G693" s="163"/>
      <c r="H693" s="163"/>
      <c r="I693" s="163"/>
      <c r="J693" s="163"/>
      <c r="K693" s="163"/>
      <c r="L693" s="163"/>
      <c r="M693" s="163"/>
      <c r="N693" s="163"/>
      <c r="O693" s="163"/>
      <c r="P693" s="163"/>
      <c r="Q693" s="163"/>
      <c r="R693" s="163"/>
      <c r="S693" s="163"/>
      <c r="T693" s="163"/>
      <c r="U693" s="163"/>
      <c r="V693" s="163"/>
      <c r="W693" s="163"/>
      <c r="X693" s="163"/>
      <c r="Y693" s="163"/>
      <c r="Z693" s="163"/>
    </row>
    <row r="694" ht="14.25" customHeight="1">
      <c r="A694" s="163"/>
      <c r="B694" s="163"/>
      <c r="C694" s="163"/>
      <c r="D694" s="163"/>
      <c r="E694" s="163"/>
      <c r="F694" s="163"/>
      <c r="G694" s="163"/>
      <c r="H694" s="163"/>
      <c r="I694" s="163"/>
      <c r="J694" s="163"/>
      <c r="K694" s="163"/>
      <c r="L694" s="163"/>
      <c r="M694" s="163"/>
      <c r="N694" s="163"/>
      <c r="O694" s="163"/>
      <c r="P694" s="163"/>
      <c r="Q694" s="163"/>
      <c r="R694" s="163"/>
      <c r="S694" s="163"/>
      <c r="T694" s="163"/>
      <c r="U694" s="163"/>
      <c r="V694" s="163"/>
      <c r="W694" s="163"/>
      <c r="X694" s="163"/>
      <c r="Y694" s="163"/>
      <c r="Z694" s="163"/>
    </row>
    <row r="695" ht="14.25" customHeight="1">
      <c r="A695" s="163"/>
      <c r="B695" s="163"/>
      <c r="C695" s="163"/>
      <c r="D695" s="163"/>
      <c r="E695" s="163"/>
      <c r="F695" s="163"/>
      <c r="G695" s="163"/>
      <c r="H695" s="163"/>
      <c r="I695" s="163"/>
      <c r="J695" s="163"/>
      <c r="K695" s="163"/>
      <c r="L695" s="163"/>
      <c r="M695" s="163"/>
      <c r="N695" s="163"/>
      <c r="O695" s="163"/>
      <c r="P695" s="163"/>
      <c r="Q695" s="163"/>
      <c r="R695" s="163"/>
      <c r="S695" s="163"/>
      <c r="T695" s="163"/>
      <c r="U695" s="163"/>
      <c r="V695" s="163"/>
      <c r="W695" s="163"/>
      <c r="X695" s="163"/>
      <c r="Y695" s="163"/>
      <c r="Z695" s="163"/>
    </row>
    <row r="696" ht="14.25" customHeight="1">
      <c r="A696" s="163"/>
      <c r="B696" s="163"/>
      <c r="C696" s="163"/>
      <c r="D696" s="163"/>
      <c r="E696" s="163"/>
      <c r="F696" s="163"/>
      <c r="G696" s="163"/>
      <c r="H696" s="163"/>
      <c r="I696" s="163"/>
      <c r="J696" s="163"/>
      <c r="K696" s="163"/>
      <c r="L696" s="163"/>
      <c r="M696" s="163"/>
      <c r="N696" s="163"/>
      <c r="O696" s="163"/>
      <c r="P696" s="163"/>
      <c r="Q696" s="163"/>
      <c r="R696" s="163"/>
      <c r="S696" s="163"/>
      <c r="T696" s="163"/>
      <c r="U696" s="163"/>
      <c r="V696" s="163"/>
      <c r="W696" s="163"/>
      <c r="X696" s="163"/>
      <c r="Y696" s="163"/>
      <c r="Z696" s="163"/>
    </row>
    <row r="697" ht="14.25" customHeight="1">
      <c r="A697" s="163"/>
      <c r="B697" s="163"/>
      <c r="C697" s="163"/>
      <c r="D697" s="163"/>
      <c r="E697" s="163"/>
      <c r="F697" s="163"/>
      <c r="G697" s="163"/>
      <c r="H697" s="163"/>
      <c r="I697" s="163"/>
      <c r="J697" s="163"/>
      <c r="K697" s="163"/>
      <c r="L697" s="163"/>
      <c r="M697" s="163"/>
      <c r="N697" s="163"/>
      <c r="O697" s="163"/>
      <c r="P697" s="163"/>
      <c r="Q697" s="163"/>
      <c r="R697" s="163"/>
      <c r="S697" s="163"/>
      <c r="T697" s="163"/>
      <c r="U697" s="163"/>
      <c r="V697" s="163"/>
      <c r="W697" s="163"/>
      <c r="X697" s="163"/>
      <c r="Y697" s="163"/>
      <c r="Z697" s="163"/>
    </row>
    <row r="698" ht="14.25" customHeight="1">
      <c r="A698" s="163"/>
      <c r="B698" s="163"/>
      <c r="C698" s="163"/>
      <c r="D698" s="163"/>
      <c r="E698" s="163"/>
      <c r="F698" s="163"/>
      <c r="G698" s="163"/>
      <c r="H698" s="163"/>
      <c r="I698" s="163"/>
      <c r="J698" s="163"/>
      <c r="K698" s="163"/>
      <c r="L698" s="163"/>
      <c r="M698" s="163"/>
      <c r="N698" s="163"/>
      <c r="O698" s="163"/>
      <c r="P698" s="163"/>
      <c r="Q698" s="163"/>
      <c r="R698" s="163"/>
      <c r="S698" s="163"/>
      <c r="T698" s="163"/>
      <c r="U698" s="163"/>
      <c r="V698" s="163"/>
      <c r="W698" s="163"/>
      <c r="X698" s="163"/>
      <c r="Y698" s="163"/>
      <c r="Z698" s="163"/>
    </row>
    <row r="699" ht="14.25" customHeight="1">
      <c r="A699" s="163"/>
      <c r="B699" s="163"/>
      <c r="C699" s="163"/>
      <c r="D699" s="163"/>
      <c r="E699" s="163"/>
      <c r="F699" s="163"/>
      <c r="G699" s="163"/>
      <c r="H699" s="163"/>
      <c r="I699" s="163"/>
      <c r="J699" s="163"/>
      <c r="K699" s="163"/>
      <c r="L699" s="163"/>
      <c r="M699" s="163"/>
      <c r="N699" s="163"/>
      <c r="O699" s="163"/>
      <c r="P699" s="163"/>
      <c r="Q699" s="163"/>
      <c r="R699" s="163"/>
      <c r="S699" s="163"/>
      <c r="T699" s="163"/>
      <c r="U699" s="163"/>
      <c r="V699" s="163"/>
      <c r="W699" s="163"/>
      <c r="X699" s="163"/>
      <c r="Y699" s="163"/>
      <c r="Z699" s="163"/>
    </row>
    <row r="700" ht="14.25" customHeight="1">
      <c r="A700" s="163"/>
      <c r="B700" s="163"/>
      <c r="C700" s="163"/>
      <c r="D700" s="163"/>
      <c r="E700" s="163"/>
      <c r="F700" s="163"/>
      <c r="G700" s="163"/>
      <c r="H700" s="163"/>
      <c r="I700" s="163"/>
      <c r="J700" s="163"/>
      <c r="K700" s="163"/>
      <c r="L700" s="163"/>
      <c r="M700" s="163"/>
      <c r="N700" s="163"/>
      <c r="O700" s="163"/>
      <c r="P700" s="163"/>
      <c r="Q700" s="163"/>
      <c r="R700" s="163"/>
      <c r="S700" s="163"/>
      <c r="T700" s="163"/>
      <c r="U700" s="163"/>
      <c r="V700" s="163"/>
      <c r="W700" s="163"/>
      <c r="X700" s="163"/>
      <c r="Y700" s="163"/>
      <c r="Z700" s="163"/>
    </row>
    <row r="701" ht="14.25" customHeight="1">
      <c r="A701" s="163"/>
      <c r="B701" s="163"/>
      <c r="C701" s="163"/>
      <c r="D701" s="163"/>
      <c r="E701" s="163"/>
      <c r="F701" s="163"/>
      <c r="G701" s="163"/>
      <c r="H701" s="163"/>
      <c r="I701" s="163"/>
      <c r="J701" s="163"/>
      <c r="K701" s="163"/>
      <c r="L701" s="163"/>
      <c r="M701" s="163"/>
      <c r="N701" s="163"/>
      <c r="O701" s="163"/>
      <c r="P701" s="163"/>
      <c r="Q701" s="163"/>
      <c r="R701" s="163"/>
      <c r="S701" s="163"/>
      <c r="T701" s="163"/>
      <c r="U701" s="163"/>
      <c r="V701" s="163"/>
      <c r="W701" s="163"/>
      <c r="X701" s="163"/>
      <c r="Y701" s="163"/>
      <c r="Z701" s="163"/>
    </row>
    <row r="702" ht="14.25" customHeight="1">
      <c r="A702" s="163"/>
      <c r="B702" s="163"/>
      <c r="C702" s="163"/>
      <c r="D702" s="163"/>
      <c r="E702" s="163"/>
      <c r="F702" s="163"/>
      <c r="G702" s="163"/>
      <c r="H702" s="163"/>
      <c r="I702" s="163"/>
      <c r="J702" s="163"/>
      <c r="K702" s="163"/>
      <c r="L702" s="163"/>
      <c r="M702" s="163"/>
      <c r="N702" s="163"/>
      <c r="O702" s="163"/>
      <c r="P702" s="163"/>
      <c r="Q702" s="163"/>
      <c r="R702" s="163"/>
      <c r="S702" s="163"/>
      <c r="T702" s="163"/>
      <c r="U702" s="163"/>
      <c r="V702" s="163"/>
      <c r="W702" s="163"/>
      <c r="X702" s="163"/>
      <c r="Y702" s="163"/>
      <c r="Z702" s="163"/>
    </row>
    <row r="703" ht="14.25" customHeight="1">
      <c r="A703" s="163"/>
      <c r="B703" s="163"/>
      <c r="C703" s="163"/>
      <c r="D703" s="163"/>
      <c r="E703" s="163"/>
      <c r="F703" s="163"/>
      <c r="G703" s="163"/>
      <c r="H703" s="163"/>
      <c r="I703" s="163"/>
      <c r="J703" s="163"/>
      <c r="K703" s="163"/>
      <c r="L703" s="163"/>
      <c r="M703" s="163"/>
      <c r="N703" s="163"/>
      <c r="O703" s="163"/>
      <c r="P703" s="163"/>
      <c r="Q703" s="163"/>
      <c r="R703" s="163"/>
      <c r="S703" s="163"/>
      <c r="T703" s="163"/>
      <c r="U703" s="163"/>
      <c r="V703" s="163"/>
      <c r="W703" s="163"/>
      <c r="X703" s="163"/>
      <c r="Y703" s="163"/>
      <c r="Z703" s="163"/>
    </row>
    <row r="704" ht="14.25" customHeight="1">
      <c r="A704" s="163"/>
      <c r="B704" s="163"/>
      <c r="C704" s="163"/>
      <c r="D704" s="163"/>
      <c r="E704" s="163"/>
      <c r="F704" s="163"/>
      <c r="G704" s="163"/>
      <c r="H704" s="163"/>
      <c r="I704" s="163"/>
      <c r="J704" s="163"/>
      <c r="K704" s="163"/>
      <c r="L704" s="163"/>
      <c r="M704" s="163"/>
      <c r="N704" s="163"/>
      <c r="O704" s="163"/>
      <c r="P704" s="163"/>
      <c r="Q704" s="163"/>
      <c r="R704" s="163"/>
      <c r="S704" s="163"/>
      <c r="T704" s="163"/>
      <c r="U704" s="163"/>
      <c r="V704" s="163"/>
      <c r="W704" s="163"/>
      <c r="X704" s="163"/>
      <c r="Y704" s="163"/>
      <c r="Z704" s="163"/>
    </row>
    <row r="705" ht="14.25" customHeight="1">
      <c r="A705" s="163"/>
      <c r="B705" s="163"/>
      <c r="C705" s="163"/>
      <c r="D705" s="163"/>
      <c r="E705" s="163"/>
      <c r="F705" s="163"/>
      <c r="G705" s="163"/>
      <c r="H705" s="163"/>
      <c r="I705" s="163"/>
      <c r="J705" s="163"/>
      <c r="K705" s="163"/>
      <c r="L705" s="163"/>
      <c r="M705" s="163"/>
      <c r="N705" s="163"/>
      <c r="O705" s="163"/>
      <c r="P705" s="163"/>
      <c r="Q705" s="163"/>
      <c r="R705" s="163"/>
      <c r="S705" s="163"/>
      <c r="T705" s="163"/>
      <c r="U705" s="163"/>
      <c r="V705" s="163"/>
      <c r="W705" s="163"/>
      <c r="X705" s="163"/>
      <c r="Y705" s="163"/>
      <c r="Z705" s="163"/>
    </row>
    <row r="706" ht="14.25" customHeight="1">
      <c r="A706" s="163"/>
      <c r="B706" s="163"/>
      <c r="C706" s="163"/>
      <c r="D706" s="163"/>
      <c r="E706" s="163"/>
      <c r="F706" s="163"/>
      <c r="G706" s="163"/>
      <c r="H706" s="163"/>
      <c r="I706" s="163"/>
      <c r="J706" s="163"/>
      <c r="K706" s="163"/>
      <c r="L706" s="163"/>
      <c r="M706" s="163"/>
      <c r="N706" s="163"/>
      <c r="O706" s="163"/>
      <c r="P706" s="163"/>
      <c r="Q706" s="163"/>
      <c r="R706" s="163"/>
      <c r="S706" s="163"/>
      <c r="T706" s="163"/>
      <c r="U706" s="163"/>
      <c r="V706" s="163"/>
      <c r="W706" s="163"/>
      <c r="X706" s="163"/>
      <c r="Y706" s="163"/>
      <c r="Z706" s="163"/>
    </row>
    <row r="707" ht="14.25" customHeight="1">
      <c r="A707" s="163"/>
      <c r="B707" s="163"/>
      <c r="C707" s="163"/>
      <c r="D707" s="163"/>
      <c r="E707" s="163"/>
      <c r="F707" s="163"/>
      <c r="G707" s="163"/>
      <c r="H707" s="163"/>
      <c r="I707" s="163"/>
      <c r="J707" s="163"/>
      <c r="K707" s="163"/>
      <c r="L707" s="163"/>
      <c r="M707" s="163"/>
      <c r="N707" s="163"/>
      <c r="O707" s="163"/>
      <c r="P707" s="163"/>
      <c r="Q707" s="163"/>
      <c r="R707" s="163"/>
      <c r="S707" s="163"/>
      <c r="T707" s="163"/>
      <c r="U707" s="163"/>
      <c r="V707" s="163"/>
      <c r="W707" s="163"/>
      <c r="X707" s="163"/>
      <c r="Y707" s="163"/>
      <c r="Z707" s="163"/>
    </row>
    <row r="708" ht="14.25" customHeight="1">
      <c r="A708" s="163"/>
      <c r="B708" s="163"/>
      <c r="C708" s="163"/>
      <c r="D708" s="163"/>
      <c r="E708" s="163"/>
      <c r="F708" s="163"/>
      <c r="G708" s="163"/>
      <c r="H708" s="163"/>
      <c r="I708" s="163"/>
      <c r="J708" s="163"/>
      <c r="K708" s="163"/>
      <c r="L708" s="163"/>
      <c r="M708" s="163"/>
      <c r="N708" s="163"/>
      <c r="O708" s="163"/>
      <c r="P708" s="163"/>
      <c r="Q708" s="163"/>
      <c r="R708" s="163"/>
      <c r="S708" s="163"/>
      <c r="T708" s="163"/>
      <c r="U708" s="163"/>
      <c r="V708" s="163"/>
      <c r="W708" s="163"/>
      <c r="X708" s="163"/>
      <c r="Y708" s="163"/>
      <c r="Z708" s="163"/>
    </row>
    <row r="709" ht="14.25" customHeight="1">
      <c r="A709" s="163"/>
      <c r="B709" s="163"/>
      <c r="C709" s="163"/>
      <c r="D709" s="163"/>
      <c r="E709" s="163"/>
      <c r="F709" s="163"/>
      <c r="G709" s="163"/>
      <c r="H709" s="163"/>
      <c r="I709" s="163"/>
      <c r="J709" s="163"/>
      <c r="K709" s="163"/>
      <c r="L709" s="163"/>
      <c r="M709" s="163"/>
      <c r="N709" s="163"/>
      <c r="O709" s="163"/>
      <c r="P709" s="163"/>
      <c r="Q709" s="163"/>
      <c r="R709" s="163"/>
      <c r="S709" s="163"/>
      <c r="T709" s="163"/>
      <c r="U709" s="163"/>
      <c r="V709" s="163"/>
      <c r="W709" s="163"/>
      <c r="X709" s="163"/>
      <c r="Y709" s="163"/>
      <c r="Z709" s="163"/>
    </row>
    <row r="710" ht="14.25" customHeight="1">
      <c r="A710" s="163"/>
      <c r="B710" s="163"/>
      <c r="C710" s="163"/>
      <c r="D710" s="163"/>
      <c r="E710" s="163"/>
      <c r="F710" s="163"/>
      <c r="G710" s="163"/>
      <c r="H710" s="163"/>
      <c r="I710" s="163"/>
      <c r="J710" s="163"/>
      <c r="K710" s="163"/>
      <c r="L710" s="163"/>
      <c r="M710" s="163"/>
      <c r="N710" s="163"/>
      <c r="O710" s="163"/>
      <c r="P710" s="163"/>
      <c r="Q710" s="163"/>
      <c r="R710" s="163"/>
      <c r="S710" s="163"/>
      <c r="T710" s="163"/>
      <c r="U710" s="163"/>
      <c r="V710" s="163"/>
      <c r="W710" s="163"/>
      <c r="X710" s="163"/>
      <c r="Y710" s="163"/>
      <c r="Z710" s="163"/>
    </row>
    <row r="711" ht="14.25" customHeight="1">
      <c r="A711" s="163"/>
      <c r="B711" s="163"/>
      <c r="C711" s="163"/>
      <c r="D711" s="163"/>
      <c r="E711" s="163"/>
      <c r="F711" s="163"/>
      <c r="G711" s="163"/>
      <c r="H711" s="163"/>
      <c r="I711" s="163"/>
      <c r="J711" s="163"/>
      <c r="K711" s="163"/>
      <c r="L711" s="163"/>
      <c r="M711" s="163"/>
      <c r="N711" s="163"/>
      <c r="O711" s="163"/>
      <c r="P711" s="163"/>
      <c r="Q711" s="163"/>
      <c r="R711" s="163"/>
      <c r="S711" s="163"/>
      <c r="T711" s="163"/>
      <c r="U711" s="163"/>
      <c r="V711" s="163"/>
      <c r="W711" s="163"/>
      <c r="X711" s="163"/>
      <c r="Y711" s="163"/>
      <c r="Z711" s="163"/>
    </row>
    <row r="712" ht="14.25" customHeight="1">
      <c r="A712" s="163"/>
      <c r="B712" s="163"/>
      <c r="C712" s="163"/>
      <c r="D712" s="163"/>
      <c r="E712" s="163"/>
      <c r="F712" s="163"/>
      <c r="G712" s="163"/>
      <c r="H712" s="163"/>
      <c r="I712" s="163"/>
      <c r="J712" s="163"/>
      <c r="K712" s="163"/>
      <c r="L712" s="163"/>
      <c r="M712" s="163"/>
      <c r="N712" s="163"/>
      <c r="O712" s="163"/>
      <c r="P712" s="163"/>
      <c r="Q712" s="163"/>
      <c r="R712" s="163"/>
      <c r="S712" s="163"/>
      <c r="T712" s="163"/>
      <c r="U712" s="163"/>
      <c r="V712" s="163"/>
      <c r="W712" s="163"/>
      <c r="X712" s="163"/>
      <c r="Y712" s="163"/>
      <c r="Z712" s="163"/>
    </row>
    <row r="713" ht="14.25" customHeight="1">
      <c r="A713" s="163"/>
      <c r="B713" s="163"/>
      <c r="C713" s="163"/>
      <c r="D713" s="163"/>
      <c r="E713" s="163"/>
      <c r="F713" s="163"/>
      <c r="G713" s="163"/>
      <c r="H713" s="163"/>
      <c r="I713" s="163"/>
      <c r="J713" s="163"/>
      <c r="K713" s="163"/>
      <c r="L713" s="163"/>
      <c r="M713" s="163"/>
      <c r="N713" s="163"/>
      <c r="O713" s="163"/>
      <c r="P713" s="163"/>
      <c r="Q713" s="163"/>
      <c r="R713" s="163"/>
      <c r="S713" s="163"/>
      <c r="T713" s="163"/>
      <c r="U713" s="163"/>
      <c r="V713" s="163"/>
      <c r="W713" s="163"/>
      <c r="X713" s="163"/>
      <c r="Y713" s="163"/>
      <c r="Z713" s="163"/>
    </row>
    <row r="714" ht="14.25" customHeight="1">
      <c r="A714" s="163"/>
      <c r="B714" s="163"/>
      <c r="C714" s="163"/>
      <c r="D714" s="163"/>
      <c r="E714" s="163"/>
      <c r="F714" s="163"/>
      <c r="G714" s="163"/>
      <c r="H714" s="163"/>
      <c r="I714" s="163"/>
      <c r="J714" s="163"/>
      <c r="K714" s="163"/>
      <c r="L714" s="163"/>
      <c r="M714" s="163"/>
      <c r="N714" s="163"/>
      <c r="O714" s="163"/>
      <c r="P714" s="163"/>
      <c r="Q714" s="163"/>
      <c r="R714" s="163"/>
      <c r="S714" s="163"/>
      <c r="T714" s="163"/>
      <c r="U714" s="163"/>
      <c r="V714" s="163"/>
      <c r="W714" s="163"/>
      <c r="X714" s="163"/>
      <c r="Y714" s="163"/>
      <c r="Z714" s="163"/>
    </row>
    <row r="715" ht="14.25" customHeight="1">
      <c r="A715" s="163"/>
      <c r="B715" s="163"/>
      <c r="C715" s="163"/>
      <c r="D715" s="163"/>
      <c r="E715" s="163"/>
      <c r="F715" s="163"/>
      <c r="G715" s="163"/>
      <c r="H715" s="163"/>
      <c r="I715" s="163"/>
      <c r="J715" s="163"/>
      <c r="K715" s="163"/>
      <c r="L715" s="163"/>
      <c r="M715" s="163"/>
      <c r="N715" s="163"/>
      <c r="O715" s="163"/>
      <c r="P715" s="163"/>
      <c r="Q715" s="163"/>
      <c r="R715" s="163"/>
      <c r="S715" s="163"/>
      <c r="T715" s="163"/>
      <c r="U715" s="163"/>
      <c r="V715" s="163"/>
      <c r="W715" s="163"/>
      <c r="X715" s="163"/>
      <c r="Y715" s="163"/>
      <c r="Z715" s="163"/>
    </row>
    <row r="716" ht="14.25" customHeight="1">
      <c r="A716" s="163"/>
      <c r="B716" s="163"/>
      <c r="C716" s="163"/>
      <c r="D716" s="163"/>
      <c r="E716" s="163"/>
      <c r="F716" s="163"/>
      <c r="G716" s="163"/>
      <c r="H716" s="163"/>
      <c r="I716" s="163"/>
      <c r="J716" s="163"/>
      <c r="K716" s="163"/>
      <c r="L716" s="163"/>
      <c r="M716" s="163"/>
      <c r="N716" s="163"/>
      <c r="O716" s="163"/>
      <c r="P716" s="163"/>
      <c r="Q716" s="163"/>
      <c r="R716" s="163"/>
      <c r="S716" s="163"/>
      <c r="T716" s="163"/>
      <c r="U716" s="163"/>
      <c r="V716" s="163"/>
      <c r="W716" s="163"/>
      <c r="X716" s="163"/>
      <c r="Y716" s="163"/>
      <c r="Z716" s="163"/>
    </row>
    <row r="717" ht="14.25" customHeight="1">
      <c r="A717" s="163"/>
      <c r="B717" s="163"/>
      <c r="C717" s="163"/>
      <c r="D717" s="163"/>
      <c r="E717" s="163"/>
      <c r="F717" s="163"/>
      <c r="G717" s="163"/>
      <c r="H717" s="163"/>
      <c r="I717" s="163"/>
      <c r="J717" s="163"/>
      <c r="K717" s="163"/>
      <c r="L717" s="163"/>
      <c r="M717" s="163"/>
      <c r="N717" s="163"/>
      <c r="O717" s="163"/>
      <c r="P717" s="163"/>
      <c r="Q717" s="163"/>
      <c r="R717" s="163"/>
      <c r="S717" s="163"/>
      <c r="T717" s="163"/>
      <c r="U717" s="163"/>
      <c r="V717" s="163"/>
      <c r="W717" s="163"/>
      <c r="X717" s="163"/>
      <c r="Y717" s="163"/>
      <c r="Z717" s="163"/>
    </row>
    <row r="718" ht="14.25" customHeight="1">
      <c r="A718" s="163"/>
      <c r="B718" s="163"/>
      <c r="C718" s="163"/>
      <c r="D718" s="163"/>
      <c r="E718" s="163"/>
      <c r="F718" s="163"/>
      <c r="G718" s="163"/>
      <c r="H718" s="163"/>
      <c r="I718" s="163"/>
      <c r="J718" s="163"/>
      <c r="K718" s="163"/>
      <c r="L718" s="163"/>
      <c r="M718" s="163"/>
      <c r="N718" s="163"/>
      <c r="O718" s="163"/>
      <c r="P718" s="163"/>
      <c r="Q718" s="163"/>
      <c r="R718" s="163"/>
      <c r="S718" s="163"/>
      <c r="T718" s="163"/>
      <c r="U718" s="163"/>
      <c r="V718" s="163"/>
      <c r="W718" s="163"/>
      <c r="X718" s="163"/>
      <c r="Y718" s="163"/>
      <c r="Z718" s="163"/>
    </row>
    <row r="719" ht="14.25" customHeight="1">
      <c r="A719" s="163"/>
      <c r="B719" s="163"/>
      <c r="C719" s="163"/>
      <c r="D719" s="163"/>
      <c r="E719" s="163"/>
      <c r="F719" s="163"/>
      <c r="G719" s="163"/>
      <c r="H719" s="163"/>
      <c r="I719" s="163"/>
      <c r="J719" s="163"/>
      <c r="K719" s="163"/>
      <c r="L719" s="163"/>
      <c r="M719" s="163"/>
      <c r="N719" s="163"/>
      <c r="O719" s="163"/>
      <c r="P719" s="163"/>
      <c r="Q719" s="163"/>
      <c r="R719" s="163"/>
      <c r="S719" s="163"/>
      <c r="T719" s="163"/>
      <c r="U719" s="163"/>
      <c r="V719" s="163"/>
      <c r="W719" s="163"/>
      <c r="X719" s="163"/>
      <c r="Y719" s="163"/>
      <c r="Z719" s="163"/>
    </row>
    <row r="720" ht="14.25" customHeight="1">
      <c r="A720" s="163"/>
      <c r="B720" s="163"/>
      <c r="C720" s="163"/>
      <c r="D720" s="163"/>
      <c r="E720" s="163"/>
      <c r="F720" s="163"/>
      <c r="G720" s="163"/>
      <c r="H720" s="163"/>
      <c r="I720" s="163"/>
      <c r="J720" s="163"/>
      <c r="K720" s="163"/>
      <c r="L720" s="163"/>
      <c r="M720" s="163"/>
      <c r="N720" s="163"/>
      <c r="O720" s="163"/>
      <c r="P720" s="163"/>
      <c r="Q720" s="163"/>
      <c r="R720" s="163"/>
      <c r="S720" s="163"/>
      <c r="T720" s="163"/>
      <c r="U720" s="163"/>
      <c r="V720" s="163"/>
      <c r="W720" s="163"/>
      <c r="X720" s="163"/>
      <c r="Y720" s="163"/>
      <c r="Z720" s="163"/>
    </row>
    <row r="721" ht="14.25" customHeight="1">
      <c r="A721" s="163"/>
      <c r="B721" s="163"/>
      <c r="C721" s="163"/>
      <c r="D721" s="163"/>
      <c r="E721" s="163"/>
      <c r="F721" s="163"/>
      <c r="G721" s="163"/>
      <c r="H721" s="163"/>
      <c r="I721" s="163"/>
      <c r="J721" s="163"/>
      <c r="K721" s="163"/>
      <c r="L721" s="163"/>
      <c r="M721" s="163"/>
      <c r="N721" s="163"/>
      <c r="O721" s="163"/>
      <c r="P721" s="163"/>
      <c r="Q721" s="163"/>
      <c r="R721" s="163"/>
      <c r="S721" s="163"/>
      <c r="T721" s="163"/>
      <c r="U721" s="163"/>
      <c r="V721" s="163"/>
      <c r="W721" s="163"/>
      <c r="X721" s="163"/>
      <c r="Y721" s="163"/>
      <c r="Z721" s="163"/>
    </row>
    <row r="722" ht="14.25" customHeight="1">
      <c r="A722" s="163"/>
      <c r="B722" s="163"/>
      <c r="C722" s="163"/>
      <c r="D722" s="163"/>
      <c r="E722" s="163"/>
      <c r="F722" s="163"/>
      <c r="G722" s="163"/>
      <c r="H722" s="163"/>
      <c r="I722" s="163"/>
      <c r="J722" s="163"/>
      <c r="K722" s="163"/>
      <c r="L722" s="163"/>
      <c r="M722" s="163"/>
      <c r="N722" s="163"/>
      <c r="O722" s="163"/>
      <c r="P722" s="163"/>
      <c r="Q722" s="163"/>
      <c r="R722" s="163"/>
      <c r="S722" s="163"/>
      <c r="T722" s="163"/>
      <c r="U722" s="163"/>
      <c r="V722" s="163"/>
      <c r="W722" s="163"/>
      <c r="X722" s="163"/>
      <c r="Y722" s="163"/>
      <c r="Z722" s="163"/>
    </row>
    <row r="723" ht="14.25" customHeight="1">
      <c r="A723" s="163"/>
      <c r="B723" s="163"/>
      <c r="C723" s="163"/>
      <c r="D723" s="163"/>
      <c r="E723" s="163"/>
      <c r="F723" s="163"/>
      <c r="G723" s="163"/>
      <c r="H723" s="163"/>
      <c r="I723" s="163"/>
      <c r="J723" s="163"/>
      <c r="K723" s="163"/>
      <c r="L723" s="163"/>
      <c r="M723" s="163"/>
      <c r="N723" s="163"/>
      <c r="O723" s="163"/>
      <c r="P723" s="163"/>
      <c r="Q723" s="163"/>
      <c r="R723" s="163"/>
      <c r="S723" s="163"/>
      <c r="T723" s="163"/>
      <c r="U723" s="163"/>
      <c r="V723" s="163"/>
      <c r="W723" s="163"/>
      <c r="X723" s="163"/>
      <c r="Y723" s="163"/>
      <c r="Z723" s="163"/>
    </row>
    <row r="724" ht="14.25" customHeight="1">
      <c r="A724" s="163"/>
      <c r="B724" s="163"/>
      <c r="C724" s="163"/>
      <c r="D724" s="163"/>
      <c r="E724" s="163"/>
      <c r="F724" s="163"/>
      <c r="G724" s="163"/>
      <c r="H724" s="163"/>
      <c r="I724" s="163"/>
      <c r="J724" s="163"/>
      <c r="K724" s="163"/>
      <c r="L724" s="163"/>
      <c r="M724" s="163"/>
      <c r="N724" s="163"/>
      <c r="O724" s="163"/>
      <c r="P724" s="163"/>
      <c r="Q724" s="163"/>
      <c r="R724" s="163"/>
      <c r="S724" s="163"/>
      <c r="T724" s="163"/>
      <c r="U724" s="163"/>
      <c r="V724" s="163"/>
      <c r="W724" s="163"/>
      <c r="X724" s="163"/>
      <c r="Y724" s="163"/>
      <c r="Z724" s="163"/>
    </row>
    <row r="725" ht="14.25" customHeight="1">
      <c r="A725" s="163"/>
      <c r="B725" s="163"/>
      <c r="C725" s="163"/>
      <c r="D725" s="163"/>
      <c r="E725" s="163"/>
      <c r="F725" s="163"/>
      <c r="G725" s="163"/>
      <c r="H725" s="163"/>
      <c r="I725" s="163"/>
      <c r="J725" s="163"/>
      <c r="K725" s="163"/>
      <c r="L725" s="163"/>
      <c r="M725" s="163"/>
      <c r="N725" s="163"/>
      <c r="O725" s="163"/>
      <c r="P725" s="163"/>
      <c r="Q725" s="163"/>
      <c r="R725" s="163"/>
      <c r="S725" s="163"/>
      <c r="T725" s="163"/>
      <c r="U725" s="163"/>
      <c r="V725" s="163"/>
      <c r="W725" s="163"/>
      <c r="X725" s="163"/>
      <c r="Y725" s="163"/>
      <c r="Z725" s="163"/>
    </row>
    <row r="726" ht="14.25" customHeight="1">
      <c r="A726" s="163"/>
      <c r="B726" s="163"/>
      <c r="C726" s="163"/>
      <c r="D726" s="163"/>
      <c r="E726" s="163"/>
      <c r="F726" s="163"/>
      <c r="G726" s="163"/>
      <c r="H726" s="163"/>
      <c r="I726" s="163"/>
      <c r="J726" s="163"/>
      <c r="K726" s="163"/>
      <c r="L726" s="163"/>
      <c r="M726" s="163"/>
      <c r="N726" s="163"/>
      <c r="O726" s="163"/>
      <c r="P726" s="163"/>
      <c r="Q726" s="163"/>
      <c r="R726" s="163"/>
      <c r="S726" s="163"/>
      <c r="T726" s="163"/>
      <c r="U726" s="163"/>
      <c r="V726" s="163"/>
      <c r="W726" s="163"/>
      <c r="X726" s="163"/>
      <c r="Y726" s="163"/>
      <c r="Z726" s="163"/>
    </row>
    <row r="727" ht="14.25" customHeight="1">
      <c r="A727" s="163"/>
      <c r="B727" s="163"/>
      <c r="C727" s="163"/>
      <c r="D727" s="163"/>
      <c r="E727" s="163"/>
      <c r="F727" s="163"/>
      <c r="G727" s="163"/>
      <c r="H727" s="163"/>
      <c r="I727" s="163"/>
      <c r="J727" s="163"/>
      <c r="K727" s="163"/>
      <c r="L727" s="163"/>
      <c r="M727" s="163"/>
      <c r="N727" s="163"/>
      <c r="O727" s="163"/>
      <c r="P727" s="163"/>
      <c r="Q727" s="163"/>
      <c r="R727" s="163"/>
      <c r="S727" s="163"/>
      <c r="T727" s="163"/>
      <c r="U727" s="163"/>
      <c r="V727" s="163"/>
      <c r="W727" s="163"/>
      <c r="X727" s="163"/>
      <c r="Y727" s="163"/>
      <c r="Z727" s="163"/>
    </row>
    <row r="728" ht="14.25" customHeight="1">
      <c r="A728" s="163"/>
      <c r="B728" s="163"/>
      <c r="C728" s="163"/>
      <c r="D728" s="163"/>
      <c r="E728" s="163"/>
      <c r="F728" s="163"/>
      <c r="G728" s="163"/>
      <c r="H728" s="163"/>
      <c r="I728" s="163"/>
      <c r="J728" s="163"/>
      <c r="K728" s="163"/>
      <c r="L728" s="163"/>
      <c r="M728" s="163"/>
      <c r="N728" s="163"/>
      <c r="O728" s="163"/>
      <c r="P728" s="163"/>
      <c r="Q728" s="163"/>
      <c r="R728" s="163"/>
      <c r="S728" s="163"/>
      <c r="T728" s="163"/>
      <c r="U728" s="163"/>
      <c r="V728" s="163"/>
      <c r="W728" s="163"/>
      <c r="X728" s="163"/>
      <c r="Y728" s="163"/>
      <c r="Z728" s="163"/>
    </row>
    <row r="729" ht="14.25" customHeight="1">
      <c r="A729" s="163"/>
      <c r="B729" s="163"/>
      <c r="C729" s="163"/>
      <c r="D729" s="163"/>
      <c r="E729" s="163"/>
      <c r="F729" s="163"/>
      <c r="G729" s="163"/>
      <c r="H729" s="163"/>
      <c r="I729" s="163"/>
      <c r="J729" s="163"/>
      <c r="K729" s="163"/>
      <c r="L729" s="163"/>
      <c r="M729" s="163"/>
      <c r="N729" s="163"/>
      <c r="O729" s="163"/>
      <c r="P729" s="163"/>
      <c r="Q729" s="163"/>
      <c r="R729" s="163"/>
      <c r="S729" s="163"/>
      <c r="T729" s="163"/>
      <c r="U729" s="163"/>
      <c r="V729" s="163"/>
      <c r="W729" s="163"/>
      <c r="X729" s="163"/>
      <c r="Y729" s="163"/>
      <c r="Z729" s="163"/>
    </row>
    <row r="730" ht="14.25" customHeight="1">
      <c r="A730" s="163"/>
      <c r="B730" s="163"/>
      <c r="C730" s="163"/>
      <c r="D730" s="163"/>
      <c r="E730" s="163"/>
      <c r="F730" s="163"/>
      <c r="G730" s="163"/>
      <c r="H730" s="163"/>
      <c r="I730" s="163"/>
      <c r="J730" s="163"/>
      <c r="K730" s="163"/>
      <c r="L730" s="163"/>
      <c r="M730" s="163"/>
      <c r="N730" s="163"/>
      <c r="O730" s="163"/>
      <c r="P730" s="163"/>
      <c r="Q730" s="163"/>
      <c r="R730" s="163"/>
      <c r="S730" s="163"/>
      <c r="T730" s="163"/>
      <c r="U730" s="163"/>
      <c r="V730" s="163"/>
      <c r="W730" s="163"/>
      <c r="X730" s="163"/>
      <c r="Y730" s="163"/>
      <c r="Z730" s="163"/>
    </row>
    <row r="731" ht="14.25" customHeight="1">
      <c r="A731" s="163"/>
      <c r="B731" s="163"/>
      <c r="C731" s="163"/>
      <c r="D731" s="163"/>
      <c r="E731" s="163"/>
      <c r="F731" s="163"/>
      <c r="G731" s="163"/>
      <c r="H731" s="163"/>
      <c r="I731" s="163"/>
      <c r="J731" s="163"/>
      <c r="K731" s="163"/>
      <c r="L731" s="163"/>
      <c r="M731" s="163"/>
      <c r="N731" s="163"/>
      <c r="O731" s="163"/>
      <c r="P731" s="163"/>
      <c r="Q731" s="163"/>
      <c r="R731" s="163"/>
      <c r="S731" s="163"/>
      <c r="T731" s="163"/>
      <c r="U731" s="163"/>
      <c r="V731" s="163"/>
      <c r="W731" s="163"/>
      <c r="X731" s="163"/>
      <c r="Y731" s="163"/>
      <c r="Z731" s="163"/>
    </row>
    <row r="732" ht="14.25" customHeight="1">
      <c r="A732" s="163"/>
      <c r="B732" s="163"/>
      <c r="C732" s="163"/>
      <c r="D732" s="163"/>
      <c r="E732" s="163"/>
      <c r="F732" s="163"/>
      <c r="G732" s="163"/>
      <c r="H732" s="163"/>
      <c r="I732" s="163"/>
      <c r="J732" s="163"/>
      <c r="K732" s="163"/>
      <c r="L732" s="163"/>
      <c r="M732" s="163"/>
      <c r="N732" s="163"/>
      <c r="O732" s="163"/>
      <c r="P732" s="163"/>
      <c r="Q732" s="163"/>
      <c r="R732" s="163"/>
      <c r="S732" s="163"/>
      <c r="T732" s="163"/>
      <c r="U732" s="163"/>
      <c r="V732" s="163"/>
      <c r="W732" s="163"/>
      <c r="X732" s="163"/>
      <c r="Y732" s="163"/>
      <c r="Z732" s="163"/>
    </row>
    <row r="733" ht="14.25" customHeight="1">
      <c r="A733" s="163"/>
      <c r="B733" s="163"/>
      <c r="C733" s="163"/>
      <c r="D733" s="163"/>
      <c r="E733" s="163"/>
      <c r="F733" s="163"/>
      <c r="G733" s="163"/>
      <c r="H733" s="163"/>
      <c r="I733" s="163"/>
      <c r="J733" s="163"/>
      <c r="K733" s="163"/>
      <c r="L733" s="163"/>
      <c r="M733" s="163"/>
      <c r="N733" s="163"/>
      <c r="O733" s="163"/>
      <c r="P733" s="163"/>
      <c r="Q733" s="163"/>
      <c r="R733" s="163"/>
      <c r="S733" s="163"/>
      <c r="T733" s="163"/>
      <c r="U733" s="163"/>
      <c r="V733" s="163"/>
      <c r="W733" s="163"/>
      <c r="X733" s="163"/>
      <c r="Y733" s="163"/>
      <c r="Z733" s="163"/>
    </row>
    <row r="734" ht="14.25" customHeight="1">
      <c r="A734" s="163"/>
      <c r="B734" s="163"/>
      <c r="C734" s="163"/>
      <c r="D734" s="163"/>
      <c r="E734" s="163"/>
      <c r="F734" s="163"/>
      <c r="G734" s="163"/>
      <c r="H734" s="163"/>
      <c r="I734" s="163"/>
      <c r="J734" s="163"/>
      <c r="K734" s="163"/>
      <c r="L734" s="163"/>
      <c r="M734" s="163"/>
      <c r="N734" s="163"/>
      <c r="O734" s="163"/>
      <c r="P734" s="163"/>
      <c r="Q734" s="163"/>
      <c r="R734" s="163"/>
      <c r="S734" s="163"/>
      <c r="T734" s="163"/>
      <c r="U734" s="163"/>
      <c r="V734" s="163"/>
      <c r="W734" s="163"/>
      <c r="X734" s="163"/>
      <c r="Y734" s="163"/>
      <c r="Z734" s="163"/>
    </row>
    <row r="735" ht="14.25" customHeight="1">
      <c r="A735" s="163"/>
      <c r="B735" s="163"/>
      <c r="C735" s="163"/>
      <c r="D735" s="163"/>
      <c r="E735" s="163"/>
      <c r="F735" s="163"/>
      <c r="G735" s="163"/>
      <c r="H735" s="163"/>
      <c r="I735" s="163"/>
      <c r="J735" s="163"/>
      <c r="K735" s="163"/>
      <c r="L735" s="163"/>
      <c r="M735" s="163"/>
      <c r="N735" s="163"/>
      <c r="O735" s="163"/>
      <c r="P735" s="163"/>
      <c r="Q735" s="163"/>
      <c r="R735" s="163"/>
      <c r="S735" s="163"/>
      <c r="T735" s="163"/>
      <c r="U735" s="163"/>
      <c r="V735" s="163"/>
      <c r="W735" s="163"/>
      <c r="X735" s="163"/>
      <c r="Y735" s="163"/>
      <c r="Z735" s="163"/>
    </row>
    <row r="736" ht="14.25" customHeight="1">
      <c r="A736" s="163"/>
      <c r="B736" s="163"/>
      <c r="C736" s="163"/>
      <c r="D736" s="163"/>
      <c r="E736" s="163"/>
      <c r="F736" s="163"/>
      <c r="G736" s="163"/>
      <c r="H736" s="163"/>
      <c r="I736" s="163"/>
      <c r="J736" s="163"/>
      <c r="K736" s="163"/>
      <c r="L736" s="163"/>
      <c r="M736" s="163"/>
      <c r="N736" s="163"/>
      <c r="O736" s="163"/>
      <c r="P736" s="163"/>
      <c r="Q736" s="163"/>
      <c r="R736" s="163"/>
      <c r="S736" s="163"/>
      <c r="T736" s="163"/>
      <c r="U736" s="163"/>
      <c r="V736" s="163"/>
      <c r="W736" s="163"/>
      <c r="X736" s="163"/>
      <c r="Y736" s="163"/>
      <c r="Z736" s="163"/>
    </row>
    <row r="737" ht="14.25" customHeight="1">
      <c r="A737" s="163"/>
      <c r="B737" s="163"/>
      <c r="C737" s="163"/>
      <c r="D737" s="163"/>
      <c r="E737" s="163"/>
      <c r="F737" s="163"/>
      <c r="G737" s="163"/>
      <c r="H737" s="163"/>
      <c r="I737" s="163"/>
      <c r="J737" s="163"/>
      <c r="K737" s="163"/>
      <c r="L737" s="163"/>
      <c r="M737" s="163"/>
      <c r="N737" s="163"/>
      <c r="O737" s="163"/>
      <c r="P737" s="163"/>
      <c r="Q737" s="163"/>
      <c r="R737" s="163"/>
      <c r="S737" s="163"/>
      <c r="T737" s="163"/>
      <c r="U737" s="163"/>
      <c r="V737" s="163"/>
      <c r="W737" s="163"/>
      <c r="X737" s="163"/>
      <c r="Y737" s="163"/>
      <c r="Z737" s="163"/>
    </row>
    <row r="738" ht="14.25" customHeight="1">
      <c r="A738" s="163"/>
      <c r="B738" s="163"/>
      <c r="C738" s="163"/>
      <c r="D738" s="163"/>
      <c r="E738" s="163"/>
      <c r="F738" s="163"/>
      <c r="G738" s="163"/>
      <c r="H738" s="163"/>
      <c r="I738" s="163"/>
      <c r="J738" s="163"/>
      <c r="K738" s="163"/>
      <c r="L738" s="163"/>
      <c r="M738" s="163"/>
      <c r="N738" s="163"/>
      <c r="O738" s="163"/>
      <c r="P738" s="163"/>
      <c r="Q738" s="163"/>
      <c r="R738" s="163"/>
      <c r="S738" s="163"/>
      <c r="T738" s="163"/>
      <c r="U738" s="163"/>
      <c r="V738" s="163"/>
      <c r="W738" s="163"/>
      <c r="X738" s="163"/>
      <c r="Y738" s="163"/>
      <c r="Z738" s="163"/>
    </row>
    <row r="739" ht="14.25" customHeight="1">
      <c r="A739" s="163"/>
      <c r="B739" s="163"/>
      <c r="C739" s="163"/>
      <c r="D739" s="163"/>
      <c r="E739" s="163"/>
      <c r="F739" s="163"/>
      <c r="G739" s="163"/>
      <c r="H739" s="163"/>
      <c r="I739" s="163"/>
      <c r="J739" s="163"/>
      <c r="K739" s="163"/>
      <c r="L739" s="163"/>
      <c r="M739" s="163"/>
      <c r="N739" s="163"/>
      <c r="O739" s="163"/>
      <c r="P739" s="163"/>
      <c r="Q739" s="163"/>
      <c r="R739" s="163"/>
      <c r="S739" s="163"/>
      <c r="T739" s="163"/>
      <c r="U739" s="163"/>
      <c r="V739" s="163"/>
      <c r="W739" s="163"/>
      <c r="X739" s="163"/>
      <c r="Y739" s="163"/>
      <c r="Z739" s="163"/>
    </row>
    <row r="740" ht="14.25" customHeight="1">
      <c r="A740" s="163"/>
      <c r="B740" s="163"/>
      <c r="C740" s="163"/>
      <c r="D740" s="163"/>
      <c r="E740" s="163"/>
      <c r="F740" s="163"/>
      <c r="G740" s="163"/>
      <c r="H740" s="163"/>
      <c r="I740" s="163"/>
      <c r="J740" s="163"/>
      <c r="K740" s="163"/>
      <c r="L740" s="163"/>
      <c r="M740" s="163"/>
      <c r="N740" s="163"/>
      <c r="O740" s="163"/>
      <c r="P740" s="163"/>
      <c r="Q740" s="163"/>
      <c r="R740" s="163"/>
      <c r="S740" s="163"/>
      <c r="T740" s="163"/>
      <c r="U740" s="163"/>
      <c r="V740" s="163"/>
      <c r="W740" s="163"/>
      <c r="X740" s="163"/>
      <c r="Y740" s="163"/>
      <c r="Z740" s="163"/>
    </row>
    <row r="741" ht="14.25" customHeight="1">
      <c r="A741" s="163"/>
      <c r="B741" s="163"/>
      <c r="C741" s="163"/>
      <c r="D741" s="163"/>
      <c r="E741" s="163"/>
      <c r="F741" s="163"/>
      <c r="G741" s="163"/>
      <c r="H741" s="163"/>
      <c r="I741" s="163"/>
      <c r="J741" s="163"/>
      <c r="K741" s="163"/>
      <c r="L741" s="163"/>
      <c r="M741" s="163"/>
      <c r="N741" s="163"/>
      <c r="O741" s="163"/>
      <c r="P741" s="163"/>
      <c r="Q741" s="163"/>
      <c r="R741" s="163"/>
      <c r="S741" s="163"/>
      <c r="T741" s="163"/>
      <c r="U741" s="163"/>
      <c r="V741" s="163"/>
      <c r="W741" s="163"/>
      <c r="X741" s="163"/>
      <c r="Y741" s="163"/>
      <c r="Z741" s="163"/>
    </row>
    <row r="742" ht="14.25" customHeight="1">
      <c r="A742" s="163"/>
      <c r="B742" s="163"/>
      <c r="C742" s="163"/>
      <c r="D742" s="163"/>
      <c r="E742" s="163"/>
      <c r="F742" s="163"/>
      <c r="G742" s="163"/>
      <c r="H742" s="163"/>
      <c r="I742" s="163"/>
      <c r="J742" s="163"/>
      <c r="K742" s="163"/>
      <c r="L742" s="163"/>
      <c r="M742" s="163"/>
      <c r="N742" s="163"/>
      <c r="O742" s="163"/>
      <c r="P742" s="163"/>
      <c r="Q742" s="163"/>
      <c r="R742" s="163"/>
      <c r="S742" s="163"/>
      <c r="T742" s="163"/>
      <c r="U742" s="163"/>
      <c r="V742" s="163"/>
      <c r="W742" s="163"/>
      <c r="X742" s="163"/>
      <c r="Y742" s="163"/>
      <c r="Z742" s="163"/>
    </row>
    <row r="743" ht="14.25" customHeight="1">
      <c r="A743" s="163"/>
      <c r="B743" s="163"/>
      <c r="C743" s="163"/>
      <c r="D743" s="163"/>
      <c r="E743" s="163"/>
      <c r="F743" s="163"/>
      <c r="G743" s="163"/>
      <c r="H743" s="163"/>
      <c r="I743" s="163"/>
      <c r="J743" s="163"/>
      <c r="K743" s="163"/>
      <c r="L743" s="163"/>
      <c r="M743" s="163"/>
      <c r="N743" s="163"/>
      <c r="O743" s="163"/>
      <c r="P743" s="163"/>
      <c r="Q743" s="163"/>
      <c r="R743" s="163"/>
      <c r="S743" s="163"/>
      <c r="T743" s="163"/>
      <c r="U743" s="163"/>
      <c r="V743" s="163"/>
      <c r="W743" s="163"/>
      <c r="X743" s="163"/>
      <c r="Y743" s="163"/>
      <c r="Z743" s="163"/>
    </row>
    <row r="744" ht="14.25" customHeight="1">
      <c r="A744" s="163"/>
      <c r="B744" s="163"/>
      <c r="C744" s="163"/>
      <c r="D744" s="163"/>
      <c r="E744" s="163"/>
      <c r="F744" s="163"/>
      <c r="G744" s="163"/>
      <c r="H744" s="163"/>
      <c r="I744" s="163"/>
      <c r="J744" s="163"/>
      <c r="K744" s="163"/>
      <c r="L744" s="163"/>
      <c r="M744" s="163"/>
      <c r="N744" s="163"/>
      <c r="O744" s="163"/>
      <c r="P744" s="163"/>
      <c r="Q744" s="163"/>
      <c r="R744" s="163"/>
      <c r="S744" s="163"/>
      <c r="T744" s="163"/>
      <c r="U744" s="163"/>
      <c r="V744" s="163"/>
      <c r="W744" s="163"/>
      <c r="X744" s="163"/>
      <c r="Y744" s="163"/>
      <c r="Z744" s="163"/>
    </row>
    <row r="745" ht="14.25" customHeight="1">
      <c r="A745" s="163"/>
      <c r="B745" s="163"/>
      <c r="C745" s="163"/>
      <c r="D745" s="163"/>
      <c r="E745" s="163"/>
      <c r="F745" s="163"/>
      <c r="G745" s="163"/>
      <c r="H745" s="163"/>
      <c r="I745" s="163"/>
      <c r="J745" s="163"/>
      <c r="K745" s="163"/>
      <c r="L745" s="163"/>
      <c r="M745" s="163"/>
      <c r="N745" s="163"/>
      <c r="O745" s="163"/>
      <c r="P745" s="163"/>
      <c r="Q745" s="163"/>
      <c r="R745" s="163"/>
      <c r="S745" s="163"/>
      <c r="T745" s="163"/>
      <c r="U745" s="163"/>
      <c r="V745" s="163"/>
      <c r="W745" s="163"/>
      <c r="X745" s="163"/>
      <c r="Y745" s="163"/>
      <c r="Z745" s="163"/>
    </row>
    <row r="746" ht="14.25" customHeight="1">
      <c r="A746" s="163"/>
      <c r="B746" s="163"/>
      <c r="C746" s="163"/>
      <c r="D746" s="163"/>
      <c r="E746" s="163"/>
      <c r="F746" s="163"/>
      <c r="G746" s="163"/>
      <c r="H746" s="163"/>
      <c r="I746" s="163"/>
      <c r="J746" s="163"/>
      <c r="K746" s="163"/>
      <c r="L746" s="163"/>
      <c r="M746" s="163"/>
      <c r="N746" s="163"/>
      <c r="O746" s="163"/>
      <c r="P746" s="163"/>
      <c r="Q746" s="163"/>
      <c r="R746" s="163"/>
      <c r="S746" s="163"/>
      <c r="T746" s="163"/>
      <c r="U746" s="163"/>
      <c r="V746" s="163"/>
      <c r="W746" s="163"/>
      <c r="X746" s="163"/>
      <c r="Y746" s="163"/>
      <c r="Z746" s="163"/>
    </row>
    <row r="747" ht="14.25" customHeight="1">
      <c r="A747" s="163"/>
      <c r="B747" s="163"/>
      <c r="C747" s="163"/>
      <c r="D747" s="163"/>
      <c r="E747" s="163"/>
      <c r="F747" s="163"/>
      <c r="G747" s="163"/>
      <c r="H747" s="163"/>
      <c r="I747" s="163"/>
      <c r="J747" s="163"/>
      <c r="K747" s="163"/>
      <c r="L747" s="163"/>
      <c r="M747" s="163"/>
      <c r="N747" s="163"/>
      <c r="O747" s="163"/>
      <c r="P747" s="163"/>
      <c r="Q747" s="163"/>
      <c r="R747" s="163"/>
      <c r="S747" s="163"/>
      <c r="T747" s="163"/>
      <c r="U747" s="163"/>
      <c r="V747" s="163"/>
      <c r="W747" s="163"/>
      <c r="X747" s="163"/>
      <c r="Y747" s="163"/>
      <c r="Z747" s="163"/>
    </row>
    <row r="748" ht="14.25" customHeight="1">
      <c r="A748" s="163"/>
      <c r="B748" s="163"/>
      <c r="C748" s="163"/>
      <c r="D748" s="163"/>
      <c r="E748" s="163"/>
      <c r="F748" s="163"/>
      <c r="G748" s="163"/>
      <c r="H748" s="163"/>
      <c r="I748" s="163"/>
      <c r="J748" s="163"/>
      <c r="K748" s="163"/>
      <c r="L748" s="163"/>
      <c r="M748" s="163"/>
      <c r="N748" s="163"/>
      <c r="O748" s="163"/>
      <c r="P748" s="163"/>
      <c r="Q748" s="163"/>
      <c r="R748" s="163"/>
      <c r="S748" s="163"/>
      <c r="T748" s="163"/>
      <c r="U748" s="163"/>
      <c r="V748" s="163"/>
      <c r="W748" s="163"/>
      <c r="X748" s="163"/>
      <c r="Y748" s="163"/>
      <c r="Z748" s="163"/>
    </row>
    <row r="749" ht="14.25" customHeight="1">
      <c r="A749" s="163"/>
      <c r="B749" s="163"/>
      <c r="C749" s="163"/>
      <c r="D749" s="163"/>
      <c r="E749" s="163"/>
      <c r="F749" s="163"/>
      <c r="G749" s="163"/>
      <c r="H749" s="163"/>
      <c r="I749" s="163"/>
      <c r="J749" s="163"/>
      <c r="K749" s="163"/>
      <c r="L749" s="163"/>
      <c r="M749" s="163"/>
      <c r="N749" s="163"/>
      <c r="O749" s="163"/>
      <c r="P749" s="163"/>
      <c r="Q749" s="163"/>
      <c r="R749" s="163"/>
      <c r="S749" s="163"/>
      <c r="T749" s="163"/>
      <c r="U749" s="163"/>
      <c r="V749" s="163"/>
      <c r="W749" s="163"/>
      <c r="X749" s="163"/>
      <c r="Y749" s="163"/>
      <c r="Z749" s="163"/>
    </row>
    <row r="750" ht="14.25" customHeight="1">
      <c r="A750" s="163"/>
      <c r="B750" s="163"/>
      <c r="C750" s="163"/>
      <c r="D750" s="163"/>
      <c r="E750" s="163"/>
      <c r="F750" s="163"/>
      <c r="G750" s="163"/>
      <c r="H750" s="163"/>
      <c r="I750" s="163"/>
      <c r="J750" s="163"/>
      <c r="K750" s="163"/>
      <c r="L750" s="163"/>
      <c r="M750" s="163"/>
      <c r="N750" s="163"/>
      <c r="O750" s="163"/>
      <c r="P750" s="163"/>
      <c r="Q750" s="163"/>
      <c r="R750" s="163"/>
      <c r="S750" s="163"/>
      <c r="T750" s="163"/>
      <c r="U750" s="163"/>
      <c r="V750" s="163"/>
      <c r="W750" s="163"/>
      <c r="X750" s="163"/>
      <c r="Y750" s="163"/>
      <c r="Z750" s="163"/>
    </row>
    <row r="751" ht="14.25" customHeight="1">
      <c r="A751" s="163"/>
      <c r="B751" s="163"/>
      <c r="C751" s="163"/>
      <c r="D751" s="163"/>
      <c r="E751" s="163"/>
      <c r="F751" s="163"/>
      <c r="G751" s="163"/>
      <c r="H751" s="163"/>
      <c r="I751" s="163"/>
      <c r="J751" s="163"/>
      <c r="K751" s="163"/>
      <c r="L751" s="163"/>
      <c r="M751" s="163"/>
      <c r="N751" s="163"/>
      <c r="O751" s="163"/>
      <c r="P751" s="163"/>
      <c r="Q751" s="163"/>
      <c r="R751" s="163"/>
      <c r="S751" s="163"/>
      <c r="T751" s="163"/>
      <c r="U751" s="163"/>
      <c r="V751" s="163"/>
      <c r="W751" s="163"/>
      <c r="X751" s="163"/>
      <c r="Y751" s="163"/>
      <c r="Z751" s="163"/>
    </row>
    <row r="752" ht="14.25" customHeight="1">
      <c r="A752" s="163"/>
      <c r="B752" s="163"/>
      <c r="C752" s="163"/>
      <c r="D752" s="163"/>
      <c r="E752" s="163"/>
      <c r="F752" s="163"/>
      <c r="G752" s="163"/>
      <c r="H752" s="163"/>
      <c r="I752" s="163"/>
      <c r="J752" s="163"/>
      <c r="K752" s="163"/>
      <c r="L752" s="163"/>
      <c r="M752" s="163"/>
      <c r="N752" s="163"/>
      <c r="O752" s="163"/>
      <c r="P752" s="163"/>
      <c r="Q752" s="163"/>
      <c r="R752" s="163"/>
      <c r="S752" s="163"/>
      <c r="T752" s="163"/>
      <c r="U752" s="163"/>
      <c r="V752" s="163"/>
      <c r="W752" s="163"/>
      <c r="X752" s="163"/>
      <c r="Y752" s="163"/>
      <c r="Z752" s="163"/>
    </row>
    <row r="753" ht="14.25" customHeight="1">
      <c r="A753" s="163"/>
      <c r="B753" s="163"/>
      <c r="C753" s="163"/>
      <c r="D753" s="163"/>
      <c r="E753" s="163"/>
      <c r="F753" s="163"/>
      <c r="G753" s="163"/>
      <c r="H753" s="163"/>
      <c r="I753" s="163"/>
      <c r="J753" s="163"/>
      <c r="K753" s="163"/>
      <c r="L753" s="163"/>
      <c r="M753" s="163"/>
      <c r="N753" s="163"/>
      <c r="O753" s="163"/>
      <c r="P753" s="163"/>
      <c r="Q753" s="163"/>
      <c r="R753" s="163"/>
      <c r="S753" s="163"/>
      <c r="T753" s="163"/>
      <c r="U753" s="163"/>
      <c r="V753" s="163"/>
      <c r="W753" s="163"/>
      <c r="X753" s="163"/>
      <c r="Y753" s="163"/>
      <c r="Z753" s="163"/>
    </row>
    <row r="754" ht="14.25" customHeight="1">
      <c r="A754" s="163"/>
      <c r="B754" s="163"/>
      <c r="C754" s="163"/>
      <c r="D754" s="163"/>
      <c r="E754" s="163"/>
      <c r="F754" s="163"/>
      <c r="G754" s="163"/>
      <c r="H754" s="163"/>
      <c r="I754" s="163"/>
      <c r="J754" s="163"/>
      <c r="K754" s="163"/>
      <c r="L754" s="163"/>
      <c r="M754" s="163"/>
      <c r="N754" s="163"/>
      <c r="O754" s="163"/>
      <c r="P754" s="163"/>
      <c r="Q754" s="163"/>
      <c r="R754" s="163"/>
      <c r="S754" s="163"/>
      <c r="T754" s="163"/>
      <c r="U754" s="163"/>
      <c r="V754" s="163"/>
      <c r="W754" s="163"/>
      <c r="X754" s="163"/>
      <c r="Y754" s="163"/>
      <c r="Z754" s="163"/>
    </row>
    <row r="755" ht="14.25" customHeight="1">
      <c r="A755" s="163"/>
      <c r="B755" s="163"/>
      <c r="C755" s="163"/>
      <c r="D755" s="163"/>
      <c r="E755" s="163"/>
      <c r="F755" s="163"/>
      <c r="G755" s="163"/>
      <c r="H755" s="163"/>
      <c r="I755" s="163"/>
      <c r="J755" s="163"/>
      <c r="K755" s="163"/>
      <c r="L755" s="163"/>
      <c r="M755" s="163"/>
      <c r="N755" s="163"/>
      <c r="O755" s="163"/>
      <c r="P755" s="163"/>
      <c r="Q755" s="163"/>
      <c r="R755" s="163"/>
      <c r="S755" s="163"/>
      <c r="T755" s="163"/>
      <c r="U755" s="163"/>
      <c r="V755" s="163"/>
      <c r="W755" s="163"/>
      <c r="X755" s="163"/>
      <c r="Y755" s="163"/>
      <c r="Z755" s="163"/>
    </row>
    <row r="756" ht="14.25" customHeight="1">
      <c r="A756" s="163"/>
      <c r="B756" s="163"/>
      <c r="C756" s="163"/>
      <c r="D756" s="163"/>
      <c r="E756" s="163"/>
      <c r="F756" s="163"/>
      <c r="G756" s="163"/>
      <c r="H756" s="163"/>
      <c r="I756" s="163"/>
      <c r="J756" s="163"/>
      <c r="K756" s="163"/>
      <c r="L756" s="163"/>
      <c r="M756" s="163"/>
      <c r="N756" s="163"/>
      <c r="O756" s="163"/>
      <c r="P756" s="163"/>
      <c r="Q756" s="163"/>
      <c r="R756" s="163"/>
      <c r="S756" s="163"/>
      <c r="T756" s="163"/>
      <c r="U756" s="163"/>
      <c r="V756" s="163"/>
      <c r="W756" s="163"/>
      <c r="X756" s="163"/>
      <c r="Y756" s="163"/>
      <c r="Z756" s="163"/>
    </row>
    <row r="757" ht="14.25" customHeight="1">
      <c r="A757" s="163"/>
      <c r="B757" s="163"/>
      <c r="C757" s="163"/>
      <c r="D757" s="163"/>
      <c r="E757" s="163"/>
      <c r="F757" s="163"/>
      <c r="G757" s="163"/>
      <c r="H757" s="163"/>
      <c r="I757" s="163"/>
      <c r="J757" s="163"/>
      <c r="K757" s="163"/>
      <c r="L757" s="163"/>
      <c r="M757" s="163"/>
      <c r="N757" s="163"/>
      <c r="O757" s="163"/>
      <c r="P757" s="163"/>
      <c r="Q757" s="163"/>
      <c r="R757" s="163"/>
      <c r="S757" s="163"/>
      <c r="T757" s="163"/>
      <c r="U757" s="163"/>
      <c r="V757" s="163"/>
      <c r="W757" s="163"/>
      <c r="X757" s="163"/>
      <c r="Y757" s="163"/>
      <c r="Z757" s="163"/>
    </row>
    <row r="758" ht="14.25" customHeight="1">
      <c r="A758" s="163"/>
      <c r="B758" s="163"/>
      <c r="C758" s="163"/>
      <c r="D758" s="163"/>
      <c r="E758" s="163"/>
      <c r="F758" s="163"/>
      <c r="G758" s="163"/>
      <c r="H758" s="163"/>
      <c r="I758" s="163"/>
      <c r="J758" s="163"/>
      <c r="K758" s="163"/>
      <c r="L758" s="163"/>
      <c r="M758" s="163"/>
      <c r="N758" s="163"/>
      <c r="O758" s="163"/>
      <c r="P758" s="163"/>
      <c r="Q758" s="163"/>
      <c r="R758" s="163"/>
      <c r="S758" s="163"/>
      <c r="T758" s="163"/>
      <c r="U758" s="163"/>
      <c r="V758" s="163"/>
      <c r="W758" s="163"/>
      <c r="X758" s="163"/>
      <c r="Y758" s="163"/>
      <c r="Z758" s="163"/>
    </row>
    <row r="759" ht="14.25" customHeight="1">
      <c r="A759" s="163"/>
      <c r="B759" s="163"/>
      <c r="C759" s="163"/>
      <c r="D759" s="163"/>
      <c r="E759" s="163"/>
      <c r="F759" s="163"/>
      <c r="G759" s="163"/>
      <c r="H759" s="163"/>
      <c r="I759" s="163"/>
      <c r="J759" s="163"/>
      <c r="K759" s="163"/>
      <c r="L759" s="163"/>
      <c r="M759" s="163"/>
      <c r="N759" s="163"/>
      <c r="O759" s="163"/>
      <c r="P759" s="163"/>
      <c r="Q759" s="163"/>
      <c r="R759" s="163"/>
      <c r="S759" s="163"/>
      <c r="T759" s="163"/>
      <c r="U759" s="163"/>
      <c r="V759" s="163"/>
      <c r="W759" s="163"/>
      <c r="X759" s="163"/>
      <c r="Y759" s="163"/>
      <c r="Z759" s="163"/>
    </row>
    <row r="760" ht="14.25" customHeight="1">
      <c r="A760" s="163"/>
      <c r="B760" s="163"/>
      <c r="C760" s="163"/>
      <c r="D760" s="163"/>
      <c r="E760" s="163"/>
      <c r="F760" s="163"/>
      <c r="G760" s="163"/>
      <c r="H760" s="163"/>
      <c r="I760" s="163"/>
      <c r="J760" s="163"/>
      <c r="K760" s="163"/>
      <c r="L760" s="163"/>
      <c r="M760" s="163"/>
      <c r="N760" s="163"/>
      <c r="O760" s="163"/>
      <c r="P760" s="163"/>
      <c r="Q760" s="163"/>
      <c r="R760" s="163"/>
      <c r="S760" s="163"/>
      <c r="T760" s="163"/>
      <c r="U760" s="163"/>
      <c r="V760" s="163"/>
      <c r="W760" s="163"/>
      <c r="X760" s="163"/>
      <c r="Y760" s="163"/>
      <c r="Z760" s="163"/>
    </row>
    <row r="761" ht="14.25" customHeight="1">
      <c r="A761" s="163"/>
      <c r="B761" s="163"/>
      <c r="C761" s="163"/>
      <c r="D761" s="163"/>
      <c r="E761" s="163"/>
      <c r="F761" s="163"/>
      <c r="G761" s="163"/>
      <c r="H761" s="163"/>
      <c r="I761" s="163"/>
      <c r="J761" s="163"/>
      <c r="K761" s="163"/>
      <c r="L761" s="163"/>
      <c r="M761" s="163"/>
      <c r="N761" s="163"/>
      <c r="O761" s="163"/>
      <c r="P761" s="163"/>
      <c r="Q761" s="163"/>
      <c r="R761" s="163"/>
      <c r="S761" s="163"/>
      <c r="T761" s="163"/>
      <c r="U761" s="163"/>
      <c r="V761" s="163"/>
      <c r="W761" s="163"/>
      <c r="X761" s="163"/>
      <c r="Y761" s="163"/>
      <c r="Z761" s="163"/>
    </row>
    <row r="762" ht="14.25" customHeight="1">
      <c r="A762" s="163"/>
      <c r="B762" s="163"/>
      <c r="C762" s="163"/>
      <c r="D762" s="163"/>
      <c r="E762" s="163"/>
      <c r="F762" s="163"/>
      <c r="G762" s="163"/>
      <c r="H762" s="163"/>
      <c r="I762" s="163"/>
      <c r="J762" s="163"/>
      <c r="K762" s="163"/>
      <c r="L762" s="163"/>
      <c r="M762" s="163"/>
      <c r="N762" s="163"/>
      <c r="O762" s="163"/>
      <c r="P762" s="163"/>
      <c r="Q762" s="163"/>
      <c r="R762" s="163"/>
      <c r="S762" s="163"/>
      <c r="T762" s="163"/>
      <c r="U762" s="163"/>
      <c r="V762" s="163"/>
      <c r="W762" s="163"/>
      <c r="X762" s="163"/>
      <c r="Y762" s="163"/>
      <c r="Z762" s="163"/>
    </row>
    <row r="763" ht="14.25" customHeight="1">
      <c r="A763" s="163"/>
      <c r="B763" s="163"/>
      <c r="C763" s="163"/>
      <c r="D763" s="163"/>
      <c r="E763" s="163"/>
      <c r="F763" s="163"/>
      <c r="G763" s="163"/>
      <c r="H763" s="163"/>
      <c r="I763" s="163"/>
      <c r="J763" s="163"/>
      <c r="K763" s="163"/>
      <c r="L763" s="163"/>
      <c r="M763" s="163"/>
      <c r="N763" s="163"/>
      <c r="O763" s="163"/>
      <c r="P763" s="163"/>
      <c r="Q763" s="163"/>
      <c r="R763" s="163"/>
      <c r="S763" s="163"/>
      <c r="T763" s="163"/>
      <c r="U763" s="163"/>
      <c r="V763" s="163"/>
      <c r="W763" s="163"/>
      <c r="X763" s="163"/>
      <c r="Y763" s="163"/>
      <c r="Z763" s="163"/>
    </row>
    <row r="764" ht="14.25" customHeight="1">
      <c r="A764" s="163"/>
      <c r="B764" s="163"/>
      <c r="C764" s="163"/>
      <c r="D764" s="163"/>
      <c r="E764" s="163"/>
      <c r="F764" s="163"/>
      <c r="G764" s="163"/>
      <c r="H764" s="163"/>
      <c r="I764" s="163"/>
      <c r="J764" s="163"/>
      <c r="K764" s="163"/>
      <c r="L764" s="163"/>
      <c r="M764" s="163"/>
      <c r="N764" s="163"/>
      <c r="O764" s="163"/>
      <c r="P764" s="163"/>
      <c r="Q764" s="163"/>
      <c r="R764" s="163"/>
      <c r="S764" s="163"/>
      <c r="T764" s="163"/>
      <c r="U764" s="163"/>
      <c r="V764" s="163"/>
      <c r="W764" s="163"/>
      <c r="X764" s="163"/>
      <c r="Y764" s="163"/>
      <c r="Z764" s="163"/>
    </row>
    <row r="765" ht="14.25" customHeight="1">
      <c r="A765" s="163"/>
      <c r="B765" s="163"/>
      <c r="C765" s="163"/>
      <c r="D765" s="163"/>
      <c r="E765" s="163"/>
      <c r="F765" s="163"/>
      <c r="G765" s="163"/>
      <c r="H765" s="163"/>
      <c r="I765" s="163"/>
      <c r="J765" s="163"/>
      <c r="K765" s="163"/>
      <c r="L765" s="163"/>
      <c r="M765" s="163"/>
      <c r="N765" s="163"/>
      <c r="O765" s="163"/>
      <c r="P765" s="163"/>
      <c r="Q765" s="163"/>
      <c r="R765" s="163"/>
      <c r="S765" s="163"/>
      <c r="T765" s="163"/>
      <c r="U765" s="163"/>
      <c r="V765" s="163"/>
      <c r="W765" s="163"/>
      <c r="X765" s="163"/>
      <c r="Y765" s="163"/>
      <c r="Z765" s="163"/>
    </row>
    <row r="766" ht="14.25" customHeight="1">
      <c r="A766" s="163"/>
      <c r="B766" s="163"/>
      <c r="C766" s="163"/>
      <c r="D766" s="163"/>
      <c r="E766" s="163"/>
      <c r="F766" s="163"/>
      <c r="G766" s="163"/>
      <c r="H766" s="163"/>
      <c r="I766" s="163"/>
      <c r="J766" s="163"/>
      <c r="K766" s="163"/>
      <c r="L766" s="163"/>
      <c r="M766" s="163"/>
      <c r="N766" s="163"/>
      <c r="O766" s="163"/>
      <c r="P766" s="163"/>
      <c r="Q766" s="163"/>
      <c r="R766" s="163"/>
      <c r="S766" s="163"/>
      <c r="T766" s="163"/>
      <c r="U766" s="163"/>
      <c r="V766" s="163"/>
      <c r="W766" s="163"/>
      <c r="X766" s="163"/>
      <c r="Y766" s="163"/>
      <c r="Z766" s="163"/>
    </row>
    <row r="767" ht="14.25" customHeight="1">
      <c r="A767" s="163"/>
      <c r="B767" s="163"/>
      <c r="C767" s="163"/>
      <c r="D767" s="163"/>
      <c r="E767" s="163"/>
      <c r="F767" s="163"/>
      <c r="G767" s="163"/>
      <c r="H767" s="163"/>
      <c r="I767" s="163"/>
      <c r="J767" s="163"/>
      <c r="K767" s="163"/>
      <c r="L767" s="163"/>
      <c r="M767" s="163"/>
      <c r="N767" s="163"/>
      <c r="O767" s="163"/>
      <c r="P767" s="163"/>
      <c r="Q767" s="163"/>
      <c r="R767" s="163"/>
      <c r="S767" s="163"/>
      <c r="T767" s="163"/>
      <c r="U767" s="163"/>
      <c r="V767" s="163"/>
      <c r="W767" s="163"/>
      <c r="X767" s="163"/>
      <c r="Y767" s="163"/>
      <c r="Z767" s="163"/>
    </row>
    <row r="768" ht="14.25" customHeight="1">
      <c r="A768" s="163"/>
      <c r="B768" s="163"/>
      <c r="C768" s="163"/>
      <c r="D768" s="163"/>
      <c r="E768" s="163"/>
      <c r="F768" s="163"/>
      <c r="G768" s="163"/>
      <c r="H768" s="163"/>
      <c r="I768" s="163"/>
      <c r="J768" s="163"/>
      <c r="K768" s="163"/>
      <c r="L768" s="163"/>
      <c r="M768" s="163"/>
      <c r="N768" s="163"/>
      <c r="O768" s="163"/>
      <c r="P768" s="163"/>
      <c r="Q768" s="163"/>
      <c r="R768" s="163"/>
      <c r="S768" s="163"/>
      <c r="T768" s="163"/>
      <c r="U768" s="163"/>
      <c r="V768" s="163"/>
      <c r="W768" s="163"/>
      <c r="X768" s="163"/>
      <c r="Y768" s="163"/>
      <c r="Z768" s="163"/>
    </row>
    <row r="769" ht="14.25" customHeight="1">
      <c r="A769" s="163"/>
      <c r="B769" s="163"/>
      <c r="C769" s="163"/>
      <c r="D769" s="163"/>
      <c r="E769" s="163"/>
      <c r="F769" s="163"/>
      <c r="G769" s="163"/>
      <c r="H769" s="163"/>
      <c r="I769" s="163"/>
      <c r="J769" s="163"/>
      <c r="K769" s="163"/>
      <c r="L769" s="163"/>
      <c r="M769" s="163"/>
      <c r="N769" s="163"/>
      <c r="O769" s="163"/>
      <c r="P769" s="163"/>
      <c r="Q769" s="163"/>
      <c r="R769" s="163"/>
      <c r="S769" s="163"/>
      <c r="T769" s="163"/>
      <c r="U769" s="163"/>
      <c r="V769" s="163"/>
      <c r="W769" s="163"/>
      <c r="X769" s="163"/>
      <c r="Y769" s="163"/>
      <c r="Z769" s="163"/>
    </row>
    <row r="770" ht="14.25" customHeight="1">
      <c r="A770" s="163"/>
      <c r="B770" s="163"/>
      <c r="C770" s="163"/>
      <c r="D770" s="163"/>
      <c r="E770" s="163"/>
      <c r="F770" s="163"/>
      <c r="G770" s="163"/>
      <c r="H770" s="163"/>
      <c r="I770" s="163"/>
      <c r="J770" s="163"/>
      <c r="K770" s="163"/>
      <c r="L770" s="163"/>
      <c r="M770" s="163"/>
      <c r="N770" s="163"/>
      <c r="O770" s="163"/>
      <c r="P770" s="163"/>
      <c r="Q770" s="163"/>
      <c r="R770" s="163"/>
      <c r="S770" s="163"/>
      <c r="T770" s="163"/>
      <c r="U770" s="163"/>
      <c r="V770" s="163"/>
      <c r="W770" s="163"/>
      <c r="X770" s="163"/>
      <c r="Y770" s="163"/>
      <c r="Z770" s="163"/>
    </row>
    <row r="771" ht="14.25" customHeight="1">
      <c r="A771" s="163"/>
      <c r="B771" s="163"/>
      <c r="C771" s="163"/>
      <c r="D771" s="163"/>
      <c r="E771" s="163"/>
      <c r="F771" s="163"/>
      <c r="G771" s="163"/>
      <c r="H771" s="163"/>
      <c r="I771" s="163"/>
      <c r="J771" s="163"/>
      <c r="K771" s="163"/>
      <c r="L771" s="163"/>
      <c r="M771" s="163"/>
      <c r="N771" s="163"/>
      <c r="O771" s="163"/>
      <c r="P771" s="163"/>
      <c r="Q771" s="163"/>
      <c r="R771" s="163"/>
      <c r="S771" s="163"/>
      <c r="T771" s="163"/>
      <c r="U771" s="163"/>
      <c r="V771" s="163"/>
      <c r="W771" s="163"/>
      <c r="X771" s="163"/>
      <c r="Y771" s="163"/>
      <c r="Z771" s="163"/>
    </row>
    <row r="772" ht="14.25" customHeight="1">
      <c r="A772" s="163"/>
      <c r="B772" s="163"/>
      <c r="C772" s="163"/>
      <c r="D772" s="163"/>
      <c r="E772" s="163"/>
      <c r="F772" s="163"/>
      <c r="G772" s="163"/>
      <c r="H772" s="163"/>
      <c r="I772" s="163"/>
      <c r="J772" s="163"/>
      <c r="K772" s="163"/>
      <c r="L772" s="163"/>
      <c r="M772" s="163"/>
      <c r="N772" s="163"/>
      <c r="O772" s="163"/>
      <c r="P772" s="163"/>
      <c r="Q772" s="163"/>
      <c r="R772" s="163"/>
      <c r="S772" s="163"/>
      <c r="T772" s="163"/>
      <c r="U772" s="163"/>
      <c r="V772" s="163"/>
      <c r="W772" s="163"/>
      <c r="X772" s="163"/>
      <c r="Y772" s="163"/>
      <c r="Z772" s="163"/>
    </row>
    <row r="773" ht="14.25" customHeight="1">
      <c r="A773" s="163"/>
      <c r="B773" s="163"/>
      <c r="C773" s="163"/>
      <c r="D773" s="163"/>
      <c r="E773" s="163"/>
      <c r="F773" s="163"/>
      <c r="G773" s="163"/>
      <c r="H773" s="163"/>
      <c r="I773" s="163"/>
      <c r="J773" s="163"/>
      <c r="K773" s="163"/>
      <c r="L773" s="163"/>
      <c r="M773" s="163"/>
      <c r="N773" s="163"/>
      <c r="O773" s="163"/>
      <c r="P773" s="163"/>
      <c r="Q773" s="163"/>
      <c r="R773" s="163"/>
      <c r="S773" s="163"/>
      <c r="T773" s="163"/>
      <c r="U773" s="163"/>
      <c r="V773" s="163"/>
      <c r="W773" s="163"/>
      <c r="X773" s="163"/>
      <c r="Y773" s="163"/>
      <c r="Z773" s="163"/>
    </row>
    <row r="774" ht="14.25" customHeight="1">
      <c r="A774" s="163"/>
      <c r="B774" s="163"/>
      <c r="C774" s="163"/>
      <c r="D774" s="163"/>
      <c r="E774" s="163"/>
      <c r="F774" s="163"/>
      <c r="G774" s="163"/>
      <c r="H774" s="163"/>
      <c r="I774" s="163"/>
      <c r="J774" s="163"/>
      <c r="K774" s="163"/>
      <c r="L774" s="163"/>
      <c r="M774" s="163"/>
      <c r="N774" s="163"/>
      <c r="O774" s="163"/>
      <c r="P774" s="163"/>
      <c r="Q774" s="163"/>
      <c r="R774" s="163"/>
      <c r="S774" s="163"/>
      <c r="T774" s="163"/>
      <c r="U774" s="163"/>
      <c r="V774" s="163"/>
      <c r="W774" s="163"/>
      <c r="X774" s="163"/>
      <c r="Y774" s="163"/>
      <c r="Z774" s="163"/>
    </row>
    <row r="775" ht="14.25" customHeight="1">
      <c r="A775" s="163"/>
      <c r="B775" s="163"/>
      <c r="C775" s="163"/>
      <c r="D775" s="163"/>
      <c r="E775" s="163"/>
      <c r="F775" s="163"/>
      <c r="G775" s="163"/>
      <c r="H775" s="163"/>
      <c r="I775" s="163"/>
      <c r="J775" s="163"/>
      <c r="K775" s="163"/>
      <c r="L775" s="163"/>
      <c r="M775" s="163"/>
      <c r="N775" s="163"/>
      <c r="O775" s="163"/>
      <c r="P775" s="163"/>
      <c r="Q775" s="163"/>
      <c r="R775" s="163"/>
      <c r="S775" s="163"/>
      <c r="T775" s="163"/>
      <c r="U775" s="163"/>
      <c r="V775" s="163"/>
      <c r="W775" s="163"/>
      <c r="X775" s="163"/>
      <c r="Y775" s="163"/>
      <c r="Z775" s="163"/>
    </row>
    <row r="776" ht="14.25" customHeight="1">
      <c r="A776" s="163"/>
      <c r="B776" s="163"/>
      <c r="C776" s="163"/>
      <c r="D776" s="163"/>
      <c r="E776" s="163"/>
      <c r="F776" s="163"/>
      <c r="G776" s="163"/>
      <c r="H776" s="163"/>
      <c r="I776" s="163"/>
      <c r="J776" s="163"/>
      <c r="K776" s="163"/>
      <c r="L776" s="163"/>
      <c r="M776" s="163"/>
      <c r="N776" s="163"/>
      <c r="O776" s="163"/>
      <c r="P776" s="163"/>
      <c r="Q776" s="163"/>
      <c r="R776" s="163"/>
      <c r="S776" s="163"/>
      <c r="T776" s="163"/>
      <c r="U776" s="163"/>
      <c r="V776" s="163"/>
      <c r="W776" s="163"/>
      <c r="X776" s="163"/>
      <c r="Y776" s="163"/>
      <c r="Z776" s="163"/>
    </row>
    <row r="777" ht="14.25" customHeight="1">
      <c r="A777" s="163"/>
      <c r="B777" s="163"/>
      <c r="C777" s="163"/>
      <c r="D777" s="163"/>
      <c r="E777" s="163"/>
      <c r="F777" s="163"/>
      <c r="G777" s="163"/>
      <c r="H777" s="163"/>
      <c r="I777" s="163"/>
      <c r="J777" s="163"/>
      <c r="K777" s="163"/>
      <c r="L777" s="163"/>
      <c r="M777" s="163"/>
      <c r="N777" s="163"/>
      <c r="O777" s="163"/>
      <c r="P777" s="163"/>
      <c r="Q777" s="163"/>
      <c r="R777" s="163"/>
      <c r="S777" s="163"/>
      <c r="T777" s="163"/>
      <c r="U777" s="163"/>
      <c r="V777" s="163"/>
      <c r="W777" s="163"/>
      <c r="X777" s="163"/>
      <c r="Y777" s="163"/>
      <c r="Z777" s="163"/>
    </row>
    <row r="778" ht="14.25" customHeight="1">
      <c r="A778" s="163"/>
      <c r="B778" s="163"/>
      <c r="C778" s="163"/>
      <c r="D778" s="163"/>
      <c r="E778" s="163"/>
      <c r="F778" s="163"/>
      <c r="G778" s="163"/>
      <c r="H778" s="163"/>
      <c r="I778" s="163"/>
      <c r="J778" s="163"/>
      <c r="K778" s="163"/>
      <c r="L778" s="163"/>
      <c r="M778" s="163"/>
      <c r="N778" s="163"/>
      <c r="O778" s="163"/>
      <c r="P778" s="163"/>
      <c r="Q778" s="163"/>
      <c r="R778" s="163"/>
      <c r="S778" s="163"/>
      <c r="T778" s="163"/>
      <c r="U778" s="163"/>
      <c r="V778" s="163"/>
      <c r="W778" s="163"/>
      <c r="X778" s="163"/>
      <c r="Y778" s="163"/>
      <c r="Z778" s="163"/>
    </row>
    <row r="779" ht="14.25" customHeight="1">
      <c r="A779" s="163"/>
      <c r="B779" s="163"/>
      <c r="C779" s="163"/>
      <c r="D779" s="163"/>
      <c r="E779" s="163"/>
      <c r="F779" s="163"/>
      <c r="G779" s="163"/>
      <c r="H779" s="163"/>
      <c r="I779" s="163"/>
      <c r="J779" s="163"/>
      <c r="K779" s="163"/>
      <c r="L779" s="163"/>
      <c r="M779" s="163"/>
      <c r="N779" s="163"/>
      <c r="O779" s="163"/>
      <c r="P779" s="163"/>
      <c r="Q779" s="163"/>
      <c r="R779" s="163"/>
      <c r="S779" s="163"/>
      <c r="T779" s="163"/>
      <c r="U779" s="163"/>
      <c r="V779" s="163"/>
      <c r="W779" s="163"/>
      <c r="X779" s="163"/>
      <c r="Y779" s="163"/>
      <c r="Z779" s="163"/>
    </row>
    <row r="780" ht="14.25" customHeight="1">
      <c r="A780" s="163"/>
      <c r="B780" s="163"/>
      <c r="C780" s="163"/>
      <c r="D780" s="163"/>
      <c r="E780" s="163"/>
      <c r="F780" s="163"/>
      <c r="G780" s="163"/>
      <c r="H780" s="163"/>
      <c r="I780" s="163"/>
      <c r="J780" s="163"/>
      <c r="K780" s="163"/>
      <c r="L780" s="163"/>
      <c r="M780" s="163"/>
      <c r="N780" s="163"/>
      <c r="O780" s="163"/>
      <c r="P780" s="163"/>
      <c r="Q780" s="163"/>
      <c r="R780" s="163"/>
      <c r="S780" s="163"/>
      <c r="T780" s="163"/>
      <c r="U780" s="163"/>
      <c r="V780" s="163"/>
      <c r="W780" s="163"/>
      <c r="X780" s="163"/>
      <c r="Y780" s="163"/>
      <c r="Z780" s="163"/>
    </row>
    <row r="781" ht="14.25" customHeight="1">
      <c r="A781" s="163"/>
      <c r="B781" s="163"/>
      <c r="C781" s="163"/>
      <c r="D781" s="163"/>
      <c r="E781" s="163"/>
      <c r="F781" s="163"/>
      <c r="G781" s="163"/>
      <c r="H781" s="163"/>
      <c r="I781" s="163"/>
      <c r="J781" s="163"/>
      <c r="K781" s="163"/>
      <c r="L781" s="163"/>
      <c r="M781" s="163"/>
      <c r="N781" s="163"/>
      <c r="O781" s="163"/>
      <c r="P781" s="163"/>
      <c r="Q781" s="163"/>
      <c r="R781" s="163"/>
      <c r="S781" s="163"/>
      <c r="T781" s="163"/>
      <c r="U781" s="163"/>
      <c r="V781" s="163"/>
      <c r="W781" s="163"/>
      <c r="X781" s="163"/>
      <c r="Y781" s="163"/>
      <c r="Z781" s="163"/>
    </row>
    <row r="782" ht="14.25" customHeight="1">
      <c r="A782" s="163"/>
      <c r="B782" s="163"/>
      <c r="C782" s="163"/>
      <c r="D782" s="163"/>
      <c r="E782" s="163"/>
      <c r="F782" s="163"/>
      <c r="G782" s="163"/>
      <c r="H782" s="163"/>
      <c r="I782" s="163"/>
      <c r="J782" s="163"/>
      <c r="K782" s="163"/>
      <c r="L782" s="163"/>
      <c r="M782" s="163"/>
      <c r="N782" s="163"/>
      <c r="O782" s="163"/>
      <c r="P782" s="163"/>
      <c r="Q782" s="163"/>
      <c r="R782" s="163"/>
      <c r="S782" s="163"/>
      <c r="T782" s="163"/>
      <c r="U782" s="163"/>
      <c r="V782" s="163"/>
      <c r="W782" s="163"/>
      <c r="X782" s="163"/>
      <c r="Y782" s="163"/>
      <c r="Z782" s="163"/>
    </row>
    <row r="783" ht="14.25" customHeight="1">
      <c r="A783" s="163"/>
      <c r="B783" s="163"/>
      <c r="C783" s="163"/>
      <c r="D783" s="163"/>
      <c r="E783" s="163"/>
      <c r="F783" s="163"/>
      <c r="G783" s="163"/>
      <c r="H783" s="163"/>
      <c r="I783" s="163"/>
      <c r="J783" s="163"/>
      <c r="K783" s="163"/>
      <c r="L783" s="163"/>
      <c r="M783" s="163"/>
      <c r="N783" s="163"/>
      <c r="O783" s="163"/>
      <c r="P783" s="163"/>
      <c r="Q783" s="163"/>
      <c r="R783" s="163"/>
      <c r="S783" s="163"/>
      <c r="T783" s="163"/>
      <c r="U783" s="163"/>
      <c r="V783" s="163"/>
      <c r="W783" s="163"/>
      <c r="X783" s="163"/>
      <c r="Y783" s="163"/>
      <c r="Z783" s="163"/>
    </row>
    <row r="784" ht="14.25" customHeight="1">
      <c r="A784" s="163"/>
      <c r="B784" s="163"/>
      <c r="C784" s="163"/>
      <c r="D784" s="163"/>
      <c r="E784" s="163"/>
      <c r="F784" s="163"/>
      <c r="G784" s="163"/>
      <c r="H784" s="163"/>
      <c r="I784" s="163"/>
      <c r="J784" s="163"/>
      <c r="K784" s="163"/>
      <c r="L784" s="163"/>
      <c r="M784" s="163"/>
      <c r="N784" s="163"/>
      <c r="O784" s="163"/>
      <c r="P784" s="163"/>
      <c r="Q784" s="163"/>
      <c r="R784" s="163"/>
      <c r="S784" s="163"/>
      <c r="T784" s="163"/>
      <c r="U784" s="163"/>
      <c r="V784" s="163"/>
      <c r="W784" s="163"/>
      <c r="X784" s="163"/>
      <c r="Y784" s="163"/>
      <c r="Z784" s="163"/>
    </row>
    <row r="785" ht="14.25" customHeight="1">
      <c r="A785" s="163"/>
      <c r="B785" s="163"/>
      <c r="C785" s="163"/>
      <c r="D785" s="163"/>
      <c r="E785" s="163"/>
      <c r="F785" s="163"/>
      <c r="G785" s="163"/>
      <c r="H785" s="163"/>
      <c r="I785" s="163"/>
      <c r="J785" s="163"/>
      <c r="K785" s="163"/>
      <c r="L785" s="163"/>
      <c r="M785" s="163"/>
      <c r="N785" s="163"/>
      <c r="O785" s="163"/>
      <c r="P785" s="163"/>
      <c r="Q785" s="163"/>
      <c r="R785" s="163"/>
      <c r="S785" s="163"/>
      <c r="T785" s="163"/>
      <c r="U785" s="163"/>
      <c r="V785" s="163"/>
      <c r="W785" s="163"/>
      <c r="X785" s="163"/>
      <c r="Y785" s="163"/>
      <c r="Z785" s="163"/>
    </row>
    <row r="786" ht="14.25" customHeight="1">
      <c r="A786" s="163"/>
      <c r="B786" s="163"/>
      <c r="C786" s="163"/>
      <c r="D786" s="163"/>
      <c r="E786" s="163"/>
      <c r="F786" s="163"/>
      <c r="G786" s="163"/>
      <c r="H786" s="163"/>
      <c r="I786" s="163"/>
      <c r="J786" s="163"/>
      <c r="K786" s="163"/>
      <c r="L786" s="163"/>
      <c r="M786" s="163"/>
      <c r="N786" s="163"/>
      <c r="O786" s="163"/>
      <c r="P786" s="163"/>
      <c r="Q786" s="163"/>
      <c r="R786" s="163"/>
      <c r="S786" s="163"/>
      <c r="T786" s="163"/>
      <c r="U786" s="163"/>
      <c r="V786" s="163"/>
      <c r="W786" s="163"/>
      <c r="X786" s="163"/>
      <c r="Y786" s="163"/>
      <c r="Z786" s="163"/>
    </row>
  </sheetData>
  <autoFilter ref="$D$1:$D$786"/>
  <mergeCells count="41">
    <mergeCell ref="B2:B10"/>
    <mergeCell ref="B11:B16"/>
    <mergeCell ref="B17:B22"/>
    <mergeCell ref="B23:B28"/>
    <mergeCell ref="B29:B37"/>
    <mergeCell ref="B38:B42"/>
    <mergeCell ref="B43:B49"/>
    <mergeCell ref="B50:B59"/>
    <mergeCell ref="B60:B65"/>
    <mergeCell ref="B66:B81"/>
    <mergeCell ref="B82:B86"/>
    <mergeCell ref="B87:B91"/>
    <mergeCell ref="B92:B109"/>
    <mergeCell ref="B110:B114"/>
    <mergeCell ref="B135:B151"/>
    <mergeCell ref="B152:B162"/>
    <mergeCell ref="B163:B170"/>
    <mergeCell ref="B171:B174"/>
    <mergeCell ref="B175:B182"/>
    <mergeCell ref="B184:B185"/>
    <mergeCell ref="B186:B193"/>
    <mergeCell ref="B194:B198"/>
    <mergeCell ref="B199:B204"/>
    <mergeCell ref="B205:B207"/>
    <mergeCell ref="B208:B212"/>
    <mergeCell ref="B213:B218"/>
    <mergeCell ref="B219:B224"/>
    <mergeCell ref="B225:B231"/>
    <mergeCell ref="B571:B577"/>
    <mergeCell ref="B578:B586"/>
    <mergeCell ref="B587:B593"/>
    <mergeCell ref="B594:B618"/>
    <mergeCell ref="B619:B636"/>
    <mergeCell ref="B637:B646"/>
    <mergeCell ref="B232:B236"/>
    <mergeCell ref="B237:B246"/>
    <mergeCell ref="B247:B257"/>
    <mergeCell ref="B258:B262"/>
    <mergeCell ref="B263:B278"/>
    <mergeCell ref="B279:B344"/>
    <mergeCell ref="B564:B570"/>
  </mergeCells>
  <dataValidations>
    <dataValidation type="list" allowBlank="1" showErrorMessage="1" sqref="H2:H786">
      <formula1>"Pass,Fail,On-hold,NA"</formula1>
    </dataValidation>
    <dataValidation type="list" allowBlank="1" showErrorMessage="1" sqref="I1:I786">
      <formula1>"Yes,No"</formula1>
    </dataValidation>
    <dataValidation type="list" allowBlank="1" showErrorMessage="1" sqref="D1:D59 D93:D786">
      <formula1>"Functional,UI,Smoke,Regression,Integration"</formula1>
    </dataValidation>
    <dataValidation type="list" allowBlank="1" showErrorMessage="1" sqref="G163:G170">
      <formula1>"Pass,Fail,On-hold"</formula1>
    </dataValidation>
  </dataValidations>
  <hyperlinks>
    <hyperlink r:id="rId1" ref="F81"/>
    <hyperlink r:id="rId2" ref="G175"/>
    <hyperlink r:id="rId3" ref="F176"/>
    <hyperlink r:id="rId4" ref="F177"/>
  </hyperlinks>
  <printOptions/>
  <pageMargins bottom="0.75" footer="0.0" header="0.0" left="0.7" right="0.7" top="0.75"/>
  <pageSetup orientation="landscape"/>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25.75"/>
    <col customWidth="1" min="2" max="2" width="83.0"/>
  </cols>
  <sheetData>
    <row r="1">
      <c r="A1" s="103" t="s">
        <v>145</v>
      </c>
      <c r="B1" s="202" t="s">
        <v>30</v>
      </c>
      <c r="C1" s="56"/>
      <c r="D1" s="56"/>
      <c r="E1" s="56"/>
      <c r="F1" s="56"/>
      <c r="G1" s="56"/>
      <c r="H1" s="56"/>
      <c r="I1" s="56"/>
      <c r="J1" s="56"/>
      <c r="K1" s="56"/>
      <c r="L1" s="56"/>
      <c r="M1" s="56"/>
      <c r="N1" s="56"/>
      <c r="O1" s="56"/>
      <c r="P1" s="56"/>
      <c r="Q1" s="56"/>
      <c r="R1" s="56"/>
      <c r="S1" s="56"/>
      <c r="T1" s="56"/>
      <c r="U1" s="56"/>
      <c r="V1" s="56"/>
      <c r="W1" s="56"/>
      <c r="X1" s="56"/>
      <c r="Y1" s="56"/>
    </row>
    <row r="2">
      <c r="A2" s="203" t="s">
        <v>4086</v>
      </c>
      <c r="B2" s="155" t="s">
        <v>4087</v>
      </c>
      <c r="C2" s="56"/>
      <c r="D2" s="56"/>
      <c r="E2" s="56"/>
      <c r="F2" s="56"/>
      <c r="G2" s="56"/>
      <c r="H2" s="56"/>
      <c r="I2" s="56"/>
      <c r="J2" s="56"/>
      <c r="K2" s="56"/>
      <c r="L2" s="56"/>
      <c r="M2" s="56"/>
      <c r="N2" s="56"/>
      <c r="O2" s="56"/>
      <c r="P2" s="56"/>
      <c r="Q2" s="56"/>
      <c r="R2" s="56"/>
      <c r="S2" s="56"/>
      <c r="T2" s="56"/>
      <c r="U2" s="56"/>
      <c r="V2" s="56"/>
      <c r="W2" s="56"/>
      <c r="X2" s="56"/>
      <c r="Y2" s="56"/>
    </row>
    <row r="3">
      <c r="A3" s="108"/>
      <c r="B3" s="155" t="s">
        <v>4088</v>
      </c>
      <c r="C3" s="56"/>
      <c r="D3" s="56"/>
      <c r="E3" s="56"/>
      <c r="F3" s="56"/>
      <c r="G3" s="56"/>
      <c r="H3" s="56"/>
      <c r="I3" s="56"/>
      <c r="J3" s="56"/>
      <c r="K3" s="56"/>
      <c r="L3" s="56"/>
      <c r="M3" s="56"/>
      <c r="N3" s="56"/>
      <c r="O3" s="56"/>
      <c r="P3" s="56"/>
      <c r="Q3" s="56"/>
      <c r="R3" s="56"/>
      <c r="S3" s="56"/>
      <c r="T3" s="56"/>
      <c r="U3" s="56"/>
      <c r="V3" s="56"/>
      <c r="W3" s="56"/>
      <c r="X3" s="56"/>
      <c r="Y3" s="56"/>
    </row>
    <row r="4">
      <c r="A4" s="108"/>
      <c r="B4" s="155" t="s">
        <v>4089</v>
      </c>
      <c r="C4" s="56"/>
      <c r="D4" s="56"/>
      <c r="E4" s="56"/>
      <c r="F4" s="56"/>
      <c r="G4" s="56"/>
      <c r="H4" s="56"/>
      <c r="I4" s="56"/>
      <c r="J4" s="56"/>
      <c r="K4" s="56"/>
      <c r="L4" s="56"/>
      <c r="M4" s="56"/>
      <c r="N4" s="56"/>
      <c r="O4" s="56"/>
      <c r="P4" s="56"/>
      <c r="Q4" s="56"/>
      <c r="R4" s="56"/>
      <c r="S4" s="56"/>
      <c r="T4" s="56"/>
      <c r="U4" s="56"/>
      <c r="V4" s="56"/>
      <c r="W4" s="56"/>
      <c r="X4" s="56"/>
      <c r="Y4" s="56"/>
    </row>
    <row r="5">
      <c r="A5" s="108"/>
      <c r="B5" s="155" t="s">
        <v>4090</v>
      </c>
      <c r="C5" s="56"/>
      <c r="D5" s="56"/>
      <c r="E5" s="56"/>
      <c r="F5" s="56"/>
      <c r="G5" s="56"/>
      <c r="H5" s="56"/>
      <c r="I5" s="56"/>
      <c r="J5" s="56"/>
      <c r="K5" s="56"/>
      <c r="L5" s="56"/>
      <c r="M5" s="56"/>
      <c r="N5" s="56"/>
      <c r="O5" s="56"/>
      <c r="P5" s="56"/>
      <c r="Q5" s="56"/>
      <c r="R5" s="56"/>
      <c r="S5" s="56"/>
      <c r="T5" s="56"/>
      <c r="U5" s="56"/>
      <c r="V5" s="56"/>
      <c r="W5" s="56"/>
      <c r="X5" s="56"/>
      <c r="Y5" s="56"/>
    </row>
    <row r="6">
      <c r="A6" s="108"/>
      <c r="B6" s="155" t="s">
        <v>4091</v>
      </c>
      <c r="C6" s="56"/>
      <c r="D6" s="56"/>
      <c r="E6" s="56"/>
      <c r="F6" s="56"/>
      <c r="G6" s="56"/>
      <c r="H6" s="56"/>
      <c r="I6" s="56"/>
      <c r="J6" s="56"/>
      <c r="K6" s="56"/>
      <c r="L6" s="56"/>
      <c r="M6" s="56"/>
      <c r="N6" s="56"/>
      <c r="O6" s="56"/>
      <c r="P6" s="56"/>
      <c r="Q6" s="56"/>
      <c r="R6" s="56"/>
      <c r="S6" s="56"/>
      <c r="T6" s="56"/>
      <c r="U6" s="56"/>
      <c r="V6" s="56"/>
      <c r="W6" s="56"/>
      <c r="X6" s="56"/>
      <c r="Y6" s="56"/>
    </row>
    <row r="7">
      <c r="A7" s="108"/>
      <c r="B7" s="204" t="s">
        <v>4092</v>
      </c>
      <c r="C7" s="56"/>
      <c r="D7" s="56"/>
      <c r="E7" s="56"/>
      <c r="F7" s="56"/>
      <c r="G7" s="56"/>
      <c r="H7" s="56"/>
      <c r="I7" s="56"/>
      <c r="J7" s="56"/>
      <c r="K7" s="56"/>
      <c r="L7" s="56"/>
      <c r="M7" s="56"/>
      <c r="N7" s="56"/>
      <c r="O7" s="56"/>
      <c r="P7" s="56"/>
      <c r="Q7" s="56"/>
      <c r="R7" s="56"/>
      <c r="S7" s="56"/>
      <c r="T7" s="56"/>
      <c r="U7" s="56"/>
      <c r="V7" s="56"/>
      <c r="W7" s="56"/>
      <c r="X7" s="56"/>
      <c r="Y7" s="56"/>
    </row>
    <row r="8">
      <c r="A8" s="109"/>
      <c r="B8" s="155" t="s">
        <v>4093</v>
      </c>
      <c r="C8" s="56"/>
      <c r="D8" s="56"/>
      <c r="E8" s="56"/>
      <c r="F8" s="56"/>
      <c r="G8" s="56"/>
      <c r="H8" s="56"/>
      <c r="I8" s="56"/>
      <c r="J8" s="56"/>
      <c r="K8" s="56"/>
      <c r="L8" s="56"/>
      <c r="M8" s="56"/>
      <c r="N8" s="56"/>
      <c r="O8" s="56"/>
      <c r="P8" s="56"/>
      <c r="Q8" s="56"/>
      <c r="R8" s="56"/>
      <c r="S8" s="56"/>
      <c r="T8" s="56"/>
      <c r="U8" s="56"/>
      <c r="V8" s="56"/>
      <c r="W8" s="56"/>
      <c r="X8" s="56"/>
      <c r="Y8" s="56"/>
    </row>
    <row r="9">
      <c r="A9" s="203" t="s">
        <v>4094</v>
      </c>
      <c r="B9" s="155" t="s">
        <v>4095</v>
      </c>
      <c r="C9" s="56"/>
      <c r="D9" s="56"/>
      <c r="E9" s="56"/>
      <c r="F9" s="56"/>
      <c r="G9" s="56"/>
      <c r="H9" s="56"/>
      <c r="I9" s="56"/>
      <c r="J9" s="56"/>
      <c r="K9" s="56"/>
      <c r="L9" s="56"/>
      <c r="M9" s="56"/>
      <c r="N9" s="56"/>
      <c r="O9" s="56"/>
      <c r="P9" s="56"/>
      <c r="Q9" s="56"/>
      <c r="R9" s="56"/>
      <c r="S9" s="56"/>
      <c r="T9" s="56"/>
      <c r="U9" s="56"/>
      <c r="V9" s="56"/>
      <c r="W9" s="56"/>
      <c r="X9" s="56"/>
      <c r="Y9" s="56"/>
    </row>
    <row r="10">
      <c r="A10" s="108"/>
      <c r="B10" s="155" t="s">
        <v>4096</v>
      </c>
      <c r="C10" s="56"/>
      <c r="D10" s="56"/>
      <c r="E10" s="56"/>
      <c r="F10" s="56"/>
      <c r="G10" s="56"/>
      <c r="H10" s="56"/>
      <c r="I10" s="56"/>
      <c r="J10" s="56"/>
      <c r="K10" s="56"/>
      <c r="L10" s="56"/>
      <c r="M10" s="56"/>
      <c r="N10" s="56"/>
      <c r="O10" s="56"/>
      <c r="P10" s="56"/>
      <c r="Q10" s="56"/>
      <c r="R10" s="56"/>
      <c r="S10" s="56"/>
      <c r="T10" s="56"/>
      <c r="U10" s="56"/>
      <c r="V10" s="56"/>
      <c r="W10" s="56"/>
      <c r="X10" s="56"/>
      <c r="Y10" s="56"/>
    </row>
    <row r="11">
      <c r="A11" s="108"/>
      <c r="B11" s="155" t="s">
        <v>4097</v>
      </c>
      <c r="C11" s="56"/>
      <c r="D11" s="56"/>
      <c r="E11" s="56"/>
      <c r="F11" s="56"/>
      <c r="G11" s="56"/>
      <c r="H11" s="56"/>
      <c r="I11" s="56"/>
      <c r="J11" s="56"/>
      <c r="K11" s="56"/>
      <c r="L11" s="56"/>
      <c r="M11" s="56"/>
      <c r="N11" s="56"/>
      <c r="O11" s="56"/>
      <c r="P11" s="56"/>
      <c r="Q11" s="56"/>
      <c r="R11" s="56"/>
      <c r="S11" s="56"/>
      <c r="T11" s="56"/>
      <c r="U11" s="56"/>
      <c r="V11" s="56"/>
      <c r="W11" s="56"/>
      <c r="X11" s="56"/>
      <c r="Y11" s="56"/>
    </row>
    <row r="12">
      <c r="A12" s="109"/>
      <c r="B12" s="155" t="s">
        <v>4098</v>
      </c>
      <c r="C12" s="56"/>
      <c r="D12" s="56"/>
      <c r="E12" s="56"/>
      <c r="F12" s="56"/>
      <c r="G12" s="56"/>
      <c r="H12" s="56"/>
      <c r="I12" s="56"/>
      <c r="J12" s="56"/>
      <c r="K12" s="56"/>
      <c r="L12" s="56"/>
      <c r="M12" s="56"/>
      <c r="N12" s="56"/>
      <c r="O12" s="56"/>
      <c r="P12" s="56"/>
      <c r="Q12" s="56"/>
      <c r="R12" s="56"/>
      <c r="S12" s="56"/>
      <c r="T12" s="56"/>
      <c r="U12" s="56"/>
      <c r="V12" s="56"/>
      <c r="W12" s="56"/>
      <c r="X12" s="56"/>
      <c r="Y12" s="56"/>
    </row>
    <row r="13">
      <c r="A13" s="205" t="s">
        <v>4099</v>
      </c>
      <c r="B13" s="155" t="s">
        <v>4100</v>
      </c>
      <c r="C13" s="56"/>
      <c r="D13" s="56"/>
      <c r="E13" s="56"/>
      <c r="F13" s="56"/>
      <c r="G13" s="56"/>
      <c r="H13" s="56"/>
      <c r="I13" s="56"/>
      <c r="J13" s="56"/>
      <c r="K13" s="56"/>
      <c r="L13" s="56"/>
      <c r="M13" s="56"/>
      <c r="N13" s="56"/>
      <c r="O13" s="56"/>
      <c r="P13" s="56"/>
      <c r="Q13" s="56"/>
      <c r="R13" s="56"/>
      <c r="S13" s="56"/>
      <c r="T13" s="56"/>
      <c r="U13" s="56"/>
      <c r="V13" s="56"/>
      <c r="W13" s="56"/>
      <c r="X13" s="56"/>
      <c r="Y13" s="56"/>
    </row>
    <row r="14">
      <c r="A14" s="205" t="s">
        <v>4101</v>
      </c>
      <c r="B14" s="155" t="s">
        <v>4102</v>
      </c>
      <c r="C14" s="56"/>
      <c r="D14" s="56"/>
      <c r="E14" s="56"/>
      <c r="F14" s="56"/>
      <c r="G14" s="56"/>
      <c r="H14" s="56"/>
      <c r="I14" s="56"/>
      <c r="J14" s="56"/>
      <c r="K14" s="56"/>
      <c r="L14" s="56"/>
      <c r="M14" s="56"/>
      <c r="N14" s="56"/>
      <c r="O14" s="56"/>
      <c r="P14" s="56"/>
      <c r="Q14" s="56"/>
      <c r="R14" s="56"/>
      <c r="S14" s="56"/>
      <c r="T14" s="56"/>
      <c r="U14" s="56"/>
      <c r="V14" s="56"/>
      <c r="W14" s="56"/>
      <c r="X14" s="56"/>
      <c r="Y14" s="56"/>
    </row>
    <row r="15">
      <c r="A15" s="205" t="s">
        <v>4103</v>
      </c>
      <c r="B15" s="155" t="s">
        <v>4104</v>
      </c>
      <c r="C15" s="56"/>
      <c r="D15" s="56"/>
      <c r="E15" s="56"/>
      <c r="F15" s="56"/>
      <c r="G15" s="56"/>
      <c r="H15" s="56"/>
      <c r="I15" s="56"/>
      <c r="J15" s="56"/>
      <c r="K15" s="56"/>
      <c r="L15" s="56"/>
      <c r="M15" s="56"/>
      <c r="N15" s="56"/>
      <c r="O15" s="56"/>
      <c r="P15" s="56"/>
      <c r="Q15" s="56"/>
      <c r="R15" s="56"/>
      <c r="S15" s="56"/>
      <c r="T15" s="56"/>
      <c r="U15" s="56"/>
      <c r="V15" s="56"/>
      <c r="W15" s="56"/>
      <c r="X15" s="56"/>
      <c r="Y15" s="56"/>
    </row>
    <row r="16">
      <c r="A16" s="205" t="s">
        <v>4105</v>
      </c>
      <c r="B16" s="155" t="s">
        <v>4106</v>
      </c>
      <c r="C16" s="56"/>
      <c r="D16" s="56"/>
      <c r="E16" s="56"/>
      <c r="F16" s="56"/>
      <c r="G16" s="56"/>
      <c r="H16" s="56"/>
      <c r="I16" s="56"/>
      <c r="J16" s="56"/>
      <c r="K16" s="56"/>
      <c r="L16" s="56"/>
      <c r="M16" s="56"/>
      <c r="N16" s="56"/>
      <c r="O16" s="56"/>
      <c r="P16" s="56"/>
      <c r="Q16" s="56"/>
      <c r="R16" s="56"/>
      <c r="S16" s="56"/>
      <c r="T16" s="56"/>
      <c r="U16" s="56"/>
      <c r="V16" s="56"/>
      <c r="W16" s="56"/>
      <c r="X16" s="56"/>
      <c r="Y16" s="56"/>
    </row>
    <row r="17">
      <c r="A17" s="205" t="s">
        <v>4107</v>
      </c>
      <c r="B17" s="155" t="s">
        <v>4108</v>
      </c>
      <c r="C17" s="56"/>
      <c r="D17" s="56"/>
      <c r="E17" s="56"/>
      <c r="F17" s="56"/>
      <c r="G17" s="56"/>
      <c r="H17" s="56"/>
      <c r="I17" s="56"/>
      <c r="J17" s="56"/>
      <c r="K17" s="56"/>
      <c r="L17" s="56"/>
      <c r="M17" s="56"/>
      <c r="N17" s="56"/>
      <c r="O17" s="56"/>
      <c r="P17" s="56"/>
      <c r="Q17" s="56"/>
      <c r="R17" s="56"/>
      <c r="S17" s="56"/>
      <c r="T17" s="56"/>
      <c r="U17" s="56"/>
      <c r="V17" s="56"/>
      <c r="W17" s="56"/>
      <c r="X17" s="56"/>
      <c r="Y17" s="56"/>
    </row>
    <row r="18">
      <c r="A18" s="205" t="s">
        <v>4109</v>
      </c>
      <c r="B18" s="155" t="s">
        <v>4110</v>
      </c>
      <c r="C18" s="56"/>
      <c r="D18" s="56"/>
      <c r="E18" s="56"/>
      <c r="F18" s="56"/>
      <c r="G18" s="56"/>
      <c r="H18" s="56"/>
      <c r="I18" s="56"/>
      <c r="J18" s="56"/>
      <c r="K18" s="56"/>
      <c r="L18" s="56"/>
      <c r="M18" s="56"/>
      <c r="N18" s="56"/>
      <c r="O18" s="56"/>
      <c r="P18" s="56"/>
      <c r="Q18" s="56"/>
      <c r="R18" s="56"/>
      <c r="S18" s="56"/>
      <c r="T18" s="56"/>
      <c r="U18" s="56"/>
      <c r="V18" s="56"/>
      <c r="W18" s="56"/>
      <c r="X18" s="56"/>
      <c r="Y18" s="56"/>
    </row>
    <row r="19">
      <c r="A19" s="205"/>
      <c r="B19" s="155" t="s">
        <v>4111</v>
      </c>
      <c r="C19" s="56"/>
      <c r="D19" s="56"/>
      <c r="E19" s="56"/>
      <c r="F19" s="56"/>
      <c r="G19" s="56"/>
      <c r="H19" s="56"/>
      <c r="I19" s="56"/>
      <c r="J19" s="56"/>
      <c r="K19" s="56"/>
      <c r="L19" s="56"/>
      <c r="M19" s="56"/>
      <c r="N19" s="56"/>
      <c r="O19" s="56"/>
      <c r="P19" s="56"/>
      <c r="Q19" s="56"/>
      <c r="R19" s="56"/>
      <c r="S19" s="56"/>
      <c r="T19" s="56"/>
      <c r="U19" s="56"/>
      <c r="V19" s="56"/>
      <c r="W19" s="56"/>
      <c r="X19" s="56"/>
      <c r="Y19" s="56"/>
    </row>
    <row r="20">
      <c r="A20" s="205"/>
      <c r="B20" s="155" t="s">
        <v>4112</v>
      </c>
      <c r="C20" s="56"/>
      <c r="D20" s="56"/>
      <c r="E20" s="56"/>
      <c r="F20" s="56"/>
      <c r="G20" s="56"/>
      <c r="H20" s="56"/>
      <c r="I20" s="56"/>
      <c r="J20" s="56"/>
      <c r="K20" s="56"/>
      <c r="L20" s="56"/>
      <c r="M20" s="56"/>
      <c r="N20" s="56"/>
      <c r="O20" s="56"/>
      <c r="P20" s="56"/>
      <c r="Q20" s="56"/>
      <c r="R20" s="56"/>
      <c r="S20" s="56"/>
      <c r="T20" s="56"/>
      <c r="U20" s="56"/>
      <c r="V20" s="56"/>
      <c r="W20" s="56"/>
      <c r="X20" s="56"/>
      <c r="Y20" s="56"/>
    </row>
    <row r="21">
      <c r="A21" s="205" t="s">
        <v>4113</v>
      </c>
      <c r="B21" s="155" t="s">
        <v>4114</v>
      </c>
      <c r="C21" s="56"/>
      <c r="D21" s="56"/>
      <c r="E21" s="56"/>
      <c r="F21" s="56"/>
      <c r="G21" s="56"/>
      <c r="H21" s="56"/>
      <c r="I21" s="56"/>
      <c r="J21" s="56"/>
      <c r="K21" s="56"/>
      <c r="L21" s="56"/>
      <c r="M21" s="56"/>
      <c r="N21" s="56"/>
      <c r="O21" s="56"/>
      <c r="P21" s="56"/>
      <c r="Q21" s="56"/>
      <c r="R21" s="56"/>
      <c r="S21" s="56"/>
      <c r="T21" s="56"/>
      <c r="U21" s="56"/>
      <c r="V21" s="56"/>
      <c r="W21" s="56"/>
      <c r="X21" s="56"/>
      <c r="Y21" s="56"/>
    </row>
    <row r="22">
      <c r="A22" s="205" t="s">
        <v>4115</v>
      </c>
      <c r="B22" s="155" t="s">
        <v>4116</v>
      </c>
      <c r="C22" s="56"/>
      <c r="D22" s="56"/>
      <c r="E22" s="56"/>
      <c r="F22" s="56"/>
      <c r="G22" s="56"/>
      <c r="H22" s="56"/>
      <c r="I22" s="56"/>
      <c r="J22" s="56"/>
      <c r="K22" s="56"/>
      <c r="L22" s="56"/>
      <c r="M22" s="56"/>
      <c r="N22" s="56"/>
      <c r="O22" s="56"/>
      <c r="P22" s="56"/>
      <c r="Q22" s="56"/>
      <c r="R22" s="56"/>
      <c r="S22" s="56"/>
      <c r="T22" s="56"/>
      <c r="U22" s="56"/>
      <c r="V22" s="56"/>
      <c r="W22" s="56"/>
      <c r="X22" s="56"/>
      <c r="Y22" s="56"/>
    </row>
    <row r="23">
      <c r="A23" s="203" t="s">
        <v>4117</v>
      </c>
      <c r="B23" s="155" t="s">
        <v>4118</v>
      </c>
      <c r="C23" s="56"/>
      <c r="D23" s="56"/>
      <c r="E23" s="56"/>
      <c r="F23" s="56"/>
      <c r="G23" s="56"/>
      <c r="H23" s="56"/>
      <c r="I23" s="56"/>
      <c r="J23" s="56"/>
      <c r="K23" s="56"/>
      <c r="L23" s="56"/>
      <c r="M23" s="56"/>
      <c r="N23" s="56"/>
      <c r="O23" s="56"/>
      <c r="P23" s="56"/>
      <c r="Q23" s="56"/>
      <c r="R23" s="56"/>
      <c r="S23" s="56"/>
      <c r="T23" s="56"/>
      <c r="U23" s="56"/>
      <c r="V23" s="56"/>
      <c r="W23" s="56"/>
      <c r="X23" s="56"/>
      <c r="Y23" s="56"/>
    </row>
    <row r="24">
      <c r="A24" s="108"/>
      <c r="B24" s="155" t="s">
        <v>4119</v>
      </c>
      <c r="C24" s="56"/>
      <c r="D24" s="56"/>
      <c r="E24" s="56"/>
      <c r="F24" s="56"/>
      <c r="G24" s="56"/>
      <c r="H24" s="56"/>
      <c r="I24" s="56"/>
      <c r="J24" s="56"/>
      <c r="K24" s="56"/>
      <c r="L24" s="56"/>
      <c r="M24" s="56"/>
      <c r="N24" s="56"/>
      <c r="O24" s="56"/>
      <c r="P24" s="56"/>
      <c r="Q24" s="56"/>
      <c r="R24" s="56"/>
      <c r="S24" s="56"/>
      <c r="T24" s="56"/>
      <c r="U24" s="56"/>
      <c r="V24" s="56"/>
      <c r="W24" s="56"/>
      <c r="X24" s="56"/>
      <c r="Y24" s="56"/>
    </row>
    <row r="25">
      <c r="A25" s="108"/>
      <c r="B25" s="155" t="s">
        <v>4120</v>
      </c>
      <c r="C25" s="56"/>
      <c r="D25" s="56"/>
      <c r="E25" s="56"/>
      <c r="F25" s="56"/>
      <c r="G25" s="56"/>
      <c r="H25" s="56"/>
      <c r="I25" s="56"/>
      <c r="J25" s="56"/>
      <c r="K25" s="56"/>
      <c r="L25" s="56"/>
      <c r="M25" s="56"/>
      <c r="N25" s="56"/>
      <c r="O25" s="56"/>
      <c r="P25" s="56"/>
      <c r="Q25" s="56"/>
      <c r="R25" s="56"/>
      <c r="S25" s="56"/>
      <c r="T25" s="56"/>
      <c r="U25" s="56"/>
      <c r="V25" s="56"/>
      <c r="W25" s="56"/>
      <c r="X25" s="56"/>
      <c r="Y25" s="56"/>
    </row>
    <row r="26">
      <c r="A26" s="108"/>
      <c r="B26" s="155" t="s">
        <v>4121</v>
      </c>
      <c r="C26" s="56"/>
      <c r="D26" s="56"/>
      <c r="E26" s="56"/>
      <c r="F26" s="56"/>
      <c r="G26" s="56"/>
      <c r="H26" s="56"/>
      <c r="I26" s="56"/>
      <c r="J26" s="56"/>
      <c r="K26" s="56"/>
      <c r="L26" s="56"/>
      <c r="M26" s="56"/>
      <c r="N26" s="56"/>
      <c r="O26" s="56"/>
      <c r="P26" s="56"/>
      <c r="Q26" s="56"/>
      <c r="R26" s="56"/>
      <c r="S26" s="56"/>
      <c r="T26" s="56"/>
      <c r="U26" s="56"/>
      <c r="V26" s="56"/>
      <c r="W26" s="56"/>
      <c r="X26" s="56"/>
      <c r="Y26" s="56"/>
    </row>
    <row r="27">
      <c r="A27" s="108"/>
      <c r="B27" s="155" t="s">
        <v>4122</v>
      </c>
      <c r="C27" s="56"/>
      <c r="D27" s="56"/>
      <c r="E27" s="56"/>
      <c r="F27" s="56"/>
      <c r="G27" s="56"/>
      <c r="H27" s="56"/>
      <c r="I27" s="56"/>
      <c r="J27" s="56"/>
      <c r="K27" s="56"/>
      <c r="L27" s="56"/>
      <c r="M27" s="56"/>
      <c r="N27" s="56"/>
      <c r="O27" s="56"/>
      <c r="P27" s="56"/>
      <c r="Q27" s="56"/>
      <c r="R27" s="56"/>
      <c r="S27" s="56"/>
      <c r="T27" s="56"/>
      <c r="U27" s="56"/>
      <c r="V27" s="56"/>
      <c r="W27" s="56"/>
      <c r="X27" s="56"/>
      <c r="Y27" s="56"/>
    </row>
    <row r="28">
      <c r="A28" s="109"/>
      <c r="B28" s="155" t="s">
        <v>4123</v>
      </c>
      <c r="C28" s="56"/>
      <c r="D28" s="56"/>
      <c r="E28" s="56"/>
      <c r="F28" s="56"/>
      <c r="G28" s="56"/>
      <c r="H28" s="56"/>
      <c r="I28" s="56"/>
      <c r="J28" s="56"/>
      <c r="K28" s="56"/>
      <c r="L28" s="56"/>
      <c r="M28" s="56"/>
      <c r="N28" s="56"/>
      <c r="O28" s="56"/>
      <c r="P28" s="56"/>
      <c r="Q28" s="56"/>
      <c r="R28" s="56"/>
      <c r="S28" s="56"/>
      <c r="T28" s="56"/>
      <c r="U28" s="56"/>
      <c r="V28" s="56"/>
      <c r="W28" s="56"/>
      <c r="X28" s="56"/>
      <c r="Y28" s="56"/>
    </row>
    <row r="29">
      <c r="A29" s="203" t="s">
        <v>4124</v>
      </c>
      <c r="B29" s="155" t="s">
        <v>4125</v>
      </c>
      <c r="C29" s="56"/>
      <c r="D29" s="56"/>
      <c r="E29" s="56"/>
      <c r="F29" s="56"/>
      <c r="G29" s="56"/>
      <c r="H29" s="56"/>
      <c r="I29" s="56"/>
      <c r="J29" s="56"/>
      <c r="K29" s="56"/>
      <c r="L29" s="56"/>
      <c r="M29" s="56"/>
      <c r="N29" s="56"/>
      <c r="O29" s="56"/>
      <c r="P29" s="56"/>
      <c r="Q29" s="56"/>
      <c r="R29" s="56"/>
      <c r="S29" s="56"/>
      <c r="T29" s="56"/>
      <c r="U29" s="56"/>
      <c r="V29" s="56"/>
      <c r="W29" s="56"/>
      <c r="X29" s="56"/>
      <c r="Y29" s="56"/>
    </row>
    <row r="30">
      <c r="A30" s="108"/>
      <c r="B30" s="155" t="s">
        <v>4126</v>
      </c>
      <c r="C30" s="56"/>
      <c r="D30" s="56"/>
      <c r="E30" s="56"/>
      <c r="F30" s="56"/>
      <c r="G30" s="56"/>
      <c r="H30" s="56"/>
      <c r="I30" s="56"/>
      <c r="J30" s="56"/>
      <c r="K30" s="56"/>
      <c r="L30" s="56"/>
      <c r="M30" s="56"/>
      <c r="N30" s="56"/>
      <c r="O30" s="56"/>
      <c r="P30" s="56"/>
      <c r="Q30" s="56"/>
      <c r="R30" s="56"/>
      <c r="S30" s="56"/>
      <c r="T30" s="56"/>
      <c r="U30" s="56"/>
      <c r="V30" s="56"/>
      <c r="W30" s="56"/>
      <c r="X30" s="56"/>
      <c r="Y30" s="56"/>
    </row>
    <row r="31">
      <c r="A31" s="108"/>
      <c r="B31" s="155" t="s">
        <v>4127</v>
      </c>
      <c r="C31" s="56"/>
      <c r="D31" s="56"/>
      <c r="E31" s="56"/>
      <c r="F31" s="56"/>
      <c r="G31" s="56"/>
      <c r="H31" s="56"/>
      <c r="I31" s="56"/>
      <c r="J31" s="56"/>
      <c r="K31" s="56"/>
      <c r="L31" s="56"/>
      <c r="M31" s="56"/>
      <c r="N31" s="56"/>
      <c r="O31" s="56"/>
      <c r="P31" s="56"/>
      <c r="Q31" s="56"/>
      <c r="R31" s="56"/>
      <c r="S31" s="56"/>
      <c r="T31" s="56"/>
      <c r="U31" s="56"/>
      <c r="V31" s="56"/>
      <c r="W31" s="56"/>
      <c r="X31" s="56"/>
      <c r="Y31" s="56"/>
    </row>
    <row r="32">
      <c r="A32" s="108"/>
      <c r="B32" s="155" t="s">
        <v>4128</v>
      </c>
      <c r="C32" s="56"/>
      <c r="D32" s="56"/>
      <c r="E32" s="56"/>
      <c r="F32" s="56"/>
      <c r="G32" s="56"/>
      <c r="H32" s="56"/>
      <c r="I32" s="56"/>
      <c r="J32" s="56"/>
      <c r="K32" s="56"/>
      <c r="L32" s="56"/>
      <c r="M32" s="56"/>
      <c r="N32" s="56"/>
      <c r="O32" s="56"/>
      <c r="P32" s="56"/>
      <c r="Q32" s="56"/>
      <c r="R32" s="56"/>
      <c r="S32" s="56"/>
      <c r="T32" s="56"/>
      <c r="U32" s="56"/>
      <c r="V32" s="56"/>
      <c r="W32" s="56"/>
      <c r="X32" s="56"/>
      <c r="Y32" s="56"/>
    </row>
    <row r="33">
      <c r="A33" s="108"/>
      <c r="B33" s="155" t="s">
        <v>4129</v>
      </c>
      <c r="C33" s="56"/>
      <c r="D33" s="56"/>
      <c r="E33" s="56"/>
      <c r="F33" s="56"/>
      <c r="G33" s="56"/>
      <c r="H33" s="56"/>
      <c r="I33" s="56"/>
      <c r="J33" s="56"/>
      <c r="K33" s="56"/>
      <c r="L33" s="56"/>
      <c r="M33" s="56"/>
      <c r="N33" s="56"/>
      <c r="O33" s="56"/>
      <c r="P33" s="56"/>
      <c r="Q33" s="56"/>
      <c r="R33" s="56"/>
      <c r="S33" s="56"/>
      <c r="T33" s="56"/>
      <c r="U33" s="56"/>
      <c r="V33" s="56"/>
      <c r="W33" s="56"/>
      <c r="X33" s="56"/>
      <c r="Y33" s="56"/>
    </row>
    <row r="34">
      <c r="A34" s="108"/>
      <c r="B34" s="155" t="s">
        <v>4130</v>
      </c>
      <c r="C34" s="56"/>
      <c r="D34" s="56"/>
      <c r="E34" s="56"/>
      <c r="F34" s="56"/>
      <c r="G34" s="56"/>
      <c r="H34" s="56"/>
      <c r="I34" s="56"/>
      <c r="J34" s="56"/>
      <c r="K34" s="56"/>
      <c r="L34" s="56"/>
      <c r="M34" s="56"/>
      <c r="N34" s="56"/>
      <c r="O34" s="56"/>
      <c r="P34" s="56"/>
      <c r="Q34" s="56"/>
      <c r="R34" s="56"/>
      <c r="S34" s="56"/>
      <c r="T34" s="56"/>
      <c r="U34" s="56"/>
      <c r="V34" s="56"/>
      <c r="W34" s="56"/>
      <c r="X34" s="56"/>
      <c r="Y34" s="56"/>
    </row>
    <row r="35">
      <c r="A35" s="108"/>
      <c r="B35" s="155" t="s">
        <v>4131</v>
      </c>
      <c r="C35" s="56"/>
      <c r="D35" s="56"/>
      <c r="E35" s="56"/>
      <c r="F35" s="56"/>
      <c r="G35" s="56"/>
      <c r="H35" s="56"/>
      <c r="I35" s="56"/>
      <c r="J35" s="56"/>
      <c r="K35" s="56"/>
      <c r="L35" s="56"/>
      <c r="M35" s="56"/>
      <c r="N35" s="56"/>
      <c r="O35" s="56"/>
      <c r="P35" s="56"/>
      <c r="Q35" s="56"/>
      <c r="R35" s="56"/>
      <c r="S35" s="56"/>
      <c r="T35" s="56"/>
      <c r="U35" s="56"/>
      <c r="V35" s="56"/>
      <c r="W35" s="56"/>
      <c r="X35" s="56"/>
      <c r="Y35" s="56"/>
    </row>
    <row r="36">
      <c r="A36" s="109"/>
      <c r="B36" s="155" t="s">
        <v>4132</v>
      </c>
      <c r="C36" s="56"/>
      <c r="D36" s="56"/>
      <c r="E36" s="56"/>
      <c r="F36" s="56"/>
      <c r="G36" s="56"/>
      <c r="H36" s="56"/>
      <c r="I36" s="56"/>
      <c r="J36" s="56"/>
      <c r="K36" s="56"/>
      <c r="L36" s="56"/>
      <c r="M36" s="56"/>
      <c r="N36" s="56"/>
      <c r="O36" s="56"/>
      <c r="P36" s="56"/>
      <c r="Q36" s="56"/>
      <c r="R36" s="56"/>
      <c r="S36" s="56"/>
      <c r="T36" s="56"/>
      <c r="U36" s="56"/>
      <c r="V36" s="56"/>
      <c r="W36" s="56"/>
      <c r="X36" s="56"/>
      <c r="Y36" s="56"/>
    </row>
    <row r="37">
      <c r="A37" s="203" t="s">
        <v>4133</v>
      </c>
      <c r="B37" s="155" t="s">
        <v>4134</v>
      </c>
      <c r="C37" s="56"/>
      <c r="D37" s="56"/>
      <c r="E37" s="56"/>
      <c r="F37" s="56"/>
      <c r="G37" s="56"/>
      <c r="H37" s="56"/>
      <c r="I37" s="56"/>
      <c r="J37" s="56"/>
      <c r="K37" s="56"/>
      <c r="L37" s="56"/>
      <c r="M37" s="56"/>
      <c r="N37" s="56"/>
      <c r="O37" s="56"/>
      <c r="P37" s="56"/>
      <c r="Q37" s="56"/>
      <c r="R37" s="56"/>
      <c r="S37" s="56"/>
      <c r="T37" s="56"/>
      <c r="U37" s="56"/>
      <c r="V37" s="56"/>
      <c r="W37" s="56"/>
      <c r="X37" s="56"/>
      <c r="Y37" s="56"/>
    </row>
    <row r="38">
      <c r="A38" s="108"/>
      <c r="B38" s="155" t="s">
        <v>4135</v>
      </c>
      <c r="C38" s="56"/>
      <c r="D38" s="56"/>
      <c r="E38" s="56"/>
      <c r="F38" s="56"/>
      <c r="G38" s="56"/>
      <c r="H38" s="56"/>
      <c r="I38" s="56"/>
      <c r="J38" s="56"/>
      <c r="K38" s="56"/>
      <c r="L38" s="56"/>
      <c r="M38" s="56"/>
      <c r="N38" s="56"/>
      <c r="O38" s="56"/>
      <c r="P38" s="56"/>
      <c r="Q38" s="56"/>
      <c r="R38" s="56"/>
      <c r="S38" s="56"/>
      <c r="T38" s="56"/>
      <c r="U38" s="56"/>
      <c r="V38" s="56"/>
      <c r="W38" s="56"/>
      <c r="X38" s="56"/>
      <c r="Y38" s="56"/>
    </row>
    <row r="39">
      <c r="A39" s="108"/>
      <c r="B39" s="155" t="s">
        <v>4136</v>
      </c>
      <c r="C39" s="56"/>
      <c r="D39" s="56"/>
      <c r="E39" s="56"/>
      <c r="F39" s="56"/>
      <c r="G39" s="56"/>
      <c r="H39" s="56"/>
      <c r="I39" s="56"/>
      <c r="J39" s="56"/>
      <c r="K39" s="56"/>
      <c r="L39" s="56"/>
      <c r="M39" s="56"/>
      <c r="N39" s="56"/>
      <c r="O39" s="56"/>
      <c r="P39" s="56"/>
      <c r="Q39" s="56"/>
      <c r="R39" s="56"/>
      <c r="S39" s="56"/>
      <c r="T39" s="56"/>
      <c r="U39" s="56"/>
      <c r="V39" s="56"/>
      <c r="W39" s="56"/>
      <c r="X39" s="56"/>
      <c r="Y39" s="56"/>
    </row>
    <row r="40">
      <c r="A40" s="108"/>
      <c r="B40" s="155" t="s">
        <v>4137</v>
      </c>
      <c r="C40" s="56"/>
      <c r="D40" s="56"/>
      <c r="E40" s="56"/>
      <c r="F40" s="56"/>
      <c r="G40" s="56"/>
      <c r="H40" s="56"/>
      <c r="I40" s="56"/>
      <c r="J40" s="56"/>
      <c r="K40" s="56"/>
      <c r="L40" s="56"/>
      <c r="M40" s="56"/>
      <c r="N40" s="56"/>
      <c r="O40" s="56"/>
      <c r="P40" s="56"/>
      <c r="Q40" s="56"/>
      <c r="R40" s="56"/>
      <c r="S40" s="56"/>
      <c r="T40" s="56"/>
      <c r="U40" s="56"/>
      <c r="V40" s="56"/>
      <c r="W40" s="56"/>
      <c r="X40" s="56"/>
      <c r="Y40" s="56"/>
    </row>
    <row r="41">
      <c r="A41" s="108"/>
      <c r="B41" s="155" t="s">
        <v>4138</v>
      </c>
      <c r="C41" s="56"/>
      <c r="D41" s="56"/>
      <c r="E41" s="56"/>
      <c r="F41" s="56"/>
      <c r="G41" s="56"/>
      <c r="H41" s="56"/>
      <c r="I41" s="56"/>
      <c r="J41" s="56"/>
      <c r="K41" s="56"/>
      <c r="L41" s="56"/>
      <c r="M41" s="56"/>
      <c r="N41" s="56"/>
      <c r="O41" s="56"/>
      <c r="P41" s="56"/>
      <c r="Q41" s="56"/>
      <c r="R41" s="56"/>
      <c r="S41" s="56"/>
      <c r="T41" s="56"/>
      <c r="U41" s="56"/>
      <c r="V41" s="56"/>
      <c r="W41" s="56"/>
      <c r="X41" s="56"/>
      <c r="Y41" s="56"/>
    </row>
    <row r="42">
      <c r="A42" s="108"/>
      <c r="B42" s="155" t="s">
        <v>4139</v>
      </c>
      <c r="C42" s="56"/>
      <c r="D42" s="56"/>
      <c r="E42" s="56"/>
      <c r="F42" s="56"/>
      <c r="G42" s="56"/>
      <c r="H42" s="56"/>
      <c r="I42" s="56"/>
      <c r="J42" s="56"/>
      <c r="K42" s="56"/>
      <c r="L42" s="56"/>
      <c r="M42" s="56"/>
      <c r="N42" s="56"/>
      <c r="O42" s="56"/>
      <c r="P42" s="56"/>
      <c r="Q42" s="56"/>
      <c r="R42" s="56"/>
      <c r="S42" s="56"/>
      <c r="T42" s="56"/>
      <c r="U42" s="56"/>
      <c r="V42" s="56"/>
      <c r="W42" s="56"/>
      <c r="X42" s="56"/>
      <c r="Y42" s="56"/>
    </row>
    <row r="43">
      <c r="A43" s="108"/>
      <c r="B43" s="155" t="s">
        <v>4140</v>
      </c>
      <c r="C43" s="56"/>
      <c r="D43" s="56"/>
      <c r="E43" s="56"/>
      <c r="F43" s="56"/>
      <c r="G43" s="56"/>
      <c r="H43" s="56"/>
      <c r="I43" s="56"/>
      <c r="J43" s="56"/>
      <c r="K43" s="56"/>
      <c r="L43" s="56"/>
      <c r="M43" s="56"/>
      <c r="N43" s="56"/>
      <c r="O43" s="56"/>
      <c r="P43" s="56"/>
      <c r="Q43" s="56"/>
      <c r="R43" s="56"/>
      <c r="S43" s="56"/>
      <c r="T43" s="56"/>
      <c r="U43" s="56"/>
      <c r="V43" s="56"/>
      <c r="W43" s="56"/>
      <c r="X43" s="56"/>
      <c r="Y43" s="56"/>
    </row>
    <row r="44">
      <c r="A44" s="108"/>
      <c r="B44" s="155" t="s">
        <v>4141</v>
      </c>
      <c r="C44" s="56"/>
      <c r="D44" s="56"/>
      <c r="E44" s="56"/>
      <c r="F44" s="56"/>
      <c r="G44" s="56"/>
      <c r="H44" s="56"/>
      <c r="I44" s="56"/>
      <c r="J44" s="56"/>
      <c r="K44" s="56"/>
      <c r="L44" s="56"/>
      <c r="M44" s="56"/>
      <c r="N44" s="56"/>
      <c r="O44" s="56"/>
      <c r="P44" s="56"/>
      <c r="Q44" s="56"/>
      <c r="R44" s="56"/>
      <c r="S44" s="56"/>
      <c r="T44" s="56"/>
      <c r="U44" s="56"/>
      <c r="V44" s="56"/>
      <c r="W44" s="56"/>
      <c r="X44" s="56"/>
      <c r="Y44" s="56"/>
    </row>
    <row r="45">
      <c r="A45" s="108"/>
      <c r="B45" s="155" t="s">
        <v>4142</v>
      </c>
      <c r="C45" s="56"/>
      <c r="D45" s="56"/>
      <c r="E45" s="56"/>
      <c r="F45" s="56"/>
      <c r="G45" s="56"/>
      <c r="H45" s="56"/>
      <c r="I45" s="56"/>
      <c r="J45" s="56"/>
      <c r="K45" s="56"/>
      <c r="L45" s="56"/>
      <c r="M45" s="56"/>
      <c r="N45" s="56"/>
      <c r="O45" s="56"/>
      <c r="P45" s="56"/>
      <c r="Q45" s="56"/>
      <c r="R45" s="56"/>
      <c r="S45" s="56"/>
      <c r="T45" s="56"/>
      <c r="U45" s="56"/>
      <c r="V45" s="56"/>
      <c r="W45" s="56"/>
      <c r="X45" s="56"/>
      <c r="Y45" s="56"/>
    </row>
    <row r="46">
      <c r="A46" s="108"/>
      <c r="B46" s="206" t="s">
        <v>4143</v>
      </c>
      <c r="C46" s="56"/>
      <c r="D46" s="56"/>
      <c r="E46" s="56"/>
      <c r="F46" s="56"/>
      <c r="G46" s="56"/>
      <c r="H46" s="56"/>
      <c r="I46" s="56"/>
      <c r="J46" s="56"/>
      <c r="K46" s="56"/>
      <c r="L46" s="56"/>
      <c r="M46" s="56"/>
      <c r="N46" s="56"/>
      <c r="O46" s="56"/>
      <c r="P46" s="56"/>
      <c r="Q46" s="56"/>
      <c r="R46" s="56"/>
      <c r="S46" s="56"/>
      <c r="T46" s="56"/>
      <c r="U46" s="56"/>
      <c r="V46" s="56"/>
      <c r="W46" s="56"/>
      <c r="X46" s="56"/>
      <c r="Y46" s="56"/>
    </row>
    <row r="47">
      <c r="A47" s="108"/>
      <c r="B47" s="155" t="s">
        <v>4144</v>
      </c>
      <c r="C47" s="56"/>
      <c r="D47" s="56"/>
      <c r="E47" s="56"/>
      <c r="F47" s="56"/>
      <c r="G47" s="56"/>
      <c r="H47" s="56"/>
      <c r="I47" s="56"/>
      <c r="J47" s="56"/>
      <c r="K47" s="56"/>
      <c r="L47" s="56"/>
      <c r="M47" s="56"/>
      <c r="N47" s="56"/>
      <c r="O47" s="56"/>
      <c r="P47" s="56"/>
      <c r="Q47" s="56"/>
      <c r="R47" s="56"/>
      <c r="S47" s="56"/>
      <c r="T47" s="56"/>
      <c r="U47" s="56"/>
      <c r="V47" s="56"/>
      <c r="W47" s="56"/>
      <c r="X47" s="56"/>
      <c r="Y47" s="56"/>
    </row>
    <row r="48">
      <c r="A48" s="109"/>
      <c r="B48" s="206" t="s">
        <v>4145</v>
      </c>
      <c r="C48" s="56"/>
      <c r="D48" s="56"/>
      <c r="E48" s="56"/>
      <c r="F48" s="56"/>
      <c r="G48" s="56"/>
      <c r="H48" s="56"/>
      <c r="I48" s="56"/>
      <c r="J48" s="56"/>
      <c r="K48" s="56"/>
      <c r="L48" s="56"/>
      <c r="M48" s="56"/>
      <c r="N48" s="56"/>
      <c r="O48" s="56"/>
      <c r="P48" s="56"/>
      <c r="Q48" s="56"/>
      <c r="R48" s="56"/>
      <c r="S48" s="56"/>
      <c r="T48" s="56"/>
      <c r="U48" s="56"/>
      <c r="V48" s="56"/>
      <c r="W48" s="56"/>
      <c r="X48" s="56"/>
      <c r="Y48" s="56"/>
    </row>
    <row r="49">
      <c r="A49" s="205" t="s">
        <v>4146</v>
      </c>
      <c r="B49" s="155" t="s">
        <v>4147</v>
      </c>
      <c r="C49" s="56"/>
      <c r="D49" s="56"/>
      <c r="E49" s="56"/>
      <c r="F49" s="56"/>
      <c r="G49" s="56"/>
      <c r="H49" s="56"/>
      <c r="I49" s="56"/>
      <c r="J49" s="56"/>
      <c r="K49" s="56"/>
      <c r="L49" s="56"/>
      <c r="M49" s="56"/>
      <c r="N49" s="56"/>
      <c r="O49" s="56"/>
      <c r="P49" s="56"/>
      <c r="Q49" s="56"/>
      <c r="R49" s="56"/>
      <c r="S49" s="56"/>
      <c r="T49" s="56"/>
      <c r="U49" s="56"/>
      <c r="V49" s="56"/>
      <c r="W49" s="56"/>
      <c r="X49" s="56"/>
      <c r="Y49" s="56"/>
    </row>
    <row r="50">
      <c r="A50" s="207"/>
      <c r="B50" s="56"/>
      <c r="C50" s="56"/>
      <c r="D50" s="56"/>
      <c r="E50" s="56"/>
      <c r="F50" s="56"/>
      <c r="G50" s="56"/>
      <c r="H50" s="56"/>
      <c r="I50" s="56"/>
      <c r="J50" s="56"/>
      <c r="K50" s="56"/>
      <c r="L50" s="56"/>
      <c r="M50" s="56"/>
      <c r="N50" s="56"/>
      <c r="O50" s="56"/>
      <c r="P50" s="56"/>
      <c r="Q50" s="56"/>
      <c r="R50" s="56"/>
      <c r="S50" s="56"/>
      <c r="T50" s="56"/>
      <c r="U50" s="56"/>
      <c r="V50" s="56"/>
      <c r="W50" s="56"/>
      <c r="X50" s="56"/>
      <c r="Y50" s="56"/>
    </row>
    <row r="51">
      <c r="A51" s="207"/>
      <c r="B51" s="56"/>
      <c r="C51" s="56"/>
      <c r="D51" s="56"/>
      <c r="E51" s="56"/>
      <c r="F51" s="56"/>
      <c r="G51" s="56"/>
      <c r="H51" s="56"/>
      <c r="I51" s="56"/>
      <c r="J51" s="56"/>
      <c r="K51" s="56"/>
      <c r="L51" s="56"/>
      <c r="M51" s="56"/>
      <c r="N51" s="56"/>
      <c r="O51" s="56"/>
      <c r="P51" s="56"/>
      <c r="Q51" s="56"/>
      <c r="R51" s="56"/>
      <c r="S51" s="56"/>
      <c r="T51" s="56"/>
      <c r="U51" s="56"/>
      <c r="V51" s="56"/>
      <c r="W51" s="56"/>
      <c r="X51" s="56"/>
      <c r="Y51" s="56"/>
    </row>
    <row r="52">
      <c r="A52" s="207"/>
      <c r="B52" s="56"/>
      <c r="C52" s="56"/>
      <c r="D52" s="56"/>
      <c r="E52" s="56"/>
      <c r="F52" s="56"/>
      <c r="G52" s="56"/>
      <c r="H52" s="56"/>
      <c r="I52" s="56"/>
      <c r="J52" s="56"/>
      <c r="K52" s="56"/>
      <c r="L52" s="56"/>
      <c r="M52" s="56"/>
      <c r="N52" s="56"/>
      <c r="O52" s="56"/>
      <c r="P52" s="56"/>
      <c r="Q52" s="56"/>
      <c r="R52" s="56"/>
      <c r="S52" s="56"/>
      <c r="T52" s="56"/>
      <c r="U52" s="56"/>
      <c r="V52" s="56"/>
      <c r="W52" s="56"/>
      <c r="X52" s="56"/>
      <c r="Y52" s="56"/>
    </row>
    <row r="53">
      <c r="A53" s="207"/>
      <c r="B53" s="56"/>
      <c r="C53" s="56"/>
      <c r="D53" s="56"/>
      <c r="E53" s="56"/>
      <c r="F53" s="56"/>
      <c r="G53" s="56"/>
      <c r="H53" s="56"/>
      <c r="I53" s="56"/>
      <c r="J53" s="56"/>
      <c r="K53" s="56"/>
      <c r="L53" s="56"/>
      <c r="M53" s="56"/>
      <c r="N53" s="56"/>
      <c r="O53" s="56"/>
      <c r="P53" s="56"/>
      <c r="Q53" s="56"/>
      <c r="R53" s="56"/>
      <c r="S53" s="56"/>
      <c r="T53" s="56"/>
      <c r="U53" s="56"/>
      <c r="V53" s="56"/>
      <c r="W53" s="56"/>
      <c r="X53" s="56"/>
      <c r="Y53" s="56"/>
    </row>
    <row r="54">
      <c r="A54" s="207"/>
      <c r="B54" s="56"/>
      <c r="C54" s="56"/>
      <c r="D54" s="56"/>
      <c r="E54" s="56"/>
      <c r="F54" s="56"/>
      <c r="G54" s="56"/>
      <c r="H54" s="56"/>
      <c r="I54" s="56"/>
      <c r="J54" s="56"/>
      <c r="K54" s="56"/>
      <c r="L54" s="56"/>
      <c r="M54" s="56"/>
      <c r="N54" s="56"/>
      <c r="O54" s="56"/>
      <c r="P54" s="56"/>
      <c r="Q54" s="56"/>
      <c r="R54" s="56"/>
      <c r="S54" s="56"/>
      <c r="T54" s="56"/>
      <c r="U54" s="56"/>
      <c r="V54" s="56"/>
      <c r="W54" s="56"/>
      <c r="X54" s="56"/>
      <c r="Y54" s="56"/>
    </row>
    <row r="55">
      <c r="A55" s="207"/>
      <c r="B55" s="56"/>
      <c r="C55" s="56"/>
      <c r="D55" s="56"/>
      <c r="E55" s="56"/>
      <c r="F55" s="56"/>
      <c r="G55" s="56"/>
      <c r="H55" s="56"/>
      <c r="I55" s="56"/>
      <c r="J55" s="56"/>
      <c r="K55" s="56"/>
      <c r="L55" s="56"/>
      <c r="M55" s="56"/>
      <c r="N55" s="56"/>
      <c r="O55" s="56"/>
      <c r="P55" s="56"/>
      <c r="Q55" s="56"/>
      <c r="R55" s="56"/>
      <c r="S55" s="56"/>
      <c r="T55" s="56"/>
      <c r="U55" s="56"/>
      <c r="V55" s="56"/>
      <c r="W55" s="56"/>
      <c r="X55" s="56"/>
      <c r="Y55" s="56"/>
    </row>
    <row r="56">
      <c r="A56" s="207"/>
      <c r="B56" s="56"/>
      <c r="C56" s="56"/>
      <c r="D56" s="56"/>
      <c r="E56" s="56"/>
      <c r="F56" s="56"/>
      <c r="G56" s="56"/>
      <c r="H56" s="56"/>
      <c r="I56" s="56"/>
      <c r="J56" s="56"/>
      <c r="K56" s="56"/>
      <c r="L56" s="56"/>
      <c r="M56" s="56"/>
      <c r="N56" s="56"/>
      <c r="O56" s="56"/>
      <c r="P56" s="56"/>
      <c r="Q56" s="56"/>
      <c r="R56" s="56"/>
      <c r="S56" s="56"/>
      <c r="T56" s="56"/>
      <c r="U56" s="56"/>
      <c r="V56" s="56"/>
      <c r="W56" s="56"/>
      <c r="X56" s="56"/>
      <c r="Y56" s="56"/>
    </row>
    <row r="57">
      <c r="A57" s="207"/>
      <c r="B57" s="56"/>
      <c r="C57" s="56"/>
      <c r="D57" s="56"/>
      <c r="E57" s="56"/>
      <c r="F57" s="56"/>
      <c r="G57" s="56"/>
      <c r="H57" s="56"/>
      <c r="I57" s="56"/>
      <c r="J57" s="56"/>
      <c r="K57" s="56"/>
      <c r="L57" s="56"/>
      <c r="M57" s="56"/>
      <c r="N57" s="56"/>
      <c r="O57" s="56"/>
      <c r="P57" s="56"/>
      <c r="Q57" s="56"/>
      <c r="R57" s="56"/>
      <c r="S57" s="56"/>
      <c r="T57" s="56"/>
      <c r="U57" s="56"/>
      <c r="V57" s="56"/>
      <c r="W57" s="56"/>
      <c r="X57" s="56"/>
      <c r="Y57" s="56"/>
    </row>
    <row r="58">
      <c r="A58" s="207"/>
      <c r="B58" s="56"/>
      <c r="C58" s="56"/>
      <c r="D58" s="56"/>
      <c r="E58" s="56"/>
      <c r="F58" s="56"/>
      <c r="G58" s="56"/>
      <c r="H58" s="56"/>
      <c r="I58" s="56"/>
      <c r="J58" s="56"/>
      <c r="K58" s="56"/>
      <c r="L58" s="56"/>
      <c r="M58" s="56"/>
      <c r="N58" s="56"/>
      <c r="O58" s="56"/>
      <c r="P58" s="56"/>
      <c r="Q58" s="56"/>
      <c r="R58" s="56"/>
      <c r="S58" s="56"/>
      <c r="T58" s="56"/>
      <c r="U58" s="56"/>
      <c r="V58" s="56"/>
      <c r="W58" s="56"/>
      <c r="X58" s="56"/>
      <c r="Y58" s="56"/>
    </row>
    <row r="59">
      <c r="A59" s="207"/>
      <c r="B59" s="56"/>
      <c r="C59" s="56"/>
      <c r="D59" s="56"/>
      <c r="E59" s="56"/>
      <c r="F59" s="56"/>
      <c r="G59" s="56"/>
      <c r="H59" s="56"/>
      <c r="I59" s="56"/>
      <c r="J59" s="56"/>
      <c r="K59" s="56"/>
      <c r="L59" s="56"/>
      <c r="M59" s="56"/>
      <c r="N59" s="56"/>
      <c r="O59" s="56"/>
      <c r="P59" s="56"/>
      <c r="Q59" s="56"/>
      <c r="R59" s="56"/>
      <c r="S59" s="56"/>
      <c r="T59" s="56"/>
      <c r="U59" s="56"/>
      <c r="V59" s="56"/>
      <c r="W59" s="56"/>
      <c r="X59" s="56"/>
      <c r="Y59" s="56"/>
    </row>
    <row r="60">
      <c r="A60" s="207"/>
      <c r="B60" s="56"/>
      <c r="C60" s="56"/>
      <c r="D60" s="56"/>
      <c r="E60" s="56"/>
      <c r="F60" s="56"/>
      <c r="G60" s="56"/>
      <c r="H60" s="56"/>
      <c r="I60" s="56"/>
      <c r="J60" s="56"/>
      <c r="K60" s="56"/>
      <c r="L60" s="56"/>
      <c r="M60" s="56"/>
      <c r="N60" s="56"/>
      <c r="O60" s="56"/>
      <c r="P60" s="56"/>
      <c r="Q60" s="56"/>
      <c r="R60" s="56"/>
      <c r="S60" s="56"/>
      <c r="T60" s="56"/>
      <c r="U60" s="56"/>
      <c r="V60" s="56"/>
      <c r="W60" s="56"/>
      <c r="X60" s="56"/>
      <c r="Y60" s="56"/>
    </row>
    <row r="61">
      <c r="A61" s="207"/>
      <c r="B61" s="56"/>
      <c r="C61" s="56"/>
      <c r="D61" s="56"/>
      <c r="E61" s="56"/>
      <c r="F61" s="56"/>
      <c r="G61" s="56"/>
      <c r="H61" s="56"/>
      <c r="I61" s="56"/>
      <c r="J61" s="56"/>
      <c r="K61" s="56"/>
      <c r="L61" s="56"/>
      <c r="M61" s="56"/>
      <c r="N61" s="56"/>
      <c r="O61" s="56"/>
      <c r="P61" s="56"/>
      <c r="Q61" s="56"/>
      <c r="R61" s="56"/>
      <c r="S61" s="56"/>
      <c r="T61" s="56"/>
      <c r="U61" s="56"/>
      <c r="V61" s="56"/>
      <c r="W61" s="56"/>
      <c r="X61" s="56"/>
      <c r="Y61" s="56"/>
    </row>
    <row r="62">
      <c r="A62" s="207"/>
      <c r="B62" s="56"/>
      <c r="C62" s="56"/>
      <c r="D62" s="56"/>
      <c r="E62" s="56"/>
      <c r="F62" s="56"/>
      <c r="G62" s="56"/>
      <c r="H62" s="56"/>
      <c r="I62" s="56"/>
      <c r="J62" s="56"/>
      <c r="K62" s="56"/>
      <c r="L62" s="56"/>
      <c r="M62" s="56"/>
      <c r="N62" s="56"/>
      <c r="O62" s="56"/>
      <c r="P62" s="56"/>
      <c r="Q62" s="56"/>
      <c r="R62" s="56"/>
      <c r="S62" s="56"/>
      <c r="T62" s="56"/>
      <c r="U62" s="56"/>
      <c r="V62" s="56"/>
      <c r="W62" s="56"/>
      <c r="X62" s="56"/>
      <c r="Y62" s="56"/>
    </row>
    <row r="63">
      <c r="A63" s="207"/>
      <c r="B63" s="56"/>
      <c r="C63" s="56"/>
      <c r="D63" s="56"/>
      <c r="E63" s="56"/>
      <c r="F63" s="56"/>
      <c r="G63" s="56"/>
      <c r="H63" s="56"/>
      <c r="I63" s="56"/>
      <c r="J63" s="56"/>
      <c r="K63" s="56"/>
      <c r="L63" s="56"/>
      <c r="M63" s="56"/>
      <c r="N63" s="56"/>
      <c r="O63" s="56"/>
      <c r="P63" s="56"/>
      <c r="Q63" s="56"/>
      <c r="R63" s="56"/>
      <c r="S63" s="56"/>
      <c r="T63" s="56"/>
      <c r="U63" s="56"/>
      <c r="V63" s="56"/>
      <c r="W63" s="56"/>
      <c r="X63" s="56"/>
      <c r="Y63" s="56"/>
    </row>
    <row r="64">
      <c r="A64" s="207"/>
      <c r="B64" s="56"/>
      <c r="C64" s="56"/>
      <c r="D64" s="56"/>
      <c r="E64" s="56"/>
      <c r="F64" s="56"/>
      <c r="G64" s="56"/>
      <c r="H64" s="56"/>
      <c r="I64" s="56"/>
      <c r="J64" s="56"/>
      <c r="K64" s="56"/>
      <c r="L64" s="56"/>
      <c r="M64" s="56"/>
      <c r="N64" s="56"/>
      <c r="O64" s="56"/>
      <c r="P64" s="56"/>
      <c r="Q64" s="56"/>
      <c r="R64" s="56"/>
      <c r="S64" s="56"/>
      <c r="T64" s="56"/>
      <c r="U64" s="56"/>
      <c r="V64" s="56"/>
      <c r="W64" s="56"/>
      <c r="X64" s="56"/>
      <c r="Y64" s="56"/>
    </row>
    <row r="65">
      <c r="A65" s="207"/>
      <c r="B65" s="56"/>
      <c r="C65" s="56"/>
      <c r="D65" s="56"/>
      <c r="E65" s="56"/>
      <c r="F65" s="56"/>
      <c r="G65" s="56"/>
      <c r="H65" s="56"/>
      <c r="I65" s="56"/>
      <c r="J65" s="56"/>
      <c r="K65" s="56"/>
      <c r="L65" s="56"/>
      <c r="M65" s="56"/>
      <c r="N65" s="56"/>
      <c r="O65" s="56"/>
      <c r="P65" s="56"/>
      <c r="Q65" s="56"/>
      <c r="R65" s="56"/>
      <c r="S65" s="56"/>
      <c r="T65" s="56"/>
      <c r="U65" s="56"/>
      <c r="V65" s="56"/>
      <c r="W65" s="56"/>
      <c r="X65" s="56"/>
      <c r="Y65" s="56"/>
    </row>
    <row r="66">
      <c r="A66" s="207"/>
      <c r="B66" s="56"/>
      <c r="C66" s="56"/>
      <c r="D66" s="56"/>
      <c r="E66" s="56"/>
      <c r="F66" s="56"/>
      <c r="G66" s="56"/>
      <c r="H66" s="56"/>
      <c r="I66" s="56"/>
      <c r="J66" s="56"/>
      <c r="K66" s="56"/>
      <c r="L66" s="56"/>
      <c r="M66" s="56"/>
      <c r="N66" s="56"/>
      <c r="O66" s="56"/>
      <c r="P66" s="56"/>
      <c r="Q66" s="56"/>
      <c r="R66" s="56"/>
      <c r="S66" s="56"/>
      <c r="T66" s="56"/>
      <c r="U66" s="56"/>
      <c r="V66" s="56"/>
      <c r="W66" s="56"/>
      <c r="X66" s="56"/>
      <c r="Y66" s="56"/>
    </row>
    <row r="67">
      <c r="A67" s="207"/>
      <c r="B67" s="56"/>
      <c r="C67" s="56"/>
      <c r="D67" s="56"/>
      <c r="E67" s="56"/>
      <c r="F67" s="56"/>
      <c r="G67" s="56"/>
      <c r="H67" s="56"/>
      <c r="I67" s="56"/>
      <c r="J67" s="56"/>
      <c r="K67" s="56"/>
      <c r="L67" s="56"/>
      <c r="M67" s="56"/>
      <c r="N67" s="56"/>
      <c r="O67" s="56"/>
      <c r="P67" s="56"/>
      <c r="Q67" s="56"/>
      <c r="R67" s="56"/>
      <c r="S67" s="56"/>
      <c r="T67" s="56"/>
      <c r="U67" s="56"/>
      <c r="V67" s="56"/>
      <c r="W67" s="56"/>
      <c r="X67" s="56"/>
      <c r="Y67" s="56"/>
    </row>
    <row r="68">
      <c r="A68" s="207"/>
      <c r="B68" s="56"/>
      <c r="C68" s="56"/>
      <c r="D68" s="56"/>
      <c r="E68" s="56"/>
      <c r="F68" s="56"/>
      <c r="G68" s="56"/>
      <c r="H68" s="56"/>
      <c r="I68" s="56"/>
      <c r="J68" s="56"/>
      <c r="K68" s="56"/>
      <c r="L68" s="56"/>
      <c r="M68" s="56"/>
      <c r="N68" s="56"/>
      <c r="O68" s="56"/>
      <c r="P68" s="56"/>
      <c r="Q68" s="56"/>
      <c r="R68" s="56"/>
      <c r="S68" s="56"/>
      <c r="T68" s="56"/>
      <c r="U68" s="56"/>
      <c r="V68" s="56"/>
      <c r="W68" s="56"/>
      <c r="X68" s="56"/>
      <c r="Y68" s="56"/>
    </row>
    <row r="69">
      <c r="A69" s="207"/>
      <c r="B69" s="56"/>
      <c r="C69" s="56"/>
      <c r="D69" s="56"/>
      <c r="E69" s="56"/>
      <c r="F69" s="56"/>
      <c r="G69" s="56"/>
      <c r="H69" s="56"/>
      <c r="I69" s="56"/>
      <c r="J69" s="56"/>
      <c r="K69" s="56"/>
      <c r="L69" s="56"/>
      <c r="M69" s="56"/>
      <c r="N69" s="56"/>
      <c r="O69" s="56"/>
      <c r="P69" s="56"/>
      <c r="Q69" s="56"/>
      <c r="R69" s="56"/>
      <c r="S69" s="56"/>
      <c r="T69" s="56"/>
      <c r="U69" s="56"/>
      <c r="V69" s="56"/>
      <c r="W69" s="56"/>
      <c r="X69" s="56"/>
      <c r="Y69" s="56"/>
    </row>
    <row r="70">
      <c r="A70" s="207"/>
      <c r="B70" s="56"/>
      <c r="C70" s="56"/>
      <c r="D70" s="56"/>
      <c r="E70" s="56"/>
      <c r="F70" s="56"/>
      <c r="G70" s="56"/>
      <c r="H70" s="56"/>
      <c r="I70" s="56"/>
      <c r="J70" s="56"/>
      <c r="K70" s="56"/>
      <c r="L70" s="56"/>
      <c r="M70" s="56"/>
      <c r="N70" s="56"/>
      <c r="O70" s="56"/>
      <c r="P70" s="56"/>
      <c r="Q70" s="56"/>
      <c r="R70" s="56"/>
      <c r="S70" s="56"/>
      <c r="T70" s="56"/>
      <c r="U70" s="56"/>
      <c r="V70" s="56"/>
      <c r="W70" s="56"/>
      <c r="X70" s="56"/>
      <c r="Y70" s="56"/>
    </row>
    <row r="71">
      <c r="A71" s="207"/>
      <c r="B71" s="56"/>
      <c r="C71" s="56"/>
      <c r="D71" s="56"/>
      <c r="E71" s="56"/>
      <c r="F71" s="56"/>
      <c r="G71" s="56"/>
      <c r="H71" s="56"/>
      <c r="I71" s="56"/>
      <c r="J71" s="56"/>
      <c r="K71" s="56"/>
      <c r="L71" s="56"/>
      <c r="M71" s="56"/>
      <c r="N71" s="56"/>
      <c r="O71" s="56"/>
      <c r="P71" s="56"/>
      <c r="Q71" s="56"/>
      <c r="R71" s="56"/>
      <c r="S71" s="56"/>
      <c r="T71" s="56"/>
      <c r="U71" s="56"/>
      <c r="V71" s="56"/>
      <c r="W71" s="56"/>
      <c r="X71" s="56"/>
      <c r="Y71" s="56"/>
    </row>
    <row r="72">
      <c r="A72" s="207"/>
      <c r="B72" s="56"/>
      <c r="C72" s="56"/>
      <c r="D72" s="56"/>
      <c r="E72" s="56"/>
      <c r="F72" s="56"/>
      <c r="G72" s="56"/>
      <c r="H72" s="56"/>
      <c r="I72" s="56"/>
      <c r="J72" s="56"/>
      <c r="K72" s="56"/>
      <c r="L72" s="56"/>
      <c r="M72" s="56"/>
      <c r="N72" s="56"/>
      <c r="O72" s="56"/>
      <c r="P72" s="56"/>
      <c r="Q72" s="56"/>
      <c r="R72" s="56"/>
      <c r="S72" s="56"/>
      <c r="T72" s="56"/>
      <c r="U72" s="56"/>
      <c r="V72" s="56"/>
      <c r="W72" s="56"/>
      <c r="X72" s="56"/>
      <c r="Y72" s="56"/>
    </row>
    <row r="73">
      <c r="A73" s="207"/>
      <c r="B73" s="56"/>
      <c r="C73" s="56"/>
      <c r="D73" s="56"/>
      <c r="E73" s="56"/>
      <c r="F73" s="56"/>
      <c r="G73" s="56"/>
      <c r="H73" s="56"/>
      <c r="I73" s="56"/>
      <c r="J73" s="56"/>
      <c r="K73" s="56"/>
      <c r="L73" s="56"/>
      <c r="M73" s="56"/>
      <c r="N73" s="56"/>
      <c r="O73" s="56"/>
      <c r="P73" s="56"/>
      <c r="Q73" s="56"/>
      <c r="R73" s="56"/>
      <c r="S73" s="56"/>
      <c r="T73" s="56"/>
      <c r="U73" s="56"/>
      <c r="V73" s="56"/>
      <c r="W73" s="56"/>
      <c r="X73" s="56"/>
      <c r="Y73" s="56"/>
    </row>
    <row r="74">
      <c r="A74" s="207"/>
      <c r="B74" s="56"/>
      <c r="C74" s="56"/>
      <c r="D74" s="56"/>
      <c r="E74" s="56"/>
      <c r="F74" s="56"/>
      <c r="G74" s="56"/>
      <c r="H74" s="56"/>
      <c r="I74" s="56"/>
      <c r="J74" s="56"/>
      <c r="K74" s="56"/>
      <c r="L74" s="56"/>
      <c r="M74" s="56"/>
      <c r="N74" s="56"/>
      <c r="O74" s="56"/>
      <c r="P74" s="56"/>
      <c r="Q74" s="56"/>
      <c r="R74" s="56"/>
      <c r="S74" s="56"/>
      <c r="T74" s="56"/>
      <c r="U74" s="56"/>
      <c r="V74" s="56"/>
      <c r="W74" s="56"/>
      <c r="X74" s="56"/>
      <c r="Y74" s="56"/>
    </row>
    <row r="75">
      <c r="A75" s="207"/>
      <c r="B75" s="56"/>
      <c r="C75" s="56"/>
      <c r="D75" s="56"/>
      <c r="E75" s="56"/>
      <c r="F75" s="56"/>
      <c r="G75" s="56"/>
      <c r="H75" s="56"/>
      <c r="I75" s="56"/>
      <c r="J75" s="56"/>
      <c r="K75" s="56"/>
      <c r="L75" s="56"/>
      <c r="M75" s="56"/>
      <c r="N75" s="56"/>
      <c r="O75" s="56"/>
      <c r="P75" s="56"/>
      <c r="Q75" s="56"/>
      <c r="R75" s="56"/>
      <c r="S75" s="56"/>
      <c r="T75" s="56"/>
      <c r="U75" s="56"/>
      <c r="V75" s="56"/>
      <c r="W75" s="56"/>
      <c r="X75" s="56"/>
      <c r="Y75" s="56"/>
    </row>
    <row r="76">
      <c r="A76" s="207"/>
      <c r="B76" s="56"/>
      <c r="C76" s="56"/>
      <c r="D76" s="56"/>
      <c r="E76" s="56"/>
      <c r="F76" s="56"/>
      <c r="G76" s="56"/>
      <c r="H76" s="56"/>
      <c r="I76" s="56"/>
      <c r="J76" s="56"/>
      <c r="K76" s="56"/>
      <c r="L76" s="56"/>
      <c r="M76" s="56"/>
      <c r="N76" s="56"/>
      <c r="O76" s="56"/>
      <c r="P76" s="56"/>
      <c r="Q76" s="56"/>
      <c r="R76" s="56"/>
      <c r="S76" s="56"/>
      <c r="T76" s="56"/>
      <c r="U76" s="56"/>
      <c r="V76" s="56"/>
      <c r="W76" s="56"/>
      <c r="X76" s="56"/>
      <c r="Y76" s="56"/>
    </row>
    <row r="77">
      <c r="A77" s="207"/>
      <c r="B77" s="56"/>
      <c r="C77" s="56"/>
      <c r="D77" s="56"/>
      <c r="E77" s="56"/>
      <c r="F77" s="56"/>
      <c r="G77" s="56"/>
      <c r="H77" s="56"/>
      <c r="I77" s="56"/>
      <c r="J77" s="56"/>
      <c r="K77" s="56"/>
      <c r="L77" s="56"/>
      <c r="M77" s="56"/>
      <c r="N77" s="56"/>
      <c r="O77" s="56"/>
      <c r="P77" s="56"/>
      <c r="Q77" s="56"/>
      <c r="R77" s="56"/>
      <c r="S77" s="56"/>
      <c r="T77" s="56"/>
      <c r="U77" s="56"/>
      <c r="V77" s="56"/>
      <c r="W77" s="56"/>
      <c r="X77" s="56"/>
      <c r="Y77" s="56"/>
    </row>
    <row r="78">
      <c r="A78" s="207"/>
      <c r="B78" s="56"/>
      <c r="C78" s="56"/>
      <c r="D78" s="56"/>
      <c r="E78" s="56"/>
      <c r="F78" s="56"/>
      <c r="G78" s="56"/>
      <c r="H78" s="56"/>
      <c r="I78" s="56"/>
      <c r="J78" s="56"/>
      <c r="K78" s="56"/>
      <c r="L78" s="56"/>
      <c r="M78" s="56"/>
      <c r="N78" s="56"/>
      <c r="O78" s="56"/>
      <c r="P78" s="56"/>
      <c r="Q78" s="56"/>
      <c r="R78" s="56"/>
      <c r="S78" s="56"/>
      <c r="T78" s="56"/>
      <c r="U78" s="56"/>
      <c r="V78" s="56"/>
      <c r="W78" s="56"/>
      <c r="X78" s="56"/>
      <c r="Y78" s="56"/>
    </row>
    <row r="79">
      <c r="A79" s="207"/>
      <c r="B79" s="56"/>
      <c r="C79" s="56"/>
      <c r="D79" s="56"/>
      <c r="E79" s="56"/>
      <c r="F79" s="56"/>
      <c r="G79" s="56"/>
      <c r="H79" s="56"/>
      <c r="I79" s="56"/>
      <c r="J79" s="56"/>
      <c r="K79" s="56"/>
      <c r="L79" s="56"/>
      <c r="M79" s="56"/>
      <c r="N79" s="56"/>
      <c r="O79" s="56"/>
      <c r="P79" s="56"/>
      <c r="Q79" s="56"/>
      <c r="R79" s="56"/>
      <c r="S79" s="56"/>
      <c r="T79" s="56"/>
      <c r="U79" s="56"/>
      <c r="V79" s="56"/>
      <c r="W79" s="56"/>
      <c r="X79" s="56"/>
      <c r="Y79" s="56"/>
    </row>
    <row r="80">
      <c r="A80" s="207"/>
      <c r="B80" s="56"/>
      <c r="C80" s="56"/>
      <c r="D80" s="56"/>
      <c r="E80" s="56"/>
      <c r="F80" s="56"/>
      <c r="G80" s="56"/>
      <c r="H80" s="56"/>
      <c r="I80" s="56"/>
      <c r="J80" s="56"/>
      <c r="K80" s="56"/>
      <c r="L80" s="56"/>
      <c r="M80" s="56"/>
      <c r="N80" s="56"/>
      <c r="O80" s="56"/>
      <c r="P80" s="56"/>
      <c r="Q80" s="56"/>
      <c r="R80" s="56"/>
      <c r="S80" s="56"/>
      <c r="T80" s="56"/>
      <c r="U80" s="56"/>
      <c r="V80" s="56"/>
      <c r="W80" s="56"/>
      <c r="X80" s="56"/>
      <c r="Y80" s="56"/>
    </row>
    <row r="81">
      <c r="A81" s="207"/>
      <c r="B81" s="56"/>
      <c r="C81" s="56"/>
      <c r="D81" s="56"/>
      <c r="E81" s="56"/>
      <c r="F81" s="56"/>
      <c r="G81" s="56"/>
      <c r="H81" s="56"/>
      <c r="I81" s="56"/>
      <c r="J81" s="56"/>
      <c r="K81" s="56"/>
      <c r="L81" s="56"/>
      <c r="M81" s="56"/>
      <c r="N81" s="56"/>
      <c r="O81" s="56"/>
      <c r="P81" s="56"/>
      <c r="Q81" s="56"/>
      <c r="R81" s="56"/>
      <c r="S81" s="56"/>
      <c r="T81" s="56"/>
      <c r="U81" s="56"/>
      <c r="V81" s="56"/>
      <c r="W81" s="56"/>
      <c r="X81" s="56"/>
      <c r="Y81" s="56"/>
    </row>
    <row r="82">
      <c r="A82" s="207"/>
      <c r="B82" s="56"/>
      <c r="C82" s="56"/>
      <c r="D82" s="56"/>
      <c r="E82" s="56"/>
      <c r="F82" s="56"/>
      <c r="G82" s="56"/>
      <c r="H82" s="56"/>
      <c r="I82" s="56"/>
      <c r="J82" s="56"/>
      <c r="K82" s="56"/>
      <c r="L82" s="56"/>
      <c r="M82" s="56"/>
      <c r="N82" s="56"/>
      <c r="O82" s="56"/>
      <c r="P82" s="56"/>
      <c r="Q82" s="56"/>
      <c r="R82" s="56"/>
      <c r="S82" s="56"/>
      <c r="T82" s="56"/>
      <c r="U82" s="56"/>
      <c r="V82" s="56"/>
      <c r="W82" s="56"/>
      <c r="X82" s="56"/>
      <c r="Y82" s="56"/>
    </row>
    <row r="83">
      <c r="A83" s="207"/>
      <c r="B83" s="56"/>
      <c r="C83" s="56"/>
      <c r="D83" s="56"/>
      <c r="E83" s="56"/>
      <c r="F83" s="56"/>
      <c r="G83" s="56"/>
      <c r="H83" s="56"/>
      <c r="I83" s="56"/>
      <c r="J83" s="56"/>
      <c r="K83" s="56"/>
      <c r="L83" s="56"/>
      <c r="M83" s="56"/>
      <c r="N83" s="56"/>
      <c r="O83" s="56"/>
      <c r="P83" s="56"/>
      <c r="Q83" s="56"/>
      <c r="R83" s="56"/>
      <c r="S83" s="56"/>
      <c r="T83" s="56"/>
      <c r="U83" s="56"/>
      <c r="V83" s="56"/>
      <c r="W83" s="56"/>
      <c r="X83" s="56"/>
      <c r="Y83" s="56"/>
    </row>
    <row r="84">
      <c r="A84" s="207"/>
      <c r="B84" s="56"/>
      <c r="C84" s="56"/>
      <c r="D84" s="56"/>
      <c r="E84" s="56"/>
      <c r="F84" s="56"/>
      <c r="G84" s="56"/>
      <c r="H84" s="56"/>
      <c r="I84" s="56"/>
      <c r="J84" s="56"/>
      <c r="K84" s="56"/>
      <c r="L84" s="56"/>
      <c r="M84" s="56"/>
      <c r="N84" s="56"/>
      <c r="O84" s="56"/>
      <c r="P84" s="56"/>
      <c r="Q84" s="56"/>
      <c r="R84" s="56"/>
      <c r="S84" s="56"/>
      <c r="T84" s="56"/>
      <c r="U84" s="56"/>
      <c r="V84" s="56"/>
      <c r="W84" s="56"/>
      <c r="X84" s="56"/>
      <c r="Y84" s="56"/>
    </row>
    <row r="85">
      <c r="A85" s="207"/>
      <c r="B85" s="56"/>
      <c r="C85" s="56"/>
      <c r="D85" s="56"/>
      <c r="E85" s="56"/>
      <c r="F85" s="56"/>
      <c r="G85" s="56"/>
      <c r="H85" s="56"/>
      <c r="I85" s="56"/>
      <c r="J85" s="56"/>
      <c r="K85" s="56"/>
      <c r="L85" s="56"/>
      <c r="M85" s="56"/>
      <c r="N85" s="56"/>
      <c r="O85" s="56"/>
      <c r="P85" s="56"/>
      <c r="Q85" s="56"/>
      <c r="R85" s="56"/>
      <c r="S85" s="56"/>
      <c r="T85" s="56"/>
      <c r="U85" s="56"/>
      <c r="V85" s="56"/>
      <c r="W85" s="56"/>
      <c r="X85" s="56"/>
      <c r="Y85" s="56"/>
    </row>
    <row r="86">
      <c r="A86" s="207"/>
      <c r="B86" s="56"/>
      <c r="C86" s="56"/>
      <c r="D86" s="56"/>
      <c r="E86" s="56"/>
      <c r="F86" s="56"/>
      <c r="G86" s="56"/>
      <c r="H86" s="56"/>
      <c r="I86" s="56"/>
      <c r="J86" s="56"/>
      <c r="K86" s="56"/>
      <c r="L86" s="56"/>
      <c r="M86" s="56"/>
      <c r="N86" s="56"/>
      <c r="O86" s="56"/>
      <c r="P86" s="56"/>
      <c r="Q86" s="56"/>
      <c r="R86" s="56"/>
      <c r="S86" s="56"/>
      <c r="T86" s="56"/>
      <c r="U86" s="56"/>
      <c r="V86" s="56"/>
      <c r="W86" s="56"/>
      <c r="X86" s="56"/>
      <c r="Y86" s="56"/>
    </row>
    <row r="87">
      <c r="A87" s="207"/>
      <c r="B87" s="56"/>
      <c r="C87" s="56"/>
      <c r="D87" s="56"/>
      <c r="E87" s="56"/>
      <c r="F87" s="56"/>
      <c r="G87" s="56"/>
      <c r="H87" s="56"/>
      <c r="I87" s="56"/>
      <c r="J87" s="56"/>
      <c r="K87" s="56"/>
      <c r="L87" s="56"/>
      <c r="M87" s="56"/>
      <c r="N87" s="56"/>
      <c r="O87" s="56"/>
      <c r="P87" s="56"/>
      <c r="Q87" s="56"/>
      <c r="R87" s="56"/>
      <c r="S87" s="56"/>
      <c r="T87" s="56"/>
      <c r="U87" s="56"/>
      <c r="V87" s="56"/>
      <c r="W87" s="56"/>
      <c r="X87" s="56"/>
      <c r="Y87" s="56"/>
    </row>
    <row r="88">
      <c r="A88" s="207"/>
      <c r="B88" s="56"/>
      <c r="C88" s="56"/>
      <c r="D88" s="56"/>
      <c r="E88" s="56"/>
      <c r="F88" s="56"/>
      <c r="G88" s="56"/>
      <c r="H88" s="56"/>
      <c r="I88" s="56"/>
      <c r="J88" s="56"/>
      <c r="K88" s="56"/>
      <c r="L88" s="56"/>
      <c r="M88" s="56"/>
      <c r="N88" s="56"/>
      <c r="O88" s="56"/>
      <c r="P88" s="56"/>
      <c r="Q88" s="56"/>
      <c r="R88" s="56"/>
      <c r="S88" s="56"/>
      <c r="T88" s="56"/>
      <c r="U88" s="56"/>
      <c r="V88" s="56"/>
      <c r="W88" s="56"/>
      <c r="X88" s="56"/>
      <c r="Y88" s="56"/>
    </row>
    <row r="89">
      <c r="A89" s="207"/>
      <c r="B89" s="56"/>
      <c r="C89" s="56"/>
      <c r="D89" s="56"/>
      <c r="E89" s="56"/>
      <c r="F89" s="56"/>
      <c r="G89" s="56"/>
      <c r="H89" s="56"/>
      <c r="I89" s="56"/>
      <c r="J89" s="56"/>
      <c r="K89" s="56"/>
      <c r="L89" s="56"/>
      <c r="M89" s="56"/>
      <c r="N89" s="56"/>
      <c r="O89" s="56"/>
      <c r="P89" s="56"/>
      <c r="Q89" s="56"/>
      <c r="R89" s="56"/>
      <c r="S89" s="56"/>
      <c r="T89" s="56"/>
      <c r="U89" s="56"/>
      <c r="V89" s="56"/>
      <c r="W89" s="56"/>
      <c r="X89" s="56"/>
      <c r="Y89" s="56"/>
    </row>
    <row r="90">
      <c r="A90" s="207"/>
      <c r="B90" s="56"/>
      <c r="C90" s="56"/>
      <c r="D90" s="56"/>
      <c r="E90" s="56"/>
      <c r="F90" s="56"/>
      <c r="G90" s="56"/>
      <c r="H90" s="56"/>
      <c r="I90" s="56"/>
      <c r="J90" s="56"/>
      <c r="K90" s="56"/>
      <c r="L90" s="56"/>
      <c r="M90" s="56"/>
      <c r="N90" s="56"/>
      <c r="O90" s="56"/>
      <c r="P90" s="56"/>
      <c r="Q90" s="56"/>
      <c r="R90" s="56"/>
      <c r="S90" s="56"/>
      <c r="T90" s="56"/>
      <c r="U90" s="56"/>
      <c r="V90" s="56"/>
      <c r="W90" s="56"/>
      <c r="X90" s="56"/>
      <c r="Y90" s="56"/>
    </row>
    <row r="91">
      <c r="A91" s="207"/>
      <c r="B91" s="56"/>
      <c r="C91" s="56"/>
      <c r="D91" s="56"/>
      <c r="E91" s="56"/>
      <c r="F91" s="56"/>
      <c r="G91" s="56"/>
      <c r="H91" s="56"/>
      <c r="I91" s="56"/>
      <c r="J91" s="56"/>
      <c r="K91" s="56"/>
      <c r="L91" s="56"/>
      <c r="M91" s="56"/>
      <c r="N91" s="56"/>
      <c r="O91" s="56"/>
      <c r="P91" s="56"/>
      <c r="Q91" s="56"/>
      <c r="R91" s="56"/>
      <c r="S91" s="56"/>
      <c r="T91" s="56"/>
      <c r="U91" s="56"/>
      <c r="V91" s="56"/>
      <c r="W91" s="56"/>
      <c r="X91" s="56"/>
      <c r="Y91" s="56"/>
    </row>
    <row r="92">
      <c r="A92" s="207"/>
      <c r="B92" s="56"/>
      <c r="C92" s="56"/>
      <c r="D92" s="56"/>
      <c r="E92" s="56"/>
      <c r="F92" s="56"/>
      <c r="G92" s="56"/>
      <c r="H92" s="56"/>
      <c r="I92" s="56"/>
      <c r="J92" s="56"/>
      <c r="K92" s="56"/>
      <c r="L92" s="56"/>
      <c r="M92" s="56"/>
      <c r="N92" s="56"/>
      <c r="O92" s="56"/>
      <c r="P92" s="56"/>
      <c r="Q92" s="56"/>
      <c r="R92" s="56"/>
      <c r="S92" s="56"/>
      <c r="T92" s="56"/>
      <c r="U92" s="56"/>
      <c r="V92" s="56"/>
      <c r="W92" s="56"/>
      <c r="X92" s="56"/>
      <c r="Y92" s="56"/>
    </row>
    <row r="93">
      <c r="A93" s="207"/>
      <c r="B93" s="56"/>
      <c r="C93" s="56"/>
      <c r="D93" s="56"/>
      <c r="E93" s="56"/>
      <c r="F93" s="56"/>
      <c r="G93" s="56"/>
      <c r="H93" s="56"/>
      <c r="I93" s="56"/>
      <c r="J93" s="56"/>
      <c r="K93" s="56"/>
      <c r="L93" s="56"/>
      <c r="M93" s="56"/>
      <c r="N93" s="56"/>
      <c r="O93" s="56"/>
      <c r="P93" s="56"/>
      <c r="Q93" s="56"/>
      <c r="R93" s="56"/>
      <c r="S93" s="56"/>
      <c r="T93" s="56"/>
      <c r="U93" s="56"/>
      <c r="V93" s="56"/>
      <c r="W93" s="56"/>
      <c r="X93" s="56"/>
      <c r="Y93" s="56"/>
    </row>
    <row r="94">
      <c r="A94" s="207"/>
      <c r="B94" s="56"/>
      <c r="C94" s="56"/>
      <c r="D94" s="56"/>
      <c r="E94" s="56"/>
      <c r="F94" s="56"/>
      <c r="G94" s="56"/>
      <c r="H94" s="56"/>
      <c r="I94" s="56"/>
      <c r="J94" s="56"/>
      <c r="K94" s="56"/>
      <c r="L94" s="56"/>
      <c r="M94" s="56"/>
      <c r="N94" s="56"/>
      <c r="O94" s="56"/>
      <c r="P94" s="56"/>
      <c r="Q94" s="56"/>
      <c r="R94" s="56"/>
      <c r="S94" s="56"/>
      <c r="T94" s="56"/>
      <c r="U94" s="56"/>
      <c r="V94" s="56"/>
      <c r="W94" s="56"/>
      <c r="X94" s="56"/>
      <c r="Y94" s="56"/>
    </row>
    <row r="95">
      <c r="A95" s="207"/>
      <c r="B95" s="56"/>
      <c r="C95" s="56"/>
      <c r="D95" s="56"/>
      <c r="E95" s="56"/>
      <c r="F95" s="56"/>
      <c r="G95" s="56"/>
      <c r="H95" s="56"/>
      <c r="I95" s="56"/>
      <c r="J95" s="56"/>
      <c r="K95" s="56"/>
      <c r="L95" s="56"/>
      <c r="M95" s="56"/>
      <c r="N95" s="56"/>
      <c r="O95" s="56"/>
      <c r="P95" s="56"/>
      <c r="Q95" s="56"/>
      <c r="R95" s="56"/>
      <c r="S95" s="56"/>
      <c r="T95" s="56"/>
      <c r="U95" s="56"/>
      <c r="V95" s="56"/>
      <c r="W95" s="56"/>
      <c r="X95" s="56"/>
      <c r="Y95" s="56"/>
    </row>
    <row r="96">
      <c r="A96" s="207"/>
      <c r="B96" s="56"/>
      <c r="C96" s="56"/>
      <c r="D96" s="56"/>
      <c r="E96" s="56"/>
      <c r="F96" s="56"/>
      <c r="G96" s="56"/>
      <c r="H96" s="56"/>
      <c r="I96" s="56"/>
      <c r="J96" s="56"/>
      <c r="K96" s="56"/>
      <c r="L96" s="56"/>
      <c r="M96" s="56"/>
      <c r="N96" s="56"/>
      <c r="O96" s="56"/>
      <c r="P96" s="56"/>
      <c r="Q96" s="56"/>
      <c r="R96" s="56"/>
      <c r="S96" s="56"/>
      <c r="T96" s="56"/>
      <c r="U96" s="56"/>
      <c r="V96" s="56"/>
      <c r="W96" s="56"/>
      <c r="X96" s="56"/>
      <c r="Y96" s="56"/>
    </row>
    <row r="97">
      <c r="A97" s="207"/>
      <c r="B97" s="56"/>
      <c r="C97" s="56"/>
      <c r="D97" s="56"/>
      <c r="E97" s="56"/>
      <c r="F97" s="56"/>
      <c r="G97" s="56"/>
      <c r="H97" s="56"/>
      <c r="I97" s="56"/>
      <c r="J97" s="56"/>
      <c r="K97" s="56"/>
      <c r="L97" s="56"/>
      <c r="M97" s="56"/>
      <c r="N97" s="56"/>
      <c r="O97" s="56"/>
      <c r="P97" s="56"/>
      <c r="Q97" s="56"/>
      <c r="R97" s="56"/>
      <c r="S97" s="56"/>
      <c r="T97" s="56"/>
      <c r="U97" s="56"/>
      <c r="V97" s="56"/>
      <c r="W97" s="56"/>
      <c r="X97" s="56"/>
      <c r="Y97" s="56"/>
    </row>
    <row r="98">
      <c r="A98" s="207"/>
      <c r="B98" s="56"/>
      <c r="C98" s="56"/>
      <c r="D98" s="56"/>
      <c r="E98" s="56"/>
      <c r="F98" s="56"/>
      <c r="G98" s="56"/>
      <c r="H98" s="56"/>
      <c r="I98" s="56"/>
      <c r="J98" s="56"/>
      <c r="K98" s="56"/>
      <c r="L98" s="56"/>
      <c r="M98" s="56"/>
      <c r="N98" s="56"/>
      <c r="O98" s="56"/>
      <c r="P98" s="56"/>
      <c r="Q98" s="56"/>
      <c r="R98" s="56"/>
      <c r="S98" s="56"/>
      <c r="T98" s="56"/>
      <c r="U98" s="56"/>
      <c r="V98" s="56"/>
      <c r="W98" s="56"/>
      <c r="X98" s="56"/>
      <c r="Y98" s="56"/>
    </row>
    <row r="99">
      <c r="A99" s="207"/>
      <c r="B99" s="56"/>
      <c r="C99" s="56"/>
      <c r="D99" s="56"/>
      <c r="E99" s="56"/>
      <c r="F99" s="56"/>
      <c r="G99" s="56"/>
      <c r="H99" s="56"/>
      <c r="I99" s="56"/>
      <c r="J99" s="56"/>
      <c r="K99" s="56"/>
      <c r="L99" s="56"/>
      <c r="M99" s="56"/>
      <c r="N99" s="56"/>
      <c r="O99" s="56"/>
      <c r="P99" s="56"/>
      <c r="Q99" s="56"/>
      <c r="R99" s="56"/>
      <c r="S99" s="56"/>
      <c r="T99" s="56"/>
      <c r="U99" s="56"/>
      <c r="V99" s="56"/>
      <c r="W99" s="56"/>
      <c r="X99" s="56"/>
      <c r="Y99" s="56"/>
    </row>
    <row r="100">
      <c r="A100" s="207"/>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row>
    <row r="101">
      <c r="A101" s="207"/>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row>
    <row r="102">
      <c r="A102" s="207"/>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row>
    <row r="103">
      <c r="A103" s="207"/>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row>
    <row r="104">
      <c r="A104" s="207"/>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row>
    <row r="105">
      <c r="A105" s="207"/>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row>
    <row r="106">
      <c r="A106" s="207"/>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row>
    <row r="107">
      <c r="A107" s="207"/>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row>
    <row r="108">
      <c r="A108" s="207"/>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row>
    <row r="109">
      <c r="A109" s="207"/>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row>
    <row r="110">
      <c r="A110" s="207"/>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row>
    <row r="111">
      <c r="A111" s="207"/>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row>
    <row r="112">
      <c r="A112" s="207"/>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row>
    <row r="113">
      <c r="A113" s="207"/>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row>
    <row r="114">
      <c r="A114" s="207"/>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row>
    <row r="115">
      <c r="A115" s="207"/>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row>
    <row r="116">
      <c r="A116" s="207"/>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row>
    <row r="117">
      <c r="A117" s="207"/>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row>
    <row r="118">
      <c r="A118" s="207"/>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row>
    <row r="119">
      <c r="A119" s="207"/>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row>
    <row r="120">
      <c r="A120" s="207"/>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row>
    <row r="121">
      <c r="A121" s="207"/>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row>
    <row r="122">
      <c r="A122" s="207"/>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row>
    <row r="123">
      <c r="A123" s="207"/>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row>
    <row r="124">
      <c r="A124" s="207"/>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row>
    <row r="125">
      <c r="A125" s="207"/>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row>
    <row r="126">
      <c r="A126" s="207"/>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row>
    <row r="127">
      <c r="A127" s="207"/>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row>
    <row r="128">
      <c r="A128" s="207"/>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row>
    <row r="129">
      <c r="A129" s="207"/>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row>
    <row r="130">
      <c r="A130" s="207"/>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row>
    <row r="131">
      <c r="A131" s="207"/>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row>
    <row r="132">
      <c r="A132" s="207"/>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row>
    <row r="133">
      <c r="A133" s="207"/>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row>
    <row r="134">
      <c r="A134" s="207"/>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row>
    <row r="135">
      <c r="A135" s="207"/>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row>
    <row r="136">
      <c r="A136" s="207"/>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row>
    <row r="137">
      <c r="A137" s="207"/>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row>
    <row r="138">
      <c r="A138" s="207"/>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row>
    <row r="139">
      <c r="A139" s="207"/>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row>
    <row r="140">
      <c r="A140" s="207"/>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row>
    <row r="141">
      <c r="A141" s="207"/>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row>
    <row r="142">
      <c r="A142" s="207"/>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row>
    <row r="143">
      <c r="A143" s="207"/>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row>
    <row r="144">
      <c r="A144" s="207"/>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row>
    <row r="145">
      <c r="A145" s="207"/>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row>
    <row r="146">
      <c r="A146" s="207"/>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row>
    <row r="147">
      <c r="A147" s="207"/>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row>
    <row r="148">
      <c r="A148" s="207"/>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row>
    <row r="149">
      <c r="A149" s="207"/>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row>
    <row r="150">
      <c r="A150" s="207"/>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row>
    <row r="151">
      <c r="A151" s="207"/>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row>
    <row r="152">
      <c r="A152" s="207"/>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row>
    <row r="153">
      <c r="A153" s="207"/>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row>
    <row r="154">
      <c r="A154" s="207"/>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row>
    <row r="155">
      <c r="A155" s="207"/>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row>
    <row r="156">
      <c r="A156" s="207"/>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row>
    <row r="157">
      <c r="A157" s="207"/>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row>
    <row r="158">
      <c r="A158" s="207"/>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row>
    <row r="159">
      <c r="A159" s="207"/>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row>
    <row r="160">
      <c r="A160" s="207"/>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row>
    <row r="161">
      <c r="A161" s="207"/>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row>
    <row r="162">
      <c r="A162" s="207"/>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row>
    <row r="163">
      <c r="A163" s="207"/>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row>
    <row r="164">
      <c r="A164" s="207"/>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row>
    <row r="165">
      <c r="A165" s="207"/>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row>
    <row r="166">
      <c r="A166" s="207"/>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row>
    <row r="167">
      <c r="A167" s="207"/>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row>
    <row r="168">
      <c r="A168" s="207"/>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row>
    <row r="169">
      <c r="A169" s="207"/>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row>
    <row r="170">
      <c r="A170" s="207"/>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row>
    <row r="171">
      <c r="A171" s="207"/>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row>
    <row r="172">
      <c r="A172" s="207"/>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row>
    <row r="173">
      <c r="A173" s="207"/>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row>
    <row r="174">
      <c r="A174" s="207"/>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row>
    <row r="175">
      <c r="A175" s="207"/>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row>
    <row r="176">
      <c r="A176" s="207"/>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row>
    <row r="177">
      <c r="A177" s="207"/>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row>
    <row r="178">
      <c r="A178" s="207"/>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row>
    <row r="179">
      <c r="A179" s="207"/>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row>
    <row r="180">
      <c r="A180" s="207"/>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row>
    <row r="181">
      <c r="A181" s="207"/>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row>
    <row r="182">
      <c r="A182" s="207"/>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row>
    <row r="183">
      <c r="A183" s="207"/>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row>
    <row r="184">
      <c r="A184" s="207"/>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row>
    <row r="185">
      <c r="A185" s="207"/>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row>
    <row r="186">
      <c r="A186" s="207"/>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row>
    <row r="187">
      <c r="A187" s="207"/>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row>
    <row r="188">
      <c r="A188" s="207"/>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row>
    <row r="189">
      <c r="A189" s="207"/>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row>
    <row r="190">
      <c r="A190" s="207"/>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row>
    <row r="191">
      <c r="A191" s="207"/>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row>
    <row r="192">
      <c r="A192" s="207"/>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row>
    <row r="193">
      <c r="A193" s="207"/>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row>
    <row r="194">
      <c r="A194" s="207"/>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row>
    <row r="195">
      <c r="A195" s="207"/>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row>
    <row r="196">
      <c r="A196" s="207"/>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row>
    <row r="197">
      <c r="A197" s="207"/>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row>
    <row r="198">
      <c r="A198" s="207"/>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row>
    <row r="199">
      <c r="A199" s="207"/>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row>
    <row r="200">
      <c r="A200" s="207"/>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row>
    <row r="201">
      <c r="A201" s="207"/>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row>
    <row r="202">
      <c r="A202" s="207"/>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row>
    <row r="203">
      <c r="A203" s="207"/>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row>
    <row r="204">
      <c r="A204" s="207"/>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row>
    <row r="205">
      <c r="A205" s="207"/>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row>
    <row r="206">
      <c r="A206" s="207"/>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row>
    <row r="207">
      <c r="A207" s="207"/>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row>
    <row r="208">
      <c r="A208" s="207"/>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row>
    <row r="209">
      <c r="A209" s="207"/>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row>
    <row r="210">
      <c r="A210" s="207"/>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row>
    <row r="211">
      <c r="A211" s="207"/>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row>
    <row r="212">
      <c r="A212" s="207"/>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row>
    <row r="213">
      <c r="A213" s="207"/>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row>
    <row r="214">
      <c r="A214" s="207"/>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row>
    <row r="215">
      <c r="A215" s="207"/>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row>
    <row r="216">
      <c r="A216" s="207"/>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row>
    <row r="217">
      <c r="A217" s="207"/>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row>
    <row r="218">
      <c r="A218" s="207"/>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row>
    <row r="219">
      <c r="A219" s="207"/>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row>
    <row r="220">
      <c r="A220" s="207"/>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row>
    <row r="221">
      <c r="A221" s="207"/>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row>
    <row r="222">
      <c r="A222" s="207"/>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row>
    <row r="223">
      <c r="A223" s="207"/>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row>
    <row r="224">
      <c r="A224" s="207"/>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row>
    <row r="225">
      <c r="A225" s="207"/>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row>
    <row r="226">
      <c r="A226" s="207"/>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row>
    <row r="227">
      <c r="A227" s="207"/>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row>
    <row r="228">
      <c r="A228" s="207"/>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row>
    <row r="229">
      <c r="A229" s="207"/>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row>
    <row r="230">
      <c r="A230" s="207"/>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row>
    <row r="231">
      <c r="A231" s="207"/>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row>
    <row r="232">
      <c r="A232" s="207"/>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row>
    <row r="233">
      <c r="A233" s="207"/>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row>
    <row r="234">
      <c r="A234" s="207"/>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row>
    <row r="235">
      <c r="A235" s="207"/>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row>
    <row r="236">
      <c r="A236" s="207"/>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row>
    <row r="237">
      <c r="A237" s="207"/>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row>
    <row r="238">
      <c r="A238" s="207"/>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row>
    <row r="239">
      <c r="A239" s="207"/>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row>
    <row r="240">
      <c r="A240" s="207"/>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row>
    <row r="241">
      <c r="A241" s="207"/>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row>
    <row r="242">
      <c r="A242" s="207"/>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row>
    <row r="243">
      <c r="A243" s="207"/>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row>
    <row r="244">
      <c r="A244" s="207"/>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row>
    <row r="245">
      <c r="A245" s="207"/>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row>
    <row r="246">
      <c r="A246" s="207"/>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row>
    <row r="247">
      <c r="A247" s="207"/>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row>
    <row r="248">
      <c r="A248" s="207"/>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row>
    <row r="249">
      <c r="A249" s="207"/>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row>
    <row r="250">
      <c r="A250" s="207"/>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row>
    <row r="251">
      <c r="A251" s="207"/>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row>
    <row r="252">
      <c r="A252" s="207"/>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row>
    <row r="253">
      <c r="A253" s="207"/>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row>
    <row r="254">
      <c r="A254" s="207"/>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row>
    <row r="255">
      <c r="A255" s="207"/>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row>
    <row r="256">
      <c r="A256" s="207"/>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row>
    <row r="257">
      <c r="A257" s="207"/>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row>
    <row r="258">
      <c r="A258" s="207"/>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row>
    <row r="259">
      <c r="A259" s="207"/>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row>
    <row r="260">
      <c r="A260" s="207"/>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row>
    <row r="261">
      <c r="A261" s="207"/>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row>
    <row r="262">
      <c r="A262" s="207"/>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row>
    <row r="263">
      <c r="A263" s="207"/>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row>
    <row r="264">
      <c r="A264" s="207"/>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row>
    <row r="265">
      <c r="A265" s="207"/>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row>
    <row r="266">
      <c r="A266" s="207"/>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row>
    <row r="267">
      <c r="A267" s="207"/>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row>
    <row r="268">
      <c r="A268" s="207"/>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row>
    <row r="269">
      <c r="A269" s="207"/>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row>
    <row r="270">
      <c r="A270" s="207"/>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row>
    <row r="271">
      <c r="A271" s="207"/>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row>
    <row r="272">
      <c r="A272" s="207"/>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row>
    <row r="273">
      <c r="A273" s="207"/>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row>
    <row r="274">
      <c r="A274" s="207"/>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row>
    <row r="275">
      <c r="A275" s="207"/>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row>
    <row r="276">
      <c r="A276" s="207"/>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row>
    <row r="277">
      <c r="A277" s="207"/>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row>
    <row r="278">
      <c r="A278" s="207"/>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row>
    <row r="279">
      <c r="A279" s="207"/>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row>
    <row r="280">
      <c r="A280" s="207"/>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row>
    <row r="281">
      <c r="A281" s="207"/>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row>
    <row r="282">
      <c r="A282" s="207"/>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row>
    <row r="283">
      <c r="A283" s="207"/>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row>
    <row r="284">
      <c r="A284" s="207"/>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row>
    <row r="285">
      <c r="A285" s="207"/>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row>
    <row r="286">
      <c r="A286" s="207"/>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row>
    <row r="287">
      <c r="A287" s="207"/>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row>
    <row r="288">
      <c r="A288" s="207"/>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row>
    <row r="289">
      <c r="A289" s="207"/>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row>
    <row r="290">
      <c r="A290" s="207"/>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row>
    <row r="291">
      <c r="A291" s="207"/>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row>
    <row r="292">
      <c r="A292" s="207"/>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row>
    <row r="293">
      <c r="A293" s="207"/>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row>
    <row r="294">
      <c r="A294" s="207"/>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row>
    <row r="295">
      <c r="A295" s="207"/>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row>
    <row r="296">
      <c r="A296" s="207"/>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row>
    <row r="297">
      <c r="A297" s="207"/>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row>
    <row r="298">
      <c r="A298" s="207"/>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row>
    <row r="299">
      <c r="A299" s="207"/>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row>
    <row r="300">
      <c r="A300" s="207"/>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row>
    <row r="301">
      <c r="A301" s="207"/>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row>
    <row r="302">
      <c r="A302" s="207"/>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row>
    <row r="303">
      <c r="A303" s="207"/>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row>
    <row r="304">
      <c r="A304" s="207"/>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row>
    <row r="305">
      <c r="A305" s="207"/>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row>
    <row r="306">
      <c r="A306" s="207"/>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row>
    <row r="307">
      <c r="A307" s="207"/>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row>
    <row r="308">
      <c r="A308" s="207"/>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row>
    <row r="309">
      <c r="A309" s="207"/>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row>
    <row r="310">
      <c r="A310" s="207"/>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row>
    <row r="311">
      <c r="A311" s="207"/>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row>
    <row r="312">
      <c r="A312" s="207"/>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row>
    <row r="313">
      <c r="A313" s="207"/>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row>
    <row r="314">
      <c r="A314" s="207"/>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row>
    <row r="315">
      <c r="A315" s="207"/>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row>
    <row r="316">
      <c r="A316" s="207"/>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row>
    <row r="317">
      <c r="A317" s="207"/>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row>
    <row r="318">
      <c r="A318" s="207"/>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row>
    <row r="319">
      <c r="A319" s="207"/>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row>
    <row r="320">
      <c r="A320" s="207"/>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row>
    <row r="321">
      <c r="A321" s="207"/>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row>
    <row r="322">
      <c r="A322" s="207"/>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row>
    <row r="323">
      <c r="A323" s="207"/>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row>
    <row r="324">
      <c r="A324" s="207"/>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row>
    <row r="325">
      <c r="A325" s="207"/>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row>
    <row r="326">
      <c r="A326" s="207"/>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row>
    <row r="327">
      <c r="A327" s="207"/>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row>
    <row r="328">
      <c r="A328" s="207"/>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row>
    <row r="329">
      <c r="A329" s="207"/>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row>
    <row r="330">
      <c r="A330" s="207"/>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row>
    <row r="331">
      <c r="A331" s="207"/>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row>
    <row r="332">
      <c r="A332" s="207"/>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row>
    <row r="333">
      <c r="A333" s="207"/>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row>
    <row r="334">
      <c r="A334" s="207"/>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row>
    <row r="335">
      <c r="A335" s="207"/>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row>
    <row r="336">
      <c r="A336" s="207"/>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row>
    <row r="337">
      <c r="A337" s="207"/>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row>
    <row r="338">
      <c r="A338" s="207"/>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row>
    <row r="339">
      <c r="A339" s="207"/>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row>
    <row r="340">
      <c r="A340" s="207"/>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row>
    <row r="341">
      <c r="A341" s="207"/>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row>
    <row r="342">
      <c r="A342" s="207"/>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row>
    <row r="343">
      <c r="A343" s="207"/>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row>
    <row r="344">
      <c r="A344" s="207"/>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row>
    <row r="345">
      <c r="A345" s="207"/>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row>
    <row r="346">
      <c r="A346" s="207"/>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row>
    <row r="347">
      <c r="A347" s="207"/>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row>
    <row r="348">
      <c r="A348" s="207"/>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row>
    <row r="349">
      <c r="A349" s="207"/>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row>
    <row r="350">
      <c r="A350" s="207"/>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row>
    <row r="351">
      <c r="A351" s="207"/>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row>
    <row r="352">
      <c r="A352" s="207"/>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row>
    <row r="353">
      <c r="A353" s="207"/>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row>
    <row r="354">
      <c r="A354" s="207"/>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row>
    <row r="355">
      <c r="A355" s="207"/>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row>
    <row r="356">
      <c r="A356" s="207"/>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row>
    <row r="357">
      <c r="A357" s="207"/>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row>
    <row r="358">
      <c r="A358" s="207"/>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row>
    <row r="359">
      <c r="A359" s="207"/>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row>
    <row r="360">
      <c r="A360" s="207"/>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row>
    <row r="361">
      <c r="A361" s="207"/>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row>
    <row r="362">
      <c r="A362" s="207"/>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row>
    <row r="363">
      <c r="A363" s="207"/>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row>
    <row r="364">
      <c r="A364" s="207"/>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row>
    <row r="365">
      <c r="A365" s="207"/>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row>
    <row r="366">
      <c r="A366" s="207"/>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row>
    <row r="367">
      <c r="A367" s="207"/>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row>
    <row r="368">
      <c r="A368" s="207"/>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row>
    <row r="369">
      <c r="A369" s="207"/>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row>
    <row r="370">
      <c r="A370" s="207"/>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row>
    <row r="371">
      <c r="A371" s="207"/>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row>
    <row r="372">
      <c r="A372" s="207"/>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row>
    <row r="373">
      <c r="A373" s="207"/>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row>
    <row r="374">
      <c r="A374" s="207"/>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row>
    <row r="375">
      <c r="A375" s="207"/>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row>
    <row r="376">
      <c r="A376" s="207"/>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row>
    <row r="377">
      <c r="A377" s="207"/>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row>
    <row r="378">
      <c r="A378" s="207"/>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row>
    <row r="379">
      <c r="A379" s="207"/>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row>
    <row r="380">
      <c r="A380" s="207"/>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row>
    <row r="381">
      <c r="A381" s="207"/>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row>
    <row r="382">
      <c r="A382" s="207"/>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row>
    <row r="383">
      <c r="A383" s="207"/>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row>
    <row r="384">
      <c r="A384" s="207"/>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row>
    <row r="385">
      <c r="A385" s="207"/>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row>
    <row r="386">
      <c r="A386" s="207"/>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row>
    <row r="387">
      <c r="A387" s="207"/>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row>
    <row r="388">
      <c r="A388" s="207"/>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row>
    <row r="389">
      <c r="A389" s="207"/>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row>
    <row r="390">
      <c r="A390" s="207"/>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row>
    <row r="391">
      <c r="A391" s="207"/>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row>
    <row r="392">
      <c r="A392" s="207"/>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row>
    <row r="393">
      <c r="A393" s="207"/>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row>
    <row r="394">
      <c r="A394" s="207"/>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row>
    <row r="395">
      <c r="A395" s="207"/>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row>
    <row r="396">
      <c r="A396" s="207"/>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row>
    <row r="397">
      <c r="A397" s="207"/>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row>
    <row r="398">
      <c r="A398" s="207"/>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row>
    <row r="399">
      <c r="A399" s="207"/>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row>
    <row r="400">
      <c r="A400" s="207"/>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row>
    <row r="401">
      <c r="A401" s="207"/>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row>
    <row r="402">
      <c r="A402" s="207"/>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row>
    <row r="403">
      <c r="A403" s="207"/>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row>
    <row r="404">
      <c r="A404" s="207"/>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row>
    <row r="405">
      <c r="A405" s="207"/>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row>
    <row r="406">
      <c r="A406" s="207"/>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row>
    <row r="407">
      <c r="A407" s="207"/>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row>
    <row r="408">
      <c r="A408" s="207"/>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row>
    <row r="409">
      <c r="A409" s="207"/>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row>
    <row r="410">
      <c r="A410" s="207"/>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row>
    <row r="411">
      <c r="A411" s="207"/>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row>
    <row r="412">
      <c r="A412" s="207"/>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row>
    <row r="413">
      <c r="A413" s="207"/>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row>
    <row r="414">
      <c r="A414" s="207"/>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row>
    <row r="415">
      <c r="A415" s="207"/>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row>
    <row r="416">
      <c r="A416" s="207"/>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row>
    <row r="417">
      <c r="A417" s="207"/>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row>
    <row r="418">
      <c r="A418" s="207"/>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row>
    <row r="419">
      <c r="A419" s="207"/>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row>
    <row r="420">
      <c r="A420" s="207"/>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row>
    <row r="421">
      <c r="A421" s="207"/>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row>
    <row r="422">
      <c r="A422" s="207"/>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row>
    <row r="423">
      <c r="A423" s="207"/>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row>
    <row r="424">
      <c r="A424" s="207"/>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row>
    <row r="425">
      <c r="A425" s="207"/>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row>
    <row r="426">
      <c r="A426" s="207"/>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row>
    <row r="427">
      <c r="A427" s="207"/>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row>
    <row r="428">
      <c r="A428" s="207"/>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row>
    <row r="429">
      <c r="A429" s="207"/>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row>
    <row r="430">
      <c r="A430" s="207"/>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row>
    <row r="431">
      <c r="A431" s="207"/>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row>
    <row r="432">
      <c r="A432" s="207"/>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row>
    <row r="433">
      <c r="A433" s="207"/>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row>
    <row r="434">
      <c r="A434" s="207"/>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row>
    <row r="435">
      <c r="A435" s="207"/>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row>
    <row r="436">
      <c r="A436" s="207"/>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row>
    <row r="437">
      <c r="A437" s="207"/>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row>
    <row r="438">
      <c r="A438" s="207"/>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row>
    <row r="439">
      <c r="A439" s="207"/>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row>
    <row r="440">
      <c r="A440" s="207"/>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row>
    <row r="441">
      <c r="A441" s="207"/>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row>
    <row r="442">
      <c r="A442" s="207"/>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row>
    <row r="443">
      <c r="A443" s="207"/>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row>
    <row r="444">
      <c r="A444" s="207"/>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row>
    <row r="445">
      <c r="A445" s="207"/>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row>
    <row r="446">
      <c r="A446" s="207"/>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row>
    <row r="447">
      <c r="A447" s="207"/>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row>
    <row r="448">
      <c r="A448" s="207"/>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row>
    <row r="449">
      <c r="A449" s="207"/>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row>
    <row r="450">
      <c r="A450" s="207"/>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row>
    <row r="451">
      <c r="A451" s="207"/>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row>
    <row r="452">
      <c r="A452" s="207"/>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row>
    <row r="453">
      <c r="A453" s="207"/>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row>
    <row r="454">
      <c r="A454" s="207"/>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row>
    <row r="455">
      <c r="A455" s="207"/>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row>
    <row r="456">
      <c r="A456" s="207"/>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row>
    <row r="457">
      <c r="A457" s="207"/>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row>
    <row r="458">
      <c r="A458" s="207"/>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row>
    <row r="459">
      <c r="A459" s="207"/>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row>
    <row r="460">
      <c r="A460" s="207"/>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row>
    <row r="461">
      <c r="A461" s="207"/>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row>
    <row r="462">
      <c r="A462" s="207"/>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row>
    <row r="463">
      <c r="A463" s="207"/>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row>
    <row r="464">
      <c r="A464" s="207"/>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row>
    <row r="465">
      <c r="A465" s="207"/>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row>
    <row r="466">
      <c r="A466" s="207"/>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row>
    <row r="467">
      <c r="A467" s="207"/>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row>
    <row r="468">
      <c r="A468" s="207"/>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row>
    <row r="469">
      <c r="A469" s="207"/>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row>
    <row r="470">
      <c r="A470" s="207"/>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row>
    <row r="471">
      <c r="A471" s="207"/>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row>
    <row r="472">
      <c r="A472" s="207"/>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row>
    <row r="473">
      <c r="A473" s="207"/>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row>
    <row r="474">
      <c r="A474" s="207"/>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row>
    <row r="475">
      <c r="A475" s="207"/>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row>
    <row r="476">
      <c r="A476" s="207"/>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row>
    <row r="477">
      <c r="A477" s="207"/>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row>
    <row r="478">
      <c r="A478" s="207"/>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row>
    <row r="479">
      <c r="A479" s="207"/>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row>
    <row r="480">
      <c r="A480" s="207"/>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row>
    <row r="481">
      <c r="A481" s="207"/>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row>
    <row r="482">
      <c r="A482" s="207"/>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row>
    <row r="483">
      <c r="A483" s="207"/>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row>
    <row r="484">
      <c r="A484" s="207"/>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row>
    <row r="485">
      <c r="A485" s="207"/>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row>
    <row r="486">
      <c r="A486" s="207"/>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row>
    <row r="487">
      <c r="A487" s="207"/>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row>
    <row r="488">
      <c r="A488" s="207"/>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row>
    <row r="489">
      <c r="A489" s="207"/>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row>
    <row r="490">
      <c r="A490" s="207"/>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row>
    <row r="491">
      <c r="A491" s="207"/>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row>
    <row r="492">
      <c r="A492" s="207"/>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row>
    <row r="493">
      <c r="A493" s="207"/>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row>
    <row r="494">
      <c r="A494" s="207"/>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row>
    <row r="495">
      <c r="A495" s="207"/>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row>
    <row r="496">
      <c r="A496" s="207"/>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row>
    <row r="497">
      <c r="A497" s="207"/>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row>
    <row r="498">
      <c r="A498" s="207"/>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row>
    <row r="499">
      <c r="A499" s="207"/>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row>
    <row r="500">
      <c r="A500" s="207"/>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row>
    <row r="501">
      <c r="A501" s="207"/>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row>
    <row r="502">
      <c r="A502" s="207"/>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row>
    <row r="503">
      <c r="A503" s="207"/>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row>
    <row r="504">
      <c r="A504" s="207"/>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row>
    <row r="505">
      <c r="A505" s="207"/>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row>
    <row r="506">
      <c r="A506" s="207"/>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row>
    <row r="507">
      <c r="A507" s="207"/>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row>
    <row r="508">
      <c r="A508" s="207"/>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row>
    <row r="509">
      <c r="A509" s="207"/>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row>
    <row r="510">
      <c r="A510" s="207"/>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row>
    <row r="511">
      <c r="A511" s="207"/>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row>
    <row r="512">
      <c r="A512" s="207"/>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row>
    <row r="513">
      <c r="A513" s="207"/>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row>
    <row r="514">
      <c r="A514" s="207"/>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row>
    <row r="515">
      <c r="A515" s="207"/>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row>
    <row r="516">
      <c r="A516" s="207"/>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row>
    <row r="517">
      <c r="A517" s="207"/>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row>
    <row r="518">
      <c r="A518" s="207"/>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row>
    <row r="519">
      <c r="A519" s="207"/>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row>
    <row r="520">
      <c r="A520" s="207"/>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row>
    <row r="521">
      <c r="A521" s="207"/>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row>
    <row r="522">
      <c r="A522" s="207"/>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row>
    <row r="523">
      <c r="A523" s="207"/>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row>
    <row r="524">
      <c r="A524" s="207"/>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row>
    <row r="525">
      <c r="A525" s="207"/>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row>
    <row r="526">
      <c r="A526" s="207"/>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row>
    <row r="527">
      <c r="A527" s="207"/>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row>
    <row r="528">
      <c r="A528" s="207"/>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row>
    <row r="529">
      <c r="A529" s="207"/>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row>
    <row r="530">
      <c r="A530" s="207"/>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row>
    <row r="531">
      <c r="A531" s="207"/>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row>
    <row r="532">
      <c r="A532" s="207"/>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row>
    <row r="533">
      <c r="A533" s="207"/>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row>
    <row r="534">
      <c r="A534" s="207"/>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row>
    <row r="535">
      <c r="A535" s="207"/>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row>
    <row r="536">
      <c r="A536" s="207"/>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row>
    <row r="537">
      <c r="A537" s="207"/>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row>
    <row r="538">
      <c r="A538" s="207"/>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row>
    <row r="539">
      <c r="A539" s="207"/>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row>
    <row r="540">
      <c r="A540" s="207"/>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row>
    <row r="541">
      <c r="A541" s="207"/>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row>
    <row r="542">
      <c r="A542" s="207"/>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row>
    <row r="543">
      <c r="A543" s="207"/>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row>
    <row r="544">
      <c r="A544" s="207"/>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row>
    <row r="545">
      <c r="A545" s="207"/>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row>
    <row r="546">
      <c r="A546" s="207"/>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row>
    <row r="547">
      <c r="A547" s="207"/>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row>
    <row r="548">
      <c r="A548" s="207"/>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row>
    <row r="549">
      <c r="A549" s="207"/>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row>
    <row r="550">
      <c r="A550" s="207"/>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row>
    <row r="551">
      <c r="A551" s="207"/>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row>
    <row r="552">
      <c r="A552" s="207"/>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row>
    <row r="553">
      <c r="A553" s="207"/>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row>
    <row r="554">
      <c r="A554" s="207"/>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row>
    <row r="555">
      <c r="A555" s="207"/>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row>
    <row r="556">
      <c r="A556" s="207"/>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row>
    <row r="557">
      <c r="A557" s="207"/>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row>
    <row r="558">
      <c r="A558" s="207"/>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row>
    <row r="559">
      <c r="A559" s="207"/>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row>
    <row r="560">
      <c r="A560" s="207"/>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row>
    <row r="561">
      <c r="A561" s="207"/>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row>
    <row r="562">
      <c r="A562" s="207"/>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row>
    <row r="563">
      <c r="A563" s="207"/>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row>
    <row r="564">
      <c r="A564" s="207"/>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row>
    <row r="565">
      <c r="A565" s="207"/>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row>
    <row r="566">
      <c r="A566" s="207"/>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row>
    <row r="567">
      <c r="A567" s="207"/>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row>
    <row r="568">
      <c r="A568" s="207"/>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row>
    <row r="569">
      <c r="A569" s="207"/>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row>
    <row r="570">
      <c r="A570" s="207"/>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row>
    <row r="571">
      <c r="A571" s="207"/>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row>
    <row r="572">
      <c r="A572" s="207"/>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row>
    <row r="573">
      <c r="A573" s="207"/>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row>
    <row r="574">
      <c r="A574" s="207"/>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row>
    <row r="575">
      <c r="A575" s="207"/>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row>
    <row r="576">
      <c r="A576" s="207"/>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row>
    <row r="577">
      <c r="A577" s="207"/>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row>
    <row r="578">
      <c r="A578" s="207"/>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row>
    <row r="579">
      <c r="A579" s="207"/>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row>
    <row r="580">
      <c r="A580" s="207"/>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row>
    <row r="581">
      <c r="A581" s="207"/>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row>
    <row r="582">
      <c r="A582" s="207"/>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row>
    <row r="583">
      <c r="A583" s="207"/>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row>
    <row r="584">
      <c r="A584" s="207"/>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row>
    <row r="585">
      <c r="A585" s="207"/>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row>
    <row r="586">
      <c r="A586" s="207"/>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row>
    <row r="587">
      <c r="A587" s="207"/>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row>
    <row r="588">
      <c r="A588" s="207"/>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row>
    <row r="589">
      <c r="A589" s="207"/>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row>
    <row r="590">
      <c r="A590" s="207"/>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row>
    <row r="591">
      <c r="A591" s="207"/>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row>
    <row r="592">
      <c r="A592" s="207"/>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row>
    <row r="593">
      <c r="A593" s="207"/>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row>
    <row r="594">
      <c r="A594" s="207"/>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row>
    <row r="595">
      <c r="A595" s="207"/>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row>
    <row r="596">
      <c r="A596" s="207"/>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row>
    <row r="597">
      <c r="A597" s="207"/>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row>
    <row r="598">
      <c r="A598" s="207"/>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row>
    <row r="599">
      <c r="A599" s="207"/>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row>
    <row r="600">
      <c r="A600" s="207"/>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row>
    <row r="601">
      <c r="A601" s="207"/>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row>
    <row r="602">
      <c r="A602" s="207"/>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row>
    <row r="603">
      <c r="A603" s="207"/>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row>
    <row r="604">
      <c r="A604" s="207"/>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row>
    <row r="605">
      <c r="A605" s="207"/>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row>
    <row r="606">
      <c r="A606" s="207"/>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row>
    <row r="607">
      <c r="A607" s="207"/>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row>
    <row r="608">
      <c r="A608" s="207"/>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row>
    <row r="609">
      <c r="A609" s="207"/>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row>
    <row r="610">
      <c r="A610" s="207"/>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row>
    <row r="611">
      <c r="A611" s="207"/>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row>
    <row r="612">
      <c r="A612" s="207"/>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row>
    <row r="613">
      <c r="A613" s="207"/>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row>
    <row r="614">
      <c r="A614" s="207"/>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row>
    <row r="615">
      <c r="A615" s="207"/>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row>
    <row r="616">
      <c r="A616" s="207"/>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row>
    <row r="617">
      <c r="A617" s="207"/>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row>
    <row r="618">
      <c r="A618" s="207"/>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row>
    <row r="619">
      <c r="A619" s="207"/>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row>
    <row r="620">
      <c r="A620" s="207"/>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row>
    <row r="621">
      <c r="A621" s="207"/>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row>
    <row r="622">
      <c r="A622" s="207"/>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row>
    <row r="623">
      <c r="A623" s="207"/>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row>
    <row r="624">
      <c r="A624" s="207"/>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row>
    <row r="625">
      <c r="A625" s="207"/>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row>
    <row r="626">
      <c r="A626" s="207"/>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row>
    <row r="627">
      <c r="A627" s="207"/>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row>
    <row r="628">
      <c r="A628" s="207"/>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row>
    <row r="629">
      <c r="A629" s="207"/>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row>
    <row r="630">
      <c r="A630" s="207"/>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row>
    <row r="631">
      <c r="A631" s="207"/>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row>
    <row r="632">
      <c r="A632" s="207"/>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row>
    <row r="633">
      <c r="A633" s="207"/>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row>
    <row r="634">
      <c r="A634" s="207"/>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row>
    <row r="635">
      <c r="A635" s="207"/>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row>
    <row r="636">
      <c r="A636" s="207"/>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row>
    <row r="637">
      <c r="A637" s="207"/>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row>
    <row r="638">
      <c r="A638" s="207"/>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row>
    <row r="639">
      <c r="A639" s="207"/>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row>
    <row r="640">
      <c r="A640" s="207"/>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row>
    <row r="641">
      <c r="A641" s="207"/>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row>
    <row r="642">
      <c r="A642" s="207"/>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row>
    <row r="643">
      <c r="A643" s="207"/>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row>
    <row r="644">
      <c r="A644" s="207"/>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row>
    <row r="645">
      <c r="A645" s="207"/>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row>
    <row r="646">
      <c r="A646" s="207"/>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row>
    <row r="647">
      <c r="A647" s="207"/>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row>
    <row r="648">
      <c r="A648" s="207"/>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row>
    <row r="649">
      <c r="A649" s="207"/>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row>
    <row r="650">
      <c r="A650" s="207"/>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row>
    <row r="651">
      <c r="A651" s="207"/>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row>
    <row r="652">
      <c r="A652" s="207"/>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row>
    <row r="653">
      <c r="A653" s="207"/>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row>
    <row r="654">
      <c r="A654" s="207"/>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row>
    <row r="655">
      <c r="A655" s="207"/>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row>
    <row r="656">
      <c r="A656" s="207"/>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row>
    <row r="657">
      <c r="A657" s="207"/>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row>
    <row r="658">
      <c r="A658" s="207"/>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row>
    <row r="659">
      <c r="A659" s="207"/>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row>
    <row r="660">
      <c r="A660" s="207"/>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row>
    <row r="661">
      <c r="A661" s="207"/>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row>
    <row r="662">
      <c r="A662" s="207"/>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row>
    <row r="663">
      <c r="A663" s="207"/>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row>
    <row r="664">
      <c r="A664" s="207"/>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row>
    <row r="665">
      <c r="A665" s="207"/>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row>
    <row r="666">
      <c r="A666" s="207"/>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row>
    <row r="667">
      <c r="A667" s="207"/>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row>
    <row r="668">
      <c r="A668" s="207"/>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row>
    <row r="669">
      <c r="A669" s="207"/>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row>
    <row r="670">
      <c r="A670" s="207"/>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row>
    <row r="671">
      <c r="A671" s="207"/>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row>
    <row r="672">
      <c r="A672" s="207"/>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row>
    <row r="673">
      <c r="A673" s="207"/>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row>
    <row r="674">
      <c r="A674" s="207"/>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row>
    <row r="675">
      <c r="A675" s="207"/>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row>
    <row r="676">
      <c r="A676" s="207"/>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row>
    <row r="677">
      <c r="A677" s="207"/>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row>
    <row r="678">
      <c r="A678" s="207"/>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row>
    <row r="679">
      <c r="A679" s="207"/>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row>
    <row r="680">
      <c r="A680" s="207"/>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row>
    <row r="681">
      <c r="A681" s="207"/>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row>
    <row r="682">
      <c r="A682" s="207"/>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row>
    <row r="683">
      <c r="A683" s="207"/>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row>
    <row r="684">
      <c r="A684" s="207"/>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row>
    <row r="685">
      <c r="A685" s="207"/>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row>
    <row r="686">
      <c r="A686" s="207"/>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row>
    <row r="687">
      <c r="A687" s="207"/>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row>
    <row r="688">
      <c r="A688" s="207"/>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row>
    <row r="689">
      <c r="A689" s="207"/>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row>
    <row r="690">
      <c r="A690" s="207"/>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row>
    <row r="691">
      <c r="A691" s="207"/>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row>
    <row r="692">
      <c r="A692" s="207"/>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row>
    <row r="693">
      <c r="A693" s="207"/>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row>
    <row r="694">
      <c r="A694" s="207"/>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row>
    <row r="695">
      <c r="A695" s="207"/>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row>
    <row r="696">
      <c r="A696" s="207"/>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row>
    <row r="697">
      <c r="A697" s="207"/>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row>
    <row r="698">
      <c r="A698" s="207"/>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row>
    <row r="699">
      <c r="A699" s="207"/>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row>
    <row r="700">
      <c r="A700" s="207"/>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row>
    <row r="701">
      <c r="A701" s="207"/>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row>
    <row r="702">
      <c r="A702" s="207"/>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row>
    <row r="703">
      <c r="A703" s="207"/>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row>
    <row r="704">
      <c r="A704" s="207"/>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row>
    <row r="705">
      <c r="A705" s="207"/>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row>
    <row r="706">
      <c r="A706" s="207"/>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row>
    <row r="707">
      <c r="A707" s="207"/>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row>
    <row r="708">
      <c r="A708" s="207"/>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row>
    <row r="709">
      <c r="A709" s="207"/>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row>
    <row r="710">
      <c r="A710" s="207"/>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row>
    <row r="711">
      <c r="A711" s="207"/>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row>
    <row r="712">
      <c r="A712" s="207"/>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row>
    <row r="713">
      <c r="A713" s="207"/>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row>
    <row r="714">
      <c r="A714" s="207"/>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row>
    <row r="715">
      <c r="A715" s="207"/>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row>
    <row r="716">
      <c r="A716" s="207"/>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row>
    <row r="717">
      <c r="A717" s="207"/>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row>
    <row r="718">
      <c r="A718" s="207"/>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row>
    <row r="719">
      <c r="A719" s="207"/>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row>
    <row r="720">
      <c r="A720" s="207"/>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row>
    <row r="721">
      <c r="A721" s="207"/>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row>
    <row r="722">
      <c r="A722" s="207"/>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row>
    <row r="723">
      <c r="A723" s="207"/>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row>
    <row r="724">
      <c r="A724" s="207"/>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row>
    <row r="725">
      <c r="A725" s="207"/>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row>
    <row r="726">
      <c r="A726" s="207"/>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row>
    <row r="727">
      <c r="A727" s="207"/>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row>
    <row r="728">
      <c r="A728" s="207"/>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row>
    <row r="729">
      <c r="A729" s="207"/>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row>
    <row r="730">
      <c r="A730" s="207"/>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row>
    <row r="731">
      <c r="A731" s="207"/>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row>
    <row r="732">
      <c r="A732" s="207"/>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row>
    <row r="733">
      <c r="A733" s="207"/>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row>
    <row r="734">
      <c r="A734" s="207"/>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row>
    <row r="735">
      <c r="A735" s="207"/>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row>
    <row r="736">
      <c r="A736" s="207"/>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row>
    <row r="737">
      <c r="A737" s="207"/>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row>
    <row r="738">
      <c r="A738" s="207"/>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row>
    <row r="739">
      <c r="A739" s="207"/>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row>
    <row r="740">
      <c r="A740" s="207"/>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row>
    <row r="741">
      <c r="A741" s="207"/>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row>
    <row r="742">
      <c r="A742" s="207"/>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row>
    <row r="743">
      <c r="A743" s="207"/>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row>
    <row r="744">
      <c r="A744" s="207"/>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row>
    <row r="745">
      <c r="A745" s="207"/>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row>
    <row r="746">
      <c r="A746" s="207"/>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row>
    <row r="747">
      <c r="A747" s="207"/>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row>
    <row r="748">
      <c r="A748" s="207"/>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row>
    <row r="749">
      <c r="A749" s="207"/>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row>
    <row r="750">
      <c r="A750" s="207"/>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row>
    <row r="751">
      <c r="A751" s="207"/>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row>
    <row r="752">
      <c r="A752" s="207"/>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row>
    <row r="753">
      <c r="A753" s="207"/>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row>
    <row r="754">
      <c r="A754" s="207"/>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row>
    <row r="755">
      <c r="A755" s="207"/>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row>
    <row r="756">
      <c r="A756" s="207"/>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row>
    <row r="757">
      <c r="A757" s="207"/>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row>
    <row r="758">
      <c r="A758" s="207"/>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row>
    <row r="759">
      <c r="A759" s="207"/>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row>
    <row r="760">
      <c r="A760" s="207"/>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row>
    <row r="761">
      <c r="A761" s="207"/>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row>
    <row r="762">
      <c r="A762" s="207"/>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row>
    <row r="763">
      <c r="A763" s="207"/>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row>
    <row r="764">
      <c r="A764" s="207"/>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row>
    <row r="765">
      <c r="A765" s="207"/>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row>
    <row r="766">
      <c r="A766" s="207"/>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row>
    <row r="767">
      <c r="A767" s="207"/>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row>
    <row r="768">
      <c r="A768" s="207"/>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row>
    <row r="769">
      <c r="A769" s="207"/>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row>
    <row r="770">
      <c r="A770" s="207"/>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row>
    <row r="771">
      <c r="A771" s="207"/>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row>
    <row r="772">
      <c r="A772" s="207"/>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row>
    <row r="773">
      <c r="A773" s="207"/>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row>
    <row r="774">
      <c r="A774" s="207"/>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row>
    <row r="775">
      <c r="A775" s="207"/>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row>
    <row r="776">
      <c r="A776" s="207"/>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row>
    <row r="777">
      <c r="A777" s="207"/>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row>
    <row r="778">
      <c r="A778" s="207"/>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row>
    <row r="779">
      <c r="A779" s="207"/>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row>
    <row r="780">
      <c r="A780" s="207"/>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row>
    <row r="781">
      <c r="A781" s="207"/>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row>
    <row r="782">
      <c r="A782" s="207"/>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row>
    <row r="783">
      <c r="A783" s="207"/>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row>
    <row r="784">
      <c r="A784" s="207"/>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row>
    <row r="785">
      <c r="A785" s="207"/>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row>
    <row r="786">
      <c r="A786" s="207"/>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row>
    <row r="787">
      <c r="A787" s="207"/>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row>
    <row r="788">
      <c r="A788" s="207"/>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row>
    <row r="789">
      <c r="A789" s="207"/>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row>
    <row r="790">
      <c r="A790" s="207"/>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row>
    <row r="791">
      <c r="A791" s="207"/>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row>
    <row r="792">
      <c r="A792" s="207"/>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row>
    <row r="793">
      <c r="A793" s="207"/>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row>
    <row r="794">
      <c r="A794" s="207"/>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row>
    <row r="795">
      <c r="A795" s="207"/>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row>
    <row r="796">
      <c r="A796" s="207"/>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row>
    <row r="797">
      <c r="A797" s="207"/>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row>
    <row r="798">
      <c r="A798" s="207"/>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row>
    <row r="799">
      <c r="A799" s="207"/>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row>
    <row r="800">
      <c r="A800" s="207"/>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row>
    <row r="801">
      <c r="A801" s="207"/>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row>
    <row r="802">
      <c r="A802" s="207"/>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row>
    <row r="803">
      <c r="A803" s="207"/>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row>
    <row r="804">
      <c r="A804" s="207"/>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row>
    <row r="805">
      <c r="A805" s="207"/>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row>
    <row r="806">
      <c r="A806" s="207"/>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row>
    <row r="807">
      <c r="A807" s="207"/>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row>
    <row r="808">
      <c r="A808" s="207"/>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row>
    <row r="809">
      <c r="A809" s="207"/>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row>
    <row r="810">
      <c r="A810" s="207"/>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row>
    <row r="811">
      <c r="A811" s="207"/>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row>
    <row r="812">
      <c r="A812" s="207"/>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row>
    <row r="813">
      <c r="A813" s="207"/>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row>
    <row r="814">
      <c r="A814" s="207"/>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row>
    <row r="815">
      <c r="A815" s="207"/>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row>
    <row r="816">
      <c r="A816" s="207"/>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row>
    <row r="817">
      <c r="A817" s="207"/>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row>
    <row r="818">
      <c r="A818" s="207"/>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row>
    <row r="819">
      <c r="A819" s="207"/>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row>
    <row r="820">
      <c r="A820" s="207"/>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row>
    <row r="821">
      <c r="A821" s="207"/>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row>
    <row r="822">
      <c r="A822" s="207"/>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row>
    <row r="823">
      <c r="A823" s="207"/>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row>
    <row r="824">
      <c r="A824" s="207"/>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row>
    <row r="825">
      <c r="A825" s="207"/>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row>
    <row r="826">
      <c r="A826" s="207"/>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row>
    <row r="827">
      <c r="A827" s="207"/>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row>
    <row r="828">
      <c r="A828" s="207"/>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row>
    <row r="829">
      <c r="A829" s="207"/>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row>
    <row r="830">
      <c r="A830" s="207"/>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row>
    <row r="831">
      <c r="A831" s="207"/>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row>
    <row r="832">
      <c r="A832" s="207"/>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row>
    <row r="833">
      <c r="A833" s="207"/>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row>
    <row r="834">
      <c r="A834" s="207"/>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row>
    <row r="835">
      <c r="A835" s="207"/>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row>
    <row r="836">
      <c r="A836" s="207"/>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row>
    <row r="837">
      <c r="A837" s="207"/>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row>
    <row r="838">
      <c r="A838" s="207"/>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row>
    <row r="839">
      <c r="A839" s="207"/>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row>
    <row r="840">
      <c r="A840" s="207"/>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row>
    <row r="841">
      <c r="A841" s="207"/>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row>
    <row r="842">
      <c r="A842" s="207"/>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row>
    <row r="843">
      <c r="A843" s="207"/>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row>
    <row r="844">
      <c r="A844" s="207"/>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row>
    <row r="845">
      <c r="A845" s="207"/>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row>
    <row r="846">
      <c r="A846" s="207"/>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row>
    <row r="847">
      <c r="A847" s="207"/>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row>
    <row r="848">
      <c r="A848" s="207"/>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row>
    <row r="849">
      <c r="A849" s="207"/>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row>
    <row r="850">
      <c r="A850" s="207"/>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row>
    <row r="851">
      <c r="A851" s="207"/>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row>
    <row r="852">
      <c r="A852" s="207"/>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row>
    <row r="853">
      <c r="A853" s="207"/>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row>
    <row r="854">
      <c r="A854" s="207"/>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row>
    <row r="855">
      <c r="A855" s="207"/>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row>
    <row r="856">
      <c r="A856" s="207"/>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row>
    <row r="857">
      <c r="A857" s="207"/>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row>
    <row r="858">
      <c r="A858" s="207"/>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row>
    <row r="859">
      <c r="A859" s="207"/>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row>
    <row r="860">
      <c r="A860" s="207"/>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row>
    <row r="861">
      <c r="A861" s="207"/>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row>
    <row r="862">
      <c r="A862" s="207"/>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row>
    <row r="863">
      <c r="A863" s="207"/>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row>
    <row r="864">
      <c r="A864" s="207"/>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row>
    <row r="865">
      <c r="A865" s="207"/>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row>
    <row r="866">
      <c r="A866" s="207"/>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row>
    <row r="867">
      <c r="A867" s="207"/>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row>
    <row r="868">
      <c r="A868" s="207"/>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row>
    <row r="869">
      <c r="A869" s="207"/>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row>
    <row r="870">
      <c r="A870" s="207"/>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row>
    <row r="871">
      <c r="A871" s="207"/>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row>
    <row r="872">
      <c r="A872" s="207"/>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row>
    <row r="873">
      <c r="A873" s="207"/>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row>
    <row r="874">
      <c r="A874" s="207"/>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row>
    <row r="875">
      <c r="A875" s="207"/>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row>
    <row r="876">
      <c r="A876" s="207"/>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row>
    <row r="877">
      <c r="A877" s="207"/>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row>
    <row r="878">
      <c r="A878" s="207"/>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row>
    <row r="879">
      <c r="A879" s="207"/>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row>
    <row r="880">
      <c r="A880" s="207"/>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row>
    <row r="881">
      <c r="A881" s="207"/>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row>
    <row r="882">
      <c r="A882" s="207"/>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row>
    <row r="883">
      <c r="A883" s="207"/>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row>
    <row r="884">
      <c r="A884" s="207"/>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row>
    <row r="885">
      <c r="A885" s="207"/>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row>
    <row r="886">
      <c r="A886" s="207"/>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row>
    <row r="887">
      <c r="A887" s="207"/>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row>
    <row r="888">
      <c r="A888" s="207"/>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row>
    <row r="889">
      <c r="A889" s="207"/>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row>
    <row r="890">
      <c r="A890" s="207"/>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row>
    <row r="891">
      <c r="A891" s="207"/>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row>
    <row r="892">
      <c r="A892" s="207"/>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row>
    <row r="893">
      <c r="A893" s="207"/>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row>
    <row r="894">
      <c r="A894" s="207"/>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row>
    <row r="895">
      <c r="A895" s="207"/>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row>
    <row r="896">
      <c r="A896" s="207"/>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row>
    <row r="897">
      <c r="A897" s="207"/>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row>
    <row r="898">
      <c r="A898" s="207"/>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row>
    <row r="899">
      <c r="A899" s="207"/>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row>
    <row r="900">
      <c r="A900" s="207"/>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row>
    <row r="901">
      <c r="A901" s="207"/>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row>
    <row r="902">
      <c r="A902" s="207"/>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row>
    <row r="903">
      <c r="A903" s="207"/>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row>
    <row r="904">
      <c r="A904" s="207"/>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row>
    <row r="905">
      <c r="A905" s="207"/>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row>
    <row r="906">
      <c r="A906" s="207"/>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row>
    <row r="907">
      <c r="A907" s="207"/>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row>
    <row r="908">
      <c r="A908" s="207"/>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row>
    <row r="909">
      <c r="A909" s="207"/>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row>
    <row r="910">
      <c r="A910" s="207"/>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row>
    <row r="911">
      <c r="A911" s="207"/>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row>
    <row r="912">
      <c r="A912" s="207"/>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row>
    <row r="913">
      <c r="A913" s="207"/>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row>
    <row r="914">
      <c r="A914" s="207"/>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row>
    <row r="915">
      <c r="A915" s="207"/>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row>
    <row r="916">
      <c r="A916" s="207"/>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row>
    <row r="917">
      <c r="A917" s="207"/>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row>
    <row r="918">
      <c r="A918" s="207"/>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row>
    <row r="919">
      <c r="A919" s="207"/>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row>
    <row r="920">
      <c r="A920" s="207"/>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row>
    <row r="921">
      <c r="A921" s="207"/>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row>
    <row r="922">
      <c r="A922" s="207"/>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row>
    <row r="923">
      <c r="A923" s="207"/>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row>
    <row r="924">
      <c r="A924" s="207"/>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row>
    <row r="925">
      <c r="A925" s="207"/>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row>
    <row r="926">
      <c r="A926" s="207"/>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row>
    <row r="927">
      <c r="A927" s="207"/>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row>
    <row r="928">
      <c r="A928" s="207"/>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row>
    <row r="929">
      <c r="A929" s="207"/>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row>
    <row r="930">
      <c r="A930" s="207"/>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row>
    <row r="931">
      <c r="A931" s="207"/>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row>
    <row r="932">
      <c r="A932" s="207"/>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row>
    <row r="933">
      <c r="A933" s="207"/>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row>
    <row r="934">
      <c r="A934" s="207"/>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row>
    <row r="935">
      <c r="A935" s="207"/>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row>
    <row r="936">
      <c r="A936" s="207"/>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row>
    <row r="937">
      <c r="A937" s="207"/>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row>
    <row r="938">
      <c r="A938" s="207"/>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row>
    <row r="939">
      <c r="A939" s="207"/>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row>
    <row r="940">
      <c r="A940" s="207"/>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row>
    <row r="941">
      <c r="A941" s="207"/>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row>
    <row r="942">
      <c r="A942" s="207"/>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row>
    <row r="943">
      <c r="A943" s="207"/>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row>
    <row r="944">
      <c r="A944" s="207"/>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row>
    <row r="945">
      <c r="A945" s="207"/>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row>
    <row r="946">
      <c r="A946" s="207"/>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row>
    <row r="947">
      <c r="A947" s="207"/>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row>
    <row r="948">
      <c r="A948" s="207"/>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row>
    <row r="949">
      <c r="A949" s="207"/>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row>
    <row r="950">
      <c r="A950" s="207"/>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row>
    <row r="951">
      <c r="A951" s="207"/>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row>
    <row r="952">
      <c r="A952" s="207"/>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row>
    <row r="953">
      <c r="A953" s="207"/>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row>
    <row r="954">
      <c r="A954" s="207"/>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row>
    <row r="955">
      <c r="A955" s="207"/>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row>
    <row r="956">
      <c r="A956" s="207"/>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row>
    <row r="957">
      <c r="A957" s="207"/>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row>
    <row r="958">
      <c r="A958" s="207"/>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row>
    <row r="959">
      <c r="A959" s="207"/>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row>
    <row r="960">
      <c r="A960" s="207"/>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row>
    <row r="961">
      <c r="A961" s="207"/>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row>
    <row r="962">
      <c r="A962" s="207"/>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row>
    <row r="963">
      <c r="A963" s="207"/>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row>
    <row r="964">
      <c r="A964" s="207"/>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row>
    <row r="965">
      <c r="A965" s="207"/>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row>
    <row r="966">
      <c r="A966" s="207"/>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row>
    <row r="967">
      <c r="A967" s="207"/>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row>
    <row r="968">
      <c r="A968" s="207"/>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row>
    <row r="969">
      <c r="A969" s="207"/>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row>
    <row r="970">
      <c r="A970" s="207"/>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row>
    <row r="971">
      <c r="A971" s="207"/>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row>
    <row r="972">
      <c r="A972" s="207"/>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row>
    <row r="973">
      <c r="A973" s="207"/>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row>
    <row r="974">
      <c r="A974" s="207"/>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row>
    <row r="975">
      <c r="A975" s="207"/>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row>
    <row r="976">
      <c r="A976" s="207"/>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row>
    <row r="977">
      <c r="A977" s="207"/>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row>
    <row r="978">
      <c r="A978" s="207"/>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row>
    <row r="979">
      <c r="A979" s="207"/>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row>
    <row r="980">
      <c r="A980" s="207"/>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row>
    <row r="981">
      <c r="A981" s="207"/>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row>
    <row r="982">
      <c r="A982" s="207"/>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row>
    <row r="983">
      <c r="A983" s="207"/>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row>
    <row r="984">
      <c r="A984" s="207"/>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row>
    <row r="985">
      <c r="A985" s="207"/>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row>
    <row r="986">
      <c r="A986" s="207"/>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row>
    <row r="987">
      <c r="A987" s="207"/>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row>
    <row r="988">
      <c r="A988" s="207"/>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row>
    <row r="989">
      <c r="A989" s="207"/>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row>
    <row r="990">
      <c r="A990" s="207"/>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row>
    <row r="991">
      <c r="A991" s="207"/>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row>
    <row r="992">
      <c r="A992" s="207"/>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row>
    <row r="993">
      <c r="A993" s="207"/>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row>
    <row r="994">
      <c r="A994" s="207"/>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row>
    <row r="995">
      <c r="A995" s="207"/>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row>
    <row r="996">
      <c r="A996" s="207"/>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row>
    <row r="997">
      <c r="A997" s="207"/>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row>
    <row r="998">
      <c r="A998" s="207"/>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row>
    <row r="999">
      <c r="A999" s="207"/>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row>
    <row r="1000">
      <c r="A1000" s="208"/>
    </row>
  </sheetData>
  <mergeCells count="5">
    <mergeCell ref="A2:A8"/>
    <mergeCell ref="A9:A12"/>
    <mergeCell ref="A23:A28"/>
    <mergeCell ref="A29:A36"/>
    <mergeCell ref="A37:A48"/>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sheetViews>
  <sheetFormatPr customHeight="1" defaultColWidth="12.63" defaultRowHeight="15.0"/>
  <cols>
    <col customWidth="1" min="1" max="1" width="11.13"/>
    <col customWidth="1" min="2" max="2" width="23.5"/>
    <col customWidth="1" min="3" max="3" width="17.25"/>
    <col customWidth="1" min="4" max="4" width="14.5"/>
    <col customWidth="1" min="5" max="5" width="22.38"/>
    <col customWidth="1" min="6" max="6" width="44.25"/>
    <col customWidth="1" min="7" max="7" width="54.25"/>
    <col customWidth="1" min="8" max="8" width="39.88"/>
    <col customWidth="1" min="9" max="9" width="9.88"/>
    <col customWidth="1" min="10" max="10" width="10.5"/>
    <col customWidth="1" min="11" max="11" width="17.0"/>
    <col customWidth="1" min="12" max="12" width="64.63"/>
    <col customWidth="1" min="13" max="27" width="13.63"/>
  </cols>
  <sheetData>
    <row r="1" ht="14.25" customHeight="1">
      <c r="A1" s="157" t="s">
        <v>268</v>
      </c>
      <c r="B1" s="157" t="s">
        <v>269</v>
      </c>
      <c r="C1" s="157" t="s">
        <v>270</v>
      </c>
      <c r="D1" s="158" t="s">
        <v>271</v>
      </c>
      <c r="E1" s="157" t="s">
        <v>145</v>
      </c>
      <c r="F1" s="158" t="s">
        <v>272</v>
      </c>
      <c r="G1" s="157" t="s">
        <v>30</v>
      </c>
      <c r="H1" s="157" t="s">
        <v>273</v>
      </c>
      <c r="I1" s="158" t="s">
        <v>1776</v>
      </c>
      <c r="J1" s="157" t="s">
        <v>274</v>
      </c>
      <c r="K1" s="160"/>
      <c r="L1" s="160"/>
      <c r="M1" s="160"/>
      <c r="N1" s="160"/>
      <c r="O1" s="160"/>
      <c r="P1" s="160"/>
      <c r="Q1" s="160"/>
      <c r="R1" s="160"/>
      <c r="S1" s="160"/>
      <c r="T1" s="160"/>
      <c r="U1" s="160"/>
      <c r="V1" s="160"/>
      <c r="W1" s="160"/>
      <c r="X1" s="160"/>
      <c r="Y1" s="160"/>
      <c r="Z1" s="160"/>
      <c r="AA1" s="160"/>
    </row>
    <row r="2" ht="14.25" customHeight="1">
      <c r="A2" s="164" t="s">
        <v>4148</v>
      </c>
      <c r="B2" s="162"/>
      <c r="C2" s="147" t="s">
        <v>4149</v>
      </c>
      <c r="D2" s="163"/>
      <c r="E2" s="165" t="s">
        <v>4150</v>
      </c>
      <c r="F2" s="173"/>
      <c r="G2" s="165" t="s">
        <v>4151</v>
      </c>
      <c r="H2" s="165" t="s">
        <v>4152</v>
      </c>
      <c r="I2" s="164" t="s">
        <v>36</v>
      </c>
      <c r="J2" s="163"/>
      <c r="K2" s="163"/>
      <c r="L2" s="163"/>
      <c r="M2" s="163"/>
      <c r="N2" s="163"/>
      <c r="O2" s="163"/>
      <c r="P2" s="163"/>
      <c r="Q2" s="163"/>
      <c r="R2" s="163"/>
      <c r="S2" s="163"/>
      <c r="T2" s="163"/>
      <c r="U2" s="163"/>
      <c r="V2" s="163"/>
      <c r="W2" s="163"/>
      <c r="X2" s="163"/>
      <c r="Y2" s="163"/>
      <c r="Z2" s="163"/>
      <c r="AA2" s="163"/>
    </row>
    <row r="3" ht="14.25" customHeight="1">
      <c r="A3" s="164" t="s">
        <v>4148</v>
      </c>
      <c r="B3" s="109"/>
      <c r="C3" s="147" t="s">
        <v>4153</v>
      </c>
      <c r="D3" s="163"/>
      <c r="E3" s="165" t="s">
        <v>4150</v>
      </c>
      <c r="F3" s="173"/>
      <c r="G3" s="165" t="s">
        <v>4154</v>
      </c>
      <c r="H3" s="165" t="s">
        <v>4155</v>
      </c>
      <c r="I3" s="164" t="s">
        <v>36</v>
      </c>
      <c r="J3" s="163"/>
      <c r="K3" s="163"/>
      <c r="L3" s="163"/>
      <c r="M3" s="163"/>
      <c r="N3" s="163"/>
      <c r="O3" s="163"/>
      <c r="P3" s="163"/>
      <c r="Q3" s="163"/>
      <c r="R3" s="163"/>
      <c r="S3" s="163"/>
      <c r="T3" s="163"/>
      <c r="U3" s="163"/>
      <c r="V3" s="163"/>
      <c r="W3" s="163"/>
      <c r="X3" s="163"/>
      <c r="Y3" s="163"/>
      <c r="Z3" s="163"/>
      <c r="AA3" s="163"/>
    </row>
    <row r="4" ht="14.25" customHeight="1">
      <c r="A4" s="164" t="s">
        <v>4156</v>
      </c>
      <c r="B4" s="162"/>
      <c r="C4" s="147" t="s">
        <v>4157</v>
      </c>
      <c r="D4" s="163"/>
      <c r="E4" s="165" t="s">
        <v>4158</v>
      </c>
      <c r="F4" s="165" t="s">
        <v>4159</v>
      </c>
      <c r="G4" s="165" t="s">
        <v>4160</v>
      </c>
      <c r="H4" s="165" t="s">
        <v>4161</v>
      </c>
      <c r="I4" s="164" t="s">
        <v>36</v>
      </c>
      <c r="J4" s="164" t="s">
        <v>4162</v>
      </c>
      <c r="K4" s="164" t="s">
        <v>2062</v>
      </c>
      <c r="L4" s="163"/>
      <c r="M4" s="163"/>
      <c r="N4" s="163"/>
      <c r="O4" s="163"/>
      <c r="P4" s="163"/>
      <c r="Q4" s="163"/>
      <c r="R4" s="163"/>
      <c r="S4" s="163"/>
      <c r="T4" s="163"/>
      <c r="U4" s="163"/>
      <c r="V4" s="163"/>
      <c r="W4" s="163"/>
      <c r="X4" s="163"/>
      <c r="Y4" s="163"/>
      <c r="Z4" s="163"/>
      <c r="AA4" s="163"/>
    </row>
    <row r="5" ht="14.25" customHeight="1">
      <c r="A5" s="164" t="s">
        <v>4156</v>
      </c>
      <c r="B5" s="108"/>
      <c r="C5" s="147" t="s">
        <v>4163</v>
      </c>
      <c r="D5" s="163"/>
      <c r="E5" s="165" t="s">
        <v>4158</v>
      </c>
      <c r="F5" s="165" t="s">
        <v>4164</v>
      </c>
      <c r="G5" s="165" t="s">
        <v>4165</v>
      </c>
      <c r="H5" s="165" t="s">
        <v>4166</v>
      </c>
      <c r="I5" s="164" t="s">
        <v>36</v>
      </c>
      <c r="J5" s="164" t="s">
        <v>4162</v>
      </c>
      <c r="K5" s="164" t="s">
        <v>2062</v>
      </c>
      <c r="L5" s="163"/>
      <c r="M5" s="163"/>
      <c r="N5" s="163"/>
      <c r="O5" s="163"/>
      <c r="P5" s="163"/>
      <c r="Q5" s="163"/>
      <c r="R5" s="163"/>
      <c r="S5" s="163"/>
      <c r="T5" s="163"/>
      <c r="U5" s="163"/>
      <c r="V5" s="163"/>
      <c r="W5" s="163"/>
      <c r="X5" s="163"/>
      <c r="Y5" s="163"/>
      <c r="Z5" s="163"/>
      <c r="AA5" s="163"/>
    </row>
    <row r="6" ht="14.25" customHeight="1">
      <c r="A6" s="164" t="s">
        <v>4156</v>
      </c>
      <c r="B6" s="108"/>
      <c r="C6" s="147" t="s">
        <v>4167</v>
      </c>
      <c r="D6" s="163"/>
      <c r="E6" s="165" t="s">
        <v>4158</v>
      </c>
      <c r="F6" s="165" t="s">
        <v>4164</v>
      </c>
      <c r="G6" s="165" t="s">
        <v>4168</v>
      </c>
      <c r="H6" s="165" t="s">
        <v>4169</v>
      </c>
      <c r="I6" s="164" t="s">
        <v>36</v>
      </c>
      <c r="J6" s="164" t="s">
        <v>4162</v>
      </c>
      <c r="K6" s="164" t="s">
        <v>2062</v>
      </c>
      <c r="L6" s="163"/>
      <c r="M6" s="163"/>
      <c r="N6" s="163"/>
      <c r="O6" s="163"/>
      <c r="P6" s="163"/>
      <c r="Q6" s="163"/>
      <c r="R6" s="163"/>
      <c r="S6" s="163"/>
      <c r="T6" s="163"/>
      <c r="U6" s="163"/>
      <c r="V6" s="163"/>
      <c r="W6" s="163"/>
      <c r="X6" s="163"/>
      <c r="Y6" s="163"/>
      <c r="Z6" s="163"/>
      <c r="AA6" s="163"/>
    </row>
    <row r="7" ht="14.25" customHeight="1">
      <c r="A7" s="164" t="s">
        <v>4156</v>
      </c>
      <c r="B7" s="109"/>
      <c r="C7" s="147" t="s">
        <v>4170</v>
      </c>
      <c r="D7" s="163"/>
      <c r="E7" s="165" t="s">
        <v>4158</v>
      </c>
      <c r="F7" s="165" t="s">
        <v>4164</v>
      </c>
      <c r="G7" s="165" t="s">
        <v>4171</v>
      </c>
      <c r="H7" s="165" t="s">
        <v>4172</v>
      </c>
      <c r="I7" s="164" t="s">
        <v>36</v>
      </c>
      <c r="J7" s="164" t="s">
        <v>4162</v>
      </c>
      <c r="K7" s="164" t="s">
        <v>2062</v>
      </c>
      <c r="L7" s="163"/>
      <c r="M7" s="163"/>
      <c r="N7" s="163"/>
      <c r="O7" s="163"/>
      <c r="P7" s="163"/>
      <c r="Q7" s="163"/>
      <c r="R7" s="163"/>
      <c r="S7" s="163"/>
      <c r="T7" s="163"/>
      <c r="U7" s="163"/>
      <c r="V7" s="163"/>
      <c r="W7" s="163"/>
      <c r="X7" s="163"/>
      <c r="Y7" s="163"/>
      <c r="Z7" s="163"/>
      <c r="AA7" s="163"/>
    </row>
    <row r="8" ht="14.25" customHeight="1">
      <c r="A8" s="164" t="s">
        <v>4173</v>
      </c>
      <c r="B8" s="166" t="s">
        <v>4174</v>
      </c>
      <c r="C8" s="147" t="s">
        <v>4175</v>
      </c>
      <c r="D8" s="163"/>
      <c r="E8" s="165" t="s">
        <v>4176</v>
      </c>
      <c r="F8" s="165" t="s">
        <v>4177</v>
      </c>
      <c r="G8" s="165" t="s">
        <v>4178</v>
      </c>
      <c r="H8" s="165" t="s">
        <v>4179</v>
      </c>
      <c r="I8" s="164" t="s">
        <v>36</v>
      </c>
      <c r="J8" s="163"/>
      <c r="K8" s="163"/>
      <c r="L8" s="163"/>
      <c r="M8" s="163"/>
      <c r="N8" s="163"/>
      <c r="O8" s="163"/>
      <c r="P8" s="163"/>
      <c r="Q8" s="163"/>
      <c r="R8" s="163"/>
      <c r="S8" s="163"/>
      <c r="T8" s="163"/>
      <c r="U8" s="163"/>
      <c r="V8" s="163"/>
      <c r="W8" s="163"/>
      <c r="X8" s="163"/>
      <c r="Y8" s="163"/>
      <c r="Z8" s="163"/>
      <c r="AA8" s="163"/>
    </row>
    <row r="9" ht="14.25" customHeight="1">
      <c r="A9" s="164" t="s">
        <v>4173</v>
      </c>
      <c r="B9" s="108"/>
      <c r="C9" s="147" t="s">
        <v>4180</v>
      </c>
      <c r="D9" s="163"/>
      <c r="E9" s="165" t="s">
        <v>4176</v>
      </c>
      <c r="F9" s="165" t="s">
        <v>4181</v>
      </c>
      <c r="G9" s="165" t="s">
        <v>4182</v>
      </c>
      <c r="H9" s="165" t="s">
        <v>4183</v>
      </c>
      <c r="I9" s="164" t="s">
        <v>36</v>
      </c>
      <c r="J9" s="163"/>
      <c r="K9" s="163"/>
      <c r="L9" s="163"/>
      <c r="M9" s="163"/>
      <c r="N9" s="163"/>
      <c r="O9" s="163"/>
      <c r="P9" s="163"/>
      <c r="Q9" s="163"/>
      <c r="R9" s="163"/>
      <c r="S9" s="163"/>
      <c r="T9" s="163"/>
      <c r="U9" s="163"/>
      <c r="V9" s="163"/>
      <c r="W9" s="163"/>
      <c r="X9" s="163"/>
      <c r="Y9" s="163"/>
      <c r="Z9" s="163"/>
      <c r="AA9" s="163"/>
    </row>
    <row r="10" ht="14.25" customHeight="1">
      <c r="A10" s="164" t="s">
        <v>4173</v>
      </c>
      <c r="B10" s="108"/>
      <c r="C10" s="147" t="s">
        <v>4184</v>
      </c>
      <c r="D10" s="163"/>
      <c r="E10" s="165" t="s">
        <v>4176</v>
      </c>
      <c r="F10" s="165" t="s">
        <v>4185</v>
      </c>
      <c r="G10" s="165" t="s">
        <v>4186</v>
      </c>
      <c r="H10" s="165" t="s">
        <v>4187</v>
      </c>
      <c r="I10" s="164" t="s">
        <v>36</v>
      </c>
      <c r="J10" s="163"/>
      <c r="K10" s="163"/>
      <c r="L10" s="163"/>
      <c r="M10" s="163"/>
      <c r="N10" s="163"/>
      <c r="O10" s="163"/>
      <c r="P10" s="163"/>
      <c r="Q10" s="163"/>
      <c r="R10" s="163"/>
      <c r="S10" s="163"/>
      <c r="T10" s="163"/>
      <c r="U10" s="163"/>
      <c r="V10" s="163"/>
      <c r="W10" s="163"/>
      <c r="X10" s="163"/>
      <c r="Y10" s="163"/>
      <c r="Z10" s="163"/>
      <c r="AA10" s="163"/>
    </row>
    <row r="11" ht="14.25" customHeight="1">
      <c r="A11" s="164" t="s">
        <v>4173</v>
      </c>
      <c r="B11" s="108"/>
      <c r="C11" s="147" t="s">
        <v>4188</v>
      </c>
      <c r="D11" s="163"/>
      <c r="E11" s="165" t="s">
        <v>4176</v>
      </c>
      <c r="F11" s="165" t="s">
        <v>4185</v>
      </c>
      <c r="G11" s="165" t="s">
        <v>4189</v>
      </c>
      <c r="H11" s="165" t="s">
        <v>4190</v>
      </c>
      <c r="I11" s="164" t="s">
        <v>36</v>
      </c>
      <c r="J11" s="163"/>
      <c r="K11" s="163"/>
      <c r="L11" s="163"/>
      <c r="M11" s="163"/>
      <c r="N11" s="163"/>
      <c r="O11" s="163"/>
      <c r="P11" s="163"/>
      <c r="Q11" s="163"/>
      <c r="R11" s="163"/>
      <c r="S11" s="163"/>
      <c r="T11" s="163"/>
      <c r="U11" s="163"/>
      <c r="V11" s="163"/>
      <c r="W11" s="163"/>
      <c r="X11" s="163"/>
      <c r="Y11" s="163"/>
      <c r="Z11" s="163"/>
      <c r="AA11" s="163"/>
    </row>
    <row r="12" ht="14.25" customHeight="1">
      <c r="A12" s="164" t="s">
        <v>4173</v>
      </c>
      <c r="B12" s="108"/>
      <c r="C12" s="147" t="s">
        <v>4191</v>
      </c>
      <c r="D12" s="163"/>
      <c r="E12" s="165" t="s">
        <v>4176</v>
      </c>
      <c r="F12" s="165" t="s">
        <v>4192</v>
      </c>
      <c r="G12" s="165" t="s">
        <v>4178</v>
      </c>
      <c r="H12" s="165" t="s">
        <v>4193</v>
      </c>
      <c r="I12" s="164" t="s">
        <v>36</v>
      </c>
      <c r="J12" s="163"/>
      <c r="K12" s="163"/>
      <c r="L12" s="163"/>
      <c r="M12" s="163"/>
      <c r="N12" s="163"/>
      <c r="O12" s="163"/>
      <c r="P12" s="163"/>
      <c r="Q12" s="163"/>
      <c r="R12" s="163"/>
      <c r="S12" s="163"/>
      <c r="T12" s="163"/>
      <c r="U12" s="163"/>
      <c r="V12" s="163"/>
      <c r="W12" s="163"/>
      <c r="X12" s="163"/>
      <c r="Y12" s="163"/>
      <c r="Z12" s="163"/>
      <c r="AA12" s="163"/>
    </row>
    <row r="13" ht="14.25" customHeight="1">
      <c r="A13" s="164" t="s">
        <v>4173</v>
      </c>
      <c r="B13" s="108"/>
      <c r="C13" s="147" t="s">
        <v>4194</v>
      </c>
      <c r="D13" s="163"/>
      <c r="E13" s="165" t="s">
        <v>4176</v>
      </c>
      <c r="F13" s="165" t="s">
        <v>4195</v>
      </c>
      <c r="G13" s="165" t="s">
        <v>4196</v>
      </c>
      <c r="H13" s="165" t="s">
        <v>4197</v>
      </c>
      <c r="I13" s="164" t="s">
        <v>36</v>
      </c>
      <c r="J13" s="163"/>
      <c r="K13" s="163"/>
      <c r="L13" s="163"/>
      <c r="M13" s="163"/>
      <c r="N13" s="163"/>
      <c r="O13" s="163"/>
      <c r="P13" s="163"/>
      <c r="Q13" s="163"/>
      <c r="R13" s="163"/>
      <c r="S13" s="163"/>
      <c r="T13" s="163"/>
      <c r="U13" s="163"/>
      <c r="V13" s="163"/>
      <c r="W13" s="163"/>
      <c r="X13" s="163"/>
      <c r="Y13" s="163"/>
      <c r="Z13" s="163"/>
      <c r="AA13" s="163"/>
    </row>
    <row r="14" ht="14.25" customHeight="1">
      <c r="A14" s="164" t="s">
        <v>4173</v>
      </c>
      <c r="B14" s="109"/>
      <c r="C14" s="147" t="s">
        <v>4198</v>
      </c>
      <c r="D14" s="163"/>
      <c r="E14" s="165" t="s">
        <v>4176</v>
      </c>
      <c r="F14" s="165" t="s">
        <v>4199</v>
      </c>
      <c r="G14" s="165" t="s">
        <v>4196</v>
      </c>
      <c r="H14" s="165" t="s">
        <v>4200</v>
      </c>
      <c r="I14" s="164" t="s">
        <v>36</v>
      </c>
      <c r="J14" s="163"/>
      <c r="K14" s="163"/>
      <c r="L14" s="163"/>
      <c r="M14" s="163"/>
      <c r="N14" s="163"/>
      <c r="O14" s="163"/>
      <c r="P14" s="163"/>
      <c r="Q14" s="163"/>
      <c r="R14" s="163"/>
      <c r="S14" s="163"/>
      <c r="T14" s="163"/>
      <c r="U14" s="163"/>
      <c r="V14" s="163"/>
      <c r="W14" s="163"/>
      <c r="X14" s="163"/>
      <c r="Y14" s="163"/>
      <c r="Z14" s="163"/>
      <c r="AA14" s="163"/>
    </row>
    <row r="15" ht="14.25" customHeight="1">
      <c r="A15" s="165" t="s">
        <v>4201</v>
      </c>
      <c r="B15" s="166" t="s">
        <v>4202</v>
      </c>
      <c r="C15" s="147" t="s">
        <v>4203</v>
      </c>
      <c r="D15" s="163"/>
      <c r="E15" s="165" t="s">
        <v>4202</v>
      </c>
      <c r="F15" s="165" t="s">
        <v>4204</v>
      </c>
      <c r="G15" s="165" t="s">
        <v>4205</v>
      </c>
      <c r="H15" s="165" t="s">
        <v>4206</v>
      </c>
      <c r="I15" s="164" t="s">
        <v>36</v>
      </c>
      <c r="J15" s="164" t="s">
        <v>4162</v>
      </c>
      <c r="K15" s="164" t="s">
        <v>2062</v>
      </c>
      <c r="L15" s="163"/>
      <c r="M15" s="163"/>
      <c r="N15" s="163"/>
      <c r="O15" s="163"/>
      <c r="P15" s="163"/>
      <c r="Q15" s="163"/>
      <c r="R15" s="163"/>
      <c r="S15" s="163"/>
      <c r="T15" s="163"/>
      <c r="U15" s="163"/>
      <c r="V15" s="163"/>
      <c r="W15" s="163"/>
      <c r="X15" s="163"/>
      <c r="Y15" s="163"/>
      <c r="Z15" s="163"/>
      <c r="AA15" s="163"/>
    </row>
    <row r="16" ht="14.25" customHeight="1">
      <c r="A16" s="165" t="s">
        <v>4201</v>
      </c>
      <c r="B16" s="108"/>
      <c r="C16" s="147" t="s">
        <v>4207</v>
      </c>
      <c r="D16" s="163"/>
      <c r="E16" s="165" t="s">
        <v>4202</v>
      </c>
      <c r="F16" s="165" t="s">
        <v>4208</v>
      </c>
      <c r="G16" s="165" t="s">
        <v>4205</v>
      </c>
      <c r="H16" s="165" t="s">
        <v>4206</v>
      </c>
      <c r="I16" s="164" t="s">
        <v>36</v>
      </c>
      <c r="J16" s="163"/>
      <c r="K16" s="163"/>
      <c r="L16" s="163"/>
      <c r="M16" s="163"/>
      <c r="N16" s="163"/>
      <c r="O16" s="163"/>
      <c r="P16" s="163"/>
      <c r="Q16" s="163"/>
      <c r="R16" s="163"/>
      <c r="S16" s="163"/>
      <c r="T16" s="163"/>
      <c r="U16" s="163"/>
      <c r="V16" s="163"/>
      <c r="W16" s="163"/>
      <c r="X16" s="163"/>
      <c r="Y16" s="163"/>
      <c r="Z16" s="163"/>
      <c r="AA16" s="163"/>
    </row>
    <row r="17" ht="14.25" customHeight="1">
      <c r="A17" s="165" t="s">
        <v>4201</v>
      </c>
      <c r="B17" s="108"/>
      <c r="C17" s="147" t="s">
        <v>4209</v>
      </c>
      <c r="D17" s="163"/>
      <c r="E17" s="165" t="s">
        <v>4202</v>
      </c>
      <c r="F17" s="165" t="s">
        <v>4210</v>
      </c>
      <c r="G17" s="165" t="s">
        <v>4211</v>
      </c>
      <c r="H17" s="165" t="s">
        <v>4212</v>
      </c>
      <c r="I17" s="164" t="s">
        <v>36</v>
      </c>
      <c r="J17" s="163"/>
      <c r="K17" s="163"/>
      <c r="L17" s="163"/>
      <c r="M17" s="163"/>
      <c r="N17" s="163"/>
      <c r="O17" s="163"/>
      <c r="P17" s="163"/>
      <c r="Q17" s="163"/>
      <c r="R17" s="163"/>
      <c r="S17" s="163"/>
      <c r="T17" s="163"/>
      <c r="U17" s="163"/>
      <c r="V17" s="163"/>
      <c r="W17" s="163"/>
      <c r="X17" s="163"/>
      <c r="Y17" s="163"/>
      <c r="Z17" s="163"/>
      <c r="AA17" s="163"/>
    </row>
    <row r="18" ht="14.25" customHeight="1">
      <c r="A18" s="165" t="s">
        <v>4201</v>
      </c>
      <c r="B18" s="108"/>
      <c r="C18" s="147" t="s">
        <v>4213</v>
      </c>
      <c r="D18" s="163"/>
      <c r="E18" s="165" t="s">
        <v>4202</v>
      </c>
      <c r="F18" s="165" t="s">
        <v>4214</v>
      </c>
      <c r="G18" s="165" t="s">
        <v>4211</v>
      </c>
      <c r="H18" s="165" t="s">
        <v>4212</v>
      </c>
      <c r="I18" s="164" t="s">
        <v>36</v>
      </c>
      <c r="J18" s="163"/>
      <c r="K18" s="163"/>
      <c r="L18" s="163"/>
      <c r="M18" s="163"/>
      <c r="N18" s="163"/>
      <c r="O18" s="163"/>
      <c r="P18" s="163"/>
      <c r="Q18" s="163"/>
      <c r="R18" s="163"/>
      <c r="S18" s="163"/>
      <c r="T18" s="163"/>
      <c r="U18" s="163"/>
      <c r="V18" s="163"/>
      <c r="W18" s="163"/>
      <c r="X18" s="163"/>
      <c r="Y18" s="163"/>
      <c r="Z18" s="163"/>
      <c r="AA18" s="163"/>
    </row>
    <row r="19" ht="14.25" customHeight="1">
      <c r="A19" s="165" t="s">
        <v>4201</v>
      </c>
      <c r="B19" s="108"/>
      <c r="C19" s="147" t="s">
        <v>4215</v>
      </c>
      <c r="D19" s="163"/>
      <c r="E19" s="165" t="s">
        <v>4202</v>
      </c>
      <c r="F19" s="165" t="s">
        <v>4216</v>
      </c>
      <c r="G19" s="165" t="s">
        <v>4217</v>
      </c>
      <c r="H19" s="165" t="s">
        <v>4218</v>
      </c>
      <c r="I19" s="164" t="s">
        <v>36</v>
      </c>
      <c r="J19" s="163"/>
      <c r="K19" s="163"/>
      <c r="L19" s="163"/>
      <c r="M19" s="163"/>
      <c r="N19" s="163"/>
      <c r="O19" s="163"/>
      <c r="P19" s="163"/>
      <c r="Q19" s="163"/>
      <c r="R19" s="163"/>
      <c r="S19" s="163"/>
      <c r="T19" s="163"/>
      <c r="U19" s="163"/>
      <c r="V19" s="163"/>
      <c r="W19" s="163"/>
      <c r="X19" s="163"/>
      <c r="Y19" s="163"/>
      <c r="Z19" s="163"/>
      <c r="AA19" s="163"/>
    </row>
    <row r="20" ht="14.25" customHeight="1">
      <c r="A20" s="165" t="s">
        <v>4201</v>
      </c>
      <c r="B20" s="108"/>
      <c r="C20" s="147" t="s">
        <v>4219</v>
      </c>
      <c r="D20" s="163"/>
      <c r="E20" s="165" t="s">
        <v>4202</v>
      </c>
      <c r="F20" s="165" t="s">
        <v>4220</v>
      </c>
      <c r="G20" s="165" t="s">
        <v>4221</v>
      </c>
      <c r="H20" s="165" t="s">
        <v>4222</v>
      </c>
      <c r="I20" s="164" t="s">
        <v>36</v>
      </c>
      <c r="J20" s="163"/>
      <c r="K20" s="163"/>
      <c r="L20" s="163"/>
      <c r="M20" s="163"/>
      <c r="N20" s="163"/>
      <c r="O20" s="163"/>
      <c r="P20" s="163"/>
      <c r="Q20" s="163"/>
      <c r="R20" s="163"/>
      <c r="S20" s="163"/>
      <c r="T20" s="163"/>
      <c r="U20" s="163"/>
      <c r="V20" s="163"/>
      <c r="W20" s="163"/>
      <c r="X20" s="163"/>
      <c r="Y20" s="163"/>
      <c r="Z20" s="163"/>
      <c r="AA20" s="163"/>
    </row>
    <row r="21" ht="14.25" customHeight="1">
      <c r="A21" s="165" t="s">
        <v>4201</v>
      </c>
      <c r="B21" s="108"/>
      <c r="C21" s="147" t="s">
        <v>4223</v>
      </c>
      <c r="D21" s="163"/>
      <c r="E21" s="165" t="s">
        <v>4202</v>
      </c>
      <c r="F21" s="165" t="s">
        <v>4204</v>
      </c>
      <c r="G21" s="165" t="s">
        <v>4224</v>
      </c>
      <c r="H21" s="165" t="s">
        <v>4225</v>
      </c>
      <c r="I21" s="164" t="s">
        <v>36</v>
      </c>
      <c r="J21" s="163"/>
      <c r="K21" s="163"/>
      <c r="L21" s="163"/>
      <c r="M21" s="163"/>
      <c r="N21" s="163"/>
      <c r="O21" s="163"/>
      <c r="P21" s="163"/>
      <c r="Q21" s="163"/>
      <c r="R21" s="163"/>
      <c r="S21" s="163"/>
      <c r="T21" s="163"/>
      <c r="U21" s="163"/>
      <c r="V21" s="163"/>
      <c r="W21" s="163"/>
      <c r="X21" s="163"/>
      <c r="Y21" s="163"/>
      <c r="Z21" s="163"/>
      <c r="AA21" s="163"/>
    </row>
    <row r="22" ht="14.25" customHeight="1">
      <c r="A22" s="165" t="s">
        <v>4201</v>
      </c>
      <c r="B22" s="108"/>
      <c r="C22" s="147" t="s">
        <v>4226</v>
      </c>
      <c r="D22" s="163"/>
      <c r="E22" s="165" t="s">
        <v>4202</v>
      </c>
      <c r="F22" s="173"/>
      <c r="G22" s="165" t="s">
        <v>4227</v>
      </c>
      <c r="H22" s="165" t="s">
        <v>4228</v>
      </c>
      <c r="I22" s="164" t="s">
        <v>36</v>
      </c>
      <c r="J22" s="163"/>
      <c r="K22" s="163"/>
      <c r="L22" s="163"/>
      <c r="M22" s="163"/>
      <c r="N22" s="163"/>
      <c r="O22" s="163"/>
      <c r="P22" s="163"/>
      <c r="Q22" s="163"/>
      <c r="R22" s="163"/>
      <c r="S22" s="163"/>
      <c r="T22" s="163"/>
      <c r="U22" s="163"/>
      <c r="V22" s="163"/>
      <c r="W22" s="163"/>
      <c r="X22" s="163"/>
      <c r="Y22" s="163"/>
      <c r="Z22" s="163"/>
      <c r="AA22" s="163"/>
    </row>
    <row r="23" ht="14.25" customHeight="1">
      <c r="A23" s="165" t="s">
        <v>4201</v>
      </c>
      <c r="B23" s="108"/>
      <c r="C23" s="147" t="s">
        <v>4229</v>
      </c>
      <c r="D23" s="163"/>
      <c r="E23" s="165" t="s">
        <v>4202</v>
      </c>
      <c r="F23" s="173"/>
      <c r="G23" s="165" t="s">
        <v>4230</v>
      </c>
      <c r="H23" s="165" t="s">
        <v>2605</v>
      </c>
      <c r="I23" s="164" t="s">
        <v>36</v>
      </c>
      <c r="J23" s="163"/>
      <c r="K23" s="163"/>
      <c r="L23" s="163"/>
      <c r="M23" s="163"/>
      <c r="N23" s="163"/>
      <c r="O23" s="163"/>
      <c r="P23" s="163"/>
      <c r="Q23" s="163"/>
      <c r="R23" s="163"/>
      <c r="S23" s="163"/>
      <c r="T23" s="163"/>
      <c r="U23" s="163"/>
      <c r="V23" s="163"/>
      <c r="W23" s="163"/>
      <c r="X23" s="163"/>
      <c r="Y23" s="163"/>
      <c r="Z23" s="163"/>
      <c r="AA23" s="163"/>
    </row>
    <row r="24" ht="14.25" customHeight="1">
      <c r="A24" s="165" t="s">
        <v>4201</v>
      </c>
      <c r="B24" s="109"/>
      <c r="C24" s="147" t="s">
        <v>4231</v>
      </c>
      <c r="D24" s="163"/>
      <c r="E24" s="165" t="s">
        <v>4202</v>
      </c>
      <c r="F24" s="173"/>
      <c r="G24" s="165" t="s">
        <v>4232</v>
      </c>
      <c r="H24" s="165" t="s">
        <v>4233</v>
      </c>
      <c r="I24" s="164" t="s">
        <v>36</v>
      </c>
      <c r="J24" s="163"/>
      <c r="K24" s="163"/>
      <c r="L24" s="163"/>
      <c r="M24" s="163"/>
      <c r="N24" s="163"/>
      <c r="O24" s="163"/>
      <c r="P24" s="163"/>
      <c r="Q24" s="163"/>
      <c r="R24" s="163"/>
      <c r="S24" s="163"/>
      <c r="T24" s="163"/>
      <c r="U24" s="163"/>
      <c r="V24" s="163"/>
      <c r="W24" s="163"/>
      <c r="X24" s="163"/>
      <c r="Y24" s="163"/>
      <c r="Z24" s="163"/>
      <c r="AA24" s="163"/>
    </row>
    <row r="25" ht="14.25" customHeight="1">
      <c r="A25" s="165" t="s">
        <v>4234</v>
      </c>
      <c r="B25" s="166" t="s">
        <v>4235</v>
      </c>
      <c r="C25" s="147" t="s">
        <v>4236</v>
      </c>
      <c r="D25" s="163"/>
      <c r="E25" s="165" t="s">
        <v>4237</v>
      </c>
      <c r="F25" s="165" t="s">
        <v>4238</v>
      </c>
      <c r="G25" s="165" t="s">
        <v>4239</v>
      </c>
      <c r="H25" s="165" t="s">
        <v>4240</v>
      </c>
      <c r="I25" s="164" t="s">
        <v>36</v>
      </c>
      <c r="J25" s="163"/>
      <c r="K25" s="163"/>
      <c r="L25" s="163"/>
      <c r="M25" s="163"/>
      <c r="N25" s="163"/>
      <c r="O25" s="163"/>
      <c r="P25" s="163"/>
      <c r="Q25" s="163"/>
      <c r="R25" s="163"/>
      <c r="S25" s="163"/>
      <c r="T25" s="163"/>
      <c r="U25" s="163"/>
      <c r="V25" s="163"/>
      <c r="W25" s="163"/>
      <c r="X25" s="163"/>
      <c r="Y25" s="163"/>
      <c r="Z25" s="163"/>
      <c r="AA25" s="163"/>
    </row>
    <row r="26" ht="14.25" customHeight="1">
      <c r="A26" s="165" t="s">
        <v>4234</v>
      </c>
      <c r="B26" s="108"/>
      <c r="C26" s="147" t="s">
        <v>4241</v>
      </c>
      <c r="D26" s="163"/>
      <c r="E26" s="165" t="s">
        <v>4237</v>
      </c>
      <c r="F26" s="165" t="s">
        <v>4238</v>
      </c>
      <c r="G26" s="165" t="s">
        <v>4242</v>
      </c>
      <c r="H26" s="165" t="s">
        <v>4243</v>
      </c>
      <c r="I26" s="164" t="s">
        <v>36</v>
      </c>
      <c r="J26" s="163"/>
      <c r="K26" s="163"/>
      <c r="L26" s="163"/>
      <c r="M26" s="163"/>
      <c r="N26" s="163"/>
      <c r="O26" s="163"/>
      <c r="P26" s="163"/>
      <c r="Q26" s="163"/>
      <c r="R26" s="163"/>
      <c r="S26" s="163"/>
      <c r="T26" s="163"/>
      <c r="U26" s="163"/>
      <c r="V26" s="163"/>
      <c r="W26" s="163"/>
      <c r="X26" s="163"/>
      <c r="Y26" s="163"/>
      <c r="Z26" s="163"/>
      <c r="AA26" s="163"/>
    </row>
    <row r="27" ht="14.25" customHeight="1">
      <c r="A27" s="165" t="s">
        <v>4234</v>
      </c>
      <c r="B27" s="108"/>
      <c r="C27" s="147" t="s">
        <v>4244</v>
      </c>
      <c r="D27" s="163"/>
      <c r="E27" s="165" t="s">
        <v>4237</v>
      </c>
      <c r="F27" s="165" t="s">
        <v>4238</v>
      </c>
      <c r="G27" s="165" t="s">
        <v>4245</v>
      </c>
      <c r="H27" s="165" t="s">
        <v>4246</v>
      </c>
      <c r="I27" s="164" t="s">
        <v>36</v>
      </c>
      <c r="J27" s="163"/>
      <c r="K27" s="163"/>
      <c r="L27" s="163"/>
      <c r="M27" s="163"/>
      <c r="N27" s="163"/>
      <c r="O27" s="163"/>
      <c r="P27" s="163"/>
      <c r="Q27" s="163"/>
      <c r="R27" s="163"/>
      <c r="S27" s="163"/>
      <c r="T27" s="163"/>
      <c r="U27" s="163"/>
      <c r="V27" s="163"/>
      <c r="W27" s="163"/>
      <c r="X27" s="163"/>
      <c r="Y27" s="163"/>
      <c r="Z27" s="163"/>
      <c r="AA27" s="163"/>
    </row>
    <row r="28" ht="14.25" customHeight="1">
      <c r="A28" s="165" t="s">
        <v>4234</v>
      </c>
      <c r="B28" s="109"/>
      <c r="C28" s="147" t="s">
        <v>4247</v>
      </c>
      <c r="D28" s="163"/>
      <c r="E28" s="165" t="s">
        <v>4237</v>
      </c>
      <c r="F28" s="165" t="s">
        <v>4248</v>
      </c>
      <c r="G28" s="165" t="s">
        <v>4242</v>
      </c>
      <c r="H28" s="165" t="s">
        <v>4243</v>
      </c>
      <c r="I28" s="164" t="s">
        <v>36</v>
      </c>
      <c r="J28" s="163"/>
      <c r="K28" s="163"/>
      <c r="L28" s="163"/>
      <c r="M28" s="163"/>
      <c r="N28" s="163"/>
      <c r="O28" s="163"/>
      <c r="P28" s="163"/>
      <c r="Q28" s="163"/>
      <c r="R28" s="163"/>
      <c r="S28" s="163"/>
      <c r="T28" s="163"/>
      <c r="U28" s="163"/>
      <c r="V28" s="163"/>
      <c r="W28" s="163"/>
      <c r="X28" s="163"/>
      <c r="Y28" s="163"/>
      <c r="Z28" s="163"/>
      <c r="AA28" s="163"/>
    </row>
    <row r="29" ht="14.25" customHeight="1">
      <c r="A29" s="165" t="s">
        <v>4249</v>
      </c>
      <c r="B29" s="162"/>
      <c r="C29" s="147" t="s">
        <v>4250</v>
      </c>
      <c r="D29" s="163"/>
      <c r="E29" s="165" t="s">
        <v>4251</v>
      </c>
      <c r="F29" s="165" t="s">
        <v>4252</v>
      </c>
      <c r="G29" s="165" t="s">
        <v>4253</v>
      </c>
      <c r="H29" s="165" t="s">
        <v>4254</v>
      </c>
      <c r="I29" s="164" t="s">
        <v>36</v>
      </c>
      <c r="J29" s="163"/>
      <c r="K29" s="163"/>
      <c r="L29" s="163"/>
      <c r="M29" s="163"/>
      <c r="N29" s="163"/>
      <c r="O29" s="163"/>
      <c r="P29" s="163"/>
      <c r="Q29" s="163"/>
      <c r="R29" s="163"/>
      <c r="S29" s="163"/>
      <c r="T29" s="163"/>
      <c r="U29" s="163"/>
      <c r="V29" s="163"/>
      <c r="W29" s="163"/>
      <c r="X29" s="163"/>
      <c r="Y29" s="163"/>
      <c r="Z29" s="163"/>
      <c r="AA29" s="163"/>
    </row>
    <row r="30" ht="14.25" customHeight="1">
      <c r="A30" s="165" t="s">
        <v>4249</v>
      </c>
      <c r="B30" s="108"/>
      <c r="C30" s="147" t="s">
        <v>4255</v>
      </c>
      <c r="D30" s="163"/>
      <c r="E30" s="165" t="s">
        <v>4251</v>
      </c>
      <c r="F30" s="165" t="s">
        <v>4256</v>
      </c>
      <c r="G30" s="165" t="s">
        <v>4257</v>
      </c>
      <c r="H30" s="165" t="s">
        <v>4254</v>
      </c>
      <c r="I30" s="164" t="s">
        <v>36</v>
      </c>
      <c r="J30" s="163"/>
      <c r="K30" s="163"/>
      <c r="L30" s="163"/>
      <c r="M30" s="163"/>
      <c r="N30" s="163"/>
      <c r="O30" s="163"/>
      <c r="P30" s="163"/>
      <c r="Q30" s="163"/>
      <c r="R30" s="163"/>
      <c r="S30" s="163"/>
      <c r="T30" s="163"/>
      <c r="U30" s="163"/>
      <c r="V30" s="163"/>
      <c r="W30" s="163"/>
      <c r="X30" s="163"/>
      <c r="Y30" s="163"/>
      <c r="Z30" s="163"/>
      <c r="AA30" s="163"/>
    </row>
    <row r="31" ht="14.25" customHeight="1">
      <c r="A31" s="165" t="s">
        <v>4249</v>
      </c>
      <c r="B31" s="109"/>
      <c r="C31" s="147" t="s">
        <v>4258</v>
      </c>
      <c r="D31" s="163"/>
      <c r="E31" s="165" t="s">
        <v>4251</v>
      </c>
      <c r="F31" s="165" t="s">
        <v>4252</v>
      </c>
      <c r="G31" s="165" t="s">
        <v>4259</v>
      </c>
      <c r="H31" s="165" t="s">
        <v>4260</v>
      </c>
      <c r="I31" s="164" t="s">
        <v>36</v>
      </c>
      <c r="J31" s="163"/>
      <c r="K31" s="163"/>
      <c r="L31" s="163"/>
      <c r="M31" s="163"/>
      <c r="N31" s="163"/>
      <c r="O31" s="163"/>
      <c r="P31" s="163"/>
      <c r="Q31" s="163"/>
      <c r="R31" s="163"/>
      <c r="S31" s="163"/>
      <c r="T31" s="163"/>
      <c r="U31" s="163"/>
      <c r="V31" s="163"/>
      <c r="W31" s="163"/>
      <c r="X31" s="163"/>
      <c r="Y31" s="163"/>
      <c r="Z31" s="163"/>
      <c r="AA31" s="163"/>
    </row>
    <row r="32" ht="14.25" customHeight="1">
      <c r="A32" s="165" t="s">
        <v>4261</v>
      </c>
      <c r="B32" s="166" t="s">
        <v>4262</v>
      </c>
      <c r="C32" s="147" t="s">
        <v>4263</v>
      </c>
      <c r="D32" s="163"/>
      <c r="E32" s="165"/>
      <c r="F32" s="165" t="s">
        <v>4264</v>
      </c>
      <c r="G32" s="165" t="s">
        <v>4265</v>
      </c>
      <c r="H32" s="165" t="s">
        <v>4266</v>
      </c>
      <c r="I32" s="164" t="s">
        <v>36</v>
      </c>
      <c r="J32" s="163"/>
      <c r="K32" s="163"/>
      <c r="L32" s="163"/>
      <c r="M32" s="163"/>
      <c r="N32" s="163"/>
      <c r="O32" s="163"/>
      <c r="P32" s="163"/>
      <c r="Q32" s="163"/>
      <c r="R32" s="163"/>
      <c r="S32" s="163"/>
      <c r="T32" s="163"/>
      <c r="U32" s="163"/>
      <c r="V32" s="163"/>
      <c r="W32" s="163"/>
      <c r="X32" s="163"/>
      <c r="Y32" s="163"/>
      <c r="Z32" s="163"/>
      <c r="AA32" s="163"/>
    </row>
    <row r="33" ht="14.25" customHeight="1">
      <c r="A33" s="165" t="s">
        <v>4261</v>
      </c>
      <c r="B33" s="108"/>
      <c r="C33" s="147" t="s">
        <v>4267</v>
      </c>
      <c r="D33" s="163"/>
      <c r="E33" s="165"/>
      <c r="F33" s="165" t="s">
        <v>4264</v>
      </c>
      <c r="G33" s="165" t="s">
        <v>4268</v>
      </c>
      <c r="H33" s="165" t="s">
        <v>4269</v>
      </c>
      <c r="I33" s="164" t="s">
        <v>36</v>
      </c>
      <c r="J33" s="163"/>
      <c r="K33" s="163"/>
      <c r="L33" s="163"/>
      <c r="M33" s="163"/>
      <c r="N33" s="163"/>
      <c r="O33" s="163"/>
      <c r="P33" s="163"/>
      <c r="Q33" s="163"/>
      <c r="R33" s="163"/>
      <c r="S33" s="163"/>
      <c r="T33" s="163"/>
      <c r="U33" s="163"/>
      <c r="V33" s="163"/>
      <c r="W33" s="163"/>
      <c r="X33" s="163"/>
      <c r="Y33" s="163"/>
      <c r="Z33" s="163"/>
      <c r="AA33" s="163"/>
    </row>
    <row r="34" ht="14.25" customHeight="1">
      <c r="A34" s="165" t="s">
        <v>4261</v>
      </c>
      <c r="B34" s="108"/>
      <c r="C34" s="147" t="s">
        <v>4270</v>
      </c>
      <c r="D34" s="163"/>
      <c r="E34" s="165"/>
      <c r="F34" s="165" t="s">
        <v>4271</v>
      </c>
      <c r="G34" s="165" t="s">
        <v>4265</v>
      </c>
      <c r="H34" s="165" t="s">
        <v>4272</v>
      </c>
      <c r="I34" s="164" t="s">
        <v>36</v>
      </c>
      <c r="J34" s="163"/>
      <c r="K34" s="163"/>
      <c r="L34" s="163"/>
      <c r="M34" s="163"/>
      <c r="N34" s="163"/>
      <c r="O34" s="163"/>
      <c r="P34" s="163"/>
      <c r="Q34" s="163"/>
      <c r="R34" s="163"/>
      <c r="S34" s="163"/>
      <c r="T34" s="163"/>
      <c r="U34" s="163"/>
      <c r="V34" s="163"/>
      <c r="W34" s="163"/>
      <c r="X34" s="163"/>
      <c r="Y34" s="163"/>
      <c r="Z34" s="163"/>
      <c r="AA34" s="163"/>
    </row>
    <row r="35" ht="14.25" customHeight="1">
      <c r="A35" s="165" t="s">
        <v>4261</v>
      </c>
      <c r="B35" s="108"/>
      <c r="C35" s="147" t="s">
        <v>4273</v>
      </c>
      <c r="D35" s="163"/>
      <c r="E35" s="165"/>
      <c r="F35" s="165" t="s">
        <v>4274</v>
      </c>
      <c r="G35" s="165" t="s">
        <v>4268</v>
      </c>
      <c r="H35" s="165" t="s">
        <v>4275</v>
      </c>
      <c r="I35" s="164" t="s">
        <v>36</v>
      </c>
      <c r="J35" s="163"/>
      <c r="K35" s="163"/>
      <c r="L35" s="163"/>
      <c r="M35" s="163"/>
      <c r="N35" s="163"/>
      <c r="O35" s="163"/>
      <c r="P35" s="163"/>
      <c r="Q35" s="163"/>
      <c r="R35" s="163"/>
      <c r="S35" s="163"/>
      <c r="T35" s="163"/>
      <c r="U35" s="163"/>
      <c r="V35" s="163"/>
      <c r="W35" s="163"/>
      <c r="X35" s="163"/>
      <c r="Y35" s="163"/>
      <c r="Z35" s="163"/>
      <c r="AA35" s="163"/>
    </row>
    <row r="36" ht="14.25" customHeight="1">
      <c r="A36" s="165" t="s">
        <v>4261</v>
      </c>
      <c r="B36" s="108"/>
      <c r="C36" s="147" t="s">
        <v>4276</v>
      </c>
      <c r="D36" s="163"/>
      <c r="E36" s="165"/>
      <c r="F36" s="165" t="s">
        <v>4277</v>
      </c>
      <c r="G36" s="165" t="s">
        <v>4265</v>
      </c>
      <c r="H36" s="165" t="s">
        <v>4278</v>
      </c>
      <c r="I36" s="164" t="s">
        <v>36</v>
      </c>
      <c r="J36" s="163"/>
      <c r="K36" s="163"/>
      <c r="L36" s="163"/>
      <c r="M36" s="163"/>
      <c r="N36" s="163"/>
      <c r="O36" s="163"/>
      <c r="P36" s="163"/>
      <c r="Q36" s="163"/>
      <c r="R36" s="163"/>
      <c r="S36" s="163"/>
      <c r="T36" s="163"/>
      <c r="U36" s="163"/>
      <c r="V36" s="163"/>
      <c r="W36" s="163"/>
      <c r="X36" s="163"/>
      <c r="Y36" s="163"/>
      <c r="Z36" s="163"/>
      <c r="AA36" s="163"/>
    </row>
    <row r="37" ht="14.25" customHeight="1">
      <c r="A37" s="165" t="s">
        <v>4261</v>
      </c>
      <c r="B37" s="108"/>
      <c r="C37" s="147" t="s">
        <v>4279</v>
      </c>
      <c r="D37" s="163"/>
      <c r="E37" s="165"/>
      <c r="F37" s="165" t="s">
        <v>4280</v>
      </c>
      <c r="G37" s="165" t="s">
        <v>4281</v>
      </c>
      <c r="H37" s="165" t="s">
        <v>4275</v>
      </c>
      <c r="I37" s="164" t="s">
        <v>36</v>
      </c>
      <c r="J37" s="163"/>
      <c r="K37" s="163"/>
      <c r="L37" s="163"/>
      <c r="M37" s="163"/>
      <c r="N37" s="163"/>
      <c r="O37" s="163"/>
      <c r="P37" s="163"/>
      <c r="Q37" s="163"/>
      <c r="R37" s="163"/>
      <c r="S37" s="163"/>
      <c r="T37" s="163"/>
      <c r="U37" s="163"/>
      <c r="V37" s="163"/>
      <c r="W37" s="163"/>
      <c r="X37" s="163"/>
      <c r="Y37" s="163"/>
      <c r="Z37" s="163"/>
      <c r="AA37" s="163"/>
    </row>
    <row r="38" ht="14.25" customHeight="1">
      <c r="A38" s="165" t="s">
        <v>4261</v>
      </c>
      <c r="B38" s="108"/>
      <c r="C38" s="147" t="s">
        <v>4282</v>
      </c>
      <c r="D38" s="163"/>
      <c r="E38" s="165"/>
      <c r="F38" s="165" t="s">
        <v>4283</v>
      </c>
      <c r="G38" s="165" t="s">
        <v>4265</v>
      </c>
      <c r="H38" s="165" t="s">
        <v>4284</v>
      </c>
      <c r="I38" s="164" t="s">
        <v>36</v>
      </c>
      <c r="J38" s="163"/>
      <c r="K38" s="163"/>
      <c r="L38" s="163"/>
      <c r="M38" s="163"/>
      <c r="N38" s="163"/>
      <c r="O38" s="163"/>
      <c r="P38" s="163"/>
      <c r="Q38" s="163"/>
      <c r="R38" s="163"/>
      <c r="S38" s="163"/>
      <c r="T38" s="163"/>
      <c r="U38" s="163"/>
      <c r="V38" s="163"/>
      <c r="W38" s="163"/>
      <c r="X38" s="163"/>
      <c r="Y38" s="163"/>
      <c r="Z38" s="163"/>
      <c r="AA38" s="163"/>
    </row>
    <row r="39" ht="14.25" customHeight="1">
      <c r="A39" s="165" t="s">
        <v>4261</v>
      </c>
      <c r="B39" s="108"/>
      <c r="C39" s="147" t="s">
        <v>4285</v>
      </c>
      <c r="D39" s="163"/>
      <c r="E39" s="165"/>
      <c r="F39" s="165" t="s">
        <v>4286</v>
      </c>
      <c r="G39" s="165" t="s">
        <v>4287</v>
      </c>
      <c r="H39" s="165" t="s">
        <v>4275</v>
      </c>
      <c r="I39" s="164" t="s">
        <v>36</v>
      </c>
      <c r="J39" s="163"/>
      <c r="K39" s="163"/>
      <c r="L39" s="163"/>
      <c r="M39" s="163"/>
      <c r="N39" s="163"/>
      <c r="O39" s="163"/>
      <c r="P39" s="163"/>
      <c r="Q39" s="163"/>
      <c r="R39" s="163"/>
      <c r="S39" s="163"/>
      <c r="T39" s="163"/>
      <c r="U39" s="163"/>
      <c r="V39" s="163"/>
      <c r="W39" s="163"/>
      <c r="X39" s="163"/>
      <c r="Y39" s="163"/>
      <c r="Z39" s="163"/>
      <c r="AA39" s="163"/>
    </row>
    <row r="40" ht="14.25" customHeight="1">
      <c r="A40" s="165" t="s">
        <v>4261</v>
      </c>
      <c r="B40" s="108"/>
      <c r="C40" s="147" t="s">
        <v>4288</v>
      </c>
      <c r="D40" s="163"/>
      <c r="E40" s="165"/>
      <c r="F40" s="165" t="s">
        <v>4289</v>
      </c>
      <c r="G40" s="165" t="s">
        <v>4265</v>
      </c>
      <c r="H40" s="165" t="s">
        <v>4290</v>
      </c>
      <c r="I40" s="164" t="s">
        <v>36</v>
      </c>
      <c r="J40" s="163"/>
      <c r="K40" s="163"/>
      <c r="L40" s="163"/>
      <c r="M40" s="163"/>
      <c r="N40" s="163"/>
      <c r="O40" s="163"/>
      <c r="P40" s="163"/>
      <c r="Q40" s="163"/>
      <c r="R40" s="163"/>
      <c r="S40" s="163"/>
      <c r="T40" s="163"/>
      <c r="U40" s="163"/>
      <c r="V40" s="163"/>
      <c r="W40" s="163"/>
      <c r="X40" s="163"/>
      <c r="Y40" s="163"/>
      <c r="Z40" s="163"/>
      <c r="AA40" s="163"/>
    </row>
    <row r="41" ht="14.25" customHeight="1">
      <c r="A41" s="165" t="s">
        <v>4261</v>
      </c>
      <c r="B41" s="108"/>
      <c r="C41" s="147" t="s">
        <v>4291</v>
      </c>
      <c r="D41" s="163"/>
      <c r="E41" s="165"/>
      <c r="F41" s="165" t="s">
        <v>4292</v>
      </c>
      <c r="G41" s="165" t="s">
        <v>4293</v>
      </c>
      <c r="H41" s="165" t="s">
        <v>4275</v>
      </c>
      <c r="I41" s="164" t="s">
        <v>36</v>
      </c>
      <c r="J41" s="163"/>
      <c r="K41" s="163"/>
      <c r="L41" s="163"/>
      <c r="M41" s="163"/>
      <c r="N41" s="163"/>
      <c r="O41" s="163"/>
      <c r="P41" s="163"/>
      <c r="Q41" s="163"/>
      <c r="R41" s="163"/>
      <c r="S41" s="163"/>
      <c r="T41" s="163"/>
      <c r="U41" s="163"/>
      <c r="V41" s="163"/>
      <c r="W41" s="163"/>
      <c r="X41" s="163"/>
      <c r="Y41" s="163"/>
      <c r="Z41" s="163"/>
      <c r="AA41" s="163"/>
    </row>
    <row r="42" ht="14.25" customHeight="1">
      <c r="A42" s="165" t="s">
        <v>4261</v>
      </c>
      <c r="B42" s="109"/>
      <c r="C42" s="147" t="s">
        <v>4294</v>
      </c>
      <c r="D42" s="163"/>
      <c r="E42" s="165"/>
      <c r="F42" s="165" t="s">
        <v>4295</v>
      </c>
      <c r="G42" s="165" t="s">
        <v>4296</v>
      </c>
      <c r="H42" s="165" t="s">
        <v>4297</v>
      </c>
      <c r="I42" s="164" t="s">
        <v>36</v>
      </c>
      <c r="J42" s="163"/>
      <c r="K42" s="163"/>
      <c r="L42" s="163"/>
      <c r="M42" s="163"/>
      <c r="N42" s="163"/>
      <c r="O42" s="163"/>
      <c r="P42" s="163"/>
      <c r="Q42" s="163"/>
      <c r="R42" s="163"/>
      <c r="S42" s="163"/>
      <c r="T42" s="163"/>
      <c r="U42" s="163"/>
      <c r="V42" s="163"/>
      <c r="W42" s="163"/>
      <c r="X42" s="163"/>
      <c r="Y42" s="163"/>
      <c r="Z42" s="163"/>
      <c r="AA42" s="163"/>
    </row>
    <row r="43" ht="14.25" customHeight="1">
      <c r="A43" s="164" t="s">
        <v>2589</v>
      </c>
      <c r="B43" s="166" t="s">
        <v>4298</v>
      </c>
      <c r="C43" s="165" t="s">
        <v>2591</v>
      </c>
      <c r="D43" s="165" t="s">
        <v>271</v>
      </c>
      <c r="E43" s="165" t="s">
        <v>2592</v>
      </c>
      <c r="F43" s="165"/>
      <c r="G43" s="165" t="s">
        <v>2593</v>
      </c>
      <c r="H43" s="165" t="s">
        <v>2594</v>
      </c>
      <c r="I43" s="164" t="s">
        <v>36</v>
      </c>
      <c r="J43" s="163"/>
      <c r="K43" s="163"/>
      <c r="L43" s="163"/>
      <c r="M43" s="163"/>
      <c r="N43" s="163"/>
      <c r="O43" s="163"/>
      <c r="P43" s="163"/>
      <c r="Q43" s="163"/>
      <c r="R43" s="163"/>
      <c r="S43" s="163"/>
      <c r="T43" s="163"/>
      <c r="U43" s="163"/>
      <c r="V43" s="163"/>
      <c r="W43" s="163"/>
      <c r="X43" s="163"/>
      <c r="Y43" s="163"/>
      <c r="Z43" s="163"/>
      <c r="AA43" s="163"/>
    </row>
    <row r="44" ht="14.25" customHeight="1">
      <c r="A44" s="164" t="s">
        <v>2589</v>
      </c>
      <c r="B44" s="108"/>
      <c r="C44" s="165" t="s">
        <v>2595</v>
      </c>
      <c r="D44" s="165" t="s">
        <v>271</v>
      </c>
      <c r="E44" s="165" t="s">
        <v>2592</v>
      </c>
      <c r="F44" s="165"/>
      <c r="G44" s="165" t="s">
        <v>2596</v>
      </c>
      <c r="H44" s="165" t="s">
        <v>2597</v>
      </c>
      <c r="I44" s="164" t="s">
        <v>36</v>
      </c>
      <c r="J44" s="163"/>
      <c r="K44" s="163"/>
      <c r="L44" s="163"/>
      <c r="M44" s="163"/>
      <c r="N44" s="163"/>
      <c r="O44" s="163"/>
      <c r="P44" s="163"/>
      <c r="Q44" s="163"/>
      <c r="R44" s="163"/>
      <c r="S44" s="163"/>
      <c r="T44" s="163"/>
      <c r="U44" s="163"/>
      <c r="V44" s="163"/>
      <c r="W44" s="163"/>
      <c r="X44" s="163"/>
      <c r="Y44" s="163"/>
      <c r="Z44" s="163"/>
      <c r="AA44" s="163"/>
    </row>
    <row r="45" ht="14.25" customHeight="1">
      <c r="A45" s="164" t="s">
        <v>2589</v>
      </c>
      <c r="B45" s="108"/>
      <c r="C45" s="165" t="s">
        <v>2598</v>
      </c>
      <c r="D45" s="165" t="s">
        <v>271</v>
      </c>
      <c r="E45" s="165" t="s">
        <v>2592</v>
      </c>
      <c r="F45" s="165"/>
      <c r="G45" s="165" t="s">
        <v>2599</v>
      </c>
      <c r="H45" s="165" t="s">
        <v>2600</v>
      </c>
      <c r="I45" s="164" t="s">
        <v>36</v>
      </c>
      <c r="J45" s="163"/>
      <c r="K45" s="163"/>
      <c r="L45" s="163"/>
      <c r="M45" s="163"/>
      <c r="N45" s="163"/>
      <c r="O45" s="163"/>
      <c r="P45" s="163"/>
      <c r="Q45" s="163"/>
      <c r="R45" s="163"/>
      <c r="S45" s="163"/>
      <c r="T45" s="163"/>
      <c r="U45" s="163"/>
      <c r="V45" s="163"/>
      <c r="W45" s="163"/>
      <c r="X45" s="163"/>
      <c r="Y45" s="163"/>
      <c r="Z45" s="163"/>
      <c r="AA45" s="163"/>
    </row>
    <row r="46" ht="14.25" customHeight="1">
      <c r="A46" s="164" t="s">
        <v>2589</v>
      </c>
      <c r="B46" s="108"/>
      <c r="C46" s="165" t="s">
        <v>2601</v>
      </c>
      <c r="D46" s="165" t="s">
        <v>271</v>
      </c>
      <c r="E46" s="165" t="s">
        <v>2592</v>
      </c>
      <c r="F46" s="165"/>
      <c r="G46" s="165" t="s">
        <v>2602</v>
      </c>
      <c r="H46" s="165" t="s">
        <v>2594</v>
      </c>
      <c r="I46" s="164" t="s">
        <v>36</v>
      </c>
      <c r="J46" s="163"/>
      <c r="K46" s="163"/>
      <c r="L46" s="163"/>
      <c r="M46" s="163"/>
      <c r="N46" s="163"/>
      <c r="O46" s="163"/>
      <c r="P46" s="163"/>
      <c r="Q46" s="163"/>
      <c r="R46" s="163"/>
      <c r="S46" s="163"/>
      <c r="T46" s="163"/>
      <c r="U46" s="163"/>
      <c r="V46" s="163"/>
      <c r="W46" s="163"/>
      <c r="X46" s="163"/>
      <c r="Y46" s="163"/>
      <c r="Z46" s="163"/>
      <c r="AA46" s="163"/>
    </row>
    <row r="47" ht="14.25" customHeight="1">
      <c r="A47" s="164" t="s">
        <v>2589</v>
      </c>
      <c r="B47" s="108"/>
      <c r="C47" s="165" t="s">
        <v>2603</v>
      </c>
      <c r="D47" s="165" t="s">
        <v>271</v>
      </c>
      <c r="E47" s="165" t="s">
        <v>2592</v>
      </c>
      <c r="F47" s="165"/>
      <c r="G47" s="165" t="s">
        <v>2604</v>
      </c>
      <c r="H47" s="165" t="s">
        <v>2605</v>
      </c>
      <c r="I47" s="164" t="s">
        <v>36</v>
      </c>
      <c r="J47" s="163"/>
      <c r="K47" s="163"/>
      <c r="L47" s="163"/>
      <c r="M47" s="163"/>
      <c r="N47" s="163"/>
      <c r="O47" s="163"/>
      <c r="P47" s="163"/>
      <c r="Q47" s="163"/>
      <c r="R47" s="163"/>
      <c r="S47" s="163"/>
      <c r="T47" s="163"/>
      <c r="U47" s="163"/>
      <c r="V47" s="163"/>
      <c r="W47" s="163"/>
      <c r="X47" s="163"/>
      <c r="Y47" s="163"/>
      <c r="Z47" s="163"/>
      <c r="AA47" s="163"/>
    </row>
    <row r="48" ht="14.25" customHeight="1">
      <c r="A48" s="164" t="s">
        <v>2589</v>
      </c>
      <c r="B48" s="108"/>
      <c r="C48" s="165" t="s">
        <v>2606</v>
      </c>
      <c r="D48" s="165" t="s">
        <v>271</v>
      </c>
      <c r="E48" s="165" t="s">
        <v>2592</v>
      </c>
      <c r="F48" s="165"/>
      <c r="G48" s="165" t="s">
        <v>2607</v>
      </c>
      <c r="H48" s="165" t="s">
        <v>2605</v>
      </c>
      <c r="I48" s="164" t="s">
        <v>36</v>
      </c>
      <c r="J48" s="163"/>
      <c r="K48" s="163"/>
      <c r="L48" s="163"/>
      <c r="M48" s="163"/>
      <c r="N48" s="163"/>
      <c r="O48" s="163"/>
      <c r="P48" s="163"/>
      <c r="Q48" s="163"/>
      <c r="R48" s="163"/>
      <c r="S48" s="163"/>
      <c r="T48" s="163"/>
      <c r="U48" s="163"/>
      <c r="V48" s="163"/>
      <c r="W48" s="163"/>
      <c r="X48" s="163"/>
      <c r="Y48" s="163"/>
      <c r="Z48" s="163"/>
      <c r="AA48" s="163"/>
    </row>
    <row r="49" ht="14.25" customHeight="1">
      <c r="A49" s="164" t="s">
        <v>2589</v>
      </c>
      <c r="B49" s="108"/>
      <c r="C49" s="165" t="s">
        <v>2608</v>
      </c>
      <c r="D49" s="165" t="s">
        <v>271</v>
      </c>
      <c r="E49" s="165" t="s">
        <v>2592</v>
      </c>
      <c r="F49" s="165"/>
      <c r="G49" s="165" t="s">
        <v>2609</v>
      </c>
      <c r="H49" s="165" t="s">
        <v>2610</v>
      </c>
      <c r="I49" s="164" t="s">
        <v>36</v>
      </c>
      <c r="J49" s="163"/>
      <c r="K49" s="163"/>
      <c r="L49" s="163"/>
      <c r="M49" s="163"/>
      <c r="N49" s="163"/>
      <c r="O49" s="163"/>
      <c r="P49" s="163"/>
      <c r="Q49" s="163"/>
      <c r="R49" s="163"/>
      <c r="S49" s="163"/>
      <c r="T49" s="163"/>
      <c r="U49" s="163"/>
      <c r="V49" s="163"/>
      <c r="W49" s="163"/>
      <c r="X49" s="163"/>
      <c r="Y49" s="163"/>
      <c r="Z49" s="163"/>
      <c r="AA49" s="163"/>
    </row>
    <row r="50" ht="14.25" customHeight="1">
      <c r="A50" s="164" t="s">
        <v>2589</v>
      </c>
      <c r="B50" s="108"/>
      <c r="C50" s="165" t="s">
        <v>2611</v>
      </c>
      <c r="D50" s="165" t="s">
        <v>271</v>
      </c>
      <c r="E50" s="165" t="s">
        <v>2592</v>
      </c>
      <c r="F50" s="165"/>
      <c r="G50" s="165" t="s">
        <v>2612</v>
      </c>
      <c r="H50" s="165" t="s">
        <v>2613</v>
      </c>
      <c r="I50" s="164" t="s">
        <v>36</v>
      </c>
      <c r="J50" s="163"/>
      <c r="K50" s="163"/>
      <c r="L50" s="163"/>
      <c r="M50" s="163"/>
      <c r="N50" s="163"/>
      <c r="O50" s="163"/>
      <c r="P50" s="163"/>
      <c r="Q50" s="163"/>
      <c r="R50" s="163"/>
      <c r="S50" s="163"/>
      <c r="T50" s="163"/>
      <c r="U50" s="163"/>
      <c r="V50" s="163"/>
      <c r="W50" s="163"/>
      <c r="X50" s="163"/>
      <c r="Y50" s="163"/>
      <c r="Z50" s="163"/>
      <c r="AA50" s="163"/>
    </row>
    <row r="51" ht="14.25" customHeight="1">
      <c r="A51" s="164" t="s">
        <v>2589</v>
      </c>
      <c r="B51" s="108"/>
      <c r="C51" s="165" t="s">
        <v>2614</v>
      </c>
      <c r="D51" s="165" t="s">
        <v>271</v>
      </c>
      <c r="E51" s="165" t="s">
        <v>2592</v>
      </c>
      <c r="F51" s="165"/>
      <c r="G51" s="165" t="s">
        <v>2615</v>
      </c>
      <c r="H51" s="165" t="s">
        <v>2616</v>
      </c>
      <c r="I51" s="164" t="s">
        <v>36</v>
      </c>
      <c r="J51" s="163"/>
      <c r="K51" s="163"/>
      <c r="L51" s="163"/>
      <c r="M51" s="163"/>
      <c r="N51" s="163"/>
      <c r="O51" s="163"/>
      <c r="P51" s="163"/>
      <c r="Q51" s="163"/>
      <c r="R51" s="163"/>
      <c r="S51" s="163"/>
      <c r="T51" s="163"/>
      <c r="U51" s="163"/>
      <c r="V51" s="163"/>
      <c r="W51" s="163"/>
      <c r="X51" s="163"/>
      <c r="Y51" s="163"/>
      <c r="Z51" s="163"/>
      <c r="AA51" s="163"/>
    </row>
    <row r="52" ht="14.25" customHeight="1">
      <c r="A52" s="164" t="s">
        <v>2589</v>
      </c>
      <c r="B52" s="109"/>
      <c r="C52" s="165" t="s">
        <v>2617</v>
      </c>
      <c r="D52" s="165" t="s">
        <v>271</v>
      </c>
      <c r="E52" s="165" t="s">
        <v>2592</v>
      </c>
      <c r="F52" s="165"/>
      <c r="G52" s="165" t="s">
        <v>2618</v>
      </c>
      <c r="H52" s="165" t="s">
        <v>4299</v>
      </c>
      <c r="I52" s="164" t="s">
        <v>36</v>
      </c>
      <c r="J52" s="163"/>
      <c r="K52" s="163"/>
      <c r="L52" s="163"/>
      <c r="M52" s="163"/>
      <c r="N52" s="163"/>
      <c r="O52" s="163"/>
      <c r="P52" s="163"/>
      <c r="Q52" s="163"/>
      <c r="R52" s="163"/>
      <c r="S52" s="163"/>
      <c r="T52" s="163"/>
      <c r="U52" s="163"/>
      <c r="V52" s="163"/>
      <c r="W52" s="163"/>
      <c r="X52" s="163"/>
      <c r="Y52" s="163"/>
      <c r="Z52" s="163"/>
      <c r="AA52" s="163"/>
    </row>
    <row r="53" ht="14.25" customHeight="1">
      <c r="A53" s="171" t="s">
        <v>4300</v>
      </c>
      <c r="B53" s="166" t="s">
        <v>4301</v>
      </c>
      <c r="C53" s="171" t="s">
        <v>4302</v>
      </c>
      <c r="D53" s="164"/>
      <c r="E53" s="165" t="s">
        <v>4303</v>
      </c>
      <c r="F53" s="165" t="s">
        <v>4304</v>
      </c>
      <c r="G53" s="165" t="s">
        <v>4305</v>
      </c>
      <c r="H53" s="165" t="s">
        <v>4306</v>
      </c>
      <c r="I53" s="165" t="s">
        <v>36</v>
      </c>
      <c r="J53" s="165"/>
      <c r="K53" s="165"/>
      <c r="L53" s="165"/>
      <c r="M53" s="165"/>
      <c r="N53" s="165"/>
      <c r="O53" s="165"/>
      <c r="P53" s="165"/>
      <c r="Q53" s="165"/>
      <c r="R53" s="165"/>
      <c r="S53" s="163"/>
      <c r="T53" s="163"/>
      <c r="U53" s="163"/>
      <c r="V53" s="163"/>
      <c r="W53" s="163"/>
      <c r="X53" s="163"/>
      <c r="Y53" s="163"/>
      <c r="Z53" s="163"/>
      <c r="AA53" s="163"/>
    </row>
    <row r="54" ht="14.25" customHeight="1">
      <c r="A54" s="171" t="s">
        <v>4300</v>
      </c>
      <c r="B54" s="108"/>
      <c r="C54" s="171" t="s">
        <v>4307</v>
      </c>
      <c r="D54" s="164"/>
      <c r="E54" s="165" t="s">
        <v>4303</v>
      </c>
      <c r="F54" s="165" t="s">
        <v>4304</v>
      </c>
      <c r="G54" s="165" t="s">
        <v>4308</v>
      </c>
      <c r="H54" s="165" t="s">
        <v>4309</v>
      </c>
      <c r="I54" s="165" t="s">
        <v>36</v>
      </c>
      <c r="J54" s="165"/>
      <c r="K54" s="165"/>
      <c r="L54" s="165"/>
      <c r="M54" s="165"/>
      <c r="N54" s="165"/>
      <c r="O54" s="165"/>
      <c r="P54" s="165"/>
      <c r="Q54" s="165"/>
      <c r="R54" s="165"/>
      <c r="S54" s="163"/>
      <c r="T54" s="163"/>
      <c r="U54" s="163"/>
      <c r="V54" s="163"/>
      <c r="W54" s="163"/>
      <c r="X54" s="163"/>
      <c r="Y54" s="163"/>
      <c r="Z54" s="163"/>
      <c r="AA54" s="163"/>
    </row>
    <row r="55" ht="14.25" customHeight="1">
      <c r="A55" s="171" t="s">
        <v>4300</v>
      </c>
      <c r="B55" s="108"/>
      <c r="C55" s="171" t="s">
        <v>4310</v>
      </c>
      <c r="D55" s="164"/>
      <c r="E55" s="165" t="s">
        <v>4303</v>
      </c>
      <c r="F55" s="165" t="s">
        <v>4311</v>
      </c>
      <c r="G55" s="165" t="s">
        <v>4312</v>
      </c>
      <c r="H55" s="165" t="s">
        <v>4313</v>
      </c>
      <c r="I55" s="165" t="s">
        <v>36</v>
      </c>
      <c r="J55" s="165"/>
      <c r="K55" s="165"/>
      <c r="L55" s="165"/>
      <c r="M55" s="165"/>
      <c r="N55" s="165"/>
      <c r="O55" s="165"/>
      <c r="P55" s="165"/>
      <c r="Q55" s="165"/>
      <c r="R55" s="165"/>
      <c r="S55" s="163"/>
      <c r="T55" s="163"/>
      <c r="U55" s="163"/>
      <c r="V55" s="163"/>
      <c r="W55" s="163"/>
      <c r="X55" s="163"/>
      <c r="Y55" s="163"/>
      <c r="Z55" s="163"/>
      <c r="AA55" s="163"/>
    </row>
    <row r="56" ht="14.25" customHeight="1">
      <c r="A56" s="171" t="s">
        <v>4300</v>
      </c>
      <c r="B56" s="108"/>
      <c r="C56" s="171" t="s">
        <v>4314</v>
      </c>
      <c r="D56" s="164"/>
      <c r="E56" s="165" t="s">
        <v>4303</v>
      </c>
      <c r="F56" s="165" t="s">
        <v>4315</v>
      </c>
      <c r="G56" s="165" t="s">
        <v>4312</v>
      </c>
      <c r="H56" s="165" t="s">
        <v>4316</v>
      </c>
      <c r="I56" s="165" t="s">
        <v>36</v>
      </c>
      <c r="J56" s="165"/>
      <c r="K56" s="165"/>
      <c r="L56" s="165"/>
      <c r="M56" s="165"/>
      <c r="N56" s="165"/>
      <c r="O56" s="165"/>
      <c r="P56" s="165"/>
      <c r="Q56" s="165"/>
      <c r="R56" s="165"/>
      <c r="S56" s="163"/>
      <c r="T56" s="163"/>
      <c r="U56" s="163"/>
      <c r="V56" s="163"/>
      <c r="W56" s="163"/>
      <c r="X56" s="163"/>
      <c r="Y56" s="163"/>
      <c r="Z56" s="163"/>
      <c r="AA56" s="163"/>
    </row>
    <row r="57" ht="14.25" customHeight="1">
      <c r="A57" s="171" t="s">
        <v>4300</v>
      </c>
      <c r="B57" s="108"/>
      <c r="C57" s="171" t="s">
        <v>4317</v>
      </c>
      <c r="D57" s="164"/>
      <c r="E57" s="165" t="s">
        <v>4303</v>
      </c>
      <c r="F57" s="165" t="s">
        <v>4318</v>
      </c>
      <c r="G57" s="165" t="s">
        <v>4319</v>
      </c>
      <c r="H57" s="165" t="s">
        <v>4320</v>
      </c>
      <c r="I57" s="165" t="s">
        <v>36</v>
      </c>
      <c r="J57" s="165"/>
      <c r="K57" s="165"/>
      <c r="L57" s="165"/>
      <c r="M57" s="165"/>
      <c r="N57" s="165"/>
      <c r="O57" s="165"/>
      <c r="P57" s="165"/>
      <c r="Q57" s="165"/>
      <c r="R57" s="165"/>
      <c r="S57" s="163"/>
      <c r="T57" s="163"/>
      <c r="U57" s="163"/>
      <c r="V57" s="163"/>
      <c r="W57" s="163"/>
      <c r="X57" s="163"/>
      <c r="Y57" s="163"/>
      <c r="Z57" s="163"/>
      <c r="AA57" s="163"/>
    </row>
    <row r="58" ht="14.25" customHeight="1">
      <c r="A58" s="171" t="s">
        <v>4300</v>
      </c>
      <c r="B58" s="108"/>
      <c r="C58" s="171" t="s">
        <v>4321</v>
      </c>
      <c r="D58" s="164"/>
      <c r="E58" s="165" t="s">
        <v>4303</v>
      </c>
      <c r="F58" s="165" t="s">
        <v>4318</v>
      </c>
      <c r="G58" s="165" t="s">
        <v>4322</v>
      </c>
      <c r="H58" s="165" t="s">
        <v>4323</v>
      </c>
      <c r="I58" s="165" t="s">
        <v>36</v>
      </c>
      <c r="J58" s="165"/>
      <c r="K58" s="165"/>
      <c r="L58" s="165"/>
      <c r="M58" s="165"/>
      <c r="N58" s="165"/>
      <c r="O58" s="165"/>
      <c r="P58" s="165"/>
      <c r="Q58" s="165"/>
      <c r="R58" s="165"/>
      <c r="S58" s="163"/>
      <c r="T58" s="163"/>
      <c r="U58" s="163"/>
      <c r="V58" s="163"/>
      <c r="W58" s="163"/>
      <c r="X58" s="163"/>
      <c r="Y58" s="163"/>
      <c r="Z58" s="163"/>
      <c r="AA58" s="163"/>
    </row>
    <row r="59" ht="14.25" customHeight="1">
      <c r="A59" s="171" t="s">
        <v>4300</v>
      </c>
      <c r="B59" s="108"/>
      <c r="C59" s="171" t="s">
        <v>4324</v>
      </c>
      <c r="D59" s="164"/>
      <c r="E59" s="165" t="s">
        <v>4303</v>
      </c>
      <c r="F59" s="165" t="s">
        <v>4318</v>
      </c>
      <c r="G59" s="165" t="s">
        <v>4325</v>
      </c>
      <c r="H59" s="165" t="s">
        <v>4326</v>
      </c>
      <c r="I59" s="165" t="s">
        <v>36</v>
      </c>
      <c r="J59" s="165"/>
      <c r="K59" s="165"/>
      <c r="L59" s="165"/>
      <c r="M59" s="165"/>
      <c r="N59" s="165"/>
      <c r="O59" s="165"/>
      <c r="P59" s="165"/>
      <c r="Q59" s="165"/>
      <c r="R59" s="165"/>
      <c r="S59" s="163"/>
      <c r="T59" s="163"/>
      <c r="U59" s="163"/>
      <c r="V59" s="163"/>
      <c r="W59" s="163"/>
      <c r="X59" s="163"/>
      <c r="Y59" s="163"/>
      <c r="Z59" s="163"/>
      <c r="AA59" s="163"/>
    </row>
    <row r="60" ht="14.25" customHeight="1">
      <c r="A60" s="171" t="s">
        <v>4300</v>
      </c>
      <c r="B60" s="108"/>
      <c r="C60" s="171" t="s">
        <v>4327</v>
      </c>
      <c r="D60" s="164"/>
      <c r="E60" s="165" t="s">
        <v>4303</v>
      </c>
      <c r="F60" s="165" t="s">
        <v>4318</v>
      </c>
      <c r="G60" s="165" t="s">
        <v>4328</v>
      </c>
      <c r="H60" s="165" t="s">
        <v>4329</v>
      </c>
      <c r="I60" s="165" t="s">
        <v>36</v>
      </c>
      <c r="J60" s="165"/>
      <c r="K60" s="165"/>
      <c r="L60" s="165"/>
      <c r="M60" s="165"/>
      <c r="N60" s="165"/>
      <c r="O60" s="165"/>
      <c r="P60" s="165"/>
      <c r="Q60" s="165"/>
      <c r="R60" s="165"/>
      <c r="S60" s="163"/>
      <c r="T60" s="163"/>
      <c r="U60" s="163"/>
      <c r="V60" s="163"/>
      <c r="W60" s="163"/>
      <c r="X60" s="163"/>
      <c r="Y60" s="163"/>
      <c r="Z60" s="163"/>
      <c r="AA60" s="163"/>
    </row>
    <row r="61" ht="14.25" customHeight="1">
      <c r="A61" s="171" t="s">
        <v>4300</v>
      </c>
      <c r="B61" s="108"/>
      <c r="C61" s="171" t="s">
        <v>4330</v>
      </c>
      <c r="D61" s="164"/>
      <c r="E61" s="165" t="s">
        <v>4303</v>
      </c>
      <c r="F61" s="165" t="s">
        <v>4318</v>
      </c>
      <c r="G61" s="165" t="s">
        <v>4331</v>
      </c>
      <c r="H61" s="165" t="s">
        <v>4329</v>
      </c>
      <c r="I61" s="165" t="s">
        <v>36</v>
      </c>
      <c r="J61" s="165"/>
      <c r="K61" s="165"/>
      <c r="L61" s="165"/>
      <c r="M61" s="165"/>
      <c r="N61" s="165"/>
      <c r="O61" s="165"/>
      <c r="P61" s="165"/>
      <c r="Q61" s="165"/>
      <c r="R61" s="165"/>
      <c r="S61" s="163"/>
      <c r="T61" s="163"/>
      <c r="U61" s="163"/>
      <c r="V61" s="163"/>
      <c r="W61" s="163"/>
      <c r="X61" s="163"/>
      <c r="Y61" s="163"/>
      <c r="Z61" s="163"/>
      <c r="AA61" s="163"/>
    </row>
    <row r="62" ht="14.25" customHeight="1">
      <c r="A62" s="171" t="s">
        <v>4300</v>
      </c>
      <c r="B62" s="108"/>
      <c r="C62" s="171" t="s">
        <v>4332</v>
      </c>
      <c r="D62" s="164"/>
      <c r="E62" s="165" t="s">
        <v>4303</v>
      </c>
      <c r="F62" s="165" t="s">
        <v>4333</v>
      </c>
      <c r="G62" s="165" t="s">
        <v>4334</v>
      </c>
      <c r="H62" s="165" t="s">
        <v>4313</v>
      </c>
      <c r="I62" s="165" t="s">
        <v>36</v>
      </c>
      <c r="J62" s="165"/>
      <c r="K62" s="165"/>
      <c r="L62" s="165"/>
      <c r="M62" s="165"/>
      <c r="N62" s="165"/>
      <c r="O62" s="165"/>
      <c r="P62" s="165"/>
      <c r="Q62" s="165"/>
      <c r="R62" s="165"/>
      <c r="S62" s="163"/>
      <c r="T62" s="163"/>
      <c r="U62" s="163"/>
      <c r="V62" s="163"/>
      <c r="W62" s="163"/>
      <c r="X62" s="163"/>
      <c r="Y62" s="163"/>
      <c r="Z62" s="163"/>
      <c r="AA62" s="163"/>
    </row>
    <row r="63" ht="14.25" customHeight="1">
      <c r="A63" s="171" t="s">
        <v>4300</v>
      </c>
      <c r="B63" s="108"/>
      <c r="C63" s="171" t="s">
        <v>4335</v>
      </c>
      <c r="D63" s="164"/>
      <c r="E63" s="165" t="s">
        <v>4303</v>
      </c>
      <c r="F63" s="165" t="s">
        <v>4336</v>
      </c>
      <c r="G63" s="165" t="s">
        <v>4337</v>
      </c>
      <c r="H63" s="165" t="s">
        <v>4313</v>
      </c>
      <c r="I63" s="165" t="s">
        <v>36</v>
      </c>
      <c r="J63" s="165"/>
      <c r="K63" s="165"/>
      <c r="L63" s="165"/>
      <c r="M63" s="165"/>
      <c r="N63" s="165"/>
      <c r="O63" s="165"/>
      <c r="P63" s="165"/>
      <c r="Q63" s="165"/>
      <c r="R63" s="165"/>
      <c r="S63" s="163"/>
      <c r="T63" s="163"/>
      <c r="U63" s="163"/>
      <c r="V63" s="163"/>
      <c r="W63" s="163"/>
      <c r="X63" s="163"/>
      <c r="Y63" s="163"/>
      <c r="Z63" s="163"/>
      <c r="AA63" s="163"/>
    </row>
    <row r="64" ht="14.25" customHeight="1">
      <c r="A64" s="171" t="s">
        <v>4300</v>
      </c>
      <c r="B64" s="108"/>
      <c r="C64" s="171" t="s">
        <v>4338</v>
      </c>
      <c r="D64" s="164"/>
      <c r="E64" s="165" t="s">
        <v>4303</v>
      </c>
      <c r="F64" s="165" t="s">
        <v>4339</v>
      </c>
      <c r="G64" s="165" t="s">
        <v>4340</v>
      </c>
      <c r="H64" s="165" t="s">
        <v>4313</v>
      </c>
      <c r="I64" s="165" t="s">
        <v>36</v>
      </c>
      <c r="J64" s="165"/>
      <c r="K64" s="165"/>
      <c r="L64" s="165"/>
      <c r="M64" s="165"/>
      <c r="N64" s="165"/>
      <c r="O64" s="165"/>
      <c r="P64" s="165"/>
      <c r="Q64" s="165"/>
      <c r="R64" s="165"/>
      <c r="S64" s="163"/>
      <c r="T64" s="163"/>
      <c r="U64" s="163"/>
      <c r="V64" s="163"/>
      <c r="W64" s="163"/>
      <c r="X64" s="163"/>
      <c r="Y64" s="163"/>
      <c r="Z64" s="163"/>
      <c r="AA64" s="163"/>
    </row>
    <row r="65" ht="14.25" customHeight="1">
      <c r="A65" s="171" t="s">
        <v>4300</v>
      </c>
      <c r="B65" s="108"/>
      <c r="C65" s="171" t="s">
        <v>4341</v>
      </c>
      <c r="D65" s="164"/>
      <c r="E65" s="165" t="s">
        <v>4303</v>
      </c>
      <c r="F65" s="165" t="s">
        <v>4342</v>
      </c>
      <c r="G65" s="165" t="s">
        <v>4340</v>
      </c>
      <c r="H65" s="165" t="s">
        <v>4313</v>
      </c>
      <c r="I65" s="165" t="s">
        <v>36</v>
      </c>
      <c r="J65" s="165"/>
      <c r="K65" s="165"/>
      <c r="L65" s="165"/>
      <c r="M65" s="165"/>
      <c r="N65" s="165"/>
      <c r="O65" s="165"/>
      <c r="P65" s="165"/>
      <c r="Q65" s="165"/>
      <c r="R65" s="165"/>
      <c r="S65" s="163"/>
      <c r="T65" s="163"/>
      <c r="U65" s="163"/>
      <c r="V65" s="163"/>
      <c r="W65" s="163"/>
      <c r="X65" s="163"/>
      <c r="Y65" s="163"/>
      <c r="Z65" s="163"/>
      <c r="AA65" s="163"/>
    </row>
    <row r="66" ht="14.25" customHeight="1">
      <c r="A66" s="171" t="s">
        <v>4300</v>
      </c>
      <c r="B66" s="108"/>
      <c r="C66" s="171" t="s">
        <v>4343</v>
      </c>
      <c r="D66" s="164"/>
      <c r="E66" s="165" t="s">
        <v>4303</v>
      </c>
      <c r="F66" s="165" t="s">
        <v>4344</v>
      </c>
      <c r="G66" s="165" t="s">
        <v>4340</v>
      </c>
      <c r="H66" s="165" t="s">
        <v>4313</v>
      </c>
      <c r="I66" s="165" t="s">
        <v>36</v>
      </c>
      <c r="J66" s="165"/>
      <c r="K66" s="165"/>
      <c r="L66" s="165"/>
      <c r="M66" s="165"/>
      <c r="N66" s="165"/>
      <c r="O66" s="165"/>
      <c r="P66" s="165"/>
      <c r="Q66" s="165"/>
      <c r="R66" s="165"/>
      <c r="S66" s="163"/>
      <c r="T66" s="163"/>
      <c r="U66" s="163"/>
      <c r="V66" s="163"/>
      <c r="W66" s="163"/>
      <c r="X66" s="163"/>
      <c r="Y66" s="163"/>
      <c r="Z66" s="163"/>
      <c r="AA66" s="163"/>
    </row>
    <row r="67" ht="14.25" customHeight="1">
      <c r="A67" s="171" t="s">
        <v>4300</v>
      </c>
      <c r="B67" s="109"/>
      <c r="C67" s="171" t="s">
        <v>4345</v>
      </c>
      <c r="D67" s="164"/>
      <c r="E67" s="165" t="s">
        <v>4303</v>
      </c>
      <c r="F67" s="165" t="s">
        <v>4346</v>
      </c>
      <c r="G67" s="165" t="s">
        <v>4340</v>
      </c>
      <c r="H67" s="165" t="s">
        <v>4313</v>
      </c>
      <c r="I67" s="165" t="s">
        <v>36</v>
      </c>
      <c r="J67" s="165"/>
      <c r="K67" s="165"/>
      <c r="L67" s="165"/>
      <c r="M67" s="165"/>
      <c r="N67" s="165"/>
      <c r="O67" s="165"/>
      <c r="P67" s="165"/>
      <c r="Q67" s="165"/>
      <c r="R67" s="165"/>
      <c r="S67" s="163"/>
      <c r="T67" s="163"/>
      <c r="U67" s="163"/>
      <c r="V67" s="163"/>
      <c r="W67" s="163"/>
      <c r="X67" s="163"/>
      <c r="Y67" s="163"/>
      <c r="Z67" s="163"/>
      <c r="AA67" s="163"/>
    </row>
    <row r="68" ht="14.25" customHeight="1">
      <c r="A68" s="163"/>
      <c r="B68" s="163"/>
      <c r="C68" s="164" t="s">
        <v>4347</v>
      </c>
      <c r="D68" s="164" t="s">
        <v>1775</v>
      </c>
      <c r="E68" s="165" t="s">
        <v>4348</v>
      </c>
      <c r="F68" s="165" t="s">
        <v>4349</v>
      </c>
      <c r="G68" s="165" t="s">
        <v>4350</v>
      </c>
      <c r="H68" s="165" t="s">
        <v>4351</v>
      </c>
      <c r="I68" s="165" t="s">
        <v>317</v>
      </c>
      <c r="J68" s="165"/>
      <c r="K68" s="165" t="s">
        <v>1784</v>
      </c>
      <c r="L68" s="165"/>
      <c r="M68" s="165"/>
      <c r="N68" s="165"/>
      <c r="O68" s="165"/>
      <c r="P68" s="165"/>
      <c r="Q68" s="165"/>
      <c r="R68" s="165"/>
      <c r="S68" s="163"/>
      <c r="T68" s="163"/>
      <c r="U68" s="163"/>
      <c r="V68" s="163"/>
      <c r="W68" s="163"/>
      <c r="X68" s="163"/>
      <c r="Y68" s="163"/>
      <c r="Z68" s="163"/>
      <c r="AA68" s="163"/>
    </row>
    <row r="69" ht="14.25" customHeight="1">
      <c r="A69" s="163"/>
      <c r="B69" s="163"/>
      <c r="C69" s="164" t="s">
        <v>4352</v>
      </c>
      <c r="D69" s="164" t="s">
        <v>1775</v>
      </c>
      <c r="E69" s="165" t="s">
        <v>4353</v>
      </c>
      <c r="F69" s="165" t="s">
        <v>4354</v>
      </c>
      <c r="G69" s="165" t="s">
        <v>4355</v>
      </c>
      <c r="H69" s="165" t="s">
        <v>4356</v>
      </c>
      <c r="I69" s="165" t="s">
        <v>36</v>
      </c>
      <c r="J69" s="165"/>
      <c r="K69" s="165" t="s">
        <v>1784</v>
      </c>
      <c r="L69" s="165"/>
      <c r="M69" s="165"/>
      <c r="N69" s="165"/>
      <c r="O69" s="165"/>
      <c r="P69" s="165"/>
      <c r="Q69" s="165"/>
      <c r="R69" s="165"/>
      <c r="S69" s="163"/>
      <c r="T69" s="163"/>
      <c r="U69" s="163"/>
      <c r="V69" s="163"/>
      <c r="W69" s="163"/>
      <c r="X69" s="163"/>
      <c r="Y69" s="163"/>
      <c r="Z69" s="163"/>
      <c r="AA69" s="163"/>
    </row>
    <row r="70" ht="14.25" customHeight="1">
      <c r="A70" s="163"/>
      <c r="B70" s="163"/>
      <c r="C70" s="164" t="s">
        <v>4357</v>
      </c>
      <c r="D70" s="164" t="s">
        <v>1775</v>
      </c>
      <c r="E70" s="165" t="s">
        <v>4358</v>
      </c>
      <c r="F70" s="165" t="s">
        <v>4354</v>
      </c>
      <c r="G70" s="165" t="s">
        <v>4359</v>
      </c>
      <c r="H70" s="165" t="s">
        <v>4351</v>
      </c>
      <c r="I70" s="165" t="s">
        <v>317</v>
      </c>
      <c r="J70" s="165"/>
      <c r="K70" s="165" t="s">
        <v>1784</v>
      </c>
      <c r="L70" s="165" t="s">
        <v>4360</v>
      </c>
      <c r="M70" s="165"/>
      <c r="N70" s="165"/>
      <c r="O70" s="165"/>
      <c r="P70" s="165"/>
      <c r="Q70" s="165"/>
      <c r="R70" s="165"/>
      <c r="S70" s="163"/>
      <c r="T70" s="163"/>
      <c r="U70" s="163"/>
      <c r="V70" s="163"/>
      <c r="W70" s="163"/>
      <c r="X70" s="163"/>
      <c r="Y70" s="163"/>
      <c r="Z70" s="163"/>
      <c r="AA70" s="163"/>
    </row>
    <row r="71" ht="14.25" customHeight="1">
      <c r="A71" s="163"/>
      <c r="B71" s="163"/>
      <c r="C71" s="164" t="s">
        <v>4361</v>
      </c>
      <c r="D71" s="164" t="s">
        <v>1775</v>
      </c>
      <c r="E71" s="165" t="s">
        <v>4362</v>
      </c>
      <c r="F71" s="165" t="s">
        <v>4363</v>
      </c>
      <c r="G71" s="165" t="s">
        <v>4364</v>
      </c>
      <c r="H71" s="165" t="s">
        <v>4365</v>
      </c>
      <c r="I71" s="165" t="s">
        <v>317</v>
      </c>
      <c r="J71" s="165"/>
      <c r="K71" s="165" t="s">
        <v>1784</v>
      </c>
      <c r="L71" s="209" t="s">
        <v>4366</v>
      </c>
      <c r="M71" s="165"/>
      <c r="N71" s="165"/>
      <c r="O71" s="165"/>
      <c r="P71" s="165"/>
      <c r="Q71" s="165"/>
      <c r="R71" s="165"/>
      <c r="S71" s="163"/>
      <c r="T71" s="163"/>
      <c r="U71" s="163"/>
      <c r="V71" s="163"/>
      <c r="W71" s="163"/>
      <c r="X71" s="163"/>
      <c r="Y71" s="163"/>
      <c r="Z71" s="163"/>
      <c r="AA71" s="163"/>
    </row>
    <row r="72" ht="14.25" customHeight="1">
      <c r="A72" s="163"/>
      <c r="B72" s="163"/>
      <c r="C72" s="164" t="s">
        <v>4367</v>
      </c>
      <c r="D72" s="164" t="s">
        <v>1775</v>
      </c>
      <c r="E72" s="165" t="s">
        <v>4362</v>
      </c>
      <c r="F72" s="165" t="s">
        <v>4368</v>
      </c>
      <c r="G72" s="165" t="s">
        <v>4364</v>
      </c>
      <c r="H72" s="165" t="s">
        <v>4365</v>
      </c>
      <c r="I72" s="165" t="s">
        <v>317</v>
      </c>
      <c r="J72" s="165"/>
      <c r="K72" s="165" t="s">
        <v>1784</v>
      </c>
      <c r="L72" s="209" t="s">
        <v>4366</v>
      </c>
      <c r="M72" s="165"/>
      <c r="N72" s="165"/>
      <c r="O72" s="165"/>
      <c r="P72" s="165"/>
      <c r="Q72" s="165"/>
      <c r="R72" s="165"/>
      <c r="S72" s="163"/>
      <c r="T72" s="163"/>
      <c r="U72" s="163"/>
      <c r="V72" s="163"/>
      <c r="W72" s="163"/>
      <c r="X72" s="163"/>
      <c r="Y72" s="163"/>
      <c r="Z72" s="163"/>
      <c r="AA72" s="163"/>
    </row>
    <row r="73" ht="14.25" customHeight="1">
      <c r="A73" s="163"/>
      <c r="B73" s="163"/>
      <c r="C73" s="164" t="s">
        <v>4369</v>
      </c>
      <c r="D73" s="164" t="s">
        <v>1775</v>
      </c>
      <c r="E73" s="165" t="s">
        <v>4362</v>
      </c>
      <c r="F73" s="165" t="s">
        <v>4370</v>
      </c>
      <c r="G73" s="165" t="s">
        <v>4364</v>
      </c>
      <c r="H73" s="165" t="s">
        <v>4365</v>
      </c>
      <c r="I73" s="165" t="s">
        <v>317</v>
      </c>
      <c r="J73" s="165"/>
      <c r="K73" s="165" t="s">
        <v>1784</v>
      </c>
      <c r="L73" s="209" t="s">
        <v>4366</v>
      </c>
      <c r="M73" s="165"/>
      <c r="N73" s="165"/>
      <c r="O73" s="165"/>
      <c r="P73" s="165"/>
      <c r="Q73" s="165"/>
      <c r="R73" s="165"/>
      <c r="S73" s="163"/>
      <c r="T73" s="163"/>
      <c r="U73" s="163"/>
      <c r="V73" s="163"/>
      <c r="W73" s="163"/>
      <c r="X73" s="163"/>
      <c r="Y73" s="163"/>
      <c r="Z73" s="163"/>
      <c r="AA73" s="163"/>
    </row>
    <row r="74" ht="14.25" customHeight="1">
      <c r="A74" s="163"/>
      <c r="B74" s="163"/>
      <c r="C74" s="164" t="s">
        <v>4371</v>
      </c>
      <c r="D74" s="164" t="s">
        <v>1775</v>
      </c>
      <c r="E74" s="165" t="s">
        <v>4362</v>
      </c>
      <c r="F74" s="165" t="s">
        <v>4372</v>
      </c>
      <c r="G74" s="165" t="s">
        <v>4364</v>
      </c>
      <c r="H74" s="165" t="s">
        <v>4365</v>
      </c>
      <c r="I74" s="165" t="s">
        <v>317</v>
      </c>
      <c r="J74" s="165"/>
      <c r="K74" s="165" t="s">
        <v>1784</v>
      </c>
      <c r="L74" s="209" t="s">
        <v>4366</v>
      </c>
      <c r="M74" s="165"/>
      <c r="N74" s="165"/>
      <c r="O74" s="165"/>
      <c r="P74" s="165"/>
      <c r="Q74" s="165"/>
      <c r="R74" s="165"/>
      <c r="S74" s="163"/>
      <c r="T74" s="163"/>
      <c r="U74" s="163"/>
      <c r="V74" s="163"/>
      <c r="W74" s="163"/>
      <c r="X74" s="163"/>
      <c r="Y74" s="163"/>
      <c r="Z74" s="163"/>
      <c r="AA74" s="163"/>
    </row>
    <row r="75" ht="14.25" customHeight="1">
      <c r="A75" s="163"/>
      <c r="B75" s="163"/>
      <c r="C75" s="164" t="s">
        <v>4373</v>
      </c>
      <c r="D75" s="164" t="s">
        <v>1775</v>
      </c>
      <c r="E75" s="165" t="s">
        <v>4362</v>
      </c>
      <c r="F75" s="165" t="s">
        <v>4374</v>
      </c>
      <c r="G75" s="165" t="s">
        <v>4364</v>
      </c>
      <c r="H75" s="165" t="s">
        <v>4365</v>
      </c>
      <c r="I75" s="165" t="s">
        <v>36</v>
      </c>
      <c r="J75" s="165"/>
      <c r="K75" s="165" t="s">
        <v>1784</v>
      </c>
      <c r="L75" s="165"/>
      <c r="M75" s="165"/>
      <c r="N75" s="165"/>
      <c r="O75" s="165"/>
      <c r="P75" s="165"/>
      <c r="Q75" s="165"/>
      <c r="R75" s="165"/>
      <c r="S75" s="163"/>
      <c r="T75" s="163"/>
      <c r="U75" s="163"/>
      <c r="V75" s="163"/>
      <c r="W75" s="163"/>
      <c r="X75" s="163"/>
      <c r="Y75" s="163"/>
      <c r="Z75" s="163"/>
      <c r="AA75" s="163"/>
    </row>
    <row r="76" ht="14.25" customHeight="1">
      <c r="A76" s="163"/>
      <c r="B76" s="163"/>
      <c r="C76" s="164" t="s">
        <v>4375</v>
      </c>
      <c r="D76" s="164" t="s">
        <v>1775</v>
      </c>
      <c r="E76" s="165" t="s">
        <v>4362</v>
      </c>
      <c r="F76" s="165" t="s">
        <v>4376</v>
      </c>
      <c r="G76" s="165" t="s">
        <v>4364</v>
      </c>
      <c r="H76" s="165" t="s">
        <v>4365</v>
      </c>
      <c r="I76" s="165" t="s">
        <v>36</v>
      </c>
      <c r="J76" s="165"/>
      <c r="K76" s="165" t="s">
        <v>1784</v>
      </c>
      <c r="L76" s="165"/>
      <c r="M76" s="165"/>
      <c r="N76" s="165"/>
      <c r="O76" s="165"/>
      <c r="P76" s="165"/>
      <c r="Q76" s="165"/>
      <c r="R76" s="165"/>
      <c r="S76" s="163"/>
      <c r="T76" s="163"/>
      <c r="U76" s="163"/>
      <c r="V76" s="163"/>
      <c r="W76" s="163"/>
      <c r="X76" s="163"/>
      <c r="Y76" s="163"/>
      <c r="Z76" s="163"/>
      <c r="AA76" s="163"/>
    </row>
    <row r="77" ht="14.25" customHeight="1">
      <c r="A77" s="163"/>
      <c r="B77" s="163"/>
      <c r="C77" s="164" t="s">
        <v>4377</v>
      </c>
      <c r="D77" s="164" t="s">
        <v>1775</v>
      </c>
      <c r="E77" s="165" t="s">
        <v>4362</v>
      </c>
      <c r="F77" s="165" t="s">
        <v>4378</v>
      </c>
      <c r="G77" s="165" t="s">
        <v>4364</v>
      </c>
      <c r="H77" s="165" t="s">
        <v>4365</v>
      </c>
      <c r="I77" s="165" t="s">
        <v>36</v>
      </c>
      <c r="J77" s="165"/>
      <c r="K77" s="165" t="s">
        <v>1784</v>
      </c>
      <c r="L77" s="165"/>
      <c r="M77" s="165"/>
      <c r="N77" s="165"/>
      <c r="O77" s="165"/>
      <c r="P77" s="165"/>
      <c r="Q77" s="165"/>
      <c r="R77" s="165"/>
      <c r="S77" s="163"/>
      <c r="T77" s="163"/>
      <c r="U77" s="163"/>
      <c r="V77" s="163"/>
      <c r="W77" s="163"/>
      <c r="X77" s="163"/>
      <c r="Y77" s="163"/>
      <c r="Z77" s="163"/>
      <c r="AA77" s="163"/>
    </row>
    <row r="78" ht="14.25" customHeight="1">
      <c r="A78" s="163"/>
      <c r="B78" s="163"/>
      <c r="C78" s="164" t="s">
        <v>4379</v>
      </c>
      <c r="D78" s="164" t="s">
        <v>1775</v>
      </c>
      <c r="E78" s="165" t="s">
        <v>4362</v>
      </c>
      <c r="F78" s="165" t="s">
        <v>4363</v>
      </c>
      <c r="G78" s="165" t="s">
        <v>4380</v>
      </c>
      <c r="H78" s="165" t="s">
        <v>4381</v>
      </c>
      <c r="I78" s="165" t="s">
        <v>317</v>
      </c>
      <c r="J78" s="165"/>
      <c r="K78" s="165" t="s">
        <v>1784</v>
      </c>
      <c r="L78" s="165" t="s">
        <v>4366</v>
      </c>
      <c r="M78" s="165"/>
      <c r="N78" s="165"/>
      <c r="O78" s="165"/>
      <c r="P78" s="165"/>
      <c r="Q78" s="165"/>
      <c r="R78" s="165"/>
      <c r="S78" s="163"/>
      <c r="T78" s="163"/>
      <c r="U78" s="163"/>
      <c r="V78" s="163"/>
      <c r="W78" s="163"/>
      <c r="X78" s="163"/>
      <c r="Y78" s="163"/>
      <c r="Z78" s="163"/>
      <c r="AA78" s="163"/>
    </row>
    <row r="79" ht="14.25" customHeight="1">
      <c r="A79" s="163"/>
      <c r="B79" s="163"/>
      <c r="C79" s="164" t="s">
        <v>4382</v>
      </c>
      <c r="D79" s="164" t="s">
        <v>1775</v>
      </c>
      <c r="E79" s="165" t="s">
        <v>4362</v>
      </c>
      <c r="F79" s="210" t="s">
        <v>4383</v>
      </c>
      <c r="G79" s="165" t="s">
        <v>4384</v>
      </c>
      <c r="H79" s="165" t="s">
        <v>4381</v>
      </c>
      <c r="I79" s="165" t="s">
        <v>317</v>
      </c>
      <c r="J79" s="165"/>
      <c r="K79" s="165" t="s">
        <v>1784</v>
      </c>
      <c r="L79" s="165" t="s">
        <v>4366</v>
      </c>
      <c r="M79" s="165"/>
      <c r="N79" s="165"/>
      <c r="O79" s="165"/>
      <c r="P79" s="165"/>
      <c r="Q79" s="165"/>
      <c r="R79" s="165"/>
      <c r="S79" s="163"/>
      <c r="T79" s="163"/>
      <c r="U79" s="163"/>
      <c r="V79" s="163"/>
      <c r="W79" s="163"/>
      <c r="X79" s="163"/>
      <c r="Y79" s="163"/>
      <c r="Z79" s="163"/>
      <c r="AA79" s="163"/>
    </row>
    <row r="80" ht="14.25" customHeight="1">
      <c r="A80" s="163"/>
      <c r="B80" s="163"/>
      <c r="C80" s="164" t="s">
        <v>4385</v>
      </c>
      <c r="D80" s="164" t="s">
        <v>1775</v>
      </c>
      <c r="E80" s="165" t="s">
        <v>4362</v>
      </c>
      <c r="F80" s="210" t="s">
        <v>4386</v>
      </c>
      <c r="G80" s="165" t="s">
        <v>4387</v>
      </c>
      <c r="H80" s="165" t="s">
        <v>4388</v>
      </c>
      <c r="I80" s="165" t="s">
        <v>317</v>
      </c>
      <c r="J80" s="163"/>
      <c r="K80" s="165" t="s">
        <v>1784</v>
      </c>
      <c r="L80" s="165" t="s">
        <v>4366</v>
      </c>
      <c r="M80" s="163"/>
      <c r="N80" s="163"/>
      <c r="O80" s="163"/>
      <c r="P80" s="163"/>
      <c r="Q80" s="163"/>
      <c r="R80" s="163"/>
      <c r="S80" s="163"/>
      <c r="T80" s="163"/>
      <c r="U80" s="163"/>
      <c r="V80" s="163"/>
      <c r="W80" s="163"/>
      <c r="X80" s="163"/>
      <c r="Y80" s="163"/>
      <c r="Z80" s="163"/>
      <c r="AA80" s="163"/>
    </row>
    <row r="81" ht="14.25" customHeight="1">
      <c r="A81" s="163"/>
      <c r="B81" s="163"/>
      <c r="C81" s="164" t="s">
        <v>4389</v>
      </c>
      <c r="D81" s="164" t="s">
        <v>1775</v>
      </c>
      <c r="E81" s="165" t="s">
        <v>4362</v>
      </c>
      <c r="F81" s="147" t="s">
        <v>4390</v>
      </c>
      <c r="G81" s="165" t="s">
        <v>4391</v>
      </c>
      <c r="H81" s="165" t="s">
        <v>4392</v>
      </c>
      <c r="I81" s="165" t="s">
        <v>317</v>
      </c>
      <c r="J81" s="163"/>
      <c r="K81" s="165" t="s">
        <v>1784</v>
      </c>
      <c r="L81" s="165" t="s">
        <v>4366</v>
      </c>
      <c r="M81" s="163"/>
      <c r="N81" s="163"/>
      <c r="O81" s="163"/>
      <c r="P81" s="163"/>
      <c r="Q81" s="163"/>
      <c r="R81" s="163"/>
      <c r="S81" s="163"/>
      <c r="T81" s="163"/>
      <c r="U81" s="163"/>
      <c r="V81" s="163"/>
      <c r="W81" s="163"/>
      <c r="X81" s="163"/>
      <c r="Y81" s="163"/>
      <c r="Z81" s="163"/>
      <c r="AA81" s="163"/>
    </row>
    <row r="82" ht="14.25" customHeight="1">
      <c r="A82" s="163"/>
      <c r="B82" s="163"/>
      <c r="C82" s="164" t="s">
        <v>4393</v>
      </c>
      <c r="D82" s="164" t="s">
        <v>1775</v>
      </c>
      <c r="E82" s="165" t="s">
        <v>4362</v>
      </c>
      <c r="F82" s="147" t="s">
        <v>4394</v>
      </c>
      <c r="G82" s="165" t="s">
        <v>4395</v>
      </c>
      <c r="H82" s="165" t="s">
        <v>4392</v>
      </c>
      <c r="I82" s="165" t="s">
        <v>317</v>
      </c>
      <c r="J82" s="163"/>
      <c r="K82" s="165" t="s">
        <v>1784</v>
      </c>
      <c r="L82" s="165" t="s">
        <v>4366</v>
      </c>
      <c r="M82" s="163"/>
      <c r="N82" s="163"/>
      <c r="O82" s="163"/>
      <c r="P82" s="163"/>
      <c r="Q82" s="163"/>
      <c r="R82" s="163"/>
      <c r="S82" s="163"/>
      <c r="T82" s="163"/>
      <c r="U82" s="163"/>
      <c r="V82" s="163"/>
      <c r="W82" s="163"/>
      <c r="X82" s="163"/>
      <c r="Y82" s="163"/>
      <c r="Z82" s="163"/>
      <c r="AA82" s="163"/>
    </row>
    <row r="83" ht="14.25" customHeight="1">
      <c r="A83" s="163"/>
      <c r="B83" s="163"/>
      <c r="C83" s="164" t="s">
        <v>4396</v>
      </c>
      <c r="D83" s="164" t="s">
        <v>1775</v>
      </c>
      <c r="E83" s="165"/>
      <c r="F83" s="147" t="s">
        <v>4397</v>
      </c>
      <c r="G83" s="165" t="s">
        <v>4398</v>
      </c>
      <c r="H83" s="165" t="s">
        <v>4399</v>
      </c>
      <c r="I83" s="164" t="s">
        <v>36</v>
      </c>
      <c r="J83" s="163"/>
      <c r="K83" s="164"/>
      <c r="L83" s="163"/>
      <c r="M83" s="163"/>
      <c r="N83" s="163"/>
      <c r="O83" s="163"/>
      <c r="P83" s="163"/>
      <c r="Q83" s="163"/>
      <c r="R83" s="163"/>
      <c r="S83" s="163"/>
      <c r="T83" s="163"/>
      <c r="U83" s="163"/>
      <c r="V83" s="163"/>
      <c r="W83" s="163"/>
      <c r="X83" s="163"/>
      <c r="Y83" s="163"/>
      <c r="Z83" s="163"/>
      <c r="AA83" s="163"/>
    </row>
    <row r="84" ht="14.25" customHeight="1">
      <c r="A84" s="163"/>
      <c r="B84" s="163"/>
      <c r="C84" s="164" t="s">
        <v>4400</v>
      </c>
      <c r="D84" s="164" t="s">
        <v>1775</v>
      </c>
      <c r="E84" s="165" t="s">
        <v>4401</v>
      </c>
      <c r="F84" s="147" t="s">
        <v>4402</v>
      </c>
      <c r="G84" s="165" t="s">
        <v>4403</v>
      </c>
      <c r="H84" s="165" t="s">
        <v>4404</v>
      </c>
      <c r="I84" s="164" t="s">
        <v>36</v>
      </c>
      <c r="J84" s="163"/>
      <c r="K84" s="164" t="s">
        <v>1784</v>
      </c>
      <c r="L84" s="163"/>
      <c r="M84" s="163"/>
      <c r="N84" s="163"/>
      <c r="O84" s="163"/>
      <c r="P84" s="163"/>
      <c r="Q84" s="163"/>
      <c r="R84" s="163"/>
      <c r="S84" s="163"/>
      <c r="T84" s="163"/>
      <c r="U84" s="163"/>
      <c r="V84" s="163"/>
      <c r="W84" s="163"/>
      <c r="X84" s="163"/>
      <c r="Y84" s="163"/>
      <c r="Z84" s="163"/>
      <c r="AA84" s="163"/>
    </row>
    <row r="85" ht="14.25" customHeight="1">
      <c r="A85" s="163"/>
      <c r="B85" s="163"/>
      <c r="C85" s="164" t="s">
        <v>4405</v>
      </c>
      <c r="D85" s="164" t="s">
        <v>1775</v>
      </c>
      <c r="E85" s="165" t="s">
        <v>4401</v>
      </c>
      <c r="F85" s="147" t="s">
        <v>4406</v>
      </c>
      <c r="G85" s="165" t="s">
        <v>4407</v>
      </c>
      <c r="H85" s="165" t="s">
        <v>4408</v>
      </c>
      <c r="I85" s="164" t="s">
        <v>36</v>
      </c>
      <c r="J85" s="163"/>
      <c r="K85" s="164" t="s">
        <v>1784</v>
      </c>
      <c r="L85" s="163"/>
      <c r="M85" s="163"/>
      <c r="N85" s="163"/>
      <c r="O85" s="163"/>
      <c r="P85" s="163"/>
      <c r="Q85" s="163"/>
      <c r="R85" s="163"/>
      <c r="S85" s="163"/>
      <c r="T85" s="163"/>
      <c r="U85" s="163"/>
      <c r="V85" s="163"/>
      <c r="W85" s="163"/>
      <c r="X85" s="163"/>
      <c r="Y85" s="163"/>
      <c r="Z85" s="163"/>
      <c r="AA85" s="163"/>
    </row>
    <row r="86" ht="14.25" customHeight="1">
      <c r="A86" s="163"/>
      <c r="B86" s="163"/>
      <c r="C86" s="164" t="s">
        <v>4409</v>
      </c>
      <c r="D86" s="164" t="s">
        <v>1775</v>
      </c>
      <c r="E86" s="165" t="s">
        <v>4401</v>
      </c>
      <c r="F86" s="147" t="s">
        <v>4402</v>
      </c>
      <c r="G86" s="165" t="s">
        <v>4410</v>
      </c>
      <c r="H86" s="165" t="s">
        <v>4404</v>
      </c>
      <c r="I86" s="164" t="s">
        <v>36</v>
      </c>
      <c r="J86" s="163"/>
      <c r="K86" s="164" t="s">
        <v>1784</v>
      </c>
      <c r="L86" s="163"/>
      <c r="M86" s="163"/>
      <c r="N86" s="163"/>
      <c r="O86" s="163"/>
      <c r="P86" s="163"/>
      <c r="Q86" s="163"/>
      <c r="R86" s="163"/>
      <c r="S86" s="163"/>
      <c r="T86" s="163"/>
      <c r="U86" s="163"/>
      <c r="V86" s="163"/>
      <c r="W86" s="163"/>
      <c r="X86" s="163"/>
      <c r="Y86" s="163"/>
      <c r="Z86" s="163"/>
      <c r="AA86" s="163"/>
    </row>
    <row r="87" ht="14.25" customHeight="1">
      <c r="A87" s="163"/>
      <c r="B87" s="163"/>
      <c r="C87" s="164" t="s">
        <v>4411</v>
      </c>
      <c r="D87" s="164" t="s">
        <v>1775</v>
      </c>
      <c r="E87" s="165" t="s">
        <v>4401</v>
      </c>
      <c r="F87" s="147" t="s">
        <v>4412</v>
      </c>
      <c r="G87" s="165" t="s">
        <v>4413</v>
      </c>
      <c r="H87" s="165" t="s">
        <v>4414</v>
      </c>
      <c r="I87" s="164" t="s">
        <v>36</v>
      </c>
      <c r="J87" s="163"/>
      <c r="K87" s="164" t="s">
        <v>1784</v>
      </c>
      <c r="L87" s="163"/>
      <c r="M87" s="163"/>
      <c r="N87" s="163"/>
      <c r="O87" s="163"/>
      <c r="P87" s="163"/>
      <c r="Q87" s="163"/>
      <c r="R87" s="163"/>
      <c r="S87" s="163"/>
      <c r="T87" s="163"/>
      <c r="U87" s="163"/>
      <c r="V87" s="163"/>
      <c r="W87" s="163"/>
      <c r="X87" s="163"/>
      <c r="Y87" s="163"/>
      <c r="Z87" s="163"/>
      <c r="AA87" s="163"/>
    </row>
    <row r="88" ht="14.25" customHeight="1">
      <c r="A88" s="163"/>
      <c r="B88" s="163"/>
      <c r="C88" s="164" t="s">
        <v>4415</v>
      </c>
      <c r="D88" s="164" t="s">
        <v>1775</v>
      </c>
      <c r="E88" s="165" t="s">
        <v>4416</v>
      </c>
      <c r="F88" s="165"/>
      <c r="G88" s="165" t="s">
        <v>4417</v>
      </c>
      <c r="H88" s="165" t="s">
        <v>4418</v>
      </c>
      <c r="I88" s="165" t="s">
        <v>36</v>
      </c>
      <c r="J88" s="163"/>
      <c r="K88" s="163"/>
      <c r="L88" s="163"/>
      <c r="M88" s="163"/>
      <c r="N88" s="163"/>
      <c r="O88" s="163"/>
      <c r="P88" s="163"/>
      <c r="Q88" s="163"/>
      <c r="R88" s="163"/>
      <c r="S88" s="163"/>
      <c r="T88" s="163"/>
      <c r="U88" s="163"/>
      <c r="V88" s="163"/>
      <c r="W88" s="163"/>
      <c r="X88" s="163"/>
      <c r="Y88" s="163"/>
      <c r="Z88" s="163"/>
      <c r="AA88" s="163"/>
    </row>
    <row r="89" ht="14.25" customHeight="1">
      <c r="A89" s="164"/>
      <c r="B89" s="164"/>
      <c r="C89" s="164" t="s">
        <v>4419</v>
      </c>
      <c r="D89" s="164" t="s">
        <v>1775</v>
      </c>
      <c r="E89" s="165" t="s">
        <v>4420</v>
      </c>
      <c r="F89" s="165"/>
      <c r="G89" s="165" t="s">
        <v>4421</v>
      </c>
      <c r="H89" s="165" t="s">
        <v>4422</v>
      </c>
      <c r="I89" s="165" t="s">
        <v>36</v>
      </c>
      <c r="J89" s="163"/>
      <c r="K89" s="163"/>
      <c r="L89" s="163"/>
      <c r="M89" s="163"/>
      <c r="N89" s="163"/>
      <c r="O89" s="163"/>
      <c r="P89" s="163"/>
      <c r="Q89" s="163"/>
      <c r="R89" s="163"/>
      <c r="S89" s="163"/>
      <c r="T89" s="163"/>
      <c r="U89" s="163"/>
      <c r="V89" s="163"/>
      <c r="W89" s="163"/>
      <c r="X89" s="163"/>
      <c r="Y89" s="163"/>
      <c r="Z89" s="163"/>
      <c r="AA89" s="163"/>
    </row>
    <row r="90" ht="14.25" customHeight="1">
      <c r="A90" s="164"/>
      <c r="B90" s="164"/>
      <c r="C90" s="164" t="s">
        <v>4423</v>
      </c>
      <c r="D90" s="164" t="s">
        <v>1775</v>
      </c>
      <c r="E90" s="165" t="s">
        <v>4420</v>
      </c>
      <c r="F90" s="165"/>
      <c r="G90" s="165" t="s">
        <v>4424</v>
      </c>
      <c r="H90" s="165" t="s">
        <v>4425</v>
      </c>
      <c r="I90" s="165" t="s">
        <v>317</v>
      </c>
      <c r="J90" s="163"/>
      <c r="K90" s="163"/>
      <c r="L90" s="164" t="s">
        <v>4426</v>
      </c>
      <c r="M90" s="163"/>
      <c r="N90" s="163"/>
      <c r="O90" s="163"/>
      <c r="P90" s="163"/>
      <c r="Q90" s="163"/>
      <c r="R90" s="163"/>
      <c r="S90" s="163"/>
      <c r="T90" s="163"/>
      <c r="U90" s="163"/>
      <c r="V90" s="163"/>
      <c r="W90" s="163"/>
      <c r="X90" s="163"/>
      <c r="Y90" s="163"/>
      <c r="Z90" s="163"/>
      <c r="AA90" s="163"/>
    </row>
    <row r="91" ht="14.25" customHeight="1">
      <c r="A91" s="164"/>
      <c r="B91" s="164"/>
      <c r="C91" s="164" t="s">
        <v>4427</v>
      </c>
      <c r="D91" s="164" t="s">
        <v>1775</v>
      </c>
      <c r="E91" s="165" t="s">
        <v>4420</v>
      </c>
      <c r="F91" s="165" t="s">
        <v>4428</v>
      </c>
      <c r="G91" s="165" t="s">
        <v>4429</v>
      </c>
      <c r="H91" s="165" t="s">
        <v>4430</v>
      </c>
      <c r="I91" s="164" t="s">
        <v>36</v>
      </c>
      <c r="J91" s="163"/>
      <c r="K91" s="164" t="s">
        <v>1784</v>
      </c>
      <c r="L91" s="163"/>
      <c r="M91" s="163"/>
      <c r="N91" s="163"/>
      <c r="O91" s="163"/>
      <c r="P91" s="163"/>
      <c r="Q91" s="163"/>
      <c r="R91" s="163"/>
      <c r="S91" s="163"/>
      <c r="T91" s="163"/>
      <c r="U91" s="163"/>
      <c r="V91" s="163"/>
      <c r="W91" s="163"/>
      <c r="X91" s="163"/>
      <c r="Y91" s="163"/>
      <c r="Z91" s="163"/>
      <c r="AA91" s="163"/>
    </row>
    <row r="92" ht="14.25" customHeight="1">
      <c r="A92" s="164" t="s">
        <v>4431</v>
      </c>
      <c r="B92" s="166" t="s">
        <v>4432</v>
      </c>
      <c r="C92" s="147" t="s">
        <v>4433</v>
      </c>
      <c r="D92" s="164" t="s">
        <v>271</v>
      </c>
      <c r="E92" s="165"/>
      <c r="F92" s="165"/>
      <c r="G92" s="165" t="s">
        <v>4434</v>
      </c>
      <c r="H92" s="165" t="s">
        <v>4435</v>
      </c>
      <c r="I92" s="165" t="s">
        <v>36</v>
      </c>
      <c r="J92" s="163"/>
      <c r="K92" s="163"/>
      <c r="L92" s="163"/>
      <c r="M92" s="163"/>
      <c r="N92" s="163"/>
      <c r="O92" s="163"/>
      <c r="P92" s="163"/>
      <c r="Q92" s="163"/>
      <c r="R92" s="163"/>
      <c r="S92" s="163"/>
      <c r="T92" s="163"/>
      <c r="U92" s="163"/>
      <c r="V92" s="163"/>
      <c r="W92" s="163"/>
      <c r="X92" s="163"/>
      <c r="Y92" s="163"/>
      <c r="Z92" s="163"/>
      <c r="AA92" s="163"/>
    </row>
    <row r="93" ht="14.25" customHeight="1">
      <c r="A93" s="164" t="s">
        <v>4431</v>
      </c>
      <c r="B93" s="109"/>
      <c r="C93" s="147" t="s">
        <v>4436</v>
      </c>
      <c r="D93" s="164" t="s">
        <v>271</v>
      </c>
      <c r="E93" s="165"/>
      <c r="F93" s="165" t="s">
        <v>4434</v>
      </c>
      <c r="G93" s="165" t="s">
        <v>4437</v>
      </c>
      <c r="H93" s="211" t="s">
        <v>4438</v>
      </c>
      <c r="I93" s="165" t="s">
        <v>36</v>
      </c>
      <c r="J93" s="163"/>
      <c r="K93" s="163"/>
      <c r="L93" s="211"/>
      <c r="M93" s="163"/>
      <c r="N93" s="163"/>
      <c r="O93" s="163"/>
      <c r="P93" s="163"/>
      <c r="Q93" s="163"/>
      <c r="R93" s="163"/>
      <c r="S93" s="163"/>
      <c r="T93" s="163"/>
      <c r="U93" s="163"/>
      <c r="V93" s="163"/>
      <c r="W93" s="163"/>
      <c r="X93" s="163"/>
      <c r="Y93" s="163"/>
      <c r="Z93" s="163"/>
      <c r="AA93" s="163"/>
    </row>
    <row r="94" ht="14.25" customHeight="1">
      <c r="A94" s="164" t="s">
        <v>4439</v>
      </c>
      <c r="B94" s="166" t="s">
        <v>4440</v>
      </c>
      <c r="C94" s="147" t="s">
        <v>4441</v>
      </c>
      <c r="D94" s="164" t="s">
        <v>271</v>
      </c>
      <c r="E94" s="165"/>
      <c r="F94" s="163"/>
      <c r="G94" s="165" t="s">
        <v>4442</v>
      </c>
      <c r="H94" s="165" t="s">
        <v>4443</v>
      </c>
      <c r="I94" s="164" t="s">
        <v>36</v>
      </c>
      <c r="J94" s="163"/>
      <c r="K94" s="164" t="s">
        <v>1784</v>
      </c>
      <c r="L94" s="163"/>
      <c r="M94" s="163"/>
      <c r="N94" s="163"/>
      <c r="O94" s="163"/>
      <c r="P94" s="163"/>
      <c r="Q94" s="163"/>
      <c r="R94" s="163"/>
      <c r="S94" s="163"/>
      <c r="T94" s="163"/>
      <c r="U94" s="163"/>
      <c r="V94" s="163"/>
      <c r="W94" s="163"/>
      <c r="X94" s="163"/>
      <c r="Y94" s="163"/>
      <c r="Z94" s="163"/>
      <c r="AA94" s="163"/>
    </row>
    <row r="95" ht="14.25" customHeight="1">
      <c r="A95" s="164" t="s">
        <v>4439</v>
      </c>
      <c r="B95" s="108"/>
      <c r="C95" s="147" t="s">
        <v>4444</v>
      </c>
      <c r="D95" s="164" t="s">
        <v>271</v>
      </c>
      <c r="E95" s="165"/>
      <c r="F95" s="163"/>
      <c r="G95" s="165" t="s">
        <v>4445</v>
      </c>
      <c r="H95" s="165" t="s">
        <v>4446</v>
      </c>
      <c r="I95" s="164" t="s">
        <v>36</v>
      </c>
      <c r="J95" s="163"/>
      <c r="K95" s="164" t="s">
        <v>1784</v>
      </c>
      <c r="L95" s="163"/>
      <c r="M95" s="163"/>
      <c r="N95" s="163"/>
      <c r="O95" s="163"/>
      <c r="P95" s="163"/>
      <c r="Q95" s="163"/>
      <c r="R95" s="163"/>
      <c r="S95" s="163"/>
      <c r="T95" s="163"/>
      <c r="U95" s="163"/>
      <c r="V95" s="163"/>
      <c r="W95" s="163"/>
      <c r="X95" s="163"/>
      <c r="Y95" s="163"/>
      <c r="Z95" s="163"/>
      <c r="AA95" s="163"/>
    </row>
    <row r="96" ht="14.25" customHeight="1">
      <c r="A96" s="164" t="s">
        <v>4439</v>
      </c>
      <c r="B96" s="108"/>
      <c r="C96" s="147" t="s">
        <v>4447</v>
      </c>
      <c r="D96" s="164" t="s">
        <v>271</v>
      </c>
      <c r="E96" s="165"/>
      <c r="F96" s="163"/>
      <c r="G96" s="165" t="s">
        <v>4448</v>
      </c>
      <c r="H96" s="165" t="s">
        <v>4449</v>
      </c>
      <c r="I96" s="164" t="s">
        <v>36</v>
      </c>
      <c r="J96" s="163"/>
      <c r="K96" s="164" t="s">
        <v>1784</v>
      </c>
      <c r="L96" s="163"/>
      <c r="M96" s="163"/>
      <c r="N96" s="163"/>
      <c r="O96" s="163"/>
      <c r="P96" s="163"/>
      <c r="Q96" s="163"/>
      <c r="R96" s="163"/>
      <c r="S96" s="163"/>
      <c r="T96" s="163"/>
      <c r="U96" s="163"/>
      <c r="V96" s="163"/>
      <c r="W96" s="163"/>
      <c r="X96" s="163"/>
      <c r="Y96" s="163"/>
      <c r="Z96" s="163"/>
      <c r="AA96" s="163"/>
    </row>
    <row r="97" ht="14.25" customHeight="1">
      <c r="A97" s="164" t="s">
        <v>4439</v>
      </c>
      <c r="B97" s="108"/>
      <c r="C97" s="147" t="s">
        <v>4450</v>
      </c>
      <c r="D97" s="164" t="s">
        <v>271</v>
      </c>
      <c r="E97" s="165"/>
      <c r="F97" s="163"/>
      <c r="G97" s="165" t="s">
        <v>4451</v>
      </c>
      <c r="H97" s="165" t="s">
        <v>4449</v>
      </c>
      <c r="I97" s="164" t="s">
        <v>36</v>
      </c>
      <c r="J97" s="163"/>
      <c r="K97" s="164" t="s">
        <v>1784</v>
      </c>
      <c r="L97" s="163"/>
      <c r="M97" s="163"/>
      <c r="N97" s="163"/>
      <c r="O97" s="163"/>
      <c r="P97" s="163"/>
      <c r="Q97" s="163"/>
      <c r="R97" s="163"/>
      <c r="S97" s="163"/>
      <c r="T97" s="163"/>
      <c r="U97" s="163"/>
      <c r="V97" s="163"/>
      <c r="W97" s="163"/>
      <c r="X97" s="163"/>
      <c r="Y97" s="163"/>
      <c r="Z97" s="163"/>
      <c r="AA97" s="163"/>
    </row>
    <row r="98" ht="14.25" customHeight="1">
      <c r="A98" s="164" t="s">
        <v>4439</v>
      </c>
      <c r="B98" s="109"/>
      <c r="C98" s="147" t="s">
        <v>4452</v>
      </c>
      <c r="D98" s="164" t="s">
        <v>271</v>
      </c>
      <c r="E98" s="165"/>
      <c r="F98" s="163"/>
      <c r="G98" s="165" t="s">
        <v>4453</v>
      </c>
      <c r="H98" s="165" t="s">
        <v>4454</v>
      </c>
      <c r="I98" s="164" t="s">
        <v>36</v>
      </c>
      <c r="J98" s="163"/>
      <c r="K98" s="164" t="s">
        <v>1784</v>
      </c>
      <c r="L98" s="163"/>
      <c r="M98" s="163"/>
      <c r="N98" s="163"/>
      <c r="O98" s="163"/>
      <c r="P98" s="163"/>
      <c r="Q98" s="163"/>
      <c r="R98" s="163"/>
      <c r="S98" s="163"/>
      <c r="T98" s="163"/>
      <c r="U98" s="163"/>
      <c r="V98" s="163"/>
      <c r="W98" s="163"/>
      <c r="X98" s="163"/>
      <c r="Y98" s="163"/>
      <c r="Z98" s="163"/>
      <c r="AA98" s="163"/>
    </row>
    <row r="99" ht="14.25" customHeight="1">
      <c r="A99" s="164" t="s">
        <v>4455</v>
      </c>
      <c r="B99" s="166" t="s">
        <v>4456</v>
      </c>
      <c r="C99" s="147" t="s">
        <v>4457</v>
      </c>
      <c r="D99" s="164" t="s">
        <v>271</v>
      </c>
      <c r="E99" s="165" t="s">
        <v>4456</v>
      </c>
      <c r="F99" s="175" t="s">
        <v>4458</v>
      </c>
      <c r="G99" s="165" t="s">
        <v>4459</v>
      </c>
      <c r="H99" s="165" t="s">
        <v>4460</v>
      </c>
      <c r="I99" s="164" t="s">
        <v>36</v>
      </c>
      <c r="J99" s="163"/>
      <c r="K99" s="163"/>
      <c r="L99" s="163"/>
      <c r="M99" s="163"/>
      <c r="N99" s="163"/>
      <c r="O99" s="163"/>
      <c r="P99" s="163"/>
      <c r="Q99" s="163"/>
      <c r="R99" s="163"/>
      <c r="S99" s="163"/>
      <c r="T99" s="163"/>
      <c r="U99" s="163"/>
      <c r="V99" s="163"/>
      <c r="W99" s="163"/>
      <c r="X99" s="163"/>
      <c r="Y99" s="163"/>
      <c r="Z99" s="163"/>
      <c r="AA99" s="163"/>
    </row>
    <row r="100" ht="14.25" customHeight="1">
      <c r="A100" s="164" t="s">
        <v>4455</v>
      </c>
      <c r="B100" s="108"/>
      <c r="C100" s="147" t="s">
        <v>4461</v>
      </c>
      <c r="D100" s="164" t="s">
        <v>271</v>
      </c>
      <c r="E100" s="165" t="s">
        <v>4456</v>
      </c>
      <c r="F100" s="178" t="s">
        <v>4462</v>
      </c>
      <c r="G100" s="165" t="s">
        <v>4463</v>
      </c>
      <c r="H100" s="165" t="s">
        <v>4464</v>
      </c>
      <c r="I100" s="164" t="s">
        <v>36</v>
      </c>
      <c r="J100" s="163"/>
      <c r="K100" s="163"/>
      <c r="L100" s="163"/>
      <c r="M100" s="163"/>
      <c r="N100" s="163"/>
      <c r="O100" s="163"/>
      <c r="P100" s="163"/>
      <c r="Q100" s="163"/>
      <c r="R100" s="163"/>
      <c r="S100" s="163"/>
      <c r="T100" s="163"/>
      <c r="U100" s="163"/>
      <c r="V100" s="163"/>
      <c r="W100" s="163"/>
      <c r="X100" s="163"/>
      <c r="Y100" s="163"/>
      <c r="Z100" s="163"/>
      <c r="AA100" s="163"/>
    </row>
    <row r="101" ht="14.25" customHeight="1">
      <c r="A101" s="164" t="s">
        <v>4455</v>
      </c>
      <c r="B101" s="108"/>
      <c r="C101" s="147" t="s">
        <v>4465</v>
      </c>
      <c r="D101" s="164" t="s">
        <v>271</v>
      </c>
      <c r="E101" s="165" t="s">
        <v>4456</v>
      </c>
      <c r="F101" s="178" t="s">
        <v>4466</v>
      </c>
      <c r="G101" s="165" t="s">
        <v>4467</v>
      </c>
      <c r="H101" s="165" t="s">
        <v>4468</v>
      </c>
      <c r="I101" s="164" t="s">
        <v>317</v>
      </c>
      <c r="J101" s="163"/>
      <c r="K101" s="163"/>
      <c r="L101" s="163"/>
      <c r="M101" s="163"/>
      <c r="N101" s="163"/>
      <c r="O101" s="163"/>
      <c r="P101" s="163"/>
      <c r="Q101" s="163"/>
      <c r="R101" s="163"/>
      <c r="S101" s="163"/>
      <c r="T101" s="163"/>
      <c r="U101" s="163"/>
      <c r="V101" s="163"/>
      <c r="W101" s="163"/>
      <c r="X101" s="163"/>
      <c r="Y101" s="163"/>
      <c r="Z101" s="163"/>
      <c r="AA101" s="163"/>
    </row>
    <row r="102" ht="14.25" customHeight="1">
      <c r="A102" s="164" t="s">
        <v>4455</v>
      </c>
      <c r="B102" s="108"/>
      <c r="C102" s="147" t="s">
        <v>4469</v>
      </c>
      <c r="D102" s="164" t="s">
        <v>271</v>
      </c>
      <c r="E102" s="165" t="s">
        <v>4456</v>
      </c>
      <c r="F102" s="178" t="s">
        <v>4470</v>
      </c>
      <c r="G102" s="165" t="s">
        <v>4471</v>
      </c>
      <c r="H102" s="165" t="s">
        <v>4472</v>
      </c>
      <c r="I102" s="164" t="s">
        <v>36</v>
      </c>
      <c r="J102" s="163"/>
      <c r="K102" s="163"/>
      <c r="L102" s="163"/>
      <c r="M102" s="163"/>
      <c r="N102" s="163"/>
      <c r="O102" s="163"/>
      <c r="P102" s="163"/>
      <c r="Q102" s="163"/>
      <c r="R102" s="163"/>
      <c r="S102" s="163"/>
      <c r="T102" s="163"/>
      <c r="U102" s="163"/>
      <c r="V102" s="163"/>
      <c r="W102" s="163"/>
      <c r="X102" s="163"/>
      <c r="Y102" s="163"/>
      <c r="Z102" s="163"/>
      <c r="AA102" s="163"/>
    </row>
    <row r="103" ht="14.25" customHeight="1">
      <c r="A103" s="164" t="s">
        <v>4455</v>
      </c>
      <c r="B103" s="108"/>
      <c r="C103" s="147" t="s">
        <v>4473</v>
      </c>
      <c r="D103" s="164" t="s">
        <v>271</v>
      </c>
      <c r="E103" s="165" t="s">
        <v>4456</v>
      </c>
      <c r="F103" s="178" t="s">
        <v>4474</v>
      </c>
      <c r="G103" s="165" t="s">
        <v>4463</v>
      </c>
      <c r="H103" s="165" t="s">
        <v>4464</v>
      </c>
      <c r="I103" s="164" t="s">
        <v>36</v>
      </c>
      <c r="J103" s="163"/>
      <c r="K103" s="163"/>
      <c r="L103" s="163"/>
      <c r="M103" s="163"/>
      <c r="N103" s="163"/>
      <c r="O103" s="163"/>
      <c r="P103" s="163"/>
      <c r="Q103" s="163"/>
      <c r="R103" s="163"/>
      <c r="S103" s="163"/>
      <c r="T103" s="163"/>
      <c r="U103" s="163"/>
      <c r="V103" s="163"/>
      <c r="W103" s="163"/>
      <c r="X103" s="163"/>
      <c r="Y103" s="163"/>
      <c r="Z103" s="163"/>
      <c r="AA103" s="163"/>
    </row>
    <row r="104" ht="14.25" customHeight="1">
      <c r="A104" s="164" t="s">
        <v>4455</v>
      </c>
      <c r="B104" s="108"/>
      <c r="C104" s="147" t="s">
        <v>4475</v>
      </c>
      <c r="D104" s="164" t="s">
        <v>271</v>
      </c>
      <c r="E104" s="165" t="s">
        <v>4456</v>
      </c>
      <c r="F104" s="178" t="s">
        <v>4476</v>
      </c>
      <c r="G104" s="165" t="s">
        <v>4467</v>
      </c>
      <c r="H104" s="165" t="s">
        <v>4468</v>
      </c>
      <c r="I104" s="164" t="s">
        <v>317</v>
      </c>
      <c r="J104" s="163"/>
      <c r="K104" s="163"/>
      <c r="L104" s="163"/>
      <c r="M104" s="163"/>
      <c r="N104" s="163"/>
      <c r="O104" s="163"/>
      <c r="P104" s="163"/>
      <c r="Q104" s="163"/>
      <c r="R104" s="163"/>
      <c r="S104" s="163"/>
      <c r="T104" s="163"/>
      <c r="U104" s="163"/>
      <c r="V104" s="163"/>
      <c r="W104" s="163"/>
      <c r="X104" s="163"/>
      <c r="Y104" s="163"/>
      <c r="Z104" s="163"/>
      <c r="AA104" s="163"/>
    </row>
    <row r="105" ht="14.25" customHeight="1">
      <c r="A105" s="164" t="s">
        <v>4455</v>
      </c>
      <c r="B105" s="108"/>
      <c r="C105" s="147" t="s">
        <v>4477</v>
      </c>
      <c r="D105" s="164" t="s">
        <v>271</v>
      </c>
      <c r="E105" s="165" t="s">
        <v>4456</v>
      </c>
      <c r="F105" s="178" t="s">
        <v>4478</v>
      </c>
      <c r="G105" s="165" t="s">
        <v>4471</v>
      </c>
      <c r="H105" s="165" t="s">
        <v>4472</v>
      </c>
      <c r="I105" s="164" t="s">
        <v>36</v>
      </c>
      <c r="J105" s="163"/>
      <c r="K105" s="163"/>
      <c r="L105" s="163"/>
      <c r="M105" s="163"/>
      <c r="N105" s="163"/>
      <c r="O105" s="163"/>
      <c r="P105" s="163"/>
      <c r="Q105" s="163"/>
      <c r="R105" s="163"/>
      <c r="S105" s="163"/>
      <c r="T105" s="163"/>
      <c r="U105" s="163"/>
      <c r="V105" s="163"/>
      <c r="W105" s="163"/>
      <c r="X105" s="163"/>
      <c r="Y105" s="163"/>
      <c r="Z105" s="163"/>
      <c r="AA105" s="163"/>
    </row>
    <row r="106" ht="14.25" customHeight="1">
      <c r="A106" s="164" t="s">
        <v>4455</v>
      </c>
      <c r="B106" s="108"/>
      <c r="C106" s="147" t="s">
        <v>4479</v>
      </c>
      <c r="D106" s="164" t="s">
        <v>271</v>
      </c>
      <c r="E106" s="165" t="s">
        <v>4456</v>
      </c>
      <c r="F106" s="178" t="s">
        <v>4480</v>
      </c>
      <c r="G106" s="165" t="s">
        <v>4463</v>
      </c>
      <c r="H106" s="165" t="s">
        <v>4481</v>
      </c>
      <c r="I106" s="164" t="s">
        <v>36</v>
      </c>
      <c r="J106" s="163"/>
      <c r="K106" s="163"/>
      <c r="L106" s="163"/>
      <c r="M106" s="163"/>
      <c r="N106" s="163"/>
      <c r="O106" s="163"/>
      <c r="P106" s="163"/>
      <c r="Q106" s="163"/>
      <c r="R106" s="163"/>
      <c r="S106" s="163"/>
      <c r="T106" s="163"/>
      <c r="U106" s="163"/>
      <c r="V106" s="163"/>
      <c r="W106" s="163"/>
      <c r="X106" s="163"/>
      <c r="Y106" s="163"/>
      <c r="Z106" s="163"/>
      <c r="AA106" s="163"/>
    </row>
    <row r="107" ht="14.25" customHeight="1">
      <c r="A107" s="164" t="s">
        <v>4455</v>
      </c>
      <c r="B107" s="108"/>
      <c r="C107" s="147" t="s">
        <v>4482</v>
      </c>
      <c r="D107" s="164" t="s">
        <v>271</v>
      </c>
      <c r="E107" s="165" t="s">
        <v>4456</v>
      </c>
      <c r="F107" s="178" t="s">
        <v>4483</v>
      </c>
      <c r="G107" s="165" t="s">
        <v>4467</v>
      </c>
      <c r="H107" s="165" t="s">
        <v>4468</v>
      </c>
      <c r="I107" s="164" t="s">
        <v>317</v>
      </c>
      <c r="J107" s="163"/>
      <c r="K107" s="163"/>
      <c r="L107" s="163"/>
      <c r="M107" s="163"/>
      <c r="N107" s="163"/>
      <c r="O107" s="163"/>
      <c r="P107" s="163"/>
      <c r="Q107" s="163"/>
      <c r="R107" s="163"/>
      <c r="S107" s="163"/>
      <c r="T107" s="163"/>
      <c r="U107" s="163"/>
      <c r="V107" s="163"/>
      <c r="W107" s="163"/>
      <c r="X107" s="163"/>
      <c r="Y107" s="163"/>
      <c r="Z107" s="163"/>
      <c r="AA107" s="163"/>
    </row>
    <row r="108" ht="14.25" customHeight="1">
      <c r="A108" s="164" t="s">
        <v>4455</v>
      </c>
      <c r="B108" s="108"/>
      <c r="C108" s="147" t="s">
        <v>4484</v>
      </c>
      <c r="D108" s="164" t="s">
        <v>271</v>
      </c>
      <c r="E108" s="165" t="s">
        <v>4456</v>
      </c>
      <c r="F108" s="178" t="s">
        <v>4485</v>
      </c>
      <c r="G108" s="176" t="s">
        <v>4471</v>
      </c>
      <c r="H108" s="178" t="s">
        <v>4472</v>
      </c>
      <c r="I108" s="164" t="s">
        <v>36</v>
      </c>
      <c r="J108" s="163"/>
      <c r="K108" s="163"/>
      <c r="L108" s="163"/>
      <c r="M108" s="163"/>
      <c r="N108" s="163"/>
      <c r="O108" s="163"/>
      <c r="P108" s="163"/>
      <c r="Q108" s="163"/>
      <c r="R108" s="163"/>
      <c r="S108" s="163"/>
      <c r="T108" s="163"/>
      <c r="U108" s="163"/>
      <c r="V108" s="163"/>
      <c r="W108" s="163"/>
      <c r="X108" s="163"/>
      <c r="Y108" s="163"/>
      <c r="Z108" s="163"/>
      <c r="AA108" s="163"/>
    </row>
    <row r="109" ht="14.25" customHeight="1">
      <c r="A109" s="164" t="s">
        <v>4455</v>
      </c>
      <c r="B109" s="108"/>
      <c r="C109" s="147" t="s">
        <v>4486</v>
      </c>
      <c r="D109" s="164" t="s">
        <v>271</v>
      </c>
      <c r="E109" s="165" t="s">
        <v>4456</v>
      </c>
      <c r="F109" s="178" t="s">
        <v>4487</v>
      </c>
      <c r="G109" s="176" t="s">
        <v>4463</v>
      </c>
      <c r="H109" s="178" t="s">
        <v>4481</v>
      </c>
      <c r="I109" s="164" t="s">
        <v>36</v>
      </c>
      <c r="J109" s="163"/>
      <c r="K109" s="163"/>
      <c r="L109" s="163"/>
      <c r="M109" s="163"/>
      <c r="N109" s="163"/>
      <c r="O109" s="163"/>
      <c r="P109" s="163"/>
      <c r="Q109" s="163"/>
      <c r="R109" s="163"/>
      <c r="S109" s="163"/>
      <c r="T109" s="163"/>
      <c r="U109" s="163"/>
      <c r="V109" s="163"/>
      <c r="W109" s="163"/>
      <c r="X109" s="163"/>
      <c r="Y109" s="163"/>
      <c r="Z109" s="163"/>
      <c r="AA109" s="163"/>
    </row>
    <row r="110" ht="14.25" customHeight="1">
      <c r="A110" s="164" t="s">
        <v>4455</v>
      </c>
      <c r="B110" s="108"/>
      <c r="C110" s="147" t="s">
        <v>4488</v>
      </c>
      <c r="D110" s="164" t="s">
        <v>271</v>
      </c>
      <c r="E110" s="165" t="s">
        <v>4456</v>
      </c>
      <c r="F110" s="178" t="s">
        <v>4489</v>
      </c>
      <c r="G110" s="176" t="s">
        <v>4467</v>
      </c>
      <c r="H110" s="178" t="s">
        <v>4468</v>
      </c>
      <c r="I110" s="164" t="s">
        <v>317</v>
      </c>
      <c r="J110" s="163"/>
      <c r="K110" s="163"/>
      <c r="L110" s="163"/>
      <c r="M110" s="163"/>
      <c r="N110" s="163"/>
      <c r="O110" s="163"/>
      <c r="P110" s="163"/>
      <c r="Q110" s="163"/>
      <c r="R110" s="163"/>
      <c r="S110" s="163"/>
      <c r="T110" s="163"/>
      <c r="U110" s="163"/>
      <c r="V110" s="163"/>
      <c r="W110" s="163"/>
      <c r="X110" s="163"/>
      <c r="Y110" s="163"/>
      <c r="Z110" s="163"/>
      <c r="AA110" s="163"/>
    </row>
    <row r="111" ht="14.25" customHeight="1">
      <c r="A111" s="164" t="s">
        <v>4455</v>
      </c>
      <c r="B111" s="109"/>
      <c r="C111" s="147" t="s">
        <v>4490</v>
      </c>
      <c r="D111" s="164" t="s">
        <v>271</v>
      </c>
      <c r="E111" s="165" t="s">
        <v>4456</v>
      </c>
      <c r="F111" s="178" t="s">
        <v>4491</v>
      </c>
      <c r="G111" s="176" t="s">
        <v>4492</v>
      </c>
      <c r="H111" s="178" t="s">
        <v>4493</v>
      </c>
      <c r="I111" s="164" t="s">
        <v>317</v>
      </c>
      <c r="J111" s="163"/>
      <c r="K111" s="163"/>
      <c r="L111" s="163"/>
      <c r="M111" s="163"/>
      <c r="N111" s="163"/>
      <c r="O111" s="163"/>
      <c r="P111" s="163"/>
      <c r="Q111" s="163"/>
      <c r="R111" s="163"/>
      <c r="S111" s="163"/>
      <c r="T111" s="163"/>
      <c r="U111" s="163"/>
      <c r="V111" s="163"/>
      <c r="W111" s="163"/>
      <c r="X111" s="163"/>
      <c r="Y111" s="163"/>
      <c r="Z111" s="163"/>
      <c r="AA111" s="163"/>
    </row>
    <row r="112" ht="14.25" customHeight="1">
      <c r="A112" s="176" t="s">
        <v>4494</v>
      </c>
      <c r="B112" s="176" t="s">
        <v>4495</v>
      </c>
      <c r="C112" s="176" t="s">
        <v>4496</v>
      </c>
      <c r="D112" s="176"/>
      <c r="E112" s="165" t="s">
        <v>2663</v>
      </c>
      <c r="F112" s="176"/>
      <c r="G112" s="176" t="s">
        <v>4497</v>
      </c>
      <c r="H112" s="165" t="s">
        <v>2665</v>
      </c>
      <c r="I112" s="164" t="s">
        <v>36</v>
      </c>
      <c r="J112" s="163"/>
      <c r="K112" s="164" t="s">
        <v>4498</v>
      </c>
      <c r="L112" s="163"/>
      <c r="M112" s="163"/>
      <c r="N112" s="163"/>
      <c r="O112" s="163"/>
      <c r="P112" s="163"/>
      <c r="Q112" s="163"/>
      <c r="R112" s="163"/>
      <c r="S112" s="163"/>
      <c r="T112" s="163"/>
      <c r="U112" s="163"/>
      <c r="V112" s="163"/>
      <c r="W112" s="163"/>
      <c r="X112" s="163"/>
      <c r="Y112" s="163"/>
      <c r="Z112" s="163"/>
      <c r="AA112" s="163"/>
    </row>
    <row r="113" ht="14.25" customHeight="1">
      <c r="A113" s="176" t="s">
        <v>4494</v>
      </c>
      <c r="B113" s="176" t="s">
        <v>4495</v>
      </c>
      <c r="C113" s="176" t="s">
        <v>4499</v>
      </c>
      <c r="D113" s="176"/>
      <c r="E113" s="165" t="s">
        <v>2663</v>
      </c>
      <c r="F113" s="176"/>
      <c r="G113" s="176" t="s">
        <v>4500</v>
      </c>
      <c r="H113" s="176" t="s">
        <v>4501</v>
      </c>
      <c r="I113" s="164" t="s">
        <v>36</v>
      </c>
      <c r="J113" s="163"/>
      <c r="K113" s="164" t="s">
        <v>4498</v>
      </c>
      <c r="L113" s="163"/>
      <c r="M113" s="163"/>
      <c r="N113" s="163"/>
      <c r="O113" s="163"/>
      <c r="P113" s="163"/>
      <c r="Q113" s="163"/>
      <c r="R113" s="163"/>
      <c r="S113" s="163"/>
      <c r="T113" s="163"/>
      <c r="U113" s="163"/>
      <c r="V113" s="163"/>
      <c r="W113" s="163"/>
      <c r="X113" s="163"/>
      <c r="Y113" s="163"/>
      <c r="Z113" s="163"/>
      <c r="AA113" s="163"/>
    </row>
    <row r="114" ht="14.25" customHeight="1">
      <c r="A114" s="176" t="s">
        <v>4494</v>
      </c>
      <c r="B114" s="176" t="s">
        <v>4495</v>
      </c>
      <c r="C114" s="176" t="s">
        <v>4502</v>
      </c>
      <c r="D114" s="176"/>
      <c r="E114" s="165" t="s">
        <v>2663</v>
      </c>
      <c r="F114" s="176"/>
      <c r="G114" s="176" t="s">
        <v>4503</v>
      </c>
      <c r="H114" s="176" t="s">
        <v>2671</v>
      </c>
      <c r="I114" s="164" t="s">
        <v>36</v>
      </c>
      <c r="J114" s="163"/>
      <c r="K114" s="164" t="s">
        <v>4498</v>
      </c>
      <c r="L114" s="163"/>
      <c r="M114" s="163"/>
      <c r="N114" s="163"/>
      <c r="O114" s="163"/>
      <c r="P114" s="163"/>
      <c r="Q114" s="163"/>
      <c r="R114" s="163"/>
      <c r="S114" s="163"/>
      <c r="T114" s="163"/>
      <c r="U114" s="163"/>
      <c r="V114" s="163"/>
      <c r="W114" s="163"/>
      <c r="X114" s="163"/>
      <c r="Y114" s="163"/>
      <c r="Z114" s="163"/>
      <c r="AA114" s="163"/>
    </row>
    <row r="115" ht="14.25" customHeight="1">
      <c r="A115" s="176" t="s">
        <v>4494</v>
      </c>
      <c r="B115" s="176" t="s">
        <v>4495</v>
      </c>
      <c r="C115" s="176" t="s">
        <v>4504</v>
      </c>
      <c r="D115" s="176"/>
      <c r="E115" s="165" t="s">
        <v>2663</v>
      </c>
      <c r="F115" s="176"/>
      <c r="G115" s="176" t="s">
        <v>4505</v>
      </c>
      <c r="H115" s="176" t="s">
        <v>2674</v>
      </c>
      <c r="I115" s="164" t="s">
        <v>36</v>
      </c>
      <c r="J115" s="163"/>
      <c r="K115" s="164" t="s">
        <v>4498</v>
      </c>
      <c r="L115" s="163"/>
      <c r="M115" s="163"/>
      <c r="N115" s="163"/>
      <c r="O115" s="163"/>
      <c r="P115" s="163"/>
      <c r="Q115" s="163"/>
      <c r="R115" s="163"/>
      <c r="S115" s="163"/>
      <c r="T115" s="163"/>
      <c r="U115" s="163"/>
      <c r="V115" s="163"/>
      <c r="W115" s="163"/>
      <c r="X115" s="163"/>
      <c r="Y115" s="163"/>
      <c r="Z115" s="163"/>
      <c r="AA115" s="163"/>
    </row>
    <row r="116" ht="14.25" customHeight="1">
      <c r="A116" s="176" t="s">
        <v>4494</v>
      </c>
      <c r="B116" s="176" t="s">
        <v>4495</v>
      </c>
      <c r="C116" s="176" t="s">
        <v>4506</v>
      </c>
      <c r="D116" s="176"/>
      <c r="E116" s="165" t="s">
        <v>2663</v>
      </c>
      <c r="F116" s="176"/>
      <c r="G116" s="176" t="s">
        <v>4507</v>
      </c>
      <c r="H116" s="176" t="s">
        <v>2677</v>
      </c>
      <c r="I116" s="164" t="s">
        <v>36</v>
      </c>
      <c r="J116" s="163"/>
      <c r="K116" s="164" t="s">
        <v>4498</v>
      </c>
      <c r="L116" s="163"/>
      <c r="M116" s="163"/>
      <c r="N116" s="163"/>
      <c r="O116" s="163"/>
      <c r="P116" s="163"/>
      <c r="Q116" s="163"/>
      <c r="R116" s="163"/>
      <c r="S116" s="163"/>
      <c r="T116" s="163"/>
      <c r="U116" s="163"/>
      <c r="V116" s="163"/>
      <c r="W116" s="163"/>
      <c r="X116" s="163"/>
      <c r="Y116" s="163"/>
      <c r="Z116" s="163"/>
      <c r="AA116" s="163"/>
    </row>
    <row r="117" ht="14.25" customHeight="1">
      <c r="A117" s="176" t="s">
        <v>4508</v>
      </c>
      <c r="B117" s="165" t="s">
        <v>4509</v>
      </c>
      <c r="C117" s="176" t="s">
        <v>4510</v>
      </c>
      <c r="D117" s="176" t="s">
        <v>271</v>
      </c>
      <c r="E117" s="165" t="s">
        <v>4509</v>
      </c>
      <c r="F117" s="175" t="s">
        <v>4511</v>
      </c>
      <c r="G117" s="165" t="s">
        <v>4512</v>
      </c>
      <c r="H117" s="175" t="s">
        <v>4513</v>
      </c>
      <c r="I117" s="164" t="s">
        <v>36</v>
      </c>
      <c r="J117" s="163"/>
      <c r="K117" s="164" t="s">
        <v>280</v>
      </c>
      <c r="L117" s="163"/>
      <c r="M117" s="163"/>
      <c r="N117" s="163"/>
      <c r="O117" s="163"/>
      <c r="P117" s="163"/>
      <c r="Q117" s="163"/>
      <c r="R117" s="163"/>
      <c r="S117" s="163"/>
      <c r="T117" s="163"/>
      <c r="U117" s="163"/>
      <c r="V117" s="163"/>
      <c r="W117" s="163"/>
      <c r="X117" s="163"/>
      <c r="Y117" s="163"/>
      <c r="Z117" s="163"/>
      <c r="AA117" s="163"/>
    </row>
    <row r="118" ht="14.25" customHeight="1">
      <c r="A118" s="176" t="s">
        <v>4508</v>
      </c>
      <c r="B118" s="165" t="s">
        <v>4509</v>
      </c>
      <c r="C118" s="176" t="s">
        <v>4514</v>
      </c>
      <c r="D118" s="176" t="s">
        <v>271</v>
      </c>
      <c r="E118" s="165" t="s">
        <v>4509</v>
      </c>
      <c r="F118" s="178" t="s">
        <v>4511</v>
      </c>
      <c r="G118" s="176" t="s">
        <v>4515</v>
      </c>
      <c r="H118" s="178" t="s">
        <v>4516</v>
      </c>
      <c r="I118" s="164" t="s">
        <v>36</v>
      </c>
      <c r="J118" s="163"/>
      <c r="K118" s="164" t="s">
        <v>280</v>
      </c>
      <c r="L118" s="163"/>
      <c r="M118" s="163"/>
      <c r="N118" s="163"/>
      <c r="O118" s="163"/>
      <c r="P118" s="163"/>
      <c r="Q118" s="163"/>
      <c r="R118" s="163"/>
      <c r="S118" s="163"/>
      <c r="T118" s="163"/>
      <c r="U118" s="163"/>
      <c r="V118" s="163"/>
      <c r="W118" s="163"/>
      <c r="X118" s="163"/>
      <c r="Y118" s="163"/>
      <c r="Z118" s="163"/>
      <c r="AA118" s="163"/>
    </row>
    <row r="119" ht="14.25" customHeight="1">
      <c r="A119" s="176" t="s">
        <v>4508</v>
      </c>
      <c r="B119" s="165" t="s">
        <v>4509</v>
      </c>
      <c r="C119" s="176" t="s">
        <v>4517</v>
      </c>
      <c r="D119" s="176" t="s">
        <v>271</v>
      </c>
      <c r="E119" s="165" t="s">
        <v>4509</v>
      </c>
      <c r="F119" s="178" t="s">
        <v>4511</v>
      </c>
      <c r="G119" s="176" t="s">
        <v>4518</v>
      </c>
      <c r="H119" s="178" t="s">
        <v>4519</v>
      </c>
      <c r="I119" s="164" t="s">
        <v>36</v>
      </c>
      <c r="J119" s="163"/>
      <c r="K119" s="164" t="s">
        <v>280</v>
      </c>
      <c r="L119" s="163"/>
      <c r="M119" s="163"/>
      <c r="N119" s="163"/>
      <c r="O119" s="163"/>
      <c r="P119" s="163"/>
      <c r="Q119" s="163"/>
      <c r="R119" s="163"/>
      <c r="S119" s="163"/>
      <c r="T119" s="163"/>
      <c r="U119" s="163"/>
      <c r="V119" s="163"/>
      <c r="W119" s="163"/>
      <c r="X119" s="163"/>
      <c r="Y119" s="163"/>
      <c r="Z119" s="163"/>
      <c r="AA119" s="163"/>
    </row>
    <row r="120" ht="14.25" customHeight="1">
      <c r="A120" s="176" t="s">
        <v>4508</v>
      </c>
      <c r="B120" s="165" t="s">
        <v>4509</v>
      </c>
      <c r="C120" s="176" t="s">
        <v>4520</v>
      </c>
      <c r="D120" s="176" t="s">
        <v>271</v>
      </c>
      <c r="E120" s="165" t="s">
        <v>4509</v>
      </c>
      <c r="F120" s="178" t="s">
        <v>4521</v>
      </c>
      <c r="G120" s="176" t="s">
        <v>4512</v>
      </c>
      <c r="H120" s="178" t="s">
        <v>4513</v>
      </c>
      <c r="I120" s="164" t="s">
        <v>36</v>
      </c>
      <c r="J120" s="163"/>
      <c r="K120" s="164" t="s">
        <v>280</v>
      </c>
      <c r="L120" s="163"/>
      <c r="M120" s="163"/>
      <c r="N120" s="163"/>
      <c r="O120" s="163"/>
      <c r="P120" s="163"/>
      <c r="Q120" s="163"/>
      <c r="R120" s="163"/>
      <c r="S120" s="163"/>
      <c r="T120" s="163"/>
      <c r="U120" s="163"/>
      <c r="V120" s="163"/>
      <c r="W120" s="163"/>
      <c r="X120" s="163"/>
      <c r="Y120" s="163"/>
      <c r="Z120" s="163"/>
      <c r="AA120" s="163"/>
    </row>
    <row r="121" ht="14.25" customHeight="1">
      <c r="A121" s="176" t="s">
        <v>4508</v>
      </c>
      <c r="B121" s="165" t="s">
        <v>4509</v>
      </c>
      <c r="C121" s="176" t="s">
        <v>4522</v>
      </c>
      <c r="D121" s="176" t="s">
        <v>271</v>
      </c>
      <c r="E121" s="165" t="s">
        <v>4509</v>
      </c>
      <c r="F121" s="178" t="s">
        <v>4521</v>
      </c>
      <c r="G121" s="176" t="s">
        <v>4515</v>
      </c>
      <c r="H121" s="178" t="s">
        <v>4516</v>
      </c>
      <c r="I121" s="164" t="s">
        <v>36</v>
      </c>
      <c r="J121" s="163"/>
      <c r="K121" s="164" t="s">
        <v>280</v>
      </c>
      <c r="L121" s="163"/>
      <c r="M121" s="163"/>
      <c r="N121" s="163"/>
      <c r="O121" s="163"/>
      <c r="P121" s="163"/>
      <c r="Q121" s="163"/>
      <c r="R121" s="163"/>
      <c r="S121" s="163"/>
      <c r="T121" s="163"/>
      <c r="U121" s="163"/>
      <c r="V121" s="163"/>
      <c r="W121" s="163"/>
      <c r="X121" s="163"/>
      <c r="Y121" s="163"/>
      <c r="Z121" s="163"/>
      <c r="AA121" s="163"/>
    </row>
    <row r="122" ht="14.25" customHeight="1">
      <c r="A122" s="176" t="s">
        <v>4508</v>
      </c>
      <c r="B122" s="165" t="s">
        <v>4509</v>
      </c>
      <c r="C122" s="176" t="s">
        <v>4523</v>
      </c>
      <c r="D122" s="176" t="s">
        <v>271</v>
      </c>
      <c r="E122" s="165" t="s">
        <v>4509</v>
      </c>
      <c r="F122" s="178" t="s">
        <v>4521</v>
      </c>
      <c r="G122" s="176" t="s">
        <v>4518</v>
      </c>
      <c r="H122" s="178" t="s">
        <v>4519</v>
      </c>
      <c r="I122" s="164" t="s">
        <v>36</v>
      </c>
      <c r="J122" s="163"/>
      <c r="K122" s="164" t="s">
        <v>280</v>
      </c>
      <c r="L122" s="163"/>
      <c r="M122" s="163"/>
      <c r="N122" s="163"/>
      <c r="O122" s="163"/>
      <c r="P122" s="163"/>
      <c r="Q122" s="163"/>
      <c r="R122" s="163"/>
      <c r="S122" s="163"/>
      <c r="T122" s="163"/>
      <c r="U122" s="163"/>
      <c r="V122" s="163"/>
      <c r="W122" s="163"/>
      <c r="X122" s="163"/>
      <c r="Y122" s="163"/>
      <c r="Z122" s="163"/>
      <c r="AA122" s="163"/>
    </row>
    <row r="123" ht="14.25" customHeight="1">
      <c r="A123" s="176" t="s">
        <v>4508</v>
      </c>
      <c r="B123" s="165" t="s">
        <v>4509</v>
      </c>
      <c r="C123" s="176" t="s">
        <v>4524</v>
      </c>
      <c r="D123" s="176" t="s">
        <v>271</v>
      </c>
      <c r="E123" s="165" t="s">
        <v>4509</v>
      </c>
      <c r="F123" s="178" t="s">
        <v>4525</v>
      </c>
      <c r="G123" s="176" t="s">
        <v>4518</v>
      </c>
      <c r="H123" s="178" t="s">
        <v>4519</v>
      </c>
      <c r="I123" s="164" t="s">
        <v>36</v>
      </c>
      <c r="J123" s="163"/>
      <c r="K123" s="164" t="s">
        <v>280</v>
      </c>
      <c r="L123" s="163"/>
      <c r="M123" s="163"/>
      <c r="N123" s="163"/>
      <c r="O123" s="163"/>
      <c r="P123" s="163"/>
      <c r="Q123" s="163"/>
      <c r="R123" s="163"/>
      <c r="S123" s="163"/>
      <c r="T123" s="163"/>
      <c r="U123" s="163"/>
      <c r="V123" s="163"/>
      <c r="W123" s="163"/>
      <c r="X123" s="163"/>
      <c r="Y123" s="163"/>
      <c r="Z123" s="163"/>
      <c r="AA123" s="163"/>
    </row>
    <row r="124" ht="14.25" customHeight="1">
      <c r="A124" s="176" t="s">
        <v>4508</v>
      </c>
      <c r="B124" s="165" t="s">
        <v>4509</v>
      </c>
      <c r="C124" s="176" t="s">
        <v>4526</v>
      </c>
      <c r="D124" s="176" t="s">
        <v>271</v>
      </c>
      <c r="E124" s="165" t="s">
        <v>4509</v>
      </c>
      <c r="F124" s="178" t="s">
        <v>4525</v>
      </c>
      <c r="G124" s="176" t="s">
        <v>4512</v>
      </c>
      <c r="H124" s="178" t="s">
        <v>4513</v>
      </c>
      <c r="I124" s="164" t="s">
        <v>36</v>
      </c>
      <c r="J124" s="163"/>
      <c r="K124" s="164" t="s">
        <v>280</v>
      </c>
      <c r="L124" s="163"/>
      <c r="M124" s="163"/>
      <c r="N124" s="163"/>
      <c r="O124" s="163"/>
      <c r="P124" s="163"/>
      <c r="Q124" s="163"/>
      <c r="R124" s="163"/>
      <c r="S124" s="163"/>
      <c r="T124" s="163"/>
      <c r="U124" s="163"/>
      <c r="V124" s="163"/>
      <c r="W124" s="163"/>
      <c r="X124" s="163"/>
      <c r="Y124" s="163"/>
      <c r="Z124" s="163"/>
      <c r="AA124" s="163"/>
    </row>
    <row r="125" ht="14.25" customHeight="1">
      <c r="A125" s="176" t="s">
        <v>4508</v>
      </c>
      <c r="B125" s="165" t="s">
        <v>4509</v>
      </c>
      <c r="C125" s="176" t="s">
        <v>4527</v>
      </c>
      <c r="D125" s="176" t="s">
        <v>271</v>
      </c>
      <c r="E125" s="165" t="s">
        <v>4509</v>
      </c>
      <c r="F125" s="178" t="s">
        <v>4525</v>
      </c>
      <c r="G125" s="176" t="s">
        <v>4515</v>
      </c>
      <c r="H125" s="178" t="s">
        <v>4516</v>
      </c>
      <c r="I125" s="164" t="s">
        <v>36</v>
      </c>
      <c r="J125" s="163"/>
      <c r="K125" s="164" t="s">
        <v>280</v>
      </c>
      <c r="L125" s="163"/>
      <c r="M125" s="163"/>
      <c r="N125" s="163"/>
      <c r="O125" s="163"/>
      <c r="P125" s="163"/>
      <c r="Q125" s="163"/>
      <c r="R125" s="163"/>
      <c r="S125" s="163"/>
      <c r="T125" s="163"/>
      <c r="U125" s="163"/>
      <c r="V125" s="163"/>
      <c r="W125" s="163"/>
      <c r="X125" s="163"/>
      <c r="Y125" s="163"/>
      <c r="Z125" s="163"/>
      <c r="AA125" s="163"/>
    </row>
    <row r="126" ht="14.25" customHeight="1">
      <c r="A126" s="164" t="s">
        <v>4508</v>
      </c>
      <c r="B126" s="165" t="s">
        <v>4509</v>
      </c>
      <c r="C126" s="176" t="s">
        <v>4528</v>
      </c>
      <c r="D126" s="164" t="s">
        <v>271</v>
      </c>
      <c r="E126" s="165" t="s">
        <v>4509</v>
      </c>
      <c r="F126" s="178" t="s">
        <v>4525</v>
      </c>
      <c r="G126" s="176" t="s">
        <v>4518</v>
      </c>
      <c r="H126" s="178" t="s">
        <v>4519</v>
      </c>
      <c r="I126" s="164" t="s">
        <v>36</v>
      </c>
      <c r="J126" s="163"/>
      <c r="K126" s="164" t="s">
        <v>280</v>
      </c>
      <c r="L126" s="163"/>
      <c r="M126" s="163"/>
      <c r="N126" s="163"/>
      <c r="O126" s="163"/>
      <c r="P126" s="163"/>
      <c r="Q126" s="163"/>
      <c r="R126" s="163"/>
      <c r="S126" s="163"/>
      <c r="T126" s="163"/>
      <c r="U126" s="163"/>
      <c r="V126" s="163"/>
      <c r="W126" s="163"/>
      <c r="X126" s="163"/>
      <c r="Y126" s="163"/>
      <c r="Z126" s="163"/>
      <c r="AA126" s="163"/>
    </row>
    <row r="127" ht="14.25" customHeight="1">
      <c r="A127" s="164" t="s">
        <v>4508</v>
      </c>
      <c r="B127" s="165" t="s">
        <v>4509</v>
      </c>
      <c r="C127" s="176" t="s">
        <v>4529</v>
      </c>
      <c r="D127" s="164" t="s">
        <v>271</v>
      </c>
      <c r="E127" s="165" t="s">
        <v>4509</v>
      </c>
      <c r="F127" s="178" t="s">
        <v>4530</v>
      </c>
      <c r="G127" s="176" t="s">
        <v>4518</v>
      </c>
      <c r="H127" s="178" t="s">
        <v>4519</v>
      </c>
      <c r="I127" s="164" t="s">
        <v>36</v>
      </c>
      <c r="J127" s="163"/>
      <c r="K127" s="164" t="s">
        <v>280</v>
      </c>
      <c r="L127" s="163"/>
      <c r="M127" s="163"/>
      <c r="N127" s="163"/>
      <c r="O127" s="163"/>
      <c r="P127" s="163"/>
      <c r="Q127" s="163"/>
      <c r="R127" s="163"/>
      <c r="S127" s="163"/>
      <c r="T127" s="163"/>
      <c r="U127" s="163"/>
      <c r="V127" s="163"/>
      <c r="W127" s="163"/>
      <c r="X127" s="163"/>
      <c r="Y127" s="163"/>
      <c r="Z127" s="163"/>
      <c r="AA127" s="163"/>
    </row>
    <row r="128" ht="14.25" customHeight="1">
      <c r="A128" s="164" t="s">
        <v>4508</v>
      </c>
      <c r="B128" s="165" t="s">
        <v>4509</v>
      </c>
      <c r="C128" s="176" t="s">
        <v>4531</v>
      </c>
      <c r="D128" s="164" t="s">
        <v>271</v>
      </c>
      <c r="E128" s="165" t="s">
        <v>4509</v>
      </c>
      <c r="F128" s="178" t="s">
        <v>4530</v>
      </c>
      <c r="G128" s="176" t="s">
        <v>4512</v>
      </c>
      <c r="H128" s="178" t="s">
        <v>4513</v>
      </c>
      <c r="I128" s="164" t="s">
        <v>36</v>
      </c>
      <c r="J128" s="163"/>
      <c r="K128" s="164" t="s">
        <v>280</v>
      </c>
      <c r="L128" s="163"/>
      <c r="M128" s="163"/>
      <c r="N128" s="163"/>
      <c r="O128" s="163"/>
      <c r="P128" s="163"/>
      <c r="Q128" s="163"/>
      <c r="R128" s="163"/>
      <c r="S128" s="163"/>
      <c r="T128" s="163"/>
      <c r="U128" s="163"/>
      <c r="V128" s="163"/>
      <c r="W128" s="163"/>
      <c r="X128" s="163"/>
      <c r="Y128" s="163"/>
      <c r="Z128" s="163"/>
      <c r="AA128" s="163"/>
    </row>
    <row r="129" ht="14.25" customHeight="1">
      <c r="A129" s="164" t="s">
        <v>4508</v>
      </c>
      <c r="B129" s="165" t="s">
        <v>4509</v>
      </c>
      <c r="C129" s="176" t="s">
        <v>4532</v>
      </c>
      <c r="D129" s="164" t="s">
        <v>271</v>
      </c>
      <c r="E129" s="165" t="s">
        <v>4509</v>
      </c>
      <c r="F129" s="178" t="s">
        <v>4530</v>
      </c>
      <c r="G129" s="176" t="s">
        <v>4515</v>
      </c>
      <c r="H129" s="178" t="s">
        <v>4516</v>
      </c>
      <c r="I129" s="164" t="s">
        <v>36</v>
      </c>
      <c r="J129" s="163"/>
      <c r="K129" s="164" t="s">
        <v>280</v>
      </c>
      <c r="L129" s="163"/>
      <c r="M129" s="163"/>
      <c r="N129" s="163"/>
      <c r="O129" s="163"/>
      <c r="P129" s="163"/>
      <c r="Q129" s="163"/>
      <c r="R129" s="163"/>
      <c r="S129" s="163"/>
      <c r="T129" s="163"/>
      <c r="U129" s="163"/>
      <c r="V129" s="163"/>
      <c r="W129" s="163"/>
      <c r="X129" s="163"/>
      <c r="Y129" s="163"/>
      <c r="Z129" s="163"/>
      <c r="AA129" s="163"/>
    </row>
    <row r="130" ht="14.25" customHeight="1">
      <c r="A130" s="164" t="s">
        <v>4508</v>
      </c>
      <c r="B130" s="165" t="s">
        <v>4509</v>
      </c>
      <c r="C130" s="176" t="s">
        <v>4533</v>
      </c>
      <c r="D130" s="164" t="s">
        <v>271</v>
      </c>
      <c r="E130" s="165" t="s">
        <v>4509</v>
      </c>
      <c r="F130" s="178" t="s">
        <v>4530</v>
      </c>
      <c r="G130" s="176" t="s">
        <v>4518</v>
      </c>
      <c r="H130" s="178" t="s">
        <v>4519</v>
      </c>
      <c r="I130" s="164" t="s">
        <v>36</v>
      </c>
      <c r="J130" s="163"/>
      <c r="K130" s="164" t="s">
        <v>280</v>
      </c>
      <c r="L130" s="163"/>
      <c r="M130" s="163"/>
      <c r="N130" s="163"/>
      <c r="O130" s="163"/>
      <c r="P130" s="163"/>
      <c r="Q130" s="163"/>
      <c r="R130" s="163"/>
      <c r="S130" s="163"/>
      <c r="T130" s="163"/>
      <c r="U130" s="163"/>
      <c r="V130" s="163"/>
      <c r="W130" s="163"/>
      <c r="X130" s="163"/>
      <c r="Y130" s="163"/>
      <c r="Z130" s="163"/>
      <c r="AA130" s="163"/>
    </row>
    <row r="131" ht="14.25" customHeight="1">
      <c r="A131" s="164" t="s">
        <v>4534</v>
      </c>
      <c r="B131" s="165" t="s">
        <v>4535</v>
      </c>
      <c r="C131" s="176" t="s">
        <v>4536</v>
      </c>
      <c r="D131" s="163"/>
      <c r="E131" s="165" t="s">
        <v>4535</v>
      </c>
      <c r="F131" s="175" t="s">
        <v>4537</v>
      </c>
      <c r="G131" s="165" t="s">
        <v>4538</v>
      </c>
      <c r="H131" s="175" t="s">
        <v>4539</v>
      </c>
      <c r="I131" s="164" t="s">
        <v>36</v>
      </c>
      <c r="J131" s="163"/>
      <c r="K131" s="164" t="s">
        <v>4498</v>
      </c>
      <c r="L131" s="163"/>
      <c r="M131" s="163"/>
      <c r="N131" s="163"/>
      <c r="O131" s="163"/>
      <c r="P131" s="163"/>
      <c r="Q131" s="163"/>
      <c r="R131" s="163"/>
      <c r="S131" s="163"/>
      <c r="T131" s="163"/>
      <c r="U131" s="163"/>
      <c r="V131" s="163"/>
      <c r="W131" s="163"/>
      <c r="X131" s="163"/>
      <c r="Y131" s="163"/>
      <c r="Z131" s="163"/>
      <c r="AA131" s="163"/>
    </row>
    <row r="132" ht="14.25" customHeight="1">
      <c r="A132" s="164" t="s">
        <v>4534</v>
      </c>
      <c r="B132" s="165" t="s">
        <v>4535</v>
      </c>
      <c r="C132" s="176" t="s">
        <v>4540</v>
      </c>
      <c r="D132" s="163"/>
      <c r="E132" s="165" t="s">
        <v>4535</v>
      </c>
      <c r="F132" s="178" t="s">
        <v>4541</v>
      </c>
      <c r="G132" s="176" t="s">
        <v>4542</v>
      </c>
      <c r="H132" s="178" t="s">
        <v>4543</v>
      </c>
      <c r="I132" s="164" t="s">
        <v>36</v>
      </c>
      <c r="J132" s="163"/>
      <c r="K132" s="164" t="s">
        <v>4498</v>
      </c>
      <c r="L132" s="163"/>
      <c r="M132" s="163"/>
      <c r="N132" s="163"/>
      <c r="O132" s="163"/>
      <c r="P132" s="163"/>
      <c r="Q132" s="163"/>
      <c r="R132" s="163"/>
      <c r="S132" s="163"/>
      <c r="T132" s="163"/>
      <c r="U132" s="163"/>
      <c r="V132" s="163"/>
      <c r="W132" s="163"/>
      <c r="X132" s="163"/>
      <c r="Y132" s="163"/>
      <c r="Z132" s="163"/>
      <c r="AA132" s="163"/>
    </row>
    <row r="133" ht="14.25" customHeight="1">
      <c r="A133" s="164" t="s">
        <v>4534</v>
      </c>
      <c r="B133" s="165" t="s">
        <v>4535</v>
      </c>
      <c r="C133" s="176" t="s">
        <v>4544</v>
      </c>
      <c r="D133" s="163"/>
      <c r="E133" s="165" t="s">
        <v>4535</v>
      </c>
      <c r="F133" s="178" t="s">
        <v>4545</v>
      </c>
      <c r="G133" s="176" t="s">
        <v>4546</v>
      </c>
      <c r="H133" s="178" t="s">
        <v>4547</v>
      </c>
      <c r="I133" s="164" t="s">
        <v>36</v>
      </c>
      <c r="J133" s="163"/>
      <c r="K133" s="164" t="s">
        <v>4498</v>
      </c>
      <c r="L133" s="163"/>
      <c r="M133" s="163"/>
      <c r="N133" s="163"/>
      <c r="O133" s="163"/>
      <c r="P133" s="163"/>
      <c r="Q133" s="163"/>
      <c r="R133" s="163"/>
      <c r="S133" s="163"/>
      <c r="T133" s="163"/>
      <c r="U133" s="163"/>
      <c r="V133" s="163"/>
      <c r="W133" s="163"/>
      <c r="X133" s="163"/>
      <c r="Y133" s="163"/>
      <c r="Z133" s="163"/>
      <c r="AA133" s="163"/>
    </row>
    <row r="134" ht="14.25" customHeight="1">
      <c r="A134" s="164" t="s">
        <v>4534</v>
      </c>
      <c r="B134" s="165" t="s">
        <v>4535</v>
      </c>
      <c r="C134" s="176" t="s">
        <v>4548</v>
      </c>
      <c r="D134" s="163"/>
      <c r="E134" s="165" t="s">
        <v>4535</v>
      </c>
      <c r="F134" s="178" t="s">
        <v>4549</v>
      </c>
      <c r="G134" s="176" t="s">
        <v>4538</v>
      </c>
      <c r="H134" s="178" t="s">
        <v>4539</v>
      </c>
      <c r="I134" s="164" t="s">
        <v>36</v>
      </c>
      <c r="J134" s="163"/>
      <c r="K134" s="164" t="s">
        <v>4498</v>
      </c>
      <c r="L134" s="163"/>
      <c r="M134" s="163"/>
      <c r="N134" s="163"/>
      <c r="O134" s="163"/>
      <c r="P134" s="163"/>
      <c r="Q134" s="163"/>
      <c r="R134" s="163"/>
      <c r="S134" s="163"/>
      <c r="T134" s="163"/>
      <c r="U134" s="163"/>
      <c r="V134" s="163"/>
      <c r="W134" s="163"/>
      <c r="X134" s="163"/>
      <c r="Y134" s="163"/>
      <c r="Z134" s="163"/>
      <c r="AA134" s="163"/>
    </row>
    <row r="135" ht="14.25" customHeight="1">
      <c r="A135" s="164" t="s">
        <v>4534</v>
      </c>
      <c r="B135" s="165" t="s">
        <v>4535</v>
      </c>
      <c r="C135" s="176" t="s">
        <v>4550</v>
      </c>
      <c r="D135" s="163"/>
      <c r="E135" s="165" t="s">
        <v>4535</v>
      </c>
      <c r="F135" s="178" t="s">
        <v>4551</v>
      </c>
      <c r="G135" s="176" t="s">
        <v>4542</v>
      </c>
      <c r="H135" s="178" t="s">
        <v>4543</v>
      </c>
      <c r="I135" s="164" t="s">
        <v>36</v>
      </c>
      <c r="J135" s="163"/>
      <c r="K135" s="164" t="s">
        <v>4498</v>
      </c>
      <c r="L135" s="163"/>
      <c r="M135" s="163"/>
      <c r="N135" s="163"/>
      <c r="O135" s="163"/>
      <c r="P135" s="163"/>
      <c r="Q135" s="163"/>
      <c r="R135" s="163"/>
      <c r="S135" s="163"/>
      <c r="T135" s="163"/>
      <c r="U135" s="163"/>
      <c r="V135" s="163"/>
      <c r="W135" s="163"/>
      <c r="X135" s="163"/>
      <c r="Y135" s="163"/>
      <c r="Z135" s="163"/>
      <c r="AA135" s="163"/>
    </row>
    <row r="136" ht="14.25" customHeight="1">
      <c r="A136" s="164" t="s">
        <v>4534</v>
      </c>
      <c r="B136" s="165" t="s">
        <v>4535</v>
      </c>
      <c r="C136" s="176" t="s">
        <v>4552</v>
      </c>
      <c r="D136" s="163"/>
      <c r="E136" s="165" t="s">
        <v>4535</v>
      </c>
      <c r="F136" s="178" t="s">
        <v>4553</v>
      </c>
      <c r="G136" s="176" t="s">
        <v>4546</v>
      </c>
      <c r="H136" s="178" t="s">
        <v>4547</v>
      </c>
      <c r="I136" s="164" t="s">
        <v>36</v>
      </c>
      <c r="J136" s="163"/>
      <c r="K136" s="164" t="s">
        <v>4498</v>
      </c>
      <c r="L136" s="163"/>
      <c r="M136" s="163"/>
      <c r="N136" s="163"/>
      <c r="O136" s="163"/>
      <c r="P136" s="163"/>
      <c r="Q136" s="163"/>
      <c r="R136" s="163"/>
      <c r="S136" s="163"/>
      <c r="T136" s="163"/>
      <c r="U136" s="163"/>
      <c r="V136" s="163"/>
      <c r="W136" s="163"/>
      <c r="X136" s="163"/>
      <c r="Y136" s="163"/>
      <c r="Z136" s="163"/>
      <c r="AA136" s="163"/>
    </row>
    <row r="137" ht="14.25" customHeight="1">
      <c r="A137" s="164" t="s">
        <v>4534</v>
      </c>
      <c r="B137" s="165" t="s">
        <v>4535</v>
      </c>
      <c r="C137" s="176" t="s">
        <v>4554</v>
      </c>
      <c r="D137" s="163"/>
      <c r="E137" s="165" t="s">
        <v>4535</v>
      </c>
      <c r="F137" s="178" t="s">
        <v>4555</v>
      </c>
      <c r="G137" s="176" t="s">
        <v>4538</v>
      </c>
      <c r="H137" s="178" t="s">
        <v>4539</v>
      </c>
      <c r="I137" s="164" t="s">
        <v>36</v>
      </c>
      <c r="J137" s="163"/>
      <c r="K137" s="164" t="s">
        <v>4498</v>
      </c>
      <c r="L137" s="163"/>
      <c r="M137" s="163"/>
      <c r="N137" s="163"/>
      <c r="O137" s="163"/>
      <c r="P137" s="163"/>
      <c r="Q137" s="163"/>
      <c r="R137" s="163"/>
      <c r="S137" s="163"/>
      <c r="T137" s="163"/>
      <c r="U137" s="163"/>
      <c r="V137" s="163"/>
      <c r="W137" s="163"/>
      <c r="X137" s="163"/>
      <c r="Y137" s="163"/>
      <c r="Z137" s="163"/>
      <c r="AA137" s="163"/>
    </row>
    <row r="138" ht="14.25" customHeight="1">
      <c r="A138" s="164" t="s">
        <v>4534</v>
      </c>
      <c r="B138" s="165" t="s">
        <v>4535</v>
      </c>
      <c r="C138" s="176" t="s">
        <v>4556</v>
      </c>
      <c r="D138" s="163"/>
      <c r="E138" s="165" t="s">
        <v>4535</v>
      </c>
      <c r="F138" s="178" t="s">
        <v>4557</v>
      </c>
      <c r="G138" s="176" t="s">
        <v>4542</v>
      </c>
      <c r="H138" s="178" t="s">
        <v>4543</v>
      </c>
      <c r="I138" s="164" t="s">
        <v>36</v>
      </c>
      <c r="J138" s="163"/>
      <c r="K138" s="164" t="s">
        <v>4498</v>
      </c>
      <c r="L138" s="163"/>
      <c r="M138" s="163"/>
      <c r="N138" s="163"/>
      <c r="O138" s="163"/>
      <c r="P138" s="163"/>
      <c r="Q138" s="163"/>
      <c r="R138" s="163"/>
      <c r="S138" s="163"/>
      <c r="T138" s="163"/>
      <c r="U138" s="163"/>
      <c r="V138" s="163"/>
      <c r="W138" s="163"/>
      <c r="X138" s="163"/>
      <c r="Y138" s="163"/>
      <c r="Z138" s="163"/>
      <c r="AA138" s="163"/>
    </row>
    <row r="139" ht="14.25" customHeight="1">
      <c r="A139" s="164" t="s">
        <v>4534</v>
      </c>
      <c r="B139" s="165" t="s">
        <v>4535</v>
      </c>
      <c r="C139" s="176" t="s">
        <v>4558</v>
      </c>
      <c r="D139" s="163"/>
      <c r="E139" s="165" t="s">
        <v>4535</v>
      </c>
      <c r="F139" s="178" t="s">
        <v>4559</v>
      </c>
      <c r="G139" s="176" t="s">
        <v>4546</v>
      </c>
      <c r="H139" s="178" t="s">
        <v>4547</v>
      </c>
      <c r="I139" s="164" t="s">
        <v>36</v>
      </c>
      <c r="J139" s="163"/>
      <c r="K139" s="164" t="s">
        <v>4498</v>
      </c>
      <c r="L139" s="163"/>
      <c r="M139" s="163"/>
      <c r="N139" s="163"/>
      <c r="O139" s="163"/>
      <c r="P139" s="163"/>
      <c r="Q139" s="163"/>
      <c r="R139" s="163"/>
      <c r="S139" s="163"/>
      <c r="T139" s="163"/>
      <c r="U139" s="163"/>
      <c r="V139" s="163"/>
      <c r="W139" s="163"/>
      <c r="X139" s="163"/>
      <c r="Y139" s="163"/>
      <c r="Z139" s="163"/>
      <c r="AA139" s="163"/>
    </row>
    <row r="140" ht="14.25" customHeight="1">
      <c r="A140" s="164" t="s">
        <v>4534</v>
      </c>
      <c r="B140" s="165" t="s">
        <v>4535</v>
      </c>
      <c r="C140" s="176" t="s">
        <v>4560</v>
      </c>
      <c r="D140" s="163"/>
      <c r="E140" s="165" t="s">
        <v>4535</v>
      </c>
      <c r="F140" s="178" t="s">
        <v>4561</v>
      </c>
      <c r="G140" s="176" t="s">
        <v>4538</v>
      </c>
      <c r="H140" s="178" t="s">
        <v>4539</v>
      </c>
      <c r="I140" s="164" t="s">
        <v>36</v>
      </c>
      <c r="J140" s="163"/>
      <c r="K140" s="164" t="s">
        <v>4498</v>
      </c>
      <c r="L140" s="163"/>
      <c r="M140" s="163"/>
      <c r="N140" s="163"/>
      <c r="O140" s="163"/>
      <c r="P140" s="163"/>
      <c r="Q140" s="163"/>
      <c r="R140" s="163"/>
      <c r="S140" s="163"/>
      <c r="T140" s="163"/>
      <c r="U140" s="163"/>
      <c r="V140" s="163"/>
      <c r="W140" s="163"/>
      <c r="X140" s="163"/>
      <c r="Y140" s="163"/>
      <c r="Z140" s="163"/>
      <c r="AA140" s="163"/>
    </row>
    <row r="141" ht="14.25" customHeight="1">
      <c r="A141" s="164" t="s">
        <v>4534</v>
      </c>
      <c r="B141" s="165" t="s">
        <v>4535</v>
      </c>
      <c r="C141" s="176" t="s">
        <v>4562</v>
      </c>
      <c r="D141" s="163"/>
      <c r="E141" s="165" t="s">
        <v>4535</v>
      </c>
      <c r="F141" s="178" t="s">
        <v>4563</v>
      </c>
      <c r="G141" s="176" t="s">
        <v>4542</v>
      </c>
      <c r="H141" s="178" t="s">
        <v>4543</v>
      </c>
      <c r="I141" s="164" t="s">
        <v>36</v>
      </c>
      <c r="J141" s="163"/>
      <c r="K141" s="164" t="s">
        <v>4498</v>
      </c>
      <c r="L141" s="163"/>
      <c r="M141" s="163"/>
      <c r="N141" s="163"/>
      <c r="O141" s="163"/>
      <c r="P141" s="163"/>
      <c r="Q141" s="163"/>
      <c r="R141" s="163"/>
      <c r="S141" s="163"/>
      <c r="T141" s="163"/>
      <c r="U141" s="163"/>
      <c r="V141" s="163"/>
      <c r="W141" s="163"/>
      <c r="X141" s="163"/>
      <c r="Y141" s="163"/>
      <c r="Z141" s="163"/>
      <c r="AA141" s="163"/>
    </row>
    <row r="142" ht="14.25" customHeight="1">
      <c r="A142" s="164" t="s">
        <v>4534</v>
      </c>
      <c r="B142" s="165" t="s">
        <v>4535</v>
      </c>
      <c r="C142" s="176" t="s">
        <v>4564</v>
      </c>
      <c r="D142" s="163"/>
      <c r="E142" s="165" t="s">
        <v>4535</v>
      </c>
      <c r="F142" s="178" t="s">
        <v>4565</v>
      </c>
      <c r="G142" s="176" t="s">
        <v>4546</v>
      </c>
      <c r="H142" s="178" t="s">
        <v>4547</v>
      </c>
      <c r="I142" s="164" t="s">
        <v>36</v>
      </c>
      <c r="J142" s="163"/>
      <c r="K142" s="164" t="s">
        <v>4498</v>
      </c>
      <c r="L142" s="163"/>
      <c r="M142" s="163"/>
      <c r="N142" s="163"/>
      <c r="O142" s="163"/>
      <c r="P142" s="163"/>
      <c r="Q142" s="163"/>
      <c r="R142" s="163"/>
      <c r="S142" s="163"/>
      <c r="T142" s="163"/>
      <c r="U142" s="163"/>
      <c r="V142" s="163"/>
      <c r="W142" s="163"/>
      <c r="X142" s="163"/>
      <c r="Y142" s="163"/>
      <c r="Z142" s="163"/>
      <c r="AA142" s="163"/>
    </row>
    <row r="143">
      <c r="A143" s="164" t="s">
        <v>4566</v>
      </c>
      <c r="B143" s="164" t="s">
        <v>4567</v>
      </c>
      <c r="C143" s="164" t="s">
        <v>4568</v>
      </c>
      <c r="D143" s="163"/>
      <c r="E143" s="165" t="s">
        <v>4569</v>
      </c>
      <c r="F143" s="163"/>
      <c r="G143" s="165" t="s">
        <v>4570</v>
      </c>
      <c r="H143" s="165" t="s">
        <v>4571</v>
      </c>
      <c r="I143" s="164" t="s">
        <v>36</v>
      </c>
      <c r="J143" s="163"/>
      <c r="K143" s="164" t="s">
        <v>4498</v>
      </c>
      <c r="L143" s="163"/>
      <c r="M143" s="163"/>
      <c r="N143" s="163"/>
      <c r="O143" s="163"/>
      <c r="P143" s="163"/>
      <c r="Q143" s="163"/>
      <c r="R143" s="163"/>
      <c r="S143" s="163"/>
      <c r="T143" s="163"/>
      <c r="U143" s="163"/>
      <c r="V143" s="163"/>
      <c r="W143" s="163"/>
      <c r="X143" s="163"/>
      <c r="Y143" s="163"/>
      <c r="Z143" s="163"/>
      <c r="AA143" s="163"/>
    </row>
    <row r="144">
      <c r="A144" s="164" t="s">
        <v>4566</v>
      </c>
      <c r="B144" s="164" t="s">
        <v>4567</v>
      </c>
      <c r="C144" s="164" t="s">
        <v>4572</v>
      </c>
      <c r="D144" s="163"/>
      <c r="E144" s="165" t="s">
        <v>4569</v>
      </c>
      <c r="F144" s="163"/>
      <c r="G144" s="165" t="s">
        <v>4573</v>
      </c>
      <c r="H144" s="175" t="s">
        <v>4574</v>
      </c>
      <c r="I144" s="164" t="s">
        <v>36</v>
      </c>
      <c r="J144" s="163"/>
      <c r="K144" s="164" t="s">
        <v>4498</v>
      </c>
      <c r="L144" s="163"/>
      <c r="M144" s="163"/>
      <c r="N144" s="163"/>
      <c r="O144" s="163"/>
      <c r="P144" s="163"/>
      <c r="Q144" s="163"/>
      <c r="R144" s="163"/>
      <c r="S144" s="163"/>
      <c r="T144" s="163"/>
      <c r="U144" s="163"/>
      <c r="V144" s="163"/>
      <c r="W144" s="163"/>
      <c r="X144" s="163"/>
      <c r="Y144" s="163"/>
      <c r="Z144" s="163"/>
      <c r="AA144" s="163"/>
    </row>
    <row r="145" ht="14.25" customHeight="1">
      <c r="A145" s="164" t="s">
        <v>4566</v>
      </c>
      <c r="B145" s="164" t="s">
        <v>4567</v>
      </c>
      <c r="C145" s="164" t="s">
        <v>4575</v>
      </c>
      <c r="D145" s="163"/>
      <c r="E145" s="165" t="s">
        <v>4569</v>
      </c>
      <c r="F145" s="163"/>
      <c r="G145" s="165" t="s">
        <v>4576</v>
      </c>
      <c r="H145" s="175" t="s">
        <v>4577</v>
      </c>
      <c r="I145" s="164" t="s">
        <v>36</v>
      </c>
      <c r="J145" s="163"/>
      <c r="K145" s="164" t="s">
        <v>4498</v>
      </c>
      <c r="L145" s="163"/>
      <c r="M145" s="163"/>
      <c r="N145" s="163"/>
      <c r="O145" s="163"/>
      <c r="P145" s="163"/>
      <c r="Q145" s="163"/>
      <c r="R145" s="163"/>
      <c r="S145" s="163"/>
      <c r="T145" s="163"/>
      <c r="U145" s="163"/>
      <c r="V145" s="163"/>
      <c r="W145" s="163"/>
      <c r="X145" s="163"/>
      <c r="Y145" s="163"/>
      <c r="Z145" s="163"/>
      <c r="AA145" s="163"/>
    </row>
    <row r="146" ht="14.25" customHeight="1">
      <c r="A146" s="164" t="s">
        <v>4578</v>
      </c>
      <c r="B146" s="166" t="s">
        <v>4579</v>
      </c>
      <c r="C146" s="212" t="s">
        <v>4580</v>
      </c>
      <c r="D146" s="164"/>
      <c r="E146" s="165" t="s">
        <v>4581</v>
      </c>
      <c r="F146" s="164" t="s">
        <v>4582</v>
      </c>
      <c r="G146" s="164" t="s">
        <v>4581</v>
      </c>
      <c r="H146" s="164" t="s">
        <v>4583</v>
      </c>
      <c r="I146" s="164" t="s">
        <v>36</v>
      </c>
      <c r="J146" s="163"/>
      <c r="K146" s="164"/>
      <c r="L146" s="163"/>
      <c r="M146" s="163"/>
      <c r="N146" s="163"/>
      <c r="O146" s="163"/>
      <c r="P146" s="163"/>
      <c r="Q146" s="163"/>
      <c r="R146" s="163"/>
      <c r="S146" s="163"/>
      <c r="T146" s="163"/>
      <c r="U146" s="163"/>
      <c r="V146" s="163"/>
      <c r="W146" s="163"/>
      <c r="X146" s="163"/>
      <c r="Y146" s="163"/>
      <c r="Z146" s="163"/>
      <c r="AA146" s="163"/>
    </row>
    <row r="147" ht="14.25" customHeight="1">
      <c r="A147" s="164" t="s">
        <v>4578</v>
      </c>
      <c r="B147" s="108"/>
      <c r="C147" s="212" t="s">
        <v>4584</v>
      </c>
      <c r="D147" s="164"/>
      <c r="E147" s="165" t="s">
        <v>4581</v>
      </c>
      <c r="F147" s="164" t="s">
        <v>4585</v>
      </c>
      <c r="G147" s="164" t="s">
        <v>4586</v>
      </c>
      <c r="H147" s="164" t="s">
        <v>4587</v>
      </c>
      <c r="I147" s="164" t="s">
        <v>36</v>
      </c>
      <c r="J147" s="163"/>
      <c r="K147" s="164"/>
      <c r="L147" s="163"/>
      <c r="M147" s="163"/>
      <c r="N147" s="163"/>
      <c r="O147" s="163"/>
      <c r="P147" s="163"/>
      <c r="Q147" s="163"/>
      <c r="R147" s="163"/>
      <c r="S147" s="163"/>
      <c r="T147" s="163"/>
      <c r="U147" s="163"/>
      <c r="V147" s="163"/>
      <c r="W147" s="163"/>
      <c r="X147" s="163"/>
      <c r="Y147" s="163"/>
      <c r="Z147" s="163"/>
      <c r="AA147" s="163"/>
    </row>
    <row r="148" ht="14.25" customHeight="1">
      <c r="A148" s="164" t="s">
        <v>4578</v>
      </c>
      <c r="B148" s="108"/>
      <c r="C148" s="212" t="s">
        <v>4588</v>
      </c>
      <c r="D148" s="164"/>
      <c r="E148" s="165" t="s">
        <v>4581</v>
      </c>
      <c r="F148" s="164" t="s">
        <v>4589</v>
      </c>
      <c r="G148" s="164" t="s">
        <v>4590</v>
      </c>
      <c r="H148" s="164" t="s">
        <v>4591</v>
      </c>
      <c r="I148" s="164" t="s">
        <v>36</v>
      </c>
      <c r="J148" s="163"/>
      <c r="K148" s="164"/>
      <c r="L148" s="163"/>
      <c r="M148" s="163"/>
      <c r="N148" s="163"/>
      <c r="O148" s="163"/>
      <c r="P148" s="163"/>
      <c r="Q148" s="163"/>
      <c r="R148" s="163"/>
      <c r="S148" s="163"/>
      <c r="T148" s="163"/>
      <c r="U148" s="163"/>
      <c r="V148" s="163"/>
      <c r="W148" s="163"/>
      <c r="X148" s="163"/>
      <c r="Y148" s="163"/>
      <c r="Z148" s="163"/>
      <c r="AA148" s="163"/>
    </row>
    <row r="149" ht="14.25" customHeight="1">
      <c r="A149" s="164" t="s">
        <v>4578</v>
      </c>
      <c r="B149" s="108"/>
      <c r="C149" s="212" t="s">
        <v>4592</v>
      </c>
      <c r="D149" s="164"/>
      <c r="E149" s="165" t="s">
        <v>4581</v>
      </c>
      <c r="F149" s="164" t="s">
        <v>4593</v>
      </c>
      <c r="G149" s="164" t="s">
        <v>4594</v>
      </c>
      <c r="H149" s="164" t="s">
        <v>4595</v>
      </c>
      <c r="I149" s="164" t="s">
        <v>36</v>
      </c>
      <c r="J149" s="163"/>
      <c r="K149" s="164"/>
      <c r="L149" s="163"/>
      <c r="M149" s="163"/>
      <c r="N149" s="163"/>
      <c r="O149" s="163"/>
      <c r="P149" s="163"/>
      <c r="Q149" s="163"/>
      <c r="R149" s="163"/>
      <c r="S149" s="163"/>
      <c r="T149" s="163"/>
      <c r="U149" s="163"/>
      <c r="V149" s="163"/>
      <c r="W149" s="163"/>
      <c r="X149" s="163"/>
      <c r="Y149" s="163"/>
      <c r="Z149" s="163"/>
      <c r="AA149" s="163"/>
    </row>
    <row r="150" ht="14.25" customHeight="1">
      <c r="A150" s="164" t="s">
        <v>4578</v>
      </c>
      <c r="B150" s="108"/>
      <c r="C150" s="212" t="s">
        <v>4596</v>
      </c>
      <c r="D150" s="164"/>
      <c r="E150" s="165" t="s">
        <v>4581</v>
      </c>
      <c r="F150" s="164" t="s">
        <v>4597</v>
      </c>
      <c r="G150" s="164" t="s">
        <v>4598</v>
      </c>
      <c r="H150" s="164" t="s">
        <v>4599</v>
      </c>
      <c r="I150" s="164" t="s">
        <v>36</v>
      </c>
      <c r="J150" s="163"/>
      <c r="K150" s="164"/>
      <c r="L150" s="163"/>
      <c r="M150" s="163"/>
      <c r="N150" s="163"/>
      <c r="O150" s="163"/>
      <c r="P150" s="163"/>
      <c r="Q150" s="163"/>
      <c r="R150" s="163"/>
      <c r="S150" s="163"/>
      <c r="T150" s="163"/>
      <c r="U150" s="163"/>
      <c r="V150" s="163"/>
      <c r="W150" s="163"/>
      <c r="X150" s="163"/>
      <c r="Y150" s="163"/>
      <c r="Z150" s="163"/>
      <c r="AA150" s="163"/>
    </row>
    <row r="151" ht="14.25" customHeight="1">
      <c r="A151" s="164" t="s">
        <v>4578</v>
      </c>
      <c r="B151" s="108"/>
      <c r="C151" s="212" t="s">
        <v>4600</v>
      </c>
      <c r="D151" s="164"/>
      <c r="E151" s="165" t="s">
        <v>4581</v>
      </c>
      <c r="F151" s="164" t="s">
        <v>4597</v>
      </c>
      <c r="G151" s="164" t="s">
        <v>4601</v>
      </c>
      <c r="H151" s="164" t="s">
        <v>4602</v>
      </c>
      <c r="I151" s="164" t="s">
        <v>36</v>
      </c>
      <c r="J151" s="163"/>
      <c r="K151" s="164"/>
      <c r="L151" s="163"/>
      <c r="M151" s="163"/>
      <c r="N151" s="163"/>
      <c r="O151" s="163"/>
      <c r="P151" s="163"/>
      <c r="Q151" s="163"/>
      <c r="R151" s="163"/>
      <c r="S151" s="163"/>
      <c r="T151" s="163"/>
      <c r="U151" s="163"/>
      <c r="V151" s="163"/>
      <c r="W151" s="163"/>
      <c r="X151" s="163"/>
      <c r="Y151" s="163"/>
      <c r="Z151" s="163"/>
      <c r="AA151" s="163"/>
    </row>
    <row r="152" ht="14.25" customHeight="1">
      <c r="A152" s="164" t="s">
        <v>4578</v>
      </c>
      <c r="B152" s="108"/>
      <c r="C152" s="212" t="s">
        <v>4603</v>
      </c>
      <c r="D152" s="164"/>
      <c r="E152" s="165" t="s">
        <v>4581</v>
      </c>
      <c r="F152" s="164" t="s">
        <v>4604</v>
      </c>
      <c r="G152" s="164" t="s">
        <v>4598</v>
      </c>
      <c r="H152" s="164" t="s">
        <v>4599</v>
      </c>
      <c r="I152" s="164" t="s">
        <v>36</v>
      </c>
      <c r="J152" s="163"/>
      <c r="K152" s="164"/>
      <c r="L152" s="163"/>
      <c r="M152" s="163"/>
      <c r="N152" s="163"/>
      <c r="O152" s="163"/>
      <c r="P152" s="163"/>
      <c r="Q152" s="163"/>
      <c r="R152" s="163"/>
      <c r="S152" s="163"/>
      <c r="T152" s="163"/>
      <c r="U152" s="163"/>
      <c r="V152" s="163"/>
      <c r="W152" s="163"/>
      <c r="X152" s="163"/>
      <c r="Y152" s="163"/>
      <c r="Z152" s="163"/>
      <c r="AA152" s="163"/>
    </row>
    <row r="153" ht="14.25" customHeight="1">
      <c r="A153" s="164" t="s">
        <v>4578</v>
      </c>
      <c r="B153" s="108"/>
      <c r="C153" s="212" t="s">
        <v>4605</v>
      </c>
      <c r="D153" s="164"/>
      <c r="E153" s="165" t="s">
        <v>4581</v>
      </c>
      <c r="F153" s="164" t="s">
        <v>4604</v>
      </c>
      <c r="G153" s="164" t="s">
        <v>4601</v>
      </c>
      <c r="H153" s="164" t="s">
        <v>4602</v>
      </c>
      <c r="I153" s="164" t="s">
        <v>36</v>
      </c>
      <c r="J153" s="163"/>
      <c r="K153" s="164"/>
      <c r="L153" s="163"/>
      <c r="M153" s="163"/>
      <c r="N153" s="163"/>
      <c r="O153" s="163"/>
      <c r="P153" s="163"/>
      <c r="Q153" s="163"/>
      <c r="R153" s="163"/>
      <c r="S153" s="163"/>
      <c r="T153" s="163"/>
      <c r="U153" s="163"/>
      <c r="V153" s="163"/>
      <c r="W153" s="163"/>
      <c r="X153" s="163"/>
      <c r="Y153" s="163"/>
      <c r="Z153" s="163"/>
      <c r="AA153" s="163"/>
    </row>
    <row r="154" ht="14.25" customHeight="1">
      <c r="A154" s="164" t="s">
        <v>4578</v>
      </c>
      <c r="B154" s="108"/>
      <c r="C154" s="212" t="s">
        <v>4606</v>
      </c>
      <c r="D154" s="164"/>
      <c r="E154" s="165" t="s">
        <v>4581</v>
      </c>
      <c r="F154" s="164" t="s">
        <v>4607</v>
      </c>
      <c r="G154" s="164" t="s">
        <v>4598</v>
      </c>
      <c r="H154" s="164" t="s">
        <v>4599</v>
      </c>
      <c r="I154" s="164" t="s">
        <v>36</v>
      </c>
      <c r="J154" s="163"/>
      <c r="K154" s="164"/>
      <c r="L154" s="163"/>
      <c r="M154" s="163"/>
      <c r="N154" s="163"/>
      <c r="O154" s="163"/>
      <c r="P154" s="163"/>
      <c r="Q154" s="163"/>
      <c r="R154" s="163"/>
      <c r="S154" s="163"/>
      <c r="T154" s="163"/>
      <c r="U154" s="163"/>
      <c r="V154" s="163"/>
      <c r="W154" s="163"/>
      <c r="X154" s="163"/>
      <c r="Y154" s="163"/>
      <c r="Z154" s="163"/>
      <c r="AA154" s="163"/>
    </row>
    <row r="155" ht="14.25" customHeight="1">
      <c r="A155" s="164" t="s">
        <v>4578</v>
      </c>
      <c r="B155" s="108"/>
      <c r="C155" s="212" t="s">
        <v>4608</v>
      </c>
      <c r="D155" s="164"/>
      <c r="E155" s="165" t="s">
        <v>4581</v>
      </c>
      <c r="F155" s="164" t="s">
        <v>4607</v>
      </c>
      <c r="G155" s="164" t="s">
        <v>4601</v>
      </c>
      <c r="H155" s="164" t="s">
        <v>4602</v>
      </c>
      <c r="I155" s="164" t="s">
        <v>36</v>
      </c>
      <c r="J155" s="163"/>
      <c r="K155" s="164"/>
      <c r="L155" s="163"/>
      <c r="M155" s="163"/>
      <c r="N155" s="163"/>
      <c r="O155" s="163"/>
      <c r="P155" s="163"/>
      <c r="Q155" s="163"/>
      <c r="R155" s="163"/>
      <c r="S155" s="163"/>
      <c r="T155" s="163"/>
      <c r="U155" s="163"/>
      <c r="V155" s="163"/>
      <c r="W155" s="163"/>
      <c r="X155" s="163"/>
      <c r="Y155" s="163"/>
      <c r="Z155" s="163"/>
      <c r="AA155" s="163"/>
    </row>
    <row r="156" ht="14.25" customHeight="1">
      <c r="A156" s="164" t="s">
        <v>4578</v>
      </c>
      <c r="B156" s="108"/>
      <c r="C156" s="212" t="s">
        <v>4609</v>
      </c>
      <c r="D156" s="164"/>
      <c r="E156" s="165" t="s">
        <v>4581</v>
      </c>
      <c r="F156" s="164" t="s">
        <v>4610</v>
      </c>
      <c r="G156" s="164" t="s">
        <v>4598</v>
      </c>
      <c r="H156" s="164" t="s">
        <v>4599</v>
      </c>
      <c r="I156" s="164" t="s">
        <v>36</v>
      </c>
      <c r="J156" s="163"/>
      <c r="K156" s="164"/>
      <c r="L156" s="163"/>
      <c r="M156" s="163"/>
      <c r="N156" s="163"/>
      <c r="O156" s="163"/>
      <c r="P156" s="163"/>
      <c r="Q156" s="163"/>
      <c r="R156" s="163"/>
      <c r="S156" s="163"/>
      <c r="T156" s="163"/>
      <c r="U156" s="163"/>
      <c r="V156" s="163"/>
      <c r="W156" s="163"/>
      <c r="X156" s="163"/>
      <c r="Y156" s="163"/>
      <c r="Z156" s="163"/>
      <c r="AA156" s="163"/>
    </row>
    <row r="157" ht="14.25" customHeight="1">
      <c r="A157" s="164" t="s">
        <v>4578</v>
      </c>
      <c r="B157" s="109"/>
      <c r="C157" s="212" t="s">
        <v>4611</v>
      </c>
      <c r="D157" s="164"/>
      <c r="E157" s="165" t="s">
        <v>4581</v>
      </c>
      <c r="F157" s="164" t="s">
        <v>4610</v>
      </c>
      <c r="G157" s="164" t="s">
        <v>4601</v>
      </c>
      <c r="H157" s="164" t="s">
        <v>4602</v>
      </c>
      <c r="I157" s="164" t="s">
        <v>36</v>
      </c>
      <c r="J157" s="163"/>
      <c r="K157" s="164"/>
      <c r="L157" s="163"/>
      <c r="M157" s="163"/>
      <c r="N157" s="163"/>
      <c r="O157" s="163"/>
      <c r="P157" s="163"/>
      <c r="Q157" s="163"/>
      <c r="R157" s="163"/>
      <c r="S157" s="163"/>
      <c r="T157" s="163"/>
      <c r="U157" s="163"/>
      <c r="V157" s="163"/>
      <c r="W157" s="163"/>
      <c r="X157" s="163"/>
      <c r="Y157" s="163"/>
      <c r="Z157" s="163"/>
      <c r="AA157" s="163"/>
    </row>
    <row r="158" ht="14.25" customHeight="1">
      <c r="A158" s="164" t="s">
        <v>4612</v>
      </c>
      <c r="B158" s="166" t="s">
        <v>4613</v>
      </c>
      <c r="C158" s="164" t="s">
        <v>4614</v>
      </c>
      <c r="D158" s="164"/>
      <c r="E158" s="165" t="s">
        <v>4615</v>
      </c>
      <c r="F158" s="164"/>
      <c r="G158" s="164" t="s">
        <v>4616</v>
      </c>
      <c r="H158" s="164" t="s">
        <v>4617</v>
      </c>
      <c r="I158" s="164" t="s">
        <v>36</v>
      </c>
      <c r="J158" s="163"/>
      <c r="K158" s="164"/>
      <c r="L158" s="163"/>
      <c r="M158" s="163"/>
      <c r="N158" s="163"/>
      <c r="O158" s="163"/>
      <c r="P158" s="163"/>
      <c r="Q158" s="163"/>
      <c r="R158" s="163"/>
      <c r="S158" s="163"/>
      <c r="T158" s="163"/>
      <c r="U158" s="163"/>
      <c r="V158" s="163"/>
      <c r="W158" s="163"/>
      <c r="X158" s="163"/>
      <c r="Y158" s="163"/>
      <c r="Z158" s="163"/>
      <c r="AA158" s="163"/>
    </row>
    <row r="159" ht="14.25" customHeight="1">
      <c r="A159" s="164" t="s">
        <v>4612</v>
      </c>
      <c r="B159" s="108"/>
      <c r="C159" s="164" t="s">
        <v>4618</v>
      </c>
      <c r="D159" s="164"/>
      <c r="E159" s="165" t="s">
        <v>4615</v>
      </c>
      <c r="F159" s="164"/>
      <c r="G159" s="164" t="s">
        <v>4619</v>
      </c>
      <c r="H159" s="164" t="s">
        <v>4620</v>
      </c>
      <c r="I159" s="164" t="s">
        <v>36</v>
      </c>
      <c r="J159" s="163"/>
      <c r="K159" s="164"/>
      <c r="L159" s="163"/>
      <c r="M159" s="163"/>
      <c r="N159" s="163"/>
      <c r="O159" s="163"/>
      <c r="P159" s="163"/>
      <c r="Q159" s="163"/>
      <c r="R159" s="163"/>
      <c r="S159" s="163"/>
      <c r="T159" s="163"/>
      <c r="U159" s="163"/>
      <c r="V159" s="163"/>
      <c r="W159" s="163"/>
      <c r="X159" s="163"/>
      <c r="Y159" s="163"/>
      <c r="Z159" s="163"/>
      <c r="AA159" s="163"/>
    </row>
    <row r="160" ht="14.25" customHeight="1">
      <c r="A160" s="164" t="s">
        <v>4612</v>
      </c>
      <c r="B160" s="108"/>
      <c r="C160" s="164" t="s">
        <v>4621</v>
      </c>
      <c r="D160" s="164"/>
      <c r="E160" s="165" t="s">
        <v>4615</v>
      </c>
      <c r="F160" s="164"/>
      <c r="G160" s="164" t="s">
        <v>4622</v>
      </c>
      <c r="H160" s="164" t="s">
        <v>4623</v>
      </c>
      <c r="I160" s="164" t="s">
        <v>36</v>
      </c>
      <c r="J160" s="163"/>
      <c r="K160" s="164"/>
      <c r="L160" s="163"/>
      <c r="M160" s="163"/>
      <c r="N160" s="163"/>
      <c r="O160" s="163"/>
      <c r="P160" s="163"/>
      <c r="Q160" s="163"/>
      <c r="R160" s="163"/>
      <c r="S160" s="163"/>
      <c r="T160" s="163"/>
      <c r="U160" s="163"/>
      <c r="V160" s="163"/>
      <c r="W160" s="163"/>
      <c r="X160" s="163"/>
      <c r="Y160" s="163"/>
      <c r="Z160" s="163"/>
      <c r="AA160" s="163"/>
    </row>
    <row r="161" ht="14.25" customHeight="1">
      <c r="A161" s="164" t="s">
        <v>4612</v>
      </c>
      <c r="B161" s="108"/>
      <c r="C161" s="164" t="s">
        <v>4624</v>
      </c>
      <c r="D161" s="164"/>
      <c r="E161" s="165" t="s">
        <v>4615</v>
      </c>
      <c r="F161" s="164"/>
      <c r="G161" s="164" t="s">
        <v>4625</v>
      </c>
      <c r="H161" s="164" t="s">
        <v>4626</v>
      </c>
      <c r="I161" s="164" t="s">
        <v>36</v>
      </c>
      <c r="J161" s="163"/>
      <c r="K161" s="164"/>
      <c r="L161" s="163"/>
      <c r="M161" s="163"/>
      <c r="N161" s="163"/>
      <c r="O161" s="163"/>
      <c r="P161" s="163"/>
      <c r="Q161" s="163"/>
      <c r="R161" s="163"/>
      <c r="S161" s="163"/>
      <c r="T161" s="163"/>
      <c r="U161" s="163"/>
      <c r="V161" s="163"/>
      <c r="W161" s="163"/>
      <c r="X161" s="163"/>
      <c r="Y161" s="163"/>
      <c r="Z161" s="163"/>
      <c r="AA161" s="163"/>
    </row>
    <row r="162" ht="14.25" customHeight="1">
      <c r="A162" s="164" t="s">
        <v>4612</v>
      </c>
      <c r="B162" s="108"/>
      <c r="C162" s="164" t="s">
        <v>4627</v>
      </c>
      <c r="D162" s="164"/>
      <c r="E162" s="165" t="s">
        <v>4615</v>
      </c>
      <c r="F162" s="164"/>
      <c r="G162" s="164" t="s">
        <v>4628</v>
      </c>
      <c r="H162" s="164" t="s">
        <v>4629</v>
      </c>
      <c r="I162" s="164" t="s">
        <v>36</v>
      </c>
      <c r="J162" s="163"/>
      <c r="K162" s="164"/>
      <c r="L162" s="163"/>
      <c r="M162" s="163"/>
      <c r="N162" s="163"/>
      <c r="O162" s="163"/>
      <c r="P162" s="163"/>
      <c r="Q162" s="163"/>
      <c r="R162" s="163"/>
      <c r="S162" s="163"/>
      <c r="T162" s="163"/>
      <c r="U162" s="163"/>
      <c r="V162" s="163"/>
      <c r="W162" s="163"/>
      <c r="X162" s="163"/>
      <c r="Y162" s="163"/>
      <c r="Z162" s="163"/>
      <c r="AA162" s="163"/>
    </row>
    <row r="163" ht="14.25" customHeight="1">
      <c r="A163" s="164" t="s">
        <v>4612</v>
      </c>
      <c r="B163" s="108"/>
      <c r="C163" s="164" t="s">
        <v>4630</v>
      </c>
      <c r="D163" s="164"/>
      <c r="E163" s="165" t="s">
        <v>4631</v>
      </c>
      <c r="F163" s="164"/>
      <c r="G163" s="164" t="s">
        <v>4632</v>
      </c>
      <c r="H163" s="164" t="s">
        <v>4633</v>
      </c>
      <c r="I163" s="164" t="s">
        <v>36</v>
      </c>
      <c r="J163" s="163"/>
      <c r="K163" s="164"/>
      <c r="L163" s="163"/>
      <c r="M163" s="163"/>
      <c r="N163" s="163"/>
      <c r="O163" s="163"/>
      <c r="P163" s="163"/>
      <c r="Q163" s="163"/>
      <c r="R163" s="163"/>
      <c r="S163" s="163"/>
      <c r="T163" s="163"/>
      <c r="U163" s="163"/>
      <c r="V163" s="163"/>
      <c r="W163" s="163"/>
      <c r="X163" s="163"/>
      <c r="Y163" s="163"/>
      <c r="Z163" s="163"/>
      <c r="AA163" s="163"/>
    </row>
    <row r="164" ht="14.25" customHeight="1">
      <c r="A164" s="164" t="s">
        <v>4612</v>
      </c>
      <c r="B164" s="108"/>
      <c r="C164" s="164" t="s">
        <v>4634</v>
      </c>
      <c r="D164" s="164"/>
      <c r="E164" s="165" t="s">
        <v>4631</v>
      </c>
      <c r="F164" s="164"/>
      <c r="G164" s="164" t="s">
        <v>4619</v>
      </c>
      <c r="H164" s="164" t="s">
        <v>4620</v>
      </c>
      <c r="I164" s="164" t="s">
        <v>36</v>
      </c>
      <c r="J164" s="163"/>
      <c r="K164" s="164"/>
      <c r="L164" s="163"/>
      <c r="M164" s="163"/>
      <c r="N164" s="163"/>
      <c r="O164" s="163"/>
      <c r="P164" s="163"/>
      <c r="Q164" s="163"/>
      <c r="R164" s="163"/>
      <c r="S164" s="163"/>
      <c r="T164" s="163"/>
      <c r="U164" s="163"/>
      <c r="V164" s="163"/>
      <c r="W164" s="163"/>
      <c r="X164" s="163"/>
      <c r="Y164" s="163"/>
      <c r="Z164" s="163"/>
      <c r="AA164" s="163"/>
    </row>
    <row r="165" ht="14.25" customHeight="1">
      <c r="A165" s="164" t="s">
        <v>4612</v>
      </c>
      <c r="B165" s="108"/>
      <c r="C165" s="164" t="s">
        <v>4635</v>
      </c>
      <c r="D165" s="164"/>
      <c r="E165" s="165" t="s">
        <v>4631</v>
      </c>
      <c r="F165" s="164"/>
      <c r="G165" s="164" t="s">
        <v>4622</v>
      </c>
      <c r="H165" s="164" t="s">
        <v>4623</v>
      </c>
      <c r="I165" s="164" t="s">
        <v>36</v>
      </c>
      <c r="J165" s="163"/>
      <c r="K165" s="164"/>
      <c r="L165" s="163"/>
      <c r="M165" s="163"/>
      <c r="N165" s="163"/>
      <c r="O165" s="163"/>
      <c r="P165" s="163"/>
      <c r="Q165" s="163"/>
      <c r="R165" s="163"/>
      <c r="S165" s="163"/>
      <c r="T165" s="163"/>
      <c r="U165" s="163"/>
      <c r="V165" s="163"/>
      <c r="W165" s="163"/>
      <c r="X165" s="163"/>
      <c r="Y165" s="163"/>
      <c r="Z165" s="163"/>
      <c r="AA165" s="163"/>
    </row>
    <row r="166" ht="14.25" customHeight="1">
      <c r="A166" s="164" t="s">
        <v>4612</v>
      </c>
      <c r="B166" s="108"/>
      <c r="C166" s="164" t="s">
        <v>4636</v>
      </c>
      <c r="D166" s="164"/>
      <c r="E166" s="165" t="s">
        <v>4631</v>
      </c>
      <c r="F166" s="164"/>
      <c r="G166" s="164" t="s">
        <v>4625</v>
      </c>
      <c r="H166" s="164" t="s">
        <v>4626</v>
      </c>
      <c r="I166" s="164" t="s">
        <v>36</v>
      </c>
      <c r="J166" s="163"/>
      <c r="K166" s="164"/>
      <c r="L166" s="163"/>
      <c r="M166" s="163"/>
      <c r="N166" s="163"/>
      <c r="O166" s="163"/>
      <c r="P166" s="163"/>
      <c r="Q166" s="163"/>
      <c r="R166" s="163"/>
      <c r="S166" s="163"/>
      <c r="T166" s="163"/>
      <c r="U166" s="163"/>
      <c r="V166" s="163"/>
      <c r="W166" s="163"/>
      <c r="X166" s="163"/>
      <c r="Y166" s="163"/>
      <c r="Z166" s="163"/>
      <c r="AA166" s="163"/>
    </row>
    <row r="167" ht="14.25" customHeight="1">
      <c r="A167" s="164" t="s">
        <v>4612</v>
      </c>
      <c r="B167" s="108"/>
      <c r="C167" s="164" t="s">
        <v>4637</v>
      </c>
      <c r="D167" s="164"/>
      <c r="E167" s="165" t="s">
        <v>4631</v>
      </c>
      <c r="F167" s="164"/>
      <c r="G167" s="164" t="s">
        <v>4628</v>
      </c>
      <c r="H167" s="164" t="s">
        <v>4629</v>
      </c>
      <c r="I167" s="164" t="s">
        <v>36</v>
      </c>
      <c r="J167" s="163"/>
      <c r="K167" s="164"/>
      <c r="L167" s="163"/>
      <c r="M167" s="163"/>
      <c r="N167" s="163"/>
      <c r="O167" s="163"/>
      <c r="P167" s="163"/>
      <c r="Q167" s="163"/>
      <c r="R167" s="163"/>
      <c r="S167" s="163"/>
      <c r="T167" s="163"/>
      <c r="U167" s="163"/>
      <c r="V167" s="163"/>
      <c r="W167" s="163"/>
      <c r="X167" s="163"/>
      <c r="Y167" s="163"/>
      <c r="Z167" s="163"/>
      <c r="AA167" s="163"/>
    </row>
    <row r="168" ht="14.25" customHeight="1">
      <c r="A168" s="164" t="s">
        <v>4612</v>
      </c>
      <c r="B168" s="108"/>
      <c r="C168" s="164" t="s">
        <v>4638</v>
      </c>
      <c r="D168" s="164"/>
      <c r="E168" s="165" t="s">
        <v>4615</v>
      </c>
      <c r="F168" s="164"/>
      <c r="G168" s="164" t="s">
        <v>4639</v>
      </c>
      <c r="H168" s="164" t="s">
        <v>4640</v>
      </c>
      <c r="I168" s="164" t="s">
        <v>36</v>
      </c>
      <c r="J168" s="163"/>
      <c r="K168" s="164"/>
      <c r="L168" s="163"/>
      <c r="M168" s="163"/>
      <c r="N168" s="163"/>
      <c r="O168" s="163"/>
      <c r="P168" s="163"/>
      <c r="Q168" s="163"/>
      <c r="R168" s="163"/>
      <c r="S168" s="163"/>
      <c r="T168" s="163"/>
      <c r="U168" s="163"/>
      <c r="V168" s="163"/>
      <c r="W168" s="163"/>
      <c r="X168" s="163"/>
      <c r="Y168" s="163"/>
      <c r="Z168" s="163"/>
      <c r="AA168" s="163"/>
    </row>
    <row r="169" ht="14.25" customHeight="1">
      <c r="A169" s="164" t="s">
        <v>4612</v>
      </c>
      <c r="B169" s="108"/>
      <c r="C169" s="164" t="s">
        <v>4641</v>
      </c>
      <c r="D169" s="164"/>
      <c r="E169" s="165" t="s">
        <v>4615</v>
      </c>
      <c r="F169" s="164"/>
      <c r="G169" s="164" t="s">
        <v>4642</v>
      </c>
      <c r="H169" s="164" t="s">
        <v>4643</v>
      </c>
      <c r="I169" s="164" t="s">
        <v>36</v>
      </c>
      <c r="J169" s="163"/>
      <c r="K169" s="164"/>
      <c r="L169" s="163"/>
      <c r="M169" s="163"/>
      <c r="N169" s="163"/>
      <c r="O169" s="163"/>
      <c r="P169" s="163"/>
      <c r="Q169" s="163"/>
      <c r="R169" s="163"/>
      <c r="S169" s="163"/>
      <c r="T169" s="163"/>
      <c r="U169" s="163"/>
      <c r="V169" s="163"/>
      <c r="W169" s="163"/>
      <c r="X169" s="163"/>
      <c r="Y169" s="163"/>
      <c r="Z169" s="163"/>
      <c r="AA169" s="163"/>
    </row>
    <row r="170" ht="14.25" customHeight="1">
      <c r="A170" s="164" t="s">
        <v>4612</v>
      </c>
      <c r="B170" s="109"/>
      <c r="C170" s="164" t="s">
        <v>4644</v>
      </c>
      <c r="D170" s="164"/>
      <c r="E170" s="165" t="s">
        <v>4615</v>
      </c>
      <c r="F170" s="164"/>
      <c r="G170" s="164" t="s">
        <v>4645</v>
      </c>
      <c r="H170" s="164" t="s">
        <v>4646</v>
      </c>
      <c r="I170" s="164" t="s">
        <v>36</v>
      </c>
      <c r="J170" s="163"/>
      <c r="K170" s="164"/>
      <c r="L170" s="163"/>
      <c r="M170" s="163"/>
      <c r="N170" s="163"/>
      <c r="O170" s="163"/>
      <c r="P170" s="163"/>
      <c r="Q170" s="163"/>
      <c r="R170" s="163"/>
      <c r="S170" s="163"/>
      <c r="T170" s="163"/>
      <c r="U170" s="163"/>
      <c r="V170" s="163"/>
      <c r="W170" s="163"/>
      <c r="X170" s="163"/>
      <c r="Y170" s="163"/>
      <c r="Z170" s="163"/>
      <c r="AA170" s="163"/>
    </row>
    <row r="171" ht="14.25" customHeight="1">
      <c r="A171" s="164" t="s">
        <v>4647</v>
      </c>
      <c r="B171" s="166" t="s">
        <v>4648</v>
      </c>
      <c r="C171" s="164" t="s">
        <v>4649</v>
      </c>
      <c r="D171" s="164" t="s">
        <v>2482</v>
      </c>
      <c r="E171" s="165" t="s">
        <v>4650</v>
      </c>
      <c r="F171" s="164"/>
      <c r="G171" s="164" t="s">
        <v>4651</v>
      </c>
      <c r="H171" s="164" t="s">
        <v>4652</v>
      </c>
      <c r="I171" s="164" t="s">
        <v>36</v>
      </c>
      <c r="J171" s="163"/>
      <c r="K171" s="164"/>
      <c r="L171" s="163"/>
      <c r="M171" s="163"/>
      <c r="N171" s="163"/>
      <c r="O171" s="163"/>
      <c r="P171" s="163"/>
      <c r="Q171" s="163"/>
      <c r="R171" s="163"/>
      <c r="S171" s="163"/>
      <c r="T171" s="163"/>
      <c r="U171" s="163"/>
      <c r="V171" s="163"/>
      <c r="W171" s="163"/>
      <c r="X171" s="163"/>
      <c r="Y171" s="163"/>
      <c r="Z171" s="163"/>
      <c r="AA171" s="163"/>
    </row>
    <row r="172" ht="14.25" customHeight="1">
      <c r="A172" s="164" t="s">
        <v>4647</v>
      </c>
      <c r="B172" s="108"/>
      <c r="C172" s="164" t="s">
        <v>4653</v>
      </c>
      <c r="D172" s="164" t="s">
        <v>271</v>
      </c>
      <c r="E172" s="165" t="s">
        <v>4650</v>
      </c>
      <c r="F172" s="164"/>
      <c r="G172" s="164" t="s">
        <v>4654</v>
      </c>
      <c r="H172" s="164" t="s">
        <v>4655</v>
      </c>
      <c r="I172" s="164" t="s">
        <v>36</v>
      </c>
      <c r="J172" s="163"/>
      <c r="K172" s="164"/>
      <c r="L172" s="163"/>
      <c r="M172" s="163"/>
      <c r="N172" s="163"/>
      <c r="O172" s="163"/>
      <c r="P172" s="163"/>
      <c r="Q172" s="163"/>
      <c r="R172" s="163"/>
      <c r="S172" s="163"/>
      <c r="T172" s="163"/>
      <c r="U172" s="163"/>
      <c r="V172" s="163"/>
      <c r="W172" s="163"/>
      <c r="X172" s="163"/>
      <c r="Y172" s="163"/>
      <c r="Z172" s="163"/>
      <c r="AA172" s="163"/>
    </row>
    <row r="173" ht="14.25" customHeight="1">
      <c r="A173" s="164" t="s">
        <v>4647</v>
      </c>
      <c r="B173" s="108"/>
      <c r="C173" s="164" t="s">
        <v>4656</v>
      </c>
      <c r="D173" s="164" t="s">
        <v>271</v>
      </c>
      <c r="E173" s="165" t="s">
        <v>4650</v>
      </c>
      <c r="F173" s="164"/>
      <c r="G173" s="164" t="s">
        <v>4657</v>
      </c>
      <c r="H173" s="164" t="s">
        <v>4655</v>
      </c>
      <c r="I173" s="164" t="s">
        <v>36</v>
      </c>
      <c r="J173" s="163"/>
      <c r="K173" s="164"/>
      <c r="L173" s="163"/>
      <c r="M173" s="163"/>
      <c r="N173" s="163"/>
      <c r="O173" s="163"/>
      <c r="P173" s="163"/>
      <c r="Q173" s="163"/>
      <c r="R173" s="163"/>
      <c r="S173" s="163"/>
      <c r="T173" s="163"/>
      <c r="U173" s="163"/>
      <c r="V173" s="163"/>
      <c r="W173" s="163"/>
      <c r="X173" s="163"/>
      <c r="Y173" s="163"/>
      <c r="Z173" s="163"/>
      <c r="AA173" s="163"/>
    </row>
    <row r="174" ht="14.25" customHeight="1">
      <c r="A174" s="164" t="s">
        <v>4647</v>
      </c>
      <c r="B174" s="108"/>
      <c r="C174" s="164" t="s">
        <v>4658</v>
      </c>
      <c r="D174" s="164" t="s">
        <v>271</v>
      </c>
      <c r="E174" s="165" t="s">
        <v>4650</v>
      </c>
      <c r="F174" s="164"/>
      <c r="G174" s="164" t="s">
        <v>4659</v>
      </c>
      <c r="H174" s="164" t="s">
        <v>4655</v>
      </c>
      <c r="I174" s="164" t="s">
        <v>36</v>
      </c>
      <c r="J174" s="163"/>
      <c r="K174" s="164"/>
      <c r="L174" s="163"/>
      <c r="M174" s="163"/>
      <c r="N174" s="163"/>
      <c r="O174" s="163"/>
      <c r="P174" s="163"/>
      <c r="Q174" s="163"/>
      <c r="R174" s="163"/>
      <c r="S174" s="163"/>
      <c r="T174" s="163"/>
      <c r="U174" s="163"/>
      <c r="V174" s="163"/>
      <c r="W174" s="163"/>
      <c r="X174" s="163"/>
      <c r="Y174" s="163"/>
      <c r="Z174" s="163"/>
      <c r="AA174" s="163"/>
    </row>
    <row r="175" ht="14.25" customHeight="1">
      <c r="A175" s="164" t="s">
        <v>4647</v>
      </c>
      <c r="B175" s="109"/>
      <c r="C175" s="164" t="s">
        <v>4660</v>
      </c>
      <c r="D175" s="164" t="s">
        <v>271</v>
      </c>
      <c r="E175" s="165" t="s">
        <v>4650</v>
      </c>
      <c r="F175" s="164"/>
      <c r="G175" s="164" t="s">
        <v>4661</v>
      </c>
      <c r="H175" s="164" t="s">
        <v>4662</v>
      </c>
      <c r="I175" s="164" t="s">
        <v>36</v>
      </c>
      <c r="J175" s="163"/>
      <c r="K175" s="164"/>
      <c r="L175" s="163"/>
      <c r="M175" s="163"/>
      <c r="N175" s="163"/>
      <c r="O175" s="163"/>
      <c r="P175" s="163"/>
      <c r="Q175" s="163"/>
      <c r="R175" s="163"/>
      <c r="S175" s="163"/>
      <c r="T175" s="163"/>
      <c r="U175" s="163"/>
      <c r="V175" s="163"/>
      <c r="W175" s="163"/>
      <c r="X175" s="163"/>
      <c r="Y175" s="163"/>
      <c r="Z175" s="163"/>
      <c r="AA175" s="163"/>
    </row>
    <row r="176" ht="14.25" customHeight="1">
      <c r="A176" s="164" t="s">
        <v>4663</v>
      </c>
      <c r="B176" s="166" t="s">
        <v>4664</v>
      </c>
      <c r="C176" s="164" t="s">
        <v>4665</v>
      </c>
      <c r="D176" s="164" t="s">
        <v>2482</v>
      </c>
      <c r="E176" s="165" t="s">
        <v>4666</v>
      </c>
      <c r="F176" s="164" t="s">
        <v>4667</v>
      </c>
      <c r="G176" s="164" t="s">
        <v>4668</v>
      </c>
      <c r="H176" s="164" t="s">
        <v>4669</v>
      </c>
      <c r="I176" s="164" t="s">
        <v>36</v>
      </c>
      <c r="J176" s="163"/>
      <c r="K176" s="164"/>
      <c r="L176" s="163"/>
      <c r="M176" s="163"/>
      <c r="N176" s="163"/>
      <c r="O176" s="163"/>
      <c r="P176" s="163"/>
      <c r="Q176" s="163"/>
      <c r="R176" s="163"/>
      <c r="S176" s="163"/>
      <c r="T176" s="163"/>
      <c r="U176" s="163"/>
      <c r="V176" s="163"/>
      <c r="W176" s="163"/>
      <c r="X176" s="163"/>
      <c r="Y176" s="163"/>
      <c r="Z176" s="163"/>
      <c r="AA176" s="163"/>
    </row>
    <row r="177" ht="14.25" customHeight="1">
      <c r="A177" s="164" t="s">
        <v>4663</v>
      </c>
      <c r="B177" s="108"/>
      <c r="C177" s="164" t="s">
        <v>4670</v>
      </c>
      <c r="D177" s="164" t="s">
        <v>271</v>
      </c>
      <c r="E177" s="165" t="s">
        <v>4666</v>
      </c>
      <c r="F177" s="164" t="s">
        <v>4667</v>
      </c>
      <c r="G177" s="164" t="s">
        <v>4671</v>
      </c>
      <c r="H177" s="164" t="s">
        <v>4669</v>
      </c>
      <c r="I177" s="164" t="s">
        <v>36</v>
      </c>
      <c r="J177" s="163"/>
      <c r="K177" s="164"/>
      <c r="L177" s="163"/>
      <c r="M177" s="163"/>
      <c r="N177" s="163"/>
      <c r="O177" s="163"/>
      <c r="P177" s="163"/>
      <c r="Q177" s="163"/>
      <c r="R177" s="163"/>
      <c r="S177" s="163"/>
      <c r="T177" s="163"/>
      <c r="U177" s="163"/>
      <c r="V177" s="163"/>
      <c r="W177" s="163"/>
      <c r="X177" s="163"/>
      <c r="Y177" s="163"/>
      <c r="Z177" s="163"/>
      <c r="AA177" s="163"/>
    </row>
    <row r="178" ht="14.25" customHeight="1">
      <c r="A178" s="164" t="s">
        <v>4663</v>
      </c>
      <c r="B178" s="108"/>
      <c r="C178" s="164" t="s">
        <v>4672</v>
      </c>
      <c r="D178" s="164" t="s">
        <v>271</v>
      </c>
      <c r="E178" s="165" t="s">
        <v>4666</v>
      </c>
      <c r="F178" s="164" t="s">
        <v>4667</v>
      </c>
      <c r="G178" s="164" t="s">
        <v>4673</v>
      </c>
      <c r="H178" s="164" t="s">
        <v>4669</v>
      </c>
      <c r="I178" s="164" t="s">
        <v>36</v>
      </c>
      <c r="J178" s="163"/>
      <c r="K178" s="164"/>
      <c r="L178" s="163"/>
      <c r="M178" s="163"/>
      <c r="N178" s="163"/>
      <c r="O178" s="163"/>
      <c r="P178" s="163"/>
      <c r="Q178" s="163"/>
      <c r="R178" s="163"/>
      <c r="S178" s="163"/>
      <c r="T178" s="163"/>
      <c r="U178" s="163"/>
      <c r="V178" s="163"/>
      <c r="W178" s="163"/>
      <c r="X178" s="163"/>
      <c r="Y178" s="163"/>
      <c r="Z178" s="163"/>
      <c r="AA178" s="163"/>
    </row>
    <row r="179" ht="14.25" customHeight="1">
      <c r="A179" s="164" t="s">
        <v>4663</v>
      </c>
      <c r="B179" s="108"/>
      <c r="C179" s="164" t="s">
        <v>4674</v>
      </c>
      <c r="D179" s="164" t="s">
        <v>271</v>
      </c>
      <c r="E179" s="165" t="s">
        <v>4666</v>
      </c>
      <c r="F179" s="164" t="s">
        <v>4667</v>
      </c>
      <c r="G179" s="164" t="s">
        <v>4675</v>
      </c>
      <c r="H179" s="164" t="s">
        <v>4669</v>
      </c>
      <c r="I179" s="164" t="s">
        <v>36</v>
      </c>
      <c r="J179" s="163"/>
      <c r="K179" s="164"/>
      <c r="L179" s="163"/>
      <c r="M179" s="163"/>
      <c r="N179" s="163"/>
      <c r="O179" s="163"/>
      <c r="P179" s="163"/>
      <c r="Q179" s="163"/>
      <c r="R179" s="163"/>
      <c r="S179" s="163"/>
      <c r="T179" s="163"/>
      <c r="U179" s="163"/>
      <c r="V179" s="163"/>
      <c r="W179" s="163"/>
      <c r="X179" s="163"/>
      <c r="Y179" s="163"/>
      <c r="Z179" s="163"/>
      <c r="AA179" s="163"/>
    </row>
    <row r="180" ht="14.25" customHeight="1">
      <c r="A180" s="164" t="s">
        <v>4663</v>
      </c>
      <c r="B180" s="109"/>
      <c r="C180" s="164" t="s">
        <v>4676</v>
      </c>
      <c r="D180" s="164" t="s">
        <v>271</v>
      </c>
      <c r="E180" s="165" t="s">
        <v>4666</v>
      </c>
      <c r="F180" s="164" t="s">
        <v>4667</v>
      </c>
      <c r="G180" s="164" t="s">
        <v>4677</v>
      </c>
      <c r="H180" s="164" t="s">
        <v>4669</v>
      </c>
      <c r="I180" s="164" t="s">
        <v>36</v>
      </c>
      <c r="J180" s="163"/>
      <c r="K180" s="164"/>
      <c r="L180" s="163"/>
      <c r="M180" s="163"/>
      <c r="N180" s="163"/>
      <c r="O180" s="163"/>
      <c r="P180" s="163"/>
      <c r="Q180" s="163"/>
      <c r="R180" s="163"/>
      <c r="S180" s="163"/>
      <c r="T180" s="163"/>
      <c r="U180" s="163"/>
      <c r="V180" s="163"/>
      <c r="W180" s="163"/>
      <c r="X180" s="163"/>
      <c r="Y180" s="163"/>
      <c r="Z180" s="163"/>
      <c r="AA180" s="163"/>
    </row>
    <row r="181" ht="14.25" customHeight="1">
      <c r="A181" s="147" t="s">
        <v>4678</v>
      </c>
      <c r="B181" s="166" t="s">
        <v>4679</v>
      </c>
      <c r="C181" s="171" t="s">
        <v>4680</v>
      </c>
      <c r="D181" s="164" t="s">
        <v>2482</v>
      </c>
      <c r="E181" s="165" t="s">
        <v>4681</v>
      </c>
      <c r="F181" s="185"/>
      <c r="G181" s="185" t="s">
        <v>4682</v>
      </c>
      <c r="H181" s="185" t="s">
        <v>4683</v>
      </c>
      <c r="I181" s="164" t="s">
        <v>36</v>
      </c>
      <c r="J181" s="163"/>
      <c r="K181" s="164"/>
      <c r="L181" s="163"/>
      <c r="M181" s="163"/>
      <c r="N181" s="163"/>
      <c r="O181" s="163"/>
      <c r="P181" s="163"/>
      <c r="Q181" s="163"/>
      <c r="R181" s="163"/>
      <c r="S181" s="163"/>
      <c r="T181" s="163"/>
      <c r="U181" s="163"/>
      <c r="V181" s="163"/>
      <c r="W181" s="163"/>
      <c r="X181" s="163"/>
      <c r="Y181" s="163"/>
      <c r="Z181" s="163"/>
      <c r="AA181" s="163"/>
    </row>
    <row r="182" ht="14.25" customHeight="1">
      <c r="A182" s="147" t="s">
        <v>4678</v>
      </c>
      <c r="B182" s="109"/>
      <c r="C182" s="171" t="s">
        <v>4684</v>
      </c>
      <c r="D182" s="164" t="s">
        <v>271</v>
      </c>
      <c r="E182" s="165" t="s">
        <v>4681</v>
      </c>
      <c r="F182" s="185"/>
      <c r="G182" s="185" t="s">
        <v>4685</v>
      </c>
      <c r="H182" s="185" t="s">
        <v>4683</v>
      </c>
      <c r="I182" s="164" t="s">
        <v>36</v>
      </c>
      <c r="J182" s="163"/>
      <c r="K182" s="164"/>
      <c r="L182" s="163"/>
      <c r="M182" s="163"/>
      <c r="N182" s="163"/>
      <c r="O182" s="163"/>
      <c r="P182" s="163"/>
      <c r="Q182" s="163"/>
      <c r="R182" s="163"/>
      <c r="S182" s="163"/>
      <c r="T182" s="163"/>
      <c r="U182" s="163"/>
      <c r="V182" s="163"/>
      <c r="W182" s="163"/>
      <c r="X182" s="163"/>
      <c r="Y182" s="163"/>
      <c r="Z182" s="163"/>
      <c r="AA182" s="163"/>
    </row>
    <row r="183" ht="14.25" customHeight="1">
      <c r="A183" s="164" t="s">
        <v>4647</v>
      </c>
      <c r="B183" s="166"/>
      <c r="C183" s="147" t="s">
        <v>4649</v>
      </c>
      <c r="D183" s="164" t="s">
        <v>271</v>
      </c>
      <c r="E183" s="165" t="s">
        <v>4650</v>
      </c>
      <c r="F183" s="165"/>
      <c r="G183" s="165" t="s">
        <v>4651</v>
      </c>
      <c r="H183" s="165" t="s">
        <v>4652</v>
      </c>
      <c r="I183" s="165" t="s">
        <v>36</v>
      </c>
      <c r="J183" s="163"/>
      <c r="K183" s="163"/>
      <c r="L183" s="163"/>
      <c r="M183" s="163"/>
      <c r="N183" s="163"/>
      <c r="O183" s="163"/>
      <c r="P183" s="163"/>
      <c r="Q183" s="163"/>
      <c r="R183" s="163"/>
      <c r="S183" s="163"/>
      <c r="T183" s="163"/>
      <c r="U183" s="163"/>
      <c r="V183" s="163"/>
      <c r="W183" s="163"/>
      <c r="X183" s="163"/>
      <c r="Y183" s="163"/>
      <c r="Z183" s="163"/>
      <c r="AA183" s="163"/>
    </row>
    <row r="184" ht="14.25" customHeight="1">
      <c r="A184" s="164" t="s">
        <v>4647</v>
      </c>
      <c r="B184" s="109"/>
      <c r="C184" s="147" t="s">
        <v>4653</v>
      </c>
      <c r="D184" s="164" t="s">
        <v>271</v>
      </c>
      <c r="E184" s="165" t="s">
        <v>4650</v>
      </c>
      <c r="F184" s="165"/>
      <c r="G184" s="165" t="s">
        <v>4661</v>
      </c>
      <c r="H184" s="165" t="s">
        <v>4662</v>
      </c>
      <c r="I184" s="165" t="s">
        <v>36</v>
      </c>
      <c r="J184" s="163"/>
      <c r="K184" s="163"/>
      <c r="L184" s="163"/>
      <c r="M184" s="163"/>
      <c r="N184" s="163"/>
      <c r="O184" s="163"/>
      <c r="P184" s="163"/>
      <c r="Q184" s="163"/>
      <c r="R184" s="163"/>
      <c r="S184" s="163"/>
      <c r="T184" s="163"/>
      <c r="U184" s="163"/>
      <c r="V184" s="163"/>
      <c r="W184" s="163"/>
      <c r="X184" s="163"/>
      <c r="Y184" s="163"/>
      <c r="Z184" s="163"/>
      <c r="AA184" s="163"/>
    </row>
    <row r="185" ht="14.25" customHeight="1">
      <c r="A185" s="213"/>
      <c r="B185" s="163"/>
      <c r="C185" s="164"/>
      <c r="D185" s="164"/>
      <c r="E185" s="214"/>
      <c r="F185" s="215"/>
      <c r="G185" s="215"/>
      <c r="H185" s="163"/>
      <c r="I185" s="163"/>
      <c r="J185" s="163"/>
      <c r="K185" s="163"/>
      <c r="L185" s="163"/>
      <c r="M185" s="163"/>
      <c r="N185" s="163"/>
      <c r="O185" s="163"/>
      <c r="P185" s="163"/>
      <c r="Q185" s="163"/>
      <c r="R185" s="163"/>
      <c r="S185" s="163"/>
      <c r="T185" s="163"/>
      <c r="U185" s="163"/>
      <c r="V185" s="163"/>
      <c r="W185" s="163"/>
      <c r="X185" s="163"/>
      <c r="Y185" s="163"/>
      <c r="Z185" s="163"/>
      <c r="AA185" s="163"/>
    </row>
    <row r="186" ht="14.25" customHeight="1">
      <c r="A186" s="216"/>
      <c r="B186" s="163"/>
      <c r="C186" s="164" t="s">
        <v>4686</v>
      </c>
      <c r="D186" s="164"/>
      <c r="E186" s="214" t="s">
        <v>4631</v>
      </c>
      <c r="F186" s="215" t="s">
        <v>4687</v>
      </c>
      <c r="G186" s="215" t="s">
        <v>4688</v>
      </c>
      <c r="H186" s="163" t="s">
        <v>4689</v>
      </c>
      <c r="I186" s="164" t="s">
        <v>36</v>
      </c>
      <c r="J186" s="163"/>
      <c r="K186" s="163"/>
      <c r="L186" s="163"/>
      <c r="M186" s="163"/>
      <c r="N186" s="163"/>
      <c r="O186" s="163"/>
      <c r="P186" s="163"/>
      <c r="Q186" s="163"/>
      <c r="R186" s="163"/>
      <c r="S186" s="163"/>
      <c r="T186" s="163"/>
      <c r="U186" s="163"/>
      <c r="V186" s="163"/>
      <c r="W186" s="163"/>
      <c r="X186" s="163"/>
      <c r="Y186" s="163"/>
      <c r="Z186" s="163"/>
      <c r="AA186" s="163"/>
    </row>
    <row r="187" ht="14.25" customHeight="1">
      <c r="A187" s="216"/>
      <c r="B187" s="163"/>
      <c r="C187" s="164" t="s">
        <v>4690</v>
      </c>
      <c r="D187" s="163"/>
      <c r="E187" s="215" t="s">
        <v>4631</v>
      </c>
      <c r="F187" s="163" t="s">
        <v>4691</v>
      </c>
      <c r="G187" s="163" t="s">
        <v>4692</v>
      </c>
      <c r="H187" s="163" t="s">
        <v>4693</v>
      </c>
      <c r="I187" s="164" t="s">
        <v>36</v>
      </c>
      <c r="J187" s="163"/>
      <c r="K187" s="163"/>
      <c r="L187" s="163"/>
      <c r="M187" s="163"/>
      <c r="N187" s="163"/>
      <c r="O187" s="163"/>
      <c r="P187" s="163"/>
      <c r="Q187" s="163"/>
      <c r="R187" s="163"/>
      <c r="S187" s="163"/>
      <c r="T187" s="163"/>
      <c r="U187" s="163"/>
      <c r="V187" s="163"/>
      <c r="W187" s="163"/>
      <c r="X187" s="163"/>
      <c r="Y187" s="163"/>
      <c r="Z187" s="163"/>
      <c r="AA187" s="163"/>
    </row>
    <row r="188" ht="14.25" customHeight="1">
      <c r="A188" s="216"/>
      <c r="B188" s="163"/>
      <c r="C188" s="164" t="s">
        <v>4694</v>
      </c>
      <c r="D188" s="163"/>
      <c r="E188" s="215" t="s">
        <v>4695</v>
      </c>
      <c r="F188" s="163" t="s">
        <v>4696</v>
      </c>
      <c r="G188" s="163" t="s">
        <v>4697</v>
      </c>
      <c r="H188" s="163" t="s">
        <v>4698</v>
      </c>
      <c r="I188" s="164" t="s">
        <v>36</v>
      </c>
      <c r="J188" s="163"/>
      <c r="K188" s="163"/>
      <c r="L188" s="163"/>
      <c r="M188" s="163"/>
      <c r="N188" s="163"/>
      <c r="O188" s="163"/>
      <c r="P188" s="163"/>
      <c r="Q188" s="163"/>
      <c r="R188" s="163"/>
      <c r="S188" s="163"/>
      <c r="T188" s="163"/>
      <c r="U188" s="163"/>
      <c r="V188" s="163"/>
      <c r="W188" s="163"/>
      <c r="X188" s="163"/>
      <c r="Y188" s="163"/>
      <c r="Z188" s="163"/>
      <c r="AA188" s="163"/>
    </row>
    <row r="189" ht="14.25" customHeight="1">
      <c r="A189" s="216"/>
      <c r="B189" s="163"/>
      <c r="C189" s="164" t="s">
        <v>4699</v>
      </c>
      <c r="D189" s="163"/>
      <c r="E189" s="215" t="s">
        <v>4695</v>
      </c>
      <c r="F189" s="163" t="s">
        <v>4700</v>
      </c>
      <c r="G189" s="163" t="s">
        <v>4701</v>
      </c>
      <c r="H189" s="163" t="s">
        <v>4702</v>
      </c>
      <c r="I189" s="164" t="s">
        <v>36</v>
      </c>
      <c r="J189" s="163"/>
      <c r="K189" s="163"/>
      <c r="L189" s="163"/>
      <c r="M189" s="163"/>
      <c r="N189" s="163"/>
      <c r="O189" s="163"/>
      <c r="P189" s="163"/>
      <c r="Q189" s="163"/>
      <c r="R189" s="163"/>
      <c r="S189" s="163"/>
      <c r="T189" s="163"/>
      <c r="U189" s="163"/>
      <c r="V189" s="163"/>
      <c r="W189" s="163"/>
      <c r="X189" s="163"/>
      <c r="Y189" s="163"/>
      <c r="Z189" s="163"/>
      <c r="AA189" s="163"/>
    </row>
    <row r="190" ht="14.25" customHeight="1">
      <c r="A190" s="216"/>
      <c r="B190" s="163"/>
      <c r="C190" s="164" t="s">
        <v>4703</v>
      </c>
      <c r="D190" s="163"/>
      <c r="E190" s="215" t="s">
        <v>4695</v>
      </c>
      <c r="F190" s="163" t="s">
        <v>4704</v>
      </c>
      <c r="G190" s="163" t="s">
        <v>4705</v>
      </c>
      <c r="H190" s="163" t="s">
        <v>4706</v>
      </c>
      <c r="I190" s="164" t="s">
        <v>36</v>
      </c>
      <c r="J190" s="163"/>
      <c r="K190" s="163"/>
      <c r="L190" s="163"/>
      <c r="M190" s="163"/>
      <c r="N190" s="163"/>
      <c r="O190" s="163"/>
      <c r="P190" s="163"/>
      <c r="Q190" s="163"/>
      <c r="R190" s="163"/>
      <c r="S190" s="163"/>
      <c r="T190" s="163"/>
      <c r="U190" s="163"/>
      <c r="V190" s="163"/>
      <c r="W190" s="163"/>
      <c r="X190" s="163"/>
      <c r="Y190" s="163"/>
      <c r="Z190" s="163"/>
      <c r="AA190" s="163"/>
    </row>
    <row r="191" ht="14.25" customHeight="1">
      <c r="A191" s="216"/>
      <c r="B191" s="163"/>
      <c r="C191" s="164" t="s">
        <v>4707</v>
      </c>
      <c r="D191" s="163"/>
      <c r="E191" s="215" t="s">
        <v>4708</v>
      </c>
      <c r="F191" s="217" t="s">
        <v>4709</v>
      </c>
      <c r="G191" s="218" t="s">
        <v>4710</v>
      </c>
      <c r="H191" s="163" t="s">
        <v>4711</v>
      </c>
      <c r="I191" s="164" t="s">
        <v>36</v>
      </c>
      <c r="J191" s="163"/>
      <c r="K191" s="163"/>
      <c r="L191" s="163"/>
      <c r="M191" s="163"/>
      <c r="N191" s="163"/>
      <c r="O191" s="163"/>
      <c r="P191" s="163"/>
      <c r="Q191" s="163"/>
      <c r="R191" s="163"/>
      <c r="S191" s="163"/>
      <c r="T191" s="163"/>
      <c r="U191" s="163"/>
      <c r="V191" s="163"/>
      <c r="W191" s="163"/>
      <c r="X191" s="163"/>
      <c r="Y191" s="163"/>
      <c r="Z191" s="163"/>
      <c r="AA191" s="163"/>
    </row>
    <row r="192" ht="14.25" customHeight="1">
      <c r="A192" s="216"/>
      <c r="B192" s="163"/>
      <c r="C192" s="164" t="s">
        <v>4712</v>
      </c>
      <c r="D192" s="163"/>
      <c r="E192" s="215" t="s">
        <v>4708</v>
      </c>
      <c r="F192" s="217" t="s">
        <v>4709</v>
      </c>
      <c r="G192" s="163" t="s">
        <v>4713</v>
      </c>
      <c r="H192" s="163" t="s">
        <v>4711</v>
      </c>
      <c r="I192" s="164" t="s">
        <v>36</v>
      </c>
      <c r="J192" s="163"/>
      <c r="K192" s="163"/>
      <c r="L192" s="163"/>
      <c r="M192" s="163"/>
      <c r="N192" s="163"/>
      <c r="O192" s="163"/>
      <c r="P192" s="163"/>
      <c r="Q192" s="163"/>
      <c r="R192" s="163"/>
      <c r="S192" s="163"/>
      <c r="T192" s="163"/>
      <c r="U192" s="163"/>
      <c r="V192" s="163"/>
      <c r="W192" s="163"/>
      <c r="X192" s="163"/>
      <c r="Y192" s="163"/>
      <c r="Z192" s="163"/>
      <c r="AA192" s="163"/>
    </row>
    <row r="193" ht="14.25" customHeight="1">
      <c r="A193" s="216"/>
      <c r="B193" s="163"/>
      <c r="C193" s="164" t="s">
        <v>4714</v>
      </c>
      <c r="D193" s="163"/>
      <c r="E193" s="219" t="s">
        <v>4090</v>
      </c>
      <c r="F193" s="163" t="s">
        <v>4715</v>
      </c>
      <c r="G193" s="163" t="s">
        <v>4716</v>
      </c>
      <c r="H193" s="163" t="s">
        <v>4717</v>
      </c>
      <c r="I193" s="164" t="s">
        <v>36</v>
      </c>
      <c r="J193" s="163"/>
      <c r="K193" s="163"/>
      <c r="L193" s="163"/>
      <c r="M193" s="163"/>
      <c r="N193" s="163"/>
      <c r="O193" s="163"/>
      <c r="P193" s="163"/>
      <c r="Q193" s="163"/>
      <c r="R193" s="163"/>
      <c r="S193" s="163"/>
      <c r="T193" s="163"/>
      <c r="U193" s="163"/>
      <c r="V193" s="163"/>
      <c r="W193" s="163"/>
      <c r="X193" s="163"/>
      <c r="Y193" s="163"/>
      <c r="Z193" s="163"/>
      <c r="AA193" s="163"/>
    </row>
    <row r="194" ht="14.25" customHeight="1">
      <c r="A194" s="216"/>
      <c r="B194" s="163"/>
      <c r="C194" s="164" t="s">
        <v>4718</v>
      </c>
      <c r="D194" s="163"/>
      <c r="E194" s="219" t="s">
        <v>4090</v>
      </c>
      <c r="F194" s="163" t="s">
        <v>4715</v>
      </c>
      <c r="G194" s="163" t="s">
        <v>4719</v>
      </c>
      <c r="H194" s="163" t="s">
        <v>4720</v>
      </c>
      <c r="I194" s="164" t="s">
        <v>36</v>
      </c>
      <c r="J194" s="164"/>
      <c r="K194" s="163"/>
      <c r="L194" s="163"/>
      <c r="M194" s="163"/>
      <c r="N194" s="163"/>
      <c r="O194" s="163"/>
      <c r="P194" s="163"/>
      <c r="Q194" s="163"/>
      <c r="R194" s="163"/>
      <c r="S194" s="163"/>
      <c r="T194" s="163"/>
      <c r="U194" s="163"/>
      <c r="V194" s="163"/>
      <c r="W194" s="163"/>
      <c r="X194" s="163"/>
      <c r="Y194" s="163"/>
      <c r="Z194" s="163"/>
      <c r="AA194" s="163"/>
    </row>
    <row r="195" ht="14.25" customHeight="1">
      <c r="A195" s="216"/>
      <c r="B195" s="163"/>
      <c r="C195" s="164" t="s">
        <v>4721</v>
      </c>
      <c r="D195" s="163"/>
      <c r="E195" s="219" t="s">
        <v>4090</v>
      </c>
      <c r="F195" s="163" t="s">
        <v>4715</v>
      </c>
      <c r="G195" s="163" t="s">
        <v>4722</v>
      </c>
      <c r="H195" s="163" t="s">
        <v>4723</v>
      </c>
      <c r="I195" s="164" t="s">
        <v>36</v>
      </c>
      <c r="J195" s="163"/>
      <c r="K195" s="164" t="s">
        <v>4724</v>
      </c>
      <c r="L195" s="163"/>
      <c r="M195" s="163"/>
      <c r="N195" s="163"/>
      <c r="O195" s="163"/>
      <c r="P195" s="163"/>
      <c r="Q195" s="163"/>
      <c r="R195" s="163"/>
      <c r="S195" s="163"/>
      <c r="T195" s="163"/>
      <c r="U195" s="163"/>
      <c r="V195" s="163"/>
      <c r="W195" s="163"/>
      <c r="X195" s="163"/>
      <c r="Y195" s="163"/>
      <c r="Z195" s="163"/>
      <c r="AA195" s="163"/>
    </row>
    <row r="196" ht="14.25" customHeight="1">
      <c r="A196" s="163"/>
      <c r="B196" s="163"/>
      <c r="C196" s="164" t="s">
        <v>4725</v>
      </c>
      <c r="D196" s="163"/>
      <c r="E196" s="219" t="s">
        <v>4090</v>
      </c>
      <c r="F196" s="163" t="s">
        <v>4726</v>
      </c>
      <c r="G196" s="163" t="s">
        <v>4727</v>
      </c>
      <c r="H196" s="163" t="s">
        <v>4728</v>
      </c>
      <c r="I196" s="164" t="s">
        <v>36</v>
      </c>
      <c r="J196" s="163"/>
      <c r="K196" s="163"/>
      <c r="L196" s="163"/>
      <c r="M196" s="163"/>
      <c r="N196" s="163"/>
      <c r="O196" s="163"/>
      <c r="P196" s="163"/>
      <c r="Q196" s="163"/>
      <c r="R196" s="163"/>
      <c r="S196" s="163"/>
      <c r="T196" s="163"/>
      <c r="U196" s="163"/>
      <c r="V196" s="163"/>
      <c r="W196" s="163"/>
      <c r="X196" s="163"/>
      <c r="Y196" s="163"/>
      <c r="Z196" s="163"/>
      <c r="AA196" s="163"/>
    </row>
    <row r="197" ht="14.25" customHeight="1">
      <c r="A197" s="163"/>
      <c r="B197" s="163"/>
      <c r="C197" s="164" t="s">
        <v>4729</v>
      </c>
      <c r="D197" s="163"/>
      <c r="E197" s="219" t="s">
        <v>4730</v>
      </c>
      <c r="F197" s="163" t="s">
        <v>4731</v>
      </c>
      <c r="G197" s="164" t="s">
        <v>4732</v>
      </c>
      <c r="H197" s="163" t="s">
        <v>4733</v>
      </c>
      <c r="I197" s="164" t="s">
        <v>36</v>
      </c>
      <c r="J197" s="163"/>
      <c r="K197" s="163"/>
      <c r="L197" s="163"/>
      <c r="M197" s="163"/>
      <c r="N197" s="163"/>
      <c r="O197" s="163"/>
      <c r="P197" s="163"/>
      <c r="Q197" s="163"/>
      <c r="R197" s="163"/>
      <c r="S197" s="163"/>
      <c r="T197" s="163"/>
      <c r="U197" s="163"/>
      <c r="V197" s="163"/>
      <c r="W197" s="163"/>
      <c r="X197" s="163"/>
      <c r="Y197" s="163"/>
      <c r="Z197" s="163"/>
      <c r="AA197" s="163"/>
    </row>
    <row r="198" ht="14.25" customHeight="1">
      <c r="A198" s="163"/>
      <c r="B198" s="163"/>
      <c r="C198" s="164" t="s">
        <v>4734</v>
      </c>
      <c r="D198" s="163"/>
      <c r="E198" s="219" t="s">
        <v>4730</v>
      </c>
      <c r="F198" s="163" t="s">
        <v>4735</v>
      </c>
      <c r="G198" s="163" t="s">
        <v>4736</v>
      </c>
      <c r="H198" s="163" t="s">
        <v>4737</v>
      </c>
      <c r="I198" s="164" t="s">
        <v>36</v>
      </c>
      <c r="J198" s="163"/>
      <c r="K198" s="163"/>
      <c r="L198" s="163"/>
      <c r="M198" s="163"/>
      <c r="N198" s="163"/>
      <c r="O198" s="163"/>
      <c r="P198" s="163"/>
      <c r="Q198" s="163"/>
      <c r="R198" s="163"/>
      <c r="S198" s="163"/>
      <c r="T198" s="163"/>
      <c r="U198" s="163"/>
      <c r="V198" s="163"/>
      <c r="W198" s="163"/>
      <c r="X198" s="163"/>
      <c r="Y198" s="163"/>
      <c r="Z198" s="163"/>
      <c r="AA198" s="163"/>
    </row>
    <row r="199" ht="14.25" customHeight="1">
      <c r="A199" s="163"/>
      <c r="B199" s="163"/>
      <c r="C199" s="164" t="s">
        <v>4738</v>
      </c>
      <c r="D199" s="163"/>
      <c r="E199" s="219" t="s">
        <v>4730</v>
      </c>
      <c r="F199" s="163" t="s">
        <v>4739</v>
      </c>
      <c r="G199" s="163" t="s">
        <v>4740</v>
      </c>
      <c r="H199" s="163" t="s">
        <v>4741</v>
      </c>
      <c r="I199" s="164" t="s">
        <v>36</v>
      </c>
      <c r="J199" s="163"/>
      <c r="K199" s="163"/>
      <c r="L199" s="163"/>
      <c r="M199" s="163"/>
      <c r="N199" s="163"/>
      <c r="O199" s="163"/>
      <c r="P199" s="163"/>
      <c r="Q199" s="163"/>
      <c r="R199" s="163"/>
      <c r="S199" s="163"/>
      <c r="T199" s="163"/>
      <c r="U199" s="163"/>
      <c r="V199" s="163"/>
      <c r="W199" s="163"/>
      <c r="X199" s="163"/>
      <c r="Y199" s="163"/>
      <c r="Z199" s="163"/>
      <c r="AA199" s="163"/>
    </row>
    <row r="200" ht="14.25" customHeight="1">
      <c r="A200" s="163"/>
      <c r="B200" s="163"/>
      <c r="C200" s="164" t="s">
        <v>4742</v>
      </c>
      <c r="D200" s="163"/>
      <c r="E200" s="219" t="s">
        <v>4730</v>
      </c>
      <c r="F200" s="163" t="s">
        <v>4743</v>
      </c>
      <c r="G200" s="163" t="s">
        <v>4744</v>
      </c>
      <c r="H200" s="163" t="s">
        <v>4745</v>
      </c>
      <c r="I200" s="164" t="s">
        <v>36</v>
      </c>
      <c r="J200" s="163"/>
      <c r="K200" s="163"/>
      <c r="L200" s="163"/>
      <c r="M200" s="163"/>
      <c r="N200" s="163"/>
      <c r="O200" s="163"/>
      <c r="P200" s="163"/>
      <c r="Q200" s="163"/>
      <c r="R200" s="163"/>
      <c r="S200" s="163"/>
      <c r="T200" s="163"/>
      <c r="U200" s="163"/>
      <c r="V200" s="163"/>
      <c r="W200" s="163"/>
      <c r="X200" s="163"/>
      <c r="Y200" s="163"/>
      <c r="Z200" s="163"/>
      <c r="AA200" s="163"/>
    </row>
    <row r="201" ht="14.25" customHeight="1">
      <c r="A201" s="163"/>
      <c r="B201" s="163"/>
      <c r="C201" s="164" t="s">
        <v>4746</v>
      </c>
      <c r="D201" s="163"/>
      <c r="E201" s="219" t="s">
        <v>4730</v>
      </c>
      <c r="F201" s="163" t="s">
        <v>4743</v>
      </c>
      <c r="G201" s="163" t="s">
        <v>4747</v>
      </c>
      <c r="H201" s="163" t="s">
        <v>4748</v>
      </c>
      <c r="I201" s="164" t="s">
        <v>36</v>
      </c>
      <c r="J201" s="163"/>
      <c r="K201" s="163"/>
      <c r="L201" s="163"/>
      <c r="M201" s="163"/>
      <c r="N201" s="163"/>
      <c r="O201" s="163"/>
      <c r="P201" s="163"/>
      <c r="Q201" s="163"/>
      <c r="R201" s="163"/>
      <c r="S201" s="163"/>
      <c r="T201" s="163"/>
      <c r="U201" s="163"/>
      <c r="V201" s="163"/>
      <c r="W201" s="163"/>
      <c r="X201" s="163"/>
      <c r="Y201" s="163"/>
      <c r="Z201" s="163"/>
      <c r="AA201" s="163"/>
    </row>
    <row r="202" ht="14.25" customHeight="1">
      <c r="A202" s="163"/>
      <c r="B202" s="163"/>
      <c r="C202" s="164" t="s">
        <v>4749</v>
      </c>
      <c r="D202" s="163"/>
      <c r="E202" s="219" t="s">
        <v>4730</v>
      </c>
      <c r="F202" s="163" t="s">
        <v>4743</v>
      </c>
      <c r="G202" s="163" t="s">
        <v>4750</v>
      </c>
      <c r="H202" s="163" t="s">
        <v>4751</v>
      </c>
      <c r="I202" s="164" t="s">
        <v>36</v>
      </c>
      <c r="J202" s="163"/>
      <c r="K202" s="163"/>
      <c r="L202" s="163"/>
      <c r="M202" s="163"/>
      <c r="N202" s="163"/>
      <c r="O202" s="163"/>
      <c r="P202" s="163"/>
      <c r="Q202" s="163"/>
      <c r="R202" s="163"/>
      <c r="S202" s="163"/>
      <c r="T202" s="163"/>
      <c r="U202" s="163"/>
      <c r="V202" s="163"/>
      <c r="W202" s="163"/>
      <c r="X202" s="163"/>
      <c r="Y202" s="163"/>
      <c r="Z202" s="163"/>
      <c r="AA202" s="163"/>
    </row>
    <row r="203" ht="14.25" customHeight="1">
      <c r="A203" s="163"/>
      <c r="B203" s="163"/>
      <c r="C203" s="164" t="s">
        <v>4752</v>
      </c>
      <c r="D203" s="163"/>
      <c r="E203" s="219" t="s">
        <v>4730</v>
      </c>
      <c r="F203" s="163" t="s">
        <v>4731</v>
      </c>
      <c r="G203" s="163" t="s">
        <v>4753</v>
      </c>
      <c r="H203" s="163" t="s">
        <v>4754</v>
      </c>
      <c r="I203" s="164" t="s">
        <v>36</v>
      </c>
      <c r="J203" s="163"/>
      <c r="K203" s="163"/>
      <c r="L203" s="163"/>
      <c r="M203" s="163"/>
      <c r="N203" s="163"/>
      <c r="O203" s="163"/>
      <c r="P203" s="163"/>
      <c r="Q203" s="163"/>
      <c r="R203" s="163"/>
      <c r="S203" s="163"/>
      <c r="T203" s="163"/>
      <c r="U203" s="163"/>
      <c r="V203" s="163"/>
      <c r="W203" s="163"/>
      <c r="X203" s="163"/>
      <c r="Y203" s="163"/>
      <c r="Z203" s="163"/>
      <c r="AA203" s="163"/>
    </row>
    <row r="204" ht="14.25" customHeight="1">
      <c r="A204" s="163"/>
      <c r="B204" s="163"/>
      <c r="C204" s="164" t="s">
        <v>4755</v>
      </c>
      <c r="D204" s="163"/>
      <c r="E204" s="215" t="s">
        <v>4756</v>
      </c>
      <c r="F204" s="163" t="s">
        <v>4757</v>
      </c>
      <c r="G204" s="163" t="s">
        <v>4758</v>
      </c>
      <c r="H204" s="163" t="s">
        <v>4759</v>
      </c>
      <c r="I204" s="164" t="s">
        <v>36</v>
      </c>
      <c r="J204" s="163"/>
      <c r="K204" s="163"/>
      <c r="L204" s="163"/>
      <c r="M204" s="163"/>
      <c r="N204" s="163"/>
      <c r="O204" s="163"/>
      <c r="P204" s="163"/>
      <c r="Q204" s="163"/>
      <c r="R204" s="163"/>
      <c r="S204" s="163"/>
      <c r="T204" s="163"/>
      <c r="U204" s="163"/>
      <c r="V204" s="163"/>
      <c r="W204" s="163"/>
      <c r="X204" s="163"/>
      <c r="Y204" s="163"/>
      <c r="Z204" s="163"/>
      <c r="AA204" s="163"/>
    </row>
    <row r="205" ht="14.25" customHeight="1">
      <c r="A205" s="163"/>
      <c r="B205" s="163"/>
      <c r="C205" s="164" t="s">
        <v>4760</v>
      </c>
      <c r="D205" s="163"/>
      <c r="E205" s="215" t="s">
        <v>4756</v>
      </c>
      <c r="F205" s="163" t="s">
        <v>4761</v>
      </c>
      <c r="G205" s="163" t="s">
        <v>4756</v>
      </c>
      <c r="H205" s="163" t="s">
        <v>4762</v>
      </c>
      <c r="I205" s="164" t="s">
        <v>36</v>
      </c>
      <c r="J205" s="163"/>
      <c r="K205" s="163"/>
      <c r="L205" s="163"/>
      <c r="M205" s="163"/>
      <c r="N205" s="163"/>
      <c r="O205" s="163"/>
      <c r="P205" s="163"/>
      <c r="Q205" s="163"/>
      <c r="R205" s="163"/>
      <c r="S205" s="163"/>
      <c r="T205" s="163"/>
      <c r="U205" s="163"/>
      <c r="V205" s="163"/>
      <c r="W205" s="163"/>
      <c r="X205" s="163"/>
      <c r="Y205" s="163"/>
      <c r="Z205" s="163"/>
      <c r="AA205" s="163"/>
    </row>
    <row r="206" ht="14.25" customHeight="1">
      <c r="A206" s="163"/>
      <c r="B206" s="163"/>
      <c r="C206" s="164" t="s">
        <v>4763</v>
      </c>
      <c r="D206" s="163"/>
      <c r="E206" s="215" t="s">
        <v>4756</v>
      </c>
      <c r="F206" s="163" t="s">
        <v>4764</v>
      </c>
      <c r="G206" s="163" t="s">
        <v>4756</v>
      </c>
      <c r="H206" s="163" t="s">
        <v>4762</v>
      </c>
      <c r="I206" s="164" t="s">
        <v>36</v>
      </c>
      <c r="J206" s="163"/>
      <c r="K206" s="163"/>
      <c r="L206" s="163"/>
      <c r="M206" s="163"/>
      <c r="N206" s="163"/>
      <c r="O206" s="163"/>
      <c r="P206" s="163"/>
      <c r="Q206" s="163"/>
      <c r="R206" s="163"/>
      <c r="S206" s="163"/>
      <c r="T206" s="163"/>
      <c r="U206" s="163"/>
      <c r="V206" s="163"/>
      <c r="W206" s="163"/>
      <c r="X206" s="163"/>
      <c r="Y206" s="163"/>
      <c r="Z206" s="163"/>
      <c r="AA206" s="163"/>
    </row>
    <row r="207" ht="14.25" customHeight="1">
      <c r="A207" s="163"/>
      <c r="B207" s="163"/>
      <c r="C207" s="164" t="s">
        <v>4765</v>
      </c>
      <c r="D207" s="163"/>
      <c r="E207" s="215" t="s">
        <v>4756</v>
      </c>
      <c r="F207" s="163" t="s">
        <v>4766</v>
      </c>
      <c r="G207" s="163" t="s">
        <v>4767</v>
      </c>
      <c r="H207" s="163" t="s">
        <v>4768</v>
      </c>
      <c r="I207" s="164" t="s">
        <v>36</v>
      </c>
      <c r="J207" s="163"/>
      <c r="K207" s="163"/>
      <c r="L207" s="163"/>
      <c r="M207" s="163"/>
      <c r="N207" s="163"/>
      <c r="O207" s="163"/>
      <c r="P207" s="163"/>
      <c r="Q207" s="163"/>
      <c r="R207" s="163"/>
      <c r="S207" s="163"/>
      <c r="T207" s="163"/>
      <c r="U207" s="163"/>
      <c r="V207" s="163"/>
      <c r="W207" s="163"/>
      <c r="X207" s="163"/>
      <c r="Y207" s="163"/>
      <c r="Z207" s="163"/>
      <c r="AA207" s="163"/>
    </row>
    <row r="208" ht="14.25" customHeight="1">
      <c r="A208" s="163"/>
      <c r="B208" s="163"/>
      <c r="C208" s="164" t="s">
        <v>4769</v>
      </c>
      <c r="D208" s="163"/>
      <c r="E208" s="215" t="s">
        <v>4756</v>
      </c>
      <c r="F208" s="163" t="s">
        <v>4770</v>
      </c>
      <c r="G208" s="163" t="s">
        <v>4771</v>
      </c>
      <c r="H208" s="163" t="s">
        <v>4772</v>
      </c>
      <c r="I208" s="164" t="s">
        <v>36</v>
      </c>
      <c r="J208" s="163"/>
      <c r="K208" s="163"/>
      <c r="L208" s="163"/>
      <c r="M208" s="163"/>
      <c r="N208" s="163"/>
      <c r="O208" s="163"/>
      <c r="P208" s="163"/>
      <c r="Q208" s="163"/>
      <c r="R208" s="163"/>
      <c r="S208" s="163"/>
      <c r="T208" s="163"/>
      <c r="U208" s="163"/>
      <c r="V208" s="163"/>
      <c r="W208" s="163"/>
      <c r="X208" s="163"/>
      <c r="Y208" s="163"/>
      <c r="Z208" s="163"/>
      <c r="AA208" s="163"/>
    </row>
    <row r="209" ht="14.25" customHeight="1">
      <c r="A209" s="164" t="s">
        <v>4773</v>
      </c>
      <c r="B209" s="163"/>
      <c r="C209" s="164" t="s">
        <v>4774</v>
      </c>
      <c r="D209" s="163"/>
      <c r="E209" s="215" t="s">
        <v>4093</v>
      </c>
      <c r="F209" s="163" t="s">
        <v>4775</v>
      </c>
      <c r="G209" s="163" t="s">
        <v>4776</v>
      </c>
      <c r="H209" s="163" t="s">
        <v>4777</v>
      </c>
      <c r="I209" s="164" t="s">
        <v>36</v>
      </c>
      <c r="J209" s="163"/>
      <c r="K209" s="163"/>
      <c r="L209" s="163"/>
      <c r="M209" s="163"/>
      <c r="N209" s="163"/>
      <c r="O209" s="163"/>
      <c r="P209" s="163"/>
      <c r="Q209" s="163"/>
      <c r="R209" s="163"/>
      <c r="S209" s="163"/>
      <c r="T209" s="163"/>
      <c r="U209" s="163"/>
      <c r="V209" s="163"/>
      <c r="W209" s="163"/>
      <c r="X209" s="163"/>
      <c r="Y209" s="163"/>
      <c r="Z209" s="163"/>
      <c r="AA209" s="163"/>
    </row>
    <row r="210" ht="14.25" customHeight="1">
      <c r="A210" s="164" t="s">
        <v>4773</v>
      </c>
      <c r="B210" s="163"/>
      <c r="C210" s="164" t="s">
        <v>4778</v>
      </c>
      <c r="D210" s="163"/>
      <c r="E210" s="215" t="s">
        <v>4093</v>
      </c>
      <c r="F210" s="163" t="s">
        <v>4779</v>
      </c>
      <c r="G210" s="163" t="s">
        <v>4780</v>
      </c>
      <c r="H210" s="163" t="s">
        <v>4781</v>
      </c>
      <c r="I210" s="164" t="s">
        <v>36</v>
      </c>
      <c r="J210" s="163"/>
      <c r="K210" s="163"/>
      <c r="L210" s="163"/>
      <c r="M210" s="163"/>
      <c r="N210" s="163"/>
      <c r="O210" s="163"/>
      <c r="P210" s="163"/>
      <c r="Q210" s="163"/>
      <c r="R210" s="163"/>
      <c r="S210" s="163"/>
      <c r="T210" s="163"/>
      <c r="U210" s="163"/>
      <c r="V210" s="163"/>
      <c r="W210" s="163"/>
      <c r="X210" s="163"/>
      <c r="Y210" s="163"/>
      <c r="Z210" s="163"/>
      <c r="AA210" s="163"/>
    </row>
    <row r="211" ht="14.25" customHeight="1">
      <c r="A211" s="164" t="s">
        <v>4773</v>
      </c>
      <c r="B211" s="163"/>
      <c r="C211" s="164" t="s">
        <v>4782</v>
      </c>
      <c r="D211" s="163"/>
      <c r="E211" s="215" t="s">
        <v>4093</v>
      </c>
      <c r="F211" s="163" t="s">
        <v>4783</v>
      </c>
      <c r="G211" s="163" t="s">
        <v>4784</v>
      </c>
      <c r="H211" s="163" t="s">
        <v>4785</v>
      </c>
      <c r="I211" s="164" t="s">
        <v>36</v>
      </c>
      <c r="J211" s="163"/>
      <c r="K211" s="163"/>
      <c r="L211" s="163"/>
      <c r="M211" s="163"/>
      <c r="N211" s="163"/>
      <c r="O211" s="163"/>
      <c r="P211" s="163"/>
      <c r="Q211" s="163"/>
      <c r="R211" s="163"/>
      <c r="S211" s="163"/>
      <c r="T211" s="163"/>
      <c r="U211" s="163"/>
      <c r="V211" s="163"/>
      <c r="W211" s="163"/>
      <c r="X211" s="163"/>
      <c r="Y211" s="163"/>
      <c r="Z211" s="163"/>
      <c r="AA211" s="163"/>
    </row>
    <row r="212" ht="14.25" customHeight="1">
      <c r="A212" s="164" t="s">
        <v>4773</v>
      </c>
      <c r="B212" s="163"/>
      <c r="C212" s="164" t="s">
        <v>4786</v>
      </c>
      <c r="D212" s="163"/>
      <c r="E212" s="215" t="s">
        <v>4093</v>
      </c>
      <c r="F212" s="163" t="s">
        <v>4783</v>
      </c>
      <c r="G212" s="163" t="s">
        <v>4787</v>
      </c>
      <c r="H212" s="163" t="s">
        <v>4788</v>
      </c>
      <c r="I212" s="164" t="s">
        <v>36</v>
      </c>
      <c r="J212" s="163"/>
      <c r="K212" s="163"/>
      <c r="L212" s="163"/>
      <c r="M212" s="163"/>
      <c r="N212" s="163"/>
      <c r="O212" s="163"/>
      <c r="P212" s="163"/>
      <c r="Q212" s="163"/>
      <c r="R212" s="163"/>
      <c r="S212" s="163"/>
      <c r="T212" s="163"/>
      <c r="U212" s="163"/>
      <c r="V212" s="163"/>
      <c r="W212" s="163"/>
      <c r="X212" s="163"/>
      <c r="Y212" s="163"/>
      <c r="Z212" s="163"/>
      <c r="AA212" s="163"/>
    </row>
    <row r="213" ht="14.25" customHeight="1">
      <c r="A213" s="164" t="s">
        <v>4773</v>
      </c>
      <c r="B213" s="163"/>
      <c r="C213" s="164" t="s">
        <v>4789</v>
      </c>
      <c r="D213" s="163"/>
      <c r="E213" s="215" t="s">
        <v>4093</v>
      </c>
      <c r="F213" s="163" t="s">
        <v>4790</v>
      </c>
      <c r="G213" s="163" t="s">
        <v>4791</v>
      </c>
      <c r="H213" s="163" t="s">
        <v>4792</v>
      </c>
      <c r="I213" s="164" t="s">
        <v>36</v>
      </c>
      <c r="J213" s="163"/>
      <c r="K213" s="163"/>
      <c r="L213" s="163"/>
      <c r="M213" s="163"/>
      <c r="N213" s="163"/>
      <c r="O213" s="163"/>
      <c r="P213" s="163"/>
      <c r="Q213" s="163"/>
      <c r="R213" s="163"/>
      <c r="S213" s="163"/>
      <c r="T213" s="163"/>
      <c r="U213" s="163"/>
      <c r="V213" s="163"/>
      <c r="W213" s="163"/>
      <c r="X213" s="163"/>
      <c r="Y213" s="163"/>
      <c r="Z213" s="163"/>
      <c r="AA213" s="163"/>
    </row>
    <row r="214" ht="14.25" customHeight="1">
      <c r="A214" s="164" t="s">
        <v>4773</v>
      </c>
      <c r="B214" s="163"/>
      <c r="C214" s="164" t="s">
        <v>4793</v>
      </c>
      <c r="D214" s="163"/>
      <c r="E214" s="215" t="s">
        <v>4093</v>
      </c>
      <c r="F214" s="163" t="s">
        <v>4794</v>
      </c>
      <c r="G214" s="163" t="s">
        <v>4795</v>
      </c>
      <c r="H214" s="163" t="s">
        <v>4796</v>
      </c>
      <c r="I214" s="164" t="s">
        <v>36</v>
      </c>
      <c r="J214" s="163"/>
      <c r="K214" s="163"/>
      <c r="L214" s="163"/>
      <c r="M214" s="163"/>
      <c r="N214" s="163"/>
      <c r="O214" s="163"/>
      <c r="P214" s="163"/>
      <c r="Q214" s="163"/>
      <c r="R214" s="163"/>
      <c r="S214" s="163"/>
      <c r="T214" s="163"/>
      <c r="U214" s="163"/>
      <c r="V214" s="163"/>
      <c r="W214" s="163"/>
      <c r="X214" s="163"/>
      <c r="Y214" s="163"/>
      <c r="Z214" s="163"/>
      <c r="AA214" s="163"/>
    </row>
    <row r="215" ht="14.25" customHeight="1">
      <c r="A215" s="164" t="s">
        <v>4773</v>
      </c>
      <c r="B215" s="163"/>
      <c r="C215" s="164" t="s">
        <v>4797</v>
      </c>
      <c r="D215" s="163"/>
      <c r="E215" s="215" t="s">
        <v>4093</v>
      </c>
      <c r="F215" s="163" t="s">
        <v>4794</v>
      </c>
      <c r="G215" s="163" t="s">
        <v>4798</v>
      </c>
      <c r="H215" s="163" t="s">
        <v>1037</v>
      </c>
      <c r="I215" s="164" t="s">
        <v>36</v>
      </c>
      <c r="J215" s="163"/>
      <c r="K215" s="163"/>
      <c r="L215" s="163"/>
      <c r="M215" s="163"/>
      <c r="N215" s="163"/>
      <c r="O215" s="163"/>
      <c r="P215" s="163"/>
      <c r="Q215" s="163"/>
      <c r="R215" s="163"/>
      <c r="S215" s="163"/>
      <c r="T215" s="163"/>
      <c r="U215" s="163"/>
      <c r="V215" s="163"/>
      <c r="W215" s="163"/>
      <c r="X215" s="163"/>
      <c r="Y215" s="163"/>
      <c r="Z215" s="163"/>
      <c r="AA215" s="163"/>
    </row>
    <row r="216" ht="14.25" customHeight="1">
      <c r="A216" s="164" t="s">
        <v>4773</v>
      </c>
      <c r="B216" s="163"/>
      <c r="C216" s="164" t="s">
        <v>4799</v>
      </c>
      <c r="D216" s="163"/>
      <c r="E216" s="215" t="s">
        <v>4093</v>
      </c>
      <c r="F216" s="163" t="s">
        <v>4794</v>
      </c>
      <c r="G216" s="163" t="s">
        <v>4800</v>
      </c>
      <c r="H216" s="163" t="s">
        <v>4801</v>
      </c>
      <c r="I216" s="164" t="s">
        <v>36</v>
      </c>
      <c r="J216" s="163"/>
      <c r="K216" s="163"/>
      <c r="L216" s="163"/>
      <c r="M216" s="163"/>
      <c r="N216" s="163"/>
      <c r="O216" s="163"/>
      <c r="P216" s="163"/>
      <c r="Q216" s="163"/>
      <c r="R216" s="163"/>
      <c r="S216" s="163"/>
      <c r="T216" s="163"/>
      <c r="U216" s="163"/>
      <c r="V216" s="163"/>
      <c r="W216" s="163"/>
      <c r="X216" s="163"/>
      <c r="Y216" s="163"/>
      <c r="Z216" s="163"/>
      <c r="AA216" s="163"/>
    </row>
    <row r="217" ht="14.25" customHeight="1">
      <c r="A217" s="164" t="s">
        <v>4773</v>
      </c>
      <c r="B217" s="163"/>
      <c r="C217" s="164" t="s">
        <v>4802</v>
      </c>
      <c r="D217" s="163"/>
      <c r="E217" s="215" t="s">
        <v>4093</v>
      </c>
      <c r="F217" s="163" t="s">
        <v>4794</v>
      </c>
      <c r="G217" s="163" t="s">
        <v>4803</v>
      </c>
      <c r="H217" s="163" t="s">
        <v>1037</v>
      </c>
      <c r="I217" s="164" t="s">
        <v>36</v>
      </c>
      <c r="J217" s="163"/>
      <c r="K217" s="163"/>
      <c r="L217" s="163"/>
      <c r="M217" s="163"/>
      <c r="N217" s="163"/>
      <c r="O217" s="163"/>
      <c r="P217" s="163"/>
      <c r="Q217" s="163"/>
      <c r="R217" s="163"/>
      <c r="S217" s="163"/>
      <c r="T217" s="163"/>
      <c r="U217" s="163"/>
      <c r="V217" s="163"/>
      <c r="W217" s="163"/>
      <c r="X217" s="163"/>
      <c r="Y217" s="163"/>
      <c r="Z217" s="163"/>
      <c r="AA217" s="163"/>
    </row>
    <row r="218" ht="14.25" customHeight="1">
      <c r="A218" s="164" t="s">
        <v>4773</v>
      </c>
      <c r="B218" s="163"/>
      <c r="C218" s="164" t="s">
        <v>4804</v>
      </c>
      <c r="D218" s="163"/>
      <c r="E218" s="215" t="s">
        <v>4093</v>
      </c>
      <c r="F218" s="163" t="s">
        <v>4783</v>
      </c>
      <c r="G218" s="163" t="s">
        <v>4805</v>
      </c>
      <c r="H218" s="163" t="s">
        <v>4806</v>
      </c>
      <c r="I218" s="164" t="s">
        <v>36</v>
      </c>
      <c r="J218" s="163"/>
      <c r="K218" s="163"/>
      <c r="L218" s="163"/>
      <c r="M218" s="163"/>
      <c r="N218" s="163"/>
      <c r="O218" s="163"/>
      <c r="P218" s="163"/>
      <c r="Q218" s="163"/>
      <c r="R218" s="163"/>
      <c r="S218" s="163"/>
      <c r="T218" s="163"/>
      <c r="U218" s="163"/>
      <c r="V218" s="163"/>
      <c r="W218" s="163"/>
      <c r="X218" s="163"/>
      <c r="Y218" s="163"/>
      <c r="Z218" s="163"/>
      <c r="AA218" s="163"/>
    </row>
    <row r="219" ht="14.25" customHeight="1">
      <c r="A219" s="164" t="s">
        <v>4773</v>
      </c>
      <c r="B219" s="163"/>
      <c r="C219" s="164" t="s">
        <v>4807</v>
      </c>
      <c r="D219" s="163"/>
      <c r="E219" s="215" t="s">
        <v>4093</v>
      </c>
      <c r="F219" s="163" t="s">
        <v>4808</v>
      </c>
      <c r="G219" s="163" t="s">
        <v>4805</v>
      </c>
      <c r="H219" s="163" t="s">
        <v>4809</v>
      </c>
      <c r="I219" s="164" t="s">
        <v>36</v>
      </c>
      <c r="J219" s="163"/>
      <c r="K219" s="163"/>
      <c r="L219" s="163"/>
      <c r="M219" s="163"/>
      <c r="N219" s="163"/>
      <c r="O219" s="163"/>
      <c r="P219" s="163"/>
      <c r="Q219" s="163"/>
      <c r="R219" s="163"/>
      <c r="S219" s="163"/>
      <c r="T219" s="163"/>
      <c r="U219" s="163"/>
      <c r="V219" s="163"/>
      <c r="W219" s="163"/>
      <c r="X219" s="163"/>
      <c r="Y219" s="163"/>
      <c r="Z219" s="163"/>
      <c r="AA219" s="163"/>
    </row>
    <row r="220" ht="14.25" customHeight="1">
      <c r="A220" s="163"/>
      <c r="B220" s="163"/>
      <c r="C220" s="164" t="s">
        <v>4810</v>
      </c>
      <c r="D220" s="163"/>
      <c r="E220" s="219" t="s">
        <v>4811</v>
      </c>
      <c r="F220" s="163" t="s">
        <v>4812</v>
      </c>
      <c r="G220" s="163" t="s">
        <v>4813</v>
      </c>
      <c r="H220" s="163" t="s">
        <v>4814</v>
      </c>
      <c r="I220" s="164" t="s">
        <v>36</v>
      </c>
      <c r="J220" s="163"/>
      <c r="K220" s="163"/>
      <c r="L220" s="163"/>
      <c r="M220" s="163"/>
      <c r="N220" s="163"/>
      <c r="O220" s="163"/>
      <c r="P220" s="163"/>
      <c r="Q220" s="163"/>
      <c r="R220" s="163"/>
      <c r="S220" s="163"/>
      <c r="T220" s="163"/>
      <c r="U220" s="163"/>
      <c r="V220" s="163"/>
      <c r="W220" s="163"/>
      <c r="X220" s="163"/>
      <c r="Y220" s="163"/>
      <c r="Z220" s="163"/>
      <c r="AA220" s="163"/>
    </row>
    <row r="221" ht="14.25" customHeight="1">
      <c r="A221" s="163"/>
      <c r="B221" s="163"/>
      <c r="C221" s="164" t="s">
        <v>4815</v>
      </c>
      <c r="D221" s="163"/>
      <c r="E221" s="219" t="s">
        <v>4811</v>
      </c>
      <c r="F221" s="163" t="s">
        <v>4816</v>
      </c>
      <c r="G221" s="163" t="s">
        <v>4817</v>
      </c>
      <c r="H221" s="163" t="s">
        <v>4818</v>
      </c>
      <c r="I221" s="164" t="s">
        <v>36</v>
      </c>
      <c r="J221" s="163"/>
      <c r="K221" s="163"/>
      <c r="L221" s="163"/>
      <c r="M221" s="163"/>
      <c r="N221" s="163"/>
      <c r="O221" s="163"/>
      <c r="P221" s="163"/>
      <c r="Q221" s="163"/>
      <c r="R221" s="163"/>
      <c r="S221" s="163"/>
      <c r="T221" s="163"/>
      <c r="U221" s="163"/>
      <c r="V221" s="163"/>
      <c r="W221" s="163"/>
      <c r="X221" s="163"/>
      <c r="Y221" s="163"/>
      <c r="Z221" s="163"/>
      <c r="AA221" s="163"/>
    </row>
    <row r="222" ht="14.25" customHeight="1">
      <c r="A222" s="163"/>
      <c r="B222" s="163"/>
      <c r="C222" s="164" t="s">
        <v>4819</v>
      </c>
      <c r="D222" s="163"/>
      <c r="E222" s="219" t="s">
        <v>4811</v>
      </c>
      <c r="F222" s="163" t="s">
        <v>4820</v>
      </c>
      <c r="G222" s="163" t="s">
        <v>4821</v>
      </c>
      <c r="H222" s="163" t="s">
        <v>4822</v>
      </c>
      <c r="I222" s="164" t="s">
        <v>36</v>
      </c>
      <c r="J222" s="163"/>
      <c r="K222" s="163"/>
      <c r="L222" s="163"/>
      <c r="M222" s="163"/>
      <c r="N222" s="163"/>
      <c r="O222" s="163"/>
      <c r="P222" s="163"/>
      <c r="Q222" s="163"/>
      <c r="R222" s="163"/>
      <c r="S222" s="163"/>
      <c r="T222" s="163"/>
      <c r="U222" s="163"/>
      <c r="V222" s="163"/>
      <c r="W222" s="163"/>
      <c r="X222" s="163"/>
      <c r="Y222" s="163"/>
      <c r="Z222" s="163"/>
      <c r="AA222" s="163"/>
    </row>
    <row r="223" ht="14.25" customHeight="1">
      <c r="A223" s="163"/>
      <c r="B223" s="163"/>
      <c r="C223" s="164" t="s">
        <v>4823</v>
      </c>
      <c r="D223" s="163"/>
      <c r="E223" s="219" t="s">
        <v>4811</v>
      </c>
      <c r="F223" s="163" t="s">
        <v>4824</v>
      </c>
      <c r="G223" s="163" t="s">
        <v>4825</v>
      </c>
      <c r="H223" s="163" t="s">
        <v>4826</v>
      </c>
      <c r="I223" s="164" t="s">
        <v>36</v>
      </c>
      <c r="J223" s="163"/>
      <c r="K223" s="163"/>
      <c r="L223" s="163"/>
      <c r="M223" s="163"/>
      <c r="N223" s="163"/>
      <c r="O223" s="163"/>
      <c r="P223" s="163"/>
      <c r="Q223" s="163"/>
      <c r="R223" s="163"/>
      <c r="S223" s="163"/>
      <c r="T223" s="163"/>
      <c r="U223" s="163"/>
      <c r="V223" s="163"/>
      <c r="W223" s="163"/>
      <c r="X223" s="163"/>
      <c r="Y223" s="163"/>
      <c r="Z223" s="163"/>
      <c r="AA223" s="163"/>
    </row>
    <row r="224" ht="14.25" customHeight="1">
      <c r="A224" s="163"/>
      <c r="B224" s="163"/>
      <c r="C224" s="164" t="s">
        <v>4827</v>
      </c>
      <c r="D224" s="163"/>
      <c r="E224" s="219" t="s">
        <v>4811</v>
      </c>
      <c r="F224" s="163" t="s">
        <v>4828</v>
      </c>
      <c r="G224" s="163" t="s">
        <v>4829</v>
      </c>
      <c r="H224" s="163" t="s">
        <v>4830</v>
      </c>
      <c r="I224" s="164" t="s">
        <v>36</v>
      </c>
      <c r="J224" s="163"/>
      <c r="K224" s="163"/>
      <c r="L224" s="163"/>
      <c r="M224" s="163"/>
      <c r="N224" s="163"/>
      <c r="O224" s="163"/>
      <c r="P224" s="163"/>
      <c r="Q224" s="163"/>
      <c r="R224" s="163"/>
      <c r="S224" s="163"/>
      <c r="T224" s="163"/>
      <c r="U224" s="163"/>
      <c r="V224" s="163"/>
      <c r="W224" s="163"/>
      <c r="X224" s="163"/>
      <c r="Y224" s="163"/>
      <c r="Z224" s="163"/>
      <c r="AA224" s="163"/>
    </row>
    <row r="225" ht="14.25" customHeight="1">
      <c r="A225" s="163"/>
      <c r="B225" s="163"/>
      <c r="C225" s="164" t="s">
        <v>4831</v>
      </c>
      <c r="D225" s="163"/>
      <c r="E225" s="219" t="s">
        <v>4811</v>
      </c>
      <c r="F225" s="163" t="s">
        <v>4828</v>
      </c>
      <c r="G225" s="163" t="s">
        <v>4832</v>
      </c>
      <c r="H225" s="163" t="s">
        <v>4833</v>
      </c>
      <c r="I225" s="164" t="s">
        <v>36</v>
      </c>
      <c r="J225" s="163"/>
      <c r="K225" s="163"/>
      <c r="L225" s="163"/>
      <c r="M225" s="163"/>
      <c r="N225" s="163"/>
      <c r="O225" s="163"/>
      <c r="P225" s="163"/>
      <c r="Q225" s="163"/>
      <c r="R225" s="163"/>
      <c r="S225" s="163"/>
      <c r="T225" s="163"/>
      <c r="U225" s="163"/>
      <c r="V225" s="163"/>
      <c r="W225" s="163"/>
      <c r="X225" s="163"/>
      <c r="Y225" s="163"/>
      <c r="Z225" s="163"/>
      <c r="AA225" s="163"/>
    </row>
    <row r="226" ht="14.25" customHeight="1">
      <c r="A226" s="163"/>
      <c r="B226" s="163"/>
      <c r="C226" s="164" t="s">
        <v>4834</v>
      </c>
      <c r="D226" s="163"/>
      <c r="E226" s="219" t="s">
        <v>4811</v>
      </c>
      <c r="F226" s="163" t="s">
        <v>4835</v>
      </c>
      <c r="G226" s="163" t="s">
        <v>4836</v>
      </c>
      <c r="H226" s="163" t="s">
        <v>4837</v>
      </c>
      <c r="I226" s="164" t="s">
        <v>36</v>
      </c>
      <c r="J226" s="163"/>
      <c r="K226" s="163"/>
      <c r="L226" s="163"/>
      <c r="M226" s="163"/>
      <c r="N226" s="163"/>
      <c r="O226" s="163"/>
      <c r="P226" s="163"/>
      <c r="Q226" s="163"/>
      <c r="R226" s="163"/>
      <c r="S226" s="163"/>
      <c r="T226" s="163"/>
      <c r="U226" s="163"/>
      <c r="V226" s="163"/>
      <c r="W226" s="163"/>
      <c r="X226" s="163"/>
      <c r="Y226" s="163"/>
      <c r="Z226" s="163"/>
      <c r="AA226" s="163"/>
    </row>
    <row r="227" ht="14.25" customHeight="1">
      <c r="A227" s="163"/>
      <c r="B227" s="163"/>
      <c r="C227" s="164" t="s">
        <v>4838</v>
      </c>
      <c r="D227" s="163"/>
      <c r="E227" s="219" t="s">
        <v>4811</v>
      </c>
      <c r="F227" s="163" t="s">
        <v>4835</v>
      </c>
      <c r="G227" s="163" t="s">
        <v>4839</v>
      </c>
      <c r="H227" s="163" t="s">
        <v>4840</v>
      </c>
      <c r="I227" s="164" t="s">
        <v>36</v>
      </c>
      <c r="J227" s="163"/>
      <c r="K227" s="163"/>
      <c r="L227" s="163"/>
      <c r="M227" s="163"/>
      <c r="N227" s="163"/>
      <c r="O227" s="163"/>
      <c r="P227" s="163"/>
      <c r="Q227" s="163"/>
      <c r="R227" s="163"/>
      <c r="S227" s="163"/>
      <c r="T227" s="163"/>
      <c r="U227" s="163"/>
      <c r="V227" s="163"/>
      <c r="W227" s="163"/>
      <c r="X227" s="163"/>
      <c r="Y227" s="163"/>
      <c r="Z227" s="163"/>
      <c r="AA227" s="163"/>
    </row>
    <row r="228" ht="14.25" customHeight="1">
      <c r="A228" s="163"/>
      <c r="B228" s="163"/>
      <c r="C228" s="164" t="s">
        <v>4841</v>
      </c>
      <c r="D228" s="163"/>
      <c r="E228" s="219" t="s">
        <v>4811</v>
      </c>
      <c r="F228" s="163" t="s">
        <v>4835</v>
      </c>
      <c r="G228" s="163" t="s">
        <v>4842</v>
      </c>
      <c r="H228" s="163" t="s">
        <v>4843</v>
      </c>
      <c r="I228" s="164" t="s">
        <v>36</v>
      </c>
      <c r="J228" s="163"/>
      <c r="K228" s="163"/>
      <c r="L228" s="163"/>
      <c r="M228" s="163"/>
      <c r="N228" s="163"/>
      <c r="O228" s="163"/>
      <c r="P228" s="163"/>
      <c r="Q228" s="163"/>
      <c r="R228" s="163"/>
      <c r="S228" s="163"/>
      <c r="T228" s="163"/>
      <c r="U228" s="163"/>
      <c r="V228" s="163"/>
      <c r="W228" s="163"/>
      <c r="X228" s="163"/>
      <c r="Y228" s="163"/>
      <c r="Z228" s="163"/>
      <c r="AA228" s="163"/>
    </row>
    <row r="229" ht="14.25" customHeight="1">
      <c r="A229" s="163"/>
      <c r="B229" s="163"/>
      <c r="C229" s="164" t="s">
        <v>4844</v>
      </c>
      <c r="D229" s="163"/>
      <c r="E229" s="219" t="s">
        <v>4811</v>
      </c>
      <c r="F229" s="163" t="s">
        <v>4845</v>
      </c>
      <c r="G229" s="163" t="s">
        <v>4846</v>
      </c>
      <c r="H229" s="220" t="s">
        <v>4847</v>
      </c>
      <c r="I229" s="164" t="s">
        <v>36</v>
      </c>
      <c r="J229" s="163"/>
      <c r="K229" s="163"/>
      <c r="L229" s="163"/>
      <c r="M229" s="163"/>
      <c r="N229" s="163"/>
      <c r="O229" s="163"/>
      <c r="P229" s="163"/>
      <c r="Q229" s="163"/>
      <c r="R229" s="163"/>
      <c r="S229" s="163"/>
      <c r="T229" s="163"/>
      <c r="U229" s="163"/>
      <c r="V229" s="163"/>
      <c r="W229" s="163"/>
      <c r="X229" s="163"/>
      <c r="Y229" s="163"/>
      <c r="Z229" s="163"/>
      <c r="AA229" s="163"/>
    </row>
    <row r="230" ht="14.25" customHeight="1">
      <c r="A230" s="163"/>
      <c r="B230" s="163"/>
      <c r="C230" s="164" t="s">
        <v>4848</v>
      </c>
      <c r="D230" s="163"/>
      <c r="E230" s="219" t="s">
        <v>4811</v>
      </c>
      <c r="F230" s="163" t="s">
        <v>4849</v>
      </c>
      <c r="G230" s="163" t="s">
        <v>4850</v>
      </c>
      <c r="H230" s="163" t="s">
        <v>4851</v>
      </c>
      <c r="I230" s="164" t="s">
        <v>36</v>
      </c>
      <c r="J230" s="163"/>
      <c r="K230" s="163"/>
      <c r="L230" s="163"/>
      <c r="M230" s="163"/>
      <c r="N230" s="163"/>
      <c r="O230" s="163"/>
      <c r="P230" s="163"/>
      <c r="Q230" s="163"/>
      <c r="R230" s="163"/>
      <c r="S230" s="163"/>
      <c r="T230" s="163"/>
      <c r="U230" s="163"/>
      <c r="V230" s="163"/>
      <c r="W230" s="163"/>
      <c r="X230" s="163"/>
      <c r="Y230" s="163"/>
      <c r="Z230" s="163"/>
      <c r="AA230" s="163"/>
    </row>
    <row r="231" ht="14.25" customHeight="1">
      <c r="A231" s="163"/>
      <c r="B231" s="163"/>
      <c r="C231" s="164" t="s">
        <v>4852</v>
      </c>
      <c r="D231" s="163"/>
      <c r="E231" s="219" t="s">
        <v>4811</v>
      </c>
      <c r="F231" s="163" t="s">
        <v>4853</v>
      </c>
      <c r="G231" s="163" t="s">
        <v>4854</v>
      </c>
      <c r="H231" s="163" t="s">
        <v>4855</v>
      </c>
      <c r="I231" s="164" t="s">
        <v>36</v>
      </c>
      <c r="J231" s="163"/>
      <c r="K231" s="163"/>
      <c r="L231" s="163"/>
      <c r="M231" s="163"/>
      <c r="N231" s="163"/>
      <c r="O231" s="163"/>
      <c r="P231" s="163"/>
      <c r="Q231" s="163"/>
      <c r="R231" s="163"/>
      <c r="S231" s="163"/>
      <c r="T231" s="163"/>
      <c r="U231" s="163"/>
      <c r="V231" s="163"/>
      <c r="W231" s="163"/>
      <c r="X231" s="163"/>
      <c r="Y231" s="163"/>
      <c r="Z231" s="163"/>
      <c r="AA231" s="163"/>
    </row>
    <row r="232" ht="14.25" customHeight="1">
      <c r="A232" s="163"/>
      <c r="B232" s="163"/>
      <c r="C232" s="164" t="s">
        <v>4856</v>
      </c>
      <c r="D232" s="163"/>
      <c r="E232" s="219" t="s">
        <v>4811</v>
      </c>
      <c r="F232" s="163" t="s">
        <v>4853</v>
      </c>
      <c r="G232" s="164" t="s">
        <v>4857</v>
      </c>
      <c r="H232" s="163" t="s">
        <v>4858</v>
      </c>
      <c r="I232" s="164" t="s">
        <v>317</v>
      </c>
      <c r="J232" s="163"/>
      <c r="K232" s="164" t="s">
        <v>4859</v>
      </c>
      <c r="L232" s="163"/>
      <c r="M232" s="163"/>
      <c r="N232" s="163"/>
      <c r="O232" s="163"/>
      <c r="P232" s="163"/>
      <c r="Q232" s="163"/>
      <c r="R232" s="163"/>
      <c r="S232" s="163"/>
      <c r="T232" s="163"/>
      <c r="U232" s="163"/>
      <c r="V232" s="163"/>
      <c r="W232" s="163"/>
      <c r="X232" s="163"/>
      <c r="Y232" s="163"/>
      <c r="Z232" s="163"/>
      <c r="AA232" s="163"/>
    </row>
    <row r="233" ht="14.25" customHeight="1">
      <c r="A233" s="163"/>
      <c r="B233" s="163"/>
      <c r="C233" s="164" t="s">
        <v>4860</v>
      </c>
      <c r="D233" s="163"/>
      <c r="E233" s="219" t="s">
        <v>4811</v>
      </c>
      <c r="F233" s="163" t="s">
        <v>4853</v>
      </c>
      <c r="G233" s="163" t="s">
        <v>4861</v>
      </c>
      <c r="H233" s="163" t="s">
        <v>4862</v>
      </c>
      <c r="I233" s="164" t="s">
        <v>36</v>
      </c>
      <c r="J233" s="163"/>
      <c r="K233" s="163"/>
      <c r="L233" s="163"/>
      <c r="M233" s="163"/>
      <c r="N233" s="163"/>
      <c r="O233" s="163"/>
      <c r="P233" s="163"/>
      <c r="Q233" s="163"/>
      <c r="R233" s="163"/>
      <c r="S233" s="163"/>
      <c r="T233" s="163"/>
      <c r="U233" s="163"/>
      <c r="V233" s="163"/>
      <c r="W233" s="163"/>
      <c r="X233" s="163"/>
      <c r="Y233" s="163"/>
      <c r="Z233" s="163"/>
      <c r="AA233" s="163"/>
    </row>
    <row r="234" ht="14.25" customHeight="1">
      <c r="A234" s="163"/>
      <c r="B234" s="163"/>
      <c r="C234" s="164" t="s">
        <v>4863</v>
      </c>
      <c r="D234" s="163"/>
      <c r="E234" s="219" t="s">
        <v>4811</v>
      </c>
      <c r="F234" s="163" t="s">
        <v>4853</v>
      </c>
      <c r="G234" s="163" t="s">
        <v>4864</v>
      </c>
      <c r="H234" s="163" t="s">
        <v>4865</v>
      </c>
      <c r="I234" s="164" t="s">
        <v>36</v>
      </c>
      <c r="J234" s="163"/>
      <c r="K234" s="163"/>
      <c r="L234" s="163"/>
      <c r="M234" s="163"/>
      <c r="N234" s="163"/>
      <c r="O234" s="163"/>
      <c r="P234" s="163"/>
      <c r="Q234" s="163"/>
      <c r="R234" s="163"/>
      <c r="S234" s="163"/>
      <c r="T234" s="163"/>
      <c r="U234" s="163"/>
      <c r="V234" s="163"/>
      <c r="W234" s="163"/>
      <c r="X234" s="163"/>
      <c r="Y234" s="163"/>
      <c r="Z234" s="163"/>
      <c r="AA234" s="163"/>
    </row>
    <row r="235" ht="14.25" customHeight="1">
      <c r="A235" s="163"/>
      <c r="B235" s="163"/>
      <c r="C235" s="164" t="s">
        <v>4866</v>
      </c>
      <c r="D235" s="163"/>
      <c r="E235" s="219" t="s">
        <v>4811</v>
      </c>
      <c r="F235" s="163" t="s">
        <v>4867</v>
      </c>
      <c r="G235" s="164" t="s">
        <v>4868</v>
      </c>
      <c r="H235" s="163" t="s">
        <v>4869</v>
      </c>
      <c r="I235" s="164" t="s">
        <v>36</v>
      </c>
      <c r="J235" s="163"/>
      <c r="K235" s="163"/>
      <c r="L235" s="163"/>
      <c r="M235" s="163"/>
      <c r="N235" s="163"/>
      <c r="O235" s="163"/>
      <c r="P235" s="163"/>
      <c r="Q235" s="163"/>
      <c r="R235" s="163"/>
      <c r="S235" s="163"/>
      <c r="T235" s="163"/>
      <c r="U235" s="163"/>
      <c r="V235" s="163"/>
      <c r="W235" s="163"/>
      <c r="X235" s="163"/>
      <c r="Y235" s="163"/>
      <c r="Z235" s="163"/>
      <c r="AA235" s="163"/>
    </row>
    <row r="236" ht="14.25" customHeight="1">
      <c r="A236" s="163"/>
      <c r="B236" s="163"/>
      <c r="C236" s="164" t="s">
        <v>4870</v>
      </c>
      <c r="D236" s="163"/>
      <c r="E236" s="219" t="s">
        <v>4811</v>
      </c>
      <c r="F236" s="163" t="s">
        <v>4867</v>
      </c>
      <c r="G236" s="164" t="s">
        <v>4871</v>
      </c>
      <c r="H236" s="163" t="s">
        <v>4872</v>
      </c>
      <c r="I236" s="164" t="s">
        <v>36</v>
      </c>
      <c r="J236" s="163"/>
      <c r="K236" s="163"/>
      <c r="L236" s="163"/>
      <c r="M236" s="163"/>
      <c r="N236" s="163"/>
      <c r="O236" s="163"/>
      <c r="P236" s="163"/>
      <c r="Q236" s="163"/>
      <c r="R236" s="163"/>
      <c r="S236" s="163"/>
      <c r="T236" s="163"/>
      <c r="U236" s="163"/>
      <c r="V236" s="163"/>
      <c r="W236" s="163"/>
      <c r="X236" s="163"/>
      <c r="Y236" s="163"/>
      <c r="Z236" s="163"/>
      <c r="AA236" s="163"/>
    </row>
    <row r="237" ht="14.25" customHeight="1">
      <c r="A237" s="163"/>
      <c r="B237" s="163"/>
      <c r="C237" s="164" t="s">
        <v>4873</v>
      </c>
      <c r="D237" s="163"/>
      <c r="E237" s="219" t="s">
        <v>4811</v>
      </c>
      <c r="F237" s="163" t="s">
        <v>4867</v>
      </c>
      <c r="G237" s="164" t="s">
        <v>4874</v>
      </c>
      <c r="H237" s="163" t="s">
        <v>4875</v>
      </c>
      <c r="I237" s="164" t="s">
        <v>36</v>
      </c>
      <c r="J237" s="163"/>
      <c r="K237" s="163"/>
      <c r="L237" s="163"/>
      <c r="M237" s="163"/>
      <c r="N237" s="163"/>
      <c r="O237" s="163"/>
      <c r="P237" s="163"/>
      <c r="Q237" s="163"/>
      <c r="R237" s="163"/>
      <c r="S237" s="163"/>
      <c r="T237" s="163"/>
      <c r="U237" s="163"/>
      <c r="V237" s="163"/>
      <c r="W237" s="163"/>
      <c r="X237" s="163"/>
      <c r="Y237" s="163"/>
      <c r="Z237" s="163"/>
      <c r="AA237" s="163"/>
    </row>
    <row r="238" ht="14.25" customHeight="1">
      <c r="A238" s="163"/>
      <c r="B238" s="163"/>
      <c r="C238" s="164" t="s">
        <v>4876</v>
      </c>
      <c r="D238" s="163"/>
      <c r="E238" s="219" t="s">
        <v>4811</v>
      </c>
      <c r="F238" s="163" t="s">
        <v>4867</v>
      </c>
      <c r="G238" s="164" t="s">
        <v>4877</v>
      </c>
      <c r="H238" s="163" t="s">
        <v>4878</v>
      </c>
      <c r="I238" s="164" t="s">
        <v>36</v>
      </c>
      <c r="J238" s="163"/>
      <c r="K238" s="163"/>
      <c r="L238" s="163"/>
      <c r="M238" s="163"/>
      <c r="N238" s="163"/>
      <c r="O238" s="163"/>
      <c r="P238" s="163"/>
      <c r="Q238" s="163"/>
      <c r="R238" s="163"/>
      <c r="S238" s="163"/>
      <c r="T238" s="163"/>
      <c r="U238" s="163"/>
      <c r="V238" s="163"/>
      <c r="W238" s="163"/>
      <c r="X238" s="163"/>
      <c r="Y238" s="163"/>
      <c r="Z238" s="163"/>
      <c r="AA238" s="163"/>
    </row>
    <row r="239" ht="14.25" customHeight="1">
      <c r="A239" s="163"/>
      <c r="B239" s="163"/>
      <c r="C239" s="164" t="s">
        <v>4879</v>
      </c>
      <c r="D239" s="163"/>
      <c r="E239" s="219" t="s">
        <v>4811</v>
      </c>
      <c r="F239" s="163" t="s">
        <v>4867</v>
      </c>
      <c r="G239" s="164" t="s">
        <v>4880</v>
      </c>
      <c r="H239" s="163" t="s">
        <v>4881</v>
      </c>
      <c r="I239" s="164" t="s">
        <v>36</v>
      </c>
      <c r="J239" s="163"/>
      <c r="K239" s="163"/>
      <c r="L239" s="163"/>
      <c r="M239" s="163"/>
      <c r="N239" s="163"/>
      <c r="O239" s="163"/>
      <c r="P239" s="163"/>
      <c r="Q239" s="163"/>
      <c r="R239" s="163"/>
      <c r="S239" s="163"/>
      <c r="T239" s="163"/>
      <c r="U239" s="163"/>
      <c r="V239" s="163"/>
      <c r="W239" s="163"/>
      <c r="X239" s="163"/>
      <c r="Y239" s="163"/>
      <c r="Z239" s="163"/>
      <c r="AA239" s="163"/>
    </row>
    <row r="240" ht="14.25" customHeight="1">
      <c r="A240" s="163"/>
      <c r="B240" s="163"/>
      <c r="C240" s="164" t="s">
        <v>4882</v>
      </c>
      <c r="D240" s="163"/>
      <c r="E240" s="219" t="s">
        <v>4811</v>
      </c>
      <c r="F240" s="163" t="s">
        <v>4883</v>
      </c>
      <c r="G240" s="163" t="s">
        <v>4884</v>
      </c>
      <c r="H240" s="163" t="s">
        <v>4885</v>
      </c>
      <c r="I240" s="164" t="s">
        <v>36</v>
      </c>
      <c r="J240" s="163"/>
      <c r="K240" s="163"/>
      <c r="L240" s="163"/>
      <c r="M240" s="163"/>
      <c r="N240" s="163"/>
      <c r="O240" s="163"/>
      <c r="P240" s="163"/>
      <c r="Q240" s="163"/>
      <c r="R240" s="163"/>
      <c r="S240" s="163"/>
      <c r="T240" s="163"/>
      <c r="U240" s="163"/>
      <c r="V240" s="163"/>
      <c r="W240" s="163"/>
      <c r="X240" s="163"/>
      <c r="Y240" s="163"/>
      <c r="Z240" s="163"/>
      <c r="AA240" s="163"/>
    </row>
    <row r="241" ht="14.25" customHeight="1">
      <c r="A241" s="163"/>
      <c r="B241" s="163"/>
      <c r="C241" s="164" t="s">
        <v>4886</v>
      </c>
      <c r="D241" s="163"/>
      <c r="E241" s="219" t="s">
        <v>4811</v>
      </c>
      <c r="F241" s="163" t="s">
        <v>4883</v>
      </c>
      <c r="G241" s="163" t="s">
        <v>4887</v>
      </c>
      <c r="H241" s="163" t="s">
        <v>4888</v>
      </c>
      <c r="I241" s="164" t="s">
        <v>36</v>
      </c>
      <c r="J241" s="163"/>
      <c r="K241" s="163"/>
      <c r="L241" s="163"/>
      <c r="M241" s="163"/>
      <c r="N241" s="163"/>
      <c r="O241" s="163"/>
      <c r="P241" s="163"/>
      <c r="Q241" s="163"/>
      <c r="R241" s="163"/>
      <c r="S241" s="163"/>
      <c r="T241" s="163"/>
      <c r="U241" s="163"/>
      <c r="V241" s="163"/>
      <c r="W241" s="163"/>
      <c r="X241" s="163"/>
      <c r="Y241" s="163"/>
      <c r="Z241" s="163"/>
      <c r="AA241" s="163"/>
    </row>
    <row r="242" ht="14.25" customHeight="1">
      <c r="A242" s="163"/>
      <c r="B242" s="163"/>
      <c r="C242" s="164" t="s">
        <v>4889</v>
      </c>
      <c r="D242" s="163"/>
      <c r="E242" s="219" t="s">
        <v>4811</v>
      </c>
      <c r="F242" s="163" t="s">
        <v>4890</v>
      </c>
      <c r="G242" s="163" t="s">
        <v>4891</v>
      </c>
      <c r="H242" s="163" t="s">
        <v>4892</v>
      </c>
      <c r="I242" s="164" t="s">
        <v>36</v>
      </c>
      <c r="J242" s="163"/>
      <c r="K242" s="163"/>
      <c r="L242" s="163"/>
      <c r="M242" s="163"/>
      <c r="N242" s="163"/>
      <c r="O242" s="163"/>
      <c r="P242" s="163"/>
      <c r="Q242" s="163"/>
      <c r="R242" s="163"/>
      <c r="S242" s="163"/>
      <c r="T242" s="163"/>
      <c r="U242" s="163"/>
      <c r="V242" s="163"/>
      <c r="W242" s="163"/>
      <c r="X242" s="163"/>
      <c r="Y242" s="163"/>
      <c r="Z242" s="163"/>
      <c r="AA242" s="163"/>
    </row>
    <row r="243" ht="14.25" customHeight="1">
      <c r="A243" s="163"/>
      <c r="B243" s="163"/>
      <c r="C243" s="164" t="s">
        <v>4893</v>
      </c>
      <c r="D243" s="163"/>
      <c r="E243" s="219" t="s">
        <v>4811</v>
      </c>
      <c r="F243" s="163" t="s">
        <v>4894</v>
      </c>
      <c r="G243" s="163" t="s">
        <v>4895</v>
      </c>
      <c r="H243" s="163" t="s">
        <v>4896</v>
      </c>
      <c r="I243" s="164" t="s">
        <v>36</v>
      </c>
      <c r="J243" s="163"/>
      <c r="K243" s="163"/>
      <c r="L243" s="163"/>
      <c r="M243" s="163"/>
      <c r="N243" s="163"/>
      <c r="O243" s="163"/>
      <c r="P243" s="163"/>
      <c r="Q243" s="163"/>
      <c r="R243" s="163"/>
      <c r="S243" s="163"/>
      <c r="T243" s="163"/>
      <c r="U243" s="163"/>
      <c r="V243" s="163"/>
      <c r="W243" s="163"/>
      <c r="X243" s="163"/>
      <c r="Y243" s="163"/>
      <c r="Z243" s="163"/>
      <c r="AA243" s="163"/>
    </row>
    <row r="244" ht="14.25" customHeight="1">
      <c r="A244" s="163"/>
      <c r="B244" s="163"/>
      <c r="C244" s="164" t="s">
        <v>4897</v>
      </c>
      <c r="D244" s="163"/>
      <c r="E244" s="219" t="s">
        <v>4811</v>
      </c>
      <c r="F244" s="163" t="s">
        <v>4898</v>
      </c>
      <c r="G244" s="163" t="s">
        <v>4899</v>
      </c>
      <c r="H244" s="163" t="s">
        <v>4900</v>
      </c>
      <c r="I244" s="164" t="s">
        <v>36</v>
      </c>
      <c r="J244" s="163"/>
      <c r="K244" s="163"/>
      <c r="L244" s="163"/>
      <c r="M244" s="163"/>
      <c r="N244" s="163"/>
      <c r="O244" s="163"/>
      <c r="P244" s="163"/>
      <c r="Q244" s="163"/>
      <c r="R244" s="163"/>
      <c r="S244" s="163"/>
      <c r="T244" s="163"/>
      <c r="U244" s="163"/>
      <c r="V244" s="163"/>
      <c r="W244" s="163"/>
      <c r="X244" s="163"/>
      <c r="Y244" s="163"/>
      <c r="Z244" s="163"/>
      <c r="AA244" s="163"/>
    </row>
    <row r="245" ht="14.25" customHeight="1">
      <c r="A245" s="163"/>
      <c r="B245" s="163"/>
      <c r="C245" s="164" t="s">
        <v>4901</v>
      </c>
      <c r="D245" s="163"/>
      <c r="E245" s="219" t="s">
        <v>4811</v>
      </c>
      <c r="F245" s="163" t="s">
        <v>4902</v>
      </c>
      <c r="G245" s="163" t="s">
        <v>1429</v>
      </c>
      <c r="H245" s="163" t="s">
        <v>843</v>
      </c>
      <c r="I245" s="164" t="s">
        <v>36</v>
      </c>
      <c r="J245" s="163"/>
      <c r="K245" s="163"/>
      <c r="L245" s="163"/>
      <c r="M245" s="163"/>
      <c r="N245" s="163"/>
      <c r="O245" s="163"/>
      <c r="P245" s="163"/>
      <c r="Q245" s="163"/>
      <c r="R245" s="163"/>
      <c r="S245" s="163"/>
      <c r="T245" s="163"/>
      <c r="U245" s="163"/>
      <c r="V245" s="163"/>
      <c r="W245" s="163"/>
      <c r="X245" s="163"/>
      <c r="Y245" s="163"/>
      <c r="Z245" s="163"/>
      <c r="AA245" s="163"/>
    </row>
    <row r="246" ht="14.25" customHeight="1">
      <c r="A246" s="163"/>
      <c r="B246" s="163"/>
      <c r="C246" s="164" t="s">
        <v>4903</v>
      </c>
      <c r="D246" s="163"/>
      <c r="E246" s="219" t="s">
        <v>4811</v>
      </c>
      <c r="F246" s="163" t="s">
        <v>4904</v>
      </c>
      <c r="G246" s="163" t="s">
        <v>4905</v>
      </c>
      <c r="H246" s="163" t="s">
        <v>4906</v>
      </c>
      <c r="I246" s="164" t="s">
        <v>36</v>
      </c>
      <c r="J246" s="163"/>
      <c r="K246" s="163"/>
      <c r="L246" s="163"/>
      <c r="M246" s="163"/>
      <c r="N246" s="163"/>
      <c r="O246" s="163"/>
      <c r="P246" s="163"/>
      <c r="Q246" s="163"/>
      <c r="R246" s="163"/>
      <c r="S246" s="163"/>
      <c r="T246" s="163"/>
      <c r="U246" s="163"/>
      <c r="V246" s="163"/>
      <c r="W246" s="163"/>
      <c r="X246" s="163"/>
      <c r="Y246" s="163"/>
      <c r="Z246" s="163"/>
      <c r="AA246" s="163"/>
    </row>
    <row r="247" ht="14.25" customHeight="1">
      <c r="A247" s="163"/>
      <c r="B247" s="163"/>
      <c r="C247" s="164" t="s">
        <v>4907</v>
      </c>
      <c r="D247" s="163"/>
      <c r="E247" s="219" t="s">
        <v>4811</v>
      </c>
      <c r="F247" s="163" t="s">
        <v>4908</v>
      </c>
      <c r="G247" s="163" t="s">
        <v>4909</v>
      </c>
      <c r="H247" s="163" t="s">
        <v>4910</v>
      </c>
      <c r="I247" s="164" t="s">
        <v>36</v>
      </c>
      <c r="J247" s="163"/>
      <c r="K247" s="163"/>
      <c r="L247" s="163"/>
      <c r="M247" s="163"/>
      <c r="N247" s="163"/>
      <c r="O247" s="163"/>
      <c r="P247" s="163"/>
      <c r="Q247" s="163"/>
      <c r="R247" s="163"/>
      <c r="S247" s="163"/>
      <c r="T247" s="163"/>
      <c r="U247" s="163"/>
      <c r="V247" s="163"/>
      <c r="W247" s="163"/>
      <c r="X247" s="163"/>
      <c r="Y247" s="163"/>
      <c r="Z247" s="163"/>
      <c r="AA247" s="163"/>
    </row>
    <row r="248" ht="14.25" customHeight="1">
      <c r="A248" s="163"/>
      <c r="B248" s="163"/>
      <c r="C248" s="164" t="s">
        <v>4911</v>
      </c>
      <c r="D248" s="163"/>
      <c r="E248" s="219" t="s">
        <v>4811</v>
      </c>
      <c r="F248" s="163" t="s">
        <v>4908</v>
      </c>
      <c r="G248" s="163" t="s">
        <v>4912</v>
      </c>
      <c r="H248" s="163" t="s">
        <v>4913</v>
      </c>
      <c r="I248" s="164" t="s">
        <v>36</v>
      </c>
      <c r="J248" s="163"/>
      <c r="K248" s="163"/>
      <c r="L248" s="163"/>
      <c r="M248" s="163"/>
      <c r="N248" s="163"/>
      <c r="O248" s="163"/>
      <c r="P248" s="163"/>
      <c r="Q248" s="163"/>
      <c r="R248" s="163"/>
      <c r="S248" s="163"/>
      <c r="T248" s="163"/>
      <c r="U248" s="163"/>
      <c r="V248" s="163"/>
      <c r="W248" s="163"/>
      <c r="X248" s="163"/>
      <c r="Y248" s="163"/>
      <c r="Z248" s="163"/>
      <c r="AA248" s="163"/>
    </row>
    <row r="249" ht="14.25" customHeight="1">
      <c r="A249" s="163"/>
      <c r="B249" s="163"/>
      <c r="C249" s="164" t="s">
        <v>4914</v>
      </c>
      <c r="D249" s="163"/>
      <c r="E249" s="219" t="s">
        <v>4811</v>
      </c>
      <c r="F249" s="163" t="s">
        <v>4915</v>
      </c>
      <c r="G249" s="163" t="s">
        <v>4916</v>
      </c>
      <c r="H249" s="163" t="s">
        <v>4917</v>
      </c>
      <c r="I249" s="164" t="s">
        <v>36</v>
      </c>
      <c r="J249" s="163"/>
      <c r="K249" s="163"/>
      <c r="L249" s="163"/>
      <c r="M249" s="163"/>
      <c r="N249" s="163"/>
      <c r="O249" s="163"/>
      <c r="P249" s="163"/>
      <c r="Q249" s="163"/>
      <c r="R249" s="163"/>
      <c r="S249" s="163"/>
      <c r="T249" s="163"/>
      <c r="U249" s="163"/>
      <c r="V249" s="163"/>
      <c r="W249" s="163"/>
      <c r="X249" s="163"/>
      <c r="Y249" s="163"/>
      <c r="Z249" s="163"/>
      <c r="AA249" s="163"/>
    </row>
    <row r="250" ht="14.25" customHeight="1">
      <c r="A250" s="163"/>
      <c r="B250" s="163"/>
      <c r="C250" s="164" t="s">
        <v>4918</v>
      </c>
      <c r="D250" s="163"/>
      <c r="E250" s="219" t="s">
        <v>4811</v>
      </c>
      <c r="F250" s="163" t="s">
        <v>4919</v>
      </c>
      <c r="G250" s="163" t="s">
        <v>4920</v>
      </c>
      <c r="H250" s="163" t="s">
        <v>4921</v>
      </c>
      <c r="I250" s="164" t="s">
        <v>36</v>
      </c>
      <c r="J250" s="163"/>
      <c r="K250" s="163"/>
      <c r="L250" s="163"/>
      <c r="M250" s="163"/>
      <c r="N250" s="163"/>
      <c r="O250" s="163"/>
      <c r="P250" s="163"/>
      <c r="Q250" s="163"/>
      <c r="R250" s="163"/>
      <c r="S250" s="163"/>
      <c r="T250" s="163"/>
      <c r="U250" s="163"/>
      <c r="V250" s="163"/>
      <c r="W250" s="163"/>
      <c r="X250" s="163"/>
      <c r="Y250" s="163"/>
      <c r="Z250" s="163"/>
      <c r="AA250" s="163"/>
    </row>
    <row r="251" ht="14.25" customHeight="1">
      <c r="A251" s="163"/>
      <c r="B251" s="163"/>
      <c r="C251" s="164" t="s">
        <v>4922</v>
      </c>
      <c r="D251" s="163"/>
      <c r="E251" s="219" t="s">
        <v>4811</v>
      </c>
      <c r="F251" s="163" t="s">
        <v>4923</v>
      </c>
      <c r="G251" s="163" t="s">
        <v>4924</v>
      </c>
      <c r="H251" s="163" t="s">
        <v>4925</v>
      </c>
      <c r="I251" s="164" t="s">
        <v>36</v>
      </c>
      <c r="J251" s="163"/>
      <c r="K251" s="163"/>
      <c r="L251" s="163"/>
      <c r="M251" s="163"/>
      <c r="N251" s="163"/>
      <c r="O251" s="163"/>
      <c r="P251" s="163"/>
      <c r="Q251" s="163"/>
      <c r="R251" s="163"/>
      <c r="S251" s="163"/>
      <c r="T251" s="163"/>
      <c r="U251" s="163"/>
      <c r="V251" s="163"/>
      <c r="W251" s="163"/>
      <c r="X251" s="163"/>
      <c r="Y251" s="163"/>
      <c r="Z251" s="163"/>
      <c r="AA251" s="163"/>
    </row>
    <row r="252" ht="14.25" customHeight="1">
      <c r="A252" s="163"/>
      <c r="B252" s="163"/>
      <c r="C252" s="164" t="s">
        <v>4926</v>
      </c>
      <c r="D252" s="163"/>
      <c r="E252" s="219" t="s">
        <v>4811</v>
      </c>
      <c r="F252" s="163" t="s">
        <v>4927</v>
      </c>
      <c r="G252" s="163" t="s">
        <v>4928</v>
      </c>
      <c r="H252" s="163" t="s">
        <v>4929</v>
      </c>
      <c r="I252" s="164" t="s">
        <v>36</v>
      </c>
      <c r="J252" s="163"/>
      <c r="K252" s="163"/>
      <c r="L252" s="163"/>
      <c r="M252" s="163"/>
      <c r="N252" s="163"/>
      <c r="O252" s="163"/>
      <c r="P252" s="163"/>
      <c r="Q252" s="163"/>
      <c r="R252" s="163"/>
      <c r="S252" s="163"/>
      <c r="T252" s="163"/>
      <c r="U252" s="163"/>
      <c r="V252" s="163"/>
      <c r="W252" s="163"/>
      <c r="X252" s="163"/>
      <c r="Y252" s="163"/>
      <c r="Z252" s="163"/>
      <c r="AA252" s="163"/>
    </row>
    <row r="253" ht="14.25" customHeight="1">
      <c r="A253" s="163"/>
      <c r="B253" s="163"/>
      <c r="C253" s="164" t="s">
        <v>4930</v>
      </c>
      <c r="D253" s="163"/>
      <c r="E253" s="219" t="s">
        <v>4811</v>
      </c>
      <c r="F253" s="163" t="s">
        <v>4931</v>
      </c>
      <c r="G253" s="163" t="s">
        <v>4932</v>
      </c>
      <c r="H253" s="163" t="s">
        <v>4933</v>
      </c>
      <c r="I253" s="164" t="s">
        <v>36</v>
      </c>
      <c r="J253" s="163"/>
      <c r="K253" s="163"/>
      <c r="L253" s="163"/>
      <c r="M253" s="163"/>
      <c r="N253" s="163"/>
      <c r="O253" s="163"/>
      <c r="P253" s="163"/>
      <c r="Q253" s="163"/>
      <c r="R253" s="163"/>
      <c r="S253" s="163"/>
      <c r="T253" s="163"/>
      <c r="U253" s="163"/>
      <c r="V253" s="163"/>
      <c r="W253" s="163"/>
      <c r="X253" s="163"/>
      <c r="Y253" s="163"/>
      <c r="Z253" s="163"/>
      <c r="AA253" s="163"/>
    </row>
    <row r="254" ht="14.25" customHeight="1">
      <c r="A254" s="163"/>
      <c r="B254" s="163"/>
      <c r="C254" s="164" t="s">
        <v>4934</v>
      </c>
      <c r="D254" s="163"/>
      <c r="E254" s="219" t="s">
        <v>4811</v>
      </c>
      <c r="F254" s="163" t="s">
        <v>4935</v>
      </c>
      <c r="G254" s="163" t="s">
        <v>4936</v>
      </c>
      <c r="H254" s="163" t="s">
        <v>4937</v>
      </c>
      <c r="I254" s="164" t="s">
        <v>36</v>
      </c>
      <c r="J254" s="163"/>
      <c r="K254" s="163"/>
      <c r="L254" s="163"/>
      <c r="M254" s="163"/>
      <c r="N254" s="163"/>
      <c r="O254" s="163"/>
      <c r="P254" s="163"/>
      <c r="Q254" s="163"/>
      <c r="R254" s="163"/>
      <c r="S254" s="163"/>
      <c r="T254" s="163"/>
      <c r="U254" s="163"/>
      <c r="V254" s="163"/>
      <c r="W254" s="163"/>
      <c r="X254" s="163"/>
      <c r="Y254" s="163"/>
      <c r="Z254" s="163"/>
      <c r="AA254" s="163"/>
    </row>
    <row r="255" ht="14.25" customHeight="1">
      <c r="A255" s="163"/>
      <c r="B255" s="163"/>
      <c r="C255" s="164" t="s">
        <v>4938</v>
      </c>
      <c r="D255" s="163"/>
      <c r="E255" s="219" t="s">
        <v>4811</v>
      </c>
      <c r="F255" s="163" t="s">
        <v>4939</v>
      </c>
      <c r="G255" s="163" t="s">
        <v>4940</v>
      </c>
      <c r="H255" s="163" t="s">
        <v>4941</v>
      </c>
      <c r="I255" s="164" t="s">
        <v>36</v>
      </c>
      <c r="J255" s="163"/>
      <c r="K255" s="163"/>
      <c r="L255" s="163"/>
      <c r="M255" s="163"/>
      <c r="N255" s="163"/>
      <c r="O255" s="163"/>
      <c r="P255" s="163"/>
      <c r="Q255" s="163"/>
      <c r="R255" s="163"/>
      <c r="S255" s="163"/>
      <c r="T255" s="163"/>
      <c r="U255" s="163"/>
      <c r="V255" s="163"/>
      <c r="W255" s="163"/>
      <c r="X255" s="163"/>
      <c r="Y255" s="163"/>
      <c r="Z255" s="163"/>
      <c r="AA255" s="163"/>
    </row>
    <row r="256" ht="14.25" customHeight="1">
      <c r="A256" s="163"/>
      <c r="B256" s="163"/>
      <c r="C256" s="164" t="s">
        <v>4942</v>
      </c>
      <c r="D256" s="163"/>
      <c r="E256" s="219" t="s">
        <v>4811</v>
      </c>
      <c r="F256" s="164" t="s">
        <v>4943</v>
      </c>
      <c r="G256" s="163" t="s">
        <v>4944</v>
      </c>
      <c r="H256" s="163" t="s">
        <v>4945</v>
      </c>
      <c r="I256" s="164" t="s">
        <v>36</v>
      </c>
      <c r="J256" s="163"/>
      <c r="K256" s="163"/>
      <c r="L256" s="163"/>
      <c r="M256" s="163"/>
      <c r="N256" s="163"/>
      <c r="O256" s="163"/>
      <c r="P256" s="163"/>
      <c r="Q256" s="163"/>
      <c r="R256" s="163"/>
      <c r="S256" s="163"/>
      <c r="T256" s="163"/>
      <c r="U256" s="163"/>
      <c r="V256" s="163"/>
      <c r="W256" s="163"/>
      <c r="X256" s="163"/>
      <c r="Y256" s="163"/>
      <c r="Z256" s="163"/>
      <c r="AA256" s="163"/>
    </row>
    <row r="257" ht="14.25" customHeight="1">
      <c r="A257" s="163"/>
      <c r="B257" s="163"/>
      <c r="C257" s="164" t="s">
        <v>4946</v>
      </c>
      <c r="D257" s="163"/>
      <c r="E257" s="219" t="s">
        <v>4811</v>
      </c>
      <c r="F257" s="163" t="s">
        <v>4947</v>
      </c>
      <c r="G257" s="163" t="s">
        <v>4948</v>
      </c>
      <c r="H257" s="163" t="s">
        <v>4949</v>
      </c>
      <c r="I257" s="164" t="s">
        <v>36</v>
      </c>
      <c r="J257" s="163"/>
      <c r="K257" s="163"/>
      <c r="L257" s="163"/>
      <c r="M257" s="163"/>
      <c r="N257" s="163"/>
      <c r="O257" s="163"/>
      <c r="P257" s="163"/>
      <c r="Q257" s="163"/>
      <c r="R257" s="163"/>
      <c r="S257" s="163"/>
      <c r="T257" s="163"/>
      <c r="U257" s="163"/>
      <c r="V257" s="163"/>
      <c r="W257" s="163"/>
      <c r="X257" s="163"/>
      <c r="Y257" s="163"/>
      <c r="Z257" s="163"/>
      <c r="AA257" s="163"/>
    </row>
    <row r="258" ht="14.25" customHeight="1">
      <c r="A258" s="163"/>
      <c r="B258" s="163"/>
      <c r="C258" s="164" t="s">
        <v>4950</v>
      </c>
      <c r="D258" s="163"/>
      <c r="E258" s="219" t="s">
        <v>4811</v>
      </c>
      <c r="F258" s="163" t="s">
        <v>4947</v>
      </c>
      <c r="G258" s="163" t="s">
        <v>4951</v>
      </c>
      <c r="H258" s="163" t="s">
        <v>4952</v>
      </c>
      <c r="I258" s="164" t="s">
        <v>36</v>
      </c>
      <c r="J258" s="163"/>
      <c r="K258" s="163"/>
      <c r="L258" s="163"/>
      <c r="M258" s="163"/>
      <c r="N258" s="163"/>
      <c r="O258" s="163"/>
      <c r="P258" s="163"/>
      <c r="Q258" s="163"/>
      <c r="R258" s="163"/>
      <c r="S258" s="163"/>
      <c r="T258" s="163"/>
      <c r="U258" s="163"/>
      <c r="V258" s="163"/>
      <c r="W258" s="163"/>
      <c r="X258" s="163"/>
      <c r="Y258" s="163"/>
      <c r="Z258" s="163"/>
      <c r="AA258" s="163"/>
    </row>
    <row r="259" ht="14.25" customHeight="1">
      <c r="A259" s="163"/>
      <c r="B259" s="163"/>
      <c r="C259" s="164" t="s">
        <v>4953</v>
      </c>
      <c r="D259" s="163"/>
      <c r="E259" s="219" t="s">
        <v>4811</v>
      </c>
      <c r="F259" s="163" t="s">
        <v>4947</v>
      </c>
      <c r="G259" s="163" t="s">
        <v>4954</v>
      </c>
      <c r="H259" s="163" t="s">
        <v>4955</v>
      </c>
      <c r="I259" s="164" t="s">
        <v>36</v>
      </c>
      <c r="J259" s="163"/>
      <c r="K259" s="163"/>
      <c r="L259" s="163"/>
      <c r="M259" s="163"/>
      <c r="N259" s="163"/>
      <c r="O259" s="163"/>
      <c r="P259" s="163"/>
      <c r="Q259" s="163"/>
      <c r="R259" s="163"/>
      <c r="S259" s="163"/>
      <c r="T259" s="163"/>
      <c r="U259" s="163"/>
      <c r="V259" s="163"/>
      <c r="W259" s="163"/>
      <c r="X259" s="163"/>
      <c r="Y259" s="163"/>
      <c r="Z259" s="163"/>
      <c r="AA259" s="163"/>
    </row>
    <row r="260" ht="14.25" customHeight="1">
      <c r="A260" s="163"/>
      <c r="B260" s="163"/>
      <c r="C260" s="164" t="s">
        <v>4956</v>
      </c>
      <c r="D260" s="163"/>
      <c r="E260" s="219" t="s">
        <v>4811</v>
      </c>
      <c r="F260" s="163" t="s">
        <v>4947</v>
      </c>
      <c r="G260" s="163" t="s">
        <v>4957</v>
      </c>
      <c r="H260" s="163" t="s">
        <v>4958</v>
      </c>
      <c r="I260" s="164" t="s">
        <v>36</v>
      </c>
      <c r="J260" s="163"/>
      <c r="K260" s="163"/>
      <c r="L260" s="163"/>
      <c r="M260" s="163"/>
      <c r="N260" s="163"/>
      <c r="O260" s="163"/>
      <c r="P260" s="163"/>
      <c r="Q260" s="163"/>
      <c r="R260" s="163"/>
      <c r="S260" s="163"/>
      <c r="T260" s="163"/>
      <c r="U260" s="163"/>
      <c r="V260" s="163"/>
      <c r="W260" s="163"/>
      <c r="X260" s="163"/>
      <c r="Y260" s="163"/>
      <c r="Z260" s="163"/>
      <c r="AA260" s="163"/>
    </row>
    <row r="261" ht="14.25" customHeight="1">
      <c r="A261" s="163"/>
      <c r="B261" s="163"/>
      <c r="C261" s="164" t="s">
        <v>4959</v>
      </c>
      <c r="D261" s="163"/>
      <c r="E261" s="219" t="s">
        <v>4811</v>
      </c>
      <c r="F261" s="163" t="s">
        <v>4960</v>
      </c>
      <c r="G261" s="161" t="s">
        <v>4961</v>
      </c>
      <c r="H261" s="161" t="s">
        <v>4962</v>
      </c>
      <c r="I261" s="164" t="s">
        <v>36</v>
      </c>
      <c r="J261" s="163"/>
      <c r="K261" s="163"/>
      <c r="L261" s="163"/>
      <c r="M261" s="163"/>
      <c r="N261" s="163"/>
      <c r="O261" s="163"/>
      <c r="P261" s="163"/>
      <c r="Q261" s="163"/>
      <c r="R261" s="163"/>
      <c r="S261" s="163"/>
      <c r="T261" s="163"/>
      <c r="U261" s="163"/>
      <c r="V261" s="163"/>
      <c r="W261" s="163"/>
      <c r="X261" s="163"/>
      <c r="Y261" s="163"/>
      <c r="Z261" s="163"/>
      <c r="AA261" s="163"/>
    </row>
    <row r="262" ht="14.25" customHeight="1">
      <c r="A262" s="163"/>
      <c r="B262" s="163"/>
      <c r="C262" s="164" t="s">
        <v>4963</v>
      </c>
      <c r="D262" s="163"/>
      <c r="E262" s="215" t="s">
        <v>4964</v>
      </c>
      <c r="F262" s="163" t="s">
        <v>4965</v>
      </c>
      <c r="G262" s="163" t="s">
        <v>4966</v>
      </c>
      <c r="H262" s="163" t="s">
        <v>4967</v>
      </c>
      <c r="I262" s="164" t="s">
        <v>36</v>
      </c>
      <c r="J262" s="163"/>
      <c r="K262" s="163"/>
      <c r="L262" s="163"/>
      <c r="M262" s="163"/>
      <c r="N262" s="163"/>
      <c r="O262" s="163"/>
      <c r="P262" s="163"/>
      <c r="Q262" s="163"/>
      <c r="R262" s="163"/>
      <c r="S262" s="163"/>
      <c r="T262" s="163"/>
      <c r="U262" s="163"/>
      <c r="V262" s="163"/>
      <c r="W262" s="163"/>
      <c r="X262" s="163"/>
      <c r="Y262" s="163"/>
      <c r="Z262" s="163"/>
      <c r="AA262" s="163"/>
    </row>
    <row r="263" ht="14.25" customHeight="1">
      <c r="A263" s="163"/>
      <c r="B263" s="163"/>
      <c r="C263" s="164" t="s">
        <v>4968</v>
      </c>
      <c r="D263" s="163"/>
      <c r="E263" s="215" t="s">
        <v>4964</v>
      </c>
      <c r="F263" s="163" t="s">
        <v>4965</v>
      </c>
      <c r="G263" s="163" t="s">
        <v>4969</v>
      </c>
      <c r="H263" s="163" t="s">
        <v>4970</v>
      </c>
      <c r="I263" s="164" t="s">
        <v>36</v>
      </c>
      <c r="J263" s="163"/>
      <c r="K263" s="163"/>
      <c r="L263" s="163"/>
      <c r="M263" s="163"/>
      <c r="N263" s="163"/>
      <c r="O263" s="163"/>
      <c r="P263" s="163"/>
      <c r="Q263" s="163"/>
      <c r="R263" s="163"/>
      <c r="S263" s="163"/>
      <c r="T263" s="163"/>
      <c r="U263" s="163"/>
      <c r="V263" s="163"/>
      <c r="W263" s="163"/>
      <c r="X263" s="163"/>
      <c r="Y263" s="163"/>
      <c r="Z263" s="163"/>
      <c r="AA263" s="163"/>
    </row>
    <row r="264" ht="14.25" customHeight="1">
      <c r="A264" s="163"/>
      <c r="B264" s="163"/>
      <c r="C264" s="164" t="s">
        <v>4971</v>
      </c>
      <c r="D264" s="163"/>
      <c r="E264" s="215" t="s">
        <v>4964</v>
      </c>
      <c r="F264" s="163" t="s">
        <v>4965</v>
      </c>
      <c r="G264" s="163" t="s">
        <v>4972</v>
      </c>
      <c r="H264" s="163" t="s">
        <v>4973</v>
      </c>
      <c r="I264" s="164" t="s">
        <v>36</v>
      </c>
      <c r="J264" s="163"/>
      <c r="K264" s="163"/>
      <c r="L264" s="163"/>
      <c r="M264" s="163"/>
      <c r="N264" s="163"/>
      <c r="O264" s="163"/>
      <c r="P264" s="163"/>
      <c r="Q264" s="163"/>
      <c r="R264" s="163"/>
      <c r="S264" s="163"/>
      <c r="T264" s="163"/>
      <c r="U264" s="163"/>
      <c r="V264" s="163"/>
      <c r="W264" s="163"/>
      <c r="X264" s="163"/>
      <c r="Y264" s="163"/>
      <c r="Z264" s="163"/>
      <c r="AA264" s="163"/>
    </row>
    <row r="265" ht="14.25" customHeight="1">
      <c r="A265" s="163"/>
      <c r="B265" s="163"/>
      <c r="C265" s="164" t="s">
        <v>4974</v>
      </c>
      <c r="D265" s="163"/>
      <c r="E265" s="215" t="s">
        <v>4964</v>
      </c>
      <c r="F265" s="163" t="s">
        <v>4965</v>
      </c>
      <c r="G265" s="163" t="s">
        <v>4975</v>
      </c>
      <c r="H265" s="163" t="s">
        <v>4976</v>
      </c>
      <c r="I265" s="164" t="s">
        <v>36</v>
      </c>
      <c r="J265" s="163"/>
      <c r="K265" s="163"/>
      <c r="L265" s="163"/>
      <c r="M265" s="163"/>
      <c r="N265" s="163"/>
      <c r="O265" s="163"/>
      <c r="P265" s="163"/>
      <c r="Q265" s="163"/>
      <c r="R265" s="163"/>
      <c r="S265" s="163"/>
      <c r="T265" s="163"/>
      <c r="U265" s="163"/>
      <c r="V265" s="163"/>
      <c r="W265" s="163"/>
      <c r="X265" s="163"/>
      <c r="Y265" s="163"/>
      <c r="Z265" s="163"/>
      <c r="AA265" s="163"/>
    </row>
    <row r="266" ht="14.25" customHeight="1">
      <c r="A266" s="163"/>
      <c r="B266" s="163"/>
      <c r="C266" s="164" t="s">
        <v>4977</v>
      </c>
      <c r="D266" s="163"/>
      <c r="E266" s="215" t="s">
        <v>4964</v>
      </c>
      <c r="F266" s="163" t="s">
        <v>4965</v>
      </c>
      <c r="G266" s="163" t="s">
        <v>4978</v>
      </c>
      <c r="H266" s="163" t="s">
        <v>4979</v>
      </c>
      <c r="I266" s="164" t="s">
        <v>36</v>
      </c>
      <c r="J266" s="163"/>
      <c r="K266" s="163"/>
      <c r="L266" s="163"/>
      <c r="M266" s="163"/>
      <c r="N266" s="163"/>
      <c r="O266" s="163"/>
      <c r="P266" s="163"/>
      <c r="Q266" s="163"/>
      <c r="R266" s="163"/>
      <c r="S266" s="163"/>
      <c r="T266" s="163"/>
      <c r="U266" s="163"/>
      <c r="V266" s="163"/>
      <c r="W266" s="163"/>
      <c r="X266" s="163"/>
      <c r="Y266" s="163"/>
      <c r="Z266" s="163"/>
      <c r="AA266" s="163"/>
    </row>
    <row r="267" ht="14.25" customHeight="1">
      <c r="A267" s="163"/>
      <c r="B267" s="163"/>
      <c r="C267" s="164" t="s">
        <v>4980</v>
      </c>
      <c r="D267" s="163"/>
      <c r="E267" s="215" t="s">
        <v>4964</v>
      </c>
      <c r="F267" s="163" t="s">
        <v>4965</v>
      </c>
      <c r="G267" s="163" t="s">
        <v>4981</v>
      </c>
      <c r="H267" s="163" t="s">
        <v>4982</v>
      </c>
      <c r="I267" s="164" t="s">
        <v>36</v>
      </c>
      <c r="J267" s="163"/>
      <c r="K267" s="163"/>
      <c r="L267" s="163"/>
      <c r="M267" s="163"/>
      <c r="N267" s="163"/>
      <c r="O267" s="163"/>
      <c r="P267" s="163"/>
      <c r="Q267" s="163"/>
      <c r="R267" s="163"/>
      <c r="S267" s="163"/>
      <c r="T267" s="163"/>
      <c r="U267" s="163"/>
      <c r="V267" s="163"/>
      <c r="W267" s="163"/>
      <c r="X267" s="163"/>
      <c r="Y267" s="163"/>
      <c r="Z267" s="163"/>
      <c r="AA267" s="163"/>
    </row>
    <row r="268" ht="14.25" customHeight="1">
      <c r="A268" s="163"/>
      <c r="B268" s="163"/>
      <c r="C268" s="164" t="s">
        <v>4983</v>
      </c>
      <c r="D268" s="163"/>
      <c r="E268" s="215" t="s">
        <v>4964</v>
      </c>
      <c r="F268" s="163" t="s">
        <v>4965</v>
      </c>
      <c r="G268" s="163" t="s">
        <v>4984</v>
      </c>
      <c r="H268" s="163" t="s">
        <v>4985</v>
      </c>
      <c r="I268" s="164" t="s">
        <v>36</v>
      </c>
      <c r="J268" s="163"/>
      <c r="K268" s="163"/>
      <c r="L268" s="163"/>
      <c r="M268" s="163"/>
      <c r="N268" s="163"/>
      <c r="O268" s="163"/>
      <c r="P268" s="163"/>
      <c r="Q268" s="163"/>
      <c r="R268" s="163"/>
      <c r="S268" s="163"/>
      <c r="T268" s="163"/>
      <c r="U268" s="163"/>
      <c r="V268" s="163"/>
      <c r="W268" s="163"/>
      <c r="X268" s="163"/>
      <c r="Y268" s="163"/>
      <c r="Z268" s="163"/>
      <c r="AA268" s="163"/>
    </row>
    <row r="269" ht="14.25" customHeight="1">
      <c r="A269" s="163"/>
      <c r="B269" s="163"/>
      <c r="C269" s="164" t="s">
        <v>4986</v>
      </c>
      <c r="D269" s="163"/>
      <c r="E269" s="215" t="s">
        <v>4964</v>
      </c>
      <c r="F269" s="163" t="s">
        <v>4987</v>
      </c>
      <c r="G269" s="163" t="s">
        <v>4988</v>
      </c>
      <c r="H269" s="163" t="s">
        <v>4989</v>
      </c>
      <c r="I269" s="164" t="s">
        <v>36</v>
      </c>
      <c r="J269" s="163"/>
      <c r="K269" s="163"/>
      <c r="L269" s="163"/>
      <c r="M269" s="163"/>
      <c r="N269" s="163"/>
      <c r="O269" s="163"/>
      <c r="P269" s="163"/>
      <c r="Q269" s="163"/>
      <c r="R269" s="163"/>
      <c r="S269" s="163"/>
      <c r="T269" s="163"/>
      <c r="U269" s="163"/>
      <c r="V269" s="163"/>
      <c r="W269" s="163"/>
      <c r="X269" s="163"/>
      <c r="Y269" s="163"/>
      <c r="Z269" s="163"/>
      <c r="AA269" s="163"/>
    </row>
    <row r="270" ht="14.25" customHeight="1">
      <c r="A270" s="163"/>
      <c r="B270" s="163"/>
      <c r="C270" s="164" t="s">
        <v>4990</v>
      </c>
      <c r="D270" s="163"/>
      <c r="E270" s="215" t="s">
        <v>4991</v>
      </c>
      <c r="F270" s="163" t="s">
        <v>4992</v>
      </c>
      <c r="G270" s="161" t="s">
        <v>4993</v>
      </c>
      <c r="H270" s="161" t="s">
        <v>4994</v>
      </c>
      <c r="I270" s="164" t="s">
        <v>36</v>
      </c>
      <c r="J270" s="163"/>
      <c r="K270" s="163"/>
      <c r="L270" s="163"/>
      <c r="M270" s="163"/>
      <c r="N270" s="163"/>
      <c r="O270" s="163"/>
      <c r="P270" s="163"/>
      <c r="Q270" s="163"/>
      <c r="R270" s="163"/>
      <c r="S270" s="163"/>
      <c r="T270" s="163"/>
      <c r="U270" s="163"/>
      <c r="V270" s="163"/>
      <c r="W270" s="163"/>
      <c r="X270" s="163"/>
      <c r="Y270" s="163"/>
      <c r="Z270" s="163"/>
      <c r="AA270" s="163"/>
    </row>
    <row r="271" ht="14.25" customHeight="1">
      <c r="A271" s="163"/>
      <c r="B271" s="163"/>
      <c r="C271" s="164" t="s">
        <v>4995</v>
      </c>
      <c r="D271" s="163"/>
      <c r="E271" s="215" t="s">
        <v>4991</v>
      </c>
      <c r="F271" s="163" t="s">
        <v>4996</v>
      </c>
      <c r="G271" s="163" t="s">
        <v>4997</v>
      </c>
      <c r="H271" s="163" t="s">
        <v>4998</v>
      </c>
      <c r="I271" s="164" t="s">
        <v>36</v>
      </c>
      <c r="J271" s="163"/>
      <c r="K271" s="163"/>
      <c r="L271" s="163"/>
      <c r="M271" s="163"/>
      <c r="N271" s="163"/>
      <c r="O271" s="163"/>
      <c r="P271" s="163"/>
      <c r="Q271" s="163"/>
      <c r="R271" s="163"/>
      <c r="S271" s="163"/>
      <c r="T271" s="163"/>
      <c r="U271" s="163"/>
      <c r="V271" s="163"/>
      <c r="W271" s="163"/>
      <c r="X271" s="163"/>
      <c r="Y271" s="163"/>
      <c r="Z271" s="163"/>
      <c r="AA271" s="163"/>
    </row>
    <row r="272" ht="14.25" customHeight="1">
      <c r="A272" s="163"/>
      <c r="B272" s="163"/>
      <c r="C272" s="164" t="s">
        <v>4999</v>
      </c>
      <c r="D272" s="163"/>
      <c r="E272" s="215" t="s">
        <v>4991</v>
      </c>
      <c r="F272" s="163" t="s">
        <v>5000</v>
      </c>
      <c r="G272" s="163" t="s">
        <v>5001</v>
      </c>
      <c r="H272" s="163" t="s">
        <v>5002</v>
      </c>
      <c r="I272" s="164" t="s">
        <v>36</v>
      </c>
      <c r="J272" s="163"/>
      <c r="K272" s="163"/>
      <c r="L272" s="163"/>
      <c r="M272" s="163"/>
      <c r="N272" s="163"/>
      <c r="O272" s="163"/>
      <c r="P272" s="163"/>
      <c r="Q272" s="163"/>
      <c r="R272" s="163"/>
      <c r="S272" s="163"/>
      <c r="T272" s="163"/>
      <c r="U272" s="163"/>
      <c r="V272" s="163"/>
      <c r="W272" s="163"/>
      <c r="X272" s="163"/>
      <c r="Y272" s="163"/>
      <c r="Z272" s="163"/>
      <c r="AA272" s="163"/>
    </row>
    <row r="273" ht="14.25" customHeight="1">
      <c r="A273" s="163"/>
      <c r="B273" s="163"/>
      <c r="C273" s="164" t="s">
        <v>5003</v>
      </c>
      <c r="D273" s="163"/>
      <c r="E273" s="215" t="s">
        <v>4991</v>
      </c>
      <c r="F273" s="163" t="s">
        <v>5004</v>
      </c>
      <c r="G273" s="163" t="s">
        <v>5005</v>
      </c>
      <c r="H273" s="163" t="s">
        <v>5006</v>
      </c>
      <c r="I273" s="164" t="s">
        <v>36</v>
      </c>
      <c r="J273" s="163"/>
      <c r="K273" s="163"/>
      <c r="L273" s="163"/>
      <c r="M273" s="163"/>
      <c r="N273" s="163"/>
      <c r="O273" s="163"/>
      <c r="P273" s="163"/>
      <c r="Q273" s="163"/>
      <c r="R273" s="163"/>
      <c r="S273" s="163"/>
      <c r="T273" s="163"/>
      <c r="U273" s="163"/>
      <c r="V273" s="163"/>
      <c r="W273" s="163"/>
      <c r="X273" s="163"/>
      <c r="Y273" s="163"/>
      <c r="Z273" s="163"/>
      <c r="AA273" s="163"/>
    </row>
    <row r="274" ht="14.25" customHeight="1">
      <c r="A274" s="163"/>
      <c r="B274" s="163"/>
      <c r="C274" s="164" t="s">
        <v>5007</v>
      </c>
      <c r="D274" s="163"/>
      <c r="E274" s="215" t="s">
        <v>4991</v>
      </c>
      <c r="F274" s="163" t="s">
        <v>5008</v>
      </c>
      <c r="G274" s="163" t="s">
        <v>5009</v>
      </c>
      <c r="H274" s="163" t="s">
        <v>5010</v>
      </c>
      <c r="I274" s="164" t="s">
        <v>36</v>
      </c>
      <c r="J274" s="163"/>
      <c r="K274" s="163"/>
      <c r="L274" s="163"/>
      <c r="M274" s="163"/>
      <c r="N274" s="163"/>
      <c r="O274" s="163"/>
      <c r="P274" s="163"/>
      <c r="Q274" s="163"/>
      <c r="R274" s="163"/>
      <c r="S274" s="163"/>
      <c r="T274" s="163"/>
      <c r="U274" s="163"/>
      <c r="V274" s="163"/>
      <c r="W274" s="163"/>
      <c r="X274" s="163"/>
      <c r="Y274" s="163"/>
      <c r="Z274" s="163"/>
      <c r="AA274" s="163"/>
    </row>
    <row r="275" ht="14.25" customHeight="1">
      <c r="A275" s="163"/>
      <c r="B275" s="163"/>
      <c r="C275" s="164" t="s">
        <v>5011</v>
      </c>
      <c r="D275" s="163"/>
      <c r="E275" s="215" t="s">
        <v>4991</v>
      </c>
      <c r="F275" s="163" t="s">
        <v>5008</v>
      </c>
      <c r="G275" s="163" t="s">
        <v>5012</v>
      </c>
      <c r="H275" s="163" t="s">
        <v>5013</v>
      </c>
      <c r="I275" s="164" t="s">
        <v>36</v>
      </c>
      <c r="J275" s="163"/>
      <c r="K275" s="163"/>
      <c r="L275" s="163"/>
      <c r="M275" s="163"/>
      <c r="N275" s="163"/>
      <c r="O275" s="163"/>
      <c r="P275" s="163"/>
      <c r="Q275" s="163"/>
      <c r="R275" s="163"/>
      <c r="S275" s="163"/>
      <c r="T275" s="163"/>
      <c r="U275" s="163"/>
      <c r="V275" s="163"/>
      <c r="W275" s="163"/>
      <c r="X275" s="163"/>
      <c r="Y275" s="163"/>
      <c r="Z275" s="163"/>
      <c r="AA275" s="163"/>
    </row>
    <row r="276" ht="14.25" customHeight="1">
      <c r="A276" s="163"/>
      <c r="B276" s="163"/>
      <c r="C276" s="164" t="s">
        <v>5014</v>
      </c>
      <c r="D276" s="163"/>
      <c r="E276" s="215" t="s">
        <v>4991</v>
      </c>
      <c r="F276" s="163" t="s">
        <v>5004</v>
      </c>
      <c r="G276" s="163" t="s">
        <v>5015</v>
      </c>
      <c r="H276" s="164" t="s">
        <v>5016</v>
      </c>
      <c r="I276" s="164" t="s">
        <v>36</v>
      </c>
      <c r="J276" s="163"/>
      <c r="K276" s="163"/>
      <c r="L276" s="163"/>
      <c r="M276" s="163"/>
      <c r="N276" s="163"/>
      <c r="O276" s="163"/>
      <c r="P276" s="163"/>
      <c r="Q276" s="163"/>
      <c r="R276" s="163"/>
      <c r="S276" s="163"/>
      <c r="T276" s="163"/>
      <c r="U276" s="163"/>
      <c r="V276" s="163"/>
      <c r="W276" s="163"/>
      <c r="X276" s="163"/>
      <c r="Y276" s="163"/>
      <c r="Z276" s="163"/>
      <c r="AA276" s="163"/>
    </row>
    <row r="277" ht="14.25" customHeight="1">
      <c r="A277" s="163"/>
      <c r="B277" s="163"/>
      <c r="C277" s="164" t="s">
        <v>5017</v>
      </c>
      <c r="D277" s="163"/>
      <c r="E277" s="215" t="s">
        <v>4991</v>
      </c>
      <c r="F277" s="163" t="s">
        <v>5018</v>
      </c>
      <c r="G277" s="163" t="s">
        <v>5009</v>
      </c>
      <c r="H277" s="163" t="s">
        <v>5010</v>
      </c>
      <c r="I277" s="164" t="s">
        <v>36</v>
      </c>
      <c r="J277" s="163"/>
      <c r="K277" s="163"/>
      <c r="L277" s="163"/>
      <c r="M277" s="163"/>
      <c r="N277" s="163"/>
      <c r="O277" s="163"/>
      <c r="P277" s="163"/>
      <c r="Q277" s="163"/>
      <c r="R277" s="163"/>
      <c r="S277" s="163"/>
      <c r="T277" s="163"/>
      <c r="U277" s="163"/>
      <c r="V277" s="163"/>
      <c r="W277" s="163"/>
      <c r="X277" s="163"/>
      <c r="Y277" s="163"/>
      <c r="Z277" s="163"/>
      <c r="AA277" s="163"/>
    </row>
    <row r="278" ht="14.25" customHeight="1">
      <c r="A278" s="163"/>
      <c r="B278" s="163"/>
      <c r="C278" s="164" t="s">
        <v>5019</v>
      </c>
      <c r="D278" s="163"/>
      <c r="E278" s="215" t="s">
        <v>4991</v>
      </c>
      <c r="F278" s="163" t="s">
        <v>5004</v>
      </c>
      <c r="G278" s="163" t="s">
        <v>5020</v>
      </c>
      <c r="H278" s="164" t="s">
        <v>5021</v>
      </c>
      <c r="I278" s="164" t="s">
        <v>36</v>
      </c>
      <c r="J278" s="163"/>
      <c r="K278" s="163"/>
      <c r="L278" s="163"/>
      <c r="M278" s="163"/>
      <c r="N278" s="163"/>
      <c r="O278" s="163"/>
      <c r="P278" s="163"/>
      <c r="Q278" s="163"/>
      <c r="R278" s="163"/>
      <c r="S278" s="163"/>
      <c r="T278" s="163"/>
      <c r="U278" s="163"/>
      <c r="V278" s="163"/>
      <c r="W278" s="163"/>
      <c r="X278" s="163"/>
      <c r="Y278" s="163"/>
      <c r="Z278" s="163"/>
      <c r="AA278" s="163"/>
    </row>
    <row r="279" ht="14.25" customHeight="1">
      <c r="A279" s="163"/>
      <c r="B279" s="163"/>
      <c r="C279" s="164" t="s">
        <v>5022</v>
      </c>
      <c r="D279" s="163"/>
      <c r="E279" s="215" t="s">
        <v>4991</v>
      </c>
      <c r="F279" s="163" t="s">
        <v>5004</v>
      </c>
      <c r="G279" s="163" t="s">
        <v>5023</v>
      </c>
      <c r="H279" s="163" t="s">
        <v>5024</v>
      </c>
      <c r="I279" s="164" t="s">
        <v>36</v>
      </c>
      <c r="J279" s="163"/>
      <c r="K279" s="163"/>
      <c r="L279" s="163"/>
      <c r="M279" s="163"/>
      <c r="N279" s="163"/>
      <c r="O279" s="163"/>
      <c r="P279" s="163"/>
      <c r="Q279" s="163"/>
      <c r="R279" s="163"/>
      <c r="S279" s="163"/>
      <c r="T279" s="163"/>
      <c r="U279" s="163"/>
      <c r="V279" s="163"/>
      <c r="W279" s="163"/>
      <c r="X279" s="163"/>
      <c r="Y279" s="163"/>
      <c r="Z279" s="163"/>
      <c r="AA279" s="163"/>
    </row>
    <row r="280" ht="14.25" customHeight="1">
      <c r="A280" s="163"/>
      <c r="B280" s="163"/>
      <c r="C280" s="164" t="s">
        <v>5025</v>
      </c>
      <c r="D280" s="163"/>
      <c r="E280" s="215" t="s">
        <v>4991</v>
      </c>
      <c r="F280" s="163" t="s">
        <v>5026</v>
      </c>
      <c r="G280" s="164" t="s">
        <v>5027</v>
      </c>
      <c r="H280" s="163" t="s">
        <v>5028</v>
      </c>
      <c r="I280" s="164" t="s">
        <v>36</v>
      </c>
      <c r="J280" s="163"/>
      <c r="K280" s="163"/>
      <c r="L280" s="163"/>
      <c r="M280" s="163"/>
      <c r="N280" s="163"/>
      <c r="O280" s="163"/>
      <c r="P280" s="163"/>
      <c r="Q280" s="163"/>
      <c r="R280" s="163"/>
      <c r="S280" s="163"/>
      <c r="T280" s="163"/>
      <c r="U280" s="163"/>
      <c r="V280" s="163"/>
      <c r="W280" s="163"/>
      <c r="X280" s="163"/>
      <c r="Y280" s="163"/>
      <c r="Z280" s="163"/>
      <c r="AA280" s="163"/>
    </row>
    <row r="281" ht="14.25" customHeight="1">
      <c r="A281" s="163"/>
      <c r="B281" s="163"/>
      <c r="C281" s="164" t="s">
        <v>5029</v>
      </c>
      <c r="D281" s="163"/>
      <c r="E281" s="215" t="s">
        <v>4991</v>
      </c>
      <c r="F281" s="163" t="s">
        <v>4248</v>
      </c>
      <c r="G281" s="164" t="s">
        <v>5027</v>
      </c>
      <c r="H281" s="163" t="s">
        <v>4243</v>
      </c>
      <c r="I281" s="164" t="s">
        <v>36</v>
      </c>
      <c r="J281" s="163"/>
      <c r="K281" s="163"/>
      <c r="L281" s="163"/>
      <c r="M281" s="163"/>
      <c r="N281" s="163"/>
      <c r="O281" s="163"/>
      <c r="P281" s="163"/>
      <c r="Q281" s="163"/>
      <c r="R281" s="163"/>
      <c r="S281" s="163"/>
      <c r="T281" s="163"/>
      <c r="U281" s="163"/>
      <c r="V281" s="163"/>
      <c r="W281" s="163"/>
      <c r="X281" s="163"/>
      <c r="Y281" s="163"/>
      <c r="Z281" s="163"/>
      <c r="AA281" s="163"/>
    </row>
    <row r="282" ht="14.25" customHeight="1">
      <c r="A282" s="163"/>
      <c r="B282" s="163"/>
      <c r="C282" s="164" t="s">
        <v>5030</v>
      </c>
      <c r="D282" s="163"/>
      <c r="E282" s="214" t="s">
        <v>5031</v>
      </c>
      <c r="F282" s="163" t="s">
        <v>5032</v>
      </c>
      <c r="G282" s="163" t="s">
        <v>5033</v>
      </c>
      <c r="H282" s="163" t="s">
        <v>5034</v>
      </c>
      <c r="I282" s="164" t="s">
        <v>36</v>
      </c>
      <c r="J282" s="163"/>
      <c r="K282" s="163"/>
      <c r="L282" s="163"/>
      <c r="M282" s="163"/>
      <c r="N282" s="163"/>
      <c r="O282" s="163"/>
      <c r="P282" s="163"/>
      <c r="Q282" s="163"/>
      <c r="R282" s="163"/>
      <c r="S282" s="163"/>
      <c r="T282" s="163"/>
      <c r="U282" s="163"/>
      <c r="V282" s="163"/>
      <c r="W282" s="163"/>
      <c r="X282" s="163"/>
      <c r="Y282" s="163"/>
      <c r="Z282" s="163"/>
      <c r="AA282" s="163"/>
    </row>
    <row r="283" ht="14.25" customHeight="1">
      <c r="A283" s="163"/>
      <c r="B283" s="163"/>
      <c r="C283" s="164" t="s">
        <v>5035</v>
      </c>
      <c r="D283" s="163"/>
      <c r="E283" s="215" t="s">
        <v>5031</v>
      </c>
      <c r="F283" s="163" t="s">
        <v>5036</v>
      </c>
      <c r="G283" s="163" t="s">
        <v>5037</v>
      </c>
      <c r="H283" s="163" t="s">
        <v>5038</v>
      </c>
      <c r="I283" s="164" t="s">
        <v>36</v>
      </c>
      <c r="J283" s="163"/>
      <c r="K283" s="163"/>
      <c r="L283" s="163"/>
      <c r="M283" s="163"/>
      <c r="N283" s="163"/>
      <c r="O283" s="163"/>
      <c r="P283" s="163"/>
      <c r="Q283" s="163"/>
      <c r="R283" s="163"/>
      <c r="S283" s="163"/>
      <c r="T283" s="163"/>
      <c r="U283" s="163"/>
      <c r="V283" s="163"/>
      <c r="W283" s="163"/>
      <c r="X283" s="163"/>
      <c r="Y283" s="163"/>
      <c r="Z283" s="163"/>
      <c r="AA283" s="163"/>
    </row>
    <row r="284" ht="14.25" customHeight="1">
      <c r="A284" s="163"/>
      <c r="B284" s="163"/>
      <c r="C284" s="164" t="s">
        <v>5039</v>
      </c>
      <c r="D284" s="163"/>
      <c r="E284" s="215" t="s">
        <v>5031</v>
      </c>
      <c r="F284" s="163" t="s">
        <v>5040</v>
      </c>
      <c r="G284" s="163" t="s">
        <v>5041</v>
      </c>
      <c r="H284" s="163" t="s">
        <v>5042</v>
      </c>
      <c r="I284" s="164" t="s">
        <v>36</v>
      </c>
      <c r="J284" s="163"/>
      <c r="K284" s="163"/>
      <c r="L284" s="163"/>
      <c r="M284" s="163"/>
      <c r="N284" s="163"/>
      <c r="O284" s="163"/>
      <c r="P284" s="163"/>
      <c r="Q284" s="163"/>
      <c r="R284" s="163"/>
      <c r="S284" s="163"/>
      <c r="T284" s="163"/>
      <c r="U284" s="163"/>
      <c r="V284" s="163"/>
      <c r="W284" s="163"/>
      <c r="X284" s="163"/>
      <c r="Y284" s="163"/>
      <c r="Z284" s="163"/>
      <c r="AA284" s="163"/>
    </row>
    <row r="285" ht="14.25" customHeight="1">
      <c r="A285" s="163"/>
      <c r="B285" s="163"/>
      <c r="C285" s="164" t="s">
        <v>5043</v>
      </c>
      <c r="D285" s="163"/>
      <c r="E285" s="215" t="s">
        <v>5031</v>
      </c>
      <c r="F285" s="163" t="s">
        <v>5040</v>
      </c>
      <c r="G285" s="163" t="s">
        <v>5044</v>
      </c>
      <c r="H285" s="163" t="s">
        <v>5045</v>
      </c>
      <c r="I285" s="164" t="s">
        <v>36</v>
      </c>
      <c r="J285" s="163"/>
      <c r="K285" s="163"/>
      <c r="L285" s="163"/>
      <c r="M285" s="163"/>
      <c r="N285" s="163"/>
      <c r="O285" s="163"/>
      <c r="P285" s="163"/>
      <c r="Q285" s="163"/>
      <c r="R285" s="163"/>
      <c r="S285" s="163"/>
      <c r="T285" s="163"/>
      <c r="U285" s="163"/>
      <c r="V285" s="163"/>
      <c r="W285" s="163"/>
      <c r="X285" s="163"/>
      <c r="Y285" s="163"/>
      <c r="Z285" s="163"/>
      <c r="AA285" s="163"/>
    </row>
    <row r="286" ht="14.25" customHeight="1">
      <c r="A286" s="163"/>
      <c r="B286" s="163"/>
      <c r="C286" s="164" t="s">
        <v>5046</v>
      </c>
      <c r="D286" s="163"/>
      <c r="E286" s="215" t="s">
        <v>5031</v>
      </c>
      <c r="F286" s="163" t="s">
        <v>5047</v>
      </c>
      <c r="G286" s="163" t="s">
        <v>5048</v>
      </c>
      <c r="H286" s="163" t="s">
        <v>5049</v>
      </c>
      <c r="I286" s="164" t="s">
        <v>36</v>
      </c>
      <c r="J286" s="163"/>
      <c r="K286" s="163"/>
      <c r="L286" s="163"/>
      <c r="M286" s="163"/>
      <c r="N286" s="163"/>
      <c r="O286" s="163"/>
      <c r="P286" s="163"/>
      <c r="Q286" s="163"/>
      <c r="R286" s="163"/>
      <c r="S286" s="163"/>
      <c r="T286" s="163"/>
      <c r="U286" s="163"/>
      <c r="V286" s="163"/>
      <c r="W286" s="163"/>
      <c r="X286" s="163"/>
      <c r="Y286" s="163"/>
      <c r="Z286" s="163"/>
      <c r="AA286" s="163"/>
    </row>
    <row r="287" ht="14.25" customHeight="1">
      <c r="A287" s="163"/>
      <c r="B287" s="163"/>
      <c r="C287" s="164" t="s">
        <v>5050</v>
      </c>
      <c r="D287" s="163"/>
      <c r="E287" s="215" t="s">
        <v>5031</v>
      </c>
      <c r="F287" s="163" t="s">
        <v>5051</v>
      </c>
      <c r="G287" s="163" t="s">
        <v>5052</v>
      </c>
      <c r="H287" s="163" t="s">
        <v>5034</v>
      </c>
      <c r="I287" s="164" t="s">
        <v>36</v>
      </c>
      <c r="J287" s="163"/>
      <c r="K287" s="163"/>
      <c r="L287" s="163"/>
      <c r="M287" s="163"/>
      <c r="N287" s="163"/>
      <c r="O287" s="163"/>
      <c r="P287" s="163"/>
      <c r="Q287" s="163"/>
      <c r="R287" s="163"/>
      <c r="S287" s="163"/>
      <c r="T287" s="163"/>
      <c r="U287" s="163"/>
      <c r="V287" s="163"/>
      <c r="W287" s="163"/>
      <c r="X287" s="163"/>
      <c r="Y287" s="163"/>
      <c r="Z287" s="163"/>
      <c r="AA287" s="163"/>
    </row>
    <row r="288" ht="14.25" customHeight="1">
      <c r="A288" s="163"/>
      <c r="B288" s="163"/>
      <c r="C288" s="164" t="s">
        <v>5053</v>
      </c>
      <c r="D288" s="163"/>
      <c r="E288" s="215" t="s">
        <v>5031</v>
      </c>
      <c r="F288" s="163" t="s">
        <v>5054</v>
      </c>
      <c r="G288" s="163" t="s">
        <v>5055</v>
      </c>
      <c r="H288" s="163" t="s">
        <v>5056</v>
      </c>
      <c r="I288" s="164" t="s">
        <v>36</v>
      </c>
      <c r="J288" s="163"/>
      <c r="K288" s="163"/>
      <c r="L288" s="163"/>
      <c r="M288" s="163"/>
      <c r="N288" s="163"/>
      <c r="O288" s="163"/>
      <c r="P288" s="163"/>
      <c r="Q288" s="163"/>
      <c r="R288" s="163"/>
      <c r="S288" s="163"/>
      <c r="T288" s="163"/>
      <c r="U288" s="163"/>
      <c r="V288" s="163"/>
      <c r="W288" s="163"/>
      <c r="X288" s="163"/>
      <c r="Y288" s="163"/>
      <c r="Z288" s="163"/>
      <c r="AA288" s="163"/>
    </row>
    <row r="289" ht="14.25" customHeight="1">
      <c r="A289" s="163"/>
      <c r="B289" s="163"/>
      <c r="C289" s="164" t="s">
        <v>5057</v>
      </c>
      <c r="D289" s="163"/>
      <c r="E289" s="215" t="s">
        <v>5031</v>
      </c>
      <c r="F289" s="163" t="s">
        <v>5054</v>
      </c>
      <c r="G289" s="163" t="s">
        <v>5058</v>
      </c>
      <c r="H289" s="163" t="s">
        <v>5059</v>
      </c>
      <c r="I289" s="164" t="s">
        <v>36</v>
      </c>
      <c r="J289" s="163"/>
      <c r="K289" s="163"/>
      <c r="L289" s="163"/>
      <c r="M289" s="163"/>
      <c r="N289" s="163"/>
      <c r="O289" s="163"/>
      <c r="P289" s="163"/>
      <c r="Q289" s="163"/>
      <c r="R289" s="163"/>
      <c r="S289" s="163"/>
      <c r="T289" s="163"/>
      <c r="U289" s="163"/>
      <c r="V289" s="163"/>
      <c r="W289" s="163"/>
      <c r="X289" s="163"/>
      <c r="Y289" s="163"/>
      <c r="Z289" s="163"/>
      <c r="AA289" s="163"/>
    </row>
    <row r="290" ht="14.25" customHeight="1">
      <c r="A290" s="163"/>
      <c r="B290" s="163"/>
      <c r="C290" s="164" t="s">
        <v>5060</v>
      </c>
      <c r="D290" s="163"/>
      <c r="E290" s="215" t="s">
        <v>5031</v>
      </c>
      <c r="F290" s="163" t="s">
        <v>5061</v>
      </c>
      <c r="G290" s="163" t="s">
        <v>5062</v>
      </c>
      <c r="H290" s="163" t="s">
        <v>5063</v>
      </c>
      <c r="I290" s="164" t="s">
        <v>36</v>
      </c>
      <c r="J290" s="163"/>
      <c r="K290" s="163"/>
      <c r="L290" s="163"/>
      <c r="M290" s="163"/>
      <c r="N290" s="163"/>
      <c r="O290" s="163"/>
      <c r="P290" s="163"/>
      <c r="Q290" s="163"/>
      <c r="R290" s="163"/>
      <c r="S290" s="163"/>
      <c r="T290" s="163"/>
      <c r="U290" s="163"/>
      <c r="V290" s="163"/>
      <c r="W290" s="163"/>
      <c r="X290" s="163"/>
      <c r="Y290" s="163"/>
      <c r="Z290" s="163"/>
      <c r="AA290" s="163"/>
    </row>
    <row r="291" ht="14.25" customHeight="1">
      <c r="A291" s="163"/>
      <c r="B291" s="163"/>
      <c r="C291" s="164" t="s">
        <v>5064</v>
      </c>
      <c r="D291" s="163"/>
      <c r="E291" s="215" t="s">
        <v>5031</v>
      </c>
      <c r="F291" s="163" t="s">
        <v>5065</v>
      </c>
      <c r="G291" s="163" t="s">
        <v>5066</v>
      </c>
      <c r="H291" s="163" t="s">
        <v>5067</v>
      </c>
      <c r="I291" s="164" t="s">
        <v>36</v>
      </c>
      <c r="J291" s="163"/>
      <c r="K291" s="163"/>
      <c r="L291" s="163"/>
      <c r="M291" s="163"/>
      <c r="N291" s="163"/>
      <c r="O291" s="163"/>
      <c r="P291" s="163"/>
      <c r="Q291" s="163"/>
      <c r="R291" s="163"/>
      <c r="S291" s="163"/>
      <c r="T291" s="163"/>
      <c r="U291" s="163"/>
      <c r="V291" s="163"/>
      <c r="W291" s="163"/>
      <c r="X291" s="163"/>
      <c r="Y291" s="163"/>
      <c r="Z291" s="163"/>
      <c r="AA291" s="163"/>
    </row>
    <row r="292" ht="14.25" customHeight="1">
      <c r="A292" s="163"/>
      <c r="B292" s="163"/>
      <c r="C292" s="164" t="s">
        <v>5068</v>
      </c>
      <c r="D292" s="163"/>
      <c r="E292" s="215" t="s">
        <v>5031</v>
      </c>
      <c r="F292" s="163" t="s">
        <v>5069</v>
      </c>
      <c r="G292" s="163" t="s">
        <v>5070</v>
      </c>
      <c r="H292" s="163" t="s">
        <v>5056</v>
      </c>
      <c r="I292" s="164" t="s">
        <v>36</v>
      </c>
      <c r="J292" s="163"/>
      <c r="K292" s="163"/>
      <c r="L292" s="163"/>
      <c r="M292" s="163"/>
      <c r="N292" s="163"/>
      <c r="O292" s="163"/>
      <c r="P292" s="163"/>
      <c r="Q292" s="163"/>
      <c r="R292" s="163"/>
      <c r="S292" s="163"/>
      <c r="T292" s="163"/>
      <c r="U292" s="163"/>
      <c r="V292" s="163"/>
      <c r="W292" s="163"/>
      <c r="X292" s="163"/>
      <c r="Y292" s="163"/>
      <c r="Z292" s="163"/>
      <c r="AA292" s="163"/>
    </row>
    <row r="293" ht="14.25" customHeight="1">
      <c r="A293" s="163"/>
      <c r="B293" s="163"/>
      <c r="C293" s="164" t="s">
        <v>5071</v>
      </c>
      <c r="D293" s="163"/>
      <c r="E293" s="215" t="s">
        <v>5031</v>
      </c>
      <c r="F293" s="163" t="s">
        <v>5069</v>
      </c>
      <c r="G293" s="163" t="s">
        <v>5072</v>
      </c>
      <c r="H293" s="163" t="s">
        <v>5073</v>
      </c>
      <c r="I293" s="164" t="s">
        <v>36</v>
      </c>
      <c r="J293" s="163"/>
      <c r="K293" s="163"/>
      <c r="L293" s="163"/>
      <c r="M293" s="163"/>
      <c r="N293" s="163"/>
      <c r="O293" s="163"/>
      <c r="P293" s="163"/>
      <c r="Q293" s="163"/>
      <c r="R293" s="163"/>
      <c r="S293" s="163"/>
      <c r="T293" s="163"/>
      <c r="U293" s="163"/>
      <c r="V293" s="163"/>
      <c r="W293" s="163"/>
      <c r="X293" s="163"/>
      <c r="Y293" s="163"/>
      <c r="Z293" s="163"/>
      <c r="AA293" s="163"/>
    </row>
    <row r="294" ht="14.25" customHeight="1">
      <c r="A294" s="163"/>
      <c r="B294" s="163"/>
      <c r="C294" s="164" t="s">
        <v>5074</v>
      </c>
      <c r="D294" s="163"/>
      <c r="E294" s="215" t="s">
        <v>4099</v>
      </c>
      <c r="F294" s="163" t="s">
        <v>5075</v>
      </c>
      <c r="G294" s="163" t="s">
        <v>5076</v>
      </c>
      <c r="H294" s="163" t="s">
        <v>5077</v>
      </c>
      <c r="I294" s="164" t="s">
        <v>36</v>
      </c>
      <c r="J294" s="163"/>
      <c r="K294" s="163"/>
      <c r="L294" s="163"/>
      <c r="M294" s="163"/>
      <c r="N294" s="163"/>
      <c r="O294" s="163"/>
      <c r="P294" s="163"/>
      <c r="Q294" s="163"/>
      <c r="R294" s="163"/>
      <c r="S294" s="163"/>
      <c r="T294" s="163"/>
      <c r="U294" s="163"/>
      <c r="V294" s="163"/>
      <c r="W294" s="163"/>
      <c r="X294" s="163"/>
      <c r="Y294" s="163"/>
      <c r="Z294" s="163"/>
      <c r="AA294" s="163"/>
    </row>
    <row r="295" ht="14.25" customHeight="1">
      <c r="A295" s="163"/>
      <c r="B295" s="163"/>
      <c r="C295" s="164" t="s">
        <v>5078</v>
      </c>
      <c r="D295" s="163"/>
      <c r="E295" s="215" t="s">
        <v>4099</v>
      </c>
      <c r="F295" s="163" t="s">
        <v>4582</v>
      </c>
      <c r="G295" s="163" t="s">
        <v>5079</v>
      </c>
      <c r="H295" s="163" t="s">
        <v>4583</v>
      </c>
      <c r="I295" s="164" t="s">
        <v>36</v>
      </c>
      <c r="J295" s="163"/>
      <c r="K295" s="163"/>
      <c r="L295" s="163"/>
      <c r="M295" s="163"/>
      <c r="N295" s="163"/>
      <c r="O295" s="163"/>
      <c r="P295" s="163"/>
      <c r="Q295" s="163"/>
      <c r="R295" s="163"/>
      <c r="S295" s="163"/>
      <c r="T295" s="163"/>
      <c r="U295" s="163"/>
      <c r="V295" s="163"/>
      <c r="W295" s="163"/>
      <c r="X295" s="163"/>
      <c r="Y295" s="163"/>
      <c r="Z295" s="163"/>
      <c r="AA295" s="163"/>
    </row>
    <row r="296" ht="14.25" customHeight="1">
      <c r="A296" s="163"/>
      <c r="B296" s="163"/>
      <c r="C296" s="164" t="s">
        <v>5080</v>
      </c>
      <c r="D296" s="163"/>
      <c r="E296" s="215" t="s">
        <v>4099</v>
      </c>
      <c r="F296" s="163" t="s">
        <v>5081</v>
      </c>
      <c r="G296" s="163" t="s">
        <v>5082</v>
      </c>
      <c r="H296" s="163" t="s">
        <v>5083</v>
      </c>
      <c r="I296" s="164" t="s">
        <v>36</v>
      </c>
      <c r="J296" s="163"/>
      <c r="K296" s="163"/>
      <c r="L296" s="163"/>
      <c r="M296" s="163"/>
      <c r="N296" s="163"/>
      <c r="O296" s="163"/>
      <c r="P296" s="163"/>
      <c r="Q296" s="163"/>
      <c r="R296" s="163"/>
      <c r="S296" s="163"/>
      <c r="T296" s="163"/>
      <c r="U296" s="163"/>
      <c r="V296" s="163"/>
      <c r="W296" s="163"/>
      <c r="X296" s="163"/>
      <c r="Y296" s="163"/>
      <c r="Z296" s="163"/>
      <c r="AA296" s="163"/>
    </row>
    <row r="297" ht="14.25" customHeight="1">
      <c r="A297" s="163"/>
      <c r="B297" s="163"/>
      <c r="C297" s="164" t="s">
        <v>5084</v>
      </c>
      <c r="D297" s="163"/>
      <c r="E297" s="215" t="s">
        <v>4099</v>
      </c>
      <c r="F297" s="163" t="s">
        <v>5085</v>
      </c>
      <c r="G297" s="163" t="s">
        <v>5086</v>
      </c>
      <c r="H297" s="163" t="s">
        <v>5087</v>
      </c>
      <c r="I297" s="164" t="s">
        <v>36</v>
      </c>
      <c r="J297" s="163"/>
      <c r="K297" s="163"/>
      <c r="L297" s="163"/>
      <c r="M297" s="163"/>
      <c r="N297" s="163"/>
      <c r="O297" s="163"/>
      <c r="P297" s="163"/>
      <c r="Q297" s="163"/>
      <c r="R297" s="163"/>
      <c r="S297" s="163"/>
      <c r="T297" s="163"/>
      <c r="U297" s="163"/>
      <c r="V297" s="163"/>
      <c r="W297" s="163"/>
      <c r="X297" s="163"/>
      <c r="Y297" s="163"/>
      <c r="Z297" s="163"/>
      <c r="AA297" s="163"/>
    </row>
    <row r="298" ht="14.25" customHeight="1">
      <c r="A298" s="163"/>
      <c r="B298" s="163"/>
      <c r="C298" s="164" t="s">
        <v>5088</v>
      </c>
      <c r="D298" s="163"/>
      <c r="E298" s="215" t="s">
        <v>4099</v>
      </c>
      <c r="F298" s="163" t="s">
        <v>5089</v>
      </c>
      <c r="G298" s="163" t="s">
        <v>5090</v>
      </c>
      <c r="H298" s="163" t="s">
        <v>5091</v>
      </c>
      <c r="I298" s="164" t="s">
        <v>36</v>
      </c>
      <c r="J298" s="163"/>
      <c r="K298" s="163"/>
      <c r="L298" s="163"/>
      <c r="M298" s="163"/>
      <c r="N298" s="163"/>
      <c r="O298" s="163"/>
      <c r="P298" s="163"/>
      <c r="Q298" s="163"/>
      <c r="R298" s="163"/>
      <c r="S298" s="163"/>
      <c r="T298" s="163"/>
      <c r="U298" s="163"/>
      <c r="V298" s="163"/>
      <c r="W298" s="163"/>
      <c r="X298" s="163"/>
      <c r="Y298" s="163"/>
      <c r="Z298" s="163"/>
      <c r="AA298" s="163"/>
    </row>
    <row r="299" ht="14.25" customHeight="1">
      <c r="A299" s="163"/>
      <c r="B299" s="163"/>
      <c r="C299" s="164" t="s">
        <v>5092</v>
      </c>
      <c r="D299" s="163"/>
      <c r="E299" s="215" t="s">
        <v>4099</v>
      </c>
      <c r="F299" s="163" t="s">
        <v>5093</v>
      </c>
      <c r="G299" s="163" t="s">
        <v>5094</v>
      </c>
      <c r="H299" s="163" t="s">
        <v>5095</v>
      </c>
      <c r="I299" s="164" t="s">
        <v>36</v>
      </c>
      <c r="J299" s="163"/>
      <c r="K299" s="163"/>
      <c r="L299" s="163"/>
      <c r="M299" s="163"/>
      <c r="N299" s="163"/>
      <c r="O299" s="163"/>
      <c r="P299" s="163"/>
      <c r="Q299" s="163"/>
      <c r="R299" s="163"/>
      <c r="S299" s="163"/>
      <c r="T299" s="163"/>
      <c r="U299" s="163"/>
      <c r="V299" s="163"/>
      <c r="W299" s="163"/>
      <c r="X299" s="163"/>
      <c r="Y299" s="163"/>
      <c r="Z299" s="163"/>
      <c r="AA299" s="163"/>
    </row>
    <row r="300" ht="14.25" customHeight="1">
      <c r="A300" s="163"/>
      <c r="B300" s="163"/>
      <c r="C300" s="164" t="s">
        <v>5096</v>
      </c>
      <c r="D300" s="163"/>
      <c r="E300" s="215" t="s">
        <v>4099</v>
      </c>
      <c r="F300" s="163" t="s">
        <v>5097</v>
      </c>
      <c r="G300" s="163" t="s">
        <v>5098</v>
      </c>
      <c r="H300" s="163" t="s">
        <v>5099</v>
      </c>
      <c r="I300" s="164" t="s">
        <v>36</v>
      </c>
      <c r="J300" s="163"/>
      <c r="K300" s="163"/>
      <c r="L300" s="163"/>
      <c r="M300" s="163"/>
      <c r="N300" s="163"/>
      <c r="O300" s="163"/>
      <c r="P300" s="163"/>
      <c r="Q300" s="163"/>
      <c r="R300" s="163"/>
      <c r="S300" s="163"/>
      <c r="T300" s="163"/>
      <c r="U300" s="163"/>
      <c r="V300" s="163"/>
      <c r="W300" s="163"/>
      <c r="X300" s="163"/>
      <c r="Y300" s="163"/>
      <c r="Z300" s="163"/>
      <c r="AA300" s="163"/>
    </row>
    <row r="301" ht="14.25" customHeight="1">
      <c r="A301" s="163"/>
      <c r="B301" s="163"/>
      <c r="C301" s="164" t="s">
        <v>5100</v>
      </c>
      <c r="D301" s="163"/>
      <c r="E301" s="215" t="s">
        <v>4099</v>
      </c>
      <c r="F301" s="163" t="s">
        <v>5093</v>
      </c>
      <c r="G301" s="163" t="s">
        <v>5101</v>
      </c>
      <c r="H301" s="163" t="s">
        <v>5102</v>
      </c>
      <c r="I301" s="164" t="s">
        <v>36</v>
      </c>
      <c r="J301" s="163"/>
      <c r="K301" s="163"/>
      <c r="L301" s="163"/>
      <c r="M301" s="163"/>
      <c r="N301" s="163"/>
      <c r="O301" s="163"/>
      <c r="P301" s="163"/>
      <c r="Q301" s="163"/>
      <c r="R301" s="163"/>
      <c r="S301" s="163"/>
      <c r="T301" s="163"/>
      <c r="U301" s="163"/>
      <c r="V301" s="163"/>
      <c r="W301" s="163"/>
      <c r="X301" s="163"/>
      <c r="Y301" s="163"/>
      <c r="Z301" s="163"/>
      <c r="AA301" s="163"/>
    </row>
    <row r="302" ht="14.25" customHeight="1">
      <c r="A302" s="163"/>
      <c r="B302" s="163"/>
      <c r="C302" s="164" t="s">
        <v>5103</v>
      </c>
      <c r="D302" s="163"/>
      <c r="E302" s="215" t="s">
        <v>4099</v>
      </c>
      <c r="F302" s="163" t="s">
        <v>5093</v>
      </c>
      <c r="G302" s="163" t="s">
        <v>5104</v>
      </c>
      <c r="H302" s="163" t="s">
        <v>5105</v>
      </c>
      <c r="I302" s="164" t="s">
        <v>36</v>
      </c>
      <c r="J302" s="163"/>
      <c r="K302" s="163"/>
      <c r="L302" s="163"/>
      <c r="M302" s="163"/>
      <c r="N302" s="163"/>
      <c r="O302" s="163"/>
      <c r="P302" s="163"/>
      <c r="Q302" s="163"/>
      <c r="R302" s="163"/>
      <c r="S302" s="163"/>
      <c r="T302" s="163"/>
      <c r="U302" s="163"/>
      <c r="V302" s="163"/>
      <c r="W302" s="163"/>
      <c r="X302" s="163"/>
      <c r="Y302" s="163"/>
      <c r="Z302" s="163"/>
      <c r="AA302" s="163"/>
    </row>
    <row r="303" ht="14.25" customHeight="1">
      <c r="A303" s="163"/>
      <c r="B303" s="163"/>
      <c r="C303" s="164" t="s">
        <v>5106</v>
      </c>
      <c r="D303" s="163"/>
      <c r="E303" s="215" t="s">
        <v>4099</v>
      </c>
      <c r="F303" s="163" t="s">
        <v>5093</v>
      </c>
      <c r="G303" s="163" t="s">
        <v>5107</v>
      </c>
      <c r="H303" s="163" t="s">
        <v>5108</v>
      </c>
      <c r="I303" s="164" t="s">
        <v>36</v>
      </c>
      <c r="J303" s="163"/>
      <c r="K303" s="163"/>
      <c r="L303" s="163"/>
      <c r="M303" s="163"/>
      <c r="N303" s="163"/>
      <c r="O303" s="163"/>
      <c r="P303" s="163"/>
      <c r="Q303" s="163"/>
      <c r="R303" s="163"/>
      <c r="S303" s="163"/>
      <c r="T303" s="163"/>
      <c r="U303" s="163"/>
      <c r="V303" s="163"/>
      <c r="W303" s="163"/>
      <c r="X303" s="163"/>
      <c r="Y303" s="163"/>
      <c r="Z303" s="163"/>
      <c r="AA303" s="163"/>
    </row>
    <row r="304" ht="14.25" customHeight="1">
      <c r="A304" s="163"/>
      <c r="B304" s="163"/>
      <c r="C304" s="164" t="s">
        <v>5109</v>
      </c>
      <c r="D304" s="163"/>
      <c r="E304" s="215" t="s">
        <v>4099</v>
      </c>
      <c r="F304" s="163" t="s">
        <v>5093</v>
      </c>
      <c r="G304" s="163" t="s">
        <v>5110</v>
      </c>
      <c r="H304" s="163" t="s">
        <v>5111</v>
      </c>
      <c r="I304" s="164" t="s">
        <v>36</v>
      </c>
      <c r="J304" s="163"/>
      <c r="K304" s="163"/>
      <c r="L304" s="163"/>
      <c r="M304" s="163"/>
      <c r="N304" s="163"/>
      <c r="O304" s="163"/>
      <c r="P304" s="163"/>
      <c r="Q304" s="163"/>
      <c r="R304" s="163"/>
      <c r="S304" s="163"/>
      <c r="T304" s="163"/>
      <c r="U304" s="163"/>
      <c r="V304" s="163"/>
      <c r="W304" s="163"/>
      <c r="X304" s="163"/>
      <c r="Y304" s="163"/>
      <c r="Z304" s="163"/>
      <c r="AA304" s="163"/>
    </row>
    <row r="305" ht="14.25" customHeight="1">
      <c r="A305" s="163"/>
      <c r="B305" s="163"/>
      <c r="C305" s="164" t="s">
        <v>5112</v>
      </c>
      <c r="D305" s="163"/>
      <c r="E305" s="215" t="s">
        <v>4099</v>
      </c>
      <c r="F305" s="163" t="s">
        <v>5093</v>
      </c>
      <c r="G305" s="163" t="s">
        <v>5113</v>
      </c>
      <c r="H305" s="163" t="s">
        <v>5114</v>
      </c>
      <c r="I305" s="164" t="s">
        <v>36</v>
      </c>
      <c r="J305" s="163"/>
      <c r="K305" s="163"/>
      <c r="L305" s="163"/>
      <c r="M305" s="163"/>
      <c r="N305" s="163"/>
      <c r="O305" s="163"/>
      <c r="P305" s="163"/>
      <c r="Q305" s="163"/>
      <c r="R305" s="163"/>
      <c r="S305" s="163"/>
      <c r="T305" s="163"/>
      <c r="U305" s="163"/>
      <c r="V305" s="163"/>
      <c r="W305" s="163"/>
      <c r="X305" s="163"/>
      <c r="Y305" s="163"/>
      <c r="Z305" s="163"/>
      <c r="AA305" s="163"/>
    </row>
    <row r="306" ht="14.25" customHeight="1">
      <c r="A306" s="163"/>
      <c r="B306" s="163"/>
      <c r="C306" s="164" t="s">
        <v>5115</v>
      </c>
      <c r="D306" s="163"/>
      <c r="E306" s="215" t="s">
        <v>4099</v>
      </c>
      <c r="F306" s="163" t="s">
        <v>5093</v>
      </c>
      <c r="G306" s="163" t="s">
        <v>5116</v>
      </c>
      <c r="H306" s="163" t="s">
        <v>5117</v>
      </c>
      <c r="I306" s="164" t="s">
        <v>36</v>
      </c>
      <c r="J306" s="163"/>
      <c r="K306" s="163"/>
      <c r="L306" s="163"/>
      <c r="M306" s="163"/>
      <c r="N306" s="163"/>
      <c r="O306" s="163"/>
      <c r="P306" s="163"/>
      <c r="Q306" s="163"/>
      <c r="R306" s="163"/>
      <c r="S306" s="163"/>
      <c r="T306" s="163"/>
      <c r="U306" s="163"/>
      <c r="V306" s="163"/>
      <c r="W306" s="163"/>
      <c r="X306" s="163"/>
      <c r="Y306" s="163"/>
      <c r="Z306" s="163"/>
      <c r="AA306" s="163"/>
    </row>
    <row r="307" ht="14.25" customHeight="1">
      <c r="A307" s="163"/>
      <c r="B307" s="163"/>
      <c r="C307" s="164" t="s">
        <v>5118</v>
      </c>
      <c r="D307" s="163"/>
      <c r="E307" s="215" t="s">
        <v>4099</v>
      </c>
      <c r="F307" s="163" t="s">
        <v>5093</v>
      </c>
      <c r="G307" s="163" t="s">
        <v>5119</v>
      </c>
      <c r="H307" s="163" t="s">
        <v>5120</v>
      </c>
      <c r="I307" s="164" t="s">
        <v>36</v>
      </c>
      <c r="J307" s="163"/>
      <c r="K307" s="163"/>
      <c r="L307" s="163"/>
      <c r="M307" s="163"/>
      <c r="N307" s="163"/>
      <c r="O307" s="163"/>
      <c r="P307" s="163"/>
      <c r="Q307" s="163"/>
      <c r="R307" s="163"/>
      <c r="S307" s="163"/>
      <c r="T307" s="163"/>
      <c r="U307" s="163"/>
      <c r="V307" s="163"/>
      <c r="W307" s="163"/>
      <c r="X307" s="163"/>
      <c r="Y307" s="163"/>
      <c r="Z307" s="163"/>
      <c r="AA307" s="163"/>
    </row>
    <row r="308" ht="14.25" customHeight="1">
      <c r="A308" s="163"/>
      <c r="B308" s="163"/>
      <c r="C308" s="164" t="s">
        <v>5121</v>
      </c>
      <c r="D308" s="163"/>
      <c r="E308" s="215" t="s">
        <v>4099</v>
      </c>
      <c r="F308" s="163" t="s">
        <v>5093</v>
      </c>
      <c r="G308" s="163" t="s">
        <v>5122</v>
      </c>
      <c r="H308" s="163" t="s">
        <v>5123</v>
      </c>
      <c r="I308" s="164" t="s">
        <v>36</v>
      </c>
      <c r="J308" s="163"/>
      <c r="K308" s="163"/>
      <c r="L308" s="163"/>
      <c r="M308" s="163"/>
      <c r="N308" s="163"/>
      <c r="O308" s="163"/>
      <c r="P308" s="163"/>
      <c r="Q308" s="163"/>
      <c r="R308" s="163"/>
      <c r="S308" s="163"/>
      <c r="T308" s="163"/>
      <c r="U308" s="163"/>
      <c r="V308" s="163"/>
      <c r="W308" s="163"/>
      <c r="X308" s="163"/>
      <c r="Y308" s="163"/>
      <c r="Z308" s="163"/>
      <c r="AA308" s="163"/>
    </row>
    <row r="309" ht="14.25" customHeight="1">
      <c r="A309" s="163"/>
      <c r="B309" s="163"/>
      <c r="C309" s="164" t="s">
        <v>5124</v>
      </c>
      <c r="D309" s="163"/>
      <c r="E309" s="215" t="s">
        <v>4099</v>
      </c>
      <c r="F309" s="163" t="s">
        <v>5093</v>
      </c>
      <c r="G309" s="163" t="s">
        <v>5125</v>
      </c>
      <c r="H309" s="163" t="s">
        <v>5126</v>
      </c>
      <c r="I309" s="164" t="s">
        <v>36</v>
      </c>
      <c r="J309" s="163"/>
      <c r="K309" s="163"/>
      <c r="L309" s="163"/>
      <c r="M309" s="163"/>
      <c r="N309" s="163"/>
      <c r="O309" s="163"/>
      <c r="P309" s="163"/>
      <c r="Q309" s="163"/>
      <c r="R309" s="163"/>
      <c r="S309" s="163"/>
      <c r="T309" s="163"/>
      <c r="U309" s="163"/>
      <c r="V309" s="163"/>
      <c r="W309" s="163"/>
      <c r="X309" s="163"/>
      <c r="Y309" s="163"/>
      <c r="Z309" s="163"/>
      <c r="AA309" s="163"/>
    </row>
    <row r="310" ht="14.25" customHeight="1">
      <c r="A310" s="163"/>
      <c r="B310" s="163"/>
      <c r="C310" s="164" t="s">
        <v>5127</v>
      </c>
      <c r="D310" s="163"/>
      <c r="E310" s="215" t="s">
        <v>4099</v>
      </c>
      <c r="F310" s="163" t="s">
        <v>5093</v>
      </c>
      <c r="G310" s="163" t="s">
        <v>5128</v>
      </c>
      <c r="H310" s="163" t="s">
        <v>5129</v>
      </c>
      <c r="I310" s="164" t="s">
        <v>36</v>
      </c>
      <c r="J310" s="163"/>
      <c r="K310" s="163"/>
      <c r="L310" s="163"/>
      <c r="M310" s="163"/>
      <c r="N310" s="163"/>
      <c r="O310" s="163"/>
      <c r="P310" s="163"/>
      <c r="Q310" s="163"/>
      <c r="R310" s="163"/>
      <c r="S310" s="163"/>
      <c r="T310" s="163"/>
      <c r="U310" s="163"/>
      <c r="V310" s="163"/>
      <c r="W310" s="163"/>
      <c r="X310" s="163"/>
      <c r="Y310" s="163"/>
      <c r="Z310" s="163"/>
      <c r="AA310" s="163"/>
    </row>
    <row r="311" ht="14.25" customHeight="1">
      <c r="A311" s="163"/>
      <c r="B311" s="163"/>
      <c r="C311" s="164" t="s">
        <v>5130</v>
      </c>
      <c r="D311" s="163"/>
      <c r="E311" s="215" t="s">
        <v>4099</v>
      </c>
      <c r="F311" s="163" t="s">
        <v>5093</v>
      </c>
      <c r="G311" s="163" t="s">
        <v>5131</v>
      </c>
      <c r="H311" s="163" t="s">
        <v>5132</v>
      </c>
      <c r="I311" s="164" t="s">
        <v>36</v>
      </c>
      <c r="J311" s="163"/>
      <c r="K311" s="163"/>
      <c r="L311" s="163"/>
      <c r="M311" s="163"/>
      <c r="N311" s="163"/>
      <c r="O311" s="163"/>
      <c r="P311" s="163"/>
      <c r="Q311" s="163"/>
      <c r="R311" s="163"/>
      <c r="S311" s="163"/>
      <c r="T311" s="163"/>
      <c r="U311" s="163"/>
      <c r="V311" s="163"/>
      <c r="W311" s="163"/>
      <c r="X311" s="163"/>
      <c r="Y311" s="163"/>
      <c r="Z311" s="163"/>
      <c r="AA311" s="163"/>
    </row>
    <row r="312" ht="14.25" customHeight="1">
      <c r="A312" s="163"/>
      <c r="B312" s="163"/>
      <c r="C312" s="164" t="s">
        <v>5133</v>
      </c>
      <c r="D312" s="163"/>
      <c r="E312" s="215" t="s">
        <v>4099</v>
      </c>
      <c r="F312" s="163" t="s">
        <v>5093</v>
      </c>
      <c r="G312" s="163" t="s">
        <v>5134</v>
      </c>
      <c r="H312" s="163" t="s">
        <v>5135</v>
      </c>
      <c r="I312" s="164" t="s">
        <v>36</v>
      </c>
      <c r="J312" s="163"/>
      <c r="K312" s="163"/>
      <c r="L312" s="163"/>
      <c r="M312" s="163"/>
      <c r="N312" s="163"/>
      <c r="O312" s="163"/>
      <c r="P312" s="163"/>
      <c r="Q312" s="163"/>
      <c r="R312" s="163"/>
      <c r="S312" s="163"/>
      <c r="T312" s="163"/>
      <c r="U312" s="163"/>
      <c r="V312" s="163"/>
      <c r="W312" s="163"/>
      <c r="X312" s="163"/>
      <c r="Y312" s="163"/>
      <c r="Z312" s="163"/>
      <c r="AA312" s="163"/>
    </row>
    <row r="313" ht="14.25" customHeight="1">
      <c r="A313" s="163"/>
      <c r="B313" s="163"/>
      <c r="C313" s="164" t="s">
        <v>5136</v>
      </c>
      <c r="D313" s="163"/>
      <c r="E313" s="215" t="s">
        <v>4099</v>
      </c>
      <c r="F313" s="163" t="s">
        <v>5093</v>
      </c>
      <c r="G313" s="163" t="s">
        <v>5137</v>
      </c>
      <c r="H313" s="163" t="s">
        <v>5138</v>
      </c>
      <c r="I313" s="164" t="s">
        <v>36</v>
      </c>
      <c r="J313" s="163"/>
      <c r="K313" s="163"/>
      <c r="L313" s="163"/>
      <c r="M313" s="163"/>
      <c r="N313" s="163"/>
      <c r="O313" s="163"/>
      <c r="P313" s="163"/>
      <c r="Q313" s="163"/>
      <c r="R313" s="163"/>
      <c r="S313" s="163"/>
      <c r="T313" s="163"/>
      <c r="U313" s="163"/>
      <c r="V313" s="163"/>
      <c r="W313" s="163"/>
      <c r="X313" s="163"/>
      <c r="Y313" s="163"/>
      <c r="Z313" s="163"/>
      <c r="AA313" s="163"/>
    </row>
    <row r="314" ht="14.25" customHeight="1">
      <c r="A314" s="163"/>
      <c r="B314" s="163"/>
      <c r="C314" s="164" t="s">
        <v>5139</v>
      </c>
      <c r="D314" s="163"/>
      <c r="E314" s="215" t="s">
        <v>4099</v>
      </c>
      <c r="F314" s="163" t="s">
        <v>5093</v>
      </c>
      <c r="G314" s="163" t="s">
        <v>5140</v>
      </c>
      <c r="H314" s="163" t="s">
        <v>5141</v>
      </c>
      <c r="I314" s="164" t="s">
        <v>36</v>
      </c>
      <c r="J314" s="163"/>
      <c r="K314" s="163"/>
      <c r="L314" s="163"/>
      <c r="M314" s="163"/>
      <c r="N314" s="163"/>
      <c r="O314" s="163"/>
      <c r="P314" s="163"/>
      <c r="Q314" s="163"/>
      <c r="R314" s="163"/>
      <c r="S314" s="163"/>
      <c r="T314" s="163"/>
      <c r="U314" s="163"/>
      <c r="V314" s="163"/>
      <c r="W314" s="163"/>
      <c r="X314" s="163"/>
      <c r="Y314" s="163"/>
      <c r="Z314" s="163"/>
      <c r="AA314" s="163"/>
    </row>
    <row r="315" ht="14.25" customHeight="1">
      <c r="A315" s="163"/>
      <c r="B315" s="163"/>
      <c r="C315" s="164" t="s">
        <v>5142</v>
      </c>
      <c r="D315" s="163"/>
      <c r="E315" s="215" t="s">
        <v>4099</v>
      </c>
      <c r="F315" s="163" t="s">
        <v>5093</v>
      </c>
      <c r="G315" s="163" t="s">
        <v>5143</v>
      </c>
      <c r="H315" s="163" t="s">
        <v>5144</v>
      </c>
      <c r="I315" s="164" t="s">
        <v>36</v>
      </c>
      <c r="J315" s="163"/>
      <c r="K315" s="163"/>
      <c r="L315" s="163"/>
      <c r="M315" s="163"/>
      <c r="N315" s="163"/>
      <c r="O315" s="163"/>
      <c r="P315" s="163"/>
      <c r="Q315" s="163"/>
      <c r="R315" s="163"/>
      <c r="S315" s="163"/>
      <c r="T315" s="163"/>
      <c r="U315" s="163"/>
      <c r="V315" s="163"/>
      <c r="W315" s="163"/>
      <c r="X315" s="163"/>
      <c r="Y315" s="163"/>
      <c r="Z315" s="163"/>
      <c r="AA315" s="163"/>
    </row>
    <row r="316" ht="14.25" customHeight="1">
      <c r="A316" s="163"/>
      <c r="B316" s="163"/>
      <c r="C316" s="164" t="s">
        <v>5145</v>
      </c>
      <c r="D316" s="163"/>
      <c r="E316" s="215" t="s">
        <v>4099</v>
      </c>
      <c r="F316" s="163" t="s">
        <v>5093</v>
      </c>
      <c r="G316" s="163" t="s">
        <v>5146</v>
      </c>
      <c r="H316" s="163" t="s">
        <v>5147</v>
      </c>
      <c r="I316" s="164" t="s">
        <v>36</v>
      </c>
      <c r="J316" s="163"/>
      <c r="K316" s="163"/>
      <c r="L316" s="163"/>
      <c r="M316" s="163"/>
      <c r="N316" s="163"/>
      <c r="O316" s="163"/>
      <c r="P316" s="163"/>
      <c r="Q316" s="163"/>
      <c r="R316" s="163"/>
      <c r="S316" s="163"/>
      <c r="T316" s="163"/>
      <c r="U316" s="163"/>
      <c r="V316" s="163"/>
      <c r="W316" s="163"/>
      <c r="X316" s="163"/>
      <c r="Y316" s="163"/>
      <c r="Z316" s="163"/>
      <c r="AA316" s="163"/>
    </row>
    <row r="317" ht="14.25" customHeight="1">
      <c r="A317" s="163"/>
      <c r="B317" s="163"/>
      <c r="C317" s="164" t="s">
        <v>5148</v>
      </c>
      <c r="D317" s="163"/>
      <c r="E317" s="215" t="s">
        <v>4099</v>
      </c>
      <c r="F317" s="163" t="s">
        <v>5093</v>
      </c>
      <c r="G317" s="163" t="s">
        <v>5149</v>
      </c>
      <c r="H317" s="163" t="s">
        <v>5150</v>
      </c>
      <c r="I317" s="164" t="s">
        <v>36</v>
      </c>
      <c r="J317" s="163"/>
      <c r="K317" s="163"/>
      <c r="L317" s="163"/>
      <c r="M317" s="163"/>
      <c r="N317" s="163"/>
      <c r="O317" s="163"/>
      <c r="P317" s="163"/>
      <c r="Q317" s="163"/>
      <c r="R317" s="163"/>
      <c r="S317" s="163"/>
      <c r="T317" s="163"/>
      <c r="U317" s="163"/>
      <c r="V317" s="163"/>
      <c r="W317" s="163"/>
      <c r="X317" s="163"/>
      <c r="Y317" s="163"/>
      <c r="Z317" s="163"/>
      <c r="AA317" s="163"/>
    </row>
    <row r="318" ht="14.25" customHeight="1">
      <c r="A318" s="163"/>
      <c r="B318" s="163"/>
      <c r="C318" s="164" t="s">
        <v>5151</v>
      </c>
      <c r="D318" s="163"/>
      <c r="E318" s="215" t="s">
        <v>4099</v>
      </c>
      <c r="F318" s="163" t="s">
        <v>5093</v>
      </c>
      <c r="G318" s="163" t="s">
        <v>5152</v>
      </c>
      <c r="H318" s="163" t="s">
        <v>5153</v>
      </c>
      <c r="I318" s="164" t="s">
        <v>36</v>
      </c>
      <c r="J318" s="163"/>
      <c r="K318" s="163"/>
      <c r="L318" s="163"/>
      <c r="M318" s="163"/>
      <c r="N318" s="163"/>
      <c r="O318" s="163"/>
      <c r="P318" s="163"/>
      <c r="Q318" s="163"/>
      <c r="R318" s="163"/>
      <c r="S318" s="163"/>
      <c r="T318" s="163"/>
      <c r="U318" s="163"/>
      <c r="V318" s="163"/>
      <c r="W318" s="163"/>
      <c r="X318" s="163"/>
      <c r="Y318" s="163"/>
      <c r="Z318" s="163"/>
      <c r="AA318" s="163"/>
    </row>
    <row r="319" ht="14.25" customHeight="1">
      <c r="A319" s="163"/>
      <c r="B319" s="163"/>
      <c r="C319" s="164" t="s">
        <v>5154</v>
      </c>
      <c r="D319" s="163"/>
      <c r="E319" s="215" t="s">
        <v>4099</v>
      </c>
      <c r="F319" s="163" t="s">
        <v>5093</v>
      </c>
      <c r="G319" s="163" t="s">
        <v>5155</v>
      </c>
      <c r="H319" s="163" t="s">
        <v>5156</v>
      </c>
      <c r="I319" s="164" t="s">
        <v>36</v>
      </c>
      <c r="J319" s="163"/>
      <c r="K319" s="163"/>
      <c r="L319" s="163"/>
      <c r="M319" s="163"/>
      <c r="N319" s="163"/>
      <c r="O319" s="163"/>
      <c r="P319" s="163"/>
      <c r="Q319" s="163"/>
      <c r="R319" s="163"/>
      <c r="S319" s="163"/>
      <c r="T319" s="163"/>
      <c r="U319" s="163"/>
      <c r="V319" s="163"/>
      <c r="W319" s="163"/>
      <c r="X319" s="163"/>
      <c r="Y319" s="163"/>
      <c r="Z319" s="163"/>
      <c r="AA319" s="163"/>
    </row>
    <row r="320" ht="14.25" customHeight="1">
      <c r="A320" s="163"/>
      <c r="B320" s="163"/>
      <c r="C320" s="164" t="s">
        <v>5157</v>
      </c>
      <c r="D320" s="163"/>
      <c r="E320" s="215" t="s">
        <v>4099</v>
      </c>
      <c r="F320" s="163" t="s">
        <v>5093</v>
      </c>
      <c r="G320" s="163" t="s">
        <v>5158</v>
      </c>
      <c r="H320" s="163" t="s">
        <v>5159</v>
      </c>
      <c r="I320" s="164" t="s">
        <v>36</v>
      </c>
      <c r="J320" s="163"/>
      <c r="K320" s="163"/>
      <c r="L320" s="163"/>
      <c r="M320" s="163"/>
      <c r="N320" s="163"/>
      <c r="O320" s="163"/>
      <c r="P320" s="163"/>
      <c r="Q320" s="163"/>
      <c r="R320" s="163"/>
      <c r="S320" s="163"/>
      <c r="T320" s="163"/>
      <c r="U320" s="163"/>
      <c r="V320" s="163"/>
      <c r="W320" s="163"/>
      <c r="X320" s="163"/>
      <c r="Y320" s="163"/>
      <c r="Z320" s="163"/>
      <c r="AA320" s="163"/>
    </row>
    <row r="321" ht="14.25" customHeight="1">
      <c r="A321" s="163"/>
      <c r="B321" s="163"/>
      <c r="C321" s="164" t="s">
        <v>5160</v>
      </c>
      <c r="D321" s="163"/>
      <c r="E321" s="215" t="s">
        <v>4099</v>
      </c>
      <c r="F321" s="163" t="s">
        <v>5093</v>
      </c>
      <c r="G321" s="163" t="s">
        <v>5161</v>
      </c>
      <c r="H321" s="163" t="s">
        <v>5162</v>
      </c>
      <c r="I321" s="164" t="s">
        <v>36</v>
      </c>
      <c r="J321" s="163"/>
      <c r="K321" s="163"/>
      <c r="L321" s="163"/>
      <c r="M321" s="163"/>
      <c r="N321" s="163"/>
      <c r="O321" s="163"/>
      <c r="P321" s="163"/>
      <c r="Q321" s="163"/>
      <c r="R321" s="163"/>
      <c r="S321" s="163"/>
      <c r="T321" s="163"/>
      <c r="U321" s="163"/>
      <c r="V321" s="163"/>
      <c r="W321" s="163"/>
      <c r="X321" s="163"/>
      <c r="Y321" s="163"/>
      <c r="Z321" s="163"/>
      <c r="AA321" s="163"/>
    </row>
    <row r="322" ht="14.25" customHeight="1">
      <c r="A322" s="163"/>
      <c r="B322" s="163"/>
      <c r="C322" s="164" t="s">
        <v>5163</v>
      </c>
      <c r="D322" s="163"/>
      <c r="E322" s="215" t="s">
        <v>4099</v>
      </c>
      <c r="F322" s="163" t="s">
        <v>5093</v>
      </c>
      <c r="G322" s="163" t="s">
        <v>5164</v>
      </c>
      <c r="H322" s="163" t="s">
        <v>5165</v>
      </c>
      <c r="I322" s="164" t="s">
        <v>36</v>
      </c>
      <c r="J322" s="163"/>
      <c r="K322" s="163"/>
      <c r="L322" s="163"/>
      <c r="M322" s="163"/>
      <c r="N322" s="163"/>
      <c r="O322" s="163"/>
      <c r="P322" s="163"/>
      <c r="Q322" s="163"/>
      <c r="R322" s="163"/>
      <c r="S322" s="163"/>
      <c r="T322" s="163"/>
      <c r="U322" s="163"/>
      <c r="V322" s="163"/>
      <c r="W322" s="163"/>
      <c r="X322" s="163"/>
      <c r="Y322" s="163"/>
      <c r="Z322" s="163"/>
      <c r="AA322" s="163"/>
    </row>
    <row r="323" ht="14.25" customHeight="1">
      <c r="A323" s="163"/>
      <c r="B323" s="163"/>
      <c r="C323" s="164" t="s">
        <v>5166</v>
      </c>
      <c r="D323" s="163"/>
      <c r="E323" s="215" t="s">
        <v>4099</v>
      </c>
      <c r="F323" s="163" t="s">
        <v>5093</v>
      </c>
      <c r="G323" s="163" t="s">
        <v>5167</v>
      </c>
      <c r="H323" s="163" t="s">
        <v>5168</v>
      </c>
      <c r="I323" s="164" t="s">
        <v>36</v>
      </c>
      <c r="J323" s="163"/>
      <c r="K323" s="163"/>
      <c r="L323" s="163"/>
      <c r="M323" s="163"/>
      <c r="N323" s="163"/>
      <c r="O323" s="163"/>
      <c r="P323" s="163"/>
      <c r="Q323" s="163"/>
      <c r="R323" s="163"/>
      <c r="S323" s="163"/>
      <c r="T323" s="163"/>
      <c r="U323" s="163"/>
      <c r="V323" s="163"/>
      <c r="W323" s="163"/>
      <c r="X323" s="163"/>
      <c r="Y323" s="163"/>
      <c r="Z323" s="163"/>
      <c r="AA323" s="163"/>
    </row>
    <row r="324" ht="14.25" customHeight="1">
      <c r="A324" s="147" t="s">
        <v>5169</v>
      </c>
      <c r="B324" s="163"/>
      <c r="C324" s="147" t="s">
        <v>5170</v>
      </c>
      <c r="D324" s="163"/>
      <c r="E324" s="215" t="s">
        <v>4099</v>
      </c>
      <c r="F324" s="163" t="s">
        <v>5171</v>
      </c>
      <c r="G324" s="163" t="s">
        <v>5172</v>
      </c>
      <c r="H324" s="163" t="s">
        <v>5173</v>
      </c>
      <c r="I324" s="164" t="s">
        <v>36</v>
      </c>
      <c r="J324" s="163"/>
      <c r="K324" s="163"/>
      <c r="L324" s="163"/>
      <c r="M324" s="163"/>
      <c r="N324" s="163"/>
      <c r="O324" s="163"/>
      <c r="P324" s="163"/>
      <c r="Q324" s="163"/>
      <c r="R324" s="163"/>
      <c r="S324" s="163"/>
      <c r="T324" s="163"/>
      <c r="U324" s="163"/>
      <c r="V324" s="163"/>
      <c r="W324" s="163"/>
      <c r="X324" s="163"/>
      <c r="Y324" s="163"/>
      <c r="Z324" s="163"/>
      <c r="AA324" s="163"/>
    </row>
    <row r="325" ht="14.25" customHeight="1">
      <c r="A325" s="147" t="s">
        <v>5169</v>
      </c>
      <c r="B325" s="163"/>
      <c r="C325" s="147" t="s">
        <v>5174</v>
      </c>
      <c r="D325" s="163"/>
      <c r="E325" s="215" t="s">
        <v>4099</v>
      </c>
      <c r="F325" s="163" t="s">
        <v>5171</v>
      </c>
      <c r="G325" s="163" t="s">
        <v>5175</v>
      </c>
      <c r="H325" s="163" t="s">
        <v>5176</v>
      </c>
      <c r="I325" s="164" t="s">
        <v>36</v>
      </c>
      <c r="J325" s="163"/>
      <c r="K325" s="163"/>
      <c r="L325" s="163"/>
      <c r="M325" s="163"/>
      <c r="N325" s="163"/>
      <c r="O325" s="163"/>
      <c r="P325" s="163"/>
      <c r="Q325" s="163"/>
      <c r="R325" s="163"/>
      <c r="S325" s="163"/>
      <c r="T325" s="163"/>
      <c r="U325" s="163"/>
      <c r="V325" s="163"/>
      <c r="W325" s="163"/>
      <c r="X325" s="163"/>
      <c r="Y325" s="163"/>
      <c r="Z325" s="163"/>
      <c r="AA325" s="163"/>
    </row>
    <row r="326" ht="14.25" customHeight="1">
      <c r="A326" s="147" t="s">
        <v>5169</v>
      </c>
      <c r="B326" s="163"/>
      <c r="C326" s="147" t="s">
        <v>5177</v>
      </c>
      <c r="D326" s="163"/>
      <c r="E326" s="215" t="s">
        <v>4099</v>
      </c>
      <c r="F326" s="163" t="s">
        <v>5171</v>
      </c>
      <c r="G326" s="163" t="s">
        <v>5178</v>
      </c>
      <c r="H326" s="163" t="s">
        <v>5179</v>
      </c>
      <c r="I326" s="164" t="s">
        <v>36</v>
      </c>
      <c r="J326" s="163"/>
      <c r="K326" s="163"/>
      <c r="L326" s="163"/>
      <c r="M326" s="163"/>
      <c r="N326" s="163"/>
      <c r="O326" s="163"/>
      <c r="P326" s="163"/>
      <c r="Q326" s="163"/>
      <c r="R326" s="163"/>
      <c r="S326" s="163"/>
      <c r="T326" s="163"/>
      <c r="U326" s="163"/>
      <c r="V326" s="163"/>
      <c r="W326" s="163"/>
      <c r="X326" s="163"/>
      <c r="Y326" s="163"/>
      <c r="Z326" s="163"/>
      <c r="AA326" s="163"/>
    </row>
    <row r="327" ht="14.25" customHeight="1">
      <c r="A327" s="147" t="s">
        <v>5169</v>
      </c>
      <c r="B327" s="163"/>
      <c r="C327" s="147" t="s">
        <v>5180</v>
      </c>
      <c r="D327" s="163"/>
      <c r="E327" s="215" t="s">
        <v>4099</v>
      </c>
      <c r="F327" s="163" t="s">
        <v>5171</v>
      </c>
      <c r="G327" s="163" t="s">
        <v>5181</v>
      </c>
      <c r="H327" s="163" t="s">
        <v>5182</v>
      </c>
      <c r="I327" s="164" t="s">
        <v>36</v>
      </c>
      <c r="J327" s="163"/>
      <c r="K327" s="163"/>
      <c r="L327" s="163"/>
      <c r="M327" s="163"/>
      <c r="N327" s="163"/>
      <c r="O327" s="163"/>
      <c r="P327" s="163"/>
      <c r="Q327" s="163"/>
      <c r="R327" s="163"/>
      <c r="S327" s="163"/>
      <c r="T327" s="163"/>
      <c r="U327" s="163"/>
      <c r="V327" s="163"/>
      <c r="W327" s="163"/>
      <c r="X327" s="163"/>
      <c r="Y327" s="163"/>
      <c r="Z327" s="163"/>
      <c r="AA327" s="163"/>
    </row>
    <row r="328" ht="14.25" customHeight="1">
      <c r="A328" s="147" t="s">
        <v>5169</v>
      </c>
      <c r="B328" s="166" t="s">
        <v>5183</v>
      </c>
      <c r="C328" s="176" t="s">
        <v>5184</v>
      </c>
      <c r="D328" s="164" t="s">
        <v>271</v>
      </c>
      <c r="E328" s="215" t="s">
        <v>4099</v>
      </c>
      <c r="F328" s="161" t="s">
        <v>5185</v>
      </c>
      <c r="G328" s="161" t="s">
        <v>5186</v>
      </c>
      <c r="H328" s="161" t="s">
        <v>5187</v>
      </c>
      <c r="I328" s="164" t="s">
        <v>36</v>
      </c>
      <c r="J328" s="163"/>
      <c r="K328" s="163"/>
      <c r="L328" s="163"/>
      <c r="M328" s="163"/>
      <c r="N328" s="163"/>
      <c r="O328" s="163"/>
      <c r="P328" s="163"/>
      <c r="Q328" s="163"/>
      <c r="R328" s="163"/>
      <c r="S328" s="163"/>
      <c r="T328" s="163"/>
      <c r="U328" s="163"/>
      <c r="V328" s="163"/>
      <c r="W328" s="163"/>
      <c r="X328" s="163"/>
      <c r="Y328" s="163"/>
      <c r="Z328" s="163"/>
      <c r="AA328" s="163"/>
    </row>
    <row r="329" ht="14.25" customHeight="1">
      <c r="A329" s="164" t="s">
        <v>5188</v>
      </c>
      <c r="B329" s="108"/>
      <c r="C329" s="176" t="s">
        <v>5189</v>
      </c>
      <c r="D329" s="164" t="s">
        <v>271</v>
      </c>
      <c r="E329" s="215" t="s">
        <v>4099</v>
      </c>
      <c r="F329" s="161" t="s">
        <v>5190</v>
      </c>
      <c r="G329" s="161" t="s">
        <v>5191</v>
      </c>
      <c r="H329" s="161" t="s">
        <v>5192</v>
      </c>
      <c r="I329" s="164" t="s">
        <v>36</v>
      </c>
      <c r="J329" s="163"/>
      <c r="K329" s="163"/>
      <c r="L329" s="163"/>
      <c r="M329" s="163"/>
      <c r="N329" s="163"/>
      <c r="O329" s="163"/>
      <c r="P329" s="163"/>
      <c r="Q329" s="163"/>
      <c r="R329" s="163"/>
      <c r="S329" s="163"/>
      <c r="T329" s="163"/>
      <c r="U329" s="163"/>
      <c r="V329" s="163"/>
      <c r="W329" s="163"/>
      <c r="X329" s="163"/>
      <c r="Y329" s="163"/>
      <c r="Z329" s="163"/>
      <c r="AA329" s="163"/>
    </row>
    <row r="330" ht="14.25" customHeight="1">
      <c r="A330" s="164" t="s">
        <v>5188</v>
      </c>
      <c r="B330" s="108"/>
      <c r="C330" s="176" t="s">
        <v>5193</v>
      </c>
      <c r="D330" s="164" t="s">
        <v>271</v>
      </c>
      <c r="E330" s="215" t="s">
        <v>4099</v>
      </c>
      <c r="F330" s="161" t="s">
        <v>5190</v>
      </c>
      <c r="G330" s="161" t="s">
        <v>5194</v>
      </c>
      <c r="H330" s="161" t="s">
        <v>5195</v>
      </c>
      <c r="I330" s="164" t="s">
        <v>36</v>
      </c>
      <c r="J330" s="163"/>
      <c r="K330" s="163"/>
      <c r="L330" s="163"/>
      <c r="M330" s="163"/>
      <c r="N330" s="163"/>
      <c r="O330" s="163"/>
      <c r="P330" s="163"/>
      <c r="Q330" s="163"/>
      <c r="R330" s="163"/>
      <c r="S330" s="163"/>
      <c r="T330" s="163"/>
      <c r="U330" s="163"/>
      <c r="V330" s="163"/>
      <c r="W330" s="163"/>
      <c r="X330" s="163"/>
      <c r="Y330" s="163"/>
      <c r="Z330" s="163"/>
      <c r="AA330" s="163"/>
    </row>
    <row r="331" ht="14.25" customHeight="1">
      <c r="A331" s="164" t="s">
        <v>5188</v>
      </c>
      <c r="B331" s="108"/>
      <c r="C331" s="176" t="s">
        <v>5196</v>
      </c>
      <c r="D331" s="164" t="s">
        <v>271</v>
      </c>
      <c r="E331" s="215" t="s">
        <v>4099</v>
      </c>
      <c r="F331" s="161" t="s">
        <v>5197</v>
      </c>
      <c r="G331" s="161" t="s">
        <v>5198</v>
      </c>
      <c r="H331" s="161" t="s">
        <v>5199</v>
      </c>
      <c r="I331" s="164" t="s">
        <v>36</v>
      </c>
      <c r="J331" s="163"/>
      <c r="K331" s="163"/>
      <c r="L331" s="163"/>
      <c r="M331" s="163"/>
      <c r="N331" s="163"/>
      <c r="O331" s="163"/>
      <c r="P331" s="163"/>
      <c r="Q331" s="163"/>
      <c r="R331" s="163"/>
      <c r="S331" s="163"/>
      <c r="T331" s="163"/>
      <c r="U331" s="163"/>
      <c r="V331" s="163"/>
      <c r="W331" s="163"/>
      <c r="X331" s="163"/>
      <c r="Y331" s="163"/>
      <c r="Z331" s="163"/>
      <c r="AA331" s="163"/>
    </row>
    <row r="332" ht="14.25" customHeight="1">
      <c r="A332" s="164" t="s">
        <v>5188</v>
      </c>
      <c r="B332" s="108"/>
      <c r="C332" s="176" t="s">
        <v>5200</v>
      </c>
      <c r="D332" s="164" t="s">
        <v>271</v>
      </c>
      <c r="E332" s="215" t="s">
        <v>4099</v>
      </c>
      <c r="F332" s="161" t="s">
        <v>5201</v>
      </c>
      <c r="G332" s="161" t="s">
        <v>5202</v>
      </c>
      <c r="H332" s="161" t="s">
        <v>5203</v>
      </c>
      <c r="I332" s="164" t="s">
        <v>36</v>
      </c>
      <c r="J332" s="163"/>
      <c r="K332" s="163"/>
      <c r="L332" s="163"/>
      <c r="M332" s="163"/>
      <c r="N332" s="163"/>
      <c r="O332" s="163"/>
      <c r="P332" s="163"/>
      <c r="Q332" s="163"/>
      <c r="R332" s="163"/>
      <c r="S332" s="163"/>
      <c r="T332" s="163"/>
      <c r="U332" s="163"/>
      <c r="V332" s="163"/>
      <c r="W332" s="163"/>
      <c r="X332" s="163"/>
      <c r="Y332" s="163"/>
      <c r="Z332" s="163"/>
      <c r="AA332" s="163"/>
    </row>
    <row r="333" ht="14.25" customHeight="1">
      <c r="A333" s="164" t="s">
        <v>5188</v>
      </c>
      <c r="B333" s="108"/>
      <c r="C333" s="176" t="s">
        <v>5204</v>
      </c>
      <c r="D333" s="164" t="s">
        <v>271</v>
      </c>
      <c r="E333" s="215" t="s">
        <v>4099</v>
      </c>
      <c r="F333" s="161" t="s">
        <v>5205</v>
      </c>
      <c r="G333" s="161" t="s">
        <v>5206</v>
      </c>
      <c r="H333" s="161" t="s">
        <v>5207</v>
      </c>
      <c r="I333" s="164" t="s">
        <v>36</v>
      </c>
      <c r="J333" s="163"/>
      <c r="K333" s="163"/>
      <c r="L333" s="163"/>
      <c r="M333" s="163"/>
      <c r="N333" s="163"/>
      <c r="O333" s="163"/>
      <c r="P333" s="163"/>
      <c r="Q333" s="163"/>
      <c r="R333" s="163"/>
      <c r="S333" s="163"/>
      <c r="T333" s="163"/>
      <c r="U333" s="163"/>
      <c r="V333" s="163"/>
      <c r="W333" s="163"/>
      <c r="X333" s="163"/>
      <c r="Y333" s="163"/>
      <c r="Z333" s="163"/>
      <c r="AA333" s="163"/>
    </row>
    <row r="334" ht="14.25" customHeight="1">
      <c r="A334" s="164" t="s">
        <v>5188</v>
      </c>
      <c r="B334" s="109"/>
      <c r="C334" s="176" t="s">
        <v>5208</v>
      </c>
      <c r="D334" s="164" t="s">
        <v>271</v>
      </c>
      <c r="E334" s="215" t="s">
        <v>4099</v>
      </c>
      <c r="F334" s="161" t="s">
        <v>5205</v>
      </c>
      <c r="G334" s="161" t="s">
        <v>5209</v>
      </c>
      <c r="H334" s="161" t="s">
        <v>5210</v>
      </c>
      <c r="I334" s="164" t="s">
        <v>36</v>
      </c>
      <c r="J334" s="163"/>
      <c r="K334" s="163"/>
      <c r="L334" s="163"/>
      <c r="M334" s="163"/>
      <c r="N334" s="163"/>
      <c r="O334" s="163"/>
      <c r="P334" s="163"/>
      <c r="Q334" s="163"/>
      <c r="R334" s="163"/>
      <c r="S334" s="163"/>
      <c r="T334" s="163"/>
      <c r="U334" s="163"/>
      <c r="V334" s="163"/>
      <c r="W334" s="163"/>
      <c r="X334" s="163"/>
      <c r="Y334" s="163"/>
      <c r="Z334" s="163"/>
      <c r="AA334" s="163"/>
    </row>
    <row r="335" ht="14.25" customHeight="1">
      <c r="A335" s="163"/>
      <c r="B335" s="163"/>
      <c r="C335" s="164" t="s">
        <v>5211</v>
      </c>
      <c r="D335" s="163"/>
      <c r="E335" s="215" t="s">
        <v>4101</v>
      </c>
      <c r="F335" s="163" t="s">
        <v>5093</v>
      </c>
      <c r="G335" s="163" t="s">
        <v>5212</v>
      </c>
      <c r="H335" s="163" t="s">
        <v>5213</v>
      </c>
      <c r="I335" s="164" t="s">
        <v>36</v>
      </c>
      <c r="J335" s="163"/>
      <c r="K335" s="163"/>
      <c r="L335" s="163"/>
      <c r="M335" s="163"/>
      <c r="N335" s="163"/>
      <c r="O335" s="163"/>
      <c r="P335" s="163"/>
      <c r="Q335" s="163"/>
      <c r="R335" s="163"/>
      <c r="S335" s="163"/>
      <c r="T335" s="163"/>
      <c r="U335" s="163"/>
      <c r="V335" s="163"/>
      <c r="W335" s="163"/>
      <c r="X335" s="163"/>
      <c r="Y335" s="163"/>
      <c r="Z335" s="163"/>
      <c r="AA335" s="163"/>
    </row>
    <row r="336" ht="14.25" customHeight="1">
      <c r="A336" s="163"/>
      <c r="B336" s="163"/>
      <c r="C336" s="164" t="s">
        <v>5214</v>
      </c>
      <c r="D336" s="163"/>
      <c r="E336" s="215" t="s">
        <v>4101</v>
      </c>
      <c r="F336" s="163" t="s">
        <v>5093</v>
      </c>
      <c r="G336" s="163" t="s">
        <v>5215</v>
      </c>
      <c r="H336" s="163" t="s">
        <v>5102</v>
      </c>
      <c r="I336" s="164" t="s">
        <v>36</v>
      </c>
      <c r="J336" s="163"/>
      <c r="K336" s="163"/>
      <c r="L336" s="163"/>
      <c r="M336" s="163"/>
      <c r="N336" s="163"/>
      <c r="O336" s="163"/>
      <c r="P336" s="163"/>
      <c r="Q336" s="163"/>
      <c r="R336" s="163"/>
      <c r="S336" s="163"/>
      <c r="T336" s="163"/>
      <c r="U336" s="163"/>
      <c r="V336" s="163"/>
      <c r="W336" s="163"/>
      <c r="X336" s="163"/>
      <c r="Y336" s="163"/>
      <c r="Z336" s="163"/>
      <c r="AA336" s="163"/>
    </row>
    <row r="337" ht="14.25" customHeight="1">
      <c r="A337" s="163"/>
      <c r="B337" s="163"/>
      <c r="C337" s="164" t="s">
        <v>5216</v>
      </c>
      <c r="D337" s="163"/>
      <c r="E337" s="215" t="s">
        <v>4101</v>
      </c>
      <c r="F337" s="163" t="s">
        <v>5093</v>
      </c>
      <c r="G337" s="164" t="s">
        <v>5217</v>
      </c>
      <c r="H337" s="163" t="s">
        <v>5105</v>
      </c>
      <c r="I337" s="164" t="s">
        <v>36</v>
      </c>
      <c r="J337" s="163"/>
      <c r="K337" s="163"/>
      <c r="L337" s="163"/>
      <c r="M337" s="163"/>
      <c r="N337" s="163"/>
      <c r="O337" s="163"/>
      <c r="P337" s="163"/>
      <c r="Q337" s="163"/>
      <c r="R337" s="163"/>
      <c r="S337" s="163"/>
      <c r="T337" s="163"/>
      <c r="U337" s="163"/>
      <c r="V337" s="163"/>
      <c r="W337" s="163"/>
      <c r="X337" s="163"/>
      <c r="Y337" s="163"/>
      <c r="Z337" s="163"/>
      <c r="AA337" s="163"/>
    </row>
    <row r="338" ht="14.25" customHeight="1">
      <c r="A338" s="221" t="s">
        <v>5218</v>
      </c>
      <c r="B338" s="166" t="s">
        <v>5219</v>
      </c>
      <c r="C338" s="171" t="s">
        <v>5220</v>
      </c>
      <c r="D338" s="163"/>
      <c r="E338" s="215" t="s">
        <v>4101</v>
      </c>
      <c r="F338" s="163" t="s">
        <v>5221</v>
      </c>
      <c r="G338" s="163" t="s">
        <v>5222</v>
      </c>
      <c r="H338" s="163" t="s">
        <v>5223</v>
      </c>
      <c r="I338" s="164" t="s">
        <v>36</v>
      </c>
      <c r="J338" s="163"/>
      <c r="K338" s="163"/>
      <c r="L338" s="163"/>
      <c r="M338" s="163"/>
      <c r="N338" s="163"/>
      <c r="O338" s="163"/>
      <c r="P338" s="163"/>
      <c r="Q338" s="163"/>
      <c r="R338" s="163"/>
      <c r="S338" s="163"/>
      <c r="T338" s="163"/>
      <c r="U338" s="163"/>
      <c r="V338" s="163"/>
      <c r="W338" s="163"/>
      <c r="X338" s="163"/>
      <c r="Y338" s="163"/>
      <c r="Z338" s="163"/>
      <c r="AA338" s="163"/>
    </row>
    <row r="339" ht="14.25" customHeight="1">
      <c r="A339" s="221" t="s">
        <v>5218</v>
      </c>
      <c r="B339" s="108"/>
      <c r="C339" s="171" t="s">
        <v>5224</v>
      </c>
      <c r="D339" s="163"/>
      <c r="E339" s="215" t="s">
        <v>4101</v>
      </c>
      <c r="F339" s="163" t="s">
        <v>5225</v>
      </c>
      <c r="G339" s="163" t="s">
        <v>5226</v>
      </c>
      <c r="H339" s="163" t="s">
        <v>5227</v>
      </c>
      <c r="I339" s="164" t="s">
        <v>36</v>
      </c>
      <c r="J339" s="163"/>
      <c r="K339" s="163"/>
      <c r="L339" s="163"/>
      <c r="M339" s="163"/>
      <c r="N339" s="163"/>
      <c r="O339" s="163"/>
      <c r="P339" s="163"/>
      <c r="Q339" s="163"/>
      <c r="R339" s="163"/>
      <c r="S339" s="163"/>
      <c r="T339" s="163"/>
      <c r="U339" s="163"/>
      <c r="V339" s="163"/>
      <c r="W339" s="163"/>
      <c r="X339" s="163"/>
      <c r="Y339" s="163"/>
      <c r="Z339" s="163"/>
      <c r="AA339" s="163"/>
    </row>
    <row r="340" ht="14.25" customHeight="1">
      <c r="A340" s="221" t="s">
        <v>5218</v>
      </c>
      <c r="B340" s="108"/>
      <c r="C340" s="171" t="s">
        <v>5228</v>
      </c>
      <c r="D340" s="163"/>
      <c r="E340" s="215" t="s">
        <v>4101</v>
      </c>
      <c r="F340" s="163" t="s">
        <v>5229</v>
      </c>
      <c r="G340" s="163" t="s">
        <v>5230</v>
      </c>
      <c r="H340" s="163" t="s">
        <v>5231</v>
      </c>
      <c r="I340" s="164" t="s">
        <v>36</v>
      </c>
      <c r="J340" s="163"/>
      <c r="K340" s="163"/>
      <c r="L340" s="163"/>
      <c r="M340" s="163"/>
      <c r="N340" s="163"/>
      <c r="O340" s="163"/>
      <c r="P340" s="163"/>
      <c r="Q340" s="163"/>
      <c r="R340" s="163"/>
      <c r="S340" s="163"/>
      <c r="T340" s="163"/>
      <c r="U340" s="163"/>
      <c r="V340" s="163"/>
      <c r="W340" s="163"/>
      <c r="X340" s="163"/>
      <c r="Y340" s="163"/>
      <c r="Z340" s="163"/>
      <c r="AA340" s="163"/>
    </row>
    <row r="341" ht="14.25" customHeight="1">
      <c r="A341" s="221" t="s">
        <v>5218</v>
      </c>
      <c r="B341" s="108"/>
      <c r="C341" s="171" t="s">
        <v>5232</v>
      </c>
      <c r="D341" s="163"/>
      <c r="E341" s="215" t="s">
        <v>4101</v>
      </c>
      <c r="F341" s="163" t="s">
        <v>5229</v>
      </c>
      <c r="G341" s="163" t="s">
        <v>5233</v>
      </c>
      <c r="H341" s="163" t="s">
        <v>5234</v>
      </c>
      <c r="I341" s="164" t="s">
        <v>36</v>
      </c>
      <c r="J341" s="163"/>
      <c r="K341" s="163"/>
      <c r="L341" s="163"/>
      <c r="M341" s="163"/>
      <c r="N341" s="163"/>
      <c r="O341" s="163"/>
      <c r="P341" s="163"/>
      <c r="Q341" s="163"/>
      <c r="R341" s="163"/>
      <c r="S341" s="163"/>
      <c r="T341" s="163"/>
      <c r="U341" s="163"/>
      <c r="V341" s="163"/>
      <c r="W341" s="163"/>
      <c r="X341" s="163"/>
      <c r="Y341" s="163"/>
      <c r="Z341" s="163"/>
      <c r="AA341" s="163"/>
    </row>
    <row r="342" ht="14.25" customHeight="1">
      <c r="A342" s="221" t="s">
        <v>5218</v>
      </c>
      <c r="B342" s="108"/>
      <c r="C342" s="171" t="s">
        <v>5235</v>
      </c>
      <c r="D342" s="163"/>
      <c r="E342" s="215" t="s">
        <v>4101</v>
      </c>
      <c r="F342" s="163" t="s">
        <v>5229</v>
      </c>
      <c r="G342" s="163" t="s">
        <v>5236</v>
      </c>
      <c r="H342" s="163" t="s">
        <v>5231</v>
      </c>
      <c r="I342" s="164" t="s">
        <v>36</v>
      </c>
      <c r="J342" s="163"/>
      <c r="K342" s="163"/>
      <c r="L342" s="163"/>
      <c r="M342" s="163"/>
      <c r="N342" s="163"/>
      <c r="O342" s="163"/>
      <c r="P342" s="163"/>
      <c r="Q342" s="163"/>
      <c r="R342" s="163"/>
      <c r="S342" s="163"/>
      <c r="T342" s="163"/>
      <c r="U342" s="163"/>
      <c r="V342" s="163"/>
      <c r="W342" s="163"/>
      <c r="X342" s="163"/>
      <c r="Y342" s="163"/>
      <c r="Z342" s="163"/>
      <c r="AA342" s="163"/>
    </row>
    <row r="343" ht="14.25" customHeight="1">
      <c r="A343" s="221" t="s">
        <v>5218</v>
      </c>
      <c r="B343" s="108"/>
      <c r="C343" s="171" t="s">
        <v>5237</v>
      </c>
      <c r="D343" s="163"/>
      <c r="E343" s="215" t="s">
        <v>4101</v>
      </c>
      <c r="F343" s="163" t="s">
        <v>5229</v>
      </c>
      <c r="G343" s="163" t="s">
        <v>5238</v>
      </c>
      <c r="H343" s="163" t="s">
        <v>5234</v>
      </c>
      <c r="I343" s="164" t="s">
        <v>36</v>
      </c>
      <c r="J343" s="163"/>
      <c r="K343" s="163"/>
      <c r="L343" s="163"/>
      <c r="M343" s="163"/>
      <c r="N343" s="163"/>
      <c r="O343" s="163"/>
      <c r="P343" s="163"/>
      <c r="Q343" s="163"/>
      <c r="R343" s="163"/>
      <c r="S343" s="163"/>
      <c r="T343" s="163"/>
      <c r="U343" s="163"/>
      <c r="V343" s="163"/>
      <c r="W343" s="163"/>
      <c r="X343" s="163"/>
      <c r="Y343" s="163"/>
      <c r="Z343" s="163"/>
      <c r="AA343" s="163"/>
    </row>
    <row r="344" ht="14.25" customHeight="1">
      <c r="A344" s="221" t="s">
        <v>5218</v>
      </c>
      <c r="B344" s="108"/>
      <c r="C344" s="171" t="s">
        <v>5239</v>
      </c>
      <c r="D344" s="163"/>
      <c r="E344" s="215" t="s">
        <v>4101</v>
      </c>
      <c r="F344" s="163" t="s">
        <v>5229</v>
      </c>
      <c r="G344" s="163" t="s">
        <v>5240</v>
      </c>
      <c r="H344" s="163" t="s">
        <v>5241</v>
      </c>
      <c r="I344" s="164" t="s">
        <v>36</v>
      </c>
      <c r="J344" s="163"/>
      <c r="K344" s="163"/>
      <c r="L344" s="163"/>
      <c r="M344" s="163"/>
      <c r="N344" s="163"/>
      <c r="O344" s="163"/>
      <c r="P344" s="163"/>
      <c r="Q344" s="163"/>
      <c r="R344" s="163"/>
      <c r="S344" s="163"/>
      <c r="T344" s="163"/>
      <c r="U344" s="163"/>
      <c r="V344" s="163"/>
      <c r="W344" s="163"/>
      <c r="X344" s="163"/>
      <c r="Y344" s="163"/>
      <c r="Z344" s="163"/>
      <c r="AA344" s="163"/>
    </row>
    <row r="345" ht="14.25" customHeight="1">
      <c r="A345" s="221" t="s">
        <v>5218</v>
      </c>
      <c r="B345" s="108"/>
      <c r="C345" s="171" t="s">
        <v>5242</v>
      </c>
      <c r="D345" s="163"/>
      <c r="E345" s="215" t="s">
        <v>4101</v>
      </c>
      <c r="F345" s="163" t="s">
        <v>5243</v>
      </c>
      <c r="G345" s="163" t="s">
        <v>5244</v>
      </c>
      <c r="H345" s="163" t="s">
        <v>5245</v>
      </c>
      <c r="I345" s="164" t="s">
        <v>36</v>
      </c>
      <c r="J345" s="163"/>
      <c r="K345" s="163"/>
      <c r="L345" s="163"/>
      <c r="M345" s="163"/>
      <c r="N345" s="163"/>
      <c r="O345" s="163"/>
      <c r="P345" s="163"/>
      <c r="Q345" s="163"/>
      <c r="R345" s="163"/>
      <c r="S345" s="163"/>
      <c r="T345" s="163"/>
      <c r="U345" s="163"/>
      <c r="V345" s="163"/>
      <c r="W345" s="163"/>
      <c r="X345" s="163"/>
      <c r="Y345" s="163"/>
      <c r="Z345" s="163"/>
      <c r="AA345" s="163"/>
    </row>
    <row r="346" ht="14.25" customHeight="1">
      <c r="A346" s="221" t="s">
        <v>5218</v>
      </c>
      <c r="B346" s="108"/>
      <c r="C346" s="171" t="s">
        <v>5246</v>
      </c>
      <c r="D346" s="163"/>
      <c r="E346" s="215" t="s">
        <v>4101</v>
      </c>
      <c r="F346" s="163" t="s">
        <v>5229</v>
      </c>
      <c r="G346" s="163" t="s">
        <v>5247</v>
      </c>
      <c r="H346" s="163" t="s">
        <v>5241</v>
      </c>
      <c r="I346" s="164" t="s">
        <v>36</v>
      </c>
      <c r="J346" s="163"/>
      <c r="K346" s="163"/>
      <c r="L346" s="163"/>
      <c r="M346" s="163"/>
      <c r="N346" s="163"/>
      <c r="O346" s="163"/>
      <c r="P346" s="163"/>
      <c r="Q346" s="163"/>
      <c r="R346" s="163"/>
      <c r="S346" s="163"/>
      <c r="T346" s="163"/>
      <c r="U346" s="163"/>
      <c r="V346" s="163"/>
      <c r="W346" s="163"/>
      <c r="X346" s="163"/>
      <c r="Y346" s="163"/>
      <c r="Z346" s="163"/>
      <c r="AA346" s="163"/>
    </row>
    <row r="347" ht="14.25" customHeight="1">
      <c r="A347" s="221" t="s">
        <v>5218</v>
      </c>
      <c r="B347" s="108"/>
      <c r="C347" s="171" t="s">
        <v>5248</v>
      </c>
      <c r="D347" s="163"/>
      <c r="E347" s="215" t="s">
        <v>4101</v>
      </c>
      <c r="F347" s="163" t="s">
        <v>5229</v>
      </c>
      <c r="G347" s="163" t="s">
        <v>5249</v>
      </c>
      <c r="H347" s="163" t="s">
        <v>5250</v>
      </c>
      <c r="I347" s="164" t="s">
        <v>36</v>
      </c>
      <c r="J347" s="163"/>
      <c r="K347" s="163"/>
      <c r="L347" s="163"/>
      <c r="M347" s="163"/>
      <c r="N347" s="163"/>
      <c r="O347" s="163"/>
      <c r="P347" s="163"/>
      <c r="Q347" s="163"/>
      <c r="R347" s="163"/>
      <c r="S347" s="163"/>
      <c r="T347" s="163"/>
      <c r="U347" s="163"/>
      <c r="V347" s="163"/>
      <c r="W347" s="163"/>
      <c r="X347" s="163"/>
      <c r="Y347" s="163"/>
      <c r="Z347" s="163"/>
      <c r="AA347" s="163"/>
    </row>
    <row r="348" ht="14.25" customHeight="1">
      <c r="A348" s="221" t="s">
        <v>5218</v>
      </c>
      <c r="B348" s="108"/>
      <c r="C348" s="171" t="s">
        <v>5251</v>
      </c>
      <c r="D348" s="163"/>
      <c r="E348" s="215" t="s">
        <v>4101</v>
      </c>
      <c r="F348" s="163" t="s">
        <v>5252</v>
      </c>
      <c r="G348" s="163" t="s">
        <v>5253</v>
      </c>
      <c r="H348" s="163" t="s">
        <v>5254</v>
      </c>
      <c r="I348" s="164" t="s">
        <v>36</v>
      </c>
      <c r="J348" s="163"/>
      <c r="K348" s="163"/>
      <c r="L348" s="163"/>
      <c r="M348" s="163"/>
      <c r="N348" s="163"/>
      <c r="O348" s="163"/>
      <c r="P348" s="163"/>
      <c r="Q348" s="163"/>
      <c r="R348" s="163"/>
      <c r="S348" s="163"/>
      <c r="T348" s="163"/>
      <c r="U348" s="163"/>
      <c r="V348" s="163"/>
      <c r="W348" s="163"/>
      <c r="X348" s="163"/>
      <c r="Y348" s="163"/>
      <c r="Z348" s="163"/>
      <c r="AA348" s="163"/>
    </row>
    <row r="349" ht="14.25" customHeight="1">
      <c r="A349" s="221" t="s">
        <v>5218</v>
      </c>
      <c r="B349" s="109"/>
      <c r="C349" s="171" t="s">
        <v>5255</v>
      </c>
      <c r="D349" s="163"/>
      <c r="E349" s="215" t="s">
        <v>4101</v>
      </c>
      <c r="F349" s="163" t="s">
        <v>5256</v>
      </c>
      <c r="G349" s="163" t="s">
        <v>5257</v>
      </c>
      <c r="H349" s="163" t="s">
        <v>5258</v>
      </c>
      <c r="I349" s="164" t="s">
        <v>36</v>
      </c>
      <c r="J349" s="163"/>
      <c r="K349" s="163"/>
      <c r="L349" s="163"/>
      <c r="M349" s="163"/>
      <c r="N349" s="163"/>
      <c r="O349" s="163"/>
      <c r="P349" s="163"/>
      <c r="Q349" s="163"/>
      <c r="R349" s="163"/>
      <c r="S349" s="163"/>
      <c r="T349" s="163"/>
      <c r="U349" s="163"/>
      <c r="V349" s="163"/>
      <c r="W349" s="163"/>
      <c r="X349" s="163"/>
      <c r="Y349" s="163"/>
      <c r="Z349" s="163"/>
      <c r="AA349" s="163"/>
    </row>
    <row r="350" ht="14.25" customHeight="1">
      <c r="A350" s="163"/>
      <c r="B350" s="163"/>
      <c r="C350" s="164" t="s">
        <v>5216</v>
      </c>
      <c r="D350" s="163"/>
      <c r="E350" s="215" t="s">
        <v>5259</v>
      </c>
      <c r="F350" s="163" t="s">
        <v>5093</v>
      </c>
      <c r="G350" s="164" t="s">
        <v>5260</v>
      </c>
      <c r="H350" s="163" t="s">
        <v>5261</v>
      </c>
      <c r="I350" s="164" t="s">
        <v>36</v>
      </c>
      <c r="J350" s="163"/>
      <c r="K350" s="163"/>
      <c r="L350" s="163"/>
      <c r="M350" s="163"/>
      <c r="N350" s="163"/>
      <c r="O350" s="163"/>
      <c r="P350" s="163"/>
      <c r="Q350" s="163"/>
      <c r="R350" s="163"/>
      <c r="S350" s="163"/>
      <c r="T350" s="163"/>
      <c r="U350" s="163"/>
      <c r="V350" s="163"/>
      <c r="W350" s="163"/>
      <c r="X350" s="163"/>
      <c r="Y350" s="163"/>
      <c r="Z350" s="163"/>
      <c r="AA350" s="163"/>
    </row>
    <row r="351" ht="14.25" customHeight="1">
      <c r="A351" s="163"/>
      <c r="B351" s="163"/>
      <c r="C351" s="164" t="s">
        <v>5262</v>
      </c>
      <c r="D351" s="163"/>
      <c r="E351" s="215" t="s">
        <v>5259</v>
      </c>
      <c r="F351" s="163" t="s">
        <v>5093</v>
      </c>
      <c r="G351" s="164" t="s">
        <v>5260</v>
      </c>
      <c r="H351" s="163" t="s">
        <v>5263</v>
      </c>
      <c r="I351" s="164" t="s">
        <v>36</v>
      </c>
      <c r="J351" s="163"/>
      <c r="K351" s="163"/>
      <c r="L351" s="163"/>
      <c r="M351" s="163"/>
      <c r="N351" s="163"/>
      <c r="O351" s="163"/>
      <c r="P351" s="163"/>
      <c r="Q351" s="163"/>
      <c r="R351" s="163"/>
      <c r="S351" s="163"/>
      <c r="T351" s="163"/>
      <c r="U351" s="163"/>
      <c r="V351" s="163"/>
      <c r="W351" s="163"/>
      <c r="X351" s="163"/>
      <c r="Y351" s="163"/>
      <c r="Z351" s="163"/>
      <c r="AA351" s="163"/>
    </row>
    <row r="352" ht="14.25" customHeight="1">
      <c r="A352" s="163"/>
      <c r="B352" s="163"/>
      <c r="C352" s="164" t="s">
        <v>5264</v>
      </c>
      <c r="D352" s="163"/>
      <c r="E352" s="215" t="s">
        <v>5259</v>
      </c>
      <c r="F352" s="163" t="s">
        <v>5093</v>
      </c>
      <c r="G352" s="163" t="s">
        <v>5265</v>
      </c>
      <c r="H352" s="163" t="s">
        <v>5266</v>
      </c>
      <c r="I352" s="164" t="s">
        <v>36</v>
      </c>
      <c r="J352" s="163"/>
      <c r="K352" s="163"/>
      <c r="L352" s="163"/>
      <c r="M352" s="163"/>
      <c r="N352" s="163"/>
      <c r="O352" s="163"/>
      <c r="P352" s="163"/>
      <c r="Q352" s="163"/>
      <c r="R352" s="163"/>
      <c r="S352" s="163"/>
      <c r="T352" s="163"/>
      <c r="U352" s="163"/>
      <c r="V352" s="163"/>
      <c r="W352" s="163"/>
      <c r="X352" s="163"/>
      <c r="Y352" s="163"/>
      <c r="Z352" s="163"/>
      <c r="AA352" s="163"/>
    </row>
    <row r="353" ht="14.25" customHeight="1">
      <c r="A353" s="163"/>
      <c r="B353" s="163"/>
      <c r="C353" s="164" t="s">
        <v>5267</v>
      </c>
      <c r="D353" s="163"/>
      <c r="E353" s="215" t="s">
        <v>5259</v>
      </c>
      <c r="F353" s="163" t="s">
        <v>5093</v>
      </c>
      <c r="G353" s="163" t="s">
        <v>5268</v>
      </c>
      <c r="H353" s="163" t="s">
        <v>5269</v>
      </c>
      <c r="I353" s="164" t="s">
        <v>36</v>
      </c>
      <c r="J353" s="163"/>
      <c r="K353" s="163"/>
      <c r="L353" s="163"/>
      <c r="M353" s="163"/>
      <c r="N353" s="163"/>
      <c r="O353" s="163"/>
      <c r="P353" s="163"/>
      <c r="Q353" s="163"/>
      <c r="R353" s="163"/>
      <c r="S353" s="163"/>
      <c r="T353" s="163"/>
      <c r="U353" s="163"/>
      <c r="V353" s="163"/>
      <c r="W353" s="163"/>
      <c r="X353" s="163"/>
      <c r="Y353" s="163"/>
      <c r="Z353" s="163"/>
      <c r="AA353" s="163"/>
    </row>
    <row r="354" ht="14.25" customHeight="1">
      <c r="A354" s="163"/>
      <c r="B354" s="163"/>
      <c r="C354" s="164" t="s">
        <v>5270</v>
      </c>
      <c r="D354" s="163"/>
      <c r="E354" s="215" t="s">
        <v>5259</v>
      </c>
      <c r="F354" s="163" t="s">
        <v>5093</v>
      </c>
      <c r="G354" s="163" t="s">
        <v>5271</v>
      </c>
      <c r="H354" s="163" t="s">
        <v>5272</v>
      </c>
      <c r="I354" s="164" t="s">
        <v>36</v>
      </c>
      <c r="J354" s="163"/>
      <c r="K354" s="163"/>
      <c r="L354" s="163"/>
      <c r="M354" s="163"/>
      <c r="N354" s="163"/>
      <c r="O354" s="163"/>
      <c r="P354" s="163"/>
      <c r="Q354" s="163"/>
      <c r="R354" s="163"/>
      <c r="S354" s="163"/>
      <c r="T354" s="163"/>
      <c r="U354" s="163"/>
      <c r="V354" s="163"/>
      <c r="W354" s="163"/>
      <c r="X354" s="163"/>
      <c r="Y354" s="163"/>
      <c r="Z354" s="163"/>
      <c r="AA354" s="163"/>
    </row>
    <row r="355" ht="14.25" customHeight="1">
      <c r="A355" s="163"/>
      <c r="B355" s="163"/>
      <c r="C355" s="164" t="s">
        <v>5273</v>
      </c>
      <c r="D355" s="163"/>
      <c r="E355" s="222" t="s">
        <v>4105</v>
      </c>
      <c r="F355" s="163" t="s">
        <v>5274</v>
      </c>
      <c r="G355" s="163" t="s">
        <v>5275</v>
      </c>
      <c r="H355" s="163" t="s">
        <v>5276</v>
      </c>
      <c r="I355" s="164" t="s">
        <v>36</v>
      </c>
      <c r="J355" s="163"/>
      <c r="K355" s="163"/>
      <c r="L355" s="163"/>
      <c r="M355" s="163"/>
      <c r="N355" s="163"/>
      <c r="O355" s="163"/>
      <c r="P355" s="163"/>
      <c r="Q355" s="163"/>
      <c r="R355" s="163"/>
      <c r="S355" s="163"/>
      <c r="T355" s="163"/>
      <c r="U355" s="163"/>
      <c r="V355" s="163"/>
      <c r="W355" s="163"/>
      <c r="X355" s="163"/>
      <c r="Y355" s="163"/>
      <c r="Z355" s="163"/>
      <c r="AA355" s="163"/>
    </row>
    <row r="356" ht="14.25" customHeight="1">
      <c r="A356" s="163"/>
      <c r="B356" s="163"/>
      <c r="C356" s="164" t="s">
        <v>5277</v>
      </c>
      <c r="D356" s="163"/>
      <c r="E356" s="222" t="s">
        <v>4105</v>
      </c>
      <c r="F356" s="163" t="s">
        <v>5274</v>
      </c>
      <c r="G356" s="163" t="s">
        <v>5278</v>
      </c>
      <c r="H356" s="163" t="s">
        <v>5279</v>
      </c>
      <c r="I356" s="164" t="s">
        <v>36</v>
      </c>
      <c r="J356" s="163"/>
      <c r="K356" s="163"/>
      <c r="L356" s="163"/>
      <c r="M356" s="163"/>
      <c r="N356" s="163"/>
      <c r="O356" s="163"/>
      <c r="P356" s="163"/>
      <c r="Q356" s="163"/>
      <c r="R356" s="163"/>
      <c r="S356" s="163"/>
      <c r="T356" s="163"/>
      <c r="U356" s="163"/>
      <c r="V356" s="163"/>
      <c r="W356" s="163"/>
      <c r="X356" s="163"/>
      <c r="Y356" s="163"/>
      <c r="Z356" s="163"/>
      <c r="AA356" s="163"/>
    </row>
    <row r="357" ht="14.25" customHeight="1">
      <c r="A357" s="163"/>
      <c r="B357" s="163"/>
      <c r="C357" s="164" t="s">
        <v>5280</v>
      </c>
      <c r="D357" s="163"/>
      <c r="E357" s="222" t="s">
        <v>4105</v>
      </c>
      <c r="F357" s="163" t="s">
        <v>5274</v>
      </c>
      <c r="G357" s="163" t="s">
        <v>5281</v>
      </c>
      <c r="H357" s="163" t="s">
        <v>5282</v>
      </c>
      <c r="I357" s="164" t="s">
        <v>36</v>
      </c>
      <c r="J357" s="163"/>
      <c r="K357" s="163"/>
      <c r="L357" s="163"/>
      <c r="M357" s="163"/>
      <c r="N357" s="163"/>
      <c r="O357" s="163"/>
      <c r="P357" s="163"/>
      <c r="Q357" s="163"/>
      <c r="R357" s="163"/>
      <c r="S357" s="163"/>
      <c r="T357" s="163"/>
      <c r="U357" s="163"/>
      <c r="V357" s="163"/>
      <c r="W357" s="163"/>
      <c r="X357" s="163"/>
      <c r="Y357" s="163"/>
      <c r="Z357" s="163"/>
      <c r="AA357" s="163"/>
    </row>
    <row r="358" ht="14.25" customHeight="1">
      <c r="A358" s="163"/>
      <c r="B358" s="163"/>
      <c r="C358" s="164" t="s">
        <v>5283</v>
      </c>
      <c r="D358" s="163"/>
      <c r="E358" s="222" t="s">
        <v>4105</v>
      </c>
      <c r="F358" s="163" t="s">
        <v>5274</v>
      </c>
      <c r="G358" s="163" t="s">
        <v>5284</v>
      </c>
      <c r="H358" s="163" t="s">
        <v>5285</v>
      </c>
      <c r="I358" s="164" t="s">
        <v>36</v>
      </c>
      <c r="J358" s="163"/>
      <c r="K358" s="163"/>
      <c r="L358" s="163"/>
      <c r="M358" s="163"/>
      <c r="N358" s="163"/>
      <c r="O358" s="163"/>
      <c r="P358" s="163"/>
      <c r="Q358" s="163"/>
      <c r="R358" s="163"/>
      <c r="S358" s="163"/>
      <c r="T358" s="163"/>
      <c r="U358" s="163"/>
      <c r="V358" s="163"/>
      <c r="W358" s="163"/>
      <c r="X358" s="163"/>
      <c r="Y358" s="163"/>
      <c r="Z358" s="163"/>
      <c r="AA358" s="163"/>
    </row>
    <row r="359" ht="14.25" customHeight="1">
      <c r="A359" s="163"/>
      <c r="B359" s="163"/>
      <c r="C359" s="164" t="s">
        <v>5286</v>
      </c>
      <c r="D359" s="163"/>
      <c r="E359" s="222" t="s">
        <v>4105</v>
      </c>
      <c r="F359" s="163" t="s">
        <v>5274</v>
      </c>
      <c r="G359" s="163" t="s">
        <v>5287</v>
      </c>
      <c r="H359" s="163" t="s">
        <v>5288</v>
      </c>
      <c r="I359" s="164" t="s">
        <v>36</v>
      </c>
      <c r="J359" s="163"/>
      <c r="K359" s="163"/>
      <c r="L359" s="163"/>
      <c r="M359" s="163"/>
      <c r="N359" s="163"/>
      <c r="O359" s="163"/>
      <c r="P359" s="163"/>
      <c r="Q359" s="163"/>
      <c r="R359" s="163"/>
      <c r="S359" s="163"/>
      <c r="T359" s="163"/>
      <c r="U359" s="163"/>
      <c r="V359" s="163"/>
      <c r="W359" s="163"/>
      <c r="X359" s="163"/>
      <c r="Y359" s="163"/>
      <c r="Z359" s="163"/>
      <c r="AA359" s="163"/>
    </row>
    <row r="360" ht="14.25" customHeight="1">
      <c r="A360" s="163"/>
      <c r="B360" s="163"/>
      <c r="C360" s="164" t="s">
        <v>5289</v>
      </c>
      <c r="D360" s="163"/>
      <c r="E360" s="222" t="s">
        <v>4105</v>
      </c>
      <c r="F360" s="163" t="s">
        <v>5274</v>
      </c>
      <c r="G360" s="163" t="s">
        <v>5290</v>
      </c>
      <c r="H360" s="163" t="s">
        <v>5291</v>
      </c>
      <c r="I360" s="164" t="s">
        <v>36</v>
      </c>
      <c r="J360" s="163"/>
      <c r="K360" s="163"/>
      <c r="L360" s="163"/>
      <c r="M360" s="163"/>
      <c r="N360" s="163"/>
      <c r="O360" s="163"/>
      <c r="P360" s="163"/>
      <c r="Q360" s="163"/>
      <c r="R360" s="163"/>
      <c r="S360" s="163"/>
      <c r="T360" s="163"/>
      <c r="U360" s="163"/>
      <c r="V360" s="163"/>
      <c r="W360" s="163"/>
      <c r="X360" s="163"/>
      <c r="Y360" s="163"/>
      <c r="Z360" s="163"/>
      <c r="AA360" s="163"/>
    </row>
    <row r="361" ht="14.25" customHeight="1">
      <c r="A361" s="163"/>
      <c r="B361" s="163"/>
      <c r="C361" s="164" t="s">
        <v>5292</v>
      </c>
      <c r="D361" s="163"/>
      <c r="E361" s="222" t="s">
        <v>4105</v>
      </c>
      <c r="F361" s="163" t="s">
        <v>5274</v>
      </c>
      <c r="G361" s="163" t="s">
        <v>5293</v>
      </c>
      <c r="H361" s="163" t="s">
        <v>5294</v>
      </c>
      <c r="I361" s="164" t="s">
        <v>36</v>
      </c>
      <c r="J361" s="163"/>
      <c r="K361" s="163"/>
      <c r="L361" s="163"/>
      <c r="M361" s="163"/>
      <c r="N361" s="163"/>
      <c r="O361" s="163"/>
      <c r="P361" s="163"/>
      <c r="Q361" s="163"/>
      <c r="R361" s="163"/>
      <c r="S361" s="163"/>
      <c r="T361" s="163"/>
      <c r="U361" s="163"/>
      <c r="V361" s="163"/>
      <c r="W361" s="163"/>
      <c r="X361" s="163"/>
      <c r="Y361" s="163"/>
      <c r="Z361" s="163"/>
      <c r="AA361" s="163"/>
    </row>
    <row r="362" ht="14.25" customHeight="1">
      <c r="A362" s="163"/>
      <c r="B362" s="163"/>
      <c r="C362" s="164" t="s">
        <v>5295</v>
      </c>
      <c r="D362" s="163"/>
      <c r="E362" s="222" t="s">
        <v>4105</v>
      </c>
      <c r="F362" s="163" t="s">
        <v>5274</v>
      </c>
      <c r="G362" s="163" t="s">
        <v>5296</v>
      </c>
      <c r="H362" s="163" t="s">
        <v>5297</v>
      </c>
      <c r="I362" s="164" t="s">
        <v>36</v>
      </c>
      <c r="J362" s="163"/>
      <c r="K362" s="163"/>
      <c r="L362" s="163"/>
      <c r="M362" s="163"/>
      <c r="N362" s="163"/>
      <c r="O362" s="163"/>
      <c r="P362" s="163"/>
      <c r="Q362" s="163"/>
      <c r="R362" s="163"/>
      <c r="S362" s="163"/>
      <c r="T362" s="163"/>
      <c r="U362" s="163"/>
      <c r="V362" s="163"/>
      <c r="W362" s="163"/>
      <c r="X362" s="163"/>
      <c r="Y362" s="163"/>
      <c r="Z362" s="163"/>
      <c r="AA362" s="163"/>
    </row>
    <row r="363" ht="14.25" customHeight="1">
      <c r="A363" s="163"/>
      <c r="B363" s="163"/>
      <c r="C363" s="164" t="s">
        <v>5298</v>
      </c>
      <c r="D363" s="163"/>
      <c r="E363" s="222" t="s">
        <v>4105</v>
      </c>
      <c r="F363" s="163" t="s">
        <v>5274</v>
      </c>
      <c r="G363" s="163" t="s">
        <v>5299</v>
      </c>
      <c r="H363" s="163" t="s">
        <v>5300</v>
      </c>
      <c r="I363" s="164" t="s">
        <v>36</v>
      </c>
      <c r="J363" s="163"/>
      <c r="K363" s="163"/>
      <c r="L363" s="163"/>
      <c r="M363" s="163"/>
      <c r="N363" s="163"/>
      <c r="O363" s="163"/>
      <c r="P363" s="163"/>
      <c r="Q363" s="163"/>
      <c r="R363" s="163"/>
      <c r="S363" s="163"/>
      <c r="T363" s="163"/>
      <c r="U363" s="163"/>
      <c r="V363" s="163"/>
      <c r="W363" s="163"/>
      <c r="X363" s="163"/>
      <c r="Y363" s="163"/>
      <c r="Z363" s="163"/>
      <c r="AA363" s="163"/>
    </row>
    <row r="364" ht="14.25" customHeight="1">
      <c r="A364" s="163"/>
      <c r="B364" s="163"/>
      <c r="C364" s="164" t="s">
        <v>5301</v>
      </c>
      <c r="D364" s="163"/>
      <c r="E364" s="222" t="s">
        <v>4105</v>
      </c>
      <c r="F364" s="163" t="s">
        <v>5274</v>
      </c>
      <c r="G364" s="163" t="s">
        <v>5302</v>
      </c>
      <c r="H364" s="163" t="s">
        <v>5303</v>
      </c>
      <c r="I364" s="164" t="s">
        <v>36</v>
      </c>
      <c r="J364" s="163"/>
      <c r="K364" s="163"/>
      <c r="L364" s="163"/>
      <c r="M364" s="163"/>
      <c r="N364" s="163"/>
      <c r="O364" s="163"/>
      <c r="P364" s="163"/>
      <c r="Q364" s="163"/>
      <c r="R364" s="163"/>
      <c r="S364" s="163"/>
      <c r="T364" s="163"/>
      <c r="U364" s="163"/>
      <c r="V364" s="163"/>
      <c r="W364" s="163"/>
      <c r="X364" s="163"/>
      <c r="Y364" s="163"/>
      <c r="Z364" s="163"/>
      <c r="AA364" s="163"/>
    </row>
    <row r="365" ht="14.25" customHeight="1">
      <c r="A365" s="163"/>
      <c r="B365" s="163"/>
      <c r="C365" s="164" t="s">
        <v>5304</v>
      </c>
      <c r="D365" s="163"/>
      <c r="E365" s="222" t="s">
        <v>4105</v>
      </c>
      <c r="F365" s="163" t="s">
        <v>5305</v>
      </c>
      <c r="G365" s="163" t="s">
        <v>5306</v>
      </c>
      <c r="H365" s="163" t="s">
        <v>5307</v>
      </c>
      <c r="I365" s="164" t="s">
        <v>36</v>
      </c>
      <c r="J365" s="163"/>
      <c r="K365" s="163"/>
      <c r="L365" s="163"/>
      <c r="M365" s="163"/>
      <c r="N365" s="163"/>
      <c r="O365" s="163"/>
      <c r="P365" s="163"/>
      <c r="Q365" s="163"/>
      <c r="R365" s="163"/>
      <c r="S365" s="163"/>
      <c r="T365" s="163"/>
      <c r="U365" s="163"/>
      <c r="V365" s="163"/>
      <c r="W365" s="163"/>
      <c r="X365" s="163"/>
      <c r="Y365" s="163"/>
      <c r="Z365" s="163"/>
      <c r="AA365" s="163"/>
    </row>
    <row r="366" ht="14.25" customHeight="1">
      <c r="A366" s="163"/>
      <c r="B366" s="163"/>
      <c r="C366" s="164" t="s">
        <v>5308</v>
      </c>
      <c r="D366" s="163"/>
      <c r="E366" s="222" t="s">
        <v>4105</v>
      </c>
      <c r="F366" s="163" t="s">
        <v>5305</v>
      </c>
      <c r="G366" s="164" t="s">
        <v>5309</v>
      </c>
      <c r="H366" s="163" t="s">
        <v>5310</v>
      </c>
      <c r="I366" s="164" t="s">
        <v>36</v>
      </c>
      <c r="J366" s="163"/>
      <c r="K366" s="163"/>
      <c r="L366" s="163"/>
      <c r="M366" s="163"/>
      <c r="N366" s="163"/>
      <c r="O366" s="163"/>
      <c r="P366" s="163"/>
      <c r="Q366" s="163"/>
      <c r="R366" s="163"/>
      <c r="S366" s="163"/>
      <c r="T366" s="163"/>
      <c r="U366" s="163"/>
      <c r="V366" s="163"/>
      <c r="W366" s="163"/>
      <c r="X366" s="163"/>
      <c r="Y366" s="163"/>
      <c r="Z366" s="163"/>
      <c r="AA366" s="163"/>
    </row>
    <row r="367" ht="14.25" customHeight="1">
      <c r="A367" s="163"/>
      <c r="B367" s="163"/>
      <c r="C367" s="164" t="s">
        <v>5311</v>
      </c>
      <c r="D367" s="163"/>
      <c r="E367" s="222" t="s">
        <v>4105</v>
      </c>
      <c r="F367" s="163" t="s">
        <v>4939</v>
      </c>
      <c r="G367" s="163" t="s">
        <v>4940</v>
      </c>
      <c r="H367" s="163" t="s">
        <v>4941</v>
      </c>
      <c r="I367" s="164" t="s">
        <v>36</v>
      </c>
      <c r="J367" s="163"/>
      <c r="K367" s="163"/>
      <c r="L367" s="163"/>
      <c r="M367" s="163"/>
      <c r="N367" s="163"/>
      <c r="O367" s="163"/>
      <c r="P367" s="163"/>
      <c r="Q367" s="163"/>
      <c r="R367" s="163"/>
      <c r="S367" s="163"/>
      <c r="T367" s="163"/>
      <c r="U367" s="163"/>
      <c r="V367" s="163"/>
      <c r="W367" s="163"/>
      <c r="X367" s="163"/>
      <c r="Y367" s="163"/>
      <c r="Z367" s="163"/>
      <c r="AA367" s="163"/>
    </row>
    <row r="368" ht="14.25" customHeight="1">
      <c r="A368" s="163"/>
      <c r="B368" s="163"/>
      <c r="C368" s="164" t="s">
        <v>5312</v>
      </c>
      <c r="D368" s="163"/>
      <c r="E368" s="222" t="s">
        <v>4105</v>
      </c>
      <c r="F368" s="163" t="s">
        <v>5313</v>
      </c>
      <c r="G368" s="163" t="s">
        <v>5314</v>
      </c>
      <c r="H368" s="163" t="s">
        <v>5315</v>
      </c>
      <c r="I368" s="164" t="s">
        <v>36</v>
      </c>
      <c r="J368" s="163"/>
      <c r="K368" s="163"/>
      <c r="L368" s="163"/>
      <c r="M368" s="163"/>
      <c r="N368" s="163"/>
      <c r="O368" s="163"/>
      <c r="P368" s="163"/>
      <c r="Q368" s="163"/>
      <c r="R368" s="163"/>
      <c r="S368" s="163"/>
      <c r="T368" s="163"/>
      <c r="U368" s="163"/>
      <c r="V368" s="163"/>
      <c r="W368" s="163"/>
      <c r="X368" s="163"/>
      <c r="Y368" s="163"/>
      <c r="Z368" s="163"/>
      <c r="AA368" s="163"/>
    </row>
    <row r="369" ht="14.25" customHeight="1">
      <c r="A369" s="163"/>
      <c r="B369" s="163"/>
      <c r="C369" s="164" t="s">
        <v>5316</v>
      </c>
      <c r="D369" s="163"/>
      <c r="E369" s="222" t="s">
        <v>4105</v>
      </c>
      <c r="F369" s="163" t="s">
        <v>5317</v>
      </c>
      <c r="G369" s="163" t="s">
        <v>5318</v>
      </c>
      <c r="H369" s="163" t="s">
        <v>5319</v>
      </c>
      <c r="I369" s="164" t="s">
        <v>36</v>
      </c>
      <c r="J369" s="163"/>
      <c r="K369" s="163"/>
      <c r="L369" s="163"/>
      <c r="M369" s="163"/>
      <c r="N369" s="163"/>
      <c r="O369" s="163"/>
      <c r="P369" s="163"/>
      <c r="Q369" s="163"/>
      <c r="R369" s="163"/>
      <c r="S369" s="163"/>
      <c r="T369" s="163"/>
      <c r="U369" s="163"/>
      <c r="V369" s="163"/>
      <c r="W369" s="163"/>
      <c r="X369" s="163"/>
      <c r="Y369" s="163"/>
      <c r="Z369" s="163"/>
      <c r="AA369" s="163"/>
    </row>
    <row r="370" ht="14.25" customHeight="1">
      <c r="A370" s="163"/>
      <c r="B370" s="163"/>
      <c r="C370" s="164" t="s">
        <v>5320</v>
      </c>
      <c r="D370" s="163"/>
      <c r="E370" s="215" t="s">
        <v>4107</v>
      </c>
      <c r="F370" s="163" t="s">
        <v>5321</v>
      </c>
      <c r="G370" s="163" t="s">
        <v>5322</v>
      </c>
      <c r="H370" s="163" t="s">
        <v>5323</v>
      </c>
      <c r="I370" s="164" t="s">
        <v>36</v>
      </c>
      <c r="J370" s="163"/>
      <c r="K370" s="163"/>
      <c r="L370" s="163"/>
      <c r="M370" s="163"/>
      <c r="N370" s="163"/>
      <c r="O370" s="163"/>
      <c r="P370" s="163"/>
      <c r="Q370" s="163"/>
      <c r="R370" s="163"/>
      <c r="S370" s="163"/>
      <c r="T370" s="163"/>
      <c r="U370" s="163"/>
      <c r="V370" s="163"/>
      <c r="W370" s="163"/>
      <c r="X370" s="163"/>
      <c r="Y370" s="163"/>
      <c r="Z370" s="163"/>
      <c r="AA370" s="163"/>
    </row>
    <row r="371" ht="14.25" customHeight="1">
      <c r="A371" s="163"/>
      <c r="B371" s="163"/>
      <c r="C371" s="164" t="s">
        <v>5324</v>
      </c>
      <c r="D371" s="163"/>
      <c r="E371" s="215" t="s">
        <v>4107</v>
      </c>
      <c r="F371" s="163" t="s">
        <v>5321</v>
      </c>
      <c r="G371" s="163" t="s">
        <v>5325</v>
      </c>
      <c r="H371" s="163" t="s">
        <v>5326</v>
      </c>
      <c r="I371" s="164" t="s">
        <v>36</v>
      </c>
      <c r="J371" s="163"/>
      <c r="K371" s="163"/>
      <c r="L371" s="163"/>
      <c r="M371" s="163"/>
      <c r="N371" s="163"/>
      <c r="O371" s="163"/>
      <c r="P371" s="163"/>
      <c r="Q371" s="163"/>
      <c r="R371" s="163"/>
      <c r="S371" s="163"/>
      <c r="T371" s="163"/>
      <c r="U371" s="163"/>
      <c r="V371" s="163"/>
      <c r="W371" s="163"/>
      <c r="X371" s="163"/>
      <c r="Y371" s="163"/>
      <c r="Z371" s="163"/>
      <c r="AA371" s="163"/>
    </row>
    <row r="372" ht="14.25" customHeight="1">
      <c r="A372" s="163"/>
      <c r="B372" s="163"/>
      <c r="C372" s="164" t="s">
        <v>5327</v>
      </c>
      <c r="D372" s="163"/>
      <c r="E372" s="215" t="s">
        <v>4107</v>
      </c>
      <c r="F372" s="163" t="s">
        <v>5321</v>
      </c>
      <c r="G372" s="163" t="s">
        <v>5328</v>
      </c>
      <c r="H372" s="163" t="s">
        <v>5329</v>
      </c>
      <c r="I372" s="164" t="s">
        <v>36</v>
      </c>
      <c r="J372" s="163"/>
      <c r="K372" s="163"/>
      <c r="L372" s="163"/>
      <c r="M372" s="163"/>
      <c r="N372" s="163"/>
      <c r="O372" s="163"/>
      <c r="P372" s="163"/>
      <c r="Q372" s="163"/>
      <c r="R372" s="163"/>
      <c r="S372" s="163"/>
      <c r="T372" s="163"/>
      <c r="U372" s="163"/>
      <c r="V372" s="163"/>
      <c r="W372" s="163"/>
      <c r="X372" s="163"/>
      <c r="Y372" s="163"/>
      <c r="Z372" s="163"/>
      <c r="AA372" s="163"/>
    </row>
    <row r="373" ht="14.25" customHeight="1">
      <c r="A373" s="163"/>
      <c r="B373" s="163"/>
      <c r="C373" s="164" t="s">
        <v>5330</v>
      </c>
      <c r="D373" s="163"/>
      <c r="E373" s="215" t="s">
        <v>4107</v>
      </c>
      <c r="F373" s="163" t="s">
        <v>5321</v>
      </c>
      <c r="G373" s="163" t="s">
        <v>5331</v>
      </c>
      <c r="H373" s="163" t="s">
        <v>5332</v>
      </c>
      <c r="I373" s="164" t="s">
        <v>36</v>
      </c>
      <c r="J373" s="163"/>
      <c r="K373" s="163"/>
      <c r="L373" s="163"/>
      <c r="M373" s="163"/>
      <c r="N373" s="163"/>
      <c r="O373" s="163"/>
      <c r="P373" s="163"/>
      <c r="Q373" s="163"/>
      <c r="R373" s="163"/>
      <c r="S373" s="163"/>
      <c r="T373" s="163"/>
      <c r="U373" s="163"/>
      <c r="V373" s="163"/>
      <c r="W373" s="163"/>
      <c r="X373" s="163"/>
      <c r="Y373" s="163"/>
      <c r="Z373" s="163"/>
      <c r="AA373" s="163"/>
    </row>
    <row r="374" ht="14.25" customHeight="1">
      <c r="A374" s="163"/>
      <c r="B374" s="163"/>
      <c r="C374" s="164" t="s">
        <v>5333</v>
      </c>
      <c r="D374" s="163"/>
      <c r="E374" s="215" t="s">
        <v>4107</v>
      </c>
      <c r="F374" s="163" t="s">
        <v>5321</v>
      </c>
      <c r="G374" s="163" t="s">
        <v>5334</v>
      </c>
      <c r="H374" s="163" t="s">
        <v>5335</v>
      </c>
      <c r="I374" s="164" t="s">
        <v>36</v>
      </c>
      <c r="J374" s="163"/>
      <c r="K374" s="163"/>
      <c r="L374" s="163"/>
      <c r="M374" s="163"/>
      <c r="N374" s="163"/>
      <c r="O374" s="163"/>
      <c r="P374" s="163"/>
      <c r="Q374" s="163"/>
      <c r="R374" s="163"/>
      <c r="S374" s="163"/>
      <c r="T374" s="163"/>
      <c r="U374" s="163"/>
      <c r="V374" s="163"/>
      <c r="W374" s="163"/>
      <c r="X374" s="163"/>
      <c r="Y374" s="163"/>
      <c r="Z374" s="163"/>
      <c r="AA374" s="163"/>
    </row>
    <row r="375" ht="14.25" customHeight="1">
      <c r="A375" s="163"/>
      <c r="B375" s="163"/>
      <c r="C375" s="164" t="s">
        <v>5336</v>
      </c>
      <c r="D375" s="163"/>
      <c r="E375" s="215" t="s">
        <v>4107</v>
      </c>
      <c r="F375" s="163" t="s">
        <v>5321</v>
      </c>
      <c r="G375" s="163" t="s">
        <v>5337</v>
      </c>
      <c r="H375" s="163" t="s">
        <v>5338</v>
      </c>
      <c r="I375" s="164" t="s">
        <v>36</v>
      </c>
      <c r="J375" s="163"/>
      <c r="K375" s="163"/>
      <c r="L375" s="163"/>
      <c r="M375" s="163"/>
      <c r="N375" s="163"/>
      <c r="O375" s="163"/>
      <c r="P375" s="163"/>
      <c r="Q375" s="163"/>
      <c r="R375" s="163"/>
      <c r="S375" s="163"/>
      <c r="T375" s="163"/>
      <c r="U375" s="163"/>
      <c r="V375" s="163"/>
      <c r="W375" s="163"/>
      <c r="X375" s="163"/>
      <c r="Y375" s="163"/>
      <c r="Z375" s="163"/>
      <c r="AA375" s="163"/>
    </row>
    <row r="376" ht="14.25" customHeight="1">
      <c r="A376" s="163"/>
      <c r="B376" s="163"/>
      <c r="C376" s="164" t="s">
        <v>5339</v>
      </c>
      <c r="D376" s="163"/>
      <c r="E376" s="215" t="s">
        <v>4107</v>
      </c>
      <c r="F376" s="163" t="s">
        <v>5321</v>
      </c>
      <c r="G376" s="163" t="s">
        <v>5340</v>
      </c>
      <c r="H376" s="163" t="s">
        <v>5341</v>
      </c>
      <c r="I376" s="164" t="s">
        <v>36</v>
      </c>
      <c r="J376" s="163"/>
      <c r="K376" s="163"/>
      <c r="L376" s="163"/>
      <c r="M376" s="163"/>
      <c r="N376" s="163"/>
      <c r="O376" s="163"/>
      <c r="P376" s="163"/>
      <c r="Q376" s="163"/>
      <c r="R376" s="163"/>
      <c r="S376" s="163"/>
      <c r="T376" s="163"/>
      <c r="U376" s="163"/>
      <c r="V376" s="163"/>
      <c r="W376" s="163"/>
      <c r="X376" s="163"/>
      <c r="Y376" s="163"/>
      <c r="Z376" s="163"/>
      <c r="AA376" s="163"/>
    </row>
    <row r="377" ht="14.25" customHeight="1">
      <c r="A377" s="163"/>
      <c r="B377" s="163"/>
      <c r="C377" s="164" t="s">
        <v>5342</v>
      </c>
      <c r="D377" s="163"/>
      <c r="E377" s="215" t="s">
        <v>5343</v>
      </c>
      <c r="F377" s="163" t="s">
        <v>5344</v>
      </c>
      <c r="G377" s="163" t="s">
        <v>5345</v>
      </c>
      <c r="H377" s="163" t="s">
        <v>5346</v>
      </c>
      <c r="I377" s="164" t="s">
        <v>36</v>
      </c>
      <c r="J377" s="163"/>
      <c r="K377" s="163"/>
      <c r="L377" s="163"/>
      <c r="M377" s="163"/>
      <c r="N377" s="163"/>
      <c r="O377" s="163"/>
      <c r="P377" s="163"/>
      <c r="Q377" s="163"/>
      <c r="R377" s="163"/>
      <c r="S377" s="163"/>
      <c r="T377" s="163"/>
      <c r="U377" s="163"/>
      <c r="V377" s="163"/>
      <c r="W377" s="163"/>
      <c r="X377" s="163"/>
      <c r="Y377" s="163"/>
      <c r="Z377" s="163"/>
      <c r="AA377" s="163"/>
    </row>
    <row r="378" ht="14.25" customHeight="1">
      <c r="A378" s="163"/>
      <c r="B378" s="163"/>
      <c r="C378" s="164" t="s">
        <v>5347</v>
      </c>
      <c r="D378" s="163"/>
      <c r="E378" s="215" t="s">
        <v>5343</v>
      </c>
      <c r="F378" s="163" t="s">
        <v>5348</v>
      </c>
      <c r="G378" s="163" t="s">
        <v>5349</v>
      </c>
      <c r="H378" s="163" t="s">
        <v>5350</v>
      </c>
      <c r="I378" s="164" t="s">
        <v>36</v>
      </c>
      <c r="J378" s="163"/>
      <c r="K378" s="163"/>
      <c r="L378" s="163"/>
      <c r="M378" s="163"/>
      <c r="N378" s="163"/>
      <c r="O378" s="163"/>
      <c r="P378" s="163"/>
      <c r="Q378" s="163"/>
      <c r="R378" s="163"/>
      <c r="S378" s="163"/>
      <c r="T378" s="163"/>
      <c r="U378" s="163"/>
      <c r="V378" s="163"/>
      <c r="W378" s="163"/>
      <c r="X378" s="163"/>
      <c r="Y378" s="163"/>
      <c r="Z378" s="163"/>
      <c r="AA378" s="163"/>
    </row>
    <row r="379" ht="14.25" customHeight="1">
      <c r="A379" s="163"/>
      <c r="B379" s="163"/>
      <c r="C379" s="164" t="s">
        <v>5351</v>
      </c>
      <c r="D379" s="163"/>
      <c r="E379" s="215" t="s">
        <v>5352</v>
      </c>
      <c r="F379" s="163" t="s">
        <v>5353</v>
      </c>
      <c r="G379" s="163" t="s">
        <v>5354</v>
      </c>
      <c r="H379" s="163" t="s">
        <v>5355</v>
      </c>
      <c r="I379" s="164" t="s">
        <v>36</v>
      </c>
      <c r="J379" s="163"/>
      <c r="K379" s="163"/>
      <c r="L379" s="163"/>
      <c r="M379" s="163"/>
      <c r="N379" s="163"/>
      <c r="O379" s="163"/>
      <c r="P379" s="163"/>
      <c r="Q379" s="163"/>
      <c r="R379" s="163"/>
      <c r="S379" s="163"/>
      <c r="T379" s="163"/>
      <c r="U379" s="163"/>
      <c r="V379" s="163"/>
      <c r="W379" s="163"/>
      <c r="X379" s="163"/>
      <c r="Y379" s="163"/>
      <c r="Z379" s="163"/>
      <c r="AA379" s="163"/>
    </row>
    <row r="380" ht="14.25" customHeight="1">
      <c r="A380" s="163"/>
      <c r="B380" s="163"/>
      <c r="C380" s="164" t="s">
        <v>5356</v>
      </c>
      <c r="D380" s="163"/>
      <c r="E380" s="215" t="s">
        <v>5352</v>
      </c>
      <c r="F380" s="163" t="s">
        <v>5353</v>
      </c>
      <c r="G380" s="163" t="s">
        <v>5357</v>
      </c>
      <c r="H380" s="163" t="s">
        <v>5358</v>
      </c>
      <c r="I380" s="164" t="s">
        <v>36</v>
      </c>
      <c r="J380" s="163"/>
      <c r="K380" s="163"/>
      <c r="L380" s="163"/>
      <c r="M380" s="163"/>
      <c r="N380" s="163"/>
      <c r="O380" s="163"/>
      <c r="P380" s="163"/>
      <c r="Q380" s="163"/>
      <c r="R380" s="163"/>
      <c r="S380" s="163"/>
      <c r="T380" s="163"/>
      <c r="U380" s="163"/>
      <c r="V380" s="163"/>
      <c r="W380" s="163"/>
      <c r="X380" s="163"/>
      <c r="Y380" s="163"/>
      <c r="Z380" s="163"/>
      <c r="AA380" s="163"/>
    </row>
    <row r="381" ht="14.25" customHeight="1">
      <c r="A381" s="163"/>
      <c r="B381" s="163"/>
      <c r="C381" s="164" t="s">
        <v>5359</v>
      </c>
      <c r="D381" s="163"/>
      <c r="E381" s="215" t="s">
        <v>5352</v>
      </c>
      <c r="F381" s="163" t="s">
        <v>5353</v>
      </c>
      <c r="G381" s="163" t="s">
        <v>5360</v>
      </c>
      <c r="H381" s="163" t="s">
        <v>5361</v>
      </c>
      <c r="I381" s="164" t="s">
        <v>36</v>
      </c>
      <c r="J381" s="163"/>
      <c r="K381" s="163"/>
      <c r="L381" s="163"/>
      <c r="M381" s="163"/>
      <c r="N381" s="163"/>
      <c r="O381" s="163"/>
      <c r="P381" s="163"/>
      <c r="Q381" s="163"/>
      <c r="R381" s="163"/>
      <c r="S381" s="163"/>
      <c r="T381" s="163"/>
      <c r="U381" s="163"/>
      <c r="V381" s="163"/>
      <c r="W381" s="163"/>
      <c r="X381" s="163"/>
      <c r="Y381" s="163"/>
      <c r="Z381" s="163"/>
      <c r="AA381" s="163"/>
    </row>
    <row r="382" ht="14.25" customHeight="1">
      <c r="A382" s="163"/>
      <c r="B382" s="163"/>
      <c r="C382" s="164" t="s">
        <v>5362</v>
      </c>
      <c r="D382" s="163"/>
      <c r="E382" s="215" t="s">
        <v>5352</v>
      </c>
      <c r="F382" s="163" t="s">
        <v>5363</v>
      </c>
      <c r="G382" s="163" t="s">
        <v>5364</v>
      </c>
      <c r="H382" s="163" t="s">
        <v>5365</v>
      </c>
      <c r="I382" s="164" t="s">
        <v>36</v>
      </c>
      <c r="J382" s="163"/>
      <c r="K382" s="163"/>
      <c r="L382" s="163"/>
      <c r="M382" s="163"/>
      <c r="N382" s="163"/>
      <c r="O382" s="163"/>
      <c r="P382" s="163"/>
      <c r="Q382" s="163"/>
      <c r="R382" s="163"/>
      <c r="S382" s="163"/>
      <c r="T382" s="163"/>
      <c r="U382" s="163"/>
      <c r="V382" s="163"/>
      <c r="W382" s="163"/>
      <c r="X382" s="163"/>
      <c r="Y382" s="163"/>
      <c r="Z382" s="163"/>
      <c r="AA382" s="163"/>
    </row>
    <row r="383" ht="14.25" customHeight="1">
      <c r="A383" s="163"/>
      <c r="B383" s="163"/>
      <c r="C383" s="164" t="s">
        <v>5366</v>
      </c>
      <c r="D383" s="163"/>
      <c r="E383" s="215" t="s">
        <v>5352</v>
      </c>
      <c r="F383" s="163" t="s">
        <v>5363</v>
      </c>
      <c r="G383" s="163" t="s">
        <v>5367</v>
      </c>
      <c r="H383" s="161" t="s">
        <v>5368</v>
      </c>
      <c r="I383" s="164" t="s">
        <v>36</v>
      </c>
      <c r="J383" s="163"/>
      <c r="K383" s="163"/>
      <c r="L383" s="163"/>
      <c r="M383" s="163"/>
      <c r="N383" s="163"/>
      <c r="O383" s="163"/>
      <c r="P383" s="163"/>
      <c r="Q383" s="163"/>
      <c r="R383" s="163"/>
      <c r="S383" s="163"/>
      <c r="T383" s="163"/>
      <c r="U383" s="163"/>
      <c r="V383" s="163"/>
      <c r="W383" s="163"/>
      <c r="X383" s="163"/>
      <c r="Y383" s="163"/>
      <c r="Z383" s="163"/>
      <c r="AA383" s="163"/>
    </row>
    <row r="384" ht="14.25" customHeight="1">
      <c r="A384" s="163"/>
      <c r="B384" s="163"/>
      <c r="C384" s="164" t="s">
        <v>5369</v>
      </c>
      <c r="D384" s="163"/>
      <c r="E384" s="215" t="s">
        <v>5352</v>
      </c>
      <c r="F384" s="163" t="s">
        <v>5363</v>
      </c>
      <c r="G384" s="163" t="s">
        <v>5370</v>
      </c>
      <c r="H384" s="163" t="s">
        <v>5365</v>
      </c>
      <c r="I384" s="164" t="s">
        <v>36</v>
      </c>
      <c r="J384" s="163"/>
      <c r="K384" s="163"/>
      <c r="L384" s="163"/>
      <c r="M384" s="163"/>
      <c r="N384" s="163"/>
      <c r="O384" s="163"/>
      <c r="P384" s="163"/>
      <c r="Q384" s="163"/>
      <c r="R384" s="163"/>
      <c r="S384" s="163"/>
      <c r="T384" s="163"/>
      <c r="U384" s="163"/>
      <c r="V384" s="163"/>
      <c r="W384" s="163"/>
      <c r="X384" s="163"/>
      <c r="Y384" s="163"/>
      <c r="Z384" s="163"/>
      <c r="AA384" s="163"/>
    </row>
    <row r="385" ht="14.25" customHeight="1">
      <c r="A385" s="163"/>
      <c r="B385" s="163"/>
      <c r="C385" s="164" t="s">
        <v>5371</v>
      </c>
      <c r="D385" s="163"/>
      <c r="E385" s="215" t="s">
        <v>5352</v>
      </c>
      <c r="F385" s="163" t="s">
        <v>5363</v>
      </c>
      <c r="G385" s="164" t="s">
        <v>5372</v>
      </c>
      <c r="H385" s="161" t="s">
        <v>5368</v>
      </c>
      <c r="I385" s="164" t="s">
        <v>36</v>
      </c>
      <c r="J385" s="163"/>
      <c r="K385" s="163"/>
      <c r="L385" s="163"/>
      <c r="M385" s="163"/>
      <c r="N385" s="163"/>
      <c r="O385" s="163"/>
      <c r="P385" s="163"/>
      <c r="Q385" s="163"/>
      <c r="R385" s="163"/>
      <c r="S385" s="163"/>
      <c r="T385" s="163"/>
      <c r="U385" s="163"/>
      <c r="V385" s="163"/>
      <c r="W385" s="163"/>
      <c r="X385" s="163"/>
      <c r="Y385" s="163"/>
      <c r="Z385" s="163"/>
      <c r="AA385" s="163"/>
    </row>
    <row r="386" ht="14.25" customHeight="1">
      <c r="A386" s="163"/>
      <c r="B386" s="163"/>
      <c r="C386" s="164" t="s">
        <v>5373</v>
      </c>
      <c r="D386" s="163"/>
      <c r="E386" s="222" t="s">
        <v>5374</v>
      </c>
      <c r="F386" s="223" t="s">
        <v>5375</v>
      </c>
      <c r="G386" s="163" t="s">
        <v>5376</v>
      </c>
      <c r="H386" s="163" t="s">
        <v>5377</v>
      </c>
      <c r="I386" s="164" t="s">
        <v>36</v>
      </c>
      <c r="J386" s="163"/>
      <c r="K386" s="163"/>
      <c r="L386" s="163"/>
      <c r="M386" s="163"/>
      <c r="N386" s="163"/>
      <c r="O386" s="163"/>
      <c r="P386" s="163"/>
      <c r="Q386" s="163"/>
      <c r="R386" s="163"/>
      <c r="S386" s="163"/>
      <c r="T386" s="163"/>
      <c r="U386" s="163"/>
      <c r="V386" s="163"/>
      <c r="W386" s="163"/>
      <c r="X386" s="163"/>
      <c r="Y386" s="163"/>
      <c r="Z386" s="163"/>
      <c r="AA386" s="163"/>
    </row>
    <row r="387" ht="14.25" customHeight="1">
      <c r="A387" s="163"/>
      <c r="B387" s="163"/>
      <c r="C387" s="164" t="s">
        <v>5378</v>
      </c>
      <c r="D387" s="163"/>
      <c r="E387" s="222" t="s">
        <v>5374</v>
      </c>
      <c r="F387" s="186" t="s">
        <v>5379</v>
      </c>
      <c r="G387" s="186" t="s">
        <v>5380</v>
      </c>
      <c r="H387" s="186" t="s">
        <v>5381</v>
      </c>
      <c r="I387" s="164" t="s">
        <v>317</v>
      </c>
      <c r="J387" s="163"/>
      <c r="K387" s="164"/>
      <c r="L387" s="163"/>
      <c r="M387" s="163"/>
      <c r="N387" s="163"/>
      <c r="O387" s="163"/>
      <c r="P387" s="163"/>
      <c r="Q387" s="163"/>
      <c r="R387" s="163"/>
      <c r="S387" s="163"/>
      <c r="T387" s="163"/>
      <c r="U387" s="163"/>
      <c r="V387" s="163"/>
      <c r="W387" s="163"/>
      <c r="X387" s="163"/>
      <c r="Y387" s="163"/>
      <c r="Z387" s="163"/>
      <c r="AA387" s="163"/>
    </row>
    <row r="388" ht="14.25" customHeight="1">
      <c r="A388" s="163"/>
      <c r="B388" s="163"/>
      <c r="C388" s="164" t="s">
        <v>5382</v>
      </c>
      <c r="D388" s="163"/>
      <c r="E388" s="222" t="s">
        <v>5374</v>
      </c>
      <c r="F388" s="186" t="s">
        <v>5383</v>
      </c>
      <c r="G388" s="186" t="s">
        <v>5384</v>
      </c>
      <c r="H388" s="186" t="s">
        <v>5385</v>
      </c>
      <c r="I388" s="164" t="s">
        <v>317</v>
      </c>
      <c r="J388" s="163"/>
      <c r="K388" s="164"/>
      <c r="L388" s="163"/>
      <c r="M388" s="163"/>
      <c r="N388" s="163"/>
      <c r="O388" s="163"/>
      <c r="P388" s="163"/>
      <c r="Q388" s="163"/>
      <c r="R388" s="163"/>
      <c r="S388" s="163"/>
      <c r="T388" s="163"/>
      <c r="U388" s="163"/>
      <c r="V388" s="163"/>
      <c r="W388" s="163"/>
      <c r="X388" s="163"/>
      <c r="Y388" s="163"/>
      <c r="Z388" s="163"/>
      <c r="AA388" s="163"/>
    </row>
    <row r="389" ht="14.25" customHeight="1">
      <c r="A389" s="164" t="s">
        <v>5386</v>
      </c>
      <c r="B389" s="166" t="s">
        <v>5387</v>
      </c>
      <c r="C389" s="164" t="s">
        <v>5388</v>
      </c>
      <c r="D389" s="164" t="s">
        <v>2482</v>
      </c>
      <c r="E389" s="215" t="s">
        <v>5389</v>
      </c>
      <c r="F389" s="164" t="s">
        <v>5390</v>
      </c>
      <c r="G389" s="164" t="s">
        <v>5391</v>
      </c>
      <c r="H389" s="164" t="s">
        <v>5392</v>
      </c>
      <c r="I389" s="164" t="s">
        <v>36</v>
      </c>
      <c r="J389" s="163"/>
      <c r="K389" s="164" t="s">
        <v>1784</v>
      </c>
      <c r="L389" s="163"/>
      <c r="M389" s="163"/>
      <c r="N389" s="163"/>
      <c r="O389" s="163"/>
      <c r="P389" s="163"/>
      <c r="Q389" s="163"/>
      <c r="R389" s="163"/>
      <c r="S389" s="163"/>
      <c r="T389" s="163"/>
      <c r="U389" s="163"/>
      <c r="V389" s="163"/>
      <c r="W389" s="163"/>
      <c r="X389" s="163"/>
      <c r="Y389" s="163"/>
      <c r="Z389" s="163"/>
      <c r="AA389" s="163"/>
    </row>
    <row r="390" ht="14.25" customHeight="1">
      <c r="A390" s="164" t="s">
        <v>5386</v>
      </c>
      <c r="B390" s="108"/>
      <c r="C390" s="164" t="s">
        <v>5393</v>
      </c>
      <c r="D390" s="164" t="s">
        <v>271</v>
      </c>
      <c r="E390" s="215" t="s">
        <v>5389</v>
      </c>
      <c r="F390" s="164" t="s">
        <v>5390</v>
      </c>
      <c r="G390" s="164" t="s">
        <v>5394</v>
      </c>
      <c r="H390" s="164" t="s">
        <v>5395</v>
      </c>
      <c r="I390" s="164" t="s">
        <v>36</v>
      </c>
      <c r="J390" s="163"/>
      <c r="K390" s="164"/>
      <c r="L390" s="163"/>
      <c r="M390" s="163"/>
      <c r="N390" s="163"/>
      <c r="O390" s="163"/>
      <c r="P390" s="163"/>
      <c r="Q390" s="163"/>
      <c r="R390" s="163"/>
      <c r="S390" s="163"/>
      <c r="T390" s="163"/>
      <c r="U390" s="163"/>
      <c r="V390" s="163"/>
      <c r="W390" s="163"/>
      <c r="X390" s="163"/>
      <c r="Y390" s="163"/>
      <c r="Z390" s="163"/>
      <c r="AA390" s="163"/>
    </row>
    <row r="391" ht="14.25" customHeight="1">
      <c r="A391" s="164" t="s">
        <v>5386</v>
      </c>
      <c r="B391" s="108"/>
      <c r="C391" s="164" t="s">
        <v>5396</v>
      </c>
      <c r="D391" s="164" t="s">
        <v>271</v>
      </c>
      <c r="E391" s="215" t="s">
        <v>5389</v>
      </c>
      <c r="F391" s="164" t="s">
        <v>5390</v>
      </c>
      <c r="G391" s="164" t="s">
        <v>5397</v>
      </c>
      <c r="H391" s="164" t="s">
        <v>5398</v>
      </c>
      <c r="I391" s="164" t="s">
        <v>36</v>
      </c>
      <c r="J391" s="163"/>
      <c r="K391" s="164"/>
      <c r="L391" s="163"/>
      <c r="M391" s="163"/>
      <c r="N391" s="163"/>
      <c r="O391" s="163"/>
      <c r="P391" s="163"/>
      <c r="Q391" s="163"/>
      <c r="R391" s="163"/>
      <c r="S391" s="163"/>
      <c r="T391" s="163"/>
      <c r="U391" s="163"/>
      <c r="V391" s="163"/>
      <c r="W391" s="163"/>
      <c r="X391" s="163"/>
      <c r="Y391" s="163"/>
      <c r="Z391" s="163"/>
      <c r="AA391" s="163"/>
    </row>
    <row r="392" ht="14.25" customHeight="1">
      <c r="A392" s="164" t="s">
        <v>5386</v>
      </c>
      <c r="B392" s="108"/>
      <c r="C392" s="164" t="s">
        <v>5399</v>
      </c>
      <c r="D392" s="164" t="s">
        <v>271</v>
      </c>
      <c r="E392" s="215" t="s">
        <v>5389</v>
      </c>
      <c r="F392" s="164" t="s">
        <v>5390</v>
      </c>
      <c r="G392" s="164" t="s">
        <v>5400</v>
      </c>
      <c r="H392" s="164" t="s">
        <v>5401</v>
      </c>
      <c r="I392" s="164" t="s">
        <v>36</v>
      </c>
      <c r="J392" s="163"/>
      <c r="K392" s="164"/>
      <c r="L392" s="163"/>
      <c r="M392" s="163"/>
      <c r="N392" s="163"/>
      <c r="O392" s="163"/>
      <c r="P392" s="163"/>
      <c r="Q392" s="163"/>
      <c r="R392" s="163"/>
      <c r="S392" s="163"/>
      <c r="T392" s="163"/>
      <c r="U392" s="163"/>
      <c r="V392" s="163"/>
      <c r="W392" s="163"/>
      <c r="X392" s="163"/>
      <c r="Y392" s="163"/>
      <c r="Z392" s="163"/>
      <c r="AA392" s="163"/>
    </row>
    <row r="393" ht="14.25" customHeight="1">
      <c r="A393" s="164" t="s">
        <v>5386</v>
      </c>
      <c r="B393" s="109"/>
      <c r="C393" s="164" t="s">
        <v>5402</v>
      </c>
      <c r="D393" s="164" t="s">
        <v>271</v>
      </c>
      <c r="E393" s="215" t="s">
        <v>5389</v>
      </c>
      <c r="F393" s="164" t="s">
        <v>5390</v>
      </c>
      <c r="G393" s="164" t="s">
        <v>5394</v>
      </c>
      <c r="H393" s="164" t="s">
        <v>5403</v>
      </c>
      <c r="I393" s="164" t="s">
        <v>36</v>
      </c>
      <c r="J393" s="163"/>
      <c r="K393" s="164"/>
      <c r="L393" s="163"/>
      <c r="M393" s="163"/>
      <c r="N393" s="163"/>
      <c r="O393" s="163"/>
      <c r="P393" s="163"/>
      <c r="Q393" s="163"/>
      <c r="R393" s="163"/>
      <c r="S393" s="163"/>
      <c r="T393" s="163"/>
      <c r="U393" s="163"/>
      <c r="V393" s="163"/>
      <c r="W393" s="163"/>
      <c r="X393" s="163"/>
      <c r="Y393" s="163"/>
      <c r="Z393" s="163"/>
      <c r="AA393" s="163"/>
    </row>
    <row r="394" ht="14.25" customHeight="1">
      <c r="A394" s="163"/>
      <c r="B394" s="163"/>
      <c r="C394" s="164" t="s">
        <v>5404</v>
      </c>
      <c r="D394" s="163"/>
      <c r="E394" s="215" t="s">
        <v>4113</v>
      </c>
      <c r="F394" s="163" t="s">
        <v>5405</v>
      </c>
      <c r="G394" s="163" t="s">
        <v>5406</v>
      </c>
      <c r="H394" s="163" t="s">
        <v>5407</v>
      </c>
      <c r="I394" s="164" t="s">
        <v>36</v>
      </c>
      <c r="J394" s="163"/>
      <c r="K394" s="163"/>
      <c r="L394" s="163"/>
      <c r="M394" s="163"/>
      <c r="N394" s="163"/>
      <c r="O394" s="163"/>
      <c r="P394" s="163"/>
      <c r="Q394" s="163"/>
      <c r="R394" s="163"/>
      <c r="S394" s="163"/>
      <c r="T394" s="163"/>
      <c r="U394" s="163"/>
      <c r="V394" s="163"/>
      <c r="W394" s="163"/>
      <c r="X394" s="163"/>
      <c r="Y394" s="163"/>
      <c r="Z394" s="163"/>
      <c r="AA394" s="163"/>
    </row>
    <row r="395" ht="14.25" customHeight="1">
      <c r="A395" s="163"/>
      <c r="B395" s="163"/>
      <c r="C395" s="164" t="s">
        <v>5408</v>
      </c>
      <c r="D395" s="163"/>
      <c r="E395" s="215" t="s">
        <v>4113</v>
      </c>
      <c r="F395" s="163" t="s">
        <v>5409</v>
      </c>
      <c r="G395" s="163" t="s">
        <v>5410</v>
      </c>
      <c r="H395" s="163" t="s">
        <v>5411</v>
      </c>
      <c r="I395" s="164" t="s">
        <v>36</v>
      </c>
      <c r="J395" s="163"/>
      <c r="K395" s="163"/>
      <c r="L395" s="163"/>
      <c r="M395" s="163"/>
      <c r="N395" s="163"/>
      <c r="O395" s="163"/>
      <c r="P395" s="163"/>
      <c r="Q395" s="163"/>
      <c r="R395" s="163"/>
      <c r="S395" s="163"/>
      <c r="T395" s="163"/>
      <c r="U395" s="163"/>
      <c r="V395" s="163"/>
      <c r="W395" s="163"/>
      <c r="X395" s="163"/>
      <c r="Y395" s="163"/>
      <c r="Z395" s="163"/>
      <c r="AA395" s="163"/>
    </row>
    <row r="396" ht="14.25" customHeight="1">
      <c r="A396" s="163"/>
      <c r="B396" s="163"/>
      <c r="C396" s="164" t="s">
        <v>5412</v>
      </c>
      <c r="D396" s="163"/>
      <c r="E396" s="215" t="s">
        <v>4113</v>
      </c>
      <c r="F396" s="163" t="s">
        <v>5413</v>
      </c>
      <c r="G396" s="163" t="s">
        <v>5414</v>
      </c>
      <c r="H396" s="163" t="s">
        <v>5411</v>
      </c>
      <c r="I396" s="164" t="s">
        <v>36</v>
      </c>
      <c r="J396" s="163"/>
      <c r="K396" s="163"/>
      <c r="L396" s="163"/>
      <c r="M396" s="163"/>
      <c r="N396" s="163"/>
      <c r="O396" s="163"/>
      <c r="P396" s="163"/>
      <c r="Q396" s="163"/>
      <c r="R396" s="163"/>
      <c r="S396" s="163"/>
      <c r="T396" s="163"/>
      <c r="U396" s="163"/>
      <c r="V396" s="163"/>
      <c r="W396" s="163"/>
      <c r="X396" s="163"/>
      <c r="Y396" s="163"/>
      <c r="Z396" s="163"/>
      <c r="AA396" s="163"/>
    </row>
    <row r="397" ht="14.25" customHeight="1">
      <c r="A397" s="163"/>
      <c r="B397" s="163"/>
      <c r="C397" s="164" t="s">
        <v>5415</v>
      </c>
      <c r="D397" s="163"/>
      <c r="E397" s="215" t="s">
        <v>4113</v>
      </c>
      <c r="F397" s="163" t="s">
        <v>5413</v>
      </c>
      <c r="G397" s="163" t="s">
        <v>5416</v>
      </c>
      <c r="H397" s="163" t="s">
        <v>5417</v>
      </c>
      <c r="I397" s="164" t="s">
        <v>36</v>
      </c>
      <c r="J397" s="163"/>
      <c r="K397" s="163"/>
      <c r="L397" s="163"/>
      <c r="M397" s="163"/>
      <c r="N397" s="163"/>
      <c r="O397" s="163"/>
      <c r="P397" s="163"/>
      <c r="Q397" s="163"/>
      <c r="R397" s="163"/>
      <c r="S397" s="163"/>
      <c r="T397" s="163"/>
      <c r="U397" s="163"/>
      <c r="V397" s="163"/>
      <c r="W397" s="163"/>
      <c r="X397" s="163"/>
      <c r="Y397" s="163"/>
      <c r="Z397" s="163"/>
      <c r="AA397" s="163"/>
    </row>
    <row r="398" ht="14.25" customHeight="1">
      <c r="A398" s="163"/>
      <c r="B398" s="163"/>
      <c r="C398" s="164" t="s">
        <v>5418</v>
      </c>
      <c r="D398" s="163"/>
      <c r="E398" s="215" t="s">
        <v>4113</v>
      </c>
      <c r="F398" s="163" t="s">
        <v>5419</v>
      </c>
      <c r="G398" s="163" t="s">
        <v>5420</v>
      </c>
      <c r="H398" s="163" t="s">
        <v>5421</v>
      </c>
      <c r="I398" s="164" t="s">
        <v>36</v>
      </c>
      <c r="J398" s="163"/>
      <c r="K398" s="163"/>
      <c r="L398" s="163"/>
      <c r="M398" s="163"/>
      <c r="N398" s="163"/>
      <c r="O398" s="163"/>
      <c r="P398" s="163"/>
      <c r="Q398" s="163"/>
      <c r="R398" s="163"/>
      <c r="S398" s="163"/>
      <c r="T398" s="163"/>
      <c r="U398" s="163"/>
      <c r="V398" s="163"/>
      <c r="W398" s="163"/>
      <c r="X398" s="163"/>
      <c r="Y398" s="163"/>
      <c r="Z398" s="163"/>
      <c r="AA398" s="163"/>
    </row>
    <row r="399" ht="14.25" customHeight="1">
      <c r="A399" s="163"/>
      <c r="B399" s="163"/>
      <c r="C399" s="164" t="s">
        <v>5422</v>
      </c>
      <c r="D399" s="163"/>
      <c r="E399" s="215" t="s">
        <v>4113</v>
      </c>
      <c r="F399" s="163" t="s">
        <v>5423</v>
      </c>
      <c r="G399" s="163" t="s">
        <v>5424</v>
      </c>
      <c r="H399" s="163" t="s">
        <v>5425</v>
      </c>
      <c r="I399" s="164" t="s">
        <v>36</v>
      </c>
      <c r="J399" s="163"/>
      <c r="K399" s="163"/>
      <c r="L399" s="163"/>
      <c r="M399" s="163"/>
      <c r="N399" s="163"/>
      <c r="O399" s="163"/>
      <c r="P399" s="163"/>
      <c r="Q399" s="163"/>
      <c r="R399" s="163"/>
      <c r="S399" s="163"/>
      <c r="T399" s="163"/>
      <c r="U399" s="163"/>
      <c r="V399" s="163"/>
      <c r="W399" s="163"/>
      <c r="X399" s="163"/>
      <c r="Y399" s="163"/>
      <c r="Z399" s="163"/>
      <c r="AA399" s="163"/>
    </row>
    <row r="400" ht="14.25" customHeight="1">
      <c r="A400" s="163"/>
      <c r="B400" s="163"/>
      <c r="C400" s="164" t="s">
        <v>5426</v>
      </c>
      <c r="D400" s="163"/>
      <c r="E400" s="215" t="s">
        <v>4113</v>
      </c>
      <c r="F400" s="163" t="s">
        <v>5427</v>
      </c>
      <c r="G400" s="163" t="s">
        <v>5428</v>
      </c>
      <c r="H400" s="163" t="s">
        <v>5429</v>
      </c>
      <c r="I400" s="164" t="s">
        <v>36</v>
      </c>
      <c r="J400" s="163"/>
      <c r="K400" s="163"/>
      <c r="L400" s="163"/>
      <c r="M400" s="163"/>
      <c r="N400" s="163"/>
      <c r="O400" s="163"/>
      <c r="P400" s="163"/>
      <c r="Q400" s="163"/>
      <c r="R400" s="163"/>
      <c r="S400" s="163"/>
      <c r="T400" s="163"/>
      <c r="U400" s="163"/>
      <c r="V400" s="163"/>
      <c r="W400" s="163"/>
      <c r="X400" s="163"/>
      <c r="Y400" s="163"/>
      <c r="Z400" s="163"/>
      <c r="AA400" s="163"/>
    </row>
    <row r="401" ht="14.25" customHeight="1">
      <c r="A401" s="163"/>
      <c r="B401" s="163"/>
      <c r="C401" s="164" t="s">
        <v>5430</v>
      </c>
      <c r="D401" s="163"/>
      <c r="E401" s="215" t="s">
        <v>4113</v>
      </c>
      <c r="F401" s="163" t="s">
        <v>5427</v>
      </c>
      <c r="G401" s="163" t="s">
        <v>5431</v>
      </c>
      <c r="H401" s="163" t="s">
        <v>5432</v>
      </c>
      <c r="I401" s="164" t="s">
        <v>36</v>
      </c>
      <c r="J401" s="163"/>
      <c r="K401" s="163"/>
      <c r="L401" s="163"/>
      <c r="M401" s="163"/>
      <c r="N401" s="163"/>
      <c r="O401" s="163"/>
      <c r="P401" s="163"/>
      <c r="Q401" s="163"/>
      <c r="R401" s="163"/>
      <c r="S401" s="163"/>
      <c r="T401" s="163"/>
      <c r="U401" s="163"/>
      <c r="V401" s="163"/>
      <c r="W401" s="163"/>
      <c r="X401" s="163"/>
      <c r="Y401" s="163"/>
      <c r="Z401" s="163"/>
      <c r="AA401" s="163"/>
    </row>
    <row r="402" ht="14.25" customHeight="1">
      <c r="A402" s="163"/>
      <c r="B402" s="163"/>
      <c r="C402" s="164" t="s">
        <v>5433</v>
      </c>
      <c r="D402" s="163"/>
      <c r="E402" s="215" t="s">
        <v>4113</v>
      </c>
      <c r="F402" s="163" t="s">
        <v>5427</v>
      </c>
      <c r="G402" s="163" t="s">
        <v>5434</v>
      </c>
      <c r="H402" s="163" t="s">
        <v>5435</v>
      </c>
      <c r="I402" s="164" t="s">
        <v>36</v>
      </c>
      <c r="J402" s="163"/>
      <c r="K402" s="163"/>
      <c r="L402" s="163"/>
      <c r="M402" s="163"/>
      <c r="N402" s="163"/>
      <c r="O402" s="163"/>
      <c r="P402" s="163"/>
      <c r="Q402" s="163"/>
      <c r="R402" s="163"/>
      <c r="S402" s="163"/>
      <c r="T402" s="163"/>
      <c r="U402" s="163"/>
      <c r="V402" s="163"/>
      <c r="W402" s="163"/>
      <c r="X402" s="163"/>
      <c r="Y402" s="163"/>
      <c r="Z402" s="163"/>
      <c r="AA402" s="163"/>
    </row>
    <row r="403" ht="14.25" customHeight="1">
      <c r="A403" s="163"/>
      <c r="B403" s="163"/>
      <c r="C403" s="164" t="s">
        <v>5436</v>
      </c>
      <c r="D403" s="163"/>
      <c r="E403" s="215" t="s">
        <v>4113</v>
      </c>
      <c r="F403" s="163" t="s">
        <v>5427</v>
      </c>
      <c r="G403" s="163" t="s">
        <v>5437</v>
      </c>
      <c r="H403" s="163" t="s">
        <v>5438</v>
      </c>
      <c r="I403" s="164" t="s">
        <v>36</v>
      </c>
      <c r="J403" s="163"/>
      <c r="K403" s="163"/>
      <c r="L403" s="163"/>
      <c r="M403" s="163"/>
      <c r="N403" s="163"/>
      <c r="O403" s="163"/>
      <c r="P403" s="163"/>
      <c r="Q403" s="163"/>
      <c r="R403" s="163"/>
      <c r="S403" s="163"/>
      <c r="T403" s="163"/>
      <c r="U403" s="163"/>
      <c r="V403" s="163"/>
      <c r="W403" s="163"/>
      <c r="X403" s="163"/>
      <c r="Y403" s="163"/>
      <c r="Z403" s="163"/>
      <c r="AA403" s="163"/>
    </row>
    <row r="404" ht="14.25" customHeight="1">
      <c r="A404" s="163"/>
      <c r="B404" s="163"/>
      <c r="C404" s="164" t="s">
        <v>5439</v>
      </c>
      <c r="D404" s="163"/>
      <c r="E404" s="215" t="s">
        <v>4113</v>
      </c>
      <c r="F404" s="163" t="s">
        <v>5427</v>
      </c>
      <c r="G404" s="163" t="s">
        <v>5440</v>
      </c>
      <c r="H404" s="163" t="s">
        <v>5441</v>
      </c>
      <c r="I404" s="164" t="s">
        <v>36</v>
      </c>
      <c r="J404" s="163"/>
      <c r="K404" s="163"/>
      <c r="L404" s="163"/>
      <c r="M404" s="163"/>
      <c r="N404" s="163"/>
      <c r="O404" s="163"/>
      <c r="P404" s="163"/>
      <c r="Q404" s="163"/>
      <c r="R404" s="163"/>
      <c r="S404" s="163"/>
      <c r="T404" s="163"/>
      <c r="U404" s="163"/>
      <c r="V404" s="163"/>
      <c r="W404" s="163"/>
      <c r="X404" s="163"/>
      <c r="Y404" s="163"/>
      <c r="Z404" s="163"/>
      <c r="AA404" s="163"/>
    </row>
    <row r="405" ht="14.25" customHeight="1">
      <c r="A405" s="163"/>
      <c r="B405" s="163"/>
      <c r="C405" s="164" t="s">
        <v>5442</v>
      </c>
      <c r="D405" s="163"/>
      <c r="E405" s="215" t="s">
        <v>4113</v>
      </c>
      <c r="F405" s="163" t="s">
        <v>5443</v>
      </c>
      <c r="G405" s="163" t="s">
        <v>4442</v>
      </c>
      <c r="H405" s="163" t="s">
        <v>4443</v>
      </c>
      <c r="I405" s="164" t="s">
        <v>36</v>
      </c>
      <c r="J405" s="163"/>
      <c r="K405" s="163"/>
      <c r="L405" s="163"/>
      <c r="M405" s="163"/>
      <c r="N405" s="163"/>
      <c r="O405" s="163"/>
      <c r="P405" s="163"/>
      <c r="Q405" s="163"/>
      <c r="R405" s="163"/>
      <c r="S405" s="163"/>
      <c r="T405" s="163"/>
      <c r="U405" s="163"/>
      <c r="V405" s="163"/>
      <c r="W405" s="163"/>
      <c r="X405" s="163"/>
      <c r="Y405" s="163"/>
      <c r="Z405" s="163"/>
      <c r="AA405" s="163"/>
    </row>
    <row r="406" ht="14.25" customHeight="1">
      <c r="A406" s="163"/>
      <c r="B406" s="163"/>
      <c r="C406" s="164" t="s">
        <v>5444</v>
      </c>
      <c r="D406" s="163"/>
      <c r="E406" s="215" t="s">
        <v>4113</v>
      </c>
      <c r="F406" s="163" t="s">
        <v>5443</v>
      </c>
      <c r="G406" s="163" t="s">
        <v>5445</v>
      </c>
      <c r="H406" s="163" t="s">
        <v>4446</v>
      </c>
      <c r="I406" s="164" t="s">
        <v>36</v>
      </c>
      <c r="J406" s="163"/>
      <c r="K406" s="163"/>
      <c r="L406" s="163"/>
      <c r="M406" s="163"/>
      <c r="N406" s="163"/>
      <c r="O406" s="163"/>
      <c r="P406" s="163"/>
      <c r="Q406" s="163"/>
      <c r="R406" s="163"/>
      <c r="S406" s="163"/>
      <c r="T406" s="163"/>
      <c r="U406" s="163"/>
      <c r="V406" s="163"/>
      <c r="W406" s="163"/>
      <c r="X406" s="163"/>
      <c r="Y406" s="163"/>
      <c r="Z406" s="163"/>
      <c r="AA406" s="163"/>
    </row>
    <row r="407" ht="14.25" customHeight="1">
      <c r="A407" s="163"/>
      <c r="B407" s="163"/>
      <c r="C407" s="164" t="s">
        <v>5446</v>
      </c>
      <c r="D407" s="163"/>
      <c r="E407" s="215" t="s">
        <v>4113</v>
      </c>
      <c r="F407" s="163" t="s">
        <v>5443</v>
      </c>
      <c r="G407" s="163" t="s">
        <v>4448</v>
      </c>
      <c r="H407" s="163" t="s">
        <v>4449</v>
      </c>
      <c r="I407" s="164" t="s">
        <v>36</v>
      </c>
      <c r="J407" s="163"/>
      <c r="K407" s="163"/>
      <c r="L407" s="163"/>
      <c r="M407" s="163"/>
      <c r="N407" s="163"/>
      <c r="O407" s="163"/>
      <c r="P407" s="163"/>
      <c r="Q407" s="163"/>
      <c r="R407" s="163"/>
      <c r="S407" s="163"/>
      <c r="T407" s="163"/>
      <c r="U407" s="163"/>
      <c r="V407" s="163"/>
      <c r="W407" s="163"/>
      <c r="X407" s="163"/>
      <c r="Y407" s="163"/>
      <c r="Z407" s="163"/>
      <c r="AA407" s="163"/>
    </row>
    <row r="408" ht="14.25" customHeight="1">
      <c r="A408" s="163"/>
      <c r="B408" s="163"/>
      <c r="C408" s="164" t="s">
        <v>5447</v>
      </c>
      <c r="D408" s="163"/>
      <c r="E408" s="215" t="s">
        <v>4113</v>
      </c>
      <c r="F408" s="163" t="s">
        <v>5443</v>
      </c>
      <c r="G408" s="163" t="s">
        <v>4451</v>
      </c>
      <c r="H408" s="163" t="s">
        <v>4449</v>
      </c>
      <c r="I408" s="164" t="s">
        <v>36</v>
      </c>
      <c r="J408" s="163"/>
      <c r="K408" s="163"/>
      <c r="L408" s="163"/>
      <c r="M408" s="163"/>
      <c r="N408" s="163"/>
      <c r="O408" s="163"/>
      <c r="P408" s="163"/>
      <c r="Q408" s="163"/>
      <c r="R408" s="163"/>
      <c r="S408" s="163"/>
      <c r="T408" s="163"/>
      <c r="U408" s="163"/>
      <c r="V408" s="163"/>
      <c r="W408" s="163"/>
      <c r="X408" s="163"/>
      <c r="Y408" s="163"/>
      <c r="Z408" s="163"/>
      <c r="AA408" s="163"/>
    </row>
    <row r="409" ht="14.25" customHeight="1">
      <c r="A409" s="163"/>
      <c r="B409" s="163"/>
      <c r="C409" s="164" t="s">
        <v>5448</v>
      </c>
      <c r="D409" s="163"/>
      <c r="E409" s="215" t="s">
        <v>4113</v>
      </c>
      <c r="F409" s="163" t="s">
        <v>5443</v>
      </c>
      <c r="G409" s="163" t="s">
        <v>4453</v>
      </c>
      <c r="H409" s="163" t="s">
        <v>4454</v>
      </c>
      <c r="I409" s="164" t="s">
        <v>36</v>
      </c>
      <c r="J409" s="163"/>
      <c r="K409" s="163"/>
      <c r="L409" s="163"/>
      <c r="M409" s="163"/>
      <c r="N409" s="163"/>
      <c r="O409" s="163"/>
      <c r="P409" s="163"/>
      <c r="Q409" s="163"/>
      <c r="R409" s="163"/>
      <c r="S409" s="163"/>
      <c r="T409" s="163"/>
      <c r="U409" s="163"/>
      <c r="V409" s="163"/>
      <c r="W409" s="163"/>
      <c r="X409" s="163"/>
      <c r="Y409" s="163"/>
      <c r="Z409" s="163"/>
      <c r="AA409" s="163"/>
    </row>
    <row r="410" ht="14.25" customHeight="1">
      <c r="A410" s="164" t="s">
        <v>5449</v>
      </c>
      <c r="B410" s="166" t="s">
        <v>5450</v>
      </c>
      <c r="C410" s="147" t="s">
        <v>5451</v>
      </c>
      <c r="D410" s="164" t="s">
        <v>2082</v>
      </c>
      <c r="E410" s="165" t="s">
        <v>5452</v>
      </c>
      <c r="F410" s="165" t="s">
        <v>5453</v>
      </c>
      <c r="G410" s="165" t="s">
        <v>5454</v>
      </c>
      <c r="H410" s="165" t="s">
        <v>5455</v>
      </c>
      <c r="I410" s="164" t="s">
        <v>36</v>
      </c>
      <c r="J410" s="163"/>
      <c r="K410" s="163"/>
      <c r="L410" s="163"/>
      <c r="M410" s="163"/>
      <c r="N410" s="163"/>
      <c r="O410" s="163"/>
      <c r="P410" s="163"/>
      <c r="Q410" s="163"/>
      <c r="R410" s="163"/>
      <c r="S410" s="163"/>
      <c r="T410" s="163"/>
      <c r="U410" s="163"/>
      <c r="V410" s="163"/>
      <c r="W410" s="163"/>
      <c r="X410" s="163"/>
      <c r="Y410" s="163"/>
      <c r="Z410" s="163"/>
      <c r="AA410" s="163"/>
    </row>
    <row r="411" ht="14.25" customHeight="1">
      <c r="A411" s="164" t="s">
        <v>5449</v>
      </c>
      <c r="B411" s="108"/>
      <c r="C411" s="147" t="s">
        <v>5456</v>
      </c>
      <c r="D411" s="164" t="s">
        <v>2082</v>
      </c>
      <c r="E411" s="165" t="s">
        <v>5452</v>
      </c>
      <c r="F411" s="165" t="s">
        <v>5457</v>
      </c>
      <c r="G411" s="165" t="s">
        <v>5454</v>
      </c>
      <c r="H411" s="165" t="s">
        <v>5458</v>
      </c>
      <c r="I411" s="164" t="s">
        <v>36</v>
      </c>
      <c r="J411" s="163"/>
      <c r="K411" s="163"/>
      <c r="L411" s="163"/>
      <c r="M411" s="163"/>
      <c r="N411" s="163"/>
      <c r="O411" s="163"/>
      <c r="P411" s="163"/>
      <c r="Q411" s="163"/>
      <c r="R411" s="163"/>
      <c r="S411" s="163"/>
      <c r="T411" s="163"/>
      <c r="U411" s="163"/>
      <c r="V411" s="163"/>
      <c r="W411" s="163"/>
      <c r="X411" s="163"/>
      <c r="Y411" s="163"/>
      <c r="Z411" s="163"/>
      <c r="AA411" s="163"/>
    </row>
    <row r="412" ht="14.25" customHeight="1">
      <c r="A412" s="164" t="s">
        <v>5449</v>
      </c>
      <c r="B412" s="108"/>
      <c r="C412" s="147" t="s">
        <v>5459</v>
      </c>
      <c r="D412" s="164" t="s">
        <v>2082</v>
      </c>
      <c r="E412" s="165" t="s">
        <v>5452</v>
      </c>
      <c r="F412" s="165" t="s">
        <v>5453</v>
      </c>
      <c r="G412" s="165" t="s">
        <v>5454</v>
      </c>
      <c r="H412" s="224" t="s">
        <v>5460</v>
      </c>
      <c r="I412" s="164" t="s">
        <v>36</v>
      </c>
      <c r="J412" s="163"/>
      <c r="K412" s="163"/>
      <c r="L412" s="163"/>
      <c r="M412" s="163"/>
      <c r="N412" s="163"/>
      <c r="O412" s="163"/>
      <c r="P412" s="163"/>
      <c r="Q412" s="163"/>
      <c r="R412" s="163"/>
      <c r="S412" s="163"/>
      <c r="T412" s="163"/>
      <c r="U412" s="163"/>
      <c r="V412" s="163"/>
      <c r="W412" s="163"/>
      <c r="X412" s="163"/>
      <c r="Y412" s="163"/>
      <c r="Z412" s="163"/>
      <c r="AA412" s="163"/>
    </row>
    <row r="413" ht="14.25" customHeight="1">
      <c r="A413" s="164" t="s">
        <v>5449</v>
      </c>
      <c r="B413" s="108"/>
      <c r="C413" s="147" t="s">
        <v>5461</v>
      </c>
      <c r="D413" s="164" t="s">
        <v>2082</v>
      </c>
      <c r="E413" s="165" t="s">
        <v>5452</v>
      </c>
      <c r="F413" s="165" t="s">
        <v>5462</v>
      </c>
      <c r="G413" s="165" t="s">
        <v>5463</v>
      </c>
      <c r="H413" s="165" t="s">
        <v>5464</v>
      </c>
      <c r="I413" s="164" t="s">
        <v>36</v>
      </c>
      <c r="J413" s="163"/>
      <c r="K413" s="163"/>
      <c r="L413" s="163"/>
      <c r="M413" s="163"/>
      <c r="N413" s="163"/>
      <c r="O413" s="163"/>
      <c r="P413" s="163"/>
      <c r="Q413" s="163"/>
      <c r="R413" s="163"/>
      <c r="S413" s="163"/>
      <c r="T413" s="163"/>
      <c r="U413" s="163"/>
      <c r="V413" s="163"/>
      <c r="W413" s="163"/>
      <c r="X413" s="163"/>
      <c r="Y413" s="163"/>
      <c r="Z413" s="163"/>
      <c r="AA413" s="163"/>
    </row>
    <row r="414" ht="14.25" customHeight="1">
      <c r="A414" s="164" t="s">
        <v>5449</v>
      </c>
      <c r="B414" s="108"/>
      <c r="C414" s="147" t="s">
        <v>5465</v>
      </c>
      <c r="D414" s="164" t="s">
        <v>271</v>
      </c>
      <c r="E414" s="165" t="s">
        <v>5452</v>
      </c>
      <c r="F414" s="165" t="s">
        <v>5466</v>
      </c>
      <c r="G414" s="165" t="s">
        <v>5467</v>
      </c>
      <c r="H414" s="165" t="s">
        <v>5468</v>
      </c>
      <c r="I414" s="164" t="s">
        <v>36</v>
      </c>
      <c r="J414" s="163"/>
      <c r="K414" s="163"/>
      <c r="L414" s="163"/>
      <c r="M414" s="163"/>
      <c r="N414" s="163"/>
      <c r="O414" s="163"/>
      <c r="P414" s="163"/>
      <c r="Q414" s="163"/>
      <c r="R414" s="163"/>
      <c r="S414" s="163"/>
      <c r="T414" s="163"/>
      <c r="U414" s="163"/>
      <c r="V414" s="163"/>
      <c r="W414" s="163"/>
      <c r="X414" s="163"/>
      <c r="Y414" s="163"/>
      <c r="Z414" s="163"/>
      <c r="AA414" s="163"/>
    </row>
    <row r="415" ht="14.25" customHeight="1">
      <c r="A415" s="164" t="s">
        <v>5449</v>
      </c>
      <c r="B415" s="108"/>
      <c r="C415" s="147" t="s">
        <v>5469</v>
      </c>
      <c r="D415" s="164" t="s">
        <v>271</v>
      </c>
      <c r="E415" s="165" t="s">
        <v>5452</v>
      </c>
      <c r="F415" s="165" t="s">
        <v>5470</v>
      </c>
      <c r="G415" s="165" t="s">
        <v>5471</v>
      </c>
      <c r="H415" s="165" t="s">
        <v>5468</v>
      </c>
      <c r="I415" s="164" t="s">
        <v>36</v>
      </c>
      <c r="J415" s="163"/>
      <c r="K415" s="163"/>
      <c r="L415" s="163"/>
      <c r="M415" s="163"/>
      <c r="N415" s="163"/>
      <c r="O415" s="163"/>
      <c r="P415" s="163"/>
      <c r="Q415" s="163"/>
      <c r="R415" s="163"/>
      <c r="S415" s="163"/>
      <c r="T415" s="163"/>
      <c r="U415" s="163"/>
      <c r="V415" s="163"/>
      <c r="W415" s="163"/>
      <c r="X415" s="163"/>
      <c r="Y415" s="163"/>
      <c r="Z415" s="163"/>
      <c r="AA415" s="163"/>
    </row>
    <row r="416" ht="14.25" customHeight="1">
      <c r="A416" s="164" t="s">
        <v>5449</v>
      </c>
      <c r="B416" s="108"/>
      <c r="C416" s="147" t="s">
        <v>5472</v>
      </c>
      <c r="D416" s="164" t="s">
        <v>271</v>
      </c>
      <c r="E416" s="165" t="s">
        <v>5452</v>
      </c>
      <c r="F416" s="165" t="s">
        <v>5473</v>
      </c>
      <c r="G416" s="165" t="s">
        <v>5474</v>
      </c>
      <c r="H416" s="165" t="s">
        <v>5464</v>
      </c>
      <c r="I416" s="164" t="s">
        <v>36</v>
      </c>
      <c r="J416" s="163"/>
      <c r="K416" s="163"/>
      <c r="L416" s="163"/>
      <c r="M416" s="163"/>
      <c r="N416" s="163"/>
      <c r="O416" s="163"/>
      <c r="P416" s="163"/>
      <c r="Q416" s="163"/>
      <c r="R416" s="163"/>
      <c r="S416" s="163"/>
      <c r="T416" s="163"/>
      <c r="U416" s="163"/>
      <c r="V416" s="163"/>
      <c r="W416" s="163"/>
      <c r="X416" s="163"/>
      <c r="Y416" s="163"/>
      <c r="Z416" s="163"/>
      <c r="AA416" s="163"/>
    </row>
    <row r="417" ht="14.25" customHeight="1">
      <c r="A417" s="164" t="s">
        <v>5449</v>
      </c>
      <c r="B417" s="108"/>
      <c r="C417" s="147" t="s">
        <v>5475</v>
      </c>
      <c r="D417" s="164" t="s">
        <v>271</v>
      </c>
      <c r="E417" s="165" t="s">
        <v>5452</v>
      </c>
      <c r="F417" s="165" t="s">
        <v>5476</v>
      </c>
      <c r="G417" s="165" t="s">
        <v>5477</v>
      </c>
      <c r="H417" s="165" t="s">
        <v>5478</v>
      </c>
      <c r="I417" s="164" t="s">
        <v>36</v>
      </c>
      <c r="J417" s="163"/>
      <c r="K417" s="163"/>
      <c r="L417" s="163"/>
      <c r="M417" s="163"/>
      <c r="N417" s="163"/>
      <c r="O417" s="163"/>
      <c r="P417" s="163"/>
      <c r="Q417" s="163"/>
      <c r="R417" s="163"/>
      <c r="S417" s="163"/>
      <c r="T417" s="163"/>
      <c r="U417" s="163"/>
      <c r="V417" s="163"/>
      <c r="W417" s="163"/>
      <c r="X417" s="163"/>
      <c r="Y417" s="163"/>
      <c r="Z417" s="163"/>
      <c r="AA417" s="163"/>
    </row>
    <row r="418" ht="14.25" customHeight="1">
      <c r="A418" s="164" t="s">
        <v>5449</v>
      </c>
      <c r="B418" s="109"/>
      <c r="C418" s="147" t="s">
        <v>5479</v>
      </c>
      <c r="D418" s="164" t="s">
        <v>271</v>
      </c>
      <c r="E418" s="165" t="s">
        <v>5452</v>
      </c>
      <c r="F418" s="165" t="s">
        <v>5480</v>
      </c>
      <c r="G418" s="165" t="s">
        <v>5481</v>
      </c>
      <c r="H418" s="165" t="s">
        <v>5482</v>
      </c>
      <c r="I418" s="164" t="s">
        <v>36</v>
      </c>
      <c r="J418" s="163"/>
      <c r="K418" s="163"/>
      <c r="L418" s="163"/>
      <c r="M418" s="163"/>
      <c r="N418" s="163"/>
      <c r="O418" s="163"/>
      <c r="P418" s="163"/>
      <c r="Q418" s="163"/>
      <c r="R418" s="163"/>
      <c r="S418" s="163"/>
      <c r="T418" s="163"/>
      <c r="U418" s="163"/>
      <c r="V418" s="163"/>
      <c r="W418" s="163"/>
      <c r="X418" s="163"/>
      <c r="Y418" s="163"/>
      <c r="Z418" s="163"/>
      <c r="AA418" s="163"/>
    </row>
    <row r="419" ht="14.25" customHeight="1">
      <c r="A419" s="163"/>
      <c r="B419" s="163"/>
      <c r="C419" s="164" t="s">
        <v>5448</v>
      </c>
      <c r="D419" s="163"/>
      <c r="E419" s="215" t="s">
        <v>4115</v>
      </c>
      <c r="F419" s="164" t="s">
        <v>5483</v>
      </c>
      <c r="G419" s="164" t="s">
        <v>5484</v>
      </c>
      <c r="H419" s="163" t="s">
        <v>5485</v>
      </c>
      <c r="I419" s="164" t="s">
        <v>36</v>
      </c>
      <c r="J419" s="163"/>
      <c r="K419" s="163"/>
      <c r="L419" s="163"/>
      <c r="M419" s="163"/>
      <c r="N419" s="163"/>
      <c r="O419" s="163"/>
      <c r="P419" s="163"/>
      <c r="Q419" s="163"/>
      <c r="R419" s="163"/>
      <c r="S419" s="163"/>
      <c r="T419" s="163"/>
      <c r="U419" s="163"/>
      <c r="V419" s="163"/>
      <c r="W419" s="163"/>
      <c r="X419" s="163"/>
      <c r="Y419" s="163"/>
      <c r="Z419" s="163"/>
      <c r="AA419" s="163"/>
    </row>
    <row r="420" ht="14.25" customHeight="1">
      <c r="A420" s="163"/>
      <c r="B420" s="163"/>
      <c r="C420" s="164" t="s">
        <v>5486</v>
      </c>
      <c r="D420" s="163"/>
      <c r="E420" s="215" t="s">
        <v>4115</v>
      </c>
      <c r="F420" s="164" t="s">
        <v>5487</v>
      </c>
      <c r="G420" s="164" t="s">
        <v>5488</v>
      </c>
      <c r="H420" s="163" t="s">
        <v>5485</v>
      </c>
      <c r="I420" s="164" t="s">
        <v>36</v>
      </c>
      <c r="J420" s="163"/>
      <c r="K420" s="163"/>
      <c r="L420" s="163"/>
      <c r="M420" s="163"/>
      <c r="N420" s="163"/>
      <c r="O420" s="163"/>
      <c r="P420" s="163"/>
      <c r="Q420" s="163"/>
      <c r="R420" s="163"/>
      <c r="S420" s="163"/>
      <c r="T420" s="163"/>
      <c r="U420" s="163"/>
      <c r="V420" s="163"/>
      <c r="W420" s="163"/>
      <c r="X420" s="163"/>
      <c r="Y420" s="163"/>
      <c r="Z420" s="163"/>
      <c r="AA420" s="163"/>
    </row>
    <row r="421" ht="14.25" customHeight="1">
      <c r="A421" s="163"/>
      <c r="B421" s="163"/>
      <c r="C421" s="164" t="s">
        <v>5489</v>
      </c>
      <c r="D421" s="163"/>
      <c r="E421" s="215" t="s">
        <v>4115</v>
      </c>
      <c r="F421" s="164" t="s">
        <v>5490</v>
      </c>
      <c r="G421" s="164" t="s">
        <v>5491</v>
      </c>
      <c r="H421" s="163" t="s">
        <v>5485</v>
      </c>
      <c r="I421" s="164" t="s">
        <v>36</v>
      </c>
      <c r="J421" s="163"/>
      <c r="K421" s="163"/>
      <c r="L421" s="163"/>
      <c r="M421" s="163"/>
      <c r="N421" s="163"/>
      <c r="O421" s="163"/>
      <c r="P421" s="163"/>
      <c r="Q421" s="163"/>
      <c r="R421" s="163"/>
      <c r="S421" s="163"/>
      <c r="T421" s="163"/>
      <c r="U421" s="163"/>
      <c r="V421" s="163"/>
      <c r="W421" s="163"/>
      <c r="X421" s="163"/>
      <c r="Y421" s="163"/>
      <c r="Z421" s="163"/>
      <c r="AA421" s="163"/>
    </row>
    <row r="422" ht="14.25" customHeight="1">
      <c r="A422" s="163"/>
      <c r="B422" s="163"/>
      <c r="C422" s="164" t="s">
        <v>5492</v>
      </c>
      <c r="D422" s="163"/>
      <c r="E422" s="215" t="s">
        <v>4115</v>
      </c>
      <c r="F422" s="163" t="s">
        <v>5493</v>
      </c>
      <c r="G422" s="164" t="s">
        <v>5494</v>
      </c>
      <c r="H422" s="163" t="s">
        <v>5485</v>
      </c>
      <c r="I422" s="164" t="s">
        <v>36</v>
      </c>
      <c r="J422" s="163"/>
      <c r="K422" s="163"/>
      <c r="L422" s="163"/>
      <c r="M422" s="163"/>
      <c r="N422" s="163"/>
      <c r="O422" s="163"/>
      <c r="P422" s="163"/>
      <c r="Q422" s="163"/>
      <c r="R422" s="163"/>
      <c r="S422" s="163"/>
      <c r="T422" s="163"/>
      <c r="U422" s="163"/>
      <c r="V422" s="163"/>
      <c r="W422" s="163"/>
      <c r="X422" s="163"/>
      <c r="Y422" s="163"/>
      <c r="Z422" s="163"/>
      <c r="AA422" s="163"/>
    </row>
    <row r="423" ht="14.25" customHeight="1">
      <c r="A423" s="163"/>
      <c r="B423" s="163"/>
      <c r="C423" s="164" t="s">
        <v>5495</v>
      </c>
      <c r="D423" s="163"/>
      <c r="E423" s="215" t="s">
        <v>4115</v>
      </c>
      <c r="F423" s="163" t="s">
        <v>5496</v>
      </c>
      <c r="G423" s="164" t="s">
        <v>5497</v>
      </c>
      <c r="H423" s="163" t="s">
        <v>5485</v>
      </c>
      <c r="I423" s="164" t="s">
        <v>36</v>
      </c>
      <c r="J423" s="163"/>
      <c r="K423" s="163"/>
      <c r="L423" s="163"/>
      <c r="M423" s="163"/>
      <c r="N423" s="163"/>
      <c r="O423" s="163"/>
      <c r="P423" s="163"/>
      <c r="Q423" s="163"/>
      <c r="R423" s="163"/>
      <c r="S423" s="163"/>
      <c r="T423" s="163"/>
      <c r="U423" s="163"/>
      <c r="V423" s="163"/>
      <c r="W423" s="163"/>
      <c r="X423" s="163"/>
      <c r="Y423" s="163"/>
      <c r="Z423" s="163"/>
      <c r="AA423" s="163"/>
    </row>
    <row r="424" ht="14.25" customHeight="1">
      <c r="A424" s="163"/>
      <c r="B424" s="163"/>
      <c r="C424" s="164" t="s">
        <v>5498</v>
      </c>
      <c r="D424" s="163"/>
      <c r="E424" s="215" t="s">
        <v>4115</v>
      </c>
      <c r="F424" s="164" t="s">
        <v>5499</v>
      </c>
      <c r="G424" s="164" t="s">
        <v>5484</v>
      </c>
      <c r="H424" s="163" t="s">
        <v>5485</v>
      </c>
      <c r="I424" s="164" t="s">
        <v>36</v>
      </c>
      <c r="J424" s="163"/>
      <c r="K424" s="163"/>
      <c r="L424" s="163"/>
      <c r="M424" s="163"/>
      <c r="N424" s="163"/>
      <c r="O424" s="163"/>
      <c r="P424" s="163"/>
      <c r="Q424" s="163"/>
      <c r="R424" s="163"/>
      <c r="S424" s="163"/>
      <c r="T424" s="163"/>
      <c r="U424" s="163"/>
      <c r="V424" s="163"/>
      <c r="W424" s="163"/>
      <c r="X424" s="163"/>
      <c r="Y424" s="163"/>
      <c r="Z424" s="163"/>
      <c r="AA424" s="163"/>
    </row>
    <row r="425" ht="14.25" customHeight="1">
      <c r="A425" s="163"/>
      <c r="B425" s="163"/>
      <c r="C425" s="164" t="s">
        <v>5500</v>
      </c>
      <c r="D425" s="163"/>
      <c r="E425" s="215" t="s">
        <v>4115</v>
      </c>
      <c r="F425" s="164" t="s">
        <v>5501</v>
      </c>
      <c r="G425" s="164" t="s">
        <v>5488</v>
      </c>
      <c r="H425" s="163" t="s">
        <v>5485</v>
      </c>
      <c r="I425" s="164" t="s">
        <v>36</v>
      </c>
      <c r="J425" s="163"/>
      <c r="K425" s="163"/>
      <c r="L425" s="163"/>
      <c r="M425" s="163"/>
      <c r="N425" s="163"/>
      <c r="O425" s="163"/>
      <c r="P425" s="163"/>
      <c r="Q425" s="163"/>
      <c r="R425" s="163"/>
      <c r="S425" s="163"/>
      <c r="T425" s="163"/>
      <c r="U425" s="163"/>
      <c r="V425" s="163"/>
      <c r="W425" s="163"/>
      <c r="X425" s="163"/>
      <c r="Y425" s="163"/>
      <c r="Z425" s="163"/>
      <c r="AA425" s="163"/>
    </row>
    <row r="426" ht="14.25" customHeight="1">
      <c r="A426" s="163"/>
      <c r="B426" s="163"/>
      <c r="C426" s="164" t="s">
        <v>5502</v>
      </c>
      <c r="D426" s="163"/>
      <c r="E426" s="215" t="s">
        <v>4115</v>
      </c>
      <c r="F426" s="164" t="s">
        <v>5503</v>
      </c>
      <c r="G426" s="164" t="s">
        <v>5491</v>
      </c>
      <c r="H426" s="163" t="s">
        <v>5485</v>
      </c>
      <c r="I426" s="164" t="s">
        <v>36</v>
      </c>
      <c r="J426" s="163"/>
      <c r="K426" s="163"/>
      <c r="L426" s="163"/>
      <c r="M426" s="163"/>
      <c r="N426" s="163"/>
      <c r="O426" s="163"/>
      <c r="P426" s="163"/>
      <c r="Q426" s="163"/>
      <c r="R426" s="163"/>
      <c r="S426" s="163"/>
      <c r="T426" s="163"/>
      <c r="U426" s="163"/>
      <c r="V426" s="163"/>
      <c r="W426" s="163"/>
      <c r="X426" s="163"/>
      <c r="Y426" s="163"/>
      <c r="Z426" s="163"/>
      <c r="AA426" s="163"/>
    </row>
    <row r="427" ht="14.25" customHeight="1">
      <c r="A427" s="163"/>
      <c r="B427" s="163"/>
      <c r="C427" s="164" t="s">
        <v>5504</v>
      </c>
      <c r="D427" s="163"/>
      <c r="E427" s="215" t="s">
        <v>4115</v>
      </c>
      <c r="F427" s="164" t="s">
        <v>5505</v>
      </c>
      <c r="G427" s="164" t="s">
        <v>5506</v>
      </c>
      <c r="H427" s="163" t="s">
        <v>5507</v>
      </c>
      <c r="I427" s="164" t="s">
        <v>36</v>
      </c>
      <c r="J427" s="163"/>
      <c r="K427" s="163"/>
      <c r="L427" s="163"/>
      <c r="M427" s="163"/>
      <c r="N427" s="163"/>
      <c r="O427" s="163"/>
      <c r="P427" s="163"/>
      <c r="Q427" s="163"/>
      <c r="R427" s="163"/>
      <c r="S427" s="163"/>
      <c r="T427" s="163"/>
      <c r="U427" s="163"/>
      <c r="V427" s="163"/>
      <c r="W427" s="163"/>
      <c r="X427" s="163"/>
      <c r="Y427" s="163"/>
      <c r="Z427" s="163"/>
      <c r="AA427" s="163"/>
    </row>
    <row r="428" ht="14.25" customHeight="1">
      <c r="A428" s="163"/>
      <c r="B428" s="163"/>
      <c r="C428" s="164" t="s">
        <v>5508</v>
      </c>
      <c r="D428" s="163"/>
      <c r="E428" s="215" t="s">
        <v>4115</v>
      </c>
      <c r="F428" s="164" t="s">
        <v>5509</v>
      </c>
      <c r="G428" s="164" t="s">
        <v>5510</v>
      </c>
      <c r="H428" s="163" t="s">
        <v>5507</v>
      </c>
      <c r="I428" s="164" t="s">
        <v>36</v>
      </c>
      <c r="J428" s="163"/>
      <c r="K428" s="163"/>
      <c r="L428" s="163"/>
      <c r="M428" s="163"/>
      <c r="N428" s="163"/>
      <c r="O428" s="163"/>
      <c r="P428" s="163"/>
      <c r="Q428" s="163"/>
      <c r="R428" s="163"/>
      <c r="S428" s="163"/>
      <c r="T428" s="163"/>
      <c r="U428" s="163"/>
      <c r="V428" s="163"/>
      <c r="W428" s="163"/>
      <c r="X428" s="163"/>
      <c r="Y428" s="163"/>
      <c r="Z428" s="163"/>
      <c r="AA428" s="163"/>
    </row>
    <row r="429" ht="14.25" customHeight="1">
      <c r="A429" s="163"/>
      <c r="B429" s="163"/>
      <c r="C429" s="164" t="s">
        <v>5511</v>
      </c>
      <c r="D429" s="163"/>
      <c r="E429" s="215" t="s">
        <v>4115</v>
      </c>
      <c r="F429" s="163" t="s">
        <v>5512</v>
      </c>
      <c r="G429" s="164" t="s">
        <v>5513</v>
      </c>
      <c r="H429" s="163" t="s">
        <v>5507</v>
      </c>
      <c r="I429" s="164" t="s">
        <v>36</v>
      </c>
      <c r="J429" s="163"/>
      <c r="K429" s="163"/>
      <c r="L429" s="163"/>
      <c r="M429" s="163"/>
      <c r="N429" s="163"/>
      <c r="O429" s="163"/>
      <c r="P429" s="163"/>
      <c r="Q429" s="163"/>
      <c r="R429" s="163"/>
      <c r="S429" s="163"/>
      <c r="T429" s="163"/>
      <c r="U429" s="163"/>
      <c r="V429" s="163"/>
      <c r="W429" s="163"/>
      <c r="X429" s="163"/>
      <c r="Y429" s="163"/>
      <c r="Z429" s="163"/>
      <c r="AA429" s="163"/>
    </row>
    <row r="430" ht="14.25" customHeight="1">
      <c r="A430" s="163"/>
      <c r="B430" s="163"/>
      <c r="C430" s="164" t="s">
        <v>5514</v>
      </c>
      <c r="D430" s="163"/>
      <c r="E430" s="215" t="s">
        <v>4115</v>
      </c>
      <c r="F430" s="163" t="s">
        <v>5515</v>
      </c>
      <c r="G430" s="164" t="s">
        <v>5516</v>
      </c>
      <c r="H430" s="163" t="s">
        <v>5507</v>
      </c>
      <c r="I430" s="164" t="s">
        <v>36</v>
      </c>
      <c r="J430" s="163"/>
      <c r="K430" s="163"/>
      <c r="L430" s="163"/>
      <c r="M430" s="163"/>
      <c r="N430" s="163"/>
      <c r="O430" s="163"/>
      <c r="P430" s="163"/>
      <c r="Q430" s="163"/>
      <c r="R430" s="163"/>
      <c r="S430" s="163"/>
      <c r="T430" s="163"/>
      <c r="U430" s="163"/>
      <c r="V430" s="163"/>
      <c r="W430" s="163"/>
      <c r="X430" s="163"/>
      <c r="Y430" s="163"/>
      <c r="Z430" s="163"/>
      <c r="AA430" s="163"/>
    </row>
    <row r="431" ht="14.25" customHeight="1">
      <c r="A431" s="163"/>
      <c r="B431" s="163"/>
      <c r="C431" s="164" t="s">
        <v>5517</v>
      </c>
      <c r="D431" s="163"/>
      <c r="E431" s="215" t="s">
        <v>4115</v>
      </c>
      <c r="F431" s="164" t="s">
        <v>5518</v>
      </c>
      <c r="G431" s="164" t="s">
        <v>5519</v>
      </c>
      <c r="H431" s="163" t="s">
        <v>5507</v>
      </c>
      <c r="I431" s="164" t="s">
        <v>36</v>
      </c>
      <c r="J431" s="163"/>
      <c r="K431" s="163"/>
      <c r="L431" s="163"/>
      <c r="M431" s="163"/>
      <c r="N431" s="163"/>
      <c r="O431" s="163"/>
      <c r="P431" s="163"/>
      <c r="Q431" s="163"/>
      <c r="R431" s="163"/>
      <c r="S431" s="163"/>
      <c r="T431" s="163"/>
      <c r="U431" s="163"/>
      <c r="V431" s="163"/>
      <c r="W431" s="163"/>
      <c r="X431" s="163"/>
      <c r="Y431" s="163"/>
      <c r="Z431" s="163"/>
      <c r="AA431" s="163"/>
    </row>
    <row r="432" ht="14.25" customHeight="1">
      <c r="A432" s="163"/>
      <c r="B432" s="163"/>
      <c r="C432" s="164" t="s">
        <v>5520</v>
      </c>
      <c r="D432" s="163"/>
      <c r="E432" s="215" t="s">
        <v>4115</v>
      </c>
      <c r="F432" s="163" t="s">
        <v>5521</v>
      </c>
      <c r="G432" s="163" t="s">
        <v>5522</v>
      </c>
      <c r="H432" s="163" t="s">
        <v>5523</v>
      </c>
      <c r="I432" s="164" t="s">
        <v>36</v>
      </c>
      <c r="J432" s="163"/>
      <c r="K432" s="163"/>
      <c r="L432" s="163"/>
      <c r="M432" s="163"/>
      <c r="N432" s="163"/>
      <c r="O432" s="163"/>
      <c r="P432" s="163"/>
      <c r="Q432" s="163"/>
      <c r="R432" s="163"/>
      <c r="S432" s="163"/>
      <c r="T432" s="163"/>
      <c r="U432" s="163"/>
      <c r="V432" s="163"/>
      <c r="W432" s="163"/>
      <c r="X432" s="163"/>
      <c r="Y432" s="163"/>
      <c r="Z432" s="163"/>
      <c r="AA432" s="163"/>
    </row>
    <row r="433" ht="14.25" customHeight="1">
      <c r="A433" s="163"/>
      <c r="B433" s="163"/>
      <c r="C433" s="164" t="s">
        <v>5524</v>
      </c>
      <c r="D433" s="163"/>
      <c r="E433" s="215" t="s">
        <v>4115</v>
      </c>
      <c r="F433" s="164" t="s">
        <v>5525</v>
      </c>
      <c r="G433" s="164" t="s">
        <v>5526</v>
      </c>
      <c r="H433" s="163" t="s">
        <v>5523</v>
      </c>
      <c r="I433" s="164" t="s">
        <v>36</v>
      </c>
      <c r="J433" s="163"/>
      <c r="K433" s="163"/>
      <c r="L433" s="163"/>
      <c r="M433" s="163"/>
      <c r="N433" s="163"/>
      <c r="O433" s="163"/>
      <c r="P433" s="163"/>
      <c r="Q433" s="163"/>
      <c r="R433" s="163"/>
      <c r="S433" s="163"/>
      <c r="T433" s="163"/>
      <c r="U433" s="163"/>
      <c r="V433" s="163"/>
      <c r="W433" s="163"/>
      <c r="X433" s="163"/>
      <c r="Y433" s="163"/>
      <c r="Z433" s="163"/>
      <c r="AA433" s="163"/>
    </row>
    <row r="434" ht="14.25" customHeight="1">
      <c r="A434" s="163"/>
      <c r="B434" s="163"/>
      <c r="C434" s="164" t="s">
        <v>5527</v>
      </c>
      <c r="D434" s="163"/>
      <c r="E434" s="215" t="s">
        <v>4115</v>
      </c>
      <c r="F434" s="164" t="s">
        <v>5528</v>
      </c>
      <c r="G434" s="164" t="s">
        <v>5529</v>
      </c>
      <c r="H434" s="163" t="s">
        <v>5530</v>
      </c>
      <c r="I434" s="164" t="s">
        <v>36</v>
      </c>
      <c r="J434" s="163"/>
      <c r="K434" s="163"/>
      <c r="L434" s="163"/>
      <c r="M434" s="163"/>
      <c r="N434" s="163"/>
      <c r="O434" s="163"/>
      <c r="P434" s="163"/>
      <c r="Q434" s="163"/>
      <c r="R434" s="163"/>
      <c r="S434" s="163"/>
      <c r="T434" s="163"/>
      <c r="U434" s="163"/>
      <c r="V434" s="163"/>
      <c r="W434" s="163"/>
      <c r="X434" s="163"/>
      <c r="Y434" s="163"/>
      <c r="Z434" s="163"/>
      <c r="AA434" s="163"/>
    </row>
    <row r="435" ht="14.25" customHeight="1">
      <c r="A435" s="163"/>
      <c r="B435" s="163"/>
      <c r="C435" s="164" t="s">
        <v>5531</v>
      </c>
      <c r="D435" s="163"/>
      <c r="E435" s="215" t="s">
        <v>4115</v>
      </c>
      <c r="F435" s="164" t="s">
        <v>5532</v>
      </c>
      <c r="G435" s="164" t="s">
        <v>5533</v>
      </c>
      <c r="H435" s="163" t="s">
        <v>5534</v>
      </c>
      <c r="I435" s="164" t="s">
        <v>36</v>
      </c>
      <c r="J435" s="163"/>
      <c r="K435" s="163"/>
      <c r="L435" s="163"/>
      <c r="M435" s="163"/>
      <c r="N435" s="163"/>
      <c r="O435" s="163"/>
      <c r="P435" s="163"/>
      <c r="Q435" s="163"/>
      <c r="R435" s="163"/>
      <c r="S435" s="163"/>
      <c r="T435" s="163"/>
      <c r="U435" s="163"/>
      <c r="V435" s="163"/>
      <c r="W435" s="163"/>
      <c r="X435" s="163"/>
      <c r="Y435" s="163"/>
      <c r="Z435" s="163"/>
      <c r="AA435" s="163"/>
    </row>
    <row r="436" ht="14.25" customHeight="1">
      <c r="A436" s="163"/>
      <c r="B436" s="163"/>
      <c r="C436" s="164" t="s">
        <v>5535</v>
      </c>
      <c r="D436" s="163"/>
      <c r="E436" s="215" t="s">
        <v>4115</v>
      </c>
      <c r="F436" s="163" t="s">
        <v>5536</v>
      </c>
      <c r="G436" s="163" t="s">
        <v>5537</v>
      </c>
      <c r="H436" s="163" t="s">
        <v>5534</v>
      </c>
      <c r="I436" s="164" t="s">
        <v>36</v>
      </c>
      <c r="J436" s="163"/>
      <c r="K436" s="163"/>
      <c r="L436" s="163"/>
      <c r="M436" s="163"/>
      <c r="N436" s="163"/>
      <c r="O436" s="163"/>
      <c r="P436" s="163"/>
      <c r="Q436" s="163"/>
      <c r="R436" s="163"/>
      <c r="S436" s="163"/>
      <c r="T436" s="163"/>
      <c r="U436" s="163"/>
      <c r="V436" s="163"/>
      <c r="W436" s="163"/>
      <c r="X436" s="163"/>
      <c r="Y436" s="163"/>
      <c r="Z436" s="163"/>
      <c r="AA436" s="163"/>
    </row>
    <row r="437" ht="14.25" customHeight="1">
      <c r="A437" s="163"/>
      <c r="B437" s="163"/>
      <c r="C437" s="164" t="s">
        <v>5538</v>
      </c>
      <c r="D437" s="163"/>
      <c r="E437" s="215" t="s">
        <v>4115</v>
      </c>
      <c r="F437" s="163" t="s">
        <v>5539</v>
      </c>
      <c r="G437" s="163" t="s">
        <v>5540</v>
      </c>
      <c r="H437" s="163" t="s">
        <v>5534</v>
      </c>
      <c r="I437" s="164" t="s">
        <v>36</v>
      </c>
      <c r="J437" s="163"/>
      <c r="K437" s="163"/>
      <c r="L437" s="163"/>
      <c r="M437" s="163"/>
      <c r="N437" s="163"/>
      <c r="O437" s="163"/>
      <c r="P437" s="163"/>
      <c r="Q437" s="163"/>
      <c r="R437" s="163"/>
      <c r="S437" s="163"/>
      <c r="T437" s="163"/>
      <c r="U437" s="163"/>
      <c r="V437" s="163"/>
      <c r="W437" s="163"/>
      <c r="X437" s="163"/>
      <c r="Y437" s="163"/>
      <c r="Z437" s="163"/>
      <c r="AA437" s="163"/>
    </row>
    <row r="438" ht="14.25" customHeight="1">
      <c r="A438" s="163"/>
      <c r="B438" s="163"/>
      <c r="C438" s="164" t="s">
        <v>5541</v>
      </c>
      <c r="D438" s="163"/>
      <c r="E438" s="215" t="s">
        <v>4115</v>
      </c>
      <c r="F438" s="163" t="s">
        <v>5542</v>
      </c>
      <c r="G438" s="163" t="s">
        <v>5543</v>
      </c>
      <c r="H438" s="163" t="s">
        <v>5544</v>
      </c>
      <c r="I438" s="164" t="s">
        <v>36</v>
      </c>
      <c r="J438" s="163"/>
      <c r="K438" s="163"/>
      <c r="L438" s="163"/>
      <c r="M438" s="163"/>
      <c r="N438" s="163"/>
      <c r="O438" s="163"/>
      <c r="P438" s="163"/>
      <c r="Q438" s="163"/>
      <c r="R438" s="163"/>
      <c r="S438" s="163"/>
      <c r="T438" s="163"/>
      <c r="U438" s="163"/>
      <c r="V438" s="163"/>
      <c r="W438" s="163"/>
      <c r="X438" s="163"/>
      <c r="Y438" s="163"/>
      <c r="Z438" s="163"/>
      <c r="AA438" s="163"/>
    </row>
    <row r="439" ht="14.25" customHeight="1">
      <c r="A439" s="163"/>
      <c r="B439" s="163"/>
      <c r="C439" s="164" t="s">
        <v>5545</v>
      </c>
      <c r="D439" s="163"/>
      <c r="E439" s="215" t="s">
        <v>4115</v>
      </c>
      <c r="F439" s="164" t="s">
        <v>5528</v>
      </c>
      <c r="G439" s="164" t="s">
        <v>5546</v>
      </c>
      <c r="H439" s="163" t="s">
        <v>5544</v>
      </c>
      <c r="I439" s="164" t="s">
        <v>36</v>
      </c>
      <c r="J439" s="163"/>
      <c r="K439" s="163"/>
      <c r="L439" s="163"/>
      <c r="M439" s="163"/>
      <c r="N439" s="163"/>
      <c r="O439" s="163"/>
      <c r="P439" s="163"/>
      <c r="Q439" s="163"/>
      <c r="R439" s="163"/>
      <c r="S439" s="163"/>
      <c r="T439" s="163"/>
      <c r="U439" s="163"/>
      <c r="V439" s="163"/>
      <c r="W439" s="163"/>
      <c r="X439" s="163"/>
      <c r="Y439" s="163"/>
      <c r="Z439" s="163"/>
      <c r="AA439" s="163"/>
    </row>
    <row r="440" ht="14.25" customHeight="1">
      <c r="A440" s="163"/>
      <c r="B440" s="163"/>
      <c r="C440" s="164" t="s">
        <v>5547</v>
      </c>
      <c r="D440" s="163"/>
      <c r="E440" s="215" t="s">
        <v>4115</v>
      </c>
      <c r="F440" s="163" t="s">
        <v>5548</v>
      </c>
      <c r="G440" s="164" t="s">
        <v>5549</v>
      </c>
      <c r="H440" s="163" t="s">
        <v>5550</v>
      </c>
      <c r="I440" s="164" t="s">
        <v>36</v>
      </c>
      <c r="J440" s="163"/>
      <c r="K440" s="163"/>
      <c r="L440" s="163"/>
      <c r="M440" s="163"/>
      <c r="N440" s="163"/>
      <c r="O440" s="163"/>
      <c r="P440" s="163"/>
      <c r="Q440" s="163"/>
      <c r="R440" s="163"/>
      <c r="S440" s="163"/>
      <c r="T440" s="163"/>
      <c r="U440" s="163"/>
      <c r="V440" s="163"/>
      <c r="W440" s="163"/>
      <c r="X440" s="163"/>
      <c r="Y440" s="163"/>
      <c r="Z440" s="163"/>
      <c r="AA440" s="163"/>
    </row>
    <row r="441" ht="14.25" customHeight="1">
      <c r="A441" s="163"/>
      <c r="B441" s="163"/>
      <c r="C441" s="164" t="s">
        <v>5551</v>
      </c>
      <c r="D441" s="163"/>
      <c r="E441" s="215" t="s">
        <v>4115</v>
      </c>
      <c r="F441" s="163" t="s">
        <v>5552</v>
      </c>
      <c r="G441" s="164" t="s">
        <v>5553</v>
      </c>
      <c r="H441" s="163" t="s">
        <v>5544</v>
      </c>
      <c r="I441" s="164" t="s">
        <v>36</v>
      </c>
      <c r="J441" s="163"/>
      <c r="K441" s="163"/>
      <c r="L441" s="163"/>
      <c r="M441" s="163"/>
      <c r="N441" s="163"/>
      <c r="O441" s="163"/>
      <c r="P441" s="163"/>
      <c r="Q441" s="163"/>
      <c r="R441" s="163"/>
      <c r="S441" s="163"/>
      <c r="T441" s="163"/>
      <c r="U441" s="163"/>
      <c r="V441" s="163"/>
      <c r="W441" s="163"/>
      <c r="X441" s="163"/>
      <c r="Y441" s="163"/>
      <c r="Z441" s="163"/>
      <c r="AA441" s="163"/>
    </row>
    <row r="442" ht="14.25" customHeight="1">
      <c r="A442" s="163"/>
      <c r="B442" s="163"/>
      <c r="C442" s="164" t="s">
        <v>5554</v>
      </c>
      <c r="D442" s="163"/>
      <c r="E442" s="215" t="s">
        <v>4115</v>
      </c>
      <c r="F442" s="163" t="s">
        <v>5552</v>
      </c>
      <c r="G442" s="164" t="s">
        <v>5555</v>
      </c>
      <c r="H442" s="163" t="s">
        <v>5550</v>
      </c>
      <c r="I442" s="164" t="s">
        <v>36</v>
      </c>
      <c r="J442" s="163"/>
      <c r="K442" s="163"/>
      <c r="L442" s="163"/>
      <c r="M442" s="163"/>
      <c r="N442" s="163"/>
      <c r="O442" s="163"/>
      <c r="P442" s="163"/>
      <c r="Q442" s="163"/>
      <c r="R442" s="163"/>
      <c r="S442" s="163"/>
      <c r="T442" s="163"/>
      <c r="U442" s="163"/>
      <c r="V442" s="163"/>
      <c r="W442" s="163"/>
      <c r="X442" s="163"/>
      <c r="Y442" s="163"/>
      <c r="Z442" s="163"/>
      <c r="AA442" s="163"/>
    </row>
    <row r="443" ht="14.25" customHeight="1">
      <c r="A443" s="163"/>
      <c r="B443" s="163"/>
      <c r="C443" s="164" t="s">
        <v>5556</v>
      </c>
      <c r="D443" s="163"/>
      <c r="E443" s="215" t="s">
        <v>4115</v>
      </c>
      <c r="F443" s="164" t="s">
        <v>5557</v>
      </c>
      <c r="G443" s="164" t="s">
        <v>5558</v>
      </c>
      <c r="H443" s="163" t="s">
        <v>5550</v>
      </c>
      <c r="I443" s="164" t="s">
        <v>36</v>
      </c>
      <c r="J443" s="163"/>
      <c r="K443" s="163"/>
      <c r="L443" s="163"/>
      <c r="M443" s="163"/>
      <c r="N443" s="163"/>
      <c r="O443" s="163"/>
      <c r="P443" s="163"/>
      <c r="Q443" s="163"/>
      <c r="R443" s="163"/>
      <c r="S443" s="163"/>
      <c r="T443" s="163"/>
      <c r="U443" s="163"/>
      <c r="V443" s="163"/>
      <c r="W443" s="163"/>
      <c r="X443" s="163"/>
      <c r="Y443" s="163"/>
      <c r="Z443" s="163"/>
      <c r="AA443" s="163"/>
    </row>
    <row r="444" ht="14.25" customHeight="1">
      <c r="A444" s="163"/>
      <c r="B444" s="163"/>
      <c r="C444" s="164" t="s">
        <v>5559</v>
      </c>
      <c r="D444" s="163"/>
      <c r="E444" s="215" t="s">
        <v>4115</v>
      </c>
      <c r="F444" s="163" t="s">
        <v>5560</v>
      </c>
      <c r="G444" s="163" t="s">
        <v>5561</v>
      </c>
      <c r="H444" s="163" t="s">
        <v>5550</v>
      </c>
      <c r="I444" s="164" t="s">
        <v>36</v>
      </c>
      <c r="J444" s="163"/>
      <c r="K444" s="163"/>
      <c r="L444" s="163"/>
      <c r="M444" s="163"/>
      <c r="N444" s="163"/>
      <c r="O444" s="163"/>
      <c r="P444" s="163"/>
      <c r="Q444" s="163"/>
      <c r="R444" s="163"/>
      <c r="S444" s="163"/>
      <c r="T444" s="163"/>
      <c r="U444" s="163"/>
      <c r="V444" s="163"/>
      <c r="W444" s="163"/>
      <c r="X444" s="163"/>
      <c r="Y444" s="163"/>
      <c r="Z444" s="163"/>
      <c r="AA444" s="163"/>
    </row>
    <row r="445" ht="14.25" customHeight="1">
      <c r="A445" s="163"/>
      <c r="B445" s="163"/>
      <c r="C445" s="164" t="s">
        <v>5562</v>
      </c>
      <c r="D445" s="163"/>
      <c r="E445" s="215" t="s">
        <v>4115</v>
      </c>
      <c r="F445" s="164" t="s">
        <v>5563</v>
      </c>
      <c r="G445" s="164" t="s">
        <v>5564</v>
      </c>
      <c r="H445" s="163" t="s">
        <v>5550</v>
      </c>
      <c r="I445" s="164" t="s">
        <v>36</v>
      </c>
      <c r="J445" s="163"/>
      <c r="K445" s="163"/>
      <c r="L445" s="163"/>
      <c r="M445" s="163"/>
      <c r="N445" s="163"/>
      <c r="O445" s="163"/>
      <c r="P445" s="163"/>
      <c r="Q445" s="163"/>
      <c r="R445" s="163"/>
      <c r="S445" s="163"/>
      <c r="T445" s="163"/>
      <c r="U445" s="163"/>
      <c r="V445" s="163"/>
      <c r="W445" s="163"/>
      <c r="X445" s="163"/>
      <c r="Y445" s="163"/>
      <c r="Z445" s="163"/>
      <c r="AA445" s="163"/>
    </row>
    <row r="446" ht="14.25" customHeight="1">
      <c r="A446" s="163"/>
      <c r="B446" s="163"/>
      <c r="C446" s="164" t="s">
        <v>5565</v>
      </c>
      <c r="D446" s="163"/>
      <c r="E446" s="215" t="s">
        <v>4118</v>
      </c>
      <c r="F446" s="164" t="s">
        <v>5566</v>
      </c>
      <c r="G446" s="164" t="s">
        <v>5567</v>
      </c>
      <c r="H446" s="164" t="s">
        <v>5568</v>
      </c>
      <c r="I446" s="164" t="s">
        <v>36</v>
      </c>
      <c r="J446" s="163"/>
      <c r="K446" s="163"/>
      <c r="L446" s="163"/>
      <c r="M446" s="163"/>
      <c r="N446" s="163"/>
      <c r="O446" s="163"/>
      <c r="P446" s="163"/>
      <c r="Q446" s="163"/>
      <c r="R446" s="163"/>
      <c r="S446" s="163"/>
      <c r="T446" s="163"/>
      <c r="U446" s="163"/>
      <c r="V446" s="163"/>
      <c r="W446" s="163"/>
      <c r="X446" s="163"/>
      <c r="Y446" s="163"/>
      <c r="Z446" s="163"/>
      <c r="AA446" s="163"/>
    </row>
    <row r="447" ht="14.25" customHeight="1">
      <c r="A447" s="163"/>
      <c r="B447" s="163"/>
      <c r="C447" s="164" t="s">
        <v>5569</v>
      </c>
      <c r="D447" s="163"/>
      <c r="E447" s="215" t="s">
        <v>4118</v>
      </c>
      <c r="F447" s="163" t="s">
        <v>4199</v>
      </c>
      <c r="G447" s="163" t="s">
        <v>4196</v>
      </c>
      <c r="H447" s="163" t="s">
        <v>4200</v>
      </c>
      <c r="I447" s="164" t="s">
        <v>36</v>
      </c>
      <c r="J447" s="163"/>
      <c r="K447" s="163"/>
      <c r="L447" s="163"/>
      <c r="M447" s="163"/>
      <c r="N447" s="163"/>
      <c r="O447" s="163"/>
      <c r="P447" s="163"/>
      <c r="Q447" s="163"/>
      <c r="R447" s="163"/>
      <c r="S447" s="163"/>
      <c r="T447" s="163"/>
      <c r="U447" s="163"/>
      <c r="V447" s="163"/>
      <c r="W447" s="163"/>
      <c r="X447" s="163"/>
      <c r="Y447" s="163"/>
      <c r="Z447" s="163"/>
      <c r="AA447" s="163"/>
    </row>
    <row r="448" ht="14.25" customHeight="1">
      <c r="A448" s="163"/>
      <c r="B448" s="163"/>
      <c r="C448" s="164" t="s">
        <v>5570</v>
      </c>
      <c r="D448" s="163"/>
      <c r="E448" s="215" t="s">
        <v>5571</v>
      </c>
      <c r="F448" s="163" t="s">
        <v>5572</v>
      </c>
      <c r="G448" s="163" t="s">
        <v>5573</v>
      </c>
      <c r="H448" s="163" t="s">
        <v>5574</v>
      </c>
      <c r="I448" s="164" t="s">
        <v>36</v>
      </c>
      <c r="J448" s="163"/>
      <c r="K448" s="163"/>
      <c r="L448" s="163"/>
      <c r="M448" s="163"/>
      <c r="N448" s="163"/>
      <c r="O448" s="163"/>
      <c r="P448" s="163"/>
      <c r="Q448" s="163"/>
      <c r="R448" s="163"/>
      <c r="S448" s="163"/>
      <c r="T448" s="163"/>
      <c r="U448" s="163"/>
      <c r="V448" s="163"/>
      <c r="W448" s="163"/>
      <c r="X448" s="163"/>
      <c r="Y448" s="163"/>
      <c r="Z448" s="163"/>
      <c r="AA448" s="163"/>
    </row>
    <row r="449" ht="14.25" customHeight="1">
      <c r="A449" s="163"/>
      <c r="B449" s="163"/>
      <c r="C449" s="164" t="s">
        <v>5575</v>
      </c>
      <c r="D449" s="163"/>
      <c r="E449" s="215" t="s">
        <v>5571</v>
      </c>
      <c r="F449" s="163" t="s">
        <v>5576</v>
      </c>
      <c r="G449" s="163" t="s">
        <v>5577</v>
      </c>
      <c r="H449" s="163" t="s">
        <v>2594</v>
      </c>
      <c r="I449" s="164" t="s">
        <v>36</v>
      </c>
      <c r="J449" s="163"/>
      <c r="K449" s="163"/>
      <c r="L449" s="163"/>
      <c r="M449" s="163"/>
      <c r="N449" s="163"/>
      <c r="O449" s="163"/>
      <c r="P449" s="163"/>
      <c r="Q449" s="163"/>
      <c r="R449" s="163"/>
      <c r="S449" s="163"/>
      <c r="T449" s="163"/>
      <c r="U449" s="163"/>
      <c r="V449" s="163"/>
      <c r="W449" s="163"/>
      <c r="X449" s="163"/>
      <c r="Y449" s="163"/>
      <c r="Z449" s="163"/>
      <c r="AA449" s="163"/>
    </row>
    <row r="450" ht="14.25" customHeight="1">
      <c r="A450" s="163"/>
      <c r="B450" s="163"/>
      <c r="C450" s="164" t="s">
        <v>5578</v>
      </c>
      <c r="D450" s="163"/>
      <c r="E450" s="215" t="s">
        <v>5571</v>
      </c>
      <c r="F450" s="163" t="s">
        <v>5579</v>
      </c>
      <c r="G450" s="163" t="s">
        <v>5580</v>
      </c>
      <c r="H450" s="163" t="s">
        <v>2600</v>
      </c>
      <c r="I450" s="164" t="s">
        <v>36</v>
      </c>
      <c r="J450" s="163"/>
      <c r="K450" s="163"/>
      <c r="L450" s="163"/>
      <c r="M450" s="163"/>
      <c r="N450" s="163"/>
      <c r="O450" s="163"/>
      <c r="P450" s="163"/>
      <c r="Q450" s="163"/>
      <c r="R450" s="163"/>
      <c r="S450" s="163"/>
      <c r="T450" s="163"/>
      <c r="U450" s="163"/>
      <c r="V450" s="163"/>
      <c r="W450" s="163"/>
      <c r="X450" s="163"/>
      <c r="Y450" s="163"/>
      <c r="Z450" s="163"/>
      <c r="AA450" s="163"/>
    </row>
    <row r="451" ht="14.25" customHeight="1">
      <c r="A451" s="163"/>
      <c r="B451" s="163"/>
      <c r="C451" s="164" t="s">
        <v>5581</v>
      </c>
      <c r="D451" s="163"/>
      <c r="E451" s="215" t="s">
        <v>5571</v>
      </c>
      <c r="F451" s="163" t="s">
        <v>5582</v>
      </c>
      <c r="G451" s="163" t="s">
        <v>5583</v>
      </c>
      <c r="H451" s="163" t="s">
        <v>5584</v>
      </c>
      <c r="I451" s="164" t="s">
        <v>36</v>
      </c>
      <c r="J451" s="163"/>
      <c r="K451" s="163"/>
      <c r="L451" s="163"/>
      <c r="M451" s="163"/>
      <c r="N451" s="163"/>
      <c r="O451" s="163"/>
      <c r="P451" s="163"/>
      <c r="Q451" s="163"/>
      <c r="R451" s="163"/>
      <c r="S451" s="163"/>
      <c r="T451" s="163"/>
      <c r="U451" s="163"/>
      <c r="V451" s="163"/>
      <c r="W451" s="163"/>
      <c r="X451" s="163"/>
      <c r="Y451" s="163"/>
      <c r="Z451" s="163"/>
      <c r="AA451" s="163"/>
    </row>
    <row r="452" ht="14.25" customHeight="1">
      <c r="A452" s="163"/>
      <c r="B452" s="163"/>
      <c r="C452" s="164" t="s">
        <v>5585</v>
      </c>
      <c r="D452" s="163"/>
      <c r="E452" s="215" t="s">
        <v>5571</v>
      </c>
      <c r="F452" s="163" t="s">
        <v>5586</v>
      </c>
      <c r="G452" s="163" t="s">
        <v>5587</v>
      </c>
      <c r="H452" s="163" t="s">
        <v>5588</v>
      </c>
      <c r="I452" s="164" t="s">
        <v>36</v>
      </c>
      <c r="J452" s="163"/>
      <c r="K452" s="163"/>
      <c r="L452" s="163"/>
      <c r="M452" s="163"/>
      <c r="N452" s="163"/>
      <c r="O452" s="163"/>
      <c r="P452" s="163"/>
      <c r="Q452" s="163"/>
      <c r="R452" s="163"/>
      <c r="S452" s="163"/>
      <c r="T452" s="163"/>
      <c r="U452" s="163"/>
      <c r="V452" s="163"/>
      <c r="W452" s="163"/>
      <c r="X452" s="163"/>
      <c r="Y452" s="163"/>
      <c r="Z452" s="163"/>
      <c r="AA452" s="163"/>
    </row>
    <row r="453" ht="14.25" customHeight="1">
      <c r="A453" s="163"/>
      <c r="B453" s="163"/>
      <c r="C453" s="164" t="s">
        <v>5589</v>
      </c>
      <c r="D453" s="163"/>
      <c r="E453" s="215" t="s">
        <v>4120</v>
      </c>
      <c r="F453" s="163" t="s">
        <v>5590</v>
      </c>
      <c r="G453" s="163" t="s">
        <v>5591</v>
      </c>
      <c r="H453" s="163" t="s">
        <v>5592</v>
      </c>
      <c r="I453" s="164" t="s">
        <v>36</v>
      </c>
      <c r="J453" s="163"/>
      <c r="K453" s="163"/>
      <c r="L453" s="163"/>
      <c r="M453" s="163"/>
      <c r="N453" s="163"/>
      <c r="O453" s="163"/>
      <c r="P453" s="163"/>
      <c r="Q453" s="163"/>
      <c r="R453" s="163"/>
      <c r="S453" s="163"/>
      <c r="T453" s="163"/>
      <c r="U453" s="163"/>
      <c r="V453" s="163"/>
      <c r="W453" s="163"/>
      <c r="X453" s="163"/>
      <c r="Y453" s="163"/>
      <c r="Z453" s="163"/>
      <c r="AA453" s="163"/>
    </row>
    <row r="454" ht="14.25" customHeight="1">
      <c r="A454" s="163"/>
      <c r="B454" s="163"/>
      <c r="C454" s="164" t="s">
        <v>5593</v>
      </c>
      <c r="D454" s="163"/>
      <c r="E454" s="215" t="s">
        <v>4120</v>
      </c>
      <c r="F454" s="163" t="s">
        <v>5594</v>
      </c>
      <c r="G454" s="163" t="s">
        <v>5595</v>
      </c>
      <c r="H454" s="163" t="s">
        <v>5596</v>
      </c>
      <c r="I454" s="164" t="s">
        <v>36</v>
      </c>
      <c r="J454" s="163"/>
      <c r="K454" s="163"/>
      <c r="L454" s="163"/>
      <c r="M454" s="163"/>
      <c r="N454" s="163"/>
      <c r="O454" s="163"/>
      <c r="P454" s="163"/>
      <c r="Q454" s="163"/>
      <c r="R454" s="163"/>
      <c r="S454" s="163"/>
      <c r="T454" s="163"/>
      <c r="U454" s="163"/>
      <c r="V454" s="163"/>
      <c r="W454" s="163"/>
      <c r="X454" s="163"/>
      <c r="Y454" s="163"/>
      <c r="Z454" s="163"/>
      <c r="AA454" s="163"/>
    </row>
    <row r="455" ht="14.25" customHeight="1">
      <c r="A455" s="163"/>
      <c r="B455" s="163"/>
      <c r="C455" s="164" t="s">
        <v>5597</v>
      </c>
      <c r="D455" s="163"/>
      <c r="E455" s="215" t="s">
        <v>4120</v>
      </c>
      <c r="F455" s="163" t="s">
        <v>5598</v>
      </c>
      <c r="G455" s="163" t="s">
        <v>5599</v>
      </c>
      <c r="H455" s="163" t="s">
        <v>5600</v>
      </c>
      <c r="I455" s="164" t="s">
        <v>36</v>
      </c>
      <c r="J455" s="163"/>
      <c r="K455" s="163"/>
      <c r="L455" s="163"/>
      <c r="M455" s="163"/>
      <c r="N455" s="163"/>
      <c r="O455" s="163"/>
      <c r="P455" s="163"/>
      <c r="Q455" s="163"/>
      <c r="R455" s="163"/>
      <c r="S455" s="163"/>
      <c r="T455" s="163"/>
      <c r="U455" s="163"/>
      <c r="V455" s="163"/>
      <c r="W455" s="163"/>
      <c r="X455" s="163"/>
      <c r="Y455" s="163"/>
      <c r="Z455" s="163"/>
      <c r="AA455" s="163"/>
    </row>
    <row r="456" ht="14.25" customHeight="1">
      <c r="A456" s="163"/>
      <c r="B456" s="163"/>
      <c r="C456" s="164" t="s">
        <v>5601</v>
      </c>
      <c r="D456" s="163"/>
      <c r="E456" s="215" t="s">
        <v>4420</v>
      </c>
      <c r="F456" s="163" t="s">
        <v>5602</v>
      </c>
      <c r="G456" s="163" t="s">
        <v>5603</v>
      </c>
      <c r="H456" s="163" t="s">
        <v>4418</v>
      </c>
      <c r="I456" s="164" t="s">
        <v>36</v>
      </c>
      <c r="J456" s="163"/>
      <c r="K456" s="163"/>
      <c r="L456" s="163"/>
      <c r="M456" s="163"/>
      <c r="N456" s="163"/>
      <c r="O456" s="163"/>
      <c r="P456" s="163"/>
      <c r="Q456" s="163"/>
      <c r="R456" s="163"/>
      <c r="S456" s="163"/>
      <c r="T456" s="163"/>
      <c r="U456" s="163"/>
      <c r="V456" s="163"/>
      <c r="W456" s="163"/>
      <c r="X456" s="163"/>
      <c r="Y456" s="163"/>
      <c r="Z456" s="163"/>
      <c r="AA456" s="163"/>
    </row>
    <row r="457" ht="14.25" customHeight="1">
      <c r="A457" s="163"/>
      <c r="B457" s="163"/>
      <c r="C457" s="164" t="s">
        <v>5604</v>
      </c>
      <c r="D457" s="163"/>
      <c r="E457" s="215" t="s">
        <v>4420</v>
      </c>
      <c r="F457" s="163" t="s">
        <v>5602</v>
      </c>
      <c r="G457" s="163" t="s">
        <v>4421</v>
      </c>
      <c r="H457" s="163" t="s">
        <v>4422</v>
      </c>
      <c r="I457" s="164" t="s">
        <v>36</v>
      </c>
      <c r="J457" s="163"/>
      <c r="K457" s="163"/>
      <c r="L457" s="163"/>
      <c r="M457" s="163"/>
      <c r="N457" s="163"/>
      <c r="O457" s="163"/>
      <c r="P457" s="163"/>
      <c r="Q457" s="163"/>
      <c r="R457" s="163"/>
      <c r="S457" s="163"/>
      <c r="T457" s="163"/>
      <c r="U457" s="163"/>
      <c r="V457" s="163"/>
      <c r="W457" s="163"/>
      <c r="X457" s="163"/>
      <c r="Y457" s="163"/>
      <c r="Z457" s="163"/>
      <c r="AA457" s="163"/>
    </row>
    <row r="458" ht="14.25" customHeight="1">
      <c r="A458" s="163"/>
      <c r="B458" s="163"/>
      <c r="C458" s="164" t="s">
        <v>5605</v>
      </c>
      <c r="D458" s="163"/>
      <c r="E458" s="215" t="s">
        <v>4420</v>
      </c>
      <c r="F458" s="163"/>
      <c r="G458" s="163" t="s">
        <v>4424</v>
      </c>
      <c r="H458" s="163" t="s">
        <v>4425</v>
      </c>
      <c r="I458" s="164" t="s">
        <v>36</v>
      </c>
      <c r="J458" s="163"/>
      <c r="K458" s="163"/>
      <c r="L458" s="163"/>
      <c r="M458" s="163"/>
      <c r="N458" s="163"/>
      <c r="O458" s="163"/>
      <c r="P458" s="163"/>
      <c r="Q458" s="163"/>
      <c r="R458" s="163"/>
      <c r="S458" s="163"/>
      <c r="T458" s="163"/>
      <c r="U458" s="163"/>
      <c r="V458" s="163"/>
      <c r="W458" s="163"/>
      <c r="X458" s="163"/>
      <c r="Y458" s="163"/>
      <c r="Z458" s="163"/>
      <c r="AA458" s="163"/>
    </row>
    <row r="459" ht="14.25" customHeight="1">
      <c r="A459" s="163"/>
      <c r="B459" s="163"/>
      <c r="C459" s="164" t="s">
        <v>5606</v>
      </c>
      <c r="D459" s="163"/>
      <c r="E459" s="215" t="s">
        <v>4420</v>
      </c>
      <c r="F459" s="163" t="s">
        <v>4428</v>
      </c>
      <c r="G459" s="163" t="s">
        <v>4429</v>
      </c>
      <c r="H459" s="163" t="s">
        <v>4430</v>
      </c>
      <c r="I459" s="164" t="s">
        <v>36</v>
      </c>
      <c r="J459" s="163"/>
      <c r="K459" s="163"/>
      <c r="L459" s="163"/>
      <c r="M459" s="163"/>
      <c r="N459" s="163"/>
      <c r="O459" s="163"/>
      <c r="P459" s="163"/>
      <c r="Q459" s="163"/>
      <c r="R459" s="163"/>
      <c r="S459" s="163"/>
      <c r="T459" s="163"/>
      <c r="U459" s="163"/>
      <c r="V459" s="163"/>
      <c r="W459" s="163"/>
      <c r="X459" s="163"/>
      <c r="Y459" s="163"/>
      <c r="Z459" s="163"/>
      <c r="AA459" s="163"/>
    </row>
    <row r="460" ht="14.25" customHeight="1">
      <c r="A460" s="163"/>
      <c r="B460" s="163"/>
      <c r="C460" s="164" t="s">
        <v>5607</v>
      </c>
      <c r="D460" s="163"/>
      <c r="E460" s="225" t="s">
        <v>5608</v>
      </c>
      <c r="F460" s="186" t="s">
        <v>5609</v>
      </c>
      <c r="G460" s="186" t="s">
        <v>5610</v>
      </c>
      <c r="H460" s="186" t="s">
        <v>5611</v>
      </c>
      <c r="I460" s="164" t="s">
        <v>317</v>
      </c>
      <c r="J460" s="163"/>
      <c r="K460" s="164" t="s">
        <v>5612</v>
      </c>
      <c r="L460" s="163"/>
      <c r="M460" s="163"/>
      <c r="N460" s="163"/>
      <c r="O460" s="163"/>
      <c r="P460" s="163"/>
      <c r="Q460" s="163"/>
      <c r="R460" s="163"/>
      <c r="S460" s="163"/>
      <c r="T460" s="163"/>
      <c r="U460" s="163"/>
      <c r="V460" s="163"/>
      <c r="W460" s="163"/>
      <c r="X460" s="163"/>
      <c r="Y460" s="163"/>
      <c r="Z460" s="163"/>
      <c r="AA460" s="163"/>
    </row>
    <row r="461" ht="14.25" customHeight="1">
      <c r="A461" s="163"/>
      <c r="B461" s="163"/>
      <c r="C461" s="164" t="s">
        <v>5613</v>
      </c>
      <c r="D461" s="163"/>
      <c r="E461" s="225" t="s">
        <v>5608</v>
      </c>
      <c r="F461" s="186" t="s">
        <v>5614</v>
      </c>
      <c r="G461" s="186" t="s">
        <v>5615</v>
      </c>
      <c r="H461" s="186" t="s">
        <v>5616</v>
      </c>
      <c r="I461" s="164" t="s">
        <v>317</v>
      </c>
      <c r="J461" s="163"/>
      <c r="K461" s="164" t="s">
        <v>5612</v>
      </c>
      <c r="L461" s="163"/>
      <c r="M461" s="163"/>
      <c r="N461" s="163"/>
      <c r="O461" s="163"/>
      <c r="P461" s="163"/>
      <c r="Q461" s="163"/>
      <c r="R461" s="163"/>
      <c r="S461" s="163"/>
      <c r="T461" s="163"/>
      <c r="U461" s="163"/>
      <c r="V461" s="163"/>
      <c r="W461" s="163"/>
      <c r="X461" s="163"/>
      <c r="Y461" s="163"/>
      <c r="Z461" s="163"/>
      <c r="AA461" s="163"/>
    </row>
    <row r="462" ht="14.25" customHeight="1">
      <c r="A462" s="163"/>
      <c r="B462" s="163"/>
      <c r="C462" s="164" t="s">
        <v>5617</v>
      </c>
      <c r="D462" s="163"/>
      <c r="E462" s="225" t="s">
        <v>5608</v>
      </c>
      <c r="F462" s="186" t="s">
        <v>5618</v>
      </c>
      <c r="G462" s="186" t="s">
        <v>5619</v>
      </c>
      <c r="H462" s="186" t="s">
        <v>5620</v>
      </c>
      <c r="I462" s="164" t="s">
        <v>317</v>
      </c>
      <c r="J462" s="163"/>
      <c r="K462" s="164" t="s">
        <v>5612</v>
      </c>
      <c r="L462" s="163"/>
      <c r="M462" s="163"/>
      <c r="N462" s="163"/>
      <c r="O462" s="163"/>
      <c r="P462" s="163"/>
      <c r="Q462" s="163"/>
      <c r="R462" s="163"/>
      <c r="S462" s="163"/>
      <c r="T462" s="163"/>
      <c r="U462" s="163"/>
      <c r="V462" s="163"/>
      <c r="W462" s="163"/>
      <c r="X462" s="163"/>
      <c r="Y462" s="163"/>
      <c r="Z462" s="163"/>
      <c r="AA462" s="163"/>
    </row>
    <row r="463" ht="14.25" customHeight="1">
      <c r="A463" s="163"/>
      <c r="B463" s="163"/>
      <c r="C463" s="164" t="s">
        <v>5621</v>
      </c>
      <c r="D463" s="163"/>
      <c r="E463" s="215" t="s">
        <v>5622</v>
      </c>
      <c r="F463" s="163" t="s">
        <v>1225</v>
      </c>
      <c r="G463" s="163" t="s">
        <v>5623</v>
      </c>
      <c r="H463" s="164" t="s">
        <v>5624</v>
      </c>
      <c r="I463" s="164" t="s">
        <v>36</v>
      </c>
      <c r="J463" s="163"/>
      <c r="K463" s="163"/>
      <c r="L463" s="163"/>
      <c r="M463" s="163"/>
      <c r="N463" s="163"/>
      <c r="O463" s="163"/>
      <c r="P463" s="163"/>
      <c r="Q463" s="163"/>
      <c r="R463" s="163"/>
      <c r="S463" s="163"/>
      <c r="T463" s="163"/>
      <c r="U463" s="163"/>
      <c r="V463" s="163"/>
      <c r="W463" s="163"/>
      <c r="X463" s="163"/>
      <c r="Y463" s="163"/>
      <c r="Z463" s="163"/>
      <c r="AA463" s="163"/>
    </row>
    <row r="464" ht="14.25" customHeight="1">
      <c r="A464" s="163"/>
      <c r="B464" s="163"/>
      <c r="C464" s="164" t="s">
        <v>5625</v>
      </c>
      <c r="D464" s="163"/>
      <c r="E464" s="214" t="s">
        <v>5622</v>
      </c>
      <c r="F464" s="163" t="s">
        <v>1229</v>
      </c>
      <c r="G464" s="163" t="s">
        <v>5626</v>
      </c>
      <c r="H464" s="164" t="s">
        <v>5627</v>
      </c>
      <c r="I464" s="164" t="s">
        <v>36</v>
      </c>
      <c r="J464" s="163"/>
      <c r="K464" s="163"/>
      <c r="L464" s="163"/>
      <c r="M464" s="163"/>
      <c r="N464" s="163"/>
      <c r="O464" s="163"/>
      <c r="P464" s="163"/>
      <c r="Q464" s="163"/>
      <c r="R464" s="163"/>
      <c r="S464" s="163"/>
      <c r="T464" s="163"/>
      <c r="U464" s="163"/>
      <c r="V464" s="163"/>
      <c r="W464" s="163"/>
      <c r="X464" s="163"/>
      <c r="Y464" s="163"/>
      <c r="Z464" s="163"/>
      <c r="AA464" s="163"/>
    </row>
    <row r="465" ht="14.25" customHeight="1">
      <c r="A465" s="163"/>
      <c r="B465" s="163"/>
      <c r="C465" s="164" t="s">
        <v>5628</v>
      </c>
      <c r="D465" s="163"/>
      <c r="E465" s="215" t="s">
        <v>5622</v>
      </c>
      <c r="F465" s="163" t="s">
        <v>1232</v>
      </c>
      <c r="G465" s="163" t="s">
        <v>5629</v>
      </c>
      <c r="H465" s="164" t="s">
        <v>5630</v>
      </c>
      <c r="I465" s="164" t="s">
        <v>36</v>
      </c>
      <c r="J465" s="163"/>
      <c r="K465" s="163"/>
      <c r="L465" s="163"/>
      <c r="M465" s="163"/>
      <c r="N465" s="163"/>
      <c r="O465" s="163"/>
      <c r="P465" s="163"/>
      <c r="Q465" s="163"/>
      <c r="R465" s="163"/>
      <c r="S465" s="163"/>
      <c r="T465" s="163"/>
      <c r="U465" s="163"/>
      <c r="V465" s="163"/>
      <c r="W465" s="163"/>
      <c r="X465" s="163"/>
      <c r="Y465" s="163"/>
      <c r="Z465" s="163"/>
      <c r="AA465" s="163"/>
    </row>
    <row r="466" ht="14.25" customHeight="1">
      <c r="A466" s="163"/>
      <c r="B466" s="163"/>
      <c r="C466" s="164" t="s">
        <v>5631</v>
      </c>
      <c r="D466" s="163"/>
      <c r="E466" s="215" t="s">
        <v>5622</v>
      </c>
      <c r="F466" s="163" t="s">
        <v>1234</v>
      </c>
      <c r="G466" s="163" t="s">
        <v>5632</v>
      </c>
      <c r="H466" s="164" t="s">
        <v>5633</v>
      </c>
      <c r="I466" s="164" t="s">
        <v>36</v>
      </c>
      <c r="J466" s="163"/>
      <c r="K466" s="163"/>
      <c r="L466" s="163"/>
      <c r="M466" s="163"/>
      <c r="N466" s="163"/>
      <c r="O466" s="163"/>
      <c r="P466" s="163"/>
      <c r="Q466" s="163"/>
      <c r="R466" s="163"/>
      <c r="S466" s="163"/>
      <c r="T466" s="163"/>
      <c r="U466" s="163"/>
      <c r="V466" s="163"/>
      <c r="W466" s="163"/>
      <c r="X466" s="163"/>
      <c r="Y466" s="163"/>
      <c r="Z466" s="163"/>
      <c r="AA466" s="163"/>
    </row>
    <row r="467" ht="14.25" customHeight="1">
      <c r="A467" s="163"/>
      <c r="B467" s="163"/>
      <c r="C467" s="164" t="s">
        <v>5634</v>
      </c>
      <c r="D467" s="163"/>
      <c r="E467" s="215" t="s">
        <v>5622</v>
      </c>
      <c r="F467" s="163" t="s">
        <v>1236</v>
      </c>
      <c r="G467" s="163" t="s">
        <v>5635</v>
      </c>
      <c r="H467" s="164" t="s">
        <v>5636</v>
      </c>
      <c r="I467" s="164" t="s">
        <v>36</v>
      </c>
      <c r="J467" s="163"/>
      <c r="K467" s="163"/>
      <c r="L467" s="163"/>
      <c r="M467" s="163"/>
      <c r="N467" s="163"/>
      <c r="O467" s="163"/>
      <c r="P467" s="163"/>
      <c r="Q467" s="163"/>
      <c r="R467" s="163"/>
      <c r="S467" s="163"/>
      <c r="T467" s="163"/>
      <c r="U467" s="163"/>
      <c r="V467" s="163"/>
      <c r="W467" s="163"/>
      <c r="X467" s="163"/>
      <c r="Y467" s="163"/>
      <c r="Z467" s="163"/>
      <c r="AA467" s="163"/>
    </row>
    <row r="468" ht="14.25" customHeight="1">
      <c r="A468" s="163"/>
      <c r="B468" s="163"/>
      <c r="C468" s="164" t="s">
        <v>5637</v>
      </c>
      <c r="D468" s="163"/>
      <c r="E468" s="215" t="s">
        <v>5622</v>
      </c>
      <c r="F468" s="163" t="s">
        <v>1238</v>
      </c>
      <c r="G468" s="163" t="s">
        <v>5638</v>
      </c>
      <c r="H468" s="164" t="s">
        <v>5639</v>
      </c>
      <c r="I468" s="164" t="s">
        <v>36</v>
      </c>
      <c r="J468" s="163"/>
      <c r="K468" s="163"/>
      <c r="L468" s="163"/>
      <c r="M468" s="163"/>
      <c r="N468" s="163"/>
      <c r="O468" s="163"/>
      <c r="P468" s="163"/>
      <c r="Q468" s="163"/>
      <c r="R468" s="163"/>
      <c r="S468" s="163"/>
      <c r="T468" s="163"/>
      <c r="U468" s="163"/>
      <c r="V468" s="163"/>
      <c r="W468" s="163"/>
      <c r="X468" s="163"/>
      <c r="Y468" s="163"/>
      <c r="Z468" s="163"/>
      <c r="AA468" s="163"/>
    </row>
    <row r="469" ht="14.25" customHeight="1">
      <c r="A469" s="163"/>
      <c r="B469" s="163"/>
      <c r="C469" s="164" t="s">
        <v>5640</v>
      </c>
      <c r="D469" s="163"/>
      <c r="E469" s="215" t="s">
        <v>5622</v>
      </c>
      <c r="F469" s="163" t="s">
        <v>5641</v>
      </c>
      <c r="G469" s="163" t="s">
        <v>5642</v>
      </c>
      <c r="H469" s="164" t="s">
        <v>5643</v>
      </c>
      <c r="I469" s="164" t="s">
        <v>36</v>
      </c>
      <c r="J469" s="163"/>
      <c r="K469" s="163"/>
      <c r="L469" s="163"/>
      <c r="M469" s="163"/>
      <c r="N469" s="163"/>
      <c r="O469" s="163"/>
      <c r="P469" s="163"/>
      <c r="Q469" s="163"/>
      <c r="R469" s="163"/>
      <c r="S469" s="163"/>
      <c r="T469" s="163"/>
      <c r="U469" s="163"/>
      <c r="V469" s="163"/>
      <c r="W469" s="163"/>
      <c r="X469" s="163"/>
      <c r="Y469" s="163"/>
      <c r="Z469" s="163"/>
      <c r="AA469" s="163"/>
    </row>
    <row r="470" ht="14.25" customHeight="1">
      <c r="A470" s="163"/>
      <c r="B470" s="163"/>
      <c r="C470" s="164" t="s">
        <v>5644</v>
      </c>
      <c r="D470" s="163"/>
      <c r="E470" s="215" t="s">
        <v>5622</v>
      </c>
      <c r="F470" s="163" t="s">
        <v>5641</v>
      </c>
      <c r="G470" s="163" t="s">
        <v>5645</v>
      </c>
      <c r="H470" s="164" t="s">
        <v>5646</v>
      </c>
      <c r="I470" s="164" t="s">
        <v>36</v>
      </c>
      <c r="J470" s="163"/>
      <c r="K470" s="163"/>
      <c r="L470" s="163"/>
      <c r="M470" s="163"/>
      <c r="N470" s="163"/>
      <c r="O470" s="163"/>
      <c r="P470" s="163"/>
      <c r="Q470" s="163"/>
      <c r="R470" s="163"/>
      <c r="S470" s="163"/>
      <c r="T470" s="163"/>
      <c r="U470" s="163"/>
      <c r="V470" s="163"/>
      <c r="W470" s="163"/>
      <c r="X470" s="163"/>
      <c r="Y470" s="163"/>
      <c r="Z470" s="163"/>
      <c r="AA470" s="163"/>
    </row>
    <row r="471" ht="14.25" customHeight="1">
      <c r="A471" s="163"/>
      <c r="B471" s="163"/>
      <c r="C471" s="164" t="s">
        <v>5647</v>
      </c>
      <c r="D471" s="163"/>
      <c r="E471" s="215" t="s">
        <v>5622</v>
      </c>
      <c r="F471" s="163" t="s">
        <v>5648</v>
      </c>
      <c r="G471" s="163" t="s">
        <v>5649</v>
      </c>
      <c r="H471" s="164" t="s">
        <v>5650</v>
      </c>
      <c r="I471" s="164" t="s">
        <v>36</v>
      </c>
      <c r="J471" s="163"/>
      <c r="K471" s="163"/>
      <c r="L471" s="163"/>
      <c r="M471" s="163"/>
      <c r="N471" s="163"/>
      <c r="O471" s="163"/>
      <c r="P471" s="163"/>
      <c r="Q471" s="163"/>
      <c r="R471" s="163"/>
      <c r="S471" s="163"/>
      <c r="T471" s="163"/>
      <c r="U471" s="163"/>
      <c r="V471" s="163"/>
      <c r="W471" s="163"/>
      <c r="X471" s="163"/>
      <c r="Y471" s="163"/>
      <c r="Z471" s="163"/>
      <c r="AA471" s="163"/>
    </row>
    <row r="472" ht="14.25" customHeight="1">
      <c r="A472" s="163"/>
      <c r="B472" s="163"/>
      <c r="C472" s="164" t="s">
        <v>5651</v>
      </c>
      <c r="D472" s="163"/>
      <c r="E472" s="215" t="s">
        <v>5652</v>
      </c>
      <c r="F472" s="163" t="s">
        <v>5653</v>
      </c>
      <c r="G472" s="163" t="s">
        <v>5654</v>
      </c>
      <c r="H472" s="163" t="s">
        <v>5655</v>
      </c>
      <c r="I472" s="164" t="s">
        <v>36</v>
      </c>
      <c r="J472" s="163"/>
      <c r="K472" s="163"/>
      <c r="L472" s="163"/>
      <c r="M472" s="163"/>
      <c r="N472" s="163"/>
      <c r="O472" s="163"/>
      <c r="P472" s="163"/>
      <c r="Q472" s="163"/>
      <c r="R472" s="163"/>
      <c r="S472" s="163"/>
      <c r="T472" s="163"/>
      <c r="U472" s="163"/>
      <c r="V472" s="163"/>
      <c r="W472" s="163"/>
      <c r="X472" s="163"/>
      <c r="Y472" s="163"/>
      <c r="Z472" s="163"/>
      <c r="AA472" s="163"/>
    </row>
    <row r="473" ht="14.25" customHeight="1">
      <c r="A473" s="163"/>
      <c r="B473" s="163"/>
      <c r="C473" s="164" t="s">
        <v>5656</v>
      </c>
      <c r="D473" s="163"/>
      <c r="E473" s="215" t="s">
        <v>5652</v>
      </c>
      <c r="F473" s="163" t="s">
        <v>5653</v>
      </c>
      <c r="G473" s="163" t="s">
        <v>5657</v>
      </c>
      <c r="H473" s="163" t="s">
        <v>5658</v>
      </c>
      <c r="I473" s="164" t="s">
        <v>36</v>
      </c>
      <c r="J473" s="163"/>
      <c r="K473" s="163"/>
      <c r="L473" s="163"/>
      <c r="M473" s="163"/>
      <c r="N473" s="163"/>
      <c r="O473" s="163"/>
      <c r="P473" s="163"/>
      <c r="Q473" s="163"/>
      <c r="R473" s="163"/>
      <c r="S473" s="163"/>
      <c r="T473" s="163"/>
      <c r="U473" s="163"/>
      <c r="V473" s="163"/>
      <c r="W473" s="163"/>
      <c r="X473" s="163"/>
      <c r="Y473" s="163"/>
      <c r="Z473" s="163"/>
      <c r="AA473" s="163"/>
    </row>
    <row r="474" ht="14.25" customHeight="1">
      <c r="A474" s="163"/>
      <c r="B474" s="163"/>
      <c r="C474" s="164" t="s">
        <v>5659</v>
      </c>
      <c r="D474" s="163"/>
      <c r="E474" s="215" t="s">
        <v>5652</v>
      </c>
      <c r="F474" s="163" t="s">
        <v>5653</v>
      </c>
      <c r="G474" s="163" t="s">
        <v>5660</v>
      </c>
      <c r="H474" s="163" t="s">
        <v>5661</v>
      </c>
      <c r="I474" s="164" t="s">
        <v>36</v>
      </c>
      <c r="J474" s="163"/>
      <c r="K474" s="163"/>
      <c r="L474" s="163"/>
      <c r="M474" s="163"/>
      <c r="N474" s="163"/>
      <c r="O474" s="163"/>
      <c r="P474" s="163"/>
      <c r="Q474" s="163"/>
      <c r="R474" s="163"/>
      <c r="S474" s="163"/>
      <c r="T474" s="163"/>
      <c r="U474" s="163"/>
      <c r="V474" s="163"/>
      <c r="W474" s="163"/>
      <c r="X474" s="163"/>
      <c r="Y474" s="163"/>
      <c r="Z474" s="163"/>
      <c r="AA474" s="163"/>
    </row>
    <row r="475" ht="14.25" customHeight="1">
      <c r="A475" s="163"/>
      <c r="B475" s="163"/>
      <c r="C475" s="164" t="s">
        <v>5662</v>
      </c>
      <c r="D475" s="163"/>
      <c r="E475" s="215" t="s">
        <v>5652</v>
      </c>
      <c r="F475" s="163" t="s">
        <v>5653</v>
      </c>
      <c r="G475" s="163" t="s">
        <v>5663</v>
      </c>
      <c r="H475" s="163" t="s">
        <v>5664</v>
      </c>
      <c r="I475" s="164" t="s">
        <v>36</v>
      </c>
      <c r="J475" s="163"/>
      <c r="K475" s="163"/>
      <c r="L475" s="163"/>
      <c r="M475" s="163"/>
      <c r="N475" s="163"/>
      <c r="O475" s="163"/>
      <c r="P475" s="163"/>
      <c r="Q475" s="163"/>
      <c r="R475" s="163"/>
      <c r="S475" s="163"/>
      <c r="T475" s="163"/>
      <c r="U475" s="163"/>
      <c r="V475" s="163"/>
      <c r="W475" s="163"/>
      <c r="X475" s="163"/>
      <c r="Y475" s="163"/>
      <c r="Z475" s="163"/>
      <c r="AA475" s="163"/>
    </row>
    <row r="476" ht="14.25" customHeight="1">
      <c r="A476" s="163"/>
      <c r="B476" s="163"/>
      <c r="C476" s="164" t="s">
        <v>5665</v>
      </c>
      <c r="D476" s="163"/>
      <c r="E476" s="215" t="s">
        <v>5652</v>
      </c>
      <c r="F476" s="163" t="s">
        <v>5666</v>
      </c>
      <c r="G476" s="163" t="s">
        <v>5573</v>
      </c>
      <c r="H476" s="163" t="s">
        <v>5574</v>
      </c>
      <c r="I476" s="164" t="s">
        <v>36</v>
      </c>
      <c r="J476" s="163"/>
      <c r="K476" s="163"/>
      <c r="L476" s="163"/>
      <c r="M476" s="163"/>
      <c r="N476" s="163"/>
      <c r="O476" s="163"/>
      <c r="P476" s="163"/>
      <c r="Q476" s="163"/>
      <c r="R476" s="163"/>
      <c r="S476" s="163"/>
      <c r="T476" s="163"/>
      <c r="U476" s="163"/>
      <c r="V476" s="163"/>
      <c r="W476" s="163"/>
      <c r="X476" s="163"/>
      <c r="Y476" s="163"/>
      <c r="Z476" s="163"/>
      <c r="AA476" s="163"/>
    </row>
    <row r="477" ht="14.25" customHeight="1">
      <c r="A477" s="163"/>
      <c r="B477" s="163"/>
      <c r="C477" s="164" t="s">
        <v>5667</v>
      </c>
      <c r="D477" s="163"/>
      <c r="E477" s="215" t="s">
        <v>5652</v>
      </c>
      <c r="F477" s="163" t="s">
        <v>5668</v>
      </c>
      <c r="G477" s="163" t="s">
        <v>5669</v>
      </c>
      <c r="H477" s="163" t="s">
        <v>5670</v>
      </c>
      <c r="I477" s="164" t="s">
        <v>36</v>
      </c>
      <c r="J477" s="163"/>
      <c r="K477" s="163"/>
      <c r="L477" s="163"/>
      <c r="M477" s="163"/>
      <c r="N477" s="163"/>
      <c r="O477" s="163"/>
      <c r="P477" s="163"/>
      <c r="Q477" s="163"/>
      <c r="R477" s="163"/>
      <c r="S477" s="163"/>
      <c r="T477" s="163"/>
      <c r="U477" s="163"/>
      <c r="V477" s="163"/>
      <c r="W477" s="163"/>
      <c r="X477" s="163"/>
      <c r="Y477" s="163"/>
      <c r="Z477" s="163"/>
      <c r="AA477" s="163"/>
    </row>
    <row r="478" ht="14.25" customHeight="1">
      <c r="A478" s="164" t="s">
        <v>5671</v>
      </c>
      <c r="B478" s="162"/>
      <c r="C478" s="147" t="s">
        <v>5672</v>
      </c>
      <c r="D478" s="163"/>
      <c r="E478" s="165" t="s">
        <v>4126</v>
      </c>
      <c r="F478" s="165" t="s">
        <v>5673</v>
      </c>
      <c r="G478" s="165" t="s">
        <v>5674</v>
      </c>
      <c r="H478" s="165" t="s">
        <v>5675</v>
      </c>
      <c r="I478" s="164" t="s">
        <v>36</v>
      </c>
      <c r="J478" s="163"/>
      <c r="K478" s="163"/>
      <c r="L478" s="163"/>
      <c r="M478" s="163"/>
      <c r="N478" s="163"/>
      <c r="O478" s="163"/>
      <c r="P478" s="163"/>
      <c r="Q478" s="163"/>
      <c r="R478" s="163"/>
      <c r="S478" s="163"/>
      <c r="T478" s="163"/>
      <c r="U478" s="163"/>
      <c r="V478" s="163"/>
      <c r="W478" s="163"/>
      <c r="X478" s="163"/>
      <c r="Y478" s="163"/>
      <c r="Z478" s="163"/>
      <c r="AA478" s="163"/>
    </row>
    <row r="479" ht="14.25" customHeight="1">
      <c r="A479" s="164" t="s">
        <v>5671</v>
      </c>
      <c r="B479" s="108"/>
      <c r="C479" s="147" t="s">
        <v>5676</v>
      </c>
      <c r="D479" s="163"/>
      <c r="E479" s="165" t="s">
        <v>4126</v>
      </c>
      <c r="F479" s="165" t="s">
        <v>5677</v>
      </c>
      <c r="G479" s="165" t="s">
        <v>5678</v>
      </c>
      <c r="H479" s="173"/>
      <c r="I479" s="164" t="s">
        <v>36</v>
      </c>
      <c r="J479" s="163"/>
      <c r="K479" s="163"/>
      <c r="L479" s="163"/>
      <c r="M479" s="163"/>
      <c r="N479" s="163"/>
      <c r="O479" s="163"/>
      <c r="P479" s="163"/>
      <c r="Q479" s="163"/>
      <c r="R479" s="163"/>
      <c r="S479" s="163"/>
      <c r="T479" s="163"/>
      <c r="U479" s="163"/>
      <c r="V479" s="163"/>
      <c r="W479" s="163"/>
      <c r="X479" s="163"/>
      <c r="Y479" s="163"/>
      <c r="Z479" s="163"/>
      <c r="AA479" s="163"/>
    </row>
    <row r="480" ht="14.25" customHeight="1">
      <c r="A480" s="164" t="s">
        <v>5671</v>
      </c>
      <c r="B480" s="108"/>
      <c r="C480" s="147" t="s">
        <v>5679</v>
      </c>
      <c r="D480" s="163"/>
      <c r="E480" s="165" t="s">
        <v>4126</v>
      </c>
      <c r="F480" s="165" t="s">
        <v>5680</v>
      </c>
      <c r="G480" s="165" t="s">
        <v>5681</v>
      </c>
      <c r="H480" s="165" t="s">
        <v>5682</v>
      </c>
      <c r="I480" s="164" t="s">
        <v>36</v>
      </c>
      <c r="J480" s="163"/>
      <c r="K480" s="163"/>
      <c r="L480" s="163"/>
      <c r="M480" s="163"/>
      <c r="N480" s="163"/>
      <c r="O480" s="163"/>
      <c r="P480" s="163"/>
      <c r="Q480" s="163"/>
      <c r="R480" s="163"/>
      <c r="S480" s="163"/>
      <c r="T480" s="163"/>
      <c r="U480" s="163"/>
      <c r="V480" s="163"/>
      <c r="W480" s="163"/>
      <c r="X480" s="163"/>
      <c r="Y480" s="163"/>
      <c r="Z480" s="163"/>
      <c r="AA480" s="163"/>
    </row>
    <row r="481" ht="14.25" customHeight="1">
      <c r="A481" s="164" t="s">
        <v>5671</v>
      </c>
      <c r="B481" s="108"/>
      <c r="C481" s="147" t="s">
        <v>5683</v>
      </c>
      <c r="D481" s="163"/>
      <c r="E481" s="165" t="s">
        <v>4126</v>
      </c>
      <c r="F481" s="165" t="s">
        <v>5684</v>
      </c>
      <c r="G481" s="165" t="s">
        <v>5685</v>
      </c>
      <c r="H481" s="165" t="s">
        <v>5686</v>
      </c>
      <c r="I481" s="164" t="s">
        <v>36</v>
      </c>
      <c r="J481" s="163"/>
      <c r="K481" s="163"/>
      <c r="L481" s="163"/>
      <c r="M481" s="163"/>
      <c r="N481" s="163"/>
      <c r="O481" s="163"/>
      <c r="P481" s="163"/>
      <c r="Q481" s="163"/>
      <c r="R481" s="163"/>
      <c r="S481" s="163"/>
      <c r="T481" s="163"/>
      <c r="U481" s="163"/>
      <c r="V481" s="163"/>
      <c r="W481" s="163"/>
      <c r="X481" s="163"/>
      <c r="Y481" s="163"/>
      <c r="Z481" s="163"/>
      <c r="AA481" s="163"/>
    </row>
    <row r="482" ht="14.25" customHeight="1">
      <c r="A482" s="164" t="s">
        <v>5671</v>
      </c>
      <c r="B482" s="108"/>
      <c r="C482" s="147" t="s">
        <v>5687</v>
      </c>
      <c r="D482" s="163"/>
      <c r="E482" s="165" t="s">
        <v>4126</v>
      </c>
      <c r="F482" s="165" t="s">
        <v>5688</v>
      </c>
      <c r="G482" s="165" t="s">
        <v>5689</v>
      </c>
      <c r="H482" s="165" t="s">
        <v>5690</v>
      </c>
      <c r="I482" s="164" t="s">
        <v>36</v>
      </c>
      <c r="J482" s="163"/>
      <c r="K482" s="163"/>
      <c r="L482" s="163"/>
      <c r="M482" s="163"/>
      <c r="N482" s="163"/>
      <c r="O482" s="163"/>
      <c r="P482" s="163"/>
      <c r="Q482" s="163"/>
      <c r="R482" s="163"/>
      <c r="S482" s="163"/>
      <c r="T482" s="163"/>
      <c r="U482" s="163"/>
      <c r="V482" s="163"/>
      <c r="W482" s="163"/>
      <c r="X482" s="163"/>
      <c r="Y482" s="163"/>
      <c r="Z482" s="163"/>
      <c r="AA482" s="163"/>
    </row>
    <row r="483" ht="14.25" customHeight="1">
      <c r="A483" s="164" t="s">
        <v>5671</v>
      </c>
      <c r="B483" s="108"/>
      <c r="C483" s="147" t="s">
        <v>5691</v>
      </c>
      <c r="D483" s="163"/>
      <c r="E483" s="165" t="s">
        <v>4126</v>
      </c>
      <c r="F483" s="165" t="s">
        <v>5688</v>
      </c>
      <c r="G483" s="165" t="s">
        <v>5692</v>
      </c>
      <c r="H483" s="165" t="s">
        <v>5693</v>
      </c>
      <c r="I483" s="164" t="s">
        <v>36</v>
      </c>
      <c r="J483" s="163"/>
      <c r="K483" s="163"/>
      <c r="L483" s="163"/>
      <c r="M483" s="163"/>
      <c r="N483" s="163"/>
      <c r="O483" s="163"/>
      <c r="P483" s="163"/>
      <c r="Q483" s="163"/>
      <c r="R483" s="163"/>
      <c r="S483" s="163"/>
      <c r="T483" s="163"/>
      <c r="U483" s="163"/>
      <c r="V483" s="163"/>
      <c r="W483" s="163"/>
      <c r="X483" s="163"/>
      <c r="Y483" s="163"/>
      <c r="Z483" s="163"/>
      <c r="AA483" s="163"/>
    </row>
    <row r="484" ht="14.25" customHeight="1">
      <c r="A484" s="164" t="s">
        <v>5671</v>
      </c>
      <c r="B484" s="108"/>
      <c r="C484" s="147" t="s">
        <v>5694</v>
      </c>
      <c r="D484" s="163"/>
      <c r="E484" s="165" t="s">
        <v>4126</v>
      </c>
      <c r="F484" s="165" t="s">
        <v>5688</v>
      </c>
      <c r="G484" s="165" t="s">
        <v>5692</v>
      </c>
      <c r="H484" s="165" t="s">
        <v>5695</v>
      </c>
      <c r="I484" s="164" t="s">
        <v>36</v>
      </c>
      <c r="J484" s="163"/>
      <c r="K484" s="163"/>
      <c r="L484" s="163"/>
      <c r="M484" s="163"/>
      <c r="N484" s="163"/>
      <c r="O484" s="163"/>
      <c r="P484" s="163"/>
      <c r="Q484" s="163"/>
      <c r="R484" s="163"/>
      <c r="S484" s="163"/>
      <c r="T484" s="163"/>
      <c r="U484" s="163"/>
      <c r="V484" s="163"/>
      <c r="W484" s="163"/>
      <c r="X484" s="163"/>
      <c r="Y484" s="163"/>
      <c r="Z484" s="163"/>
      <c r="AA484" s="163"/>
    </row>
    <row r="485" ht="14.25" customHeight="1">
      <c r="A485" s="164" t="s">
        <v>5671</v>
      </c>
      <c r="B485" s="108"/>
      <c r="C485" s="147" t="s">
        <v>5696</v>
      </c>
      <c r="D485" s="163"/>
      <c r="E485" s="165" t="s">
        <v>4126</v>
      </c>
      <c r="F485" s="165" t="s">
        <v>5688</v>
      </c>
      <c r="G485" s="165" t="s">
        <v>5697</v>
      </c>
      <c r="H485" s="165" t="s">
        <v>5698</v>
      </c>
      <c r="I485" s="164" t="s">
        <v>36</v>
      </c>
      <c r="J485" s="163"/>
      <c r="K485" s="163"/>
      <c r="L485" s="163"/>
      <c r="M485" s="163"/>
      <c r="N485" s="163"/>
      <c r="O485" s="163"/>
      <c r="P485" s="163"/>
      <c r="Q485" s="163"/>
      <c r="R485" s="163"/>
      <c r="S485" s="163"/>
      <c r="T485" s="163"/>
      <c r="U485" s="163"/>
      <c r="V485" s="163"/>
      <c r="W485" s="163"/>
      <c r="X485" s="163"/>
      <c r="Y485" s="163"/>
      <c r="Z485" s="163"/>
      <c r="AA485" s="163"/>
    </row>
    <row r="486" ht="14.25" customHeight="1">
      <c r="A486" s="164" t="s">
        <v>5671</v>
      </c>
      <c r="B486" s="108"/>
      <c r="C486" s="147" t="s">
        <v>5699</v>
      </c>
      <c r="D486" s="163"/>
      <c r="E486" s="165" t="s">
        <v>4126</v>
      </c>
      <c r="F486" s="165" t="s">
        <v>5688</v>
      </c>
      <c r="G486" s="165" t="s">
        <v>5700</v>
      </c>
      <c r="H486" s="165" t="s">
        <v>5701</v>
      </c>
      <c r="I486" s="164" t="s">
        <v>36</v>
      </c>
      <c r="J486" s="163"/>
      <c r="K486" s="163"/>
      <c r="L486" s="163"/>
      <c r="M486" s="163"/>
      <c r="N486" s="163"/>
      <c r="O486" s="163"/>
      <c r="P486" s="163"/>
      <c r="Q486" s="163"/>
      <c r="R486" s="163"/>
      <c r="S486" s="163"/>
      <c r="T486" s="163"/>
      <c r="U486" s="163"/>
      <c r="V486" s="163"/>
      <c r="W486" s="163"/>
      <c r="X486" s="163"/>
      <c r="Y486" s="163"/>
      <c r="Z486" s="163"/>
      <c r="AA486" s="163"/>
    </row>
    <row r="487" ht="14.25" customHeight="1">
      <c r="A487" s="164" t="s">
        <v>5671</v>
      </c>
      <c r="B487" s="108"/>
      <c r="C487" s="147" t="s">
        <v>5702</v>
      </c>
      <c r="D487" s="163"/>
      <c r="E487" s="165" t="s">
        <v>4126</v>
      </c>
      <c r="F487" s="165" t="s">
        <v>5688</v>
      </c>
      <c r="G487" s="165" t="s">
        <v>5703</v>
      </c>
      <c r="H487" s="165" t="s">
        <v>5704</v>
      </c>
      <c r="I487" s="164" t="s">
        <v>36</v>
      </c>
      <c r="J487" s="163"/>
      <c r="K487" s="163"/>
      <c r="L487" s="163"/>
      <c r="M487" s="163"/>
      <c r="N487" s="163"/>
      <c r="O487" s="163"/>
      <c r="P487" s="163"/>
      <c r="Q487" s="163"/>
      <c r="R487" s="163"/>
      <c r="S487" s="163"/>
      <c r="T487" s="163"/>
      <c r="U487" s="163"/>
      <c r="V487" s="163"/>
      <c r="W487" s="163"/>
      <c r="X487" s="163"/>
      <c r="Y487" s="163"/>
      <c r="Z487" s="163"/>
      <c r="AA487" s="163"/>
    </row>
    <row r="488" ht="14.25" customHeight="1">
      <c r="A488" s="164" t="s">
        <v>5671</v>
      </c>
      <c r="B488" s="108"/>
      <c r="C488" s="147" t="s">
        <v>5705</v>
      </c>
      <c r="D488" s="163"/>
      <c r="E488" s="165" t="s">
        <v>4126</v>
      </c>
      <c r="F488" s="165" t="s">
        <v>5688</v>
      </c>
      <c r="G488" s="165" t="s">
        <v>5706</v>
      </c>
      <c r="H488" s="165" t="s">
        <v>5707</v>
      </c>
      <c r="I488" s="164" t="s">
        <v>36</v>
      </c>
      <c r="J488" s="163"/>
      <c r="K488" s="163"/>
      <c r="L488" s="163"/>
      <c r="M488" s="163"/>
      <c r="N488" s="163"/>
      <c r="O488" s="163"/>
      <c r="P488" s="163"/>
      <c r="Q488" s="163"/>
      <c r="R488" s="163"/>
      <c r="S488" s="163"/>
      <c r="T488" s="163"/>
      <c r="U488" s="163"/>
      <c r="V488" s="163"/>
      <c r="W488" s="163"/>
      <c r="X488" s="163"/>
      <c r="Y488" s="163"/>
      <c r="Z488" s="163"/>
      <c r="AA488" s="163"/>
    </row>
    <row r="489" ht="14.25" customHeight="1">
      <c r="A489" s="164" t="s">
        <v>5671</v>
      </c>
      <c r="B489" s="108"/>
      <c r="C489" s="147" t="s">
        <v>5708</v>
      </c>
      <c r="D489" s="163"/>
      <c r="E489" s="165" t="s">
        <v>4126</v>
      </c>
      <c r="F489" s="165" t="s">
        <v>5688</v>
      </c>
      <c r="G489" s="165" t="s">
        <v>5709</v>
      </c>
      <c r="H489" s="165" t="s">
        <v>5710</v>
      </c>
      <c r="I489" s="164" t="s">
        <v>36</v>
      </c>
      <c r="J489" s="163"/>
      <c r="K489" s="163"/>
      <c r="L489" s="163"/>
      <c r="M489" s="163"/>
      <c r="N489" s="163"/>
      <c r="O489" s="163"/>
      <c r="P489" s="163"/>
      <c r="Q489" s="163"/>
      <c r="R489" s="163"/>
      <c r="S489" s="163"/>
      <c r="T489" s="163"/>
      <c r="U489" s="163"/>
      <c r="V489" s="163"/>
      <c r="W489" s="163"/>
      <c r="X489" s="163"/>
      <c r="Y489" s="163"/>
      <c r="Z489" s="163"/>
      <c r="AA489" s="163"/>
    </row>
    <row r="490" ht="14.25" customHeight="1">
      <c r="A490" s="164" t="s">
        <v>5671</v>
      </c>
      <c r="B490" s="108"/>
      <c r="C490" s="147" t="s">
        <v>5711</v>
      </c>
      <c r="D490" s="163"/>
      <c r="E490" s="165" t="s">
        <v>4126</v>
      </c>
      <c r="F490" s="165" t="s">
        <v>5688</v>
      </c>
      <c r="G490" s="165" t="s">
        <v>5712</v>
      </c>
      <c r="H490" s="165" t="s">
        <v>5713</v>
      </c>
      <c r="I490" s="164" t="s">
        <v>317</v>
      </c>
      <c r="J490" s="163"/>
      <c r="K490" s="163"/>
      <c r="L490" s="163"/>
      <c r="M490" s="163"/>
      <c r="N490" s="163"/>
      <c r="O490" s="163"/>
      <c r="P490" s="163"/>
      <c r="Q490" s="163"/>
      <c r="R490" s="163"/>
      <c r="S490" s="163"/>
      <c r="T490" s="163"/>
      <c r="U490" s="163"/>
      <c r="V490" s="163"/>
      <c r="W490" s="163"/>
      <c r="X490" s="163"/>
      <c r="Y490" s="163"/>
      <c r="Z490" s="163"/>
      <c r="AA490" s="163"/>
    </row>
    <row r="491" ht="14.25" customHeight="1">
      <c r="A491" s="164" t="s">
        <v>5671</v>
      </c>
      <c r="B491" s="108"/>
      <c r="C491" s="147" t="s">
        <v>5714</v>
      </c>
      <c r="D491" s="163"/>
      <c r="E491" s="165" t="s">
        <v>4126</v>
      </c>
      <c r="F491" s="165" t="s">
        <v>5688</v>
      </c>
      <c r="G491" s="165" t="s">
        <v>5715</v>
      </c>
      <c r="H491" s="165" t="s">
        <v>5716</v>
      </c>
      <c r="I491" s="164" t="s">
        <v>317</v>
      </c>
      <c r="J491" s="163"/>
      <c r="K491" s="163"/>
      <c r="L491" s="163"/>
      <c r="M491" s="163"/>
      <c r="N491" s="163"/>
      <c r="O491" s="163"/>
      <c r="P491" s="163"/>
      <c r="Q491" s="163"/>
      <c r="R491" s="163"/>
      <c r="S491" s="163"/>
      <c r="T491" s="163"/>
      <c r="U491" s="163"/>
      <c r="V491" s="163"/>
      <c r="W491" s="163"/>
      <c r="X491" s="163"/>
      <c r="Y491" s="163"/>
      <c r="Z491" s="163"/>
      <c r="AA491" s="163"/>
    </row>
    <row r="492" ht="14.25" customHeight="1">
      <c r="A492" s="164" t="s">
        <v>5671</v>
      </c>
      <c r="B492" s="108"/>
      <c r="C492" s="147" t="s">
        <v>5717</v>
      </c>
      <c r="D492" s="163"/>
      <c r="E492" s="165" t="s">
        <v>4126</v>
      </c>
      <c r="F492" s="165" t="s">
        <v>5688</v>
      </c>
      <c r="G492" s="165" t="s">
        <v>5718</v>
      </c>
      <c r="H492" s="165" t="s">
        <v>5698</v>
      </c>
      <c r="I492" s="164" t="s">
        <v>317</v>
      </c>
      <c r="J492" s="163"/>
      <c r="K492" s="163"/>
      <c r="L492" s="163"/>
      <c r="M492" s="163"/>
      <c r="N492" s="163"/>
      <c r="O492" s="163"/>
      <c r="P492" s="163"/>
      <c r="Q492" s="163"/>
      <c r="R492" s="163"/>
      <c r="S492" s="163"/>
      <c r="T492" s="163"/>
      <c r="U492" s="163"/>
      <c r="V492" s="163"/>
      <c r="W492" s="163"/>
      <c r="X492" s="163"/>
      <c r="Y492" s="163"/>
      <c r="Z492" s="163"/>
      <c r="AA492" s="163"/>
    </row>
    <row r="493" ht="14.25" customHeight="1">
      <c r="A493" s="164" t="s">
        <v>5671</v>
      </c>
      <c r="B493" s="108"/>
      <c r="C493" s="147" t="s">
        <v>5719</v>
      </c>
      <c r="D493" s="163"/>
      <c r="E493" s="165" t="s">
        <v>4126</v>
      </c>
      <c r="F493" s="165" t="s">
        <v>5688</v>
      </c>
      <c r="G493" s="165" t="s">
        <v>5720</v>
      </c>
      <c r="H493" s="165" t="s">
        <v>5701</v>
      </c>
      <c r="I493" s="164" t="s">
        <v>317</v>
      </c>
      <c r="J493" s="163"/>
      <c r="K493" s="163"/>
      <c r="L493" s="163"/>
      <c r="M493" s="163"/>
      <c r="N493" s="163"/>
      <c r="O493" s="163"/>
      <c r="P493" s="163"/>
      <c r="Q493" s="163"/>
      <c r="R493" s="163"/>
      <c r="S493" s="163"/>
      <c r="T493" s="163"/>
      <c r="U493" s="163"/>
      <c r="V493" s="163"/>
      <c r="W493" s="163"/>
      <c r="X493" s="163"/>
      <c r="Y493" s="163"/>
      <c r="Z493" s="163"/>
      <c r="AA493" s="163"/>
    </row>
    <row r="494" ht="14.25" customHeight="1">
      <c r="A494" s="164" t="s">
        <v>5671</v>
      </c>
      <c r="B494" s="108"/>
      <c r="C494" s="147" t="s">
        <v>5721</v>
      </c>
      <c r="D494" s="163"/>
      <c r="E494" s="165" t="s">
        <v>4126</v>
      </c>
      <c r="F494" s="165" t="s">
        <v>5688</v>
      </c>
      <c r="G494" s="165" t="s">
        <v>5722</v>
      </c>
      <c r="H494" s="165" t="s">
        <v>5723</v>
      </c>
      <c r="I494" s="164" t="s">
        <v>317</v>
      </c>
      <c r="J494" s="163"/>
      <c r="K494" s="163"/>
      <c r="L494" s="163"/>
      <c r="M494" s="163"/>
      <c r="N494" s="163"/>
      <c r="O494" s="163"/>
      <c r="P494" s="163"/>
      <c r="Q494" s="163"/>
      <c r="R494" s="163"/>
      <c r="S494" s="163"/>
      <c r="T494" s="163"/>
      <c r="U494" s="163"/>
      <c r="V494" s="163"/>
      <c r="W494" s="163"/>
      <c r="X494" s="163"/>
      <c r="Y494" s="163"/>
      <c r="Z494" s="163"/>
      <c r="AA494" s="163"/>
    </row>
    <row r="495" ht="14.25" customHeight="1">
      <c r="A495" s="164" t="s">
        <v>5671</v>
      </c>
      <c r="B495" s="108"/>
      <c r="C495" s="147" t="s">
        <v>5724</v>
      </c>
      <c r="D495" s="163"/>
      <c r="E495" s="165" t="s">
        <v>4126</v>
      </c>
      <c r="F495" s="165" t="s">
        <v>5688</v>
      </c>
      <c r="G495" s="165" t="s">
        <v>5725</v>
      </c>
      <c r="H495" s="165" t="s">
        <v>5726</v>
      </c>
      <c r="I495" s="164" t="s">
        <v>36</v>
      </c>
      <c r="J495" s="163"/>
      <c r="K495" s="163"/>
      <c r="L495" s="163"/>
      <c r="M495" s="163"/>
      <c r="N495" s="163"/>
      <c r="O495" s="163"/>
      <c r="P495" s="163"/>
      <c r="Q495" s="163"/>
      <c r="R495" s="163"/>
      <c r="S495" s="163"/>
      <c r="T495" s="163"/>
      <c r="U495" s="163"/>
      <c r="V495" s="163"/>
      <c r="W495" s="163"/>
      <c r="X495" s="163"/>
      <c r="Y495" s="163"/>
      <c r="Z495" s="163"/>
      <c r="AA495" s="163"/>
    </row>
    <row r="496" ht="14.25" customHeight="1">
      <c r="A496" s="164" t="s">
        <v>5671</v>
      </c>
      <c r="B496" s="108"/>
      <c r="C496" s="147" t="s">
        <v>5727</v>
      </c>
      <c r="D496" s="163"/>
      <c r="E496" s="165" t="s">
        <v>4126</v>
      </c>
      <c r="F496" s="165" t="s">
        <v>5688</v>
      </c>
      <c r="G496" s="165" t="s">
        <v>5728</v>
      </c>
      <c r="H496" s="165" t="s">
        <v>5729</v>
      </c>
      <c r="I496" s="164" t="s">
        <v>36</v>
      </c>
      <c r="J496" s="163"/>
      <c r="K496" s="163"/>
      <c r="L496" s="163"/>
      <c r="M496" s="163"/>
      <c r="N496" s="163"/>
      <c r="O496" s="163"/>
      <c r="P496" s="163"/>
      <c r="Q496" s="163"/>
      <c r="R496" s="163"/>
      <c r="S496" s="163"/>
      <c r="T496" s="163"/>
      <c r="U496" s="163"/>
      <c r="V496" s="163"/>
      <c r="W496" s="163"/>
      <c r="X496" s="163"/>
      <c r="Y496" s="163"/>
      <c r="Z496" s="163"/>
      <c r="AA496" s="163"/>
    </row>
    <row r="497" ht="14.25" customHeight="1">
      <c r="A497" s="164" t="s">
        <v>5671</v>
      </c>
      <c r="B497" s="108"/>
      <c r="C497" s="147" t="s">
        <v>5730</v>
      </c>
      <c r="D497" s="163"/>
      <c r="E497" s="165" t="s">
        <v>4126</v>
      </c>
      <c r="F497" s="165" t="s">
        <v>5688</v>
      </c>
      <c r="G497" s="165" t="s">
        <v>5731</v>
      </c>
      <c r="H497" s="165" t="s">
        <v>5732</v>
      </c>
      <c r="I497" s="164" t="s">
        <v>36</v>
      </c>
      <c r="J497" s="163"/>
      <c r="K497" s="163"/>
      <c r="L497" s="163"/>
      <c r="M497" s="163"/>
      <c r="N497" s="163"/>
      <c r="O497" s="163"/>
      <c r="P497" s="163"/>
      <c r="Q497" s="163"/>
      <c r="R497" s="163"/>
      <c r="S497" s="163"/>
      <c r="T497" s="163"/>
      <c r="U497" s="163"/>
      <c r="V497" s="163"/>
      <c r="W497" s="163"/>
      <c r="X497" s="163"/>
      <c r="Y497" s="163"/>
      <c r="Z497" s="163"/>
      <c r="AA497" s="163"/>
    </row>
    <row r="498" ht="14.25" customHeight="1">
      <c r="A498" s="164" t="s">
        <v>5671</v>
      </c>
      <c r="B498" s="108"/>
      <c r="C498" s="147" t="s">
        <v>5733</v>
      </c>
      <c r="D498" s="163"/>
      <c r="E498" s="165" t="s">
        <v>4126</v>
      </c>
      <c r="F498" s="165" t="s">
        <v>5688</v>
      </c>
      <c r="G498" s="165" t="s">
        <v>5734</v>
      </c>
      <c r="H498" s="165" t="s">
        <v>5735</v>
      </c>
      <c r="I498" s="164" t="s">
        <v>36</v>
      </c>
      <c r="J498" s="163"/>
      <c r="K498" s="163"/>
      <c r="L498" s="163"/>
      <c r="M498" s="163"/>
      <c r="N498" s="163"/>
      <c r="O498" s="163"/>
      <c r="P498" s="163"/>
      <c r="Q498" s="163"/>
      <c r="R498" s="163"/>
      <c r="S498" s="163"/>
      <c r="T498" s="163"/>
      <c r="U498" s="163"/>
      <c r="V498" s="163"/>
      <c r="W498" s="163"/>
      <c r="X498" s="163"/>
      <c r="Y498" s="163"/>
      <c r="Z498" s="163"/>
      <c r="AA498" s="163"/>
    </row>
    <row r="499" ht="14.25" customHeight="1">
      <c r="A499" s="164" t="s">
        <v>5671</v>
      </c>
      <c r="B499" s="108"/>
      <c r="C499" s="147" t="s">
        <v>5736</v>
      </c>
      <c r="D499" s="163"/>
      <c r="E499" s="165" t="s">
        <v>4126</v>
      </c>
      <c r="F499" s="165" t="s">
        <v>5688</v>
      </c>
      <c r="G499" s="165" t="s">
        <v>5737</v>
      </c>
      <c r="H499" s="165" t="s">
        <v>5738</v>
      </c>
      <c r="I499" s="164" t="s">
        <v>36</v>
      </c>
      <c r="J499" s="163"/>
      <c r="K499" s="163"/>
      <c r="L499" s="163"/>
      <c r="M499" s="163"/>
      <c r="N499" s="163"/>
      <c r="O499" s="163"/>
      <c r="P499" s="163"/>
      <c r="Q499" s="163"/>
      <c r="R499" s="163"/>
      <c r="S499" s="163"/>
      <c r="T499" s="163"/>
      <c r="U499" s="163"/>
      <c r="V499" s="163"/>
      <c r="W499" s="163"/>
      <c r="X499" s="163"/>
      <c r="Y499" s="163"/>
      <c r="Z499" s="163"/>
      <c r="AA499" s="163"/>
    </row>
    <row r="500" ht="14.25" customHeight="1">
      <c r="A500" s="164" t="s">
        <v>5671</v>
      </c>
      <c r="B500" s="108"/>
      <c r="C500" s="147" t="s">
        <v>5739</v>
      </c>
      <c r="D500" s="163"/>
      <c r="E500" s="165" t="s">
        <v>4126</v>
      </c>
      <c r="F500" s="165" t="s">
        <v>5688</v>
      </c>
      <c r="G500" s="165" t="s">
        <v>5740</v>
      </c>
      <c r="H500" s="165" t="s">
        <v>5741</v>
      </c>
      <c r="I500" s="164" t="s">
        <v>36</v>
      </c>
      <c r="J500" s="163"/>
      <c r="K500" s="163"/>
      <c r="L500" s="163"/>
      <c r="M500" s="163"/>
      <c r="N500" s="163"/>
      <c r="O500" s="163"/>
      <c r="P500" s="163"/>
      <c r="Q500" s="163"/>
      <c r="R500" s="163"/>
      <c r="S500" s="163"/>
      <c r="T500" s="163"/>
      <c r="U500" s="163"/>
      <c r="V500" s="163"/>
      <c r="W500" s="163"/>
      <c r="X500" s="163"/>
      <c r="Y500" s="163"/>
      <c r="Z500" s="163"/>
      <c r="AA500" s="163"/>
    </row>
    <row r="501" ht="14.25" customHeight="1">
      <c r="A501" s="164" t="s">
        <v>5671</v>
      </c>
      <c r="B501" s="108"/>
      <c r="C501" s="147" t="s">
        <v>5742</v>
      </c>
      <c r="D501" s="163"/>
      <c r="E501" s="165" t="s">
        <v>4126</v>
      </c>
      <c r="F501" s="165" t="s">
        <v>5688</v>
      </c>
      <c r="G501" s="165" t="s">
        <v>5743</v>
      </c>
      <c r="H501" s="165" t="s">
        <v>5744</v>
      </c>
      <c r="I501" s="164" t="s">
        <v>36</v>
      </c>
      <c r="J501" s="163"/>
      <c r="K501" s="163"/>
      <c r="L501" s="163"/>
      <c r="M501" s="163"/>
      <c r="N501" s="163"/>
      <c r="O501" s="163"/>
      <c r="P501" s="163"/>
      <c r="Q501" s="163"/>
      <c r="R501" s="163"/>
      <c r="S501" s="163"/>
      <c r="T501" s="163"/>
      <c r="U501" s="163"/>
      <c r="V501" s="163"/>
      <c r="W501" s="163"/>
      <c r="X501" s="163"/>
      <c r="Y501" s="163"/>
      <c r="Z501" s="163"/>
      <c r="AA501" s="163"/>
    </row>
    <row r="502" ht="14.25" customHeight="1">
      <c r="A502" s="164" t="s">
        <v>5671</v>
      </c>
      <c r="B502" s="108"/>
      <c r="C502" s="147" t="s">
        <v>5745</v>
      </c>
      <c r="D502" s="163"/>
      <c r="E502" s="165" t="s">
        <v>4126</v>
      </c>
      <c r="F502" s="165" t="s">
        <v>5688</v>
      </c>
      <c r="G502" s="165" t="s">
        <v>5746</v>
      </c>
      <c r="H502" s="165" t="s">
        <v>5747</v>
      </c>
      <c r="I502" s="164" t="s">
        <v>36</v>
      </c>
      <c r="J502" s="163"/>
      <c r="K502" s="163"/>
      <c r="L502" s="163"/>
      <c r="M502" s="163"/>
      <c r="N502" s="163"/>
      <c r="O502" s="163"/>
      <c r="P502" s="163"/>
      <c r="Q502" s="163"/>
      <c r="R502" s="163"/>
      <c r="S502" s="163"/>
      <c r="T502" s="163"/>
      <c r="U502" s="163"/>
      <c r="V502" s="163"/>
      <c r="W502" s="163"/>
      <c r="X502" s="163"/>
      <c r="Y502" s="163"/>
      <c r="Z502" s="163"/>
      <c r="AA502" s="163"/>
    </row>
    <row r="503" ht="14.25" customHeight="1">
      <c r="A503" s="164" t="s">
        <v>5671</v>
      </c>
      <c r="B503" s="109"/>
      <c r="C503" s="147" t="s">
        <v>5748</v>
      </c>
      <c r="D503" s="163"/>
      <c r="E503" s="226" t="s">
        <v>4126</v>
      </c>
      <c r="F503" s="227"/>
      <c r="G503" s="226" t="s">
        <v>5749</v>
      </c>
      <c r="H503" s="226" t="s">
        <v>5750</v>
      </c>
      <c r="I503" s="164" t="s">
        <v>317</v>
      </c>
      <c r="J503" s="163"/>
      <c r="K503" s="163"/>
      <c r="L503" s="163"/>
      <c r="M503" s="163"/>
      <c r="N503" s="163"/>
      <c r="O503" s="163"/>
      <c r="P503" s="163"/>
      <c r="Q503" s="163"/>
      <c r="R503" s="163"/>
      <c r="S503" s="163"/>
      <c r="T503" s="163"/>
      <c r="U503" s="163"/>
      <c r="V503" s="163"/>
      <c r="W503" s="163"/>
      <c r="X503" s="163"/>
      <c r="Y503" s="163"/>
      <c r="Z503" s="163"/>
      <c r="AA503" s="163"/>
    </row>
    <row r="504" ht="14.25" customHeight="1">
      <c r="A504" s="221" t="s">
        <v>5751</v>
      </c>
      <c r="B504" s="163"/>
      <c r="C504" s="147" t="s">
        <v>5752</v>
      </c>
      <c r="D504" s="163"/>
      <c r="E504" s="215" t="s">
        <v>4127</v>
      </c>
      <c r="F504" s="163" t="s">
        <v>5753</v>
      </c>
      <c r="G504" s="163" t="s">
        <v>5754</v>
      </c>
      <c r="H504" s="163" t="s">
        <v>5755</v>
      </c>
      <c r="I504" s="164" t="s">
        <v>36</v>
      </c>
      <c r="J504" s="163"/>
      <c r="K504" s="163"/>
      <c r="L504" s="163"/>
      <c r="M504" s="163"/>
      <c r="N504" s="163"/>
      <c r="O504" s="163"/>
      <c r="P504" s="163"/>
      <c r="Q504" s="163"/>
      <c r="R504" s="163"/>
      <c r="S504" s="163"/>
      <c r="T504" s="163"/>
      <c r="U504" s="163"/>
      <c r="V504" s="163"/>
      <c r="W504" s="163"/>
      <c r="X504" s="163"/>
      <c r="Y504" s="163"/>
      <c r="Z504" s="163"/>
      <c r="AA504" s="163"/>
    </row>
    <row r="505" ht="14.25" customHeight="1">
      <c r="A505" s="221" t="s">
        <v>5751</v>
      </c>
      <c r="B505" s="163"/>
      <c r="C505" s="147" t="s">
        <v>5756</v>
      </c>
      <c r="D505" s="163"/>
      <c r="E505" s="215" t="s">
        <v>4127</v>
      </c>
      <c r="F505" s="163" t="s">
        <v>5757</v>
      </c>
      <c r="G505" s="163" t="s">
        <v>5754</v>
      </c>
      <c r="H505" s="163" t="s">
        <v>5758</v>
      </c>
      <c r="I505" s="164" t="s">
        <v>36</v>
      </c>
      <c r="J505" s="163"/>
      <c r="K505" s="163"/>
      <c r="L505" s="163"/>
      <c r="M505" s="163"/>
      <c r="N505" s="163"/>
      <c r="O505" s="163"/>
      <c r="P505" s="163"/>
      <c r="Q505" s="163"/>
      <c r="R505" s="163"/>
      <c r="S505" s="163"/>
      <c r="T505" s="163"/>
      <c r="U505" s="163"/>
      <c r="V505" s="163"/>
      <c r="W505" s="163"/>
      <c r="X505" s="163"/>
      <c r="Y505" s="163"/>
      <c r="Z505" s="163"/>
      <c r="AA505" s="163"/>
    </row>
    <row r="506" ht="14.25" customHeight="1">
      <c r="A506" s="221" t="s">
        <v>5751</v>
      </c>
      <c r="B506" s="163"/>
      <c r="C506" s="147" t="s">
        <v>5759</v>
      </c>
      <c r="D506" s="163"/>
      <c r="E506" s="215" t="s">
        <v>4127</v>
      </c>
      <c r="F506" s="163" t="s">
        <v>5760</v>
      </c>
      <c r="G506" s="163" t="s">
        <v>5761</v>
      </c>
      <c r="H506" s="163" t="s">
        <v>5762</v>
      </c>
      <c r="I506" s="164" t="s">
        <v>36</v>
      </c>
      <c r="J506" s="163"/>
      <c r="K506" s="163"/>
      <c r="L506" s="163"/>
      <c r="M506" s="163"/>
      <c r="N506" s="163"/>
      <c r="O506" s="163"/>
      <c r="P506" s="163"/>
      <c r="Q506" s="163"/>
      <c r="R506" s="163"/>
      <c r="S506" s="163"/>
      <c r="T506" s="163"/>
      <c r="U506" s="163"/>
      <c r="V506" s="163"/>
      <c r="W506" s="163"/>
      <c r="X506" s="163"/>
      <c r="Y506" s="163"/>
      <c r="Z506" s="163"/>
      <c r="AA506" s="163"/>
    </row>
    <row r="507" ht="14.25" customHeight="1">
      <c r="A507" s="221" t="s">
        <v>5751</v>
      </c>
      <c r="B507" s="163"/>
      <c r="C507" s="147" t="s">
        <v>5763</v>
      </c>
      <c r="D507" s="163"/>
      <c r="E507" s="215" t="s">
        <v>4127</v>
      </c>
      <c r="F507" s="163" t="s">
        <v>5764</v>
      </c>
      <c r="G507" s="163" t="s">
        <v>5765</v>
      </c>
      <c r="H507" s="163" t="s">
        <v>5766</v>
      </c>
      <c r="I507" s="164" t="s">
        <v>36</v>
      </c>
      <c r="J507" s="163"/>
      <c r="K507" s="163"/>
      <c r="L507" s="163"/>
      <c r="M507" s="163"/>
      <c r="N507" s="163"/>
      <c r="O507" s="163"/>
      <c r="P507" s="163"/>
      <c r="Q507" s="163"/>
      <c r="R507" s="163"/>
      <c r="S507" s="163"/>
      <c r="T507" s="163"/>
      <c r="U507" s="163"/>
      <c r="V507" s="163"/>
      <c r="W507" s="163"/>
      <c r="X507" s="163"/>
      <c r="Y507" s="163"/>
      <c r="Z507" s="163"/>
      <c r="AA507" s="163"/>
    </row>
    <row r="508" ht="14.25" customHeight="1">
      <c r="A508" s="221" t="s">
        <v>5751</v>
      </c>
      <c r="B508" s="163"/>
      <c r="C508" s="147" t="s">
        <v>5767</v>
      </c>
      <c r="D508" s="163"/>
      <c r="E508" s="215" t="s">
        <v>4127</v>
      </c>
      <c r="F508" s="163" t="s">
        <v>5753</v>
      </c>
      <c r="G508" s="163" t="s">
        <v>5768</v>
      </c>
      <c r="H508" s="163" t="s">
        <v>5769</v>
      </c>
      <c r="I508" s="164" t="s">
        <v>36</v>
      </c>
      <c r="J508" s="163"/>
      <c r="K508" s="163"/>
      <c r="L508" s="163"/>
      <c r="M508" s="163"/>
      <c r="N508" s="163"/>
      <c r="O508" s="163"/>
      <c r="P508" s="163"/>
      <c r="Q508" s="163"/>
      <c r="R508" s="163"/>
      <c r="S508" s="163"/>
      <c r="T508" s="163"/>
      <c r="U508" s="163"/>
      <c r="V508" s="163"/>
      <c r="W508" s="163"/>
      <c r="X508" s="163"/>
      <c r="Y508" s="163"/>
      <c r="Z508" s="163"/>
      <c r="AA508" s="163"/>
    </row>
    <row r="509" ht="14.25" customHeight="1">
      <c r="A509" s="221" t="s">
        <v>5751</v>
      </c>
      <c r="B509" s="163"/>
      <c r="C509" s="147" t="s">
        <v>5770</v>
      </c>
      <c r="D509" s="163"/>
      <c r="E509" s="215" t="s">
        <v>4127</v>
      </c>
      <c r="F509" s="163" t="s">
        <v>5753</v>
      </c>
      <c r="G509" s="163" t="s">
        <v>5771</v>
      </c>
      <c r="H509" s="163" t="s">
        <v>5772</v>
      </c>
      <c r="I509" s="164" t="s">
        <v>36</v>
      </c>
      <c r="J509" s="163"/>
      <c r="K509" s="163"/>
      <c r="L509" s="163"/>
      <c r="M509" s="163"/>
      <c r="N509" s="163"/>
      <c r="O509" s="163"/>
      <c r="P509" s="163"/>
      <c r="Q509" s="163"/>
      <c r="R509" s="163"/>
      <c r="S509" s="163"/>
      <c r="T509" s="163"/>
      <c r="U509" s="163"/>
      <c r="V509" s="163"/>
      <c r="W509" s="163"/>
      <c r="X509" s="163"/>
      <c r="Y509" s="163"/>
      <c r="Z509" s="163"/>
      <c r="AA509" s="163"/>
    </row>
    <row r="510" ht="14.25" customHeight="1">
      <c r="A510" s="221" t="s">
        <v>5751</v>
      </c>
      <c r="B510" s="163"/>
      <c r="C510" s="147" t="s">
        <v>5773</v>
      </c>
      <c r="D510" s="163"/>
      <c r="E510" s="215" t="s">
        <v>4127</v>
      </c>
      <c r="F510" s="163" t="s">
        <v>5753</v>
      </c>
      <c r="G510" s="163" t="s">
        <v>5774</v>
      </c>
      <c r="H510" s="163" t="s">
        <v>5775</v>
      </c>
      <c r="I510" s="164" t="s">
        <v>36</v>
      </c>
      <c r="J510" s="163"/>
      <c r="K510" s="163"/>
      <c r="L510" s="163"/>
      <c r="M510" s="163"/>
      <c r="N510" s="163"/>
      <c r="O510" s="163"/>
      <c r="P510" s="163"/>
      <c r="Q510" s="163"/>
      <c r="R510" s="163"/>
      <c r="S510" s="163"/>
      <c r="T510" s="163"/>
      <c r="U510" s="163"/>
      <c r="V510" s="163"/>
      <c r="W510" s="163"/>
      <c r="X510" s="163"/>
      <c r="Y510" s="163"/>
      <c r="Z510" s="163"/>
      <c r="AA510" s="163"/>
    </row>
    <row r="511" ht="14.25" customHeight="1">
      <c r="A511" s="221" t="s">
        <v>5751</v>
      </c>
      <c r="B511" s="163"/>
      <c r="C511" s="147" t="s">
        <v>5776</v>
      </c>
      <c r="D511" s="163"/>
      <c r="E511" s="215" t="s">
        <v>4127</v>
      </c>
      <c r="F511" s="163" t="s">
        <v>5753</v>
      </c>
      <c r="G511" s="163" t="s">
        <v>5777</v>
      </c>
      <c r="H511" s="163" t="s">
        <v>5778</v>
      </c>
      <c r="I511" s="164" t="s">
        <v>36</v>
      </c>
      <c r="J511" s="163"/>
      <c r="K511" s="163"/>
      <c r="L511" s="163"/>
      <c r="M511" s="163"/>
      <c r="N511" s="163"/>
      <c r="O511" s="163"/>
      <c r="P511" s="163"/>
      <c r="Q511" s="163"/>
      <c r="R511" s="163"/>
      <c r="S511" s="163"/>
      <c r="T511" s="163"/>
      <c r="U511" s="163"/>
      <c r="V511" s="163"/>
      <c r="W511" s="163"/>
      <c r="X511" s="163"/>
      <c r="Y511" s="163"/>
      <c r="Z511" s="163"/>
      <c r="AA511" s="163"/>
    </row>
    <row r="512" ht="14.25" customHeight="1">
      <c r="A512" s="221" t="s">
        <v>5751</v>
      </c>
      <c r="B512" s="163"/>
      <c r="C512" s="147" t="s">
        <v>5779</v>
      </c>
      <c r="D512" s="163"/>
      <c r="E512" s="215" t="s">
        <v>4127</v>
      </c>
      <c r="F512" s="163" t="s">
        <v>5780</v>
      </c>
      <c r="G512" s="163" t="s">
        <v>5781</v>
      </c>
      <c r="H512" s="163" t="s">
        <v>5782</v>
      </c>
      <c r="I512" s="164" t="s">
        <v>36</v>
      </c>
      <c r="J512" s="163"/>
      <c r="K512" s="163"/>
      <c r="L512" s="163"/>
      <c r="M512" s="163"/>
      <c r="N512" s="163"/>
      <c r="O512" s="163"/>
      <c r="P512" s="163"/>
      <c r="Q512" s="163"/>
      <c r="R512" s="163"/>
      <c r="S512" s="163"/>
      <c r="T512" s="163"/>
      <c r="U512" s="163"/>
      <c r="V512" s="163"/>
      <c r="W512" s="163"/>
      <c r="X512" s="163"/>
      <c r="Y512" s="163"/>
      <c r="Z512" s="163"/>
      <c r="AA512" s="163"/>
    </row>
    <row r="513" ht="14.25" customHeight="1">
      <c r="A513" s="221" t="s">
        <v>5751</v>
      </c>
      <c r="B513" s="163"/>
      <c r="C513" s="147" t="s">
        <v>5783</v>
      </c>
      <c r="D513" s="163"/>
      <c r="E513" s="215" t="s">
        <v>4127</v>
      </c>
      <c r="F513" s="163" t="s">
        <v>5784</v>
      </c>
      <c r="G513" s="163" t="s">
        <v>5785</v>
      </c>
      <c r="H513" s="163" t="s">
        <v>5786</v>
      </c>
      <c r="I513" s="164" t="s">
        <v>36</v>
      </c>
      <c r="J513" s="163"/>
      <c r="K513" s="163"/>
      <c r="L513" s="163"/>
      <c r="M513" s="163"/>
      <c r="N513" s="163"/>
      <c r="O513" s="163"/>
      <c r="P513" s="163"/>
      <c r="Q513" s="163"/>
      <c r="R513" s="163"/>
      <c r="S513" s="163"/>
      <c r="T513" s="163"/>
      <c r="U513" s="163"/>
      <c r="V513" s="163"/>
      <c r="W513" s="163"/>
      <c r="X513" s="163"/>
      <c r="Y513" s="163"/>
      <c r="Z513" s="163"/>
      <c r="AA513" s="163"/>
    </row>
    <row r="514" ht="14.25" customHeight="1">
      <c r="A514" s="147" t="s">
        <v>5787</v>
      </c>
      <c r="B514" s="163"/>
      <c r="C514" s="147" t="s">
        <v>5788</v>
      </c>
      <c r="D514" s="163"/>
      <c r="E514" s="215" t="s">
        <v>4128</v>
      </c>
      <c r="F514" s="163" t="s">
        <v>5789</v>
      </c>
      <c r="G514" s="163" t="s">
        <v>5790</v>
      </c>
      <c r="H514" s="163" t="s">
        <v>5791</v>
      </c>
      <c r="I514" s="164" t="s">
        <v>36</v>
      </c>
      <c r="J514" s="163"/>
      <c r="K514" s="164" t="s">
        <v>1784</v>
      </c>
      <c r="L514" s="163"/>
      <c r="M514" s="163"/>
      <c r="N514" s="163"/>
      <c r="O514" s="163"/>
      <c r="P514" s="163"/>
      <c r="Q514" s="163"/>
      <c r="R514" s="163"/>
      <c r="S514" s="163"/>
      <c r="T514" s="163"/>
      <c r="U514" s="163"/>
      <c r="V514" s="163"/>
      <c r="W514" s="163"/>
      <c r="X514" s="163"/>
      <c r="Y514" s="163"/>
      <c r="Z514" s="163"/>
      <c r="AA514" s="163"/>
    </row>
    <row r="515" ht="14.25" customHeight="1">
      <c r="A515" s="147" t="s">
        <v>5787</v>
      </c>
      <c r="B515" s="163"/>
      <c r="C515" s="147" t="s">
        <v>5792</v>
      </c>
      <c r="D515" s="163"/>
      <c r="E515" s="215" t="s">
        <v>4128</v>
      </c>
      <c r="F515" s="163" t="s">
        <v>5390</v>
      </c>
      <c r="G515" s="163" t="s">
        <v>5793</v>
      </c>
      <c r="H515" s="163" t="s">
        <v>5794</v>
      </c>
      <c r="I515" s="164" t="s">
        <v>36</v>
      </c>
      <c r="J515" s="163"/>
      <c r="K515" s="163"/>
      <c r="L515" s="163"/>
      <c r="M515" s="163"/>
      <c r="N515" s="163"/>
      <c r="O515" s="163"/>
      <c r="P515" s="163"/>
      <c r="Q515" s="163"/>
      <c r="R515" s="163"/>
      <c r="S515" s="163"/>
      <c r="T515" s="163"/>
      <c r="U515" s="163"/>
      <c r="V515" s="163"/>
      <c r="W515" s="163"/>
      <c r="X515" s="163"/>
      <c r="Y515" s="163"/>
      <c r="Z515" s="163"/>
      <c r="AA515" s="163"/>
    </row>
    <row r="516" ht="14.25" customHeight="1">
      <c r="A516" s="147" t="s">
        <v>5787</v>
      </c>
      <c r="B516" s="163"/>
      <c r="C516" s="147" t="s">
        <v>5795</v>
      </c>
      <c r="D516" s="163"/>
      <c r="E516" s="215" t="s">
        <v>4128</v>
      </c>
      <c r="F516" s="163" t="s">
        <v>5390</v>
      </c>
      <c r="G516" s="163" t="s">
        <v>5796</v>
      </c>
      <c r="H516" s="163" t="s">
        <v>5797</v>
      </c>
      <c r="I516" s="164" t="s">
        <v>36</v>
      </c>
      <c r="J516" s="163"/>
      <c r="K516" s="163"/>
      <c r="L516" s="163"/>
      <c r="M516" s="163"/>
      <c r="N516" s="163"/>
      <c r="O516" s="163"/>
      <c r="P516" s="163"/>
      <c r="Q516" s="163"/>
      <c r="R516" s="163"/>
      <c r="S516" s="163"/>
      <c r="T516" s="163"/>
      <c r="U516" s="163"/>
      <c r="V516" s="163"/>
      <c r="W516" s="163"/>
      <c r="X516" s="163"/>
      <c r="Y516" s="163"/>
      <c r="Z516" s="163"/>
      <c r="AA516" s="163"/>
    </row>
    <row r="517" ht="14.25" customHeight="1">
      <c r="A517" s="147" t="s">
        <v>5787</v>
      </c>
      <c r="B517" s="163"/>
      <c r="C517" s="147" t="s">
        <v>5798</v>
      </c>
      <c r="D517" s="163"/>
      <c r="E517" s="215" t="s">
        <v>4128</v>
      </c>
      <c r="F517" s="163" t="s">
        <v>5390</v>
      </c>
      <c r="G517" s="163" t="s">
        <v>5799</v>
      </c>
      <c r="H517" s="163" t="s">
        <v>5800</v>
      </c>
      <c r="I517" s="164" t="s">
        <v>36</v>
      </c>
      <c r="J517" s="163"/>
      <c r="K517" s="163"/>
      <c r="L517" s="163"/>
      <c r="M517" s="163"/>
      <c r="N517" s="163"/>
      <c r="O517" s="163"/>
      <c r="P517" s="163"/>
      <c r="Q517" s="163"/>
      <c r="R517" s="163"/>
      <c r="S517" s="163"/>
      <c r="T517" s="163"/>
      <c r="U517" s="163"/>
      <c r="V517" s="163"/>
      <c r="W517" s="163"/>
      <c r="X517" s="163"/>
      <c r="Y517" s="163"/>
      <c r="Z517" s="163"/>
      <c r="AA517" s="163"/>
    </row>
    <row r="518" ht="14.25" customHeight="1">
      <c r="A518" s="147" t="s">
        <v>5787</v>
      </c>
      <c r="B518" s="163"/>
      <c r="C518" s="147" t="s">
        <v>5801</v>
      </c>
      <c r="D518" s="163"/>
      <c r="E518" s="215" t="s">
        <v>4128</v>
      </c>
      <c r="F518" s="163" t="s">
        <v>5390</v>
      </c>
      <c r="G518" s="163" t="s">
        <v>5802</v>
      </c>
      <c r="H518" s="163" t="s">
        <v>5803</v>
      </c>
      <c r="I518" s="164" t="s">
        <v>36</v>
      </c>
      <c r="J518" s="163"/>
      <c r="K518" s="163"/>
      <c r="L518" s="163"/>
      <c r="M518" s="163"/>
      <c r="N518" s="163"/>
      <c r="O518" s="163"/>
      <c r="P518" s="163"/>
      <c r="Q518" s="163"/>
      <c r="R518" s="163"/>
      <c r="S518" s="163"/>
      <c r="T518" s="163"/>
      <c r="U518" s="163"/>
      <c r="V518" s="163"/>
      <c r="W518" s="163"/>
      <c r="X518" s="163"/>
      <c r="Y518" s="163"/>
      <c r="Z518" s="163"/>
      <c r="AA518" s="163"/>
    </row>
    <row r="519" ht="14.25" customHeight="1">
      <c r="A519" s="147" t="s">
        <v>5787</v>
      </c>
      <c r="B519" s="163"/>
      <c r="C519" s="147" t="s">
        <v>5804</v>
      </c>
      <c r="D519" s="163"/>
      <c r="E519" s="215" t="s">
        <v>4128</v>
      </c>
      <c r="F519" s="163" t="s">
        <v>5390</v>
      </c>
      <c r="G519" s="163" t="s">
        <v>5805</v>
      </c>
      <c r="H519" s="163" t="s">
        <v>5806</v>
      </c>
      <c r="I519" s="164" t="s">
        <v>36</v>
      </c>
      <c r="J519" s="163"/>
      <c r="K519" s="163"/>
      <c r="L519" s="163"/>
      <c r="M519" s="163"/>
      <c r="N519" s="163"/>
      <c r="O519" s="163"/>
      <c r="P519" s="163"/>
      <c r="Q519" s="163"/>
      <c r="R519" s="163"/>
      <c r="S519" s="163"/>
      <c r="T519" s="163"/>
      <c r="U519" s="163"/>
      <c r="V519" s="163"/>
      <c r="W519" s="163"/>
      <c r="X519" s="163"/>
      <c r="Y519" s="163"/>
      <c r="Z519" s="163"/>
      <c r="AA519" s="163"/>
    </row>
    <row r="520" ht="14.25" customHeight="1">
      <c r="A520" s="147" t="s">
        <v>5787</v>
      </c>
      <c r="B520" s="163"/>
      <c r="C520" s="147" t="s">
        <v>5807</v>
      </c>
      <c r="D520" s="163"/>
      <c r="E520" s="215" t="s">
        <v>4128</v>
      </c>
      <c r="F520" s="163" t="s">
        <v>5390</v>
      </c>
      <c r="G520" s="163" t="s">
        <v>5808</v>
      </c>
      <c r="H520" s="163" t="s">
        <v>5809</v>
      </c>
      <c r="I520" s="164" t="s">
        <v>36</v>
      </c>
      <c r="J520" s="163"/>
      <c r="K520" s="163"/>
      <c r="L520" s="163"/>
      <c r="M520" s="163"/>
      <c r="N520" s="163"/>
      <c r="O520" s="163"/>
      <c r="P520" s="163"/>
      <c r="Q520" s="163"/>
      <c r="R520" s="163"/>
      <c r="S520" s="163"/>
      <c r="T520" s="163"/>
      <c r="U520" s="163"/>
      <c r="V520" s="163"/>
      <c r="W520" s="163"/>
      <c r="X520" s="163"/>
      <c r="Y520" s="163"/>
      <c r="Z520" s="163"/>
      <c r="AA520" s="163"/>
    </row>
    <row r="521" ht="14.25" customHeight="1">
      <c r="A521" s="147" t="s">
        <v>5787</v>
      </c>
      <c r="B521" s="163"/>
      <c r="C521" s="147" t="s">
        <v>5810</v>
      </c>
      <c r="D521" s="163"/>
      <c r="E521" s="215" t="s">
        <v>4128</v>
      </c>
      <c r="F521" s="163" t="s">
        <v>5390</v>
      </c>
      <c r="G521" s="163" t="s">
        <v>5811</v>
      </c>
      <c r="H521" s="163" t="s">
        <v>5812</v>
      </c>
      <c r="I521" s="164" t="s">
        <v>36</v>
      </c>
      <c r="J521" s="163"/>
      <c r="K521" s="163"/>
      <c r="L521" s="163"/>
      <c r="M521" s="163"/>
      <c r="N521" s="163"/>
      <c r="O521" s="163"/>
      <c r="P521" s="163"/>
      <c r="Q521" s="163"/>
      <c r="R521" s="163"/>
      <c r="S521" s="163"/>
      <c r="T521" s="163"/>
      <c r="U521" s="163"/>
      <c r="V521" s="163"/>
      <c r="W521" s="163"/>
      <c r="X521" s="163"/>
      <c r="Y521" s="163"/>
      <c r="Z521" s="163"/>
      <c r="AA521" s="163"/>
    </row>
    <row r="522" ht="14.25" customHeight="1">
      <c r="A522" s="147" t="s">
        <v>5787</v>
      </c>
      <c r="B522" s="163"/>
      <c r="C522" s="147" t="s">
        <v>5813</v>
      </c>
      <c r="D522" s="163"/>
      <c r="E522" s="215" t="s">
        <v>4128</v>
      </c>
      <c r="F522" s="163" t="s">
        <v>5390</v>
      </c>
      <c r="G522" s="163" t="s">
        <v>5814</v>
      </c>
      <c r="H522" s="163" t="s">
        <v>5812</v>
      </c>
      <c r="I522" s="164" t="s">
        <v>36</v>
      </c>
      <c r="J522" s="163"/>
      <c r="K522" s="163"/>
      <c r="L522" s="163"/>
      <c r="M522" s="163"/>
      <c r="N522" s="163"/>
      <c r="O522" s="163"/>
      <c r="P522" s="163"/>
      <c r="Q522" s="163"/>
      <c r="R522" s="163"/>
      <c r="S522" s="163"/>
      <c r="T522" s="163"/>
      <c r="U522" s="163"/>
      <c r="V522" s="163"/>
      <c r="W522" s="163"/>
      <c r="X522" s="163"/>
      <c r="Y522" s="163"/>
      <c r="Z522" s="163"/>
      <c r="AA522" s="163"/>
    </row>
    <row r="523" ht="14.25" customHeight="1">
      <c r="A523" s="147" t="s">
        <v>5787</v>
      </c>
      <c r="B523" s="163"/>
      <c r="C523" s="147" t="s">
        <v>5815</v>
      </c>
      <c r="D523" s="163"/>
      <c r="E523" s="215" t="s">
        <v>4128</v>
      </c>
      <c r="F523" s="163" t="s">
        <v>5816</v>
      </c>
      <c r="G523" s="163" t="s">
        <v>5817</v>
      </c>
      <c r="H523" s="163" t="s">
        <v>5818</v>
      </c>
      <c r="I523" s="164" t="s">
        <v>36</v>
      </c>
      <c r="J523" s="163"/>
      <c r="K523" s="163"/>
      <c r="L523" s="163"/>
      <c r="M523" s="163"/>
      <c r="N523" s="163"/>
      <c r="O523" s="163"/>
      <c r="P523" s="163"/>
      <c r="Q523" s="163"/>
      <c r="R523" s="163"/>
      <c r="S523" s="163"/>
      <c r="T523" s="163"/>
      <c r="U523" s="163"/>
      <c r="V523" s="163"/>
      <c r="W523" s="163"/>
      <c r="X523" s="163"/>
      <c r="Y523" s="163"/>
      <c r="Z523" s="163"/>
      <c r="AA523" s="163"/>
    </row>
    <row r="524" ht="14.25" customHeight="1">
      <c r="A524" s="147" t="s">
        <v>5787</v>
      </c>
      <c r="B524" s="163"/>
      <c r="C524" s="147" t="s">
        <v>5819</v>
      </c>
      <c r="D524" s="163"/>
      <c r="E524" s="215" t="s">
        <v>4128</v>
      </c>
      <c r="F524" s="163" t="s">
        <v>5390</v>
      </c>
      <c r="G524" s="163" t="s">
        <v>5820</v>
      </c>
      <c r="H524" s="163" t="s">
        <v>5821</v>
      </c>
      <c r="I524" s="164" t="s">
        <v>36</v>
      </c>
      <c r="J524" s="163"/>
      <c r="K524" s="163"/>
      <c r="L524" s="163"/>
      <c r="M524" s="163"/>
      <c r="N524" s="163"/>
      <c r="O524" s="163"/>
      <c r="P524" s="163"/>
      <c r="Q524" s="163"/>
      <c r="R524" s="163"/>
      <c r="S524" s="163"/>
      <c r="T524" s="163"/>
      <c r="U524" s="163"/>
      <c r="V524" s="163"/>
      <c r="W524" s="163"/>
      <c r="X524" s="163"/>
      <c r="Y524" s="163"/>
      <c r="Z524" s="163"/>
      <c r="AA524" s="163"/>
    </row>
    <row r="525" ht="14.25" customHeight="1">
      <c r="A525" s="147" t="s">
        <v>5787</v>
      </c>
      <c r="B525" s="163"/>
      <c r="C525" s="147" t="s">
        <v>5822</v>
      </c>
      <c r="D525" s="163"/>
      <c r="E525" s="215" t="s">
        <v>4128</v>
      </c>
      <c r="F525" s="163" t="s">
        <v>5390</v>
      </c>
      <c r="G525" s="163" t="s">
        <v>5823</v>
      </c>
      <c r="H525" s="163" t="s">
        <v>5824</v>
      </c>
      <c r="I525" s="164" t="s">
        <v>36</v>
      </c>
      <c r="J525" s="163"/>
      <c r="K525" s="163"/>
      <c r="L525" s="163"/>
      <c r="M525" s="163"/>
      <c r="N525" s="163"/>
      <c r="O525" s="163"/>
      <c r="P525" s="163"/>
      <c r="Q525" s="163"/>
      <c r="R525" s="163"/>
      <c r="S525" s="163"/>
      <c r="T525" s="163"/>
      <c r="U525" s="163"/>
      <c r="V525" s="163"/>
      <c r="W525" s="163"/>
      <c r="X525" s="163"/>
      <c r="Y525" s="163"/>
      <c r="Z525" s="163"/>
      <c r="AA525" s="163"/>
    </row>
    <row r="526" ht="14.25" customHeight="1">
      <c r="A526" s="147" t="s">
        <v>5787</v>
      </c>
      <c r="B526" s="163"/>
      <c r="C526" s="147" t="s">
        <v>5825</v>
      </c>
      <c r="D526" s="163"/>
      <c r="E526" s="215" t="s">
        <v>4128</v>
      </c>
      <c r="F526" s="163" t="s">
        <v>5390</v>
      </c>
      <c r="G526" s="163" t="s">
        <v>5826</v>
      </c>
      <c r="H526" s="163" t="s">
        <v>5827</v>
      </c>
      <c r="I526" s="164" t="s">
        <v>36</v>
      </c>
      <c r="J526" s="163"/>
      <c r="K526" s="163"/>
      <c r="L526" s="163"/>
      <c r="M526" s="163"/>
      <c r="N526" s="163"/>
      <c r="O526" s="163"/>
      <c r="P526" s="163"/>
      <c r="Q526" s="163"/>
      <c r="R526" s="163"/>
      <c r="S526" s="163"/>
      <c r="T526" s="163"/>
      <c r="U526" s="163"/>
      <c r="V526" s="163"/>
      <c r="W526" s="163"/>
      <c r="X526" s="163"/>
      <c r="Y526" s="163"/>
      <c r="Z526" s="163"/>
      <c r="AA526" s="163"/>
    </row>
    <row r="527" ht="14.25" customHeight="1">
      <c r="A527" s="147" t="s">
        <v>5787</v>
      </c>
      <c r="B527" s="163"/>
      <c r="C527" s="147" t="s">
        <v>5828</v>
      </c>
      <c r="D527" s="163"/>
      <c r="E527" s="215" t="s">
        <v>4128</v>
      </c>
      <c r="F527" s="163" t="s">
        <v>5390</v>
      </c>
      <c r="G527" s="163" t="s">
        <v>5793</v>
      </c>
      <c r="H527" s="163" t="s">
        <v>5794</v>
      </c>
      <c r="I527" s="164" t="s">
        <v>36</v>
      </c>
      <c r="J527" s="163"/>
      <c r="K527" s="163"/>
      <c r="L527" s="163"/>
      <c r="M527" s="163"/>
      <c r="N527" s="163"/>
      <c r="O527" s="163"/>
      <c r="P527" s="163"/>
      <c r="Q527" s="163"/>
      <c r="R527" s="163"/>
      <c r="S527" s="163"/>
      <c r="T527" s="163"/>
      <c r="U527" s="163"/>
      <c r="V527" s="163"/>
      <c r="W527" s="163"/>
      <c r="X527" s="163"/>
      <c r="Y527" s="163"/>
      <c r="Z527" s="163"/>
      <c r="AA527" s="163"/>
    </row>
    <row r="528" ht="14.25" customHeight="1">
      <c r="A528" s="147" t="s">
        <v>5787</v>
      </c>
      <c r="B528" s="163"/>
      <c r="C528" s="147" t="s">
        <v>5829</v>
      </c>
      <c r="D528" s="163"/>
      <c r="E528" s="215" t="s">
        <v>4128</v>
      </c>
      <c r="F528" s="163" t="s">
        <v>5390</v>
      </c>
      <c r="G528" s="163" t="s">
        <v>5796</v>
      </c>
      <c r="H528" s="163" t="s">
        <v>5794</v>
      </c>
      <c r="I528" s="164" t="s">
        <v>36</v>
      </c>
      <c r="J528" s="163"/>
      <c r="K528" s="163"/>
      <c r="L528" s="163"/>
      <c r="M528" s="163"/>
      <c r="N528" s="163"/>
      <c r="O528" s="163"/>
      <c r="P528" s="163"/>
      <c r="Q528" s="163"/>
      <c r="R528" s="163"/>
      <c r="S528" s="163"/>
      <c r="T528" s="163"/>
      <c r="U528" s="163"/>
      <c r="V528" s="163"/>
      <c r="W528" s="163"/>
      <c r="X528" s="163"/>
      <c r="Y528" s="163"/>
      <c r="Z528" s="163"/>
      <c r="AA528" s="163"/>
    </row>
    <row r="529" ht="14.25" customHeight="1">
      <c r="A529" s="147" t="s">
        <v>5787</v>
      </c>
      <c r="B529" s="163"/>
      <c r="C529" s="147" t="s">
        <v>5830</v>
      </c>
      <c r="D529" s="163"/>
      <c r="E529" s="215" t="s">
        <v>4128</v>
      </c>
      <c r="F529" s="163" t="s">
        <v>5390</v>
      </c>
      <c r="G529" s="163" t="s">
        <v>5831</v>
      </c>
      <c r="H529" s="163" t="s">
        <v>5832</v>
      </c>
      <c r="I529" s="164" t="s">
        <v>36</v>
      </c>
      <c r="J529" s="163"/>
      <c r="K529" s="163"/>
      <c r="L529" s="163"/>
      <c r="M529" s="163"/>
      <c r="N529" s="163"/>
      <c r="O529" s="163"/>
      <c r="P529" s="163"/>
      <c r="Q529" s="163"/>
      <c r="R529" s="163"/>
      <c r="S529" s="163"/>
      <c r="T529" s="163"/>
      <c r="U529" s="163"/>
      <c r="V529" s="163"/>
      <c r="W529" s="163"/>
      <c r="X529" s="163"/>
      <c r="Y529" s="163"/>
      <c r="Z529" s="163"/>
      <c r="AA529" s="163"/>
    </row>
    <row r="530" ht="14.25" customHeight="1">
      <c r="A530" s="147" t="s">
        <v>5787</v>
      </c>
      <c r="B530" s="163"/>
      <c r="C530" s="147" t="s">
        <v>5833</v>
      </c>
      <c r="D530" s="163"/>
      <c r="E530" s="215" t="s">
        <v>4128</v>
      </c>
      <c r="F530" s="163" t="s">
        <v>5390</v>
      </c>
      <c r="G530" s="163" t="s">
        <v>5790</v>
      </c>
      <c r="H530" s="163" t="s">
        <v>5791</v>
      </c>
      <c r="I530" s="164" t="s">
        <v>36</v>
      </c>
      <c r="J530" s="163"/>
      <c r="K530" s="163"/>
      <c r="L530" s="163"/>
      <c r="M530" s="163"/>
      <c r="N530" s="163"/>
      <c r="O530" s="163"/>
      <c r="P530" s="163"/>
      <c r="Q530" s="163"/>
      <c r="R530" s="163"/>
      <c r="S530" s="163"/>
      <c r="T530" s="163"/>
      <c r="U530" s="163"/>
      <c r="V530" s="163"/>
      <c r="W530" s="163"/>
      <c r="X530" s="163"/>
      <c r="Y530" s="163"/>
      <c r="Z530" s="163"/>
      <c r="AA530" s="163"/>
    </row>
    <row r="531" ht="14.25" customHeight="1">
      <c r="A531" s="147" t="s">
        <v>5787</v>
      </c>
      <c r="B531" s="163"/>
      <c r="C531" s="147" t="s">
        <v>5834</v>
      </c>
      <c r="D531" s="163"/>
      <c r="E531" s="215" t="s">
        <v>4128</v>
      </c>
      <c r="F531" s="163" t="s">
        <v>5390</v>
      </c>
      <c r="G531" s="163" t="s">
        <v>5808</v>
      </c>
      <c r="H531" s="163" t="s">
        <v>5835</v>
      </c>
      <c r="I531" s="164" t="s">
        <v>36</v>
      </c>
      <c r="J531" s="163"/>
      <c r="K531" s="163"/>
      <c r="L531" s="163"/>
      <c r="M531" s="163"/>
      <c r="N531" s="163"/>
      <c r="O531" s="163"/>
      <c r="P531" s="163"/>
      <c r="Q531" s="163"/>
      <c r="R531" s="163"/>
      <c r="S531" s="163"/>
      <c r="T531" s="163"/>
      <c r="U531" s="163"/>
      <c r="V531" s="163"/>
      <c r="W531" s="163"/>
      <c r="X531" s="163"/>
      <c r="Y531" s="163"/>
      <c r="Z531" s="163"/>
      <c r="AA531" s="163"/>
    </row>
    <row r="532" ht="14.25" customHeight="1">
      <c r="A532" s="147" t="s">
        <v>5787</v>
      </c>
      <c r="B532" s="163"/>
      <c r="C532" s="147" t="s">
        <v>5836</v>
      </c>
      <c r="D532" s="163"/>
      <c r="E532" s="215" t="s">
        <v>4128</v>
      </c>
      <c r="F532" s="163" t="s">
        <v>5837</v>
      </c>
      <c r="G532" s="163" t="s">
        <v>5811</v>
      </c>
      <c r="H532" s="163" t="s">
        <v>5838</v>
      </c>
      <c r="I532" s="164" t="s">
        <v>36</v>
      </c>
      <c r="J532" s="163"/>
      <c r="K532" s="163"/>
      <c r="L532" s="163"/>
      <c r="M532" s="163"/>
      <c r="N532" s="163"/>
      <c r="O532" s="163"/>
      <c r="P532" s="163"/>
      <c r="Q532" s="163"/>
      <c r="R532" s="163"/>
      <c r="S532" s="163"/>
      <c r="T532" s="163"/>
      <c r="U532" s="163"/>
      <c r="V532" s="163"/>
      <c r="W532" s="163"/>
      <c r="X532" s="163"/>
      <c r="Y532" s="163"/>
      <c r="Z532" s="163"/>
      <c r="AA532" s="163"/>
    </row>
    <row r="533" ht="14.25" customHeight="1">
      <c r="A533" s="147" t="s">
        <v>5787</v>
      </c>
      <c r="B533" s="163"/>
      <c r="C533" s="147" t="s">
        <v>5839</v>
      </c>
      <c r="D533" s="163"/>
      <c r="E533" s="215" t="s">
        <v>4128</v>
      </c>
      <c r="F533" s="163" t="s">
        <v>5390</v>
      </c>
      <c r="G533" s="163" t="s">
        <v>5814</v>
      </c>
      <c r="H533" s="163" t="s">
        <v>5838</v>
      </c>
      <c r="I533" s="164" t="s">
        <v>36</v>
      </c>
      <c r="J533" s="163"/>
      <c r="K533" s="163"/>
      <c r="L533" s="163"/>
      <c r="M533" s="163"/>
      <c r="N533" s="163"/>
      <c r="O533" s="163"/>
      <c r="P533" s="163"/>
      <c r="Q533" s="163"/>
      <c r="R533" s="163"/>
      <c r="S533" s="163"/>
      <c r="T533" s="163"/>
      <c r="U533" s="163"/>
      <c r="V533" s="163"/>
      <c r="W533" s="163"/>
      <c r="X533" s="163"/>
      <c r="Y533" s="163"/>
      <c r="Z533" s="163"/>
      <c r="AA533" s="163"/>
    </row>
    <row r="534" ht="14.25" customHeight="1">
      <c r="A534" s="147" t="s">
        <v>5787</v>
      </c>
      <c r="B534" s="163"/>
      <c r="C534" s="147" t="s">
        <v>5840</v>
      </c>
      <c r="D534" s="163"/>
      <c r="E534" s="215" t="s">
        <v>4128</v>
      </c>
      <c r="F534" s="163" t="s">
        <v>5390</v>
      </c>
      <c r="G534" s="163" t="s">
        <v>5817</v>
      </c>
      <c r="H534" s="163" t="s">
        <v>5841</v>
      </c>
      <c r="I534" s="164" t="s">
        <v>36</v>
      </c>
      <c r="J534" s="163"/>
      <c r="K534" s="163"/>
      <c r="L534" s="163"/>
      <c r="M534" s="163"/>
      <c r="N534" s="163"/>
      <c r="O534" s="163"/>
      <c r="P534" s="163"/>
      <c r="Q534" s="163"/>
      <c r="R534" s="163"/>
      <c r="S534" s="163"/>
      <c r="T534" s="163"/>
      <c r="U534" s="163"/>
      <c r="V534" s="163"/>
      <c r="W534" s="163"/>
      <c r="X534" s="163"/>
      <c r="Y534" s="163"/>
      <c r="Z534" s="163"/>
      <c r="AA534" s="163"/>
    </row>
    <row r="535" ht="14.25" customHeight="1">
      <c r="A535" s="147" t="s">
        <v>5787</v>
      </c>
      <c r="B535" s="163"/>
      <c r="C535" s="147" t="s">
        <v>5842</v>
      </c>
      <c r="D535" s="163"/>
      <c r="E535" s="215" t="s">
        <v>4128</v>
      </c>
      <c r="F535" s="163" t="s">
        <v>5390</v>
      </c>
      <c r="G535" s="163" t="s">
        <v>5843</v>
      </c>
      <c r="H535" s="163" t="s">
        <v>5821</v>
      </c>
      <c r="I535" s="164" t="s">
        <v>36</v>
      </c>
      <c r="J535" s="163"/>
      <c r="K535" s="163"/>
      <c r="L535" s="163"/>
      <c r="M535" s="163"/>
      <c r="N535" s="163"/>
      <c r="O535" s="163"/>
      <c r="P535" s="163"/>
      <c r="Q535" s="163"/>
      <c r="R535" s="163"/>
      <c r="S535" s="163"/>
      <c r="T535" s="163"/>
      <c r="U535" s="163"/>
      <c r="V535" s="163"/>
      <c r="W535" s="163"/>
      <c r="X535" s="163"/>
      <c r="Y535" s="163"/>
      <c r="Z535" s="163"/>
      <c r="AA535" s="163"/>
    </row>
    <row r="536" ht="14.25" customHeight="1">
      <c r="A536" s="147" t="s">
        <v>5787</v>
      </c>
      <c r="B536" s="163"/>
      <c r="C536" s="147" t="s">
        <v>5844</v>
      </c>
      <c r="D536" s="163"/>
      <c r="E536" s="215" t="s">
        <v>4128</v>
      </c>
      <c r="F536" s="163" t="s">
        <v>5390</v>
      </c>
      <c r="G536" s="163" t="s">
        <v>5823</v>
      </c>
      <c r="H536" s="163" t="s">
        <v>5845</v>
      </c>
      <c r="I536" s="164" t="s">
        <v>36</v>
      </c>
      <c r="J536" s="163"/>
      <c r="K536" s="163"/>
      <c r="L536" s="163"/>
      <c r="M536" s="163"/>
      <c r="N536" s="163"/>
      <c r="O536" s="163"/>
      <c r="P536" s="163"/>
      <c r="Q536" s="163"/>
      <c r="R536" s="163"/>
      <c r="S536" s="163"/>
      <c r="T536" s="163"/>
      <c r="U536" s="163"/>
      <c r="V536" s="163"/>
      <c r="W536" s="163"/>
      <c r="X536" s="163"/>
      <c r="Y536" s="163"/>
      <c r="Z536" s="163"/>
      <c r="AA536" s="163"/>
    </row>
    <row r="537" ht="14.25" customHeight="1">
      <c r="A537" s="147" t="s">
        <v>5787</v>
      </c>
      <c r="B537" s="163"/>
      <c r="C537" s="147" t="s">
        <v>5846</v>
      </c>
      <c r="D537" s="163"/>
      <c r="E537" s="215" t="s">
        <v>4128</v>
      </c>
      <c r="F537" s="163" t="s">
        <v>5390</v>
      </c>
      <c r="G537" s="163" t="s">
        <v>5826</v>
      </c>
      <c r="H537" s="163" t="s">
        <v>5847</v>
      </c>
      <c r="I537" s="164" t="s">
        <v>36</v>
      </c>
      <c r="J537" s="163"/>
      <c r="K537" s="163"/>
      <c r="L537" s="163"/>
      <c r="M537" s="163"/>
      <c r="N537" s="163"/>
      <c r="O537" s="163"/>
      <c r="P537" s="163"/>
      <c r="Q537" s="163"/>
      <c r="R537" s="163"/>
      <c r="S537" s="163"/>
      <c r="T537" s="163"/>
      <c r="U537" s="163"/>
      <c r="V537" s="163"/>
      <c r="W537" s="163"/>
      <c r="X537" s="163"/>
      <c r="Y537" s="163"/>
      <c r="Z537" s="163"/>
      <c r="AA537" s="163"/>
    </row>
    <row r="538" ht="14.25" customHeight="1">
      <c r="A538" s="147" t="s">
        <v>5787</v>
      </c>
      <c r="B538" s="163"/>
      <c r="C538" s="147" t="s">
        <v>5848</v>
      </c>
      <c r="D538" s="163"/>
      <c r="E538" s="215" t="s">
        <v>4128</v>
      </c>
      <c r="F538" s="163" t="s">
        <v>5390</v>
      </c>
      <c r="G538" s="163" t="s">
        <v>5831</v>
      </c>
      <c r="H538" s="163" t="s">
        <v>5849</v>
      </c>
      <c r="I538" s="164" t="s">
        <v>36</v>
      </c>
      <c r="J538" s="163"/>
      <c r="K538" s="163"/>
      <c r="L538" s="163"/>
      <c r="M538" s="163"/>
      <c r="N538" s="163"/>
      <c r="O538" s="163"/>
      <c r="P538" s="163"/>
      <c r="Q538" s="163"/>
      <c r="R538" s="163"/>
      <c r="S538" s="163"/>
      <c r="T538" s="163"/>
      <c r="U538" s="163"/>
      <c r="V538" s="163"/>
      <c r="W538" s="163"/>
      <c r="X538" s="163"/>
      <c r="Y538" s="163"/>
      <c r="Z538" s="163"/>
      <c r="AA538" s="163"/>
    </row>
    <row r="539" ht="14.25" customHeight="1">
      <c r="A539" s="147" t="s">
        <v>5787</v>
      </c>
      <c r="B539" s="163"/>
      <c r="C539" s="147" t="s">
        <v>5850</v>
      </c>
      <c r="D539" s="163"/>
      <c r="E539" s="215" t="s">
        <v>4128</v>
      </c>
      <c r="F539" s="163" t="s">
        <v>5390</v>
      </c>
      <c r="G539" s="163" t="s">
        <v>5851</v>
      </c>
      <c r="H539" s="163" t="s">
        <v>5852</v>
      </c>
      <c r="I539" s="164" t="s">
        <v>36</v>
      </c>
      <c r="J539" s="163"/>
      <c r="K539" s="163"/>
      <c r="L539" s="163"/>
      <c r="M539" s="163"/>
      <c r="N539" s="163"/>
      <c r="O539" s="163"/>
      <c r="P539" s="163"/>
      <c r="Q539" s="163"/>
      <c r="R539" s="163"/>
      <c r="S539" s="163"/>
      <c r="T539" s="163"/>
      <c r="U539" s="163"/>
      <c r="V539" s="163"/>
      <c r="W539" s="163"/>
      <c r="X539" s="163"/>
      <c r="Y539" s="163"/>
      <c r="Z539" s="163"/>
      <c r="AA539" s="163"/>
    </row>
    <row r="540" ht="14.25" customHeight="1">
      <c r="A540" s="147" t="s">
        <v>5787</v>
      </c>
      <c r="B540" s="163"/>
      <c r="C540" s="147" t="s">
        <v>5853</v>
      </c>
      <c r="D540" s="163"/>
      <c r="E540" s="215" t="s">
        <v>4128</v>
      </c>
      <c r="F540" s="163" t="s">
        <v>5390</v>
      </c>
      <c r="G540" s="163" t="s">
        <v>5854</v>
      </c>
      <c r="H540" s="163" t="s">
        <v>5855</v>
      </c>
      <c r="I540" s="164" t="s">
        <v>36</v>
      </c>
      <c r="J540" s="163"/>
      <c r="K540" s="163"/>
      <c r="L540" s="163"/>
      <c r="M540" s="163"/>
      <c r="N540" s="163"/>
      <c r="O540" s="163"/>
      <c r="P540" s="163"/>
      <c r="Q540" s="163"/>
      <c r="R540" s="163"/>
      <c r="S540" s="163"/>
      <c r="T540" s="163"/>
      <c r="U540" s="163"/>
      <c r="V540" s="163"/>
      <c r="W540" s="163"/>
      <c r="X540" s="163"/>
      <c r="Y540" s="163"/>
      <c r="Z540" s="163"/>
      <c r="AA540" s="163"/>
    </row>
    <row r="541" ht="14.25" customHeight="1">
      <c r="A541" s="147" t="s">
        <v>5787</v>
      </c>
      <c r="B541" s="163"/>
      <c r="C541" s="147" t="s">
        <v>5856</v>
      </c>
      <c r="D541" s="163"/>
      <c r="E541" s="215" t="s">
        <v>4128</v>
      </c>
      <c r="F541" s="163" t="s">
        <v>5857</v>
      </c>
      <c r="G541" s="163" t="s">
        <v>5858</v>
      </c>
      <c r="H541" s="163" t="s">
        <v>5859</v>
      </c>
      <c r="I541" s="164" t="s">
        <v>36</v>
      </c>
      <c r="J541" s="163"/>
      <c r="K541" s="163"/>
      <c r="L541" s="163"/>
      <c r="M541" s="163"/>
      <c r="N541" s="163"/>
      <c r="O541" s="163"/>
      <c r="P541" s="163"/>
      <c r="Q541" s="163"/>
      <c r="R541" s="163"/>
      <c r="S541" s="163"/>
      <c r="T541" s="163"/>
      <c r="U541" s="163"/>
      <c r="V541" s="163"/>
      <c r="W541" s="163"/>
      <c r="X541" s="163"/>
      <c r="Y541" s="163"/>
      <c r="Z541" s="163"/>
      <c r="AA541" s="163"/>
    </row>
    <row r="542" ht="14.25" customHeight="1">
      <c r="A542" s="147" t="s">
        <v>5787</v>
      </c>
      <c r="B542" s="163"/>
      <c r="C542" s="147" t="s">
        <v>5860</v>
      </c>
      <c r="D542" s="163"/>
      <c r="E542" s="215" t="s">
        <v>4128</v>
      </c>
      <c r="F542" s="163" t="s">
        <v>5390</v>
      </c>
      <c r="G542" s="163" t="s">
        <v>5861</v>
      </c>
      <c r="H542" s="163" t="s">
        <v>5862</v>
      </c>
      <c r="I542" s="164" t="s">
        <v>36</v>
      </c>
      <c r="J542" s="163"/>
      <c r="K542" s="163"/>
      <c r="L542" s="163"/>
      <c r="M542" s="163"/>
      <c r="N542" s="163"/>
      <c r="O542" s="163"/>
      <c r="P542" s="163"/>
      <c r="Q542" s="163"/>
      <c r="R542" s="163"/>
      <c r="S542" s="163"/>
      <c r="T542" s="163"/>
      <c r="U542" s="163"/>
      <c r="V542" s="163"/>
      <c r="W542" s="163"/>
      <c r="X542" s="163"/>
      <c r="Y542" s="163"/>
      <c r="Z542" s="163"/>
      <c r="AA542" s="163"/>
    </row>
    <row r="543" ht="14.25" customHeight="1">
      <c r="A543" s="147" t="s">
        <v>5787</v>
      </c>
      <c r="B543" s="163"/>
      <c r="C543" s="147" t="s">
        <v>5863</v>
      </c>
      <c r="D543" s="163"/>
      <c r="E543" s="215" t="s">
        <v>4128</v>
      </c>
      <c r="F543" s="163" t="s">
        <v>5390</v>
      </c>
      <c r="G543" s="163" t="s">
        <v>5864</v>
      </c>
      <c r="H543" s="163" t="s">
        <v>5865</v>
      </c>
      <c r="I543" s="164" t="s">
        <v>36</v>
      </c>
      <c r="J543" s="163"/>
      <c r="K543" s="163"/>
      <c r="L543" s="163"/>
      <c r="M543" s="163"/>
      <c r="N543" s="163"/>
      <c r="O543" s="163"/>
      <c r="P543" s="163"/>
      <c r="Q543" s="163"/>
      <c r="R543" s="163"/>
      <c r="S543" s="163"/>
      <c r="T543" s="163"/>
      <c r="U543" s="163"/>
      <c r="V543" s="163"/>
      <c r="W543" s="163"/>
      <c r="X543" s="163"/>
      <c r="Y543" s="163"/>
      <c r="Z543" s="163"/>
      <c r="AA543" s="163"/>
    </row>
    <row r="544" ht="14.25" customHeight="1">
      <c r="A544" s="147" t="s">
        <v>5787</v>
      </c>
      <c r="B544" s="163"/>
      <c r="C544" s="147" t="s">
        <v>5866</v>
      </c>
      <c r="D544" s="163"/>
      <c r="E544" s="215" t="s">
        <v>4128</v>
      </c>
      <c r="F544" s="163" t="s">
        <v>5390</v>
      </c>
      <c r="G544" s="163" t="s">
        <v>5867</v>
      </c>
      <c r="H544" s="163" t="s">
        <v>5868</v>
      </c>
      <c r="I544" s="164" t="s">
        <v>36</v>
      </c>
      <c r="J544" s="163"/>
      <c r="K544" s="163"/>
      <c r="L544" s="163"/>
      <c r="M544" s="163"/>
      <c r="N544" s="163"/>
      <c r="O544" s="163"/>
      <c r="P544" s="163"/>
      <c r="Q544" s="163"/>
      <c r="R544" s="163"/>
      <c r="S544" s="163"/>
      <c r="T544" s="163"/>
      <c r="U544" s="163"/>
      <c r="V544" s="163"/>
      <c r="W544" s="163"/>
      <c r="X544" s="163"/>
      <c r="Y544" s="163"/>
      <c r="Z544" s="163"/>
      <c r="AA544" s="163"/>
    </row>
    <row r="545" ht="14.25" customHeight="1">
      <c r="A545" s="147" t="s">
        <v>5787</v>
      </c>
      <c r="B545" s="163"/>
      <c r="C545" s="147" t="s">
        <v>5869</v>
      </c>
      <c r="D545" s="163"/>
      <c r="E545" s="215" t="s">
        <v>4128</v>
      </c>
      <c r="F545" s="163" t="s">
        <v>5390</v>
      </c>
      <c r="G545" s="163" t="s">
        <v>5870</v>
      </c>
      <c r="H545" s="163" t="s">
        <v>5871</v>
      </c>
      <c r="I545" s="164" t="s">
        <v>36</v>
      </c>
      <c r="J545" s="163"/>
      <c r="K545" s="163"/>
      <c r="L545" s="163"/>
      <c r="M545" s="163"/>
      <c r="N545" s="163"/>
      <c r="O545" s="163"/>
      <c r="P545" s="163"/>
      <c r="Q545" s="163"/>
      <c r="R545" s="163"/>
      <c r="S545" s="163"/>
      <c r="T545" s="163"/>
      <c r="U545" s="163"/>
      <c r="V545" s="163"/>
      <c r="W545" s="163"/>
      <c r="X545" s="163"/>
      <c r="Y545" s="163"/>
      <c r="Z545" s="163"/>
      <c r="AA545" s="163"/>
    </row>
    <row r="546" ht="14.25" customHeight="1">
      <c r="A546" s="147" t="s">
        <v>5787</v>
      </c>
      <c r="B546" s="163"/>
      <c r="C546" s="147" t="s">
        <v>5872</v>
      </c>
      <c r="D546" s="163"/>
      <c r="E546" s="215" t="s">
        <v>4128</v>
      </c>
      <c r="F546" s="163" t="s">
        <v>5390</v>
      </c>
      <c r="G546" s="163" t="s">
        <v>5873</v>
      </c>
      <c r="H546" s="163" t="s">
        <v>5874</v>
      </c>
      <c r="I546" s="164" t="s">
        <v>36</v>
      </c>
      <c r="J546" s="163"/>
      <c r="K546" s="163"/>
      <c r="L546" s="163"/>
      <c r="M546" s="163"/>
      <c r="N546" s="163"/>
      <c r="O546" s="163"/>
      <c r="P546" s="163"/>
      <c r="Q546" s="163"/>
      <c r="R546" s="163"/>
      <c r="S546" s="163"/>
      <c r="T546" s="163"/>
      <c r="U546" s="163"/>
      <c r="V546" s="163"/>
      <c r="W546" s="163"/>
      <c r="X546" s="163"/>
      <c r="Y546" s="163"/>
      <c r="Z546" s="163"/>
      <c r="AA546" s="163"/>
    </row>
    <row r="547" ht="14.25" customHeight="1">
      <c r="A547" s="164" t="s">
        <v>5875</v>
      </c>
      <c r="B547" s="166" t="s">
        <v>4129</v>
      </c>
      <c r="C547" s="228" t="s">
        <v>5876</v>
      </c>
      <c r="D547" s="229"/>
      <c r="E547" s="230" t="s">
        <v>4129</v>
      </c>
      <c r="F547" s="230" t="s">
        <v>5877</v>
      </c>
      <c r="G547" s="230" t="s">
        <v>5878</v>
      </c>
      <c r="H547" s="230" t="s">
        <v>5879</v>
      </c>
      <c r="I547" s="164" t="s">
        <v>36</v>
      </c>
      <c r="J547" s="163"/>
      <c r="K547" s="163"/>
      <c r="L547" s="163"/>
      <c r="M547" s="163"/>
      <c r="N547" s="163"/>
      <c r="O547" s="163"/>
      <c r="P547" s="163"/>
      <c r="Q547" s="163"/>
      <c r="R547" s="163"/>
      <c r="S547" s="163"/>
      <c r="T547" s="163"/>
      <c r="U547" s="163"/>
      <c r="V547" s="163"/>
      <c r="W547" s="163"/>
      <c r="X547" s="163"/>
      <c r="Y547" s="163"/>
      <c r="Z547" s="163"/>
      <c r="AA547" s="163"/>
    </row>
    <row r="548" ht="14.25" customHeight="1">
      <c r="A548" s="164" t="s">
        <v>5875</v>
      </c>
      <c r="B548" s="108"/>
      <c r="C548" s="231" t="s">
        <v>5880</v>
      </c>
      <c r="D548" s="232"/>
      <c r="E548" s="233" t="s">
        <v>4129</v>
      </c>
      <c r="F548" s="233" t="s">
        <v>5877</v>
      </c>
      <c r="G548" s="233" t="s">
        <v>5881</v>
      </c>
      <c r="H548" s="233" t="s">
        <v>5882</v>
      </c>
      <c r="I548" s="164" t="s">
        <v>36</v>
      </c>
      <c r="J548" s="163"/>
      <c r="K548" s="163"/>
      <c r="L548" s="163"/>
      <c r="M548" s="163"/>
      <c r="N548" s="163"/>
      <c r="O548" s="163"/>
      <c r="P548" s="163"/>
      <c r="Q548" s="163"/>
      <c r="R548" s="163"/>
      <c r="S548" s="163"/>
      <c r="T548" s="163"/>
      <c r="U548" s="163"/>
      <c r="V548" s="163"/>
      <c r="W548" s="163"/>
      <c r="X548" s="163"/>
      <c r="Y548" s="163"/>
      <c r="Z548" s="163"/>
      <c r="AA548" s="163"/>
    </row>
    <row r="549" ht="14.25" customHeight="1">
      <c r="A549" s="164" t="s">
        <v>5875</v>
      </c>
      <c r="B549" s="108"/>
      <c r="C549" s="231" t="s">
        <v>5883</v>
      </c>
      <c r="D549" s="232"/>
      <c r="E549" s="233" t="s">
        <v>4129</v>
      </c>
      <c r="F549" s="233" t="s">
        <v>5884</v>
      </c>
      <c r="G549" s="233" t="s">
        <v>5885</v>
      </c>
      <c r="H549" s="233" t="s">
        <v>5886</v>
      </c>
      <c r="I549" s="164" t="s">
        <v>36</v>
      </c>
      <c r="J549" s="163"/>
      <c r="K549" s="163"/>
      <c r="L549" s="163"/>
      <c r="M549" s="163"/>
      <c r="N549" s="163"/>
      <c r="O549" s="163"/>
      <c r="P549" s="163"/>
      <c r="Q549" s="163"/>
      <c r="R549" s="163"/>
      <c r="S549" s="163"/>
      <c r="T549" s="163"/>
      <c r="U549" s="163"/>
      <c r="V549" s="163"/>
      <c r="W549" s="163"/>
      <c r="X549" s="163"/>
      <c r="Y549" s="163"/>
      <c r="Z549" s="163"/>
      <c r="AA549" s="163"/>
    </row>
    <row r="550" ht="14.25" customHeight="1">
      <c r="A550" s="164"/>
      <c r="B550" s="109"/>
      <c r="C550" s="231" t="s">
        <v>5887</v>
      </c>
      <c r="D550" s="234"/>
      <c r="E550" s="230" t="s">
        <v>4129</v>
      </c>
      <c r="F550" s="230" t="s">
        <v>5888</v>
      </c>
      <c r="G550" s="230" t="s">
        <v>5889</v>
      </c>
      <c r="H550" s="230" t="s">
        <v>5890</v>
      </c>
      <c r="I550" s="164" t="s">
        <v>36</v>
      </c>
      <c r="J550" s="163"/>
      <c r="K550" s="163"/>
      <c r="L550" s="163"/>
      <c r="M550" s="163"/>
      <c r="N550" s="163"/>
      <c r="O550" s="163"/>
      <c r="P550" s="163"/>
      <c r="Q550" s="163"/>
      <c r="R550" s="163"/>
      <c r="S550" s="163"/>
      <c r="T550" s="163"/>
      <c r="U550" s="163"/>
      <c r="V550" s="163"/>
      <c r="W550" s="163"/>
      <c r="X550" s="163"/>
      <c r="Y550" s="163"/>
      <c r="Z550" s="163"/>
      <c r="AA550" s="163"/>
    </row>
    <row r="551" ht="14.25" customHeight="1">
      <c r="A551" s="165" t="s">
        <v>5891</v>
      </c>
      <c r="B551" s="162"/>
      <c r="C551" s="147" t="s">
        <v>5892</v>
      </c>
      <c r="D551" s="163"/>
      <c r="E551" s="165" t="s">
        <v>4130</v>
      </c>
      <c r="F551" s="165" t="s">
        <v>5893</v>
      </c>
      <c r="G551" s="165" t="s">
        <v>5894</v>
      </c>
      <c r="H551" s="165" t="s">
        <v>5895</v>
      </c>
      <c r="I551" s="164" t="s">
        <v>36</v>
      </c>
      <c r="J551" s="163"/>
      <c r="K551" s="163"/>
      <c r="L551" s="163"/>
      <c r="M551" s="163"/>
      <c r="N551" s="163"/>
      <c r="O551" s="163"/>
      <c r="P551" s="163"/>
      <c r="Q551" s="163"/>
      <c r="R551" s="163"/>
      <c r="S551" s="163"/>
      <c r="T551" s="163"/>
      <c r="U551" s="163"/>
      <c r="V551" s="163"/>
      <c r="W551" s="163"/>
      <c r="X551" s="163"/>
      <c r="Y551" s="163"/>
      <c r="Z551" s="163"/>
      <c r="AA551" s="163"/>
    </row>
    <row r="552" ht="14.25" customHeight="1">
      <c r="A552" s="165"/>
      <c r="B552" s="108"/>
      <c r="C552" s="147"/>
      <c r="D552" s="163"/>
      <c r="E552" s="165"/>
      <c r="F552" s="165"/>
      <c r="G552" s="165"/>
      <c r="H552" s="165"/>
      <c r="I552" s="164"/>
      <c r="J552" s="163"/>
      <c r="K552" s="163"/>
      <c r="L552" s="163"/>
      <c r="M552" s="163"/>
      <c r="N552" s="163"/>
      <c r="O552" s="163"/>
      <c r="P552" s="163"/>
      <c r="Q552" s="163"/>
      <c r="R552" s="163"/>
      <c r="S552" s="163"/>
      <c r="T552" s="163"/>
      <c r="U552" s="163"/>
      <c r="V552" s="163"/>
      <c r="W552" s="163"/>
      <c r="X552" s="163"/>
      <c r="Y552" s="163"/>
      <c r="Z552" s="163"/>
      <c r="AA552" s="163"/>
    </row>
    <row r="553" ht="14.25" customHeight="1">
      <c r="A553" s="165" t="s">
        <v>5891</v>
      </c>
      <c r="B553" s="108"/>
      <c r="C553" s="147" t="s">
        <v>5896</v>
      </c>
      <c r="D553" s="163"/>
      <c r="E553" s="165" t="s">
        <v>4130</v>
      </c>
      <c r="F553" s="165" t="s">
        <v>5897</v>
      </c>
      <c r="G553" s="165" t="s">
        <v>5894</v>
      </c>
      <c r="H553" s="165" t="s">
        <v>5898</v>
      </c>
      <c r="I553" s="164" t="s">
        <v>36</v>
      </c>
      <c r="J553" s="163"/>
      <c r="K553" s="163"/>
      <c r="L553" s="163"/>
      <c r="M553" s="163"/>
      <c r="N553" s="163"/>
      <c r="O553" s="163"/>
      <c r="P553" s="163"/>
      <c r="Q553" s="163"/>
      <c r="R553" s="163"/>
      <c r="S553" s="163"/>
      <c r="T553" s="163"/>
      <c r="U553" s="163"/>
      <c r="V553" s="163"/>
      <c r="W553" s="163"/>
      <c r="X553" s="163"/>
      <c r="Y553" s="163"/>
      <c r="Z553" s="163"/>
      <c r="AA553" s="163"/>
    </row>
    <row r="554" ht="14.25" customHeight="1">
      <c r="A554" s="165" t="s">
        <v>5891</v>
      </c>
      <c r="B554" s="108"/>
      <c r="C554" s="147" t="s">
        <v>5899</v>
      </c>
      <c r="D554" s="163"/>
      <c r="E554" s="165" t="s">
        <v>4130</v>
      </c>
      <c r="F554" s="165" t="s">
        <v>5900</v>
      </c>
      <c r="G554" s="165" t="s">
        <v>5901</v>
      </c>
      <c r="H554" s="165" t="s">
        <v>5895</v>
      </c>
      <c r="I554" s="164" t="s">
        <v>36</v>
      </c>
      <c r="J554" s="163"/>
      <c r="K554" s="163"/>
      <c r="L554" s="163"/>
      <c r="M554" s="163"/>
      <c r="N554" s="163"/>
      <c r="O554" s="163"/>
      <c r="P554" s="163"/>
      <c r="Q554" s="163"/>
      <c r="R554" s="163"/>
      <c r="S554" s="163"/>
      <c r="T554" s="163"/>
      <c r="U554" s="163"/>
      <c r="V554" s="163"/>
      <c r="W554" s="163"/>
      <c r="X554" s="163"/>
      <c r="Y554" s="163"/>
      <c r="Z554" s="163"/>
      <c r="AA554" s="163"/>
    </row>
    <row r="555" ht="14.25" customHeight="1">
      <c r="A555" s="165" t="s">
        <v>5891</v>
      </c>
      <c r="B555" s="108"/>
      <c r="C555" s="147" t="s">
        <v>5902</v>
      </c>
      <c r="D555" s="163"/>
      <c r="E555" s="165" t="s">
        <v>4130</v>
      </c>
      <c r="F555" s="165" t="s">
        <v>5900</v>
      </c>
      <c r="G555" s="165" t="s">
        <v>5901</v>
      </c>
      <c r="H555" s="165" t="s">
        <v>5898</v>
      </c>
      <c r="I555" s="164" t="s">
        <v>36</v>
      </c>
      <c r="J555" s="163"/>
      <c r="K555" s="163"/>
      <c r="L555" s="163"/>
      <c r="M555" s="163"/>
      <c r="N555" s="163"/>
      <c r="O555" s="163"/>
      <c r="P555" s="163"/>
      <c r="Q555" s="163"/>
      <c r="R555" s="163"/>
      <c r="S555" s="163"/>
      <c r="T555" s="163"/>
      <c r="U555" s="163"/>
      <c r="V555" s="163"/>
      <c r="W555" s="163"/>
      <c r="X555" s="163"/>
      <c r="Y555" s="163"/>
      <c r="Z555" s="163"/>
      <c r="AA555" s="163"/>
    </row>
    <row r="556" ht="14.25" customHeight="1">
      <c r="A556" s="165" t="s">
        <v>5891</v>
      </c>
      <c r="B556" s="108"/>
      <c r="C556" s="147" t="s">
        <v>5903</v>
      </c>
      <c r="D556" s="163"/>
      <c r="E556" s="165" t="s">
        <v>4130</v>
      </c>
      <c r="F556" s="165" t="s">
        <v>5904</v>
      </c>
      <c r="G556" s="165" t="s">
        <v>5894</v>
      </c>
      <c r="H556" s="165" t="s">
        <v>5895</v>
      </c>
      <c r="I556" s="164" t="s">
        <v>36</v>
      </c>
      <c r="J556" s="163"/>
      <c r="K556" s="163"/>
      <c r="L556" s="163"/>
      <c r="M556" s="163"/>
      <c r="N556" s="163"/>
      <c r="O556" s="163"/>
      <c r="P556" s="163"/>
      <c r="Q556" s="163"/>
      <c r="R556" s="163"/>
      <c r="S556" s="163"/>
      <c r="T556" s="163"/>
      <c r="U556" s="163"/>
      <c r="V556" s="163"/>
      <c r="W556" s="163"/>
      <c r="X556" s="163"/>
      <c r="Y556" s="163"/>
      <c r="Z556" s="163"/>
      <c r="AA556" s="163"/>
    </row>
    <row r="557" ht="14.25" customHeight="1">
      <c r="A557" s="165" t="s">
        <v>5891</v>
      </c>
      <c r="B557" s="109"/>
      <c r="C557" s="147" t="s">
        <v>5905</v>
      </c>
      <c r="D557" s="163"/>
      <c r="E557" s="165" t="s">
        <v>4130</v>
      </c>
      <c r="F557" s="165" t="s">
        <v>5906</v>
      </c>
      <c r="G557" s="165" t="s">
        <v>5894</v>
      </c>
      <c r="H557" s="165" t="s">
        <v>5898</v>
      </c>
      <c r="I557" s="164" t="s">
        <v>36</v>
      </c>
      <c r="J557" s="163"/>
      <c r="K557" s="163"/>
      <c r="L557" s="163"/>
      <c r="M557" s="163"/>
      <c r="N557" s="163"/>
      <c r="O557" s="163"/>
      <c r="P557" s="163"/>
      <c r="Q557" s="163"/>
      <c r="R557" s="163"/>
      <c r="S557" s="163"/>
      <c r="T557" s="163"/>
      <c r="U557" s="163"/>
      <c r="V557" s="163"/>
      <c r="W557" s="163"/>
      <c r="X557" s="163"/>
      <c r="Y557" s="163"/>
      <c r="Z557" s="163"/>
      <c r="AA557" s="163"/>
    </row>
    <row r="558" ht="14.25" customHeight="1">
      <c r="A558" s="164" t="s">
        <v>5907</v>
      </c>
      <c r="B558" s="166" t="s">
        <v>5908</v>
      </c>
      <c r="C558" s="235" t="s">
        <v>5909</v>
      </c>
      <c r="D558" s="163" t="s">
        <v>271</v>
      </c>
      <c r="E558" s="215" t="s">
        <v>5910</v>
      </c>
      <c r="F558" s="163" t="s">
        <v>5911</v>
      </c>
      <c r="G558" s="163" t="s">
        <v>5912</v>
      </c>
      <c r="H558" s="163" t="s">
        <v>5913</v>
      </c>
      <c r="I558" s="164" t="s">
        <v>36</v>
      </c>
      <c r="J558" s="163"/>
      <c r="K558" s="163"/>
      <c r="L558" s="163"/>
      <c r="M558" s="163"/>
      <c r="N558" s="163"/>
      <c r="O558" s="163"/>
      <c r="P558" s="163"/>
      <c r="Q558" s="163"/>
      <c r="R558" s="163"/>
      <c r="S558" s="163"/>
      <c r="T558" s="163"/>
      <c r="U558" s="163"/>
      <c r="V558" s="163"/>
      <c r="W558" s="163"/>
      <c r="X558" s="163"/>
      <c r="Y558" s="163"/>
      <c r="Z558" s="163"/>
      <c r="AA558" s="163"/>
    </row>
    <row r="559" ht="14.25" customHeight="1">
      <c r="A559" s="164" t="s">
        <v>5907</v>
      </c>
      <c r="B559" s="108"/>
      <c r="C559" s="236" t="s">
        <v>5914</v>
      </c>
      <c r="D559" s="163" t="s">
        <v>271</v>
      </c>
      <c r="E559" s="215" t="s">
        <v>5910</v>
      </c>
      <c r="F559" s="163" t="s">
        <v>5915</v>
      </c>
      <c r="G559" s="163" t="s">
        <v>5916</v>
      </c>
      <c r="H559" s="163" t="s">
        <v>5917</v>
      </c>
      <c r="I559" s="164" t="s">
        <v>36</v>
      </c>
      <c r="J559" s="163"/>
      <c r="K559" s="163"/>
      <c r="L559" s="163"/>
      <c r="M559" s="163"/>
      <c r="N559" s="163"/>
      <c r="O559" s="163"/>
      <c r="P559" s="163"/>
      <c r="Q559" s="163"/>
      <c r="R559" s="163"/>
      <c r="S559" s="163"/>
      <c r="T559" s="163"/>
      <c r="U559" s="163"/>
      <c r="V559" s="163"/>
      <c r="W559" s="163"/>
      <c r="X559" s="163"/>
      <c r="Y559" s="163"/>
      <c r="Z559" s="163"/>
      <c r="AA559" s="163"/>
    </row>
    <row r="560" ht="14.25" customHeight="1">
      <c r="A560" s="164" t="s">
        <v>5907</v>
      </c>
      <c r="B560" s="109"/>
      <c r="C560" s="236" t="s">
        <v>5918</v>
      </c>
      <c r="D560" s="163" t="s">
        <v>271</v>
      </c>
      <c r="E560" s="215" t="s">
        <v>5910</v>
      </c>
      <c r="F560" s="163" t="s">
        <v>5915</v>
      </c>
      <c r="G560" s="163" t="s">
        <v>5919</v>
      </c>
      <c r="H560" s="163" t="s">
        <v>5920</v>
      </c>
      <c r="I560" s="164" t="s">
        <v>36</v>
      </c>
      <c r="J560" s="163"/>
      <c r="K560" s="163"/>
      <c r="L560" s="163"/>
      <c r="M560" s="163"/>
      <c r="N560" s="163"/>
      <c r="O560" s="163"/>
      <c r="P560" s="163"/>
      <c r="Q560" s="163"/>
      <c r="R560" s="163"/>
      <c r="S560" s="163"/>
      <c r="T560" s="163"/>
      <c r="U560" s="163"/>
      <c r="V560" s="163"/>
      <c r="W560" s="163"/>
      <c r="X560" s="163"/>
      <c r="Y560" s="163"/>
      <c r="Z560" s="163"/>
      <c r="AA560" s="163"/>
    </row>
    <row r="561" ht="14.25" customHeight="1">
      <c r="A561" s="164" t="s">
        <v>5921</v>
      </c>
      <c r="B561" s="166" t="s">
        <v>5922</v>
      </c>
      <c r="C561" s="147" t="s">
        <v>5923</v>
      </c>
      <c r="D561" s="164" t="s">
        <v>271</v>
      </c>
      <c r="E561" s="215" t="s">
        <v>5924</v>
      </c>
      <c r="F561" s="163" t="s">
        <v>5925</v>
      </c>
      <c r="G561" s="163" t="s">
        <v>5926</v>
      </c>
      <c r="H561" s="163" t="s">
        <v>5927</v>
      </c>
      <c r="I561" s="164" t="s">
        <v>36</v>
      </c>
      <c r="J561" s="163"/>
      <c r="K561" s="163"/>
      <c r="L561" s="163"/>
      <c r="M561" s="163"/>
      <c r="N561" s="163"/>
      <c r="O561" s="163"/>
      <c r="P561" s="163"/>
      <c r="Q561" s="163"/>
      <c r="R561" s="163"/>
      <c r="S561" s="163"/>
      <c r="T561" s="163"/>
      <c r="U561" s="163"/>
      <c r="V561" s="163"/>
      <c r="W561" s="163"/>
      <c r="X561" s="163"/>
      <c r="Y561" s="163"/>
      <c r="Z561" s="163"/>
      <c r="AA561" s="163"/>
    </row>
    <row r="562" ht="14.25" customHeight="1">
      <c r="A562" s="164" t="s">
        <v>5921</v>
      </c>
      <c r="B562" s="108"/>
      <c r="C562" s="147" t="s">
        <v>5928</v>
      </c>
      <c r="D562" s="164" t="s">
        <v>271</v>
      </c>
      <c r="E562" s="215" t="s">
        <v>5924</v>
      </c>
      <c r="F562" s="163" t="s">
        <v>5929</v>
      </c>
      <c r="G562" s="163" t="s">
        <v>5930</v>
      </c>
      <c r="H562" s="163" t="s">
        <v>5931</v>
      </c>
      <c r="I562" s="164" t="s">
        <v>36</v>
      </c>
      <c r="J562" s="163"/>
      <c r="K562" s="163"/>
      <c r="L562" s="163"/>
      <c r="M562" s="163"/>
      <c r="N562" s="163"/>
      <c r="O562" s="163"/>
      <c r="P562" s="163"/>
      <c r="Q562" s="163"/>
      <c r="R562" s="163"/>
      <c r="S562" s="163"/>
      <c r="T562" s="163"/>
      <c r="U562" s="163"/>
      <c r="V562" s="163"/>
      <c r="W562" s="163"/>
      <c r="X562" s="163"/>
      <c r="Y562" s="163"/>
      <c r="Z562" s="163"/>
      <c r="AA562" s="163"/>
    </row>
    <row r="563" ht="14.25" customHeight="1">
      <c r="A563" s="164" t="s">
        <v>5921</v>
      </c>
      <c r="B563" s="108"/>
      <c r="C563" s="147" t="s">
        <v>5932</v>
      </c>
      <c r="D563" s="164" t="s">
        <v>271</v>
      </c>
      <c r="E563" s="215" t="s">
        <v>5924</v>
      </c>
      <c r="F563" s="163" t="s">
        <v>5929</v>
      </c>
      <c r="G563" s="163" t="s">
        <v>5933</v>
      </c>
      <c r="H563" s="163" t="s">
        <v>5934</v>
      </c>
      <c r="I563" s="164" t="s">
        <v>36</v>
      </c>
      <c r="J563" s="163"/>
      <c r="K563" s="163"/>
      <c r="L563" s="163"/>
      <c r="M563" s="163"/>
      <c r="N563" s="163"/>
      <c r="O563" s="163"/>
      <c r="P563" s="163"/>
      <c r="Q563" s="163"/>
      <c r="R563" s="163"/>
      <c r="S563" s="163"/>
      <c r="T563" s="163"/>
      <c r="U563" s="163"/>
      <c r="V563" s="163"/>
      <c r="W563" s="163"/>
      <c r="X563" s="163"/>
      <c r="Y563" s="163"/>
      <c r="Z563" s="163"/>
      <c r="AA563" s="163"/>
    </row>
    <row r="564" ht="14.25" customHeight="1">
      <c r="A564" s="164" t="s">
        <v>5921</v>
      </c>
      <c r="B564" s="108"/>
      <c r="C564" s="147" t="s">
        <v>5935</v>
      </c>
      <c r="D564" s="164" t="s">
        <v>271</v>
      </c>
      <c r="E564" s="215" t="s">
        <v>5924</v>
      </c>
      <c r="F564" s="163" t="s">
        <v>5929</v>
      </c>
      <c r="G564" s="163" t="s">
        <v>5936</v>
      </c>
      <c r="H564" s="163" t="s">
        <v>5937</v>
      </c>
      <c r="I564" s="164" t="s">
        <v>36</v>
      </c>
      <c r="J564" s="163"/>
      <c r="K564" s="163"/>
      <c r="L564" s="163"/>
      <c r="M564" s="163"/>
      <c r="N564" s="163"/>
      <c r="O564" s="163"/>
      <c r="P564" s="163"/>
      <c r="Q564" s="163"/>
      <c r="R564" s="163"/>
      <c r="S564" s="163"/>
      <c r="T564" s="163"/>
      <c r="U564" s="163"/>
      <c r="V564" s="163"/>
      <c r="W564" s="163"/>
      <c r="X564" s="163"/>
      <c r="Y564" s="163"/>
      <c r="Z564" s="163"/>
      <c r="AA564" s="163"/>
    </row>
    <row r="565" ht="14.25" customHeight="1">
      <c r="A565" s="164" t="s">
        <v>5921</v>
      </c>
      <c r="B565" s="108"/>
      <c r="C565" s="147" t="s">
        <v>5938</v>
      </c>
      <c r="D565" s="164" t="s">
        <v>271</v>
      </c>
      <c r="E565" s="215" t="s">
        <v>5924</v>
      </c>
      <c r="F565" s="163" t="s">
        <v>5929</v>
      </c>
      <c r="G565" s="163" t="s">
        <v>4756</v>
      </c>
      <c r="H565" s="163" t="s">
        <v>5939</v>
      </c>
      <c r="I565" s="164" t="s">
        <v>36</v>
      </c>
      <c r="J565" s="163"/>
      <c r="K565" s="163"/>
      <c r="L565" s="163"/>
      <c r="M565" s="163"/>
      <c r="N565" s="163"/>
      <c r="O565" s="163"/>
      <c r="P565" s="163"/>
      <c r="Q565" s="163"/>
      <c r="R565" s="163"/>
      <c r="S565" s="163"/>
      <c r="T565" s="163"/>
      <c r="U565" s="163"/>
      <c r="V565" s="163"/>
      <c r="W565" s="163"/>
      <c r="X565" s="163"/>
      <c r="Y565" s="163"/>
      <c r="Z565" s="163"/>
      <c r="AA565" s="163"/>
    </row>
    <row r="566" ht="14.25" customHeight="1">
      <c r="A566" s="164" t="s">
        <v>5921</v>
      </c>
      <c r="B566" s="108"/>
      <c r="C566" s="147" t="s">
        <v>5940</v>
      </c>
      <c r="D566" s="164" t="s">
        <v>271</v>
      </c>
      <c r="E566" s="214" t="s">
        <v>5924</v>
      </c>
      <c r="F566" s="163" t="s">
        <v>5941</v>
      </c>
      <c r="G566" s="163" t="s">
        <v>5926</v>
      </c>
      <c r="H566" s="163" t="s">
        <v>5942</v>
      </c>
      <c r="I566" s="164" t="s">
        <v>36</v>
      </c>
      <c r="J566" s="163"/>
      <c r="K566" s="163"/>
      <c r="L566" s="163"/>
      <c r="M566" s="163"/>
      <c r="N566" s="163"/>
      <c r="O566" s="163"/>
      <c r="P566" s="163"/>
      <c r="Q566" s="163"/>
      <c r="R566" s="163"/>
      <c r="S566" s="163"/>
      <c r="T566" s="163"/>
      <c r="U566" s="163"/>
      <c r="V566" s="163"/>
      <c r="W566" s="163"/>
      <c r="X566" s="163"/>
      <c r="Y566" s="163"/>
      <c r="Z566" s="163"/>
      <c r="AA566" s="163"/>
    </row>
    <row r="567" ht="14.25" customHeight="1">
      <c r="A567" s="164" t="s">
        <v>5921</v>
      </c>
      <c r="B567" s="108"/>
      <c r="C567" s="147" t="s">
        <v>5943</v>
      </c>
      <c r="D567" s="164" t="s">
        <v>271</v>
      </c>
      <c r="E567" s="215" t="s">
        <v>5924</v>
      </c>
      <c r="F567" s="163" t="s">
        <v>5944</v>
      </c>
      <c r="G567" s="163" t="s">
        <v>5926</v>
      </c>
      <c r="H567" s="163" t="s">
        <v>5927</v>
      </c>
      <c r="I567" s="164" t="s">
        <v>36</v>
      </c>
      <c r="J567" s="163"/>
      <c r="K567" s="163"/>
      <c r="L567" s="163"/>
      <c r="M567" s="163"/>
      <c r="N567" s="163"/>
      <c r="O567" s="163"/>
      <c r="P567" s="163"/>
      <c r="Q567" s="163"/>
      <c r="R567" s="163"/>
      <c r="S567" s="163"/>
      <c r="T567" s="163"/>
      <c r="U567" s="163"/>
      <c r="V567" s="163"/>
      <c r="W567" s="163"/>
      <c r="X567" s="163"/>
      <c r="Y567" s="163"/>
      <c r="Z567" s="163"/>
      <c r="AA567" s="163"/>
    </row>
    <row r="568" ht="14.25" customHeight="1">
      <c r="A568" s="164" t="s">
        <v>5921</v>
      </c>
      <c r="B568" s="108"/>
      <c r="C568" s="147" t="s">
        <v>5945</v>
      </c>
      <c r="D568" s="164" t="s">
        <v>271</v>
      </c>
      <c r="E568" s="215" t="s">
        <v>5924</v>
      </c>
      <c r="F568" s="163" t="s">
        <v>5946</v>
      </c>
      <c r="G568" s="163" t="s">
        <v>5947</v>
      </c>
      <c r="H568" s="163" t="s">
        <v>5931</v>
      </c>
      <c r="I568" s="164" t="s">
        <v>36</v>
      </c>
      <c r="J568" s="163"/>
      <c r="K568" s="163"/>
      <c r="L568" s="163"/>
      <c r="M568" s="163"/>
      <c r="N568" s="163"/>
      <c r="O568" s="163"/>
      <c r="P568" s="163"/>
      <c r="Q568" s="163"/>
      <c r="R568" s="163"/>
      <c r="S568" s="163"/>
      <c r="T568" s="163"/>
      <c r="U568" s="163"/>
      <c r="V568" s="163"/>
      <c r="W568" s="163"/>
      <c r="X568" s="163"/>
      <c r="Y568" s="163"/>
      <c r="Z568" s="163"/>
      <c r="AA568" s="163"/>
    </row>
    <row r="569" ht="14.25" customHeight="1">
      <c r="A569" s="164" t="s">
        <v>5921</v>
      </c>
      <c r="B569" s="108"/>
      <c r="C569" s="147" t="s">
        <v>5948</v>
      </c>
      <c r="D569" s="164" t="s">
        <v>271</v>
      </c>
      <c r="E569" s="215" t="s">
        <v>5924</v>
      </c>
      <c r="F569" s="163" t="s">
        <v>5946</v>
      </c>
      <c r="G569" s="163" t="s">
        <v>5949</v>
      </c>
      <c r="H569" s="163" t="s">
        <v>5934</v>
      </c>
      <c r="I569" s="164" t="s">
        <v>36</v>
      </c>
      <c r="J569" s="163"/>
      <c r="K569" s="163"/>
      <c r="L569" s="163"/>
      <c r="M569" s="163"/>
      <c r="N569" s="163"/>
      <c r="O569" s="163"/>
      <c r="P569" s="163"/>
      <c r="Q569" s="163"/>
      <c r="R569" s="163"/>
      <c r="S569" s="163"/>
      <c r="T569" s="163"/>
      <c r="U569" s="163"/>
      <c r="V569" s="163"/>
      <c r="W569" s="163"/>
      <c r="X569" s="163"/>
      <c r="Y569" s="163"/>
      <c r="Z569" s="163"/>
      <c r="AA569" s="163"/>
    </row>
    <row r="570" ht="14.25" customHeight="1">
      <c r="A570" s="164" t="s">
        <v>5921</v>
      </c>
      <c r="B570" s="108"/>
      <c r="C570" s="147" t="s">
        <v>5950</v>
      </c>
      <c r="D570" s="164" t="s">
        <v>271</v>
      </c>
      <c r="E570" s="215" t="s">
        <v>5924</v>
      </c>
      <c r="F570" s="163" t="s">
        <v>5946</v>
      </c>
      <c r="G570" s="163" t="s">
        <v>5936</v>
      </c>
      <c r="H570" s="163" t="s">
        <v>5951</v>
      </c>
      <c r="I570" s="164" t="s">
        <v>36</v>
      </c>
      <c r="J570" s="163"/>
      <c r="K570" s="163"/>
      <c r="L570" s="163"/>
      <c r="M570" s="163"/>
      <c r="N570" s="163"/>
      <c r="O570" s="163"/>
      <c r="P570" s="163"/>
      <c r="Q570" s="163"/>
      <c r="R570" s="163"/>
      <c r="S570" s="163"/>
      <c r="T570" s="163"/>
      <c r="U570" s="163"/>
      <c r="V570" s="163"/>
      <c r="W570" s="163"/>
      <c r="X570" s="163"/>
      <c r="Y570" s="163"/>
      <c r="Z570" s="163"/>
      <c r="AA570" s="163"/>
    </row>
    <row r="571" ht="14.25" customHeight="1">
      <c r="A571" s="164" t="s">
        <v>5921</v>
      </c>
      <c r="B571" s="108"/>
      <c r="C571" s="147" t="s">
        <v>5952</v>
      </c>
      <c r="D571" s="164" t="s">
        <v>271</v>
      </c>
      <c r="E571" s="215" t="s">
        <v>5924</v>
      </c>
      <c r="F571" s="163" t="s">
        <v>5929</v>
      </c>
      <c r="G571" s="163" t="s">
        <v>4756</v>
      </c>
      <c r="H571" s="163" t="s">
        <v>5939</v>
      </c>
      <c r="I571" s="164" t="s">
        <v>36</v>
      </c>
      <c r="J571" s="163"/>
      <c r="K571" s="163"/>
      <c r="L571" s="163"/>
      <c r="M571" s="163"/>
      <c r="N571" s="163"/>
      <c r="O571" s="163"/>
      <c r="P571" s="163"/>
      <c r="Q571" s="163"/>
      <c r="R571" s="163"/>
      <c r="S571" s="163"/>
      <c r="T571" s="163"/>
      <c r="U571" s="163"/>
      <c r="V571" s="163"/>
      <c r="W571" s="163"/>
      <c r="X571" s="163"/>
      <c r="Y571" s="163"/>
      <c r="Z571" s="163"/>
      <c r="AA571" s="163"/>
    </row>
    <row r="572" ht="14.25" customHeight="1">
      <c r="A572" s="164" t="s">
        <v>5921</v>
      </c>
      <c r="B572" s="108"/>
      <c r="C572" s="147" t="s">
        <v>5953</v>
      </c>
      <c r="D572" s="164" t="s">
        <v>271</v>
      </c>
      <c r="E572" s="215" t="s">
        <v>5924</v>
      </c>
      <c r="F572" s="163" t="s">
        <v>5954</v>
      </c>
      <c r="G572" s="163" t="s">
        <v>5955</v>
      </c>
      <c r="H572" s="163" t="s">
        <v>5956</v>
      </c>
      <c r="I572" s="164" t="s">
        <v>36</v>
      </c>
      <c r="J572" s="163"/>
      <c r="K572" s="163"/>
      <c r="L572" s="163"/>
      <c r="M572" s="163"/>
      <c r="N572" s="163"/>
      <c r="O572" s="163"/>
      <c r="P572" s="163"/>
      <c r="Q572" s="163"/>
      <c r="R572" s="163"/>
      <c r="S572" s="163"/>
      <c r="T572" s="163"/>
      <c r="U572" s="163"/>
      <c r="V572" s="163"/>
      <c r="W572" s="163"/>
      <c r="X572" s="163"/>
      <c r="Y572" s="163"/>
      <c r="Z572" s="163"/>
      <c r="AA572" s="163"/>
    </row>
    <row r="573" ht="14.25" customHeight="1">
      <c r="A573" s="164" t="s">
        <v>5921</v>
      </c>
      <c r="B573" s="108"/>
      <c r="C573" s="147" t="s">
        <v>5957</v>
      </c>
      <c r="D573" s="164" t="s">
        <v>271</v>
      </c>
      <c r="E573" s="215" t="s">
        <v>5924</v>
      </c>
      <c r="F573" s="163" t="s">
        <v>5958</v>
      </c>
      <c r="G573" s="163" t="s">
        <v>5959</v>
      </c>
      <c r="H573" s="163" t="s">
        <v>5960</v>
      </c>
      <c r="I573" s="164" t="s">
        <v>36</v>
      </c>
      <c r="J573" s="163"/>
      <c r="K573" s="163"/>
      <c r="L573" s="163"/>
      <c r="M573" s="163"/>
      <c r="N573" s="163"/>
      <c r="O573" s="163"/>
      <c r="P573" s="163"/>
      <c r="Q573" s="163"/>
      <c r="R573" s="163"/>
      <c r="S573" s="163"/>
      <c r="T573" s="163"/>
      <c r="U573" s="163"/>
      <c r="V573" s="163"/>
      <c r="W573" s="163"/>
      <c r="X573" s="163"/>
      <c r="Y573" s="163"/>
      <c r="Z573" s="163"/>
      <c r="AA573" s="163"/>
    </row>
    <row r="574" ht="14.25" customHeight="1">
      <c r="A574" s="164" t="s">
        <v>5921</v>
      </c>
      <c r="B574" s="108"/>
      <c r="C574" s="147" t="s">
        <v>5961</v>
      </c>
      <c r="D574" s="164" t="s">
        <v>271</v>
      </c>
      <c r="E574" s="215" t="s">
        <v>5924</v>
      </c>
      <c r="F574" s="163" t="s">
        <v>5958</v>
      </c>
      <c r="G574" s="163" t="s">
        <v>5962</v>
      </c>
      <c r="H574" s="163" t="s">
        <v>5963</v>
      </c>
      <c r="I574" s="164" t="s">
        <v>36</v>
      </c>
      <c r="J574" s="163"/>
      <c r="K574" s="163"/>
      <c r="L574" s="163"/>
      <c r="M574" s="163"/>
      <c r="N574" s="163"/>
      <c r="O574" s="163"/>
      <c r="P574" s="163"/>
      <c r="Q574" s="163"/>
      <c r="R574" s="163"/>
      <c r="S574" s="163"/>
      <c r="T574" s="163"/>
      <c r="U574" s="163"/>
      <c r="V574" s="163"/>
      <c r="W574" s="163"/>
      <c r="X574" s="163"/>
      <c r="Y574" s="163"/>
      <c r="Z574" s="163"/>
      <c r="AA574" s="163"/>
    </row>
    <row r="575" ht="14.25" customHeight="1">
      <c r="A575" s="164" t="s">
        <v>5921</v>
      </c>
      <c r="B575" s="108"/>
      <c r="C575" s="147" t="s">
        <v>5964</v>
      </c>
      <c r="D575" s="164" t="s">
        <v>271</v>
      </c>
      <c r="E575" s="215" t="s">
        <v>5924</v>
      </c>
      <c r="F575" s="163" t="s">
        <v>5958</v>
      </c>
      <c r="G575" s="163" t="s">
        <v>5965</v>
      </c>
      <c r="H575" s="163" t="s">
        <v>5966</v>
      </c>
      <c r="I575" s="164" t="s">
        <v>36</v>
      </c>
      <c r="J575" s="163"/>
      <c r="K575" s="163"/>
      <c r="L575" s="163"/>
      <c r="M575" s="163"/>
      <c r="N575" s="163"/>
      <c r="O575" s="163"/>
      <c r="P575" s="163"/>
      <c r="Q575" s="163"/>
      <c r="R575" s="163"/>
      <c r="S575" s="163"/>
      <c r="T575" s="163"/>
      <c r="U575" s="163"/>
      <c r="V575" s="163"/>
      <c r="W575" s="163"/>
      <c r="X575" s="163"/>
      <c r="Y575" s="163"/>
      <c r="Z575" s="163"/>
      <c r="AA575" s="163"/>
    </row>
    <row r="576" ht="14.25" customHeight="1">
      <c r="A576" s="164" t="s">
        <v>5921</v>
      </c>
      <c r="B576" s="108"/>
      <c r="C576" s="147" t="s">
        <v>5967</v>
      </c>
      <c r="D576" s="164" t="s">
        <v>271</v>
      </c>
      <c r="E576" s="215" t="s">
        <v>5924</v>
      </c>
      <c r="F576" s="163" t="s">
        <v>5968</v>
      </c>
      <c r="G576" s="163" t="s">
        <v>5926</v>
      </c>
      <c r="H576" s="163" t="s">
        <v>5942</v>
      </c>
      <c r="I576" s="164" t="s">
        <v>36</v>
      </c>
      <c r="J576" s="163"/>
      <c r="K576" s="163"/>
      <c r="L576" s="163"/>
      <c r="M576" s="163"/>
      <c r="N576" s="163"/>
      <c r="O576" s="163"/>
      <c r="P576" s="163"/>
      <c r="Q576" s="163"/>
      <c r="R576" s="163"/>
      <c r="S576" s="163"/>
      <c r="T576" s="163"/>
      <c r="U576" s="163"/>
      <c r="V576" s="163"/>
      <c r="W576" s="163"/>
      <c r="X576" s="163"/>
      <c r="Y576" s="163"/>
      <c r="Z576" s="163"/>
      <c r="AA576" s="163"/>
    </row>
    <row r="577" ht="14.25" customHeight="1">
      <c r="A577" s="164" t="s">
        <v>5921</v>
      </c>
      <c r="B577" s="108"/>
      <c r="C577" s="147" t="s">
        <v>5969</v>
      </c>
      <c r="D577" s="164" t="s">
        <v>271</v>
      </c>
      <c r="E577" s="215" t="s">
        <v>5924</v>
      </c>
      <c r="F577" s="163" t="s">
        <v>5970</v>
      </c>
      <c r="G577" s="163" t="s">
        <v>5926</v>
      </c>
      <c r="H577" s="163" t="s">
        <v>5971</v>
      </c>
      <c r="I577" s="164" t="s">
        <v>36</v>
      </c>
      <c r="J577" s="163"/>
      <c r="K577" s="163"/>
      <c r="L577" s="163"/>
      <c r="M577" s="163"/>
      <c r="N577" s="163"/>
      <c r="O577" s="163"/>
      <c r="P577" s="163"/>
      <c r="Q577" s="163"/>
      <c r="R577" s="163"/>
      <c r="S577" s="163"/>
      <c r="T577" s="163"/>
      <c r="U577" s="163"/>
      <c r="V577" s="163"/>
      <c r="W577" s="163"/>
      <c r="X577" s="163"/>
      <c r="Y577" s="163"/>
      <c r="Z577" s="163"/>
      <c r="AA577" s="163"/>
    </row>
    <row r="578" ht="14.25" customHeight="1">
      <c r="A578" s="164" t="s">
        <v>5921</v>
      </c>
      <c r="B578" s="108"/>
      <c r="C578" s="147" t="s">
        <v>5972</v>
      </c>
      <c r="D578" s="164" t="s">
        <v>271</v>
      </c>
      <c r="E578" s="215" t="s">
        <v>5924</v>
      </c>
      <c r="F578" s="163" t="s">
        <v>5973</v>
      </c>
      <c r="G578" s="163" t="s">
        <v>5926</v>
      </c>
      <c r="H578" s="163" t="s">
        <v>5974</v>
      </c>
      <c r="I578" s="164" t="s">
        <v>36</v>
      </c>
      <c r="J578" s="163"/>
      <c r="K578" s="163"/>
      <c r="L578" s="163"/>
      <c r="M578" s="163"/>
      <c r="N578" s="163"/>
      <c r="O578" s="163"/>
      <c r="P578" s="163"/>
      <c r="Q578" s="163"/>
      <c r="R578" s="163"/>
      <c r="S578" s="163"/>
      <c r="T578" s="163"/>
      <c r="U578" s="163"/>
      <c r="V578" s="163"/>
      <c r="W578" s="163"/>
      <c r="X578" s="163"/>
      <c r="Y578" s="163"/>
      <c r="Z578" s="163"/>
      <c r="AA578" s="163"/>
    </row>
    <row r="579" ht="14.25" customHeight="1">
      <c r="A579" s="164" t="s">
        <v>5921</v>
      </c>
      <c r="B579" s="108"/>
      <c r="C579" s="147" t="s">
        <v>5975</v>
      </c>
      <c r="D579" s="164" t="s">
        <v>271</v>
      </c>
      <c r="E579" s="215" t="s">
        <v>5924</v>
      </c>
      <c r="F579" s="163" t="s">
        <v>5976</v>
      </c>
      <c r="G579" s="163" t="s">
        <v>5977</v>
      </c>
      <c r="H579" s="163" t="s">
        <v>5978</v>
      </c>
      <c r="I579" s="164" t="s">
        <v>36</v>
      </c>
      <c r="J579" s="163"/>
      <c r="K579" s="163"/>
      <c r="L579" s="163"/>
      <c r="M579" s="163"/>
      <c r="N579" s="163"/>
      <c r="O579" s="163"/>
      <c r="P579" s="163"/>
      <c r="Q579" s="163"/>
      <c r="R579" s="163"/>
      <c r="S579" s="163"/>
      <c r="T579" s="163"/>
      <c r="U579" s="163"/>
      <c r="V579" s="163"/>
      <c r="W579" s="163"/>
      <c r="X579" s="163"/>
      <c r="Y579" s="163"/>
      <c r="Z579" s="163"/>
      <c r="AA579" s="163"/>
    </row>
    <row r="580" ht="14.25" customHeight="1">
      <c r="A580" s="164" t="s">
        <v>5921</v>
      </c>
      <c r="B580" s="108"/>
      <c r="C580" s="147" t="s">
        <v>5979</v>
      </c>
      <c r="D580" s="164" t="s">
        <v>271</v>
      </c>
      <c r="E580" s="215" t="s">
        <v>5924</v>
      </c>
      <c r="F580" s="163" t="s">
        <v>5980</v>
      </c>
      <c r="G580" s="163" t="s">
        <v>5981</v>
      </c>
      <c r="H580" s="163" t="s">
        <v>5982</v>
      </c>
      <c r="I580" s="164" t="s">
        <v>36</v>
      </c>
      <c r="J580" s="163"/>
      <c r="K580" s="163"/>
      <c r="L580" s="163"/>
      <c r="M580" s="163"/>
      <c r="N580" s="163"/>
      <c r="O580" s="163"/>
      <c r="P580" s="163"/>
      <c r="Q580" s="163"/>
      <c r="R580" s="163"/>
      <c r="S580" s="163"/>
      <c r="T580" s="163"/>
      <c r="U580" s="163"/>
      <c r="V580" s="163"/>
      <c r="W580" s="163"/>
      <c r="X580" s="163"/>
      <c r="Y580" s="163"/>
      <c r="Z580" s="163"/>
      <c r="AA580" s="163"/>
    </row>
    <row r="581" ht="14.25" customHeight="1">
      <c r="A581" s="164" t="s">
        <v>5921</v>
      </c>
      <c r="B581" s="108"/>
      <c r="C581" s="147" t="s">
        <v>5983</v>
      </c>
      <c r="D581" s="164" t="s">
        <v>271</v>
      </c>
      <c r="E581" s="215" t="s">
        <v>5924</v>
      </c>
      <c r="F581" s="163" t="s">
        <v>5984</v>
      </c>
      <c r="G581" s="163" t="s">
        <v>5985</v>
      </c>
      <c r="H581" s="163" t="s">
        <v>5986</v>
      </c>
      <c r="I581" s="164" t="s">
        <v>36</v>
      </c>
      <c r="J581" s="163"/>
      <c r="K581" s="163"/>
      <c r="L581" s="163"/>
      <c r="M581" s="163"/>
      <c r="N581" s="163"/>
      <c r="O581" s="163"/>
      <c r="P581" s="163"/>
      <c r="Q581" s="163"/>
      <c r="R581" s="163"/>
      <c r="S581" s="163"/>
      <c r="T581" s="163"/>
      <c r="U581" s="163"/>
      <c r="V581" s="163"/>
      <c r="W581" s="163"/>
      <c r="X581" s="163"/>
      <c r="Y581" s="163"/>
      <c r="Z581" s="163"/>
      <c r="AA581" s="163"/>
    </row>
    <row r="582" ht="14.25" customHeight="1">
      <c r="A582" s="164" t="s">
        <v>5921</v>
      </c>
      <c r="B582" s="108"/>
      <c r="C582" s="147" t="s">
        <v>5987</v>
      </c>
      <c r="D582" s="164" t="s">
        <v>271</v>
      </c>
      <c r="E582" s="215" t="s">
        <v>5924</v>
      </c>
      <c r="F582" s="163" t="s">
        <v>5988</v>
      </c>
      <c r="G582" s="163" t="s">
        <v>5989</v>
      </c>
      <c r="H582" s="163" t="s">
        <v>5990</v>
      </c>
      <c r="I582" s="164" t="s">
        <v>36</v>
      </c>
      <c r="J582" s="163"/>
      <c r="K582" s="163"/>
      <c r="L582" s="163"/>
      <c r="M582" s="163"/>
      <c r="N582" s="163"/>
      <c r="O582" s="163"/>
      <c r="P582" s="163"/>
      <c r="Q582" s="163"/>
      <c r="R582" s="163"/>
      <c r="S582" s="163"/>
      <c r="T582" s="163"/>
      <c r="U582" s="163"/>
      <c r="V582" s="163"/>
      <c r="W582" s="163"/>
      <c r="X582" s="163"/>
      <c r="Y582" s="163"/>
      <c r="Z582" s="163"/>
      <c r="AA582" s="163"/>
    </row>
    <row r="583" ht="14.25" customHeight="1">
      <c r="A583" s="164" t="s">
        <v>5921</v>
      </c>
      <c r="B583" s="109"/>
      <c r="C583" s="147" t="s">
        <v>5991</v>
      </c>
      <c r="D583" s="164" t="s">
        <v>271</v>
      </c>
      <c r="E583" s="215" t="s">
        <v>5924</v>
      </c>
      <c r="F583" s="163" t="s">
        <v>5976</v>
      </c>
      <c r="G583" s="163" t="s">
        <v>5992</v>
      </c>
      <c r="H583" s="163" t="s">
        <v>5993</v>
      </c>
      <c r="I583" s="164" t="s">
        <v>36</v>
      </c>
      <c r="J583" s="163"/>
      <c r="K583" s="163"/>
      <c r="L583" s="163"/>
      <c r="M583" s="163"/>
      <c r="N583" s="163"/>
      <c r="O583" s="163"/>
      <c r="P583" s="163"/>
      <c r="Q583" s="163"/>
      <c r="R583" s="163"/>
      <c r="S583" s="163"/>
      <c r="T583" s="163"/>
      <c r="U583" s="163"/>
      <c r="V583" s="163"/>
      <c r="W583" s="163"/>
      <c r="X583" s="163"/>
      <c r="Y583" s="163"/>
      <c r="Z583" s="163"/>
      <c r="AA583" s="163"/>
    </row>
    <row r="584" ht="14.25" customHeight="1">
      <c r="A584" s="171" t="s">
        <v>5994</v>
      </c>
      <c r="B584" s="163"/>
      <c r="C584" s="221" t="s">
        <v>5995</v>
      </c>
      <c r="D584" s="163"/>
      <c r="E584" s="215" t="s">
        <v>5996</v>
      </c>
      <c r="F584" s="163" t="s">
        <v>5997</v>
      </c>
      <c r="G584" s="163" t="s">
        <v>5998</v>
      </c>
      <c r="H584" s="163" t="s">
        <v>5999</v>
      </c>
      <c r="I584" s="164" t="s">
        <v>36</v>
      </c>
      <c r="J584" s="163"/>
      <c r="K584" s="163"/>
      <c r="L584" s="163"/>
      <c r="M584" s="163"/>
      <c r="N584" s="163"/>
      <c r="O584" s="163"/>
      <c r="P584" s="163"/>
      <c r="Q584" s="163"/>
      <c r="R584" s="163"/>
      <c r="S584" s="163"/>
      <c r="T584" s="163"/>
      <c r="U584" s="163"/>
      <c r="V584" s="163"/>
      <c r="W584" s="163"/>
      <c r="X584" s="163"/>
      <c r="Y584" s="163"/>
      <c r="Z584" s="163"/>
      <c r="AA584" s="163"/>
    </row>
    <row r="585" ht="14.25" customHeight="1">
      <c r="A585" s="171" t="s">
        <v>5994</v>
      </c>
      <c r="B585" s="163"/>
      <c r="C585" s="221" t="s">
        <v>6000</v>
      </c>
      <c r="D585" s="163"/>
      <c r="E585" s="215" t="s">
        <v>5996</v>
      </c>
      <c r="F585" s="163" t="s">
        <v>6001</v>
      </c>
      <c r="G585" s="163" t="s">
        <v>6002</v>
      </c>
      <c r="H585" s="163" t="s">
        <v>6003</v>
      </c>
      <c r="I585" s="164" t="s">
        <v>36</v>
      </c>
      <c r="J585" s="163"/>
      <c r="K585" s="163"/>
      <c r="L585" s="163"/>
      <c r="M585" s="163"/>
      <c r="N585" s="163"/>
      <c r="O585" s="163"/>
      <c r="P585" s="163"/>
      <c r="Q585" s="163"/>
      <c r="R585" s="163"/>
      <c r="S585" s="163"/>
      <c r="T585" s="163"/>
      <c r="U585" s="163"/>
      <c r="V585" s="163"/>
      <c r="W585" s="163"/>
      <c r="X585" s="163"/>
      <c r="Y585" s="163"/>
      <c r="Z585" s="163"/>
      <c r="AA585" s="163"/>
    </row>
    <row r="586" ht="14.25" customHeight="1">
      <c r="A586" s="171" t="s">
        <v>5994</v>
      </c>
      <c r="B586" s="163"/>
      <c r="C586" s="221" t="s">
        <v>6004</v>
      </c>
      <c r="D586" s="163"/>
      <c r="E586" s="215" t="s">
        <v>5996</v>
      </c>
      <c r="F586" s="163" t="s">
        <v>6005</v>
      </c>
      <c r="G586" s="163" t="s">
        <v>6006</v>
      </c>
      <c r="H586" s="163" t="s">
        <v>6007</v>
      </c>
      <c r="I586" s="164" t="s">
        <v>36</v>
      </c>
      <c r="J586" s="163"/>
      <c r="K586" s="163"/>
      <c r="L586" s="163"/>
      <c r="M586" s="163"/>
      <c r="N586" s="163"/>
      <c r="O586" s="163"/>
      <c r="P586" s="163"/>
      <c r="Q586" s="163"/>
      <c r="R586" s="163"/>
      <c r="S586" s="163"/>
      <c r="T586" s="163"/>
      <c r="U586" s="163"/>
      <c r="V586" s="163"/>
      <c r="W586" s="163"/>
      <c r="X586" s="163"/>
      <c r="Y586" s="163"/>
      <c r="Z586" s="163"/>
      <c r="AA586" s="163"/>
    </row>
    <row r="587" ht="14.25" customHeight="1">
      <c r="A587" s="171" t="s">
        <v>5994</v>
      </c>
      <c r="B587" s="163"/>
      <c r="C587" s="221" t="s">
        <v>6008</v>
      </c>
      <c r="D587" s="163"/>
      <c r="E587" s="215" t="s">
        <v>5996</v>
      </c>
      <c r="F587" s="163" t="s">
        <v>6009</v>
      </c>
      <c r="G587" s="163" t="s">
        <v>6010</v>
      </c>
      <c r="H587" s="163" t="s">
        <v>6011</v>
      </c>
      <c r="I587" s="164" t="s">
        <v>36</v>
      </c>
      <c r="J587" s="163"/>
      <c r="K587" s="163"/>
      <c r="L587" s="163"/>
      <c r="M587" s="163"/>
      <c r="N587" s="163"/>
      <c r="O587" s="163"/>
      <c r="P587" s="163"/>
      <c r="Q587" s="163"/>
      <c r="R587" s="163"/>
      <c r="S587" s="163"/>
      <c r="T587" s="163"/>
      <c r="U587" s="163"/>
      <c r="V587" s="163"/>
      <c r="W587" s="163"/>
      <c r="X587" s="163"/>
      <c r="Y587" s="163"/>
      <c r="Z587" s="163"/>
      <c r="AA587" s="163"/>
    </row>
    <row r="588" ht="14.25" customHeight="1">
      <c r="A588" s="171" t="s">
        <v>5994</v>
      </c>
      <c r="B588" s="163"/>
      <c r="C588" s="221" t="s">
        <v>6012</v>
      </c>
      <c r="D588" s="163"/>
      <c r="E588" s="215" t="s">
        <v>5996</v>
      </c>
      <c r="F588" s="163" t="s">
        <v>6013</v>
      </c>
      <c r="G588" s="163" t="s">
        <v>6010</v>
      </c>
      <c r="H588" s="163" t="s">
        <v>6014</v>
      </c>
      <c r="I588" s="164" t="s">
        <v>36</v>
      </c>
      <c r="J588" s="163"/>
      <c r="K588" s="163"/>
      <c r="L588" s="163"/>
      <c r="M588" s="163"/>
      <c r="N588" s="163"/>
      <c r="O588" s="163"/>
      <c r="P588" s="163"/>
      <c r="Q588" s="163"/>
      <c r="R588" s="163"/>
      <c r="S588" s="163"/>
      <c r="T588" s="163"/>
      <c r="U588" s="163"/>
      <c r="V588" s="163"/>
      <c r="W588" s="163"/>
      <c r="X588" s="163"/>
      <c r="Y588" s="163"/>
      <c r="Z588" s="163"/>
      <c r="AA588" s="163"/>
    </row>
    <row r="589" ht="14.25" customHeight="1">
      <c r="A589" s="171" t="s">
        <v>5994</v>
      </c>
      <c r="B589" s="163"/>
      <c r="C589" s="221" t="s">
        <v>6015</v>
      </c>
      <c r="D589" s="163"/>
      <c r="E589" s="215" t="s">
        <v>5996</v>
      </c>
      <c r="F589" s="163" t="s">
        <v>6016</v>
      </c>
      <c r="G589" s="163" t="s">
        <v>6017</v>
      </c>
      <c r="H589" s="163" t="s">
        <v>6018</v>
      </c>
      <c r="I589" s="164" t="s">
        <v>36</v>
      </c>
      <c r="J589" s="163"/>
      <c r="K589" s="163"/>
      <c r="L589" s="163"/>
      <c r="M589" s="163"/>
      <c r="N589" s="163"/>
      <c r="O589" s="163"/>
      <c r="P589" s="163"/>
      <c r="Q589" s="163"/>
      <c r="R589" s="163"/>
      <c r="S589" s="163"/>
      <c r="T589" s="163"/>
      <c r="U589" s="163"/>
      <c r="V589" s="163"/>
      <c r="W589" s="163"/>
      <c r="X589" s="163"/>
      <c r="Y589" s="163"/>
      <c r="Z589" s="163"/>
      <c r="AA589" s="163"/>
    </row>
    <row r="590" ht="14.25" customHeight="1">
      <c r="A590" s="171" t="s">
        <v>5994</v>
      </c>
      <c r="B590" s="163"/>
      <c r="C590" s="221" t="s">
        <v>6019</v>
      </c>
      <c r="D590" s="163"/>
      <c r="E590" s="215" t="s">
        <v>5996</v>
      </c>
      <c r="F590" s="163" t="s">
        <v>6020</v>
      </c>
      <c r="G590" s="163" t="s">
        <v>6017</v>
      </c>
      <c r="H590" s="163" t="s">
        <v>6021</v>
      </c>
      <c r="I590" s="164" t="s">
        <v>36</v>
      </c>
      <c r="J590" s="163"/>
      <c r="K590" s="163"/>
      <c r="L590" s="163"/>
      <c r="M590" s="163"/>
      <c r="N590" s="163"/>
      <c r="O590" s="163"/>
      <c r="P590" s="163"/>
      <c r="Q590" s="163"/>
      <c r="R590" s="163"/>
      <c r="S590" s="163"/>
      <c r="T590" s="163"/>
      <c r="U590" s="163"/>
      <c r="V590" s="163"/>
      <c r="W590" s="163"/>
      <c r="X590" s="163"/>
      <c r="Y590" s="163"/>
      <c r="Z590" s="163"/>
      <c r="AA590" s="163"/>
    </row>
    <row r="591" ht="14.25" customHeight="1">
      <c r="A591" s="171" t="s">
        <v>5994</v>
      </c>
      <c r="B591" s="163"/>
      <c r="C591" s="221" t="s">
        <v>6022</v>
      </c>
      <c r="D591" s="163"/>
      <c r="E591" s="215" t="s">
        <v>5996</v>
      </c>
      <c r="F591" s="163" t="s">
        <v>6016</v>
      </c>
      <c r="G591" s="163" t="s">
        <v>6023</v>
      </c>
      <c r="H591" s="163" t="s">
        <v>6024</v>
      </c>
      <c r="I591" s="164" t="s">
        <v>36</v>
      </c>
      <c r="J591" s="163"/>
      <c r="K591" s="163"/>
      <c r="L591" s="163"/>
      <c r="M591" s="163"/>
      <c r="N591" s="163"/>
      <c r="O591" s="163"/>
      <c r="P591" s="163"/>
      <c r="Q591" s="163"/>
      <c r="R591" s="163"/>
      <c r="S591" s="163"/>
      <c r="T591" s="163"/>
      <c r="U591" s="163"/>
      <c r="V591" s="163"/>
      <c r="W591" s="163"/>
      <c r="X591" s="163"/>
      <c r="Y591" s="163"/>
      <c r="Z591" s="163"/>
      <c r="AA591" s="163"/>
    </row>
    <row r="592" ht="14.25" customHeight="1">
      <c r="A592" s="171" t="s">
        <v>5994</v>
      </c>
      <c r="B592" s="163"/>
      <c r="C592" s="221" t="s">
        <v>6025</v>
      </c>
      <c r="D592" s="163"/>
      <c r="E592" s="215" t="s">
        <v>5996</v>
      </c>
      <c r="F592" s="163" t="s">
        <v>6026</v>
      </c>
      <c r="G592" s="163" t="s">
        <v>6027</v>
      </c>
      <c r="H592" s="163" t="s">
        <v>6028</v>
      </c>
      <c r="I592" s="164" t="s">
        <v>36</v>
      </c>
      <c r="J592" s="163"/>
      <c r="K592" s="163"/>
      <c r="L592" s="163"/>
      <c r="M592" s="163"/>
      <c r="N592" s="163"/>
      <c r="O592" s="163"/>
      <c r="P592" s="163"/>
      <c r="Q592" s="163"/>
      <c r="R592" s="163"/>
      <c r="S592" s="163"/>
      <c r="T592" s="163"/>
      <c r="U592" s="163"/>
      <c r="V592" s="163"/>
      <c r="W592" s="163"/>
      <c r="X592" s="163"/>
      <c r="Y592" s="163"/>
      <c r="Z592" s="163"/>
      <c r="AA592" s="163"/>
    </row>
    <row r="593" ht="14.25" customHeight="1">
      <c r="A593" s="171" t="s">
        <v>5994</v>
      </c>
      <c r="B593" s="163"/>
      <c r="C593" s="221" t="s">
        <v>6029</v>
      </c>
      <c r="D593" s="163"/>
      <c r="E593" s="215" t="s">
        <v>5996</v>
      </c>
      <c r="F593" s="163" t="s">
        <v>6030</v>
      </c>
      <c r="G593" s="163" t="s">
        <v>6031</v>
      </c>
      <c r="H593" s="163" t="s">
        <v>6032</v>
      </c>
      <c r="I593" s="164" t="s">
        <v>36</v>
      </c>
      <c r="J593" s="163"/>
      <c r="K593" s="163"/>
      <c r="L593" s="163"/>
      <c r="M593" s="163"/>
      <c r="N593" s="163"/>
      <c r="O593" s="163"/>
      <c r="P593" s="163"/>
      <c r="Q593" s="163"/>
      <c r="R593" s="163"/>
      <c r="S593" s="163"/>
      <c r="T593" s="163"/>
      <c r="U593" s="163"/>
      <c r="V593" s="163"/>
      <c r="W593" s="163"/>
      <c r="X593" s="163"/>
      <c r="Y593" s="163"/>
      <c r="Z593" s="163"/>
      <c r="AA593" s="163"/>
    </row>
    <row r="594" ht="14.25" customHeight="1">
      <c r="A594" s="171" t="s">
        <v>5994</v>
      </c>
      <c r="B594" s="163"/>
      <c r="C594" s="221" t="s">
        <v>6033</v>
      </c>
      <c r="D594" s="163"/>
      <c r="E594" s="215" t="s">
        <v>5996</v>
      </c>
      <c r="F594" s="163" t="s">
        <v>6034</v>
      </c>
      <c r="G594" s="163" t="s">
        <v>6035</v>
      </c>
      <c r="H594" s="163" t="s">
        <v>6036</v>
      </c>
      <c r="I594" s="164" t="s">
        <v>36</v>
      </c>
      <c r="J594" s="163"/>
      <c r="K594" s="163"/>
      <c r="L594" s="163"/>
      <c r="M594" s="163"/>
      <c r="N594" s="163"/>
      <c r="O594" s="163"/>
      <c r="P594" s="163"/>
      <c r="Q594" s="163"/>
      <c r="R594" s="163"/>
      <c r="S594" s="163"/>
      <c r="T594" s="163"/>
      <c r="U594" s="163"/>
      <c r="V594" s="163"/>
      <c r="W594" s="163"/>
      <c r="X594" s="163"/>
      <c r="Y594" s="163"/>
      <c r="Z594" s="163"/>
      <c r="AA594" s="163"/>
    </row>
    <row r="595" ht="14.25" customHeight="1">
      <c r="A595" s="171" t="s">
        <v>5994</v>
      </c>
      <c r="B595" s="163"/>
      <c r="C595" s="221" t="s">
        <v>6037</v>
      </c>
      <c r="D595" s="163"/>
      <c r="E595" s="215" t="s">
        <v>5996</v>
      </c>
      <c r="F595" s="163" t="s">
        <v>6038</v>
      </c>
      <c r="G595" s="163" t="s">
        <v>6039</v>
      </c>
      <c r="H595" s="163" t="s">
        <v>6040</v>
      </c>
      <c r="I595" s="164" t="s">
        <v>36</v>
      </c>
      <c r="J595" s="163"/>
      <c r="K595" s="163"/>
      <c r="L595" s="163"/>
      <c r="M595" s="163"/>
      <c r="N595" s="163"/>
      <c r="O595" s="163"/>
      <c r="P595" s="163"/>
      <c r="Q595" s="163"/>
      <c r="R595" s="163"/>
      <c r="S595" s="163"/>
      <c r="T595" s="163"/>
      <c r="U595" s="163"/>
      <c r="V595" s="163"/>
      <c r="W595" s="163"/>
      <c r="X595" s="163"/>
      <c r="Y595" s="163"/>
      <c r="Z595" s="163"/>
      <c r="AA595" s="163"/>
    </row>
    <row r="596" ht="14.25" customHeight="1">
      <c r="A596" s="171" t="s">
        <v>5994</v>
      </c>
      <c r="B596" s="163"/>
      <c r="C596" s="221" t="s">
        <v>6041</v>
      </c>
      <c r="D596" s="163"/>
      <c r="E596" s="215" t="s">
        <v>5996</v>
      </c>
      <c r="F596" s="163" t="s">
        <v>6042</v>
      </c>
      <c r="G596" s="163" t="s">
        <v>6043</v>
      </c>
      <c r="H596" s="163" t="s">
        <v>6044</v>
      </c>
      <c r="I596" s="164" t="s">
        <v>36</v>
      </c>
      <c r="J596" s="163"/>
      <c r="K596" s="163"/>
      <c r="L596" s="163"/>
      <c r="M596" s="163"/>
      <c r="N596" s="163"/>
      <c r="O596" s="163"/>
      <c r="P596" s="163"/>
      <c r="Q596" s="163"/>
      <c r="R596" s="163"/>
      <c r="S596" s="163"/>
      <c r="T596" s="163"/>
      <c r="U596" s="163"/>
      <c r="V596" s="163"/>
      <c r="W596" s="163"/>
      <c r="X596" s="163"/>
      <c r="Y596" s="163"/>
      <c r="Z596" s="163"/>
      <c r="AA596" s="163"/>
    </row>
    <row r="597" ht="14.25" customHeight="1">
      <c r="A597" s="171" t="s">
        <v>5994</v>
      </c>
      <c r="B597" s="163"/>
      <c r="C597" s="221" t="s">
        <v>6045</v>
      </c>
      <c r="D597" s="163"/>
      <c r="E597" s="215" t="s">
        <v>5996</v>
      </c>
      <c r="F597" s="163" t="s">
        <v>6046</v>
      </c>
      <c r="G597" s="163" t="s">
        <v>6006</v>
      </c>
      <c r="H597" s="163" t="s">
        <v>6007</v>
      </c>
      <c r="I597" s="164" t="s">
        <v>36</v>
      </c>
      <c r="J597" s="163"/>
      <c r="K597" s="163"/>
      <c r="L597" s="163"/>
      <c r="M597" s="163"/>
      <c r="N597" s="163"/>
      <c r="O597" s="163"/>
      <c r="P597" s="163"/>
      <c r="Q597" s="163"/>
      <c r="R597" s="163"/>
      <c r="S597" s="163"/>
      <c r="T597" s="163"/>
      <c r="U597" s="163"/>
      <c r="V597" s="163"/>
      <c r="W597" s="163"/>
      <c r="X597" s="163"/>
      <c r="Y597" s="163"/>
      <c r="Z597" s="163"/>
      <c r="AA597" s="163"/>
    </row>
    <row r="598" ht="14.25" customHeight="1">
      <c r="A598" s="171" t="s">
        <v>5994</v>
      </c>
      <c r="B598" s="163"/>
      <c r="C598" s="221" t="s">
        <v>6047</v>
      </c>
      <c r="D598" s="163"/>
      <c r="E598" s="215" t="s">
        <v>5996</v>
      </c>
      <c r="F598" s="163" t="s">
        <v>6048</v>
      </c>
      <c r="G598" s="163" t="s">
        <v>6010</v>
      </c>
      <c r="H598" s="163" t="s">
        <v>6011</v>
      </c>
      <c r="I598" s="164" t="s">
        <v>36</v>
      </c>
      <c r="J598" s="163"/>
      <c r="K598" s="163"/>
      <c r="L598" s="163"/>
      <c r="M598" s="163"/>
      <c r="N598" s="163"/>
      <c r="O598" s="163"/>
      <c r="P598" s="163"/>
      <c r="Q598" s="163"/>
      <c r="R598" s="163"/>
      <c r="S598" s="163"/>
      <c r="T598" s="163"/>
      <c r="U598" s="163"/>
      <c r="V598" s="163"/>
      <c r="W598" s="163"/>
      <c r="X598" s="163"/>
      <c r="Y598" s="163"/>
      <c r="Z598" s="163"/>
      <c r="AA598" s="163"/>
    </row>
    <row r="599" ht="14.25" customHeight="1">
      <c r="A599" s="171" t="s">
        <v>5994</v>
      </c>
      <c r="B599" s="163"/>
      <c r="C599" s="221" t="s">
        <v>6049</v>
      </c>
      <c r="D599" s="163"/>
      <c r="E599" s="215" t="s">
        <v>5996</v>
      </c>
      <c r="F599" s="163" t="s">
        <v>6050</v>
      </c>
      <c r="G599" s="163" t="s">
        <v>6010</v>
      </c>
      <c r="H599" s="163" t="s">
        <v>6014</v>
      </c>
      <c r="I599" s="164" t="s">
        <v>36</v>
      </c>
      <c r="J599" s="163"/>
      <c r="K599" s="163"/>
      <c r="L599" s="163"/>
      <c r="M599" s="163"/>
      <c r="N599" s="163"/>
      <c r="O599" s="163"/>
      <c r="P599" s="163"/>
      <c r="Q599" s="163"/>
      <c r="R599" s="163"/>
      <c r="S599" s="163"/>
      <c r="T599" s="163"/>
      <c r="U599" s="163"/>
      <c r="V599" s="163"/>
      <c r="W599" s="163"/>
      <c r="X599" s="163"/>
      <c r="Y599" s="163"/>
      <c r="Z599" s="163"/>
      <c r="AA599" s="163"/>
    </row>
    <row r="600" ht="14.25" customHeight="1">
      <c r="A600" s="171" t="s">
        <v>5994</v>
      </c>
      <c r="B600" s="163"/>
      <c r="C600" s="221" t="s">
        <v>6051</v>
      </c>
      <c r="D600" s="163"/>
      <c r="E600" s="215" t="s">
        <v>5996</v>
      </c>
      <c r="F600" s="163" t="s">
        <v>6052</v>
      </c>
      <c r="G600" s="163" t="s">
        <v>6017</v>
      </c>
      <c r="H600" s="164" t="s">
        <v>6053</v>
      </c>
      <c r="I600" s="164" t="s">
        <v>36</v>
      </c>
      <c r="J600" s="163"/>
      <c r="K600" s="163"/>
      <c r="L600" s="163"/>
      <c r="M600" s="163"/>
      <c r="N600" s="163"/>
      <c r="O600" s="163"/>
      <c r="P600" s="163"/>
      <c r="Q600" s="163"/>
      <c r="R600" s="163"/>
      <c r="S600" s="163"/>
      <c r="T600" s="163"/>
      <c r="U600" s="163"/>
      <c r="V600" s="163"/>
      <c r="W600" s="163"/>
      <c r="X600" s="163"/>
      <c r="Y600" s="163"/>
      <c r="Z600" s="163"/>
      <c r="AA600" s="163"/>
    </row>
    <row r="601" ht="14.25" customHeight="1">
      <c r="A601" s="171" t="s">
        <v>5994</v>
      </c>
      <c r="B601" s="163"/>
      <c r="C601" s="221" t="s">
        <v>6054</v>
      </c>
      <c r="D601" s="163"/>
      <c r="E601" s="215" t="s">
        <v>5996</v>
      </c>
      <c r="F601" s="163" t="s">
        <v>6052</v>
      </c>
      <c r="G601" s="163" t="s">
        <v>6023</v>
      </c>
      <c r="H601" s="163" t="s">
        <v>6024</v>
      </c>
      <c r="I601" s="164" t="s">
        <v>36</v>
      </c>
      <c r="J601" s="163"/>
      <c r="K601" s="163"/>
      <c r="L601" s="163"/>
      <c r="M601" s="163"/>
      <c r="N601" s="163"/>
      <c r="O601" s="163"/>
      <c r="P601" s="163"/>
      <c r="Q601" s="163"/>
      <c r="R601" s="163"/>
      <c r="S601" s="163"/>
      <c r="T601" s="163"/>
      <c r="U601" s="163"/>
      <c r="V601" s="163"/>
      <c r="W601" s="163"/>
      <c r="X601" s="163"/>
      <c r="Y601" s="163"/>
      <c r="Z601" s="163"/>
      <c r="AA601" s="163"/>
    </row>
    <row r="602" ht="14.25" customHeight="1">
      <c r="A602" s="171" t="s">
        <v>5994</v>
      </c>
      <c r="B602" s="163"/>
      <c r="C602" s="221" t="s">
        <v>6055</v>
      </c>
      <c r="D602" s="163"/>
      <c r="E602" s="215" t="s">
        <v>5996</v>
      </c>
      <c r="F602" s="163" t="s">
        <v>6056</v>
      </c>
      <c r="G602" s="164" t="s">
        <v>6057</v>
      </c>
      <c r="H602" s="164" t="s">
        <v>6058</v>
      </c>
      <c r="I602" s="164" t="s">
        <v>36</v>
      </c>
      <c r="J602" s="163"/>
      <c r="K602" s="163"/>
      <c r="L602" s="163"/>
      <c r="M602" s="163"/>
      <c r="N602" s="163"/>
      <c r="O602" s="163"/>
      <c r="P602" s="163"/>
      <c r="Q602" s="163"/>
      <c r="R602" s="163"/>
      <c r="S602" s="163"/>
      <c r="T602" s="163"/>
      <c r="U602" s="163"/>
      <c r="V602" s="163"/>
      <c r="W602" s="163"/>
      <c r="X602" s="163"/>
      <c r="Y602" s="163"/>
      <c r="Z602" s="163"/>
      <c r="AA602" s="163"/>
    </row>
    <row r="603" ht="14.25" customHeight="1">
      <c r="A603" s="171" t="s">
        <v>5994</v>
      </c>
      <c r="B603" s="163"/>
      <c r="C603" s="221" t="s">
        <v>6059</v>
      </c>
      <c r="D603" s="163"/>
      <c r="E603" s="215" t="s">
        <v>5996</v>
      </c>
      <c r="F603" s="163" t="s">
        <v>6056</v>
      </c>
      <c r="G603" s="163" t="s">
        <v>6031</v>
      </c>
      <c r="H603" s="163" t="s">
        <v>6032</v>
      </c>
      <c r="I603" s="164" t="s">
        <v>36</v>
      </c>
      <c r="J603" s="163"/>
      <c r="K603" s="163"/>
      <c r="L603" s="163"/>
      <c r="M603" s="163"/>
      <c r="N603" s="163"/>
      <c r="O603" s="163"/>
      <c r="P603" s="163"/>
      <c r="Q603" s="163"/>
      <c r="R603" s="163"/>
      <c r="S603" s="163"/>
      <c r="T603" s="163"/>
      <c r="U603" s="163"/>
      <c r="V603" s="163"/>
      <c r="W603" s="163"/>
      <c r="X603" s="163"/>
      <c r="Y603" s="163"/>
      <c r="Z603" s="163"/>
      <c r="AA603" s="163"/>
    </row>
    <row r="604" ht="14.25" customHeight="1">
      <c r="A604" s="171" t="s">
        <v>5994</v>
      </c>
      <c r="B604" s="163"/>
      <c r="C604" s="221" t="s">
        <v>6060</v>
      </c>
      <c r="D604" s="163"/>
      <c r="E604" s="215" t="s">
        <v>5996</v>
      </c>
      <c r="F604" s="163" t="s">
        <v>6061</v>
      </c>
      <c r="G604" s="163" t="s">
        <v>6062</v>
      </c>
      <c r="H604" s="163" t="s">
        <v>6036</v>
      </c>
      <c r="I604" s="164" t="s">
        <v>36</v>
      </c>
      <c r="J604" s="163"/>
      <c r="K604" s="163"/>
      <c r="L604" s="163"/>
      <c r="M604" s="163"/>
      <c r="N604" s="163"/>
      <c r="O604" s="163"/>
      <c r="P604" s="163"/>
      <c r="Q604" s="163"/>
      <c r="R604" s="163"/>
      <c r="S604" s="163"/>
      <c r="T604" s="163"/>
      <c r="U604" s="163"/>
      <c r="V604" s="163"/>
      <c r="W604" s="163"/>
      <c r="X604" s="163"/>
      <c r="Y604" s="163"/>
      <c r="Z604" s="163"/>
      <c r="AA604" s="163"/>
    </row>
    <row r="605" ht="14.25" customHeight="1">
      <c r="A605" s="171" t="s">
        <v>5994</v>
      </c>
      <c r="B605" s="163"/>
      <c r="C605" s="221" t="s">
        <v>6063</v>
      </c>
      <c r="D605" s="163"/>
      <c r="E605" s="215" t="s">
        <v>5996</v>
      </c>
      <c r="F605" s="163" t="s">
        <v>6061</v>
      </c>
      <c r="G605" s="163" t="s">
        <v>6039</v>
      </c>
      <c r="H605" s="163" t="s">
        <v>6040</v>
      </c>
      <c r="I605" s="164" t="s">
        <v>36</v>
      </c>
      <c r="J605" s="163"/>
      <c r="K605" s="163"/>
      <c r="L605" s="163"/>
      <c r="M605" s="163"/>
      <c r="N605" s="163"/>
      <c r="O605" s="163"/>
      <c r="P605" s="163"/>
      <c r="Q605" s="163"/>
      <c r="R605" s="163"/>
      <c r="S605" s="163"/>
      <c r="T605" s="163"/>
      <c r="U605" s="163"/>
      <c r="V605" s="163"/>
      <c r="W605" s="163"/>
      <c r="X605" s="163"/>
      <c r="Y605" s="163"/>
      <c r="Z605" s="163"/>
      <c r="AA605" s="163"/>
    </row>
    <row r="606" ht="14.25" customHeight="1">
      <c r="A606" s="171" t="s">
        <v>5994</v>
      </c>
      <c r="B606" s="163"/>
      <c r="C606" s="221" t="s">
        <v>6064</v>
      </c>
      <c r="D606" s="163"/>
      <c r="E606" s="215" t="s">
        <v>5996</v>
      </c>
      <c r="F606" s="163" t="s">
        <v>6065</v>
      </c>
      <c r="G606" s="163" t="s">
        <v>6066</v>
      </c>
      <c r="H606" s="163" t="s">
        <v>6067</v>
      </c>
      <c r="I606" s="164" t="s">
        <v>36</v>
      </c>
      <c r="J606" s="163"/>
      <c r="K606" s="163"/>
      <c r="L606" s="163"/>
      <c r="M606" s="163"/>
      <c r="N606" s="163"/>
      <c r="O606" s="163"/>
      <c r="P606" s="163"/>
      <c r="Q606" s="163"/>
      <c r="R606" s="163"/>
      <c r="S606" s="163"/>
      <c r="T606" s="163"/>
      <c r="U606" s="163"/>
      <c r="V606" s="163"/>
      <c r="W606" s="163"/>
      <c r="X606" s="163"/>
      <c r="Y606" s="163"/>
      <c r="Z606" s="163"/>
      <c r="AA606" s="163"/>
    </row>
    <row r="607" ht="14.25" customHeight="1">
      <c r="A607" s="171" t="s">
        <v>5994</v>
      </c>
      <c r="B607" s="163"/>
      <c r="C607" s="221" t="s">
        <v>6068</v>
      </c>
      <c r="D607" s="163"/>
      <c r="E607" s="215" t="s">
        <v>5996</v>
      </c>
      <c r="F607" s="163" t="s">
        <v>6069</v>
      </c>
      <c r="G607" s="163" t="s">
        <v>6070</v>
      </c>
      <c r="H607" s="163" t="s">
        <v>6071</v>
      </c>
      <c r="I607" s="164" t="s">
        <v>36</v>
      </c>
      <c r="J607" s="163"/>
      <c r="K607" s="163"/>
      <c r="L607" s="163"/>
      <c r="M607" s="163"/>
      <c r="N607" s="163"/>
      <c r="O607" s="163"/>
      <c r="P607" s="163"/>
      <c r="Q607" s="163"/>
      <c r="R607" s="163"/>
      <c r="S607" s="163"/>
      <c r="T607" s="163"/>
      <c r="U607" s="163"/>
      <c r="V607" s="163"/>
      <c r="W607" s="163"/>
      <c r="X607" s="163"/>
      <c r="Y607" s="163"/>
      <c r="Z607" s="163"/>
      <c r="AA607" s="163"/>
    </row>
    <row r="608" ht="14.25" customHeight="1">
      <c r="A608" s="171" t="s">
        <v>5994</v>
      </c>
      <c r="B608" s="163"/>
      <c r="C608" s="221" t="s">
        <v>6072</v>
      </c>
      <c r="D608" s="163"/>
      <c r="E608" s="215" t="s">
        <v>5996</v>
      </c>
      <c r="F608" s="161" t="s">
        <v>6069</v>
      </c>
      <c r="G608" s="161" t="s">
        <v>6073</v>
      </c>
      <c r="H608" s="161" t="s">
        <v>6074</v>
      </c>
      <c r="I608" s="164" t="s">
        <v>36</v>
      </c>
      <c r="J608" s="163"/>
      <c r="K608" s="163"/>
      <c r="L608" s="163"/>
      <c r="M608" s="163"/>
      <c r="N608" s="163"/>
      <c r="O608" s="163"/>
      <c r="P608" s="163"/>
      <c r="Q608" s="163"/>
      <c r="R608" s="163"/>
      <c r="S608" s="163"/>
      <c r="T608" s="163"/>
      <c r="U608" s="163"/>
      <c r="V608" s="163"/>
      <c r="W608" s="163"/>
      <c r="X608" s="163"/>
      <c r="Y608" s="163"/>
      <c r="Z608" s="163"/>
      <c r="AA608" s="163"/>
    </row>
    <row r="609" ht="14.25" customHeight="1">
      <c r="A609" s="171" t="s">
        <v>5994</v>
      </c>
      <c r="B609" s="163"/>
      <c r="C609" s="221" t="s">
        <v>6075</v>
      </c>
      <c r="D609" s="163"/>
      <c r="E609" s="215" t="s">
        <v>5996</v>
      </c>
      <c r="F609" s="161" t="s">
        <v>6069</v>
      </c>
      <c r="G609" s="161" t="s">
        <v>6006</v>
      </c>
      <c r="H609" s="161" t="s">
        <v>6076</v>
      </c>
      <c r="I609" s="164" t="s">
        <v>36</v>
      </c>
      <c r="J609" s="163"/>
      <c r="K609" s="163"/>
      <c r="L609" s="163"/>
      <c r="M609" s="163"/>
      <c r="N609" s="163"/>
      <c r="O609" s="163"/>
      <c r="P609" s="163"/>
      <c r="Q609" s="163"/>
      <c r="R609" s="163"/>
      <c r="S609" s="163"/>
      <c r="T609" s="163"/>
      <c r="U609" s="163"/>
      <c r="V609" s="163"/>
      <c r="W609" s="163"/>
      <c r="X609" s="163"/>
      <c r="Y609" s="163"/>
      <c r="Z609" s="163"/>
      <c r="AA609" s="163"/>
    </row>
    <row r="610" ht="14.25" customHeight="1">
      <c r="A610" s="171" t="s">
        <v>5994</v>
      </c>
      <c r="B610" s="163"/>
      <c r="C610" s="221" t="s">
        <v>6077</v>
      </c>
      <c r="D610" s="163"/>
      <c r="E610" s="215" t="s">
        <v>5996</v>
      </c>
      <c r="F610" s="163" t="s">
        <v>6078</v>
      </c>
      <c r="G610" s="163" t="s">
        <v>6017</v>
      </c>
      <c r="H610" s="163" t="s">
        <v>6053</v>
      </c>
      <c r="I610" s="164" t="s">
        <v>36</v>
      </c>
      <c r="J610" s="163"/>
      <c r="K610" s="163"/>
      <c r="L610" s="163"/>
      <c r="M610" s="163"/>
      <c r="N610" s="163"/>
      <c r="O610" s="163"/>
      <c r="P610" s="163"/>
      <c r="Q610" s="163"/>
      <c r="R610" s="163"/>
      <c r="S610" s="163"/>
      <c r="T610" s="163"/>
      <c r="U610" s="163"/>
      <c r="V610" s="163"/>
      <c r="W610" s="163"/>
      <c r="X610" s="163"/>
      <c r="Y610" s="163"/>
      <c r="Z610" s="163"/>
      <c r="AA610" s="163"/>
    </row>
    <row r="611" ht="14.25" customHeight="1">
      <c r="A611" s="171" t="s">
        <v>5994</v>
      </c>
      <c r="B611" s="163"/>
      <c r="C611" s="221" t="s">
        <v>6079</v>
      </c>
      <c r="D611" s="163"/>
      <c r="E611" s="215" t="s">
        <v>5996</v>
      </c>
      <c r="F611" s="163" t="s">
        <v>6078</v>
      </c>
      <c r="G611" s="163" t="s">
        <v>6023</v>
      </c>
      <c r="H611" s="163" t="s">
        <v>6024</v>
      </c>
      <c r="I611" s="164" t="s">
        <v>36</v>
      </c>
      <c r="J611" s="163"/>
      <c r="K611" s="163"/>
      <c r="L611" s="163"/>
      <c r="M611" s="163"/>
      <c r="N611" s="163"/>
      <c r="O611" s="163"/>
      <c r="P611" s="163"/>
      <c r="Q611" s="163"/>
      <c r="R611" s="163"/>
      <c r="S611" s="163"/>
      <c r="T611" s="163"/>
      <c r="U611" s="163"/>
      <c r="V611" s="163"/>
      <c r="W611" s="163"/>
      <c r="X611" s="163"/>
      <c r="Y611" s="163"/>
      <c r="Z611" s="163"/>
      <c r="AA611" s="163"/>
    </row>
    <row r="612" ht="14.25" customHeight="1">
      <c r="A612" s="171" t="s">
        <v>5994</v>
      </c>
      <c r="B612" s="163"/>
      <c r="C612" s="221" t="s">
        <v>6080</v>
      </c>
      <c r="D612" s="163"/>
      <c r="E612" s="215" t="s">
        <v>5996</v>
      </c>
      <c r="F612" s="163" t="s">
        <v>6081</v>
      </c>
      <c r="G612" s="163" t="s">
        <v>6082</v>
      </c>
      <c r="H612" s="163" t="s">
        <v>6083</v>
      </c>
      <c r="I612" s="164" t="s">
        <v>36</v>
      </c>
      <c r="J612" s="163"/>
      <c r="K612" s="163"/>
      <c r="L612" s="163"/>
      <c r="M612" s="163"/>
      <c r="N612" s="163"/>
      <c r="O612" s="163"/>
      <c r="P612" s="163"/>
      <c r="Q612" s="163"/>
      <c r="R612" s="163"/>
      <c r="S612" s="163"/>
      <c r="T612" s="163"/>
      <c r="U612" s="163"/>
      <c r="V612" s="163"/>
      <c r="W612" s="163"/>
      <c r="X612" s="163"/>
      <c r="Y612" s="163"/>
      <c r="Z612" s="163"/>
      <c r="AA612" s="163"/>
    </row>
    <row r="613" ht="14.25" customHeight="1">
      <c r="A613" s="171" t="s">
        <v>5994</v>
      </c>
      <c r="B613" s="163"/>
      <c r="C613" s="221" t="s">
        <v>6084</v>
      </c>
      <c r="D613" s="163"/>
      <c r="E613" s="215" t="s">
        <v>5996</v>
      </c>
      <c r="F613" s="163" t="s">
        <v>6085</v>
      </c>
      <c r="G613" s="163" t="s">
        <v>6086</v>
      </c>
      <c r="H613" s="163" t="s">
        <v>6087</v>
      </c>
      <c r="I613" s="164" t="s">
        <v>36</v>
      </c>
      <c r="J613" s="163"/>
      <c r="K613" s="163"/>
      <c r="L613" s="163"/>
      <c r="M613" s="163"/>
      <c r="N613" s="163"/>
      <c r="O613" s="163"/>
      <c r="P613" s="163"/>
      <c r="Q613" s="163"/>
      <c r="R613" s="163"/>
      <c r="S613" s="163"/>
      <c r="T613" s="163"/>
      <c r="U613" s="163"/>
      <c r="V613" s="163"/>
      <c r="W613" s="163"/>
      <c r="X613" s="163"/>
      <c r="Y613" s="163"/>
      <c r="Z613" s="163"/>
      <c r="AA613" s="163"/>
    </row>
    <row r="614" ht="14.25" customHeight="1">
      <c r="A614" s="171" t="s">
        <v>5994</v>
      </c>
      <c r="B614" s="163"/>
      <c r="C614" s="221" t="s">
        <v>6088</v>
      </c>
      <c r="D614" s="163"/>
      <c r="E614" s="215" t="s">
        <v>5996</v>
      </c>
      <c r="F614" s="163" t="s">
        <v>6089</v>
      </c>
      <c r="G614" s="163" t="s">
        <v>6086</v>
      </c>
      <c r="H614" s="163" t="s">
        <v>6087</v>
      </c>
      <c r="I614" s="164" t="s">
        <v>36</v>
      </c>
      <c r="J614" s="163"/>
      <c r="K614" s="163"/>
      <c r="L614" s="163"/>
      <c r="M614" s="163"/>
      <c r="N614" s="163"/>
      <c r="O614" s="163"/>
      <c r="P614" s="163"/>
      <c r="Q614" s="163"/>
      <c r="R614" s="163"/>
      <c r="S614" s="163"/>
      <c r="T614" s="163"/>
      <c r="U614" s="163"/>
      <c r="V614" s="163"/>
      <c r="W614" s="163"/>
      <c r="X614" s="163"/>
      <c r="Y614" s="163"/>
      <c r="Z614" s="163"/>
      <c r="AA614" s="163"/>
    </row>
    <row r="615" ht="14.25" customHeight="1">
      <c r="A615" s="171" t="s">
        <v>5994</v>
      </c>
      <c r="B615" s="163"/>
      <c r="C615" s="221" t="s">
        <v>6090</v>
      </c>
      <c r="D615" s="163"/>
      <c r="E615" s="215" t="s">
        <v>5996</v>
      </c>
      <c r="F615" s="163" t="s">
        <v>6091</v>
      </c>
      <c r="G615" s="163" t="s">
        <v>6086</v>
      </c>
      <c r="H615" s="163" t="s">
        <v>6092</v>
      </c>
      <c r="I615" s="164" t="s">
        <v>36</v>
      </c>
      <c r="J615" s="163"/>
      <c r="K615" s="163"/>
      <c r="L615" s="163"/>
      <c r="M615" s="163"/>
      <c r="N615" s="163"/>
      <c r="O615" s="163"/>
      <c r="P615" s="163"/>
      <c r="Q615" s="163"/>
      <c r="R615" s="163"/>
      <c r="S615" s="163"/>
      <c r="T615" s="163"/>
      <c r="U615" s="163"/>
      <c r="V615" s="163"/>
      <c r="W615" s="163"/>
      <c r="X615" s="163"/>
      <c r="Y615" s="163"/>
      <c r="Z615" s="163"/>
      <c r="AA615" s="163"/>
    </row>
    <row r="616" ht="14.25" customHeight="1">
      <c r="A616" s="171" t="s">
        <v>5994</v>
      </c>
      <c r="B616" s="163"/>
      <c r="C616" s="221" t="s">
        <v>6093</v>
      </c>
      <c r="D616" s="163"/>
      <c r="E616" s="215" t="s">
        <v>5996</v>
      </c>
      <c r="F616" s="163" t="s">
        <v>6094</v>
      </c>
      <c r="G616" s="163" t="s">
        <v>6010</v>
      </c>
      <c r="H616" s="163" t="s">
        <v>6014</v>
      </c>
      <c r="I616" s="164" t="s">
        <v>36</v>
      </c>
      <c r="J616" s="163"/>
      <c r="K616" s="163"/>
      <c r="L616" s="163"/>
      <c r="M616" s="163"/>
      <c r="N616" s="163"/>
      <c r="O616" s="163"/>
      <c r="P616" s="163"/>
      <c r="Q616" s="163"/>
      <c r="R616" s="163"/>
      <c r="S616" s="163"/>
      <c r="T616" s="163"/>
      <c r="U616" s="163"/>
      <c r="V616" s="163"/>
      <c r="W616" s="163"/>
      <c r="X616" s="163"/>
      <c r="Y616" s="163"/>
      <c r="Z616" s="163"/>
      <c r="AA616" s="163"/>
    </row>
    <row r="617" ht="14.25" customHeight="1">
      <c r="A617" s="171" t="s">
        <v>5994</v>
      </c>
      <c r="B617" s="163"/>
      <c r="C617" s="221" t="s">
        <v>6095</v>
      </c>
      <c r="D617" s="163"/>
      <c r="E617" s="215" t="s">
        <v>5996</v>
      </c>
      <c r="F617" s="163" t="s">
        <v>6096</v>
      </c>
      <c r="G617" s="163" t="s">
        <v>6097</v>
      </c>
      <c r="H617" s="163" t="s">
        <v>6098</v>
      </c>
      <c r="I617" s="164" t="s">
        <v>36</v>
      </c>
      <c r="J617" s="163"/>
      <c r="K617" s="163"/>
      <c r="L617" s="163"/>
      <c r="M617" s="163"/>
      <c r="N617" s="163"/>
      <c r="O617" s="163"/>
      <c r="P617" s="163"/>
      <c r="Q617" s="163"/>
      <c r="R617" s="163"/>
      <c r="S617" s="163"/>
      <c r="T617" s="163"/>
      <c r="U617" s="163"/>
      <c r="V617" s="163"/>
      <c r="W617" s="163"/>
      <c r="X617" s="163"/>
      <c r="Y617" s="163"/>
      <c r="Z617" s="163"/>
      <c r="AA617" s="163"/>
    </row>
    <row r="618" ht="14.25" customHeight="1">
      <c r="A618" s="171" t="s">
        <v>5994</v>
      </c>
      <c r="B618" s="163"/>
      <c r="C618" s="221" t="s">
        <v>6099</v>
      </c>
      <c r="D618" s="163"/>
      <c r="E618" s="215" t="s">
        <v>5996</v>
      </c>
      <c r="F618" s="163" t="s">
        <v>6096</v>
      </c>
      <c r="G618" s="163" t="s">
        <v>6100</v>
      </c>
      <c r="H618" s="163" t="s">
        <v>6101</v>
      </c>
      <c r="I618" s="164" t="s">
        <v>36</v>
      </c>
      <c r="J618" s="163"/>
      <c r="K618" s="163"/>
      <c r="L618" s="163"/>
      <c r="M618" s="163"/>
      <c r="N618" s="163"/>
      <c r="O618" s="163"/>
      <c r="P618" s="163"/>
      <c r="Q618" s="163"/>
      <c r="R618" s="163"/>
      <c r="S618" s="163"/>
      <c r="T618" s="163"/>
      <c r="U618" s="163"/>
      <c r="V618" s="163"/>
      <c r="W618" s="163"/>
      <c r="X618" s="163"/>
      <c r="Y618" s="163"/>
      <c r="Z618" s="163"/>
      <c r="AA618" s="163"/>
    </row>
    <row r="619" ht="14.25" customHeight="1">
      <c r="A619" s="171" t="s">
        <v>5994</v>
      </c>
      <c r="B619" s="163"/>
      <c r="C619" s="221" t="s">
        <v>6102</v>
      </c>
      <c r="D619" s="163"/>
      <c r="E619" s="215" t="s">
        <v>5996</v>
      </c>
      <c r="F619" s="163" t="s">
        <v>6103</v>
      </c>
      <c r="G619" s="163" t="s">
        <v>6104</v>
      </c>
      <c r="H619" s="163" t="s">
        <v>6105</v>
      </c>
      <c r="I619" s="164" t="s">
        <v>36</v>
      </c>
      <c r="J619" s="163"/>
      <c r="K619" s="163"/>
      <c r="L619" s="163"/>
      <c r="M619" s="163"/>
      <c r="N619" s="163"/>
      <c r="O619" s="163"/>
      <c r="P619" s="163"/>
      <c r="Q619" s="163"/>
      <c r="R619" s="163"/>
      <c r="S619" s="163"/>
      <c r="T619" s="163"/>
      <c r="U619" s="163"/>
      <c r="V619" s="163"/>
      <c r="W619" s="163"/>
      <c r="X619" s="163"/>
      <c r="Y619" s="163"/>
      <c r="Z619" s="163"/>
      <c r="AA619" s="163"/>
    </row>
    <row r="620" ht="14.25" customHeight="1">
      <c r="A620" s="163"/>
      <c r="B620" s="163"/>
      <c r="C620" s="164" t="s">
        <v>6106</v>
      </c>
      <c r="D620" s="163"/>
      <c r="E620" s="215" t="s">
        <v>6107</v>
      </c>
      <c r="F620" s="163" t="s">
        <v>6108</v>
      </c>
      <c r="G620" s="163" t="s">
        <v>6109</v>
      </c>
      <c r="H620" s="163" t="s">
        <v>6110</v>
      </c>
      <c r="I620" s="164" t="s">
        <v>36</v>
      </c>
      <c r="J620" s="163"/>
      <c r="K620" s="163"/>
      <c r="L620" s="163"/>
      <c r="M620" s="163"/>
      <c r="N620" s="163"/>
      <c r="O620" s="163"/>
      <c r="P620" s="163"/>
      <c r="Q620" s="163"/>
      <c r="R620" s="163"/>
      <c r="S620" s="163"/>
      <c r="T620" s="163"/>
      <c r="U620" s="163"/>
      <c r="V620" s="163"/>
      <c r="W620" s="163"/>
      <c r="X620" s="163"/>
      <c r="Y620" s="163"/>
      <c r="Z620" s="163"/>
      <c r="AA620" s="163"/>
    </row>
    <row r="621" ht="14.25" customHeight="1">
      <c r="A621" s="163"/>
      <c r="B621" s="163"/>
      <c r="C621" s="164" t="s">
        <v>6111</v>
      </c>
      <c r="D621" s="163"/>
      <c r="E621" s="215" t="s">
        <v>6107</v>
      </c>
      <c r="F621" s="163" t="s">
        <v>6112</v>
      </c>
      <c r="G621" s="163" t="s">
        <v>6109</v>
      </c>
      <c r="H621" s="163" t="s">
        <v>6113</v>
      </c>
      <c r="I621" s="164" t="s">
        <v>36</v>
      </c>
      <c r="J621" s="163"/>
      <c r="K621" s="163"/>
      <c r="L621" s="163"/>
      <c r="M621" s="163"/>
      <c r="N621" s="163"/>
      <c r="O621" s="163"/>
      <c r="P621" s="163"/>
      <c r="Q621" s="163"/>
      <c r="R621" s="163"/>
      <c r="S621" s="163"/>
      <c r="T621" s="163"/>
      <c r="U621" s="163"/>
      <c r="V621" s="163"/>
      <c r="W621" s="163"/>
      <c r="X621" s="163"/>
      <c r="Y621" s="163"/>
      <c r="Z621" s="163"/>
      <c r="AA621" s="163"/>
    </row>
    <row r="622" ht="14.25" customHeight="1">
      <c r="A622" s="163"/>
      <c r="B622" s="163"/>
      <c r="C622" s="164" t="s">
        <v>6114</v>
      </c>
      <c r="D622" s="163"/>
      <c r="E622" s="215" t="s">
        <v>6107</v>
      </c>
      <c r="F622" s="163" t="s">
        <v>6115</v>
      </c>
      <c r="G622" s="163" t="s">
        <v>6109</v>
      </c>
      <c r="H622" s="163" t="s">
        <v>6113</v>
      </c>
      <c r="I622" s="164" t="s">
        <v>36</v>
      </c>
      <c r="J622" s="163"/>
      <c r="K622" s="163"/>
      <c r="L622" s="163"/>
      <c r="M622" s="163"/>
      <c r="N622" s="163"/>
      <c r="O622" s="163"/>
      <c r="P622" s="163"/>
      <c r="Q622" s="163"/>
      <c r="R622" s="163"/>
      <c r="S622" s="163"/>
      <c r="T622" s="163"/>
      <c r="U622" s="163"/>
      <c r="V622" s="163"/>
      <c r="W622" s="163"/>
      <c r="X622" s="163"/>
      <c r="Y622" s="163"/>
      <c r="Z622" s="163"/>
      <c r="AA622" s="163"/>
    </row>
    <row r="623" ht="14.25" customHeight="1">
      <c r="A623" s="163"/>
      <c r="B623" s="163"/>
      <c r="C623" s="164" t="s">
        <v>6116</v>
      </c>
      <c r="D623" s="163"/>
      <c r="E623" s="215" t="s">
        <v>6107</v>
      </c>
      <c r="F623" s="163" t="s">
        <v>6117</v>
      </c>
      <c r="G623" s="163" t="s">
        <v>6118</v>
      </c>
      <c r="H623" s="163" t="s">
        <v>6119</v>
      </c>
      <c r="I623" s="164" t="s">
        <v>36</v>
      </c>
      <c r="J623" s="163"/>
      <c r="K623" s="163"/>
      <c r="L623" s="163"/>
      <c r="M623" s="163"/>
      <c r="N623" s="163"/>
      <c r="O623" s="163"/>
      <c r="P623" s="163"/>
      <c r="Q623" s="163"/>
      <c r="R623" s="163"/>
      <c r="S623" s="163"/>
      <c r="T623" s="163"/>
      <c r="U623" s="163"/>
      <c r="V623" s="163"/>
      <c r="W623" s="163"/>
      <c r="X623" s="163"/>
      <c r="Y623" s="163"/>
      <c r="Z623" s="163"/>
      <c r="AA623" s="163"/>
    </row>
    <row r="624" ht="14.25" customHeight="1">
      <c r="A624" s="163"/>
      <c r="B624" s="163"/>
      <c r="C624" s="164" t="s">
        <v>6120</v>
      </c>
      <c r="D624" s="163"/>
      <c r="E624" s="215" t="s">
        <v>6107</v>
      </c>
      <c r="F624" s="163" t="s">
        <v>6121</v>
      </c>
      <c r="G624" s="163" t="s">
        <v>6122</v>
      </c>
      <c r="H624" s="163" t="s">
        <v>6119</v>
      </c>
      <c r="I624" s="164" t="s">
        <v>36</v>
      </c>
      <c r="J624" s="163"/>
      <c r="K624" s="163"/>
      <c r="L624" s="163"/>
      <c r="M624" s="163"/>
      <c r="N624" s="163"/>
      <c r="O624" s="163"/>
      <c r="P624" s="163"/>
      <c r="Q624" s="163"/>
      <c r="R624" s="163"/>
      <c r="S624" s="163"/>
      <c r="T624" s="163"/>
      <c r="U624" s="163"/>
      <c r="V624" s="163"/>
      <c r="W624" s="163"/>
      <c r="X624" s="163"/>
      <c r="Y624" s="163"/>
      <c r="Z624" s="163"/>
      <c r="AA624" s="163"/>
    </row>
    <row r="625" ht="14.25" customHeight="1">
      <c r="A625" s="163"/>
      <c r="B625" s="163"/>
      <c r="C625" s="164" t="s">
        <v>6123</v>
      </c>
      <c r="D625" s="163"/>
      <c r="E625" s="215" t="s">
        <v>6107</v>
      </c>
      <c r="F625" s="163" t="s">
        <v>6124</v>
      </c>
      <c r="G625" s="163" t="s">
        <v>6125</v>
      </c>
      <c r="H625" s="163" t="s">
        <v>6126</v>
      </c>
      <c r="I625" s="164" t="s">
        <v>36</v>
      </c>
      <c r="J625" s="163"/>
      <c r="K625" s="163"/>
      <c r="L625" s="163"/>
      <c r="M625" s="163"/>
      <c r="N625" s="163"/>
      <c r="O625" s="163"/>
      <c r="P625" s="163"/>
      <c r="Q625" s="163"/>
      <c r="R625" s="163"/>
      <c r="S625" s="163"/>
      <c r="T625" s="163"/>
      <c r="U625" s="163"/>
      <c r="V625" s="163"/>
      <c r="W625" s="163"/>
      <c r="X625" s="163"/>
      <c r="Y625" s="163"/>
      <c r="Z625" s="163"/>
      <c r="AA625" s="163"/>
    </row>
    <row r="626" ht="14.25" customHeight="1">
      <c r="A626" s="163"/>
      <c r="B626" s="163"/>
      <c r="C626" s="164" t="s">
        <v>6127</v>
      </c>
      <c r="D626" s="163"/>
      <c r="E626" s="215" t="s">
        <v>6107</v>
      </c>
      <c r="F626" s="163" t="s">
        <v>6128</v>
      </c>
      <c r="G626" s="163" t="s">
        <v>6118</v>
      </c>
      <c r="H626" s="163" t="s">
        <v>6119</v>
      </c>
      <c r="I626" s="164" t="s">
        <v>36</v>
      </c>
      <c r="J626" s="163"/>
      <c r="K626" s="163"/>
      <c r="L626" s="163"/>
      <c r="M626" s="163"/>
      <c r="N626" s="163"/>
      <c r="O626" s="163"/>
      <c r="P626" s="163"/>
      <c r="Q626" s="163"/>
      <c r="R626" s="163"/>
      <c r="S626" s="163"/>
      <c r="T626" s="163"/>
      <c r="U626" s="163"/>
      <c r="V626" s="163"/>
      <c r="W626" s="163"/>
      <c r="X626" s="163"/>
      <c r="Y626" s="163"/>
      <c r="Z626" s="163"/>
      <c r="AA626" s="163"/>
    </row>
    <row r="627" ht="14.25" customHeight="1">
      <c r="A627" s="163"/>
      <c r="B627" s="163"/>
      <c r="C627" s="164" t="s">
        <v>6129</v>
      </c>
      <c r="D627" s="163"/>
      <c r="E627" s="215" t="s">
        <v>6107</v>
      </c>
      <c r="F627" s="163" t="s">
        <v>6130</v>
      </c>
      <c r="G627" s="163" t="s">
        <v>6118</v>
      </c>
      <c r="H627" s="163" t="s">
        <v>6119</v>
      </c>
      <c r="I627" s="164" t="s">
        <v>36</v>
      </c>
      <c r="J627" s="163"/>
      <c r="K627" s="163"/>
      <c r="L627" s="163"/>
      <c r="M627" s="163"/>
      <c r="N627" s="163"/>
      <c r="O627" s="163"/>
      <c r="P627" s="163"/>
      <c r="Q627" s="163"/>
      <c r="R627" s="163"/>
      <c r="S627" s="163"/>
      <c r="T627" s="163"/>
      <c r="U627" s="163"/>
      <c r="V627" s="163"/>
      <c r="W627" s="163"/>
      <c r="X627" s="163"/>
      <c r="Y627" s="163"/>
      <c r="Z627" s="163"/>
      <c r="AA627" s="163"/>
    </row>
    <row r="628" ht="14.25" customHeight="1">
      <c r="A628" s="163"/>
      <c r="B628" s="163"/>
      <c r="C628" s="164" t="s">
        <v>6131</v>
      </c>
      <c r="D628" s="163"/>
      <c r="E628" s="215" t="s">
        <v>6132</v>
      </c>
      <c r="F628" s="163" t="s">
        <v>6133</v>
      </c>
      <c r="G628" s="163" t="s">
        <v>6134</v>
      </c>
      <c r="H628" s="163" t="s">
        <v>6135</v>
      </c>
      <c r="I628" s="164" t="s">
        <v>36</v>
      </c>
      <c r="J628" s="163"/>
      <c r="K628" s="163"/>
      <c r="L628" s="163"/>
      <c r="M628" s="163"/>
      <c r="N628" s="163"/>
      <c r="O628" s="163"/>
      <c r="P628" s="163"/>
      <c r="Q628" s="163"/>
      <c r="R628" s="163"/>
      <c r="S628" s="163"/>
      <c r="T628" s="163"/>
      <c r="U628" s="163"/>
      <c r="V628" s="163"/>
      <c r="W628" s="163"/>
      <c r="X628" s="163"/>
      <c r="Y628" s="163"/>
      <c r="Z628" s="163"/>
      <c r="AA628" s="163"/>
    </row>
    <row r="629" ht="14.25" customHeight="1">
      <c r="A629" s="163"/>
      <c r="B629" s="163"/>
      <c r="C629" s="164" t="s">
        <v>6136</v>
      </c>
      <c r="D629" s="163"/>
      <c r="E629" s="215" t="s">
        <v>6132</v>
      </c>
      <c r="F629" s="163" t="s">
        <v>6137</v>
      </c>
      <c r="G629" s="163" t="s">
        <v>6138</v>
      </c>
      <c r="H629" s="163" t="s">
        <v>6135</v>
      </c>
      <c r="I629" s="164" t="s">
        <v>36</v>
      </c>
      <c r="J629" s="163"/>
      <c r="K629" s="163"/>
      <c r="L629" s="163"/>
      <c r="M629" s="163"/>
      <c r="N629" s="163"/>
      <c r="O629" s="163"/>
      <c r="P629" s="163"/>
      <c r="Q629" s="163"/>
      <c r="R629" s="163"/>
      <c r="S629" s="163"/>
      <c r="T629" s="163"/>
      <c r="U629" s="163"/>
      <c r="V629" s="163"/>
      <c r="W629" s="163"/>
      <c r="X629" s="163"/>
      <c r="Y629" s="163"/>
      <c r="Z629" s="163"/>
      <c r="AA629" s="163"/>
    </row>
    <row r="630" ht="14.25" customHeight="1">
      <c r="A630" s="163"/>
      <c r="B630" s="163"/>
      <c r="C630" s="164" t="s">
        <v>6139</v>
      </c>
      <c r="D630" s="163"/>
      <c r="E630" s="215" t="s">
        <v>6132</v>
      </c>
      <c r="F630" s="163" t="s">
        <v>6140</v>
      </c>
      <c r="G630" s="163" t="s">
        <v>6141</v>
      </c>
      <c r="H630" s="163" t="s">
        <v>6135</v>
      </c>
      <c r="I630" s="164" t="s">
        <v>36</v>
      </c>
      <c r="J630" s="163"/>
      <c r="K630" s="163"/>
      <c r="L630" s="163"/>
      <c r="M630" s="163"/>
      <c r="N630" s="163"/>
      <c r="O630" s="163"/>
      <c r="P630" s="163"/>
      <c r="Q630" s="163"/>
      <c r="R630" s="163"/>
      <c r="S630" s="163"/>
      <c r="T630" s="163"/>
      <c r="U630" s="163"/>
      <c r="V630" s="163"/>
      <c r="W630" s="163"/>
      <c r="X630" s="163"/>
      <c r="Y630" s="163"/>
      <c r="Z630" s="163"/>
      <c r="AA630" s="163"/>
    </row>
    <row r="631" ht="14.25" customHeight="1">
      <c r="A631" s="163"/>
      <c r="B631" s="163"/>
      <c r="C631" s="164" t="s">
        <v>6142</v>
      </c>
      <c r="D631" s="163"/>
      <c r="E631" s="215" t="s">
        <v>6132</v>
      </c>
      <c r="F631" s="163" t="s">
        <v>6143</v>
      </c>
      <c r="G631" s="163" t="s">
        <v>6144</v>
      </c>
      <c r="H631" s="163" t="s">
        <v>6135</v>
      </c>
      <c r="I631" s="164" t="s">
        <v>36</v>
      </c>
      <c r="J631" s="163"/>
      <c r="K631" s="163"/>
      <c r="L631" s="163"/>
      <c r="M631" s="163"/>
      <c r="N631" s="163"/>
      <c r="O631" s="163"/>
      <c r="P631" s="163"/>
      <c r="Q631" s="163"/>
      <c r="R631" s="163"/>
      <c r="S631" s="163"/>
      <c r="T631" s="163"/>
      <c r="U631" s="163"/>
      <c r="V631" s="163"/>
      <c r="W631" s="163"/>
      <c r="X631" s="163"/>
      <c r="Y631" s="163"/>
      <c r="Z631" s="163"/>
      <c r="AA631" s="163"/>
    </row>
    <row r="632" ht="14.25" customHeight="1">
      <c r="A632" s="163"/>
      <c r="B632" s="163"/>
      <c r="C632" s="164" t="s">
        <v>6145</v>
      </c>
      <c r="D632" s="163"/>
      <c r="E632" s="215" t="s">
        <v>6146</v>
      </c>
      <c r="F632" s="163" t="s">
        <v>5093</v>
      </c>
      <c r="G632" s="163" t="s">
        <v>6147</v>
      </c>
      <c r="H632" s="163" t="s">
        <v>6148</v>
      </c>
      <c r="I632" s="164" t="s">
        <v>36</v>
      </c>
      <c r="J632" s="163"/>
      <c r="K632" s="163"/>
      <c r="L632" s="163"/>
      <c r="M632" s="163"/>
      <c r="N632" s="163"/>
      <c r="O632" s="163"/>
      <c r="P632" s="163"/>
      <c r="Q632" s="163"/>
      <c r="R632" s="163"/>
      <c r="S632" s="163"/>
      <c r="T632" s="163"/>
      <c r="U632" s="163"/>
      <c r="V632" s="163"/>
      <c r="W632" s="163"/>
      <c r="X632" s="163"/>
      <c r="Y632" s="163"/>
      <c r="Z632" s="163"/>
      <c r="AA632" s="163"/>
    </row>
    <row r="633" ht="14.25" customHeight="1">
      <c r="A633" s="163"/>
      <c r="B633" s="163"/>
      <c r="C633" s="164" t="s">
        <v>6149</v>
      </c>
      <c r="D633" s="163"/>
      <c r="E633" s="215" t="s">
        <v>6146</v>
      </c>
      <c r="F633" s="163" t="s">
        <v>6150</v>
      </c>
      <c r="G633" s="163" t="s">
        <v>6151</v>
      </c>
      <c r="H633" s="163" t="s">
        <v>6152</v>
      </c>
      <c r="I633" s="164" t="s">
        <v>36</v>
      </c>
      <c r="J633" s="163"/>
      <c r="K633" s="163"/>
      <c r="L633" s="163"/>
      <c r="M633" s="163"/>
      <c r="N633" s="163"/>
      <c r="O633" s="163"/>
      <c r="P633" s="163"/>
      <c r="Q633" s="163"/>
      <c r="R633" s="163"/>
      <c r="S633" s="163"/>
      <c r="T633" s="163"/>
      <c r="U633" s="163"/>
      <c r="V633" s="163"/>
      <c r="W633" s="163"/>
      <c r="X633" s="163"/>
      <c r="Y633" s="163"/>
      <c r="Z633" s="163"/>
      <c r="AA633" s="163"/>
    </row>
    <row r="634" ht="14.25" customHeight="1">
      <c r="A634" s="163"/>
      <c r="B634" s="163"/>
      <c r="C634" s="164" t="s">
        <v>6153</v>
      </c>
      <c r="D634" s="163"/>
      <c r="E634" s="215" t="s">
        <v>6146</v>
      </c>
      <c r="F634" s="163" t="s">
        <v>6154</v>
      </c>
      <c r="G634" s="163" t="s">
        <v>6155</v>
      </c>
      <c r="H634" s="163" t="s">
        <v>6156</v>
      </c>
      <c r="I634" s="164" t="s">
        <v>36</v>
      </c>
      <c r="J634" s="163"/>
      <c r="K634" s="163"/>
      <c r="L634" s="163"/>
      <c r="M634" s="163"/>
      <c r="N634" s="163"/>
      <c r="O634" s="163"/>
      <c r="P634" s="163"/>
      <c r="Q634" s="163"/>
      <c r="R634" s="163"/>
      <c r="S634" s="163"/>
      <c r="T634" s="163"/>
      <c r="U634" s="163"/>
      <c r="V634" s="163"/>
      <c r="W634" s="163"/>
      <c r="X634" s="163"/>
      <c r="Y634" s="163"/>
      <c r="Z634" s="163"/>
      <c r="AA634" s="163"/>
    </row>
    <row r="635" ht="14.25" customHeight="1">
      <c r="A635" s="163"/>
      <c r="B635" s="163"/>
      <c r="C635" s="164" t="s">
        <v>6157</v>
      </c>
      <c r="D635" s="163"/>
      <c r="E635" s="215" t="s">
        <v>6146</v>
      </c>
      <c r="F635" s="163" t="s">
        <v>6158</v>
      </c>
      <c r="G635" s="163" t="s">
        <v>6159</v>
      </c>
      <c r="H635" s="163" t="s">
        <v>6160</v>
      </c>
      <c r="I635" s="164" t="s">
        <v>36</v>
      </c>
      <c r="J635" s="163"/>
      <c r="K635" s="163"/>
      <c r="L635" s="163"/>
      <c r="M635" s="163"/>
      <c r="N635" s="163"/>
      <c r="O635" s="163"/>
      <c r="P635" s="163"/>
      <c r="Q635" s="163"/>
      <c r="R635" s="163"/>
      <c r="S635" s="163"/>
      <c r="T635" s="163"/>
      <c r="U635" s="163"/>
      <c r="V635" s="163"/>
      <c r="W635" s="163"/>
      <c r="X635" s="163"/>
      <c r="Y635" s="163"/>
      <c r="Z635" s="163"/>
      <c r="AA635" s="163"/>
    </row>
    <row r="636" ht="14.25" customHeight="1">
      <c r="A636" s="163"/>
      <c r="B636" s="163"/>
      <c r="C636" s="164" t="s">
        <v>6161</v>
      </c>
      <c r="D636" s="163"/>
      <c r="E636" s="215" t="s">
        <v>6146</v>
      </c>
      <c r="F636" s="163" t="s">
        <v>6158</v>
      </c>
      <c r="G636" s="163" t="s">
        <v>6162</v>
      </c>
      <c r="H636" s="163" t="s">
        <v>6163</v>
      </c>
      <c r="I636" s="164" t="s">
        <v>36</v>
      </c>
      <c r="J636" s="163"/>
      <c r="K636" s="163"/>
      <c r="L636" s="163"/>
      <c r="M636" s="163"/>
      <c r="N636" s="163"/>
      <c r="O636" s="163"/>
      <c r="P636" s="163"/>
      <c r="Q636" s="163"/>
      <c r="R636" s="163"/>
      <c r="S636" s="163"/>
      <c r="T636" s="163"/>
      <c r="U636" s="163"/>
      <c r="V636" s="163"/>
      <c r="W636" s="163"/>
      <c r="X636" s="163"/>
      <c r="Y636" s="163"/>
      <c r="Z636" s="163"/>
      <c r="AA636" s="163"/>
    </row>
    <row r="637" ht="14.25" customHeight="1">
      <c r="A637" s="163"/>
      <c r="B637" s="163"/>
      <c r="C637" s="164" t="s">
        <v>6164</v>
      </c>
      <c r="D637" s="163"/>
      <c r="E637" s="215" t="s">
        <v>6146</v>
      </c>
      <c r="F637" s="163" t="s">
        <v>6158</v>
      </c>
      <c r="G637" s="163" t="s">
        <v>6165</v>
      </c>
      <c r="H637" s="163" t="s">
        <v>1500</v>
      </c>
      <c r="I637" s="164" t="s">
        <v>36</v>
      </c>
      <c r="J637" s="163"/>
      <c r="K637" s="163"/>
      <c r="L637" s="163"/>
      <c r="M637" s="163"/>
      <c r="N637" s="163"/>
      <c r="O637" s="163"/>
      <c r="P637" s="163"/>
      <c r="Q637" s="163"/>
      <c r="R637" s="163"/>
      <c r="S637" s="163"/>
      <c r="T637" s="163"/>
      <c r="U637" s="163"/>
      <c r="V637" s="163"/>
      <c r="W637" s="163"/>
      <c r="X637" s="163"/>
      <c r="Y637" s="163"/>
      <c r="Z637" s="163"/>
      <c r="AA637" s="163"/>
    </row>
    <row r="638" ht="14.25" customHeight="1">
      <c r="A638" s="163"/>
      <c r="B638" s="163"/>
      <c r="C638" s="164" t="s">
        <v>6166</v>
      </c>
      <c r="D638" s="163"/>
      <c r="E638" s="215" t="s">
        <v>6146</v>
      </c>
      <c r="F638" s="163" t="s">
        <v>6167</v>
      </c>
      <c r="G638" s="163" t="s">
        <v>6168</v>
      </c>
      <c r="H638" s="163" t="s">
        <v>6169</v>
      </c>
      <c r="I638" s="164" t="s">
        <v>36</v>
      </c>
      <c r="J638" s="163"/>
      <c r="K638" s="163"/>
      <c r="L638" s="163"/>
      <c r="M638" s="163"/>
      <c r="N638" s="163"/>
      <c r="O638" s="163"/>
      <c r="P638" s="163"/>
      <c r="Q638" s="163"/>
      <c r="R638" s="163"/>
      <c r="S638" s="163"/>
      <c r="T638" s="163"/>
      <c r="U638" s="163"/>
      <c r="V638" s="163"/>
      <c r="W638" s="163"/>
      <c r="X638" s="163"/>
      <c r="Y638" s="163"/>
      <c r="Z638" s="163"/>
      <c r="AA638" s="163"/>
    </row>
    <row r="639" ht="14.25" customHeight="1">
      <c r="A639" s="163"/>
      <c r="B639" s="163"/>
      <c r="C639" s="164" t="s">
        <v>6170</v>
      </c>
      <c r="D639" s="163"/>
      <c r="E639" s="215" t="s">
        <v>6146</v>
      </c>
      <c r="F639" s="163" t="s">
        <v>6171</v>
      </c>
      <c r="G639" s="163" t="s">
        <v>6172</v>
      </c>
      <c r="H639" s="163" t="s">
        <v>6173</v>
      </c>
      <c r="I639" s="164" t="s">
        <v>36</v>
      </c>
      <c r="J639" s="163"/>
      <c r="K639" s="163"/>
      <c r="L639" s="163"/>
      <c r="M639" s="163"/>
      <c r="N639" s="163"/>
      <c r="O639" s="163"/>
      <c r="P639" s="163"/>
      <c r="Q639" s="163"/>
      <c r="R639" s="163"/>
      <c r="S639" s="163"/>
      <c r="T639" s="163"/>
      <c r="U639" s="163"/>
      <c r="V639" s="163"/>
      <c r="W639" s="163"/>
      <c r="X639" s="163"/>
      <c r="Y639" s="163"/>
      <c r="Z639" s="163"/>
      <c r="AA639" s="163"/>
    </row>
    <row r="640" ht="14.25" customHeight="1">
      <c r="A640" s="163"/>
      <c r="B640" s="163"/>
      <c r="C640" s="164" t="s">
        <v>6174</v>
      </c>
      <c r="D640" s="163"/>
      <c r="E640" s="215" t="s">
        <v>6146</v>
      </c>
      <c r="F640" s="163" t="s">
        <v>6175</v>
      </c>
      <c r="G640" s="163" t="s">
        <v>6176</v>
      </c>
      <c r="H640" s="163" t="s">
        <v>6177</v>
      </c>
      <c r="I640" s="164" t="s">
        <v>36</v>
      </c>
      <c r="J640" s="163"/>
      <c r="K640" s="163"/>
      <c r="L640" s="163"/>
      <c r="M640" s="163"/>
      <c r="N640" s="163"/>
      <c r="O640" s="163"/>
      <c r="P640" s="163"/>
      <c r="Q640" s="163"/>
      <c r="R640" s="163"/>
      <c r="S640" s="163"/>
      <c r="T640" s="163"/>
      <c r="U640" s="163"/>
      <c r="V640" s="163"/>
      <c r="W640" s="163"/>
      <c r="X640" s="163"/>
      <c r="Y640" s="163"/>
      <c r="Z640" s="163"/>
      <c r="AA640" s="163"/>
    </row>
    <row r="641" ht="14.25" customHeight="1">
      <c r="A641" s="163"/>
      <c r="B641" s="163"/>
      <c r="C641" s="164" t="s">
        <v>6178</v>
      </c>
      <c r="D641" s="163"/>
      <c r="E641" s="215" t="s">
        <v>6146</v>
      </c>
      <c r="F641" s="163" t="s">
        <v>6179</v>
      </c>
      <c r="G641" s="163" t="s">
        <v>6180</v>
      </c>
      <c r="H641" s="163" t="s">
        <v>6181</v>
      </c>
      <c r="I641" s="164" t="s">
        <v>36</v>
      </c>
      <c r="J641" s="163"/>
      <c r="K641" s="163"/>
      <c r="L641" s="163"/>
      <c r="M641" s="163"/>
      <c r="N641" s="163"/>
      <c r="O641" s="163"/>
      <c r="P641" s="163"/>
      <c r="Q641" s="163"/>
      <c r="R641" s="163"/>
      <c r="S641" s="163"/>
      <c r="T641" s="163"/>
      <c r="U641" s="163"/>
      <c r="V641" s="163"/>
      <c r="W641" s="163"/>
      <c r="X641" s="163"/>
      <c r="Y641" s="163"/>
      <c r="Z641" s="163"/>
      <c r="AA641" s="163"/>
    </row>
    <row r="642" ht="14.25" customHeight="1">
      <c r="A642" s="163"/>
      <c r="B642" s="163"/>
      <c r="C642" s="164" t="s">
        <v>6182</v>
      </c>
      <c r="D642" s="163"/>
      <c r="E642" s="215" t="s">
        <v>6146</v>
      </c>
      <c r="F642" s="163" t="s">
        <v>6179</v>
      </c>
      <c r="G642" s="163" t="s">
        <v>6183</v>
      </c>
      <c r="H642" s="164" t="s">
        <v>6184</v>
      </c>
      <c r="I642" s="164" t="s">
        <v>36</v>
      </c>
      <c r="J642" s="163"/>
      <c r="K642" s="163"/>
      <c r="L642" s="163"/>
      <c r="M642" s="163"/>
      <c r="N642" s="163"/>
      <c r="O642" s="163"/>
      <c r="P642" s="163"/>
      <c r="Q642" s="163"/>
      <c r="R642" s="163"/>
      <c r="S642" s="163"/>
      <c r="T642" s="163"/>
      <c r="U642" s="163"/>
      <c r="V642" s="163"/>
      <c r="W642" s="163"/>
      <c r="X642" s="163"/>
      <c r="Y642" s="163"/>
      <c r="Z642" s="163"/>
      <c r="AA642" s="163"/>
    </row>
    <row r="643" ht="14.25" customHeight="1">
      <c r="A643" s="163"/>
      <c r="B643" s="163"/>
      <c r="C643" s="164" t="s">
        <v>6185</v>
      </c>
      <c r="D643" s="163"/>
      <c r="E643" s="215" t="s">
        <v>6146</v>
      </c>
      <c r="F643" s="163" t="s">
        <v>6186</v>
      </c>
      <c r="G643" s="169" t="s">
        <v>6187</v>
      </c>
      <c r="H643" s="163"/>
      <c r="I643" s="164" t="s">
        <v>36</v>
      </c>
      <c r="J643" s="163"/>
      <c r="K643" s="163"/>
      <c r="L643" s="163"/>
      <c r="M643" s="163"/>
      <c r="N643" s="163"/>
      <c r="O643" s="163"/>
      <c r="P643" s="163"/>
      <c r="Q643" s="163"/>
      <c r="R643" s="163"/>
      <c r="S643" s="163"/>
      <c r="T643" s="163"/>
      <c r="U643" s="163"/>
      <c r="V643" s="163"/>
      <c r="W643" s="163"/>
      <c r="X643" s="163"/>
      <c r="Y643" s="163"/>
      <c r="Z643" s="163"/>
      <c r="AA643" s="163"/>
    </row>
    <row r="644" ht="14.25" customHeight="1">
      <c r="A644" s="163"/>
      <c r="B644" s="163"/>
      <c r="C644" s="164" t="s">
        <v>6188</v>
      </c>
      <c r="D644" s="163"/>
      <c r="E644" s="215" t="s">
        <v>6146</v>
      </c>
      <c r="F644" s="163" t="s">
        <v>6186</v>
      </c>
      <c r="G644" s="169" t="s">
        <v>6189</v>
      </c>
      <c r="H644" s="164" t="s">
        <v>6184</v>
      </c>
      <c r="I644" s="164" t="s">
        <v>36</v>
      </c>
      <c r="J644" s="163"/>
      <c r="K644" s="163"/>
      <c r="L644" s="163"/>
      <c r="M644" s="163"/>
      <c r="N644" s="163"/>
      <c r="O644" s="163"/>
      <c r="P644" s="163"/>
      <c r="Q644" s="163"/>
      <c r="R644" s="163"/>
      <c r="S644" s="163"/>
      <c r="T644" s="163"/>
      <c r="U644" s="163"/>
      <c r="V644" s="163"/>
      <c r="W644" s="163"/>
      <c r="X644" s="163"/>
      <c r="Y644" s="163"/>
      <c r="Z644" s="163"/>
      <c r="AA644" s="163"/>
    </row>
    <row r="645" ht="14.25" customHeight="1">
      <c r="A645" s="163"/>
      <c r="B645" s="163"/>
      <c r="C645" s="164" t="s">
        <v>6190</v>
      </c>
      <c r="D645" s="163"/>
      <c r="E645" s="215" t="s">
        <v>6146</v>
      </c>
      <c r="F645" s="163" t="s">
        <v>6191</v>
      </c>
      <c r="G645" s="163" t="s">
        <v>6192</v>
      </c>
      <c r="H645" s="164" t="s">
        <v>6184</v>
      </c>
      <c r="I645" s="164" t="s">
        <v>36</v>
      </c>
      <c r="J645" s="163"/>
      <c r="K645" s="163"/>
      <c r="L645" s="163"/>
      <c r="M645" s="163"/>
      <c r="N645" s="163"/>
      <c r="O645" s="163"/>
      <c r="P645" s="163"/>
      <c r="Q645" s="163"/>
      <c r="R645" s="163"/>
      <c r="S645" s="163"/>
      <c r="T645" s="163"/>
      <c r="U645" s="163"/>
      <c r="V645" s="163"/>
      <c r="W645" s="163"/>
      <c r="X645" s="163"/>
      <c r="Y645" s="163"/>
      <c r="Z645" s="163"/>
      <c r="AA645" s="163"/>
    </row>
    <row r="646" ht="14.25" customHeight="1">
      <c r="A646" s="163"/>
      <c r="B646" s="163"/>
      <c r="C646" s="164" t="s">
        <v>6193</v>
      </c>
      <c r="D646" s="163"/>
      <c r="E646" s="215" t="s">
        <v>6146</v>
      </c>
      <c r="F646" s="163" t="s">
        <v>6191</v>
      </c>
      <c r="G646" s="163" t="s">
        <v>6194</v>
      </c>
      <c r="H646" s="163"/>
      <c r="I646" s="164" t="s">
        <v>36</v>
      </c>
      <c r="J646" s="163"/>
      <c r="K646" s="163"/>
      <c r="L646" s="163"/>
      <c r="M646" s="163"/>
      <c r="N646" s="163"/>
      <c r="O646" s="163"/>
      <c r="P646" s="163"/>
      <c r="Q646" s="163"/>
      <c r="R646" s="163"/>
      <c r="S646" s="163"/>
      <c r="T646" s="163"/>
      <c r="U646" s="163"/>
      <c r="V646" s="163"/>
      <c r="W646" s="163"/>
      <c r="X646" s="163"/>
      <c r="Y646" s="163"/>
      <c r="Z646" s="163"/>
      <c r="AA646" s="163"/>
    </row>
    <row r="647" ht="14.25" customHeight="1">
      <c r="A647" s="163"/>
      <c r="B647" s="163"/>
      <c r="C647" s="164" t="s">
        <v>6195</v>
      </c>
      <c r="D647" s="163"/>
      <c r="E647" s="215" t="s">
        <v>6146</v>
      </c>
      <c r="F647" s="163" t="s">
        <v>6196</v>
      </c>
      <c r="G647" s="163" t="s">
        <v>6197</v>
      </c>
      <c r="H647" s="163"/>
      <c r="I647" s="164" t="s">
        <v>36</v>
      </c>
      <c r="J647" s="163"/>
      <c r="K647" s="163"/>
      <c r="L647" s="163"/>
      <c r="M647" s="163"/>
      <c r="N647" s="163"/>
      <c r="O647" s="163"/>
      <c r="P647" s="163"/>
      <c r="Q647" s="163"/>
      <c r="R647" s="163"/>
      <c r="S647" s="163"/>
      <c r="T647" s="163"/>
      <c r="U647" s="163"/>
      <c r="V647" s="163"/>
      <c r="W647" s="163"/>
      <c r="X647" s="163"/>
      <c r="Y647" s="163"/>
      <c r="Z647" s="163"/>
      <c r="AA647" s="163"/>
    </row>
    <row r="648" ht="14.25" customHeight="1">
      <c r="A648" s="163"/>
      <c r="B648" s="163"/>
      <c r="C648" s="164" t="s">
        <v>6198</v>
      </c>
      <c r="D648" s="163"/>
      <c r="E648" s="215" t="s">
        <v>6146</v>
      </c>
      <c r="F648" s="163" t="s">
        <v>6196</v>
      </c>
      <c r="G648" s="163" t="s">
        <v>6199</v>
      </c>
      <c r="H648" s="164" t="s">
        <v>6184</v>
      </c>
      <c r="I648" s="164" t="s">
        <v>36</v>
      </c>
      <c r="J648" s="163"/>
      <c r="K648" s="163"/>
      <c r="L648" s="163"/>
      <c r="M648" s="163"/>
      <c r="N648" s="163"/>
      <c r="O648" s="163"/>
      <c r="P648" s="163"/>
      <c r="Q648" s="163"/>
      <c r="R648" s="163"/>
      <c r="S648" s="163"/>
      <c r="T648" s="163"/>
      <c r="U648" s="163"/>
      <c r="V648" s="163"/>
      <c r="W648" s="163"/>
      <c r="X648" s="163"/>
      <c r="Y648" s="163"/>
      <c r="Z648" s="163"/>
      <c r="AA648" s="163"/>
    </row>
    <row r="649" ht="14.25" customHeight="1">
      <c r="A649" s="163"/>
      <c r="B649" s="163"/>
      <c r="C649" s="164" t="s">
        <v>6200</v>
      </c>
      <c r="D649" s="163"/>
      <c r="E649" s="215" t="s">
        <v>6146</v>
      </c>
      <c r="F649" s="163" t="s">
        <v>6201</v>
      </c>
      <c r="G649" s="163" t="s">
        <v>6202</v>
      </c>
      <c r="H649" s="163"/>
      <c r="I649" s="164" t="s">
        <v>36</v>
      </c>
      <c r="J649" s="163"/>
      <c r="K649" s="163"/>
      <c r="L649" s="163"/>
      <c r="M649" s="163"/>
      <c r="N649" s="163"/>
      <c r="O649" s="163"/>
      <c r="P649" s="163"/>
      <c r="Q649" s="163"/>
      <c r="R649" s="163"/>
      <c r="S649" s="163"/>
      <c r="T649" s="163"/>
      <c r="U649" s="163"/>
      <c r="V649" s="163"/>
      <c r="W649" s="163"/>
      <c r="X649" s="163"/>
      <c r="Y649" s="163"/>
      <c r="Z649" s="163"/>
      <c r="AA649" s="163"/>
    </row>
    <row r="650" ht="14.25" customHeight="1">
      <c r="A650" s="163"/>
      <c r="B650" s="163"/>
      <c r="C650" s="164" t="s">
        <v>6203</v>
      </c>
      <c r="D650" s="163"/>
      <c r="E650" s="215" t="s">
        <v>6146</v>
      </c>
      <c r="F650" s="163" t="s">
        <v>6201</v>
      </c>
      <c r="G650" s="163" t="s">
        <v>6204</v>
      </c>
      <c r="H650" s="164" t="s">
        <v>6184</v>
      </c>
      <c r="I650" s="164" t="s">
        <v>36</v>
      </c>
      <c r="J650" s="163"/>
      <c r="K650" s="163"/>
      <c r="L650" s="163"/>
      <c r="M650" s="163"/>
      <c r="N650" s="163"/>
      <c r="O650" s="163"/>
      <c r="P650" s="163"/>
      <c r="Q650" s="163"/>
      <c r="R650" s="163"/>
      <c r="S650" s="163"/>
      <c r="T650" s="163"/>
      <c r="U650" s="163"/>
      <c r="V650" s="163"/>
      <c r="W650" s="163"/>
      <c r="X650" s="163"/>
      <c r="Y650" s="163"/>
      <c r="Z650" s="163"/>
      <c r="AA650" s="163"/>
    </row>
    <row r="651" ht="14.25" customHeight="1">
      <c r="A651" s="163"/>
      <c r="B651" s="163"/>
      <c r="C651" s="164" t="s">
        <v>6205</v>
      </c>
      <c r="D651" s="163"/>
      <c r="E651" s="215" t="s">
        <v>6146</v>
      </c>
      <c r="F651" s="163" t="s">
        <v>6206</v>
      </c>
      <c r="G651" s="163" t="s">
        <v>6207</v>
      </c>
      <c r="H651" s="163" t="s">
        <v>6208</v>
      </c>
      <c r="I651" s="164" t="s">
        <v>36</v>
      </c>
      <c r="J651" s="163"/>
      <c r="K651" s="163"/>
      <c r="L651" s="163"/>
      <c r="M651" s="163"/>
      <c r="N651" s="163"/>
      <c r="O651" s="163"/>
      <c r="P651" s="163"/>
      <c r="Q651" s="163"/>
      <c r="R651" s="163"/>
      <c r="S651" s="163"/>
      <c r="T651" s="163"/>
      <c r="U651" s="163"/>
      <c r="V651" s="163"/>
      <c r="W651" s="163"/>
      <c r="X651" s="163"/>
      <c r="Y651" s="163"/>
      <c r="Z651" s="163"/>
      <c r="AA651" s="163"/>
    </row>
    <row r="652" ht="14.25" customHeight="1">
      <c r="A652" s="163"/>
      <c r="B652" s="163"/>
      <c r="C652" s="164" t="s">
        <v>6209</v>
      </c>
      <c r="D652" s="163"/>
      <c r="E652" s="215" t="s">
        <v>6146</v>
      </c>
      <c r="F652" s="163" t="s">
        <v>6210</v>
      </c>
      <c r="G652" s="163" t="s">
        <v>6211</v>
      </c>
      <c r="H652" s="163" t="s">
        <v>6212</v>
      </c>
      <c r="I652" s="164" t="s">
        <v>36</v>
      </c>
      <c r="J652" s="163"/>
      <c r="K652" s="163"/>
      <c r="L652" s="163"/>
      <c r="M652" s="163"/>
      <c r="N652" s="163"/>
      <c r="O652" s="163"/>
      <c r="P652" s="163"/>
      <c r="Q652" s="163"/>
      <c r="R652" s="163"/>
      <c r="S652" s="163"/>
      <c r="T652" s="163"/>
      <c r="U652" s="163"/>
      <c r="V652" s="163"/>
      <c r="W652" s="163"/>
      <c r="X652" s="163"/>
      <c r="Y652" s="163"/>
      <c r="Z652" s="163"/>
      <c r="AA652" s="163"/>
    </row>
    <row r="653" ht="14.25" customHeight="1">
      <c r="A653" s="163"/>
      <c r="B653" s="163"/>
      <c r="C653" s="164" t="s">
        <v>6213</v>
      </c>
      <c r="D653" s="163"/>
      <c r="E653" s="215" t="s">
        <v>6214</v>
      </c>
      <c r="F653" s="163" t="s">
        <v>6215</v>
      </c>
      <c r="G653" s="163" t="s">
        <v>6216</v>
      </c>
      <c r="H653" s="163" t="s">
        <v>6217</v>
      </c>
      <c r="I653" s="164" t="s">
        <v>36</v>
      </c>
      <c r="J653" s="163"/>
      <c r="K653" s="163"/>
      <c r="L653" s="163"/>
      <c r="M653" s="163"/>
      <c r="N653" s="163"/>
      <c r="O653" s="163"/>
      <c r="P653" s="163"/>
      <c r="Q653" s="163"/>
      <c r="R653" s="163"/>
      <c r="S653" s="163"/>
      <c r="T653" s="163"/>
      <c r="U653" s="163"/>
      <c r="V653" s="163"/>
      <c r="W653" s="163"/>
      <c r="X653" s="163"/>
      <c r="Y653" s="163"/>
      <c r="Z653" s="163"/>
      <c r="AA653" s="163"/>
    </row>
    <row r="654" ht="14.25" customHeight="1">
      <c r="A654" s="163"/>
      <c r="B654" s="163"/>
      <c r="C654" s="164" t="s">
        <v>6218</v>
      </c>
      <c r="D654" s="163"/>
      <c r="E654" s="215" t="s">
        <v>6214</v>
      </c>
      <c r="F654" s="163" t="s">
        <v>6215</v>
      </c>
      <c r="G654" s="163" t="s">
        <v>6219</v>
      </c>
      <c r="H654" s="163" t="s">
        <v>4516</v>
      </c>
      <c r="I654" s="164" t="s">
        <v>317</v>
      </c>
      <c r="J654" s="163"/>
      <c r="K654" s="164" t="s">
        <v>6220</v>
      </c>
      <c r="L654" s="163"/>
      <c r="M654" s="163"/>
      <c r="N654" s="163"/>
      <c r="O654" s="163"/>
      <c r="P654" s="163"/>
      <c r="Q654" s="163"/>
      <c r="R654" s="163"/>
      <c r="S654" s="163"/>
      <c r="T654" s="163"/>
      <c r="U654" s="163"/>
      <c r="V654" s="163"/>
      <c r="W654" s="163"/>
      <c r="X654" s="163"/>
      <c r="Y654" s="163"/>
      <c r="Z654" s="163"/>
      <c r="AA654" s="163"/>
    </row>
    <row r="655" ht="14.25" customHeight="1">
      <c r="A655" s="163"/>
      <c r="B655" s="163"/>
      <c r="C655" s="164" t="s">
        <v>6221</v>
      </c>
      <c r="D655" s="163"/>
      <c r="E655" s="215" t="s">
        <v>6214</v>
      </c>
      <c r="F655" s="163" t="s">
        <v>6215</v>
      </c>
      <c r="G655" s="163" t="s">
        <v>6222</v>
      </c>
      <c r="H655" s="163" t="s">
        <v>4519</v>
      </c>
      <c r="I655" s="164" t="s">
        <v>317</v>
      </c>
      <c r="J655" s="163"/>
      <c r="K655" s="164" t="s">
        <v>6220</v>
      </c>
      <c r="L655" s="163"/>
      <c r="M655" s="163"/>
      <c r="N655" s="163"/>
      <c r="O655" s="163"/>
      <c r="P655" s="163"/>
      <c r="Q655" s="163"/>
      <c r="R655" s="163"/>
      <c r="S655" s="163"/>
      <c r="T655" s="163"/>
      <c r="U655" s="163"/>
      <c r="V655" s="163"/>
      <c r="W655" s="163"/>
      <c r="X655" s="163"/>
      <c r="Y655" s="163"/>
      <c r="Z655" s="163"/>
      <c r="AA655" s="163"/>
    </row>
    <row r="656" ht="14.25" customHeight="1">
      <c r="A656" s="163"/>
      <c r="B656" s="163"/>
      <c r="C656" s="164" t="s">
        <v>6223</v>
      </c>
      <c r="D656" s="163"/>
      <c r="E656" s="215" t="s">
        <v>6224</v>
      </c>
      <c r="F656" s="163" t="s">
        <v>6225</v>
      </c>
      <c r="G656" s="163" t="s">
        <v>6226</v>
      </c>
      <c r="H656" s="163" t="s">
        <v>6227</v>
      </c>
      <c r="I656" s="164" t="s">
        <v>36</v>
      </c>
      <c r="J656" s="163"/>
      <c r="K656" s="163"/>
      <c r="L656" s="163"/>
      <c r="M656" s="163"/>
      <c r="N656" s="163"/>
      <c r="O656" s="163"/>
      <c r="P656" s="163"/>
      <c r="Q656" s="163"/>
      <c r="R656" s="163"/>
      <c r="S656" s="163"/>
      <c r="T656" s="163"/>
      <c r="U656" s="163"/>
      <c r="V656" s="163"/>
      <c r="W656" s="163"/>
      <c r="X656" s="163"/>
      <c r="Y656" s="163"/>
      <c r="Z656" s="163"/>
      <c r="AA656" s="163"/>
    </row>
    <row r="657" ht="14.25" customHeight="1">
      <c r="A657" s="163"/>
      <c r="B657" s="163"/>
      <c r="C657" s="164" t="s">
        <v>6228</v>
      </c>
      <c r="D657" s="163"/>
      <c r="E657" s="215" t="s">
        <v>6224</v>
      </c>
      <c r="F657" s="163" t="s">
        <v>6229</v>
      </c>
      <c r="G657" s="163" t="s">
        <v>6230</v>
      </c>
      <c r="H657" s="164" t="s">
        <v>6231</v>
      </c>
      <c r="I657" s="164" t="s">
        <v>36</v>
      </c>
      <c r="J657" s="163"/>
      <c r="K657" s="163"/>
      <c r="L657" s="163"/>
      <c r="M657" s="163"/>
      <c r="N657" s="163"/>
      <c r="O657" s="163"/>
      <c r="P657" s="163"/>
      <c r="Q657" s="163"/>
      <c r="R657" s="163"/>
      <c r="S657" s="163"/>
      <c r="T657" s="163"/>
      <c r="U657" s="163"/>
      <c r="V657" s="163"/>
      <c r="W657" s="163"/>
      <c r="X657" s="163"/>
      <c r="Y657" s="163"/>
      <c r="Z657" s="163"/>
      <c r="AA657" s="163"/>
    </row>
    <row r="658" ht="14.25" customHeight="1">
      <c r="A658" s="163"/>
      <c r="B658" s="163"/>
      <c r="C658" s="164" t="s">
        <v>6232</v>
      </c>
      <c r="D658" s="163"/>
      <c r="E658" s="215" t="s">
        <v>6224</v>
      </c>
      <c r="F658" s="163" t="s">
        <v>6233</v>
      </c>
      <c r="G658" s="163" t="s">
        <v>6234</v>
      </c>
      <c r="H658" s="163" t="s">
        <v>6235</v>
      </c>
      <c r="I658" s="164" t="s">
        <v>36</v>
      </c>
      <c r="J658" s="163"/>
      <c r="K658" s="163"/>
      <c r="L658" s="163"/>
      <c r="M658" s="163"/>
      <c r="N658" s="163"/>
      <c r="O658" s="163"/>
      <c r="P658" s="163"/>
      <c r="Q658" s="163"/>
      <c r="R658" s="163"/>
      <c r="S658" s="163"/>
      <c r="T658" s="163"/>
      <c r="U658" s="163"/>
      <c r="V658" s="163"/>
      <c r="W658" s="163"/>
      <c r="X658" s="163"/>
      <c r="Y658" s="163"/>
      <c r="Z658" s="163"/>
      <c r="AA658" s="163"/>
    </row>
    <row r="659" ht="14.25" customHeight="1">
      <c r="A659" s="163"/>
      <c r="B659" s="163"/>
      <c r="C659" s="164" t="s">
        <v>6236</v>
      </c>
      <c r="D659" s="163"/>
      <c r="E659" s="215" t="s">
        <v>6224</v>
      </c>
      <c r="F659" s="163" t="s">
        <v>6237</v>
      </c>
      <c r="G659" s="163" t="s">
        <v>6238</v>
      </c>
      <c r="H659" s="163" t="s">
        <v>6239</v>
      </c>
      <c r="I659" s="164" t="s">
        <v>36</v>
      </c>
      <c r="J659" s="163"/>
      <c r="K659" s="163"/>
      <c r="L659" s="163"/>
      <c r="M659" s="163"/>
      <c r="N659" s="163"/>
      <c r="O659" s="163"/>
      <c r="P659" s="163"/>
      <c r="Q659" s="163"/>
      <c r="R659" s="163"/>
      <c r="S659" s="163"/>
      <c r="T659" s="163"/>
      <c r="U659" s="163"/>
      <c r="V659" s="163"/>
      <c r="W659" s="163"/>
      <c r="X659" s="163"/>
      <c r="Y659" s="163"/>
      <c r="Z659" s="163"/>
      <c r="AA659" s="163"/>
    </row>
    <row r="660" ht="14.25" customHeight="1">
      <c r="A660" s="163"/>
      <c r="B660" s="163"/>
      <c r="C660" s="164" t="s">
        <v>6240</v>
      </c>
      <c r="D660" s="163"/>
      <c r="E660" s="215" t="s">
        <v>6224</v>
      </c>
      <c r="F660" s="163" t="s">
        <v>6241</v>
      </c>
      <c r="G660" s="163" t="s">
        <v>6242</v>
      </c>
      <c r="H660" s="163" t="s">
        <v>6243</v>
      </c>
      <c r="I660" s="164" t="s">
        <v>36</v>
      </c>
      <c r="J660" s="163"/>
      <c r="K660" s="163"/>
      <c r="L660" s="163"/>
      <c r="M660" s="163"/>
      <c r="N660" s="163"/>
      <c r="O660" s="163"/>
      <c r="P660" s="163"/>
      <c r="Q660" s="163"/>
      <c r="R660" s="163"/>
      <c r="S660" s="163"/>
      <c r="T660" s="163"/>
      <c r="U660" s="163"/>
      <c r="V660" s="163"/>
      <c r="W660" s="163"/>
      <c r="X660" s="163"/>
      <c r="Y660" s="163"/>
      <c r="Z660" s="163"/>
      <c r="AA660" s="163"/>
    </row>
    <row r="661" ht="14.25" customHeight="1">
      <c r="A661" s="163"/>
      <c r="B661" s="163"/>
      <c r="C661" s="164" t="s">
        <v>6244</v>
      </c>
      <c r="D661" s="163"/>
      <c r="E661" s="215" t="s">
        <v>6224</v>
      </c>
      <c r="F661" s="163" t="s">
        <v>6241</v>
      </c>
      <c r="G661" s="163" t="s">
        <v>6245</v>
      </c>
      <c r="H661" s="163" t="s">
        <v>6246</v>
      </c>
      <c r="I661" s="164" t="s">
        <v>36</v>
      </c>
      <c r="J661" s="163"/>
      <c r="K661" s="163"/>
      <c r="L661" s="163"/>
      <c r="M661" s="163"/>
      <c r="N661" s="163"/>
      <c r="O661" s="163"/>
      <c r="P661" s="163"/>
      <c r="Q661" s="163"/>
      <c r="R661" s="163"/>
      <c r="S661" s="163"/>
      <c r="T661" s="163"/>
      <c r="U661" s="163"/>
      <c r="V661" s="163"/>
      <c r="W661" s="163"/>
      <c r="X661" s="163"/>
      <c r="Y661" s="163"/>
      <c r="Z661" s="163"/>
      <c r="AA661" s="163"/>
    </row>
    <row r="662" ht="14.25" customHeight="1">
      <c r="A662" s="163"/>
      <c r="B662" s="163"/>
      <c r="C662" s="164" t="s">
        <v>6247</v>
      </c>
      <c r="D662" s="163"/>
      <c r="E662" s="215" t="s">
        <v>6224</v>
      </c>
      <c r="F662" s="163" t="s">
        <v>6248</v>
      </c>
      <c r="G662" s="163" t="s">
        <v>6249</v>
      </c>
      <c r="H662" s="163" t="s">
        <v>1500</v>
      </c>
      <c r="I662" s="164" t="s">
        <v>36</v>
      </c>
      <c r="J662" s="163"/>
      <c r="K662" s="163"/>
      <c r="L662" s="163"/>
      <c r="M662" s="163"/>
      <c r="N662" s="163"/>
      <c r="O662" s="163"/>
      <c r="P662" s="163"/>
      <c r="Q662" s="163"/>
      <c r="R662" s="163"/>
      <c r="S662" s="163"/>
      <c r="T662" s="163"/>
      <c r="U662" s="163"/>
      <c r="V662" s="163"/>
      <c r="W662" s="163"/>
      <c r="X662" s="163"/>
      <c r="Y662" s="163"/>
      <c r="Z662" s="163"/>
      <c r="AA662" s="163"/>
    </row>
    <row r="663" ht="14.25" customHeight="1">
      <c r="A663" s="163"/>
      <c r="B663" s="163"/>
      <c r="C663" s="164" t="s">
        <v>6250</v>
      </c>
      <c r="D663" s="163"/>
      <c r="E663" s="215" t="s">
        <v>6224</v>
      </c>
      <c r="F663" s="163" t="s">
        <v>6251</v>
      </c>
      <c r="G663" s="163" t="s">
        <v>6252</v>
      </c>
      <c r="H663" s="163" t="s">
        <v>1500</v>
      </c>
      <c r="I663" s="164" t="s">
        <v>36</v>
      </c>
      <c r="J663" s="163"/>
      <c r="K663" s="163"/>
      <c r="L663" s="163"/>
      <c r="M663" s="163"/>
      <c r="N663" s="163"/>
      <c r="O663" s="163"/>
      <c r="P663" s="163"/>
      <c r="Q663" s="163"/>
      <c r="R663" s="163"/>
      <c r="S663" s="163"/>
      <c r="T663" s="163"/>
      <c r="U663" s="163"/>
      <c r="V663" s="163"/>
      <c r="W663" s="163"/>
      <c r="X663" s="163"/>
      <c r="Y663" s="163"/>
      <c r="Z663" s="163"/>
      <c r="AA663" s="163"/>
    </row>
    <row r="664" ht="14.25" customHeight="1">
      <c r="A664" s="163" t="s">
        <v>6253</v>
      </c>
      <c r="B664" s="237"/>
      <c r="C664" s="164" t="s">
        <v>6254</v>
      </c>
      <c r="D664" s="163"/>
      <c r="E664" s="230" t="s">
        <v>6255</v>
      </c>
      <c r="F664" s="238" t="s">
        <v>6256</v>
      </c>
      <c r="G664" s="238" t="s">
        <v>6257</v>
      </c>
      <c r="H664" s="238" t="s">
        <v>6258</v>
      </c>
      <c r="I664" s="164" t="s">
        <v>36</v>
      </c>
      <c r="J664" s="163"/>
      <c r="K664" s="163"/>
      <c r="L664" s="163"/>
      <c r="M664" s="163"/>
      <c r="N664" s="163"/>
      <c r="O664" s="163"/>
      <c r="P664" s="163"/>
      <c r="Q664" s="163"/>
      <c r="R664" s="163"/>
      <c r="S664" s="163"/>
      <c r="T664" s="163"/>
      <c r="U664" s="163"/>
      <c r="V664" s="163"/>
      <c r="W664" s="163"/>
      <c r="X664" s="163"/>
      <c r="Y664" s="163"/>
      <c r="Z664" s="163"/>
      <c r="AA664" s="163"/>
    </row>
    <row r="665" ht="14.25" customHeight="1">
      <c r="A665" s="163" t="s">
        <v>6253</v>
      </c>
      <c r="B665" s="237"/>
      <c r="C665" s="164" t="s">
        <v>6259</v>
      </c>
      <c r="D665" s="163"/>
      <c r="E665" s="230" t="s">
        <v>6255</v>
      </c>
      <c r="F665" s="233" t="s">
        <v>6260</v>
      </c>
      <c r="G665" s="233" t="s">
        <v>6257</v>
      </c>
      <c r="H665" s="233" t="s">
        <v>6261</v>
      </c>
      <c r="I665" s="164" t="s">
        <v>36</v>
      </c>
      <c r="J665" s="163"/>
      <c r="K665" s="163"/>
      <c r="L665" s="163"/>
      <c r="M665" s="163"/>
      <c r="N665" s="163"/>
      <c r="O665" s="163"/>
      <c r="P665" s="163"/>
      <c r="Q665" s="163"/>
      <c r="R665" s="163"/>
      <c r="S665" s="163"/>
      <c r="T665" s="163"/>
      <c r="U665" s="163"/>
      <c r="V665" s="163"/>
      <c r="W665" s="163"/>
      <c r="X665" s="163"/>
      <c r="Y665" s="163"/>
      <c r="Z665" s="163"/>
      <c r="AA665" s="163"/>
    </row>
    <row r="666" ht="14.25" customHeight="1">
      <c r="A666" s="163" t="s">
        <v>6253</v>
      </c>
      <c r="B666" s="237"/>
      <c r="C666" s="164" t="s">
        <v>6262</v>
      </c>
      <c r="D666" s="163"/>
      <c r="E666" s="230" t="s">
        <v>6255</v>
      </c>
      <c r="F666" s="233" t="s">
        <v>6260</v>
      </c>
      <c r="G666" s="233" t="s">
        <v>6257</v>
      </c>
      <c r="H666" s="233" t="s">
        <v>6263</v>
      </c>
      <c r="I666" s="164" t="s">
        <v>36</v>
      </c>
      <c r="J666" s="163"/>
      <c r="K666" s="163"/>
      <c r="L666" s="163"/>
      <c r="M666" s="163"/>
      <c r="N666" s="163"/>
      <c r="O666" s="163"/>
      <c r="P666" s="163"/>
      <c r="Q666" s="163"/>
      <c r="R666" s="163"/>
      <c r="S666" s="163"/>
      <c r="T666" s="163"/>
      <c r="U666" s="163"/>
      <c r="V666" s="163"/>
      <c r="W666" s="163"/>
      <c r="X666" s="163"/>
      <c r="Y666" s="163"/>
      <c r="Z666" s="163"/>
      <c r="AA666" s="163"/>
    </row>
    <row r="667" ht="14.25" customHeight="1">
      <c r="A667" s="163" t="s">
        <v>6253</v>
      </c>
      <c r="B667" s="237"/>
      <c r="C667" s="164" t="s">
        <v>6264</v>
      </c>
      <c r="D667" s="163"/>
      <c r="E667" s="230" t="s">
        <v>6255</v>
      </c>
      <c r="F667" s="233" t="s">
        <v>6265</v>
      </c>
      <c r="G667" s="233" t="s">
        <v>6266</v>
      </c>
      <c r="H667" s="233" t="s">
        <v>6267</v>
      </c>
      <c r="I667" s="164" t="s">
        <v>36</v>
      </c>
      <c r="J667" s="163"/>
      <c r="K667" s="163"/>
      <c r="L667" s="163"/>
      <c r="M667" s="163"/>
      <c r="N667" s="163"/>
      <c r="O667" s="163"/>
      <c r="P667" s="163"/>
      <c r="Q667" s="163"/>
      <c r="R667" s="163"/>
      <c r="S667" s="163"/>
      <c r="T667" s="163"/>
      <c r="U667" s="163"/>
      <c r="V667" s="163"/>
      <c r="W667" s="163"/>
      <c r="X667" s="163"/>
      <c r="Y667" s="163"/>
      <c r="Z667" s="163"/>
      <c r="AA667" s="163"/>
    </row>
    <row r="668" ht="14.25" customHeight="1">
      <c r="A668" s="163" t="s">
        <v>6253</v>
      </c>
      <c r="B668" s="237"/>
      <c r="C668" s="164" t="s">
        <v>6268</v>
      </c>
      <c r="D668" s="163"/>
      <c r="E668" s="230" t="s">
        <v>6255</v>
      </c>
      <c r="F668" s="233" t="s">
        <v>6265</v>
      </c>
      <c r="G668" s="233" t="s">
        <v>6269</v>
      </c>
      <c r="H668" s="233" t="s">
        <v>6270</v>
      </c>
      <c r="I668" s="164" t="s">
        <v>36</v>
      </c>
      <c r="J668" s="163"/>
      <c r="K668" s="163"/>
      <c r="L668" s="163"/>
      <c r="M668" s="163"/>
      <c r="N668" s="163"/>
      <c r="O668" s="163"/>
      <c r="P668" s="163"/>
      <c r="Q668" s="163"/>
      <c r="R668" s="163"/>
      <c r="S668" s="163"/>
      <c r="T668" s="163"/>
      <c r="U668" s="163"/>
      <c r="V668" s="163"/>
      <c r="W668" s="163"/>
      <c r="X668" s="163"/>
      <c r="Y668" s="163"/>
      <c r="Z668" s="163"/>
      <c r="AA668" s="163"/>
    </row>
    <row r="669" ht="14.25" customHeight="1">
      <c r="A669" s="163" t="s">
        <v>6253</v>
      </c>
      <c r="B669" s="237"/>
      <c r="C669" s="164" t="s">
        <v>6271</v>
      </c>
      <c r="D669" s="163"/>
      <c r="E669" s="230" t="s">
        <v>6255</v>
      </c>
      <c r="F669" s="233" t="s">
        <v>6272</v>
      </c>
      <c r="G669" s="233" t="s">
        <v>6257</v>
      </c>
      <c r="H669" s="233" t="s">
        <v>6258</v>
      </c>
      <c r="I669" s="164" t="s">
        <v>36</v>
      </c>
      <c r="J669" s="163"/>
      <c r="K669" s="163"/>
      <c r="L669" s="163"/>
      <c r="M669" s="163"/>
      <c r="N669" s="163"/>
      <c r="O669" s="163"/>
      <c r="P669" s="163"/>
      <c r="Q669" s="163"/>
      <c r="R669" s="163"/>
      <c r="S669" s="163"/>
      <c r="T669" s="163"/>
      <c r="U669" s="163"/>
      <c r="V669" s="163"/>
      <c r="W669" s="163"/>
      <c r="X669" s="163"/>
      <c r="Y669" s="163"/>
      <c r="Z669" s="163"/>
      <c r="AA669" s="163"/>
    </row>
    <row r="670" ht="14.25" customHeight="1">
      <c r="A670" s="163" t="s">
        <v>6253</v>
      </c>
      <c r="B670" s="237"/>
      <c r="C670" s="164" t="s">
        <v>6273</v>
      </c>
      <c r="D670" s="163"/>
      <c r="E670" s="230" t="s">
        <v>6255</v>
      </c>
      <c r="F670" s="233" t="s">
        <v>6274</v>
      </c>
      <c r="G670" s="233" t="s">
        <v>6257</v>
      </c>
      <c r="H670" s="233" t="s">
        <v>6261</v>
      </c>
      <c r="I670" s="164" t="s">
        <v>36</v>
      </c>
      <c r="J670" s="163"/>
      <c r="K670" s="163"/>
      <c r="L670" s="163"/>
      <c r="M670" s="163"/>
      <c r="N670" s="163"/>
      <c r="O670" s="163"/>
      <c r="P670" s="163"/>
      <c r="Q670" s="163"/>
      <c r="R670" s="163"/>
      <c r="S670" s="163"/>
      <c r="T670" s="163"/>
      <c r="U670" s="163"/>
      <c r="V670" s="163"/>
      <c r="W670" s="163"/>
      <c r="X670" s="163"/>
      <c r="Y670" s="163"/>
      <c r="Z670" s="163"/>
      <c r="AA670" s="163"/>
    </row>
    <row r="671" ht="14.25" customHeight="1">
      <c r="A671" s="163" t="s">
        <v>6253</v>
      </c>
      <c r="B671" s="237"/>
      <c r="C671" s="164" t="s">
        <v>6275</v>
      </c>
      <c r="D671" s="163"/>
      <c r="E671" s="230" t="s">
        <v>6255</v>
      </c>
      <c r="F671" s="233" t="s">
        <v>6274</v>
      </c>
      <c r="G671" s="233" t="s">
        <v>6257</v>
      </c>
      <c r="H671" s="233" t="s">
        <v>6263</v>
      </c>
      <c r="I671" s="164" t="s">
        <v>36</v>
      </c>
      <c r="J671" s="163"/>
      <c r="K671" s="163"/>
      <c r="L671" s="163"/>
      <c r="M671" s="163"/>
      <c r="N671" s="163"/>
      <c r="O671" s="163"/>
      <c r="P671" s="163"/>
      <c r="Q671" s="163"/>
      <c r="R671" s="163"/>
      <c r="S671" s="163"/>
      <c r="T671" s="163"/>
      <c r="U671" s="163"/>
      <c r="V671" s="163"/>
      <c r="W671" s="163"/>
      <c r="X671" s="163"/>
      <c r="Y671" s="163"/>
      <c r="Z671" s="163"/>
      <c r="AA671" s="163"/>
    </row>
    <row r="672" ht="14.25" customHeight="1">
      <c r="A672" s="163" t="s">
        <v>6253</v>
      </c>
      <c r="B672" s="237"/>
      <c r="C672" s="164" t="s">
        <v>6276</v>
      </c>
      <c r="D672" s="163"/>
      <c r="E672" s="230" t="s">
        <v>6255</v>
      </c>
      <c r="F672" s="233" t="s">
        <v>6277</v>
      </c>
      <c r="G672" s="233" t="s">
        <v>6266</v>
      </c>
      <c r="H672" s="233" t="s">
        <v>6267</v>
      </c>
      <c r="I672" s="164" t="s">
        <v>36</v>
      </c>
      <c r="J672" s="163"/>
      <c r="K672" s="163"/>
      <c r="L672" s="163"/>
      <c r="M672" s="163"/>
      <c r="N672" s="163"/>
      <c r="O672" s="163"/>
      <c r="P672" s="163"/>
      <c r="Q672" s="163"/>
      <c r="R672" s="163"/>
      <c r="S672" s="163"/>
      <c r="T672" s="163"/>
      <c r="U672" s="163"/>
      <c r="V672" s="163"/>
      <c r="W672" s="163"/>
      <c r="X672" s="163"/>
      <c r="Y672" s="163"/>
      <c r="Z672" s="163"/>
      <c r="AA672" s="163"/>
    </row>
    <row r="673" ht="14.25" customHeight="1">
      <c r="A673" s="163" t="s">
        <v>6253</v>
      </c>
      <c r="B673" s="237"/>
      <c r="C673" s="164" t="s">
        <v>6278</v>
      </c>
      <c r="D673" s="163"/>
      <c r="E673" s="230" t="s">
        <v>6255</v>
      </c>
      <c r="F673" s="233" t="s">
        <v>6277</v>
      </c>
      <c r="G673" s="233" t="s">
        <v>6269</v>
      </c>
      <c r="H673" s="233" t="s">
        <v>6270</v>
      </c>
      <c r="I673" s="164" t="s">
        <v>36</v>
      </c>
      <c r="J673" s="163"/>
      <c r="K673" s="163"/>
      <c r="L673" s="163"/>
      <c r="M673" s="163"/>
      <c r="N673" s="163"/>
      <c r="O673" s="163"/>
      <c r="P673" s="163"/>
      <c r="Q673" s="163"/>
      <c r="R673" s="163"/>
      <c r="S673" s="163"/>
      <c r="T673" s="163"/>
      <c r="U673" s="163"/>
      <c r="V673" s="163"/>
      <c r="W673" s="163"/>
      <c r="X673" s="163"/>
      <c r="Y673" s="163"/>
      <c r="Z673" s="163"/>
      <c r="AA673" s="163"/>
    </row>
    <row r="674" ht="14.25" customHeight="1">
      <c r="A674" s="163" t="s">
        <v>6253</v>
      </c>
      <c r="B674" s="237"/>
      <c r="C674" s="164" t="s">
        <v>6279</v>
      </c>
      <c r="D674" s="163"/>
      <c r="E674" s="230" t="s">
        <v>6255</v>
      </c>
      <c r="F674" s="233" t="s">
        <v>6280</v>
      </c>
      <c r="G674" s="233" t="s">
        <v>6257</v>
      </c>
      <c r="H674" s="233" t="s">
        <v>6258</v>
      </c>
      <c r="I674" s="164" t="s">
        <v>36</v>
      </c>
      <c r="J674" s="163"/>
      <c r="K674" s="163"/>
      <c r="L674" s="163"/>
      <c r="M674" s="163"/>
      <c r="N674" s="163"/>
      <c r="O674" s="163"/>
      <c r="P674" s="163"/>
      <c r="Q674" s="163"/>
      <c r="R674" s="163"/>
      <c r="S674" s="163"/>
      <c r="T674" s="163"/>
      <c r="U674" s="163"/>
      <c r="V674" s="163"/>
      <c r="W674" s="163"/>
      <c r="X674" s="163"/>
      <c r="Y674" s="163"/>
      <c r="Z674" s="163"/>
      <c r="AA674" s="163"/>
    </row>
    <row r="675" ht="14.25" customHeight="1">
      <c r="A675" s="163" t="s">
        <v>6253</v>
      </c>
      <c r="B675" s="237"/>
      <c r="C675" s="164" t="s">
        <v>6281</v>
      </c>
      <c r="D675" s="163"/>
      <c r="E675" s="230" t="s">
        <v>6255</v>
      </c>
      <c r="F675" s="233" t="s">
        <v>6282</v>
      </c>
      <c r="G675" s="233" t="s">
        <v>6257</v>
      </c>
      <c r="H675" s="233" t="s">
        <v>6261</v>
      </c>
      <c r="I675" s="164" t="s">
        <v>36</v>
      </c>
      <c r="J675" s="163"/>
      <c r="K675" s="163"/>
      <c r="L675" s="163"/>
      <c r="M675" s="163"/>
      <c r="N675" s="163"/>
      <c r="O675" s="163"/>
      <c r="P675" s="163"/>
      <c r="Q675" s="163"/>
      <c r="R675" s="163"/>
      <c r="S675" s="163"/>
      <c r="T675" s="163"/>
      <c r="U675" s="163"/>
      <c r="V675" s="163"/>
      <c r="W675" s="163"/>
      <c r="X675" s="163"/>
      <c r="Y675" s="163"/>
      <c r="Z675" s="163"/>
      <c r="AA675" s="163"/>
    </row>
    <row r="676" ht="14.25" customHeight="1">
      <c r="A676" s="163" t="s">
        <v>6253</v>
      </c>
      <c r="B676" s="237"/>
      <c r="C676" s="164" t="s">
        <v>6283</v>
      </c>
      <c r="D676" s="163"/>
      <c r="E676" s="230" t="s">
        <v>6255</v>
      </c>
      <c r="F676" s="233" t="s">
        <v>6282</v>
      </c>
      <c r="G676" s="233" t="s">
        <v>6257</v>
      </c>
      <c r="H676" s="233" t="s">
        <v>6263</v>
      </c>
      <c r="I676" s="164" t="s">
        <v>36</v>
      </c>
      <c r="J676" s="163"/>
      <c r="K676" s="163"/>
      <c r="L676" s="163"/>
      <c r="M676" s="163"/>
      <c r="N676" s="163"/>
      <c r="O676" s="163"/>
      <c r="P676" s="163"/>
      <c r="Q676" s="163"/>
      <c r="R676" s="163"/>
      <c r="S676" s="163"/>
      <c r="T676" s="163"/>
      <c r="U676" s="163"/>
      <c r="V676" s="163"/>
      <c r="W676" s="163"/>
      <c r="X676" s="163"/>
      <c r="Y676" s="163"/>
      <c r="Z676" s="163"/>
      <c r="AA676" s="163"/>
    </row>
    <row r="677" ht="14.25" customHeight="1">
      <c r="A677" s="163" t="s">
        <v>6253</v>
      </c>
      <c r="B677" s="237"/>
      <c r="C677" s="164" t="s">
        <v>6284</v>
      </c>
      <c r="D677" s="163"/>
      <c r="E677" s="230" t="s">
        <v>6255</v>
      </c>
      <c r="F677" s="233" t="s">
        <v>6285</v>
      </c>
      <c r="G677" s="233" t="s">
        <v>6266</v>
      </c>
      <c r="H677" s="233" t="s">
        <v>6267</v>
      </c>
      <c r="I677" s="164" t="s">
        <v>36</v>
      </c>
      <c r="J677" s="163"/>
      <c r="K677" s="163"/>
      <c r="L677" s="163"/>
      <c r="M677" s="163"/>
      <c r="N677" s="163"/>
      <c r="O677" s="163"/>
      <c r="P677" s="163"/>
      <c r="Q677" s="163"/>
      <c r="R677" s="163"/>
      <c r="S677" s="163"/>
      <c r="T677" s="163"/>
      <c r="U677" s="163"/>
      <c r="V677" s="163"/>
      <c r="W677" s="163"/>
      <c r="X677" s="163"/>
      <c r="Y677" s="163"/>
      <c r="Z677" s="163"/>
      <c r="AA677" s="163"/>
    </row>
    <row r="678" ht="14.25" customHeight="1">
      <c r="A678" s="163" t="s">
        <v>6253</v>
      </c>
      <c r="B678" s="163"/>
      <c r="C678" s="164" t="s">
        <v>6286</v>
      </c>
      <c r="D678" s="163"/>
      <c r="E678" s="230" t="s">
        <v>6255</v>
      </c>
      <c r="F678" s="233" t="s">
        <v>6285</v>
      </c>
      <c r="G678" s="233" t="s">
        <v>6269</v>
      </c>
      <c r="H678" s="233" t="s">
        <v>6270</v>
      </c>
      <c r="I678" s="164" t="s">
        <v>36</v>
      </c>
      <c r="J678" s="163"/>
      <c r="K678" s="163"/>
      <c r="L678" s="163"/>
      <c r="M678" s="163"/>
      <c r="N678" s="163"/>
      <c r="O678" s="163"/>
      <c r="P678" s="163"/>
      <c r="Q678" s="163"/>
      <c r="R678" s="163"/>
      <c r="S678" s="163"/>
      <c r="T678" s="163"/>
      <c r="U678" s="163"/>
      <c r="V678" s="163"/>
      <c r="W678" s="163"/>
      <c r="X678" s="163"/>
      <c r="Y678" s="163"/>
      <c r="Z678" s="163"/>
      <c r="AA678" s="163"/>
    </row>
    <row r="679" ht="14.25" customHeight="1">
      <c r="A679" s="163" t="s">
        <v>6253</v>
      </c>
      <c r="B679" s="163"/>
      <c r="C679" s="164" t="s">
        <v>6287</v>
      </c>
      <c r="D679" s="163"/>
      <c r="E679" s="230" t="s">
        <v>6255</v>
      </c>
      <c r="F679" s="233" t="s">
        <v>6288</v>
      </c>
      <c r="G679" s="233" t="s">
        <v>6257</v>
      </c>
      <c r="H679" s="233" t="s">
        <v>6258</v>
      </c>
      <c r="I679" s="164" t="s">
        <v>36</v>
      </c>
      <c r="J679" s="163"/>
      <c r="K679" s="163"/>
      <c r="L679" s="163"/>
      <c r="M679" s="163"/>
      <c r="N679" s="163"/>
      <c r="O679" s="163"/>
      <c r="P679" s="163"/>
      <c r="Q679" s="163"/>
      <c r="R679" s="163"/>
      <c r="S679" s="163"/>
      <c r="T679" s="163"/>
      <c r="U679" s="163"/>
      <c r="V679" s="163"/>
      <c r="W679" s="163"/>
      <c r="X679" s="163"/>
      <c r="Y679" s="163"/>
      <c r="Z679" s="163"/>
      <c r="AA679" s="163"/>
    </row>
    <row r="680" ht="14.25" customHeight="1">
      <c r="A680" s="163" t="s">
        <v>6253</v>
      </c>
      <c r="B680" s="163"/>
      <c r="C680" s="164" t="s">
        <v>6289</v>
      </c>
      <c r="D680" s="163"/>
      <c r="E680" s="230" t="s">
        <v>6255</v>
      </c>
      <c r="F680" s="233" t="s">
        <v>6290</v>
      </c>
      <c r="G680" s="233" t="s">
        <v>6257</v>
      </c>
      <c r="H680" s="233" t="s">
        <v>6261</v>
      </c>
      <c r="I680" s="164" t="s">
        <v>36</v>
      </c>
      <c r="J680" s="163"/>
      <c r="K680" s="163"/>
      <c r="L680" s="163"/>
      <c r="M680" s="163"/>
      <c r="N680" s="163"/>
      <c r="O680" s="163"/>
      <c r="P680" s="163"/>
      <c r="Q680" s="163"/>
      <c r="R680" s="163"/>
      <c r="S680" s="163"/>
      <c r="T680" s="163"/>
      <c r="U680" s="163"/>
      <c r="V680" s="163"/>
      <c r="W680" s="163"/>
      <c r="X680" s="163"/>
      <c r="Y680" s="163"/>
      <c r="Z680" s="163"/>
      <c r="AA680" s="163"/>
    </row>
    <row r="681" ht="14.25" customHeight="1">
      <c r="A681" s="163" t="s">
        <v>6253</v>
      </c>
      <c r="B681" s="163"/>
      <c r="C681" s="164" t="s">
        <v>6291</v>
      </c>
      <c r="D681" s="163"/>
      <c r="E681" s="230" t="s">
        <v>6255</v>
      </c>
      <c r="F681" s="233" t="s">
        <v>6290</v>
      </c>
      <c r="G681" s="233" t="s">
        <v>6257</v>
      </c>
      <c r="H681" s="233" t="s">
        <v>6263</v>
      </c>
      <c r="I681" s="164" t="s">
        <v>36</v>
      </c>
      <c r="J681" s="163"/>
      <c r="K681" s="163"/>
      <c r="L681" s="163"/>
      <c r="M681" s="163"/>
      <c r="N681" s="163"/>
      <c r="O681" s="163"/>
      <c r="P681" s="163"/>
      <c r="Q681" s="163"/>
      <c r="R681" s="163"/>
      <c r="S681" s="163"/>
      <c r="T681" s="163"/>
      <c r="U681" s="163"/>
      <c r="V681" s="163"/>
      <c r="W681" s="163"/>
      <c r="X681" s="163"/>
      <c r="Y681" s="163"/>
      <c r="Z681" s="163"/>
      <c r="AA681" s="163"/>
    </row>
    <row r="682" ht="14.25" customHeight="1">
      <c r="A682" s="163" t="s">
        <v>6253</v>
      </c>
      <c r="B682" s="163"/>
      <c r="C682" s="164" t="s">
        <v>6292</v>
      </c>
      <c r="D682" s="163"/>
      <c r="E682" s="230" t="s">
        <v>6255</v>
      </c>
      <c r="F682" s="233" t="s">
        <v>6293</v>
      </c>
      <c r="G682" s="233" t="s">
        <v>6266</v>
      </c>
      <c r="H682" s="233" t="s">
        <v>6267</v>
      </c>
      <c r="I682" s="164" t="s">
        <v>36</v>
      </c>
      <c r="J682" s="163"/>
      <c r="K682" s="163"/>
      <c r="L682" s="163"/>
      <c r="M682" s="163"/>
      <c r="N682" s="163"/>
      <c r="O682" s="163"/>
      <c r="P682" s="163"/>
      <c r="Q682" s="163"/>
      <c r="R682" s="163"/>
      <c r="S682" s="163"/>
      <c r="T682" s="163"/>
      <c r="U682" s="163"/>
      <c r="V682" s="163"/>
      <c r="W682" s="163"/>
      <c r="X682" s="163"/>
      <c r="Y682" s="163"/>
      <c r="Z682" s="163"/>
      <c r="AA682" s="163"/>
    </row>
    <row r="683" ht="14.25" customHeight="1">
      <c r="A683" s="163" t="s">
        <v>6253</v>
      </c>
      <c r="B683" s="163"/>
      <c r="C683" s="164" t="s">
        <v>6294</v>
      </c>
      <c r="D683" s="163"/>
      <c r="E683" s="230" t="s">
        <v>6255</v>
      </c>
      <c r="F683" s="233" t="s">
        <v>6293</v>
      </c>
      <c r="G683" s="233" t="s">
        <v>6269</v>
      </c>
      <c r="H683" s="233" t="s">
        <v>6270</v>
      </c>
      <c r="I683" s="164" t="s">
        <v>36</v>
      </c>
      <c r="J683" s="163"/>
      <c r="K683" s="163"/>
      <c r="L683" s="163"/>
      <c r="M683" s="163"/>
      <c r="N683" s="163"/>
      <c r="O683" s="163"/>
      <c r="P683" s="163"/>
      <c r="Q683" s="163"/>
      <c r="R683" s="163"/>
      <c r="S683" s="163"/>
      <c r="T683" s="163"/>
      <c r="U683" s="163"/>
      <c r="V683" s="163"/>
      <c r="W683" s="163"/>
      <c r="X683" s="163"/>
      <c r="Y683" s="163"/>
      <c r="Z683" s="163"/>
      <c r="AA683" s="163"/>
    </row>
    <row r="684" ht="14.25" customHeight="1">
      <c r="A684" s="213"/>
      <c r="B684" s="164"/>
      <c r="C684" s="163"/>
      <c r="D684" s="163"/>
      <c r="E684" s="165"/>
      <c r="F684" s="163"/>
      <c r="G684" s="163"/>
      <c r="H684" s="163"/>
      <c r="I684" s="163"/>
      <c r="J684" s="163"/>
      <c r="K684" s="163"/>
      <c r="L684" s="163"/>
      <c r="M684" s="163"/>
      <c r="N684" s="163"/>
      <c r="O684" s="163"/>
      <c r="P684" s="163"/>
      <c r="Q684" s="163"/>
      <c r="R684" s="163"/>
      <c r="S684" s="163"/>
      <c r="T684" s="163"/>
      <c r="U684" s="163"/>
      <c r="V684" s="163"/>
      <c r="W684" s="163"/>
      <c r="X684" s="163"/>
      <c r="Y684" s="163"/>
      <c r="Z684" s="163"/>
      <c r="AA684" s="163"/>
    </row>
    <row r="685" ht="14.25" customHeight="1">
      <c r="A685" s="213"/>
      <c r="B685" s="164"/>
      <c r="C685" s="163"/>
      <c r="D685" s="163"/>
      <c r="E685" s="165"/>
      <c r="F685" s="163"/>
      <c r="G685" s="163"/>
      <c r="H685" s="163"/>
      <c r="I685" s="163"/>
      <c r="J685" s="163"/>
      <c r="K685" s="163"/>
      <c r="L685" s="163"/>
      <c r="M685" s="163"/>
      <c r="N685" s="163"/>
      <c r="O685" s="163"/>
      <c r="P685" s="163"/>
      <c r="Q685" s="163"/>
      <c r="R685" s="163"/>
      <c r="S685" s="163"/>
      <c r="T685" s="163"/>
      <c r="U685" s="163"/>
      <c r="V685" s="163"/>
      <c r="W685" s="163"/>
      <c r="X685" s="163"/>
      <c r="Y685" s="163"/>
      <c r="Z685" s="163"/>
      <c r="AA685" s="163"/>
    </row>
    <row r="686" ht="14.25" customHeight="1">
      <c r="A686" s="163"/>
      <c r="B686" s="164"/>
      <c r="C686" s="163"/>
      <c r="D686" s="163"/>
      <c r="E686" s="165"/>
      <c r="F686" s="163"/>
      <c r="G686" s="163"/>
      <c r="H686" s="163"/>
      <c r="I686" s="163"/>
      <c r="J686" s="163"/>
      <c r="K686" s="163"/>
      <c r="L686" s="163"/>
      <c r="M686" s="163"/>
      <c r="N686" s="163"/>
      <c r="O686" s="163"/>
      <c r="P686" s="163"/>
      <c r="Q686" s="163"/>
      <c r="R686" s="163"/>
      <c r="S686" s="163"/>
      <c r="T686" s="163"/>
      <c r="U686" s="163"/>
      <c r="V686" s="163"/>
      <c r="W686" s="163"/>
      <c r="X686" s="163"/>
      <c r="Y686" s="163"/>
      <c r="Z686" s="163"/>
      <c r="AA686" s="163"/>
    </row>
    <row r="687" ht="14.25" customHeight="1">
      <c r="A687" s="213"/>
      <c r="B687" s="164"/>
      <c r="C687" s="163"/>
      <c r="D687" s="163"/>
      <c r="E687" s="165"/>
      <c r="F687" s="163"/>
      <c r="G687" s="163"/>
      <c r="H687" s="163"/>
      <c r="I687" s="163"/>
      <c r="J687" s="163"/>
      <c r="K687" s="163"/>
      <c r="L687" s="163"/>
      <c r="M687" s="163"/>
      <c r="N687" s="163"/>
      <c r="O687" s="163"/>
      <c r="P687" s="163"/>
      <c r="Q687" s="163"/>
      <c r="R687" s="163"/>
      <c r="S687" s="163"/>
      <c r="T687" s="163"/>
      <c r="U687" s="163"/>
      <c r="V687" s="163"/>
      <c r="W687" s="163"/>
      <c r="X687" s="163"/>
      <c r="Y687" s="163"/>
      <c r="Z687" s="163"/>
      <c r="AA687" s="163"/>
    </row>
    <row r="688" ht="14.25" customHeight="1">
      <c r="A688" s="163"/>
      <c r="B688" s="237"/>
      <c r="C688" s="163"/>
      <c r="D688" s="163"/>
      <c r="E688" s="165"/>
      <c r="F688" s="163"/>
      <c r="G688" s="163"/>
      <c r="H688" s="163"/>
      <c r="I688" s="163"/>
      <c r="J688" s="163"/>
      <c r="K688" s="163"/>
      <c r="L688" s="163"/>
      <c r="M688" s="163"/>
      <c r="N688" s="163"/>
      <c r="O688" s="163"/>
      <c r="P688" s="163"/>
      <c r="Q688" s="163"/>
      <c r="R688" s="163"/>
      <c r="S688" s="163"/>
      <c r="T688" s="163"/>
      <c r="U688" s="163"/>
      <c r="V688" s="163"/>
      <c r="W688" s="163"/>
      <c r="X688" s="163"/>
      <c r="Y688" s="163"/>
      <c r="Z688" s="163"/>
      <c r="AA688" s="163"/>
    </row>
    <row r="689" ht="14.25" customHeight="1">
      <c r="A689" s="237"/>
      <c r="B689" s="163"/>
      <c r="C689" s="163"/>
      <c r="D689" s="163"/>
      <c r="E689" s="165"/>
      <c r="F689" s="163"/>
      <c r="G689" s="163"/>
      <c r="H689" s="163"/>
      <c r="I689" s="163"/>
      <c r="J689" s="163"/>
      <c r="K689" s="163"/>
      <c r="L689" s="163"/>
      <c r="M689" s="163"/>
      <c r="N689" s="163"/>
      <c r="O689" s="163"/>
      <c r="P689" s="163"/>
      <c r="Q689" s="163"/>
      <c r="R689" s="163"/>
      <c r="S689" s="163"/>
      <c r="T689" s="163"/>
      <c r="U689" s="163"/>
      <c r="V689" s="163"/>
      <c r="W689" s="163"/>
      <c r="X689" s="163"/>
      <c r="Y689" s="163"/>
      <c r="Z689" s="163"/>
      <c r="AA689" s="163"/>
    </row>
    <row r="690" ht="14.25" customHeight="1">
      <c r="A690" s="163"/>
      <c r="B690" s="163"/>
      <c r="C690" s="163"/>
      <c r="D690" s="163"/>
      <c r="E690" s="165"/>
      <c r="F690" s="163"/>
      <c r="G690" s="163"/>
      <c r="H690" s="163"/>
      <c r="I690" s="163"/>
      <c r="J690" s="163"/>
      <c r="K690" s="163"/>
      <c r="L690" s="163"/>
      <c r="M690" s="163"/>
      <c r="N690" s="163"/>
      <c r="O690" s="163"/>
      <c r="P690" s="163"/>
      <c r="Q690" s="163"/>
      <c r="R690" s="163"/>
      <c r="S690" s="163"/>
      <c r="T690" s="163"/>
      <c r="U690" s="163"/>
      <c r="V690" s="163"/>
      <c r="W690" s="163"/>
      <c r="X690" s="163"/>
      <c r="Y690" s="163"/>
      <c r="Z690" s="163"/>
      <c r="AA690" s="163"/>
    </row>
    <row r="691" ht="14.25" customHeight="1">
      <c r="A691" s="237"/>
      <c r="B691" s="237"/>
      <c r="C691" s="163"/>
      <c r="D691" s="163"/>
      <c r="E691" s="165"/>
      <c r="F691" s="163"/>
      <c r="G691" s="163"/>
      <c r="H691" s="163"/>
      <c r="I691" s="163"/>
      <c r="J691" s="163"/>
      <c r="K691" s="163"/>
      <c r="L691" s="163"/>
      <c r="M691" s="163"/>
      <c r="N691" s="163"/>
      <c r="O691" s="163"/>
      <c r="P691" s="163"/>
      <c r="Q691" s="163"/>
      <c r="R691" s="163"/>
      <c r="S691" s="163"/>
      <c r="T691" s="163"/>
      <c r="U691" s="163"/>
      <c r="V691" s="163"/>
      <c r="W691" s="163"/>
      <c r="X691" s="163"/>
      <c r="Y691" s="163"/>
      <c r="Z691" s="163"/>
      <c r="AA691" s="163"/>
    </row>
    <row r="692" ht="14.25" customHeight="1">
      <c r="A692" s="163"/>
      <c r="B692" s="163"/>
      <c r="C692" s="163"/>
      <c r="D692" s="163"/>
      <c r="E692" s="165"/>
      <c r="F692" s="163"/>
      <c r="G692" s="163"/>
      <c r="H692" s="163"/>
      <c r="I692" s="163"/>
      <c r="J692" s="163"/>
      <c r="K692" s="163"/>
      <c r="L692" s="163"/>
      <c r="M692" s="163"/>
      <c r="N692" s="163"/>
      <c r="O692" s="163"/>
      <c r="P692" s="163"/>
      <c r="Q692" s="163"/>
      <c r="R692" s="163"/>
      <c r="S692" s="163"/>
      <c r="T692" s="163"/>
      <c r="U692" s="163"/>
      <c r="V692" s="163"/>
      <c r="W692" s="163"/>
      <c r="X692" s="163"/>
      <c r="Y692" s="163"/>
      <c r="Z692" s="163"/>
      <c r="AA692" s="163"/>
    </row>
    <row r="693" ht="14.25" customHeight="1">
      <c r="A693" s="163"/>
      <c r="B693" s="163"/>
      <c r="C693" s="163"/>
      <c r="D693" s="163"/>
      <c r="E693" s="165"/>
      <c r="F693" s="163"/>
      <c r="G693" s="163"/>
      <c r="H693" s="163"/>
      <c r="I693" s="163"/>
      <c r="J693" s="163"/>
      <c r="K693" s="163"/>
      <c r="L693" s="163"/>
      <c r="M693" s="163"/>
      <c r="N693" s="163"/>
      <c r="O693" s="163"/>
      <c r="P693" s="163"/>
      <c r="Q693" s="163"/>
      <c r="R693" s="163"/>
      <c r="S693" s="163"/>
      <c r="T693" s="163"/>
      <c r="U693" s="163"/>
      <c r="V693" s="163"/>
      <c r="W693" s="163"/>
      <c r="X693" s="163"/>
      <c r="Y693" s="163"/>
      <c r="Z693" s="163"/>
      <c r="AA693" s="163"/>
    </row>
    <row r="694" ht="14.25" customHeight="1">
      <c r="A694" s="163"/>
      <c r="B694" s="163"/>
      <c r="C694" s="163"/>
      <c r="D694" s="163"/>
      <c r="E694" s="165"/>
      <c r="F694" s="163"/>
      <c r="G694" s="163"/>
      <c r="H694" s="163"/>
      <c r="I694" s="163"/>
      <c r="J694" s="163"/>
      <c r="K694" s="163"/>
      <c r="L694" s="163"/>
      <c r="M694" s="163"/>
      <c r="N694" s="163"/>
      <c r="O694" s="163"/>
      <c r="P694" s="163"/>
      <c r="Q694" s="163"/>
      <c r="R694" s="163"/>
      <c r="S694" s="163"/>
      <c r="T694" s="163"/>
      <c r="U694" s="163"/>
      <c r="V694" s="163"/>
      <c r="W694" s="163"/>
      <c r="X694" s="163"/>
      <c r="Y694" s="163"/>
      <c r="Z694" s="163"/>
      <c r="AA694" s="163"/>
    </row>
    <row r="695" ht="14.25" customHeight="1">
      <c r="A695" s="163"/>
      <c r="B695" s="163"/>
      <c r="C695" s="163"/>
      <c r="D695" s="163"/>
      <c r="E695" s="165"/>
      <c r="F695" s="163"/>
      <c r="G695" s="163"/>
      <c r="H695" s="163"/>
      <c r="I695" s="163"/>
      <c r="J695" s="163"/>
      <c r="K695" s="163"/>
      <c r="L695" s="163"/>
      <c r="M695" s="163"/>
      <c r="N695" s="163"/>
      <c r="O695" s="163"/>
      <c r="P695" s="163"/>
      <c r="Q695" s="163"/>
      <c r="R695" s="163"/>
      <c r="S695" s="163"/>
      <c r="T695" s="163"/>
      <c r="U695" s="163"/>
      <c r="V695" s="163"/>
      <c r="W695" s="163"/>
      <c r="X695" s="163"/>
      <c r="Y695" s="163"/>
      <c r="Z695" s="163"/>
      <c r="AA695" s="163"/>
    </row>
    <row r="696" ht="14.25" customHeight="1">
      <c r="A696" s="163"/>
      <c r="B696" s="163"/>
      <c r="C696" s="163"/>
      <c r="D696" s="163"/>
      <c r="E696" s="165"/>
      <c r="F696" s="163"/>
      <c r="G696" s="163"/>
      <c r="H696" s="163"/>
      <c r="I696" s="163"/>
      <c r="J696" s="163"/>
      <c r="K696" s="163"/>
      <c r="L696" s="163"/>
      <c r="M696" s="163"/>
      <c r="N696" s="163"/>
      <c r="O696" s="163"/>
      <c r="P696" s="163"/>
      <c r="Q696" s="163"/>
      <c r="R696" s="163"/>
      <c r="S696" s="163"/>
      <c r="T696" s="163"/>
      <c r="U696" s="163"/>
      <c r="V696" s="163"/>
      <c r="W696" s="163"/>
      <c r="X696" s="163"/>
      <c r="Y696" s="163"/>
      <c r="Z696" s="163"/>
      <c r="AA696" s="163"/>
    </row>
    <row r="697" ht="14.25" customHeight="1">
      <c r="A697" s="163"/>
      <c r="B697" s="163"/>
      <c r="C697" s="163"/>
      <c r="D697" s="163"/>
      <c r="E697" s="165"/>
      <c r="F697" s="163"/>
      <c r="G697" s="163"/>
      <c r="H697" s="163"/>
      <c r="I697" s="163"/>
      <c r="J697" s="163"/>
      <c r="K697" s="163"/>
      <c r="L697" s="163"/>
      <c r="M697" s="163"/>
      <c r="N697" s="163"/>
      <c r="O697" s="163"/>
      <c r="P697" s="163"/>
      <c r="Q697" s="163"/>
      <c r="R697" s="163"/>
      <c r="S697" s="163"/>
      <c r="T697" s="163"/>
      <c r="U697" s="163"/>
      <c r="V697" s="163"/>
      <c r="W697" s="163"/>
      <c r="X697" s="163"/>
      <c r="Y697" s="163"/>
      <c r="Z697" s="163"/>
      <c r="AA697" s="163"/>
    </row>
    <row r="698" ht="14.25" customHeight="1">
      <c r="A698" s="163"/>
      <c r="B698" s="163"/>
      <c r="C698" s="163"/>
      <c r="D698" s="163"/>
      <c r="E698" s="165"/>
      <c r="F698" s="163"/>
      <c r="G698" s="163"/>
      <c r="H698" s="163"/>
      <c r="I698" s="163"/>
      <c r="J698" s="163"/>
      <c r="K698" s="163"/>
      <c r="L698" s="163"/>
      <c r="M698" s="163"/>
      <c r="N698" s="163"/>
      <c r="O698" s="163"/>
      <c r="P698" s="163"/>
      <c r="Q698" s="163"/>
      <c r="R698" s="163"/>
      <c r="S698" s="163"/>
      <c r="T698" s="163"/>
      <c r="U698" s="163"/>
      <c r="V698" s="163"/>
      <c r="W698" s="163"/>
      <c r="X698" s="163"/>
      <c r="Y698" s="163"/>
      <c r="Z698" s="163"/>
      <c r="AA698" s="163"/>
    </row>
    <row r="699" ht="14.25" customHeight="1">
      <c r="A699" s="163"/>
      <c r="B699" s="163"/>
      <c r="C699" s="163"/>
      <c r="D699" s="163"/>
      <c r="E699" s="165"/>
      <c r="F699" s="163"/>
      <c r="G699" s="163"/>
      <c r="H699" s="163"/>
      <c r="I699" s="163"/>
      <c r="J699" s="163"/>
      <c r="K699" s="163"/>
      <c r="L699" s="163"/>
      <c r="M699" s="163"/>
      <c r="N699" s="163"/>
      <c r="O699" s="163"/>
      <c r="P699" s="163"/>
      <c r="Q699" s="163"/>
      <c r="R699" s="163"/>
      <c r="S699" s="163"/>
      <c r="T699" s="163"/>
      <c r="U699" s="163"/>
      <c r="V699" s="163"/>
      <c r="W699" s="163"/>
      <c r="X699" s="163"/>
      <c r="Y699" s="163"/>
      <c r="Z699" s="163"/>
      <c r="AA699" s="163"/>
    </row>
    <row r="700" ht="14.25" customHeight="1">
      <c r="A700" s="163"/>
      <c r="B700" s="163"/>
      <c r="C700" s="163"/>
      <c r="D700" s="163"/>
      <c r="E700" s="165"/>
      <c r="F700" s="163"/>
      <c r="G700" s="163"/>
      <c r="H700" s="163"/>
      <c r="I700" s="163"/>
      <c r="J700" s="163"/>
      <c r="K700" s="163"/>
      <c r="L700" s="163"/>
      <c r="M700" s="163"/>
      <c r="N700" s="163"/>
      <c r="O700" s="163"/>
      <c r="P700" s="163"/>
      <c r="Q700" s="163"/>
      <c r="R700" s="163"/>
      <c r="S700" s="163"/>
      <c r="T700" s="163"/>
      <c r="U700" s="163"/>
      <c r="V700" s="163"/>
      <c r="W700" s="163"/>
      <c r="X700" s="163"/>
      <c r="Y700" s="163"/>
      <c r="Z700" s="163"/>
      <c r="AA700" s="163"/>
    </row>
    <row r="701" ht="14.25" customHeight="1">
      <c r="A701" s="163"/>
      <c r="B701" s="163"/>
      <c r="C701" s="163"/>
      <c r="D701" s="163"/>
      <c r="E701" s="165"/>
      <c r="F701" s="163"/>
      <c r="G701" s="163"/>
      <c r="H701" s="163"/>
      <c r="I701" s="163"/>
      <c r="J701" s="163"/>
      <c r="K701" s="163"/>
      <c r="L701" s="163"/>
      <c r="M701" s="163"/>
      <c r="N701" s="163"/>
      <c r="O701" s="163"/>
      <c r="P701" s="163"/>
      <c r="Q701" s="163"/>
      <c r="R701" s="163"/>
      <c r="S701" s="163"/>
      <c r="T701" s="163"/>
      <c r="U701" s="163"/>
      <c r="V701" s="163"/>
      <c r="W701" s="163"/>
      <c r="X701" s="163"/>
      <c r="Y701" s="163"/>
      <c r="Z701" s="163"/>
      <c r="AA701" s="163"/>
    </row>
    <row r="702" ht="14.25" customHeight="1">
      <c r="A702" s="163"/>
      <c r="B702" s="163"/>
      <c r="C702" s="163"/>
      <c r="D702" s="163"/>
      <c r="E702" s="165"/>
      <c r="F702" s="163"/>
      <c r="G702" s="163"/>
      <c r="H702" s="163"/>
      <c r="I702" s="163"/>
      <c r="J702" s="163"/>
      <c r="K702" s="163"/>
      <c r="L702" s="163"/>
      <c r="M702" s="163"/>
      <c r="N702" s="163"/>
      <c r="O702" s="163"/>
      <c r="P702" s="163"/>
      <c r="Q702" s="163"/>
      <c r="R702" s="163"/>
      <c r="S702" s="163"/>
      <c r="T702" s="163"/>
      <c r="U702" s="163"/>
      <c r="V702" s="163"/>
      <c r="W702" s="163"/>
      <c r="X702" s="163"/>
      <c r="Y702" s="163"/>
      <c r="Z702" s="163"/>
      <c r="AA702" s="163"/>
    </row>
    <row r="703" ht="14.25" customHeight="1">
      <c r="A703" s="163"/>
      <c r="B703" s="163"/>
      <c r="C703" s="163"/>
      <c r="D703" s="163"/>
      <c r="E703" s="165"/>
      <c r="F703" s="163"/>
      <c r="G703" s="163"/>
      <c r="H703" s="163"/>
      <c r="I703" s="163"/>
      <c r="J703" s="163"/>
      <c r="K703" s="163"/>
      <c r="L703" s="163"/>
      <c r="M703" s="163"/>
      <c r="N703" s="163"/>
      <c r="O703" s="163"/>
      <c r="P703" s="163"/>
      <c r="Q703" s="163"/>
      <c r="R703" s="163"/>
      <c r="S703" s="163"/>
      <c r="T703" s="163"/>
      <c r="U703" s="163"/>
      <c r="V703" s="163"/>
      <c r="W703" s="163"/>
      <c r="X703" s="163"/>
      <c r="Y703" s="163"/>
      <c r="Z703" s="163"/>
      <c r="AA703" s="163"/>
    </row>
    <row r="704" ht="14.25" customHeight="1">
      <c r="A704" s="163"/>
      <c r="B704" s="163"/>
      <c r="C704" s="163"/>
      <c r="D704" s="163"/>
      <c r="E704" s="165"/>
      <c r="F704" s="163"/>
      <c r="G704" s="163"/>
      <c r="H704" s="163"/>
      <c r="I704" s="163"/>
      <c r="J704" s="163"/>
      <c r="K704" s="163"/>
      <c r="L704" s="163"/>
      <c r="M704" s="163"/>
      <c r="N704" s="163"/>
      <c r="O704" s="163"/>
      <c r="P704" s="163"/>
      <c r="Q704" s="163"/>
      <c r="R704" s="163"/>
      <c r="S704" s="163"/>
      <c r="T704" s="163"/>
      <c r="U704" s="163"/>
      <c r="V704" s="163"/>
      <c r="W704" s="163"/>
      <c r="X704" s="163"/>
      <c r="Y704" s="163"/>
      <c r="Z704" s="163"/>
      <c r="AA704" s="163"/>
    </row>
    <row r="705" ht="14.25" customHeight="1">
      <c r="A705" s="163"/>
      <c r="B705" s="163"/>
      <c r="C705" s="163"/>
      <c r="D705" s="163"/>
      <c r="E705" s="165"/>
      <c r="F705" s="163"/>
      <c r="G705" s="163"/>
      <c r="H705" s="163"/>
      <c r="I705" s="163"/>
      <c r="J705" s="163"/>
      <c r="K705" s="163"/>
      <c r="L705" s="163"/>
      <c r="M705" s="163"/>
      <c r="N705" s="163"/>
      <c r="O705" s="163"/>
      <c r="P705" s="163"/>
      <c r="Q705" s="163"/>
      <c r="R705" s="163"/>
      <c r="S705" s="163"/>
      <c r="T705" s="163"/>
      <c r="U705" s="163"/>
      <c r="V705" s="163"/>
      <c r="W705" s="163"/>
      <c r="X705" s="163"/>
      <c r="Y705" s="163"/>
      <c r="Z705" s="163"/>
      <c r="AA705" s="163"/>
    </row>
    <row r="706" ht="14.25" customHeight="1">
      <c r="A706" s="163"/>
      <c r="B706" s="163"/>
      <c r="C706" s="163"/>
      <c r="D706" s="163"/>
      <c r="E706" s="165"/>
      <c r="F706" s="163"/>
      <c r="G706" s="163"/>
      <c r="H706" s="163"/>
      <c r="I706" s="163"/>
      <c r="J706" s="163"/>
      <c r="K706" s="163"/>
      <c r="L706" s="163"/>
      <c r="M706" s="163"/>
      <c r="N706" s="163"/>
      <c r="O706" s="163"/>
      <c r="P706" s="163"/>
      <c r="Q706" s="163"/>
      <c r="R706" s="163"/>
      <c r="S706" s="163"/>
      <c r="T706" s="163"/>
      <c r="U706" s="163"/>
      <c r="V706" s="163"/>
      <c r="W706" s="163"/>
      <c r="X706" s="163"/>
      <c r="Y706" s="163"/>
      <c r="Z706" s="163"/>
      <c r="AA706" s="163"/>
    </row>
    <row r="707" ht="14.25" customHeight="1">
      <c r="A707" s="163"/>
      <c r="B707" s="163"/>
      <c r="C707" s="163"/>
      <c r="D707" s="163"/>
      <c r="E707" s="165"/>
      <c r="F707" s="163"/>
      <c r="G707" s="163"/>
      <c r="H707" s="163"/>
      <c r="I707" s="163"/>
      <c r="J707" s="163"/>
      <c r="K707" s="163"/>
      <c r="L707" s="163"/>
      <c r="M707" s="163"/>
      <c r="N707" s="163"/>
      <c r="O707" s="163"/>
      <c r="P707" s="163"/>
      <c r="Q707" s="163"/>
      <c r="R707" s="163"/>
      <c r="S707" s="163"/>
      <c r="T707" s="163"/>
      <c r="U707" s="163"/>
      <c r="V707" s="163"/>
      <c r="W707" s="163"/>
      <c r="X707" s="163"/>
      <c r="Y707" s="163"/>
      <c r="Z707" s="163"/>
      <c r="AA707" s="163"/>
    </row>
    <row r="708" ht="14.25" customHeight="1">
      <c r="A708" s="163"/>
      <c r="B708" s="163"/>
      <c r="C708" s="163"/>
      <c r="D708" s="163"/>
      <c r="E708" s="165"/>
      <c r="F708" s="163"/>
      <c r="G708" s="163"/>
      <c r="H708" s="163"/>
      <c r="I708" s="163"/>
      <c r="J708" s="163"/>
      <c r="K708" s="163"/>
      <c r="L708" s="163"/>
      <c r="M708" s="163"/>
      <c r="N708" s="163"/>
      <c r="O708" s="163"/>
      <c r="P708" s="163"/>
      <c r="Q708" s="163"/>
      <c r="R708" s="163"/>
      <c r="S708" s="163"/>
      <c r="T708" s="163"/>
      <c r="U708" s="163"/>
      <c r="V708" s="163"/>
      <c r="W708" s="163"/>
      <c r="X708" s="163"/>
      <c r="Y708" s="163"/>
      <c r="Z708" s="163"/>
      <c r="AA708" s="163"/>
    </row>
    <row r="709" ht="14.25" customHeight="1">
      <c r="A709" s="163"/>
      <c r="B709" s="163"/>
      <c r="C709" s="163"/>
      <c r="D709" s="163"/>
      <c r="E709" s="165"/>
      <c r="F709" s="163"/>
      <c r="G709" s="163"/>
      <c r="H709" s="163"/>
      <c r="I709" s="163"/>
      <c r="J709" s="163"/>
      <c r="K709" s="163"/>
      <c r="L709" s="163"/>
      <c r="M709" s="163"/>
      <c r="N709" s="163"/>
      <c r="O709" s="163"/>
      <c r="P709" s="163"/>
      <c r="Q709" s="163"/>
      <c r="R709" s="163"/>
      <c r="S709" s="163"/>
      <c r="T709" s="163"/>
      <c r="U709" s="163"/>
      <c r="V709" s="163"/>
      <c r="W709" s="163"/>
      <c r="X709" s="163"/>
      <c r="Y709" s="163"/>
      <c r="Z709" s="163"/>
      <c r="AA709" s="163"/>
    </row>
    <row r="710" ht="14.25" customHeight="1">
      <c r="A710" s="163"/>
      <c r="B710" s="163"/>
      <c r="C710" s="163"/>
      <c r="D710" s="163"/>
      <c r="E710" s="165"/>
      <c r="F710" s="163"/>
      <c r="G710" s="163"/>
      <c r="H710" s="163"/>
      <c r="I710" s="163"/>
      <c r="J710" s="163"/>
      <c r="K710" s="163"/>
      <c r="L710" s="163"/>
      <c r="M710" s="163"/>
      <c r="N710" s="163"/>
      <c r="O710" s="163"/>
      <c r="P710" s="163"/>
      <c r="Q710" s="163"/>
      <c r="R710" s="163"/>
      <c r="S710" s="163"/>
      <c r="T710" s="163"/>
      <c r="U710" s="163"/>
      <c r="V710" s="163"/>
      <c r="W710" s="163"/>
      <c r="X710" s="163"/>
      <c r="Y710" s="163"/>
      <c r="Z710" s="163"/>
      <c r="AA710" s="163"/>
    </row>
    <row r="711" ht="14.25" customHeight="1">
      <c r="A711" s="163"/>
      <c r="B711" s="163"/>
      <c r="C711" s="163"/>
      <c r="D711" s="163"/>
      <c r="E711" s="165"/>
      <c r="F711" s="163"/>
      <c r="G711" s="163"/>
      <c r="H711" s="163"/>
      <c r="I711" s="163"/>
      <c r="J711" s="163"/>
      <c r="K711" s="163"/>
      <c r="L711" s="163"/>
      <c r="M711" s="163"/>
      <c r="N711" s="163"/>
      <c r="O711" s="163"/>
      <c r="P711" s="163"/>
      <c r="Q711" s="163"/>
      <c r="R711" s="163"/>
      <c r="S711" s="163"/>
      <c r="T711" s="163"/>
      <c r="U711" s="163"/>
      <c r="V711" s="163"/>
      <c r="W711" s="163"/>
      <c r="X711" s="163"/>
      <c r="Y711" s="163"/>
      <c r="Z711" s="163"/>
      <c r="AA711" s="163"/>
    </row>
    <row r="712" ht="14.25" customHeight="1">
      <c r="A712" s="163"/>
      <c r="B712" s="163"/>
      <c r="C712" s="163"/>
      <c r="D712" s="163"/>
      <c r="E712" s="165"/>
      <c r="F712" s="163"/>
      <c r="G712" s="163"/>
      <c r="H712" s="163"/>
      <c r="I712" s="163"/>
      <c r="J712" s="163"/>
      <c r="K712" s="163"/>
      <c r="L712" s="163"/>
      <c r="M712" s="163"/>
      <c r="N712" s="163"/>
      <c r="O712" s="163"/>
      <c r="P712" s="163"/>
      <c r="Q712" s="163"/>
      <c r="R712" s="163"/>
      <c r="S712" s="163"/>
      <c r="T712" s="163"/>
      <c r="U712" s="163"/>
      <c r="V712" s="163"/>
      <c r="W712" s="163"/>
      <c r="X712" s="163"/>
      <c r="Y712" s="163"/>
      <c r="Z712" s="163"/>
      <c r="AA712" s="163"/>
    </row>
    <row r="713" ht="14.25" customHeight="1">
      <c r="A713" s="163"/>
      <c r="B713" s="163"/>
      <c r="C713" s="163"/>
      <c r="D713" s="163"/>
      <c r="E713" s="165"/>
      <c r="F713" s="163"/>
      <c r="G713" s="163"/>
      <c r="H713" s="163"/>
      <c r="I713" s="163"/>
      <c r="J713" s="163"/>
      <c r="K713" s="163"/>
      <c r="L713" s="163"/>
      <c r="M713" s="163"/>
      <c r="N713" s="163"/>
      <c r="O713" s="163"/>
      <c r="P713" s="163"/>
      <c r="Q713" s="163"/>
      <c r="R713" s="163"/>
      <c r="S713" s="163"/>
      <c r="T713" s="163"/>
      <c r="U713" s="163"/>
      <c r="V713" s="163"/>
      <c r="W713" s="163"/>
      <c r="X713" s="163"/>
      <c r="Y713" s="163"/>
      <c r="Z713" s="163"/>
      <c r="AA713" s="163"/>
    </row>
    <row r="714" ht="14.25" customHeight="1">
      <c r="A714" s="163"/>
      <c r="B714" s="163"/>
      <c r="C714" s="163"/>
      <c r="D714" s="163"/>
      <c r="E714" s="165"/>
      <c r="F714" s="163"/>
      <c r="G714" s="163"/>
      <c r="H714" s="163"/>
      <c r="I714" s="163"/>
      <c r="J714" s="163"/>
      <c r="K714" s="163"/>
      <c r="L714" s="163"/>
      <c r="M714" s="163"/>
      <c r="N714" s="163"/>
      <c r="O714" s="163"/>
      <c r="P714" s="163"/>
      <c r="Q714" s="163"/>
      <c r="R714" s="163"/>
      <c r="S714" s="163"/>
      <c r="T714" s="163"/>
      <c r="U714" s="163"/>
      <c r="V714" s="163"/>
      <c r="W714" s="163"/>
      <c r="X714" s="163"/>
      <c r="Y714" s="163"/>
      <c r="Z714" s="163"/>
      <c r="AA714" s="163"/>
    </row>
    <row r="715" ht="14.25" customHeight="1">
      <c r="A715" s="163"/>
      <c r="B715" s="163"/>
      <c r="C715" s="163"/>
      <c r="D715" s="163"/>
      <c r="E715" s="165"/>
      <c r="F715" s="163"/>
      <c r="G715" s="163"/>
      <c r="H715" s="163"/>
      <c r="I715" s="163"/>
      <c r="J715" s="163"/>
      <c r="K715" s="163"/>
      <c r="L715" s="163"/>
      <c r="M715" s="163"/>
      <c r="N715" s="163"/>
      <c r="O715" s="163"/>
      <c r="P715" s="163"/>
      <c r="Q715" s="163"/>
      <c r="R715" s="163"/>
      <c r="S715" s="163"/>
      <c r="T715" s="163"/>
      <c r="U715" s="163"/>
      <c r="V715" s="163"/>
      <c r="W715" s="163"/>
      <c r="X715" s="163"/>
      <c r="Y715" s="163"/>
      <c r="Z715" s="163"/>
      <c r="AA715" s="163"/>
    </row>
    <row r="716" ht="14.25" customHeight="1">
      <c r="A716" s="163"/>
      <c r="B716" s="163"/>
      <c r="C716" s="163"/>
      <c r="D716" s="163"/>
      <c r="E716" s="165"/>
      <c r="F716" s="163"/>
      <c r="G716" s="163"/>
      <c r="H716" s="163"/>
      <c r="I716" s="163"/>
      <c r="J716" s="163"/>
      <c r="K716" s="163"/>
      <c r="L716" s="163"/>
      <c r="M716" s="163"/>
      <c r="N716" s="163"/>
      <c r="O716" s="163"/>
      <c r="P716" s="163"/>
      <c r="Q716" s="163"/>
      <c r="R716" s="163"/>
      <c r="S716" s="163"/>
      <c r="T716" s="163"/>
      <c r="U716" s="163"/>
      <c r="V716" s="163"/>
      <c r="W716" s="163"/>
      <c r="X716" s="163"/>
      <c r="Y716" s="163"/>
      <c r="Z716" s="163"/>
      <c r="AA716" s="163"/>
    </row>
    <row r="717" ht="14.25" customHeight="1">
      <c r="A717" s="163"/>
      <c r="B717" s="163"/>
      <c r="C717" s="163"/>
      <c r="D717" s="163"/>
      <c r="E717" s="165"/>
      <c r="F717" s="163"/>
      <c r="G717" s="163"/>
      <c r="H717" s="163"/>
      <c r="I717" s="163"/>
      <c r="J717" s="163"/>
      <c r="K717" s="163"/>
      <c r="L717" s="163"/>
      <c r="M717" s="163"/>
      <c r="N717" s="163"/>
      <c r="O717" s="163"/>
      <c r="P717" s="163"/>
      <c r="Q717" s="163"/>
      <c r="R717" s="163"/>
      <c r="S717" s="163"/>
      <c r="T717" s="163"/>
      <c r="U717" s="163"/>
      <c r="V717" s="163"/>
      <c r="W717" s="163"/>
      <c r="X717" s="163"/>
      <c r="Y717" s="163"/>
      <c r="Z717" s="163"/>
      <c r="AA717" s="163"/>
    </row>
    <row r="718" ht="14.25" customHeight="1">
      <c r="A718" s="163"/>
      <c r="B718" s="163"/>
      <c r="C718" s="163"/>
      <c r="D718" s="163"/>
      <c r="E718" s="165"/>
      <c r="F718" s="163"/>
      <c r="G718" s="163"/>
      <c r="H718" s="163"/>
      <c r="I718" s="163"/>
      <c r="J718" s="163"/>
      <c r="K718" s="163"/>
      <c r="L718" s="163"/>
      <c r="M718" s="163"/>
      <c r="N718" s="163"/>
      <c r="O718" s="163"/>
      <c r="P718" s="163"/>
      <c r="Q718" s="163"/>
      <c r="R718" s="163"/>
      <c r="S718" s="163"/>
      <c r="T718" s="163"/>
      <c r="U718" s="163"/>
      <c r="V718" s="163"/>
      <c r="W718" s="163"/>
      <c r="X718" s="163"/>
      <c r="Y718" s="163"/>
      <c r="Z718" s="163"/>
      <c r="AA718" s="163"/>
    </row>
    <row r="719" ht="14.25" customHeight="1">
      <c r="A719" s="163"/>
      <c r="B719" s="163"/>
      <c r="C719" s="163"/>
      <c r="D719" s="163"/>
      <c r="E719" s="165"/>
      <c r="F719" s="163"/>
      <c r="G719" s="163"/>
      <c r="H719" s="163"/>
      <c r="I719" s="163"/>
      <c r="J719" s="163"/>
      <c r="K719" s="163"/>
      <c r="L719" s="163"/>
      <c r="M719" s="163"/>
      <c r="N719" s="163"/>
      <c r="O719" s="163"/>
      <c r="P719" s="163"/>
      <c r="Q719" s="163"/>
      <c r="R719" s="163"/>
      <c r="S719" s="163"/>
      <c r="T719" s="163"/>
      <c r="U719" s="163"/>
      <c r="V719" s="163"/>
      <c r="W719" s="163"/>
      <c r="X719" s="163"/>
      <c r="Y719" s="163"/>
      <c r="Z719" s="163"/>
      <c r="AA719" s="163"/>
    </row>
    <row r="720" ht="14.25" customHeight="1">
      <c r="A720" s="163"/>
      <c r="B720" s="163"/>
      <c r="C720" s="163"/>
      <c r="D720" s="163"/>
      <c r="E720" s="165"/>
      <c r="F720" s="163"/>
      <c r="G720" s="163"/>
      <c r="H720" s="163"/>
      <c r="I720" s="163"/>
      <c r="J720" s="163"/>
      <c r="K720" s="163"/>
      <c r="L720" s="163"/>
      <c r="M720" s="163"/>
      <c r="N720" s="163"/>
      <c r="O720" s="163"/>
      <c r="P720" s="163"/>
      <c r="Q720" s="163"/>
      <c r="R720" s="163"/>
      <c r="S720" s="163"/>
      <c r="T720" s="163"/>
      <c r="U720" s="163"/>
      <c r="V720" s="163"/>
      <c r="W720" s="163"/>
      <c r="X720" s="163"/>
      <c r="Y720" s="163"/>
      <c r="Z720" s="163"/>
      <c r="AA720" s="163"/>
    </row>
    <row r="721" ht="14.25" customHeight="1">
      <c r="A721" s="163"/>
      <c r="B721" s="163"/>
      <c r="C721" s="163"/>
      <c r="D721" s="163"/>
      <c r="E721" s="165"/>
      <c r="F721" s="163"/>
      <c r="G721" s="163"/>
      <c r="H721" s="163"/>
      <c r="I721" s="163"/>
      <c r="J721" s="163"/>
      <c r="K721" s="163"/>
      <c r="L721" s="163"/>
      <c r="M721" s="163"/>
      <c r="N721" s="163"/>
      <c r="O721" s="163"/>
      <c r="P721" s="163"/>
      <c r="Q721" s="163"/>
      <c r="R721" s="163"/>
      <c r="S721" s="163"/>
      <c r="T721" s="163"/>
      <c r="U721" s="163"/>
      <c r="V721" s="163"/>
      <c r="W721" s="163"/>
      <c r="X721" s="163"/>
      <c r="Y721" s="163"/>
      <c r="Z721" s="163"/>
      <c r="AA721" s="163"/>
    </row>
    <row r="722" ht="14.25" customHeight="1">
      <c r="A722" s="163"/>
      <c r="B722" s="163"/>
      <c r="C722" s="163"/>
      <c r="D722" s="163"/>
      <c r="E722" s="165"/>
      <c r="F722" s="163"/>
      <c r="G722" s="163"/>
      <c r="H722" s="163"/>
      <c r="I722" s="163"/>
      <c r="J722" s="163"/>
      <c r="K722" s="163"/>
      <c r="L722" s="163"/>
      <c r="M722" s="163"/>
      <c r="N722" s="163"/>
      <c r="O722" s="163"/>
      <c r="P722" s="163"/>
      <c r="Q722" s="163"/>
      <c r="R722" s="163"/>
      <c r="S722" s="163"/>
      <c r="T722" s="163"/>
      <c r="U722" s="163"/>
      <c r="V722" s="163"/>
      <c r="W722" s="163"/>
      <c r="X722" s="163"/>
      <c r="Y722" s="163"/>
      <c r="Z722" s="163"/>
      <c r="AA722" s="163"/>
    </row>
    <row r="723" ht="14.25" customHeight="1">
      <c r="A723" s="163"/>
      <c r="B723" s="163"/>
      <c r="C723" s="163"/>
      <c r="D723" s="163"/>
      <c r="E723" s="165"/>
      <c r="F723" s="163"/>
      <c r="G723" s="163"/>
      <c r="H723" s="163"/>
      <c r="I723" s="163"/>
      <c r="J723" s="163"/>
      <c r="K723" s="163"/>
      <c r="L723" s="163"/>
      <c r="M723" s="163"/>
      <c r="N723" s="163"/>
      <c r="O723" s="163"/>
      <c r="P723" s="163"/>
      <c r="Q723" s="163"/>
      <c r="R723" s="163"/>
      <c r="S723" s="163"/>
      <c r="T723" s="163"/>
      <c r="U723" s="163"/>
      <c r="V723" s="163"/>
      <c r="W723" s="163"/>
      <c r="X723" s="163"/>
      <c r="Y723" s="163"/>
      <c r="Z723" s="163"/>
      <c r="AA723" s="163"/>
    </row>
    <row r="724" ht="14.25" customHeight="1">
      <c r="A724" s="163"/>
      <c r="B724" s="163"/>
      <c r="C724" s="163"/>
      <c r="D724" s="163"/>
      <c r="E724" s="165"/>
      <c r="F724" s="163"/>
      <c r="G724" s="163"/>
      <c r="H724" s="163"/>
      <c r="I724" s="163"/>
      <c r="J724" s="163"/>
      <c r="K724" s="163"/>
      <c r="L724" s="163"/>
      <c r="M724" s="163"/>
      <c r="N724" s="163"/>
      <c r="O724" s="163"/>
      <c r="P724" s="163"/>
      <c r="Q724" s="163"/>
      <c r="R724" s="163"/>
      <c r="S724" s="163"/>
      <c r="T724" s="163"/>
      <c r="U724" s="163"/>
      <c r="V724" s="163"/>
      <c r="W724" s="163"/>
      <c r="X724" s="163"/>
      <c r="Y724" s="163"/>
      <c r="Z724" s="163"/>
      <c r="AA724" s="163"/>
    </row>
    <row r="725" ht="14.25" customHeight="1">
      <c r="A725" s="163"/>
      <c r="B725" s="163"/>
      <c r="C725" s="163"/>
      <c r="D725" s="163"/>
      <c r="E725" s="165"/>
      <c r="F725" s="163"/>
      <c r="G725" s="163"/>
      <c r="H725" s="163"/>
      <c r="I725" s="163"/>
      <c r="J725" s="163"/>
      <c r="K725" s="163"/>
      <c r="L725" s="163"/>
      <c r="M725" s="163"/>
      <c r="N725" s="163"/>
      <c r="O725" s="163"/>
      <c r="P725" s="163"/>
      <c r="Q725" s="163"/>
      <c r="R725" s="163"/>
      <c r="S725" s="163"/>
      <c r="T725" s="163"/>
      <c r="U725" s="163"/>
      <c r="V725" s="163"/>
      <c r="W725" s="163"/>
      <c r="X725" s="163"/>
      <c r="Y725" s="163"/>
      <c r="Z725" s="163"/>
      <c r="AA725" s="163"/>
    </row>
    <row r="726" ht="14.25" customHeight="1">
      <c r="A726" s="163"/>
      <c r="B726" s="163"/>
      <c r="C726" s="163"/>
      <c r="D726" s="163"/>
      <c r="E726" s="165"/>
      <c r="F726" s="163"/>
      <c r="G726" s="163"/>
      <c r="H726" s="163"/>
      <c r="I726" s="163"/>
      <c r="J726" s="163"/>
      <c r="K726" s="163"/>
      <c r="L726" s="163"/>
      <c r="M726" s="163"/>
      <c r="N726" s="163"/>
      <c r="O726" s="163"/>
      <c r="P726" s="163"/>
      <c r="Q726" s="163"/>
      <c r="R726" s="163"/>
      <c r="S726" s="163"/>
      <c r="T726" s="163"/>
      <c r="U726" s="163"/>
      <c r="V726" s="163"/>
      <c r="W726" s="163"/>
      <c r="X726" s="163"/>
      <c r="Y726" s="163"/>
      <c r="Z726" s="163"/>
      <c r="AA726" s="163"/>
    </row>
    <row r="727" ht="14.25" customHeight="1">
      <c r="A727" s="163"/>
      <c r="B727" s="163"/>
      <c r="C727" s="163"/>
      <c r="D727" s="163"/>
      <c r="E727" s="165"/>
      <c r="F727" s="163"/>
      <c r="G727" s="163"/>
      <c r="H727" s="163"/>
      <c r="I727" s="163"/>
      <c r="J727" s="163"/>
      <c r="K727" s="163"/>
      <c r="L727" s="163"/>
      <c r="M727" s="163"/>
      <c r="N727" s="163"/>
      <c r="O727" s="163"/>
      <c r="P727" s="163"/>
      <c r="Q727" s="163"/>
      <c r="R727" s="163"/>
      <c r="S727" s="163"/>
      <c r="T727" s="163"/>
      <c r="U727" s="163"/>
      <c r="V727" s="163"/>
      <c r="W727" s="163"/>
      <c r="X727" s="163"/>
      <c r="Y727" s="163"/>
      <c r="Z727" s="163"/>
      <c r="AA727" s="163"/>
    </row>
    <row r="728" ht="14.25" customHeight="1">
      <c r="A728" s="163"/>
      <c r="B728" s="163"/>
      <c r="C728" s="163"/>
      <c r="D728" s="163"/>
      <c r="E728" s="165"/>
      <c r="F728" s="163"/>
      <c r="G728" s="163"/>
      <c r="H728" s="163"/>
      <c r="I728" s="163"/>
      <c r="J728" s="163"/>
      <c r="K728" s="163"/>
      <c r="L728" s="163"/>
      <c r="M728" s="163"/>
      <c r="N728" s="163"/>
      <c r="O728" s="163"/>
      <c r="P728" s="163"/>
      <c r="Q728" s="163"/>
      <c r="R728" s="163"/>
      <c r="S728" s="163"/>
      <c r="T728" s="163"/>
      <c r="U728" s="163"/>
      <c r="V728" s="163"/>
      <c r="W728" s="163"/>
      <c r="X728" s="163"/>
      <c r="Y728" s="163"/>
      <c r="Z728" s="163"/>
      <c r="AA728" s="163"/>
    </row>
    <row r="729" ht="14.25" customHeight="1">
      <c r="A729" s="163"/>
      <c r="B729" s="163"/>
      <c r="C729" s="163"/>
      <c r="D729" s="163"/>
      <c r="E729" s="165"/>
      <c r="F729" s="163"/>
      <c r="G729" s="163"/>
      <c r="H729" s="163"/>
      <c r="I729" s="163"/>
      <c r="J729" s="163"/>
      <c r="K729" s="163"/>
      <c r="L729" s="163"/>
      <c r="M729" s="163"/>
      <c r="N729" s="163"/>
      <c r="O729" s="163"/>
      <c r="P729" s="163"/>
      <c r="Q729" s="163"/>
      <c r="R729" s="163"/>
      <c r="S729" s="163"/>
      <c r="T729" s="163"/>
      <c r="U729" s="163"/>
      <c r="V729" s="163"/>
      <c r="W729" s="163"/>
      <c r="X729" s="163"/>
      <c r="Y729" s="163"/>
      <c r="Z729" s="163"/>
      <c r="AA729" s="163"/>
    </row>
    <row r="730" ht="14.25" customHeight="1">
      <c r="A730" s="163"/>
      <c r="B730" s="163"/>
      <c r="C730" s="163"/>
      <c r="D730" s="163"/>
      <c r="E730" s="165"/>
      <c r="F730" s="163"/>
      <c r="G730" s="163"/>
      <c r="H730" s="163"/>
      <c r="I730" s="163"/>
      <c r="J730" s="163"/>
      <c r="K730" s="163"/>
      <c r="L730" s="163"/>
      <c r="M730" s="163"/>
      <c r="N730" s="163"/>
      <c r="O730" s="163"/>
      <c r="P730" s="163"/>
      <c r="Q730" s="163"/>
      <c r="R730" s="163"/>
      <c r="S730" s="163"/>
      <c r="T730" s="163"/>
      <c r="U730" s="163"/>
      <c r="V730" s="163"/>
      <c r="W730" s="163"/>
      <c r="X730" s="163"/>
      <c r="Y730" s="163"/>
      <c r="Z730" s="163"/>
      <c r="AA730" s="163"/>
    </row>
    <row r="731" ht="14.25" customHeight="1">
      <c r="A731" s="163"/>
      <c r="B731" s="163"/>
      <c r="C731" s="163"/>
      <c r="D731" s="163"/>
      <c r="E731" s="165"/>
      <c r="F731" s="163"/>
      <c r="G731" s="163"/>
      <c r="H731" s="163"/>
      <c r="I731" s="163"/>
      <c r="J731" s="163"/>
      <c r="K731" s="163"/>
      <c r="L731" s="163"/>
      <c r="M731" s="163"/>
      <c r="N731" s="163"/>
      <c r="O731" s="163"/>
      <c r="P731" s="163"/>
      <c r="Q731" s="163"/>
      <c r="R731" s="163"/>
      <c r="S731" s="163"/>
      <c r="T731" s="163"/>
      <c r="U731" s="163"/>
      <c r="V731" s="163"/>
      <c r="W731" s="163"/>
      <c r="X731" s="163"/>
      <c r="Y731" s="163"/>
      <c r="Z731" s="163"/>
      <c r="AA731" s="163"/>
    </row>
    <row r="732" ht="14.25" customHeight="1">
      <c r="A732" s="163"/>
      <c r="B732" s="163"/>
      <c r="C732" s="163"/>
      <c r="D732" s="163"/>
      <c r="E732" s="165"/>
      <c r="F732" s="163"/>
      <c r="G732" s="163"/>
      <c r="H732" s="163"/>
      <c r="I732" s="163"/>
      <c r="J732" s="163"/>
      <c r="K732" s="163"/>
      <c r="L732" s="163"/>
      <c r="M732" s="163"/>
      <c r="N732" s="163"/>
      <c r="O732" s="163"/>
      <c r="P732" s="163"/>
      <c r="Q732" s="163"/>
      <c r="R732" s="163"/>
      <c r="S732" s="163"/>
      <c r="T732" s="163"/>
      <c r="U732" s="163"/>
      <c r="V732" s="163"/>
      <c r="W732" s="163"/>
      <c r="X732" s="163"/>
      <c r="Y732" s="163"/>
      <c r="Z732" s="163"/>
      <c r="AA732" s="163"/>
    </row>
    <row r="733" ht="14.25" customHeight="1">
      <c r="A733" s="163"/>
      <c r="B733" s="163"/>
      <c r="C733" s="163"/>
      <c r="D733" s="163"/>
      <c r="E733" s="165"/>
      <c r="F733" s="163"/>
      <c r="G733" s="163"/>
      <c r="H733" s="163"/>
      <c r="I733" s="163"/>
      <c r="J733" s="163"/>
      <c r="K733" s="163"/>
      <c r="L733" s="163"/>
      <c r="M733" s="163"/>
      <c r="N733" s="163"/>
      <c r="O733" s="163"/>
      <c r="P733" s="163"/>
      <c r="Q733" s="163"/>
      <c r="R733" s="163"/>
      <c r="S733" s="163"/>
      <c r="T733" s="163"/>
      <c r="U733" s="163"/>
      <c r="V733" s="163"/>
      <c r="W733" s="163"/>
      <c r="X733" s="163"/>
      <c r="Y733" s="163"/>
      <c r="Z733" s="163"/>
      <c r="AA733" s="163"/>
    </row>
    <row r="734" ht="14.25" customHeight="1">
      <c r="A734" s="163"/>
      <c r="B734" s="163"/>
      <c r="C734" s="163"/>
      <c r="D734" s="163"/>
      <c r="E734" s="165"/>
      <c r="F734" s="163"/>
      <c r="G734" s="163"/>
      <c r="H734" s="163"/>
      <c r="I734" s="163"/>
      <c r="J734" s="163"/>
      <c r="K734" s="163"/>
      <c r="L734" s="163"/>
      <c r="M734" s="163"/>
      <c r="N734" s="163"/>
      <c r="O734" s="163"/>
      <c r="P734" s="163"/>
      <c r="Q734" s="163"/>
      <c r="R734" s="163"/>
      <c r="S734" s="163"/>
      <c r="T734" s="163"/>
      <c r="U734" s="163"/>
      <c r="V734" s="163"/>
      <c r="W734" s="163"/>
      <c r="X734" s="163"/>
      <c r="Y734" s="163"/>
      <c r="Z734" s="163"/>
      <c r="AA734" s="163"/>
    </row>
    <row r="735" ht="14.25" customHeight="1">
      <c r="A735" s="163"/>
      <c r="B735" s="163"/>
      <c r="C735" s="163"/>
      <c r="D735" s="163"/>
      <c r="E735" s="165"/>
      <c r="F735" s="163"/>
      <c r="G735" s="163"/>
      <c r="H735" s="163"/>
      <c r="I735" s="163"/>
      <c r="J735" s="163"/>
      <c r="K735" s="163"/>
      <c r="L735" s="163"/>
      <c r="M735" s="163"/>
      <c r="N735" s="163"/>
      <c r="O735" s="163"/>
      <c r="P735" s="163"/>
      <c r="Q735" s="163"/>
      <c r="R735" s="163"/>
      <c r="S735" s="163"/>
      <c r="T735" s="163"/>
      <c r="U735" s="163"/>
      <c r="V735" s="163"/>
      <c r="W735" s="163"/>
      <c r="X735" s="163"/>
      <c r="Y735" s="163"/>
      <c r="Z735" s="163"/>
      <c r="AA735" s="163"/>
    </row>
    <row r="736" ht="14.25" customHeight="1">
      <c r="A736" s="163"/>
      <c r="B736" s="163"/>
      <c r="C736" s="163"/>
      <c r="D736" s="163"/>
      <c r="E736" s="165"/>
      <c r="F736" s="163"/>
      <c r="G736" s="163"/>
      <c r="H736" s="163"/>
      <c r="I736" s="163"/>
      <c r="J736" s="163"/>
      <c r="K736" s="163"/>
      <c r="L736" s="163"/>
      <c r="M736" s="163"/>
      <c r="N736" s="163"/>
      <c r="O736" s="163"/>
      <c r="P736" s="163"/>
      <c r="Q736" s="163"/>
      <c r="R736" s="163"/>
      <c r="S736" s="163"/>
      <c r="T736" s="163"/>
      <c r="U736" s="163"/>
      <c r="V736" s="163"/>
      <c r="W736" s="163"/>
      <c r="X736" s="163"/>
      <c r="Y736" s="163"/>
      <c r="Z736" s="163"/>
      <c r="AA736" s="163"/>
    </row>
    <row r="737" ht="14.25" customHeight="1">
      <c r="A737" s="163"/>
      <c r="B737" s="163"/>
      <c r="C737" s="163"/>
      <c r="D737" s="163"/>
      <c r="E737" s="165"/>
      <c r="F737" s="163"/>
      <c r="G737" s="163"/>
      <c r="H737" s="163"/>
      <c r="I737" s="163"/>
      <c r="J737" s="163"/>
      <c r="K737" s="163"/>
      <c r="L737" s="163"/>
      <c r="M737" s="163"/>
      <c r="N737" s="163"/>
      <c r="O737" s="163"/>
      <c r="P737" s="163"/>
      <c r="Q737" s="163"/>
      <c r="R737" s="163"/>
      <c r="S737" s="163"/>
      <c r="T737" s="163"/>
      <c r="U737" s="163"/>
      <c r="V737" s="163"/>
      <c r="W737" s="163"/>
      <c r="X737" s="163"/>
      <c r="Y737" s="163"/>
      <c r="Z737" s="163"/>
      <c r="AA737" s="163"/>
    </row>
    <row r="738" ht="14.25" customHeight="1">
      <c r="A738" s="163"/>
      <c r="B738" s="163"/>
      <c r="C738" s="163"/>
      <c r="D738" s="163"/>
      <c r="E738" s="165"/>
      <c r="F738" s="163"/>
      <c r="G738" s="163"/>
      <c r="H738" s="163"/>
      <c r="I738" s="163"/>
      <c r="J738" s="163"/>
      <c r="K738" s="163"/>
      <c r="L738" s="163"/>
      <c r="M738" s="163"/>
      <c r="N738" s="163"/>
      <c r="O738" s="163"/>
      <c r="P738" s="163"/>
      <c r="Q738" s="163"/>
      <c r="R738" s="163"/>
      <c r="S738" s="163"/>
      <c r="T738" s="163"/>
      <c r="U738" s="163"/>
      <c r="V738" s="163"/>
      <c r="W738" s="163"/>
      <c r="X738" s="163"/>
      <c r="Y738" s="163"/>
      <c r="Z738" s="163"/>
      <c r="AA738" s="163"/>
    </row>
    <row r="739" ht="14.25" customHeight="1">
      <c r="A739" s="163"/>
      <c r="B739" s="163"/>
      <c r="C739" s="163"/>
      <c r="D739" s="163"/>
      <c r="E739" s="165"/>
      <c r="F739" s="163"/>
      <c r="G739" s="163"/>
      <c r="H739" s="163"/>
      <c r="I739" s="163"/>
      <c r="J739" s="163"/>
      <c r="K739" s="163"/>
      <c r="L739" s="163"/>
      <c r="M739" s="163"/>
      <c r="N739" s="163"/>
      <c r="O739" s="163"/>
      <c r="P739" s="163"/>
      <c r="Q739" s="163"/>
      <c r="R739" s="163"/>
      <c r="S739" s="163"/>
      <c r="T739" s="163"/>
      <c r="U739" s="163"/>
      <c r="V739" s="163"/>
      <c r="W739" s="163"/>
      <c r="X739" s="163"/>
      <c r="Y739" s="163"/>
      <c r="Z739" s="163"/>
      <c r="AA739" s="163"/>
    </row>
    <row r="740" ht="14.25" customHeight="1">
      <c r="A740" s="163"/>
      <c r="B740" s="163"/>
      <c r="C740" s="163"/>
      <c r="D740" s="163"/>
      <c r="E740" s="165"/>
      <c r="F740" s="163"/>
      <c r="G740" s="163"/>
      <c r="H740" s="163"/>
      <c r="I740" s="163"/>
      <c r="J740" s="163"/>
      <c r="K740" s="163"/>
      <c r="L740" s="163"/>
      <c r="M740" s="163"/>
      <c r="N740" s="163"/>
      <c r="O740" s="163"/>
      <c r="P740" s="163"/>
      <c r="Q740" s="163"/>
      <c r="R740" s="163"/>
      <c r="S740" s="163"/>
      <c r="T740" s="163"/>
      <c r="U740" s="163"/>
      <c r="V740" s="163"/>
      <c r="W740" s="163"/>
      <c r="X740" s="163"/>
      <c r="Y740" s="163"/>
      <c r="Z740" s="163"/>
      <c r="AA740" s="163"/>
    </row>
    <row r="741" ht="14.25" customHeight="1">
      <c r="A741" s="163"/>
      <c r="B741" s="163"/>
      <c r="C741" s="163"/>
      <c r="D741" s="163"/>
      <c r="E741" s="165"/>
      <c r="F741" s="163"/>
      <c r="G741" s="163"/>
      <c r="H741" s="163"/>
      <c r="I741" s="163"/>
      <c r="J741" s="163"/>
      <c r="K741" s="163"/>
      <c r="L741" s="163"/>
      <c r="M741" s="163"/>
      <c r="N741" s="163"/>
      <c r="O741" s="163"/>
      <c r="P741" s="163"/>
      <c r="Q741" s="163"/>
      <c r="R741" s="163"/>
      <c r="S741" s="163"/>
      <c r="T741" s="163"/>
      <c r="U741" s="163"/>
      <c r="V741" s="163"/>
      <c r="W741" s="163"/>
      <c r="X741" s="163"/>
      <c r="Y741" s="163"/>
      <c r="Z741" s="163"/>
      <c r="AA741" s="163"/>
    </row>
    <row r="742" ht="14.25" customHeight="1">
      <c r="A742" s="163"/>
      <c r="B742" s="163"/>
      <c r="C742" s="163"/>
      <c r="D742" s="163"/>
      <c r="E742" s="165"/>
      <c r="F742" s="163"/>
      <c r="G742" s="163"/>
      <c r="H742" s="163"/>
      <c r="I742" s="163"/>
      <c r="J742" s="163"/>
      <c r="K742" s="163"/>
      <c r="L742" s="163"/>
      <c r="M742" s="163"/>
      <c r="N742" s="163"/>
      <c r="O742" s="163"/>
      <c r="P742" s="163"/>
      <c r="Q742" s="163"/>
      <c r="R742" s="163"/>
      <c r="S742" s="163"/>
      <c r="T742" s="163"/>
      <c r="U742" s="163"/>
      <c r="V742" s="163"/>
      <c r="W742" s="163"/>
      <c r="X742" s="163"/>
      <c r="Y742" s="163"/>
      <c r="Z742" s="163"/>
      <c r="AA742" s="163"/>
    </row>
    <row r="743" ht="14.25" customHeight="1">
      <c r="A743" s="163"/>
      <c r="B743" s="163"/>
      <c r="C743" s="163"/>
      <c r="D743" s="163"/>
      <c r="E743" s="165"/>
      <c r="F743" s="163"/>
      <c r="G743" s="163"/>
      <c r="H743" s="163"/>
      <c r="I743" s="163"/>
      <c r="J743" s="163"/>
      <c r="K743" s="163"/>
      <c r="L743" s="163"/>
      <c r="M743" s="163"/>
      <c r="N743" s="163"/>
      <c r="O743" s="163"/>
      <c r="P743" s="163"/>
      <c r="Q743" s="163"/>
      <c r="R743" s="163"/>
      <c r="S743" s="163"/>
      <c r="T743" s="163"/>
      <c r="U743" s="163"/>
      <c r="V743" s="163"/>
      <c r="W743" s="163"/>
      <c r="X743" s="163"/>
      <c r="Y743" s="163"/>
      <c r="Z743" s="163"/>
      <c r="AA743" s="163"/>
    </row>
    <row r="744" ht="14.25" customHeight="1">
      <c r="A744" s="163"/>
      <c r="B744" s="163"/>
      <c r="C744" s="163"/>
      <c r="D744" s="163"/>
      <c r="E744" s="165"/>
      <c r="F744" s="163"/>
      <c r="G744" s="163"/>
      <c r="H744" s="163"/>
      <c r="I744" s="163"/>
      <c r="J744" s="163"/>
      <c r="K744" s="163"/>
      <c r="L744" s="163"/>
      <c r="M744" s="163"/>
      <c r="N744" s="163"/>
      <c r="O744" s="163"/>
      <c r="P744" s="163"/>
      <c r="Q744" s="163"/>
      <c r="R744" s="163"/>
      <c r="S744" s="163"/>
      <c r="T744" s="163"/>
      <c r="U744" s="163"/>
      <c r="V744" s="163"/>
      <c r="W744" s="163"/>
      <c r="X744" s="163"/>
      <c r="Y744" s="163"/>
      <c r="Z744" s="163"/>
      <c r="AA744" s="163"/>
    </row>
    <row r="745" ht="14.25" customHeight="1">
      <c r="A745" s="163"/>
      <c r="B745" s="163"/>
      <c r="C745" s="163"/>
      <c r="D745" s="163"/>
      <c r="E745" s="165"/>
      <c r="F745" s="163"/>
      <c r="G745" s="163"/>
      <c r="H745" s="163"/>
      <c r="I745" s="163"/>
      <c r="J745" s="163"/>
      <c r="K745" s="163"/>
      <c r="L745" s="163"/>
      <c r="M745" s="163"/>
      <c r="N745" s="163"/>
      <c r="O745" s="163"/>
      <c r="P745" s="163"/>
      <c r="Q745" s="163"/>
      <c r="R745" s="163"/>
      <c r="S745" s="163"/>
      <c r="T745" s="163"/>
      <c r="U745" s="163"/>
      <c r="V745" s="163"/>
      <c r="W745" s="163"/>
      <c r="X745" s="163"/>
      <c r="Y745" s="163"/>
      <c r="Z745" s="163"/>
      <c r="AA745" s="163"/>
    </row>
    <row r="746" ht="14.25" customHeight="1">
      <c r="A746" s="163"/>
      <c r="B746" s="163"/>
      <c r="C746" s="163"/>
      <c r="D746" s="163"/>
      <c r="E746" s="165"/>
      <c r="F746" s="163"/>
      <c r="G746" s="163"/>
      <c r="H746" s="163"/>
      <c r="I746" s="163"/>
      <c r="J746" s="163"/>
      <c r="K746" s="163"/>
      <c r="L746" s="163"/>
      <c r="M746" s="163"/>
      <c r="N746" s="163"/>
      <c r="O746" s="163"/>
      <c r="P746" s="163"/>
      <c r="Q746" s="163"/>
      <c r="R746" s="163"/>
      <c r="S746" s="163"/>
      <c r="T746" s="163"/>
      <c r="U746" s="163"/>
      <c r="V746" s="163"/>
      <c r="W746" s="163"/>
      <c r="X746" s="163"/>
      <c r="Y746" s="163"/>
      <c r="Z746" s="163"/>
      <c r="AA746" s="163"/>
    </row>
    <row r="747" ht="14.25" customHeight="1">
      <c r="A747" s="163"/>
      <c r="B747" s="163"/>
      <c r="C747" s="163"/>
      <c r="D747" s="163"/>
      <c r="E747" s="165"/>
      <c r="F747" s="163"/>
      <c r="G747" s="163"/>
      <c r="H747" s="163"/>
      <c r="I747" s="163"/>
      <c r="J747" s="163"/>
      <c r="K747" s="163"/>
      <c r="L747" s="163"/>
      <c r="M747" s="163"/>
      <c r="N747" s="163"/>
      <c r="O747" s="163"/>
      <c r="P747" s="163"/>
      <c r="Q747" s="163"/>
      <c r="R747" s="163"/>
      <c r="S747" s="163"/>
      <c r="T747" s="163"/>
      <c r="U747" s="163"/>
      <c r="V747" s="163"/>
      <c r="W747" s="163"/>
      <c r="X747" s="163"/>
      <c r="Y747" s="163"/>
      <c r="Z747" s="163"/>
      <c r="AA747" s="163"/>
    </row>
    <row r="748" ht="14.25" customHeight="1">
      <c r="A748" s="163"/>
      <c r="B748" s="163"/>
      <c r="C748" s="163"/>
      <c r="D748" s="163"/>
      <c r="E748" s="165"/>
      <c r="F748" s="163"/>
      <c r="G748" s="163"/>
      <c r="H748" s="163"/>
      <c r="I748" s="163"/>
      <c r="J748" s="163"/>
      <c r="K748" s="163"/>
      <c r="L748" s="163"/>
      <c r="M748" s="163"/>
      <c r="N748" s="163"/>
      <c r="O748" s="163"/>
      <c r="P748" s="163"/>
      <c r="Q748" s="163"/>
      <c r="R748" s="163"/>
      <c r="S748" s="163"/>
      <c r="T748" s="163"/>
      <c r="U748" s="163"/>
      <c r="V748" s="163"/>
      <c r="W748" s="163"/>
      <c r="X748" s="163"/>
      <c r="Y748" s="163"/>
      <c r="Z748" s="163"/>
      <c r="AA748" s="163"/>
    </row>
    <row r="749" ht="14.25" customHeight="1">
      <c r="A749" s="163"/>
      <c r="B749" s="163"/>
      <c r="C749" s="163"/>
      <c r="D749" s="163"/>
      <c r="E749" s="165"/>
      <c r="F749" s="163"/>
      <c r="G749" s="163"/>
      <c r="H749" s="163"/>
      <c r="I749" s="163"/>
      <c r="J749" s="163"/>
      <c r="K749" s="163"/>
      <c r="L749" s="163"/>
      <c r="M749" s="163"/>
      <c r="N749" s="163"/>
      <c r="O749" s="163"/>
      <c r="P749" s="163"/>
      <c r="Q749" s="163"/>
      <c r="R749" s="163"/>
      <c r="S749" s="163"/>
      <c r="T749" s="163"/>
      <c r="U749" s="163"/>
      <c r="V749" s="163"/>
      <c r="W749" s="163"/>
      <c r="X749" s="163"/>
      <c r="Y749" s="163"/>
      <c r="Z749" s="163"/>
      <c r="AA749" s="163"/>
    </row>
    <row r="750" ht="14.25" customHeight="1">
      <c r="A750" s="163"/>
      <c r="B750" s="163"/>
      <c r="C750" s="163"/>
      <c r="D750" s="163"/>
      <c r="E750" s="165"/>
      <c r="F750" s="163"/>
      <c r="G750" s="163"/>
      <c r="H750" s="163"/>
      <c r="I750" s="163"/>
      <c r="J750" s="163"/>
      <c r="K750" s="163"/>
      <c r="L750" s="163"/>
      <c r="M750" s="163"/>
      <c r="N750" s="163"/>
      <c r="O750" s="163"/>
      <c r="P750" s="163"/>
      <c r="Q750" s="163"/>
      <c r="R750" s="163"/>
      <c r="S750" s="163"/>
      <c r="T750" s="163"/>
      <c r="U750" s="163"/>
      <c r="V750" s="163"/>
      <c r="W750" s="163"/>
      <c r="X750" s="163"/>
      <c r="Y750" s="163"/>
      <c r="Z750" s="163"/>
      <c r="AA750" s="163"/>
    </row>
    <row r="751" ht="14.25" customHeight="1">
      <c r="A751" s="163"/>
      <c r="B751" s="163"/>
      <c r="C751" s="163"/>
      <c r="D751" s="163"/>
      <c r="E751" s="165"/>
      <c r="F751" s="163"/>
      <c r="G751" s="163"/>
      <c r="H751" s="163"/>
      <c r="I751" s="163"/>
      <c r="J751" s="163"/>
      <c r="K751" s="163"/>
      <c r="L751" s="163"/>
      <c r="M751" s="163"/>
      <c r="N751" s="163"/>
      <c r="O751" s="163"/>
      <c r="P751" s="163"/>
      <c r="Q751" s="163"/>
      <c r="R751" s="163"/>
      <c r="S751" s="163"/>
      <c r="T751" s="163"/>
      <c r="U751" s="163"/>
      <c r="V751" s="163"/>
      <c r="W751" s="163"/>
      <c r="X751" s="163"/>
      <c r="Y751" s="163"/>
      <c r="Z751" s="163"/>
      <c r="AA751" s="163"/>
    </row>
    <row r="752" ht="14.25" customHeight="1">
      <c r="A752" s="163"/>
      <c r="B752" s="163"/>
      <c r="C752" s="163"/>
      <c r="D752" s="163"/>
      <c r="E752" s="165"/>
      <c r="F752" s="163"/>
      <c r="G752" s="163"/>
      <c r="H752" s="163"/>
      <c r="I752" s="163"/>
      <c r="J752" s="163"/>
      <c r="K752" s="163"/>
      <c r="L752" s="163"/>
      <c r="M752" s="163"/>
      <c r="N752" s="163"/>
      <c r="O752" s="163"/>
      <c r="P752" s="163"/>
      <c r="Q752" s="163"/>
      <c r="R752" s="163"/>
      <c r="S752" s="163"/>
      <c r="T752" s="163"/>
      <c r="U752" s="163"/>
      <c r="V752" s="163"/>
      <c r="W752" s="163"/>
      <c r="X752" s="163"/>
      <c r="Y752" s="163"/>
      <c r="Z752" s="163"/>
      <c r="AA752" s="163"/>
    </row>
    <row r="753" ht="14.25" customHeight="1">
      <c r="A753" s="163"/>
      <c r="B753" s="163"/>
      <c r="C753" s="163"/>
      <c r="D753" s="163"/>
      <c r="E753" s="165"/>
      <c r="F753" s="163"/>
      <c r="G753" s="163"/>
      <c r="H753" s="163"/>
      <c r="I753" s="163"/>
      <c r="J753" s="163"/>
      <c r="K753" s="163"/>
      <c r="L753" s="163"/>
      <c r="M753" s="163"/>
      <c r="N753" s="163"/>
      <c r="O753" s="163"/>
      <c r="P753" s="163"/>
      <c r="Q753" s="163"/>
      <c r="R753" s="163"/>
      <c r="S753" s="163"/>
      <c r="T753" s="163"/>
      <c r="U753" s="163"/>
      <c r="V753" s="163"/>
      <c r="W753" s="163"/>
      <c r="X753" s="163"/>
      <c r="Y753" s="163"/>
      <c r="Z753" s="163"/>
      <c r="AA753" s="163"/>
    </row>
    <row r="754" ht="14.25" customHeight="1">
      <c r="A754" s="163"/>
      <c r="B754" s="163"/>
      <c r="C754" s="163"/>
      <c r="D754" s="163"/>
      <c r="E754" s="165"/>
      <c r="F754" s="163"/>
      <c r="G754" s="163"/>
      <c r="H754" s="163"/>
      <c r="I754" s="163"/>
      <c r="J754" s="163"/>
      <c r="K754" s="163"/>
      <c r="L754" s="163"/>
      <c r="M754" s="163"/>
      <c r="N754" s="163"/>
      <c r="O754" s="163"/>
      <c r="P754" s="163"/>
      <c r="Q754" s="163"/>
      <c r="R754" s="163"/>
      <c r="S754" s="163"/>
      <c r="T754" s="163"/>
      <c r="U754" s="163"/>
      <c r="V754" s="163"/>
      <c r="W754" s="163"/>
      <c r="X754" s="163"/>
      <c r="Y754" s="163"/>
      <c r="Z754" s="163"/>
      <c r="AA754" s="163"/>
    </row>
    <row r="755" ht="14.25" customHeight="1">
      <c r="A755" s="163"/>
      <c r="B755" s="163"/>
      <c r="C755" s="163"/>
      <c r="D755" s="163"/>
      <c r="E755" s="165"/>
      <c r="F755" s="163"/>
      <c r="G755" s="163"/>
      <c r="H755" s="163"/>
      <c r="I755" s="163"/>
      <c r="J755" s="163"/>
      <c r="K755" s="163"/>
      <c r="L755" s="163"/>
      <c r="M755" s="163"/>
      <c r="N755" s="163"/>
      <c r="O755" s="163"/>
      <c r="P755" s="163"/>
      <c r="Q755" s="163"/>
      <c r="R755" s="163"/>
      <c r="S755" s="163"/>
      <c r="T755" s="163"/>
      <c r="U755" s="163"/>
      <c r="V755" s="163"/>
      <c r="W755" s="163"/>
      <c r="X755" s="163"/>
      <c r="Y755" s="163"/>
      <c r="Z755" s="163"/>
      <c r="AA755" s="163"/>
    </row>
    <row r="756" ht="14.25" customHeight="1">
      <c r="A756" s="163"/>
      <c r="B756" s="163"/>
      <c r="C756" s="163"/>
      <c r="D756" s="163"/>
      <c r="E756" s="165"/>
      <c r="F756" s="163"/>
      <c r="G756" s="163"/>
      <c r="H756" s="163"/>
      <c r="I756" s="163"/>
      <c r="J756" s="163"/>
      <c r="K756" s="163"/>
      <c r="L756" s="163"/>
      <c r="M756" s="163"/>
      <c r="N756" s="163"/>
      <c r="O756" s="163"/>
      <c r="P756" s="163"/>
      <c r="Q756" s="163"/>
      <c r="R756" s="163"/>
      <c r="S756" s="163"/>
      <c r="T756" s="163"/>
      <c r="U756" s="163"/>
      <c r="V756" s="163"/>
      <c r="W756" s="163"/>
      <c r="X756" s="163"/>
      <c r="Y756" s="163"/>
      <c r="Z756" s="163"/>
      <c r="AA756" s="163"/>
    </row>
    <row r="757" ht="14.25" customHeight="1">
      <c r="A757" s="163"/>
      <c r="B757" s="163"/>
      <c r="C757" s="163"/>
      <c r="D757" s="163"/>
      <c r="E757" s="165"/>
      <c r="F757" s="163"/>
      <c r="G757" s="163"/>
      <c r="H757" s="163"/>
      <c r="I757" s="163"/>
      <c r="J757" s="163"/>
      <c r="K757" s="163"/>
      <c r="L757" s="163"/>
      <c r="M757" s="163"/>
      <c r="N757" s="163"/>
      <c r="O757" s="163"/>
      <c r="P757" s="163"/>
      <c r="Q757" s="163"/>
      <c r="R757" s="163"/>
      <c r="S757" s="163"/>
      <c r="T757" s="163"/>
      <c r="U757" s="163"/>
      <c r="V757" s="163"/>
      <c r="W757" s="163"/>
      <c r="X757" s="163"/>
      <c r="Y757" s="163"/>
      <c r="Z757" s="163"/>
      <c r="AA757" s="163"/>
    </row>
    <row r="758" ht="14.25" customHeight="1">
      <c r="A758" s="163"/>
      <c r="B758" s="163"/>
      <c r="C758" s="163"/>
      <c r="D758" s="163"/>
      <c r="E758" s="165"/>
      <c r="F758" s="163"/>
      <c r="G758" s="163"/>
      <c r="H758" s="163"/>
      <c r="I758" s="163"/>
      <c r="J758" s="163"/>
      <c r="K758" s="163"/>
      <c r="L758" s="163"/>
      <c r="M758" s="163"/>
      <c r="N758" s="163"/>
      <c r="O758" s="163"/>
      <c r="P758" s="163"/>
      <c r="Q758" s="163"/>
      <c r="R758" s="163"/>
      <c r="S758" s="163"/>
      <c r="T758" s="163"/>
      <c r="U758" s="163"/>
      <c r="V758" s="163"/>
      <c r="W758" s="163"/>
      <c r="X758" s="163"/>
      <c r="Y758" s="163"/>
      <c r="Z758" s="163"/>
      <c r="AA758" s="163"/>
    </row>
    <row r="759" ht="14.25" customHeight="1">
      <c r="A759" s="163"/>
      <c r="B759" s="163"/>
      <c r="C759" s="163"/>
      <c r="D759" s="163"/>
      <c r="E759" s="165"/>
      <c r="F759" s="163"/>
      <c r="G759" s="163"/>
      <c r="H759" s="163"/>
      <c r="I759" s="163"/>
      <c r="J759" s="163"/>
      <c r="K759" s="163"/>
      <c r="L759" s="163"/>
      <c r="M759" s="163"/>
      <c r="N759" s="163"/>
      <c r="O759" s="163"/>
      <c r="P759" s="163"/>
      <c r="Q759" s="163"/>
      <c r="R759" s="163"/>
      <c r="S759" s="163"/>
      <c r="T759" s="163"/>
      <c r="U759" s="163"/>
      <c r="V759" s="163"/>
      <c r="W759" s="163"/>
      <c r="X759" s="163"/>
      <c r="Y759" s="163"/>
      <c r="Z759" s="163"/>
      <c r="AA759" s="163"/>
    </row>
    <row r="760" ht="14.25" customHeight="1">
      <c r="A760" s="163"/>
      <c r="B760" s="163"/>
      <c r="C760" s="163"/>
      <c r="D760" s="163"/>
      <c r="E760" s="165"/>
      <c r="F760" s="163"/>
      <c r="G760" s="163"/>
      <c r="H760" s="163"/>
      <c r="I760" s="163"/>
      <c r="J760" s="163"/>
      <c r="K760" s="163"/>
      <c r="L760" s="163"/>
      <c r="M760" s="163"/>
      <c r="N760" s="163"/>
      <c r="O760" s="163"/>
      <c r="P760" s="163"/>
      <c r="Q760" s="163"/>
      <c r="R760" s="163"/>
      <c r="S760" s="163"/>
      <c r="T760" s="163"/>
      <c r="U760" s="163"/>
      <c r="V760" s="163"/>
      <c r="W760" s="163"/>
      <c r="X760" s="163"/>
      <c r="Y760" s="163"/>
      <c r="Z760" s="163"/>
      <c r="AA760" s="163"/>
    </row>
    <row r="761" ht="14.25" customHeight="1">
      <c r="A761" s="163"/>
      <c r="B761" s="163"/>
      <c r="C761" s="163"/>
      <c r="D761" s="163"/>
      <c r="E761" s="165"/>
      <c r="F761" s="163"/>
      <c r="G761" s="163"/>
      <c r="H761" s="163"/>
      <c r="I761" s="163"/>
      <c r="J761" s="163"/>
      <c r="K761" s="163"/>
      <c r="L761" s="163"/>
      <c r="M761" s="163"/>
      <c r="N761" s="163"/>
      <c r="O761" s="163"/>
      <c r="P761" s="163"/>
      <c r="Q761" s="163"/>
      <c r="R761" s="163"/>
      <c r="S761" s="163"/>
      <c r="T761" s="163"/>
      <c r="U761" s="163"/>
      <c r="V761" s="163"/>
      <c r="W761" s="163"/>
      <c r="X761" s="163"/>
      <c r="Y761" s="163"/>
      <c r="Z761" s="163"/>
      <c r="AA761" s="163"/>
    </row>
    <row r="762" ht="14.25" customHeight="1">
      <c r="A762" s="163"/>
      <c r="B762" s="163"/>
      <c r="C762" s="163"/>
      <c r="D762" s="163"/>
      <c r="E762" s="165"/>
      <c r="F762" s="163"/>
      <c r="G762" s="163"/>
      <c r="H762" s="163"/>
      <c r="I762" s="163"/>
      <c r="J762" s="163"/>
      <c r="K762" s="163"/>
      <c r="L762" s="163"/>
      <c r="M762" s="163"/>
      <c r="N762" s="163"/>
      <c r="O762" s="163"/>
      <c r="P762" s="163"/>
      <c r="Q762" s="163"/>
      <c r="R762" s="163"/>
      <c r="S762" s="163"/>
      <c r="T762" s="163"/>
      <c r="U762" s="163"/>
      <c r="V762" s="163"/>
      <c r="W762" s="163"/>
      <c r="X762" s="163"/>
      <c r="Y762" s="163"/>
      <c r="Z762" s="163"/>
      <c r="AA762" s="163"/>
    </row>
    <row r="763" ht="14.25" customHeight="1">
      <c r="A763" s="163"/>
      <c r="B763" s="163"/>
      <c r="C763" s="163"/>
      <c r="D763" s="163"/>
      <c r="E763" s="165"/>
      <c r="F763" s="163"/>
      <c r="G763" s="163"/>
      <c r="H763" s="163"/>
      <c r="I763" s="163"/>
      <c r="J763" s="163"/>
      <c r="K763" s="163"/>
      <c r="L763" s="163"/>
      <c r="M763" s="163"/>
      <c r="N763" s="163"/>
      <c r="O763" s="163"/>
      <c r="P763" s="163"/>
      <c r="Q763" s="163"/>
      <c r="R763" s="163"/>
      <c r="S763" s="163"/>
      <c r="T763" s="163"/>
      <c r="U763" s="163"/>
      <c r="V763" s="163"/>
      <c r="W763" s="163"/>
      <c r="X763" s="163"/>
      <c r="Y763" s="163"/>
      <c r="Z763" s="163"/>
      <c r="AA763" s="163"/>
    </row>
    <row r="764" ht="14.25" customHeight="1">
      <c r="A764" s="163"/>
      <c r="B764" s="163"/>
      <c r="C764" s="163"/>
      <c r="D764" s="163"/>
      <c r="E764" s="165"/>
      <c r="F764" s="163"/>
      <c r="G764" s="163"/>
      <c r="H764" s="163"/>
      <c r="I764" s="163"/>
      <c r="J764" s="163"/>
      <c r="K764" s="163"/>
      <c r="L764" s="163"/>
      <c r="M764" s="163"/>
      <c r="N764" s="163"/>
      <c r="O764" s="163"/>
      <c r="P764" s="163"/>
      <c r="Q764" s="163"/>
      <c r="R764" s="163"/>
      <c r="S764" s="163"/>
      <c r="T764" s="163"/>
      <c r="U764" s="163"/>
      <c r="V764" s="163"/>
      <c r="W764" s="163"/>
      <c r="X764" s="163"/>
      <c r="Y764" s="163"/>
      <c r="Z764" s="163"/>
      <c r="AA764" s="163"/>
    </row>
    <row r="765" ht="14.25" customHeight="1">
      <c r="A765" s="163"/>
      <c r="B765" s="163"/>
      <c r="C765" s="163"/>
      <c r="D765" s="163"/>
      <c r="E765" s="165"/>
      <c r="F765" s="163"/>
      <c r="G765" s="163"/>
      <c r="H765" s="163"/>
      <c r="I765" s="163"/>
      <c r="J765" s="163"/>
      <c r="K765" s="163"/>
      <c r="L765" s="163"/>
      <c r="M765" s="163"/>
      <c r="N765" s="163"/>
      <c r="O765" s="163"/>
      <c r="P765" s="163"/>
      <c r="Q765" s="163"/>
      <c r="R765" s="163"/>
      <c r="S765" s="163"/>
      <c r="T765" s="163"/>
      <c r="U765" s="163"/>
      <c r="V765" s="163"/>
      <c r="W765" s="163"/>
      <c r="X765" s="163"/>
      <c r="Y765" s="163"/>
      <c r="Z765" s="163"/>
      <c r="AA765" s="163"/>
    </row>
    <row r="766" ht="14.25" customHeight="1">
      <c r="A766" s="163"/>
      <c r="B766" s="163"/>
      <c r="C766" s="163"/>
      <c r="D766" s="163"/>
      <c r="E766" s="165"/>
      <c r="F766" s="163"/>
      <c r="G766" s="163"/>
      <c r="H766" s="163"/>
      <c r="I766" s="163"/>
      <c r="J766" s="163"/>
      <c r="K766" s="163"/>
      <c r="L766" s="163"/>
      <c r="M766" s="163"/>
      <c r="N766" s="163"/>
      <c r="O766" s="163"/>
      <c r="P766" s="163"/>
      <c r="Q766" s="163"/>
      <c r="R766" s="163"/>
      <c r="S766" s="163"/>
      <c r="T766" s="163"/>
      <c r="U766" s="163"/>
      <c r="V766" s="163"/>
      <c r="W766" s="163"/>
      <c r="X766" s="163"/>
      <c r="Y766" s="163"/>
      <c r="Z766" s="163"/>
      <c r="AA766" s="163"/>
    </row>
    <row r="767" ht="14.25" customHeight="1">
      <c r="A767" s="163"/>
      <c r="B767" s="163"/>
      <c r="C767" s="163"/>
      <c r="D767" s="163"/>
      <c r="E767" s="165"/>
      <c r="F767" s="163"/>
      <c r="G767" s="163"/>
      <c r="H767" s="163"/>
      <c r="I767" s="163"/>
      <c r="J767" s="163"/>
      <c r="K767" s="163"/>
      <c r="L767" s="163"/>
      <c r="M767" s="163"/>
      <c r="N767" s="163"/>
      <c r="O767" s="163"/>
      <c r="P767" s="163"/>
      <c r="Q767" s="163"/>
      <c r="R767" s="163"/>
      <c r="S767" s="163"/>
      <c r="T767" s="163"/>
      <c r="U767" s="163"/>
      <c r="V767" s="163"/>
      <c r="W767" s="163"/>
      <c r="X767" s="163"/>
      <c r="Y767" s="163"/>
      <c r="Z767" s="163"/>
      <c r="AA767" s="163"/>
    </row>
    <row r="768" ht="14.25" customHeight="1">
      <c r="A768" s="163"/>
      <c r="B768" s="163"/>
      <c r="C768" s="163"/>
      <c r="D768" s="163"/>
      <c r="E768" s="165"/>
      <c r="F768" s="163"/>
      <c r="G768" s="163"/>
      <c r="H768" s="163"/>
      <c r="I768" s="163"/>
      <c r="J768" s="163"/>
      <c r="K768" s="163"/>
      <c r="L768" s="163"/>
      <c r="M768" s="163"/>
      <c r="N768" s="163"/>
      <c r="O768" s="163"/>
      <c r="P768" s="163"/>
      <c r="Q768" s="163"/>
      <c r="R768" s="163"/>
      <c r="S768" s="163"/>
      <c r="T768" s="163"/>
      <c r="U768" s="163"/>
      <c r="V768" s="163"/>
      <c r="W768" s="163"/>
      <c r="X768" s="163"/>
      <c r="Y768" s="163"/>
      <c r="Z768" s="163"/>
      <c r="AA768" s="163"/>
    </row>
    <row r="769" ht="14.25" customHeight="1">
      <c r="A769" s="163"/>
      <c r="B769" s="163"/>
      <c r="C769" s="163"/>
      <c r="D769" s="163"/>
      <c r="E769" s="165"/>
      <c r="F769" s="163"/>
      <c r="G769" s="163"/>
      <c r="H769" s="163"/>
      <c r="I769" s="163"/>
      <c r="J769" s="163"/>
      <c r="K769" s="163"/>
      <c r="L769" s="163"/>
      <c r="M769" s="163"/>
      <c r="N769" s="163"/>
      <c r="O769" s="163"/>
      <c r="P769" s="163"/>
      <c r="Q769" s="163"/>
      <c r="R769" s="163"/>
      <c r="S769" s="163"/>
      <c r="T769" s="163"/>
      <c r="U769" s="163"/>
      <c r="V769" s="163"/>
      <c r="W769" s="163"/>
      <c r="X769" s="163"/>
      <c r="Y769" s="163"/>
      <c r="Z769" s="163"/>
      <c r="AA769" s="163"/>
    </row>
    <row r="770" ht="14.25" customHeight="1">
      <c r="A770" s="163"/>
      <c r="B770" s="163"/>
      <c r="C770" s="163"/>
      <c r="D770" s="163"/>
      <c r="E770" s="165"/>
      <c r="F770" s="163"/>
      <c r="G770" s="163"/>
      <c r="H770" s="163"/>
      <c r="I770" s="163"/>
      <c r="J770" s="163"/>
      <c r="K770" s="163"/>
      <c r="L770" s="163"/>
      <c r="M770" s="163"/>
      <c r="N770" s="163"/>
      <c r="O770" s="163"/>
      <c r="P770" s="163"/>
      <c r="Q770" s="163"/>
      <c r="R770" s="163"/>
      <c r="S770" s="163"/>
      <c r="T770" s="163"/>
      <c r="U770" s="163"/>
      <c r="V770" s="163"/>
      <c r="W770" s="163"/>
      <c r="X770" s="163"/>
      <c r="Y770" s="163"/>
      <c r="Z770" s="163"/>
      <c r="AA770" s="163"/>
    </row>
    <row r="771" ht="14.25" customHeight="1">
      <c r="A771" s="163"/>
      <c r="B771" s="163"/>
      <c r="C771" s="163"/>
      <c r="D771" s="163"/>
      <c r="E771" s="165"/>
      <c r="F771" s="163"/>
      <c r="G771" s="163"/>
      <c r="H771" s="163"/>
      <c r="I771" s="163"/>
      <c r="J771" s="163"/>
      <c r="K771" s="163"/>
      <c r="L771" s="163"/>
      <c r="M771" s="163"/>
      <c r="N771" s="163"/>
      <c r="O771" s="163"/>
      <c r="P771" s="163"/>
      <c r="Q771" s="163"/>
      <c r="R771" s="163"/>
      <c r="S771" s="163"/>
      <c r="T771" s="163"/>
      <c r="U771" s="163"/>
      <c r="V771" s="163"/>
      <c r="W771" s="163"/>
      <c r="X771" s="163"/>
      <c r="Y771" s="163"/>
      <c r="Z771" s="163"/>
      <c r="AA771" s="163"/>
    </row>
    <row r="772" ht="14.25" customHeight="1">
      <c r="A772" s="163"/>
      <c r="B772" s="163"/>
      <c r="C772" s="163"/>
      <c r="D772" s="163"/>
      <c r="E772" s="165"/>
      <c r="F772" s="163"/>
      <c r="G772" s="163"/>
      <c r="H772" s="163"/>
      <c r="I772" s="163"/>
      <c r="J772" s="163"/>
      <c r="K772" s="163"/>
      <c r="L772" s="163"/>
      <c r="M772" s="163"/>
      <c r="N772" s="163"/>
      <c r="O772" s="163"/>
      <c r="P772" s="163"/>
      <c r="Q772" s="163"/>
      <c r="R772" s="163"/>
      <c r="S772" s="163"/>
      <c r="T772" s="163"/>
      <c r="U772" s="163"/>
      <c r="V772" s="163"/>
      <c r="W772" s="163"/>
      <c r="X772" s="163"/>
      <c r="Y772" s="163"/>
      <c r="Z772" s="163"/>
      <c r="AA772" s="163"/>
    </row>
    <row r="773" ht="14.25" customHeight="1">
      <c r="A773" s="163"/>
      <c r="B773" s="163"/>
      <c r="C773" s="163"/>
      <c r="D773" s="163"/>
      <c r="E773" s="165"/>
      <c r="F773" s="163"/>
      <c r="G773" s="163"/>
      <c r="H773" s="163"/>
      <c r="I773" s="163"/>
      <c r="J773" s="163"/>
      <c r="K773" s="163"/>
      <c r="L773" s="163"/>
      <c r="M773" s="163"/>
      <c r="N773" s="163"/>
      <c r="O773" s="163"/>
      <c r="P773" s="163"/>
      <c r="Q773" s="163"/>
      <c r="R773" s="163"/>
      <c r="S773" s="163"/>
      <c r="T773" s="163"/>
      <c r="U773" s="163"/>
      <c r="V773" s="163"/>
      <c r="W773" s="163"/>
      <c r="X773" s="163"/>
      <c r="Y773" s="163"/>
      <c r="Z773" s="163"/>
      <c r="AA773" s="163"/>
    </row>
    <row r="774" ht="14.25" customHeight="1">
      <c r="A774" s="163"/>
      <c r="B774" s="163"/>
      <c r="C774" s="163"/>
      <c r="D774" s="163"/>
      <c r="E774" s="165"/>
      <c r="F774" s="163"/>
      <c r="G774" s="163"/>
      <c r="H774" s="163"/>
      <c r="I774" s="163"/>
      <c r="J774" s="163"/>
      <c r="K774" s="163"/>
      <c r="L774" s="163"/>
      <c r="M774" s="163"/>
      <c r="N774" s="163"/>
      <c r="O774" s="163"/>
      <c r="P774" s="163"/>
      <c r="Q774" s="163"/>
      <c r="R774" s="163"/>
      <c r="S774" s="163"/>
      <c r="T774" s="163"/>
      <c r="U774" s="163"/>
      <c r="V774" s="163"/>
      <c r="W774" s="163"/>
      <c r="X774" s="163"/>
      <c r="Y774" s="163"/>
      <c r="Z774" s="163"/>
      <c r="AA774" s="163"/>
    </row>
    <row r="775" ht="14.25" customHeight="1">
      <c r="A775" s="163"/>
      <c r="B775" s="163"/>
      <c r="C775" s="163"/>
      <c r="D775" s="163"/>
      <c r="E775" s="165"/>
      <c r="F775" s="163"/>
      <c r="G775" s="163"/>
      <c r="H775" s="163"/>
      <c r="I775" s="163"/>
      <c r="J775" s="163"/>
      <c r="K775" s="163"/>
      <c r="L775" s="163"/>
      <c r="M775" s="163"/>
      <c r="N775" s="163"/>
      <c r="O775" s="163"/>
      <c r="P775" s="163"/>
      <c r="Q775" s="163"/>
      <c r="R775" s="163"/>
      <c r="S775" s="163"/>
      <c r="T775" s="163"/>
      <c r="U775" s="163"/>
      <c r="V775" s="163"/>
      <c r="W775" s="163"/>
      <c r="X775" s="163"/>
      <c r="Y775" s="163"/>
      <c r="Z775" s="163"/>
      <c r="AA775" s="163"/>
    </row>
    <row r="776" ht="14.25" customHeight="1">
      <c r="A776" s="163"/>
      <c r="B776" s="163"/>
      <c r="C776" s="163"/>
      <c r="D776" s="163"/>
      <c r="E776" s="165"/>
      <c r="F776" s="163"/>
      <c r="G776" s="163"/>
      <c r="H776" s="163"/>
      <c r="I776" s="163"/>
      <c r="J776" s="163"/>
      <c r="K776" s="163"/>
      <c r="L776" s="163"/>
      <c r="M776" s="163"/>
      <c r="N776" s="163"/>
      <c r="O776" s="163"/>
      <c r="P776" s="163"/>
      <c r="Q776" s="163"/>
      <c r="R776" s="163"/>
      <c r="S776" s="163"/>
      <c r="T776" s="163"/>
      <c r="U776" s="163"/>
      <c r="V776" s="163"/>
      <c r="W776" s="163"/>
      <c r="X776" s="163"/>
      <c r="Y776" s="163"/>
      <c r="Z776" s="163"/>
      <c r="AA776" s="163"/>
    </row>
    <row r="777" ht="14.25" customHeight="1">
      <c r="A777" s="163"/>
      <c r="B777" s="163"/>
      <c r="C777" s="163"/>
      <c r="D777" s="163"/>
      <c r="E777" s="165"/>
      <c r="F777" s="163"/>
      <c r="G777" s="163"/>
      <c r="H777" s="163"/>
      <c r="I777" s="163"/>
      <c r="J777" s="163"/>
      <c r="K777" s="163"/>
      <c r="L777" s="163"/>
      <c r="M777" s="163"/>
      <c r="N777" s="163"/>
      <c r="O777" s="163"/>
      <c r="P777" s="163"/>
      <c r="Q777" s="163"/>
      <c r="R777" s="163"/>
      <c r="S777" s="163"/>
      <c r="T777" s="163"/>
      <c r="U777" s="163"/>
      <c r="V777" s="163"/>
      <c r="W777" s="163"/>
      <c r="X777" s="163"/>
      <c r="Y777" s="163"/>
      <c r="Z777" s="163"/>
      <c r="AA777" s="163"/>
    </row>
    <row r="778" ht="14.25" customHeight="1">
      <c r="A778" s="163"/>
      <c r="B778" s="163"/>
      <c r="C778" s="163"/>
      <c r="D778" s="163"/>
      <c r="E778" s="165"/>
      <c r="F778" s="163"/>
      <c r="G778" s="163"/>
      <c r="H778" s="163"/>
      <c r="I778" s="163"/>
      <c r="J778" s="163"/>
      <c r="K778" s="163"/>
      <c r="L778" s="163"/>
      <c r="M778" s="163"/>
      <c r="N778" s="163"/>
      <c r="O778" s="163"/>
      <c r="P778" s="163"/>
      <c r="Q778" s="163"/>
      <c r="R778" s="163"/>
      <c r="S778" s="163"/>
      <c r="T778" s="163"/>
      <c r="U778" s="163"/>
      <c r="V778" s="163"/>
      <c r="W778" s="163"/>
      <c r="X778" s="163"/>
      <c r="Y778" s="163"/>
      <c r="Z778" s="163"/>
      <c r="AA778" s="163"/>
    </row>
    <row r="779" ht="14.25" customHeight="1">
      <c r="A779" s="163"/>
      <c r="B779" s="163"/>
      <c r="C779" s="163"/>
      <c r="D779" s="163"/>
      <c r="E779" s="165"/>
      <c r="F779" s="163"/>
      <c r="G779" s="163"/>
      <c r="H779" s="163"/>
      <c r="I779" s="163"/>
      <c r="J779" s="163"/>
      <c r="K779" s="163"/>
      <c r="L779" s="163"/>
      <c r="M779" s="163"/>
      <c r="N779" s="163"/>
      <c r="O779" s="163"/>
      <c r="P779" s="163"/>
      <c r="Q779" s="163"/>
      <c r="R779" s="163"/>
      <c r="S779" s="163"/>
      <c r="T779" s="163"/>
      <c r="U779" s="163"/>
      <c r="V779" s="163"/>
      <c r="W779" s="163"/>
      <c r="X779" s="163"/>
      <c r="Y779" s="163"/>
      <c r="Z779" s="163"/>
      <c r="AA779" s="163"/>
    </row>
    <row r="780" ht="14.25" customHeight="1">
      <c r="A780" s="163"/>
      <c r="B780" s="163"/>
      <c r="C780" s="163"/>
      <c r="D780" s="163"/>
      <c r="E780" s="165"/>
      <c r="F780" s="163"/>
      <c r="G780" s="163"/>
      <c r="H780" s="163"/>
      <c r="I780" s="163"/>
      <c r="J780" s="163"/>
      <c r="K780" s="163"/>
      <c r="L780" s="163"/>
      <c r="M780" s="163"/>
      <c r="N780" s="163"/>
      <c r="O780" s="163"/>
      <c r="P780" s="163"/>
      <c r="Q780" s="163"/>
      <c r="R780" s="163"/>
      <c r="S780" s="163"/>
      <c r="T780" s="163"/>
      <c r="U780" s="163"/>
      <c r="V780" s="163"/>
      <c r="W780" s="163"/>
      <c r="X780" s="163"/>
      <c r="Y780" s="163"/>
      <c r="Z780" s="163"/>
      <c r="AA780" s="163"/>
    </row>
    <row r="781" ht="14.25" customHeight="1">
      <c r="A781" s="163"/>
      <c r="B781" s="163"/>
      <c r="C781" s="163"/>
      <c r="D781" s="163"/>
      <c r="E781" s="165"/>
      <c r="F781" s="163"/>
      <c r="G781" s="163"/>
      <c r="H781" s="163"/>
      <c r="I781" s="163"/>
      <c r="J781" s="163"/>
      <c r="K781" s="163"/>
      <c r="L781" s="163"/>
      <c r="M781" s="163"/>
      <c r="N781" s="163"/>
      <c r="O781" s="163"/>
      <c r="P781" s="163"/>
      <c r="Q781" s="163"/>
      <c r="R781" s="163"/>
      <c r="S781" s="163"/>
      <c r="T781" s="163"/>
      <c r="U781" s="163"/>
      <c r="V781" s="163"/>
      <c r="W781" s="163"/>
      <c r="X781" s="163"/>
      <c r="Y781" s="163"/>
      <c r="Z781" s="163"/>
      <c r="AA781" s="163"/>
    </row>
    <row r="782" ht="14.25" customHeight="1">
      <c r="A782" s="163"/>
      <c r="B782" s="163"/>
      <c r="C782" s="163"/>
      <c r="D782" s="163"/>
      <c r="E782" s="165"/>
      <c r="F782" s="163"/>
      <c r="G782" s="163"/>
      <c r="H782" s="163"/>
      <c r="I782" s="163"/>
      <c r="J782" s="163"/>
      <c r="K782" s="163"/>
      <c r="L782" s="163"/>
      <c r="M782" s="163"/>
      <c r="N782" s="163"/>
      <c r="O782" s="163"/>
      <c r="P782" s="163"/>
      <c r="Q782" s="163"/>
      <c r="R782" s="163"/>
      <c r="S782" s="163"/>
      <c r="T782" s="163"/>
      <c r="U782" s="163"/>
      <c r="V782" s="163"/>
      <c r="W782" s="163"/>
      <c r="X782" s="163"/>
      <c r="Y782" s="163"/>
      <c r="Z782" s="163"/>
      <c r="AA782" s="163"/>
    </row>
    <row r="783" ht="14.25" customHeight="1">
      <c r="A783" s="163"/>
      <c r="B783" s="163"/>
      <c r="C783" s="163"/>
      <c r="D783" s="163"/>
      <c r="E783" s="165"/>
      <c r="F783" s="163"/>
      <c r="G783" s="163"/>
      <c r="H783" s="163"/>
      <c r="I783" s="163"/>
      <c r="J783" s="163"/>
      <c r="K783" s="163"/>
      <c r="L783" s="163"/>
      <c r="M783" s="163"/>
      <c r="N783" s="163"/>
      <c r="O783" s="163"/>
      <c r="P783" s="163"/>
      <c r="Q783" s="163"/>
      <c r="R783" s="163"/>
      <c r="S783" s="163"/>
      <c r="T783" s="163"/>
      <c r="U783" s="163"/>
      <c r="V783" s="163"/>
      <c r="W783" s="163"/>
      <c r="X783" s="163"/>
      <c r="Y783" s="163"/>
      <c r="Z783" s="163"/>
      <c r="AA783" s="163"/>
    </row>
  </sheetData>
  <mergeCells count="27">
    <mergeCell ref="B2:B3"/>
    <mergeCell ref="B4:B7"/>
    <mergeCell ref="B8:B14"/>
    <mergeCell ref="B15:B24"/>
    <mergeCell ref="B25:B28"/>
    <mergeCell ref="B29:B31"/>
    <mergeCell ref="B32:B42"/>
    <mergeCell ref="B43:B52"/>
    <mergeCell ref="B53:B67"/>
    <mergeCell ref="B92:B93"/>
    <mergeCell ref="B94:B98"/>
    <mergeCell ref="B99:B111"/>
    <mergeCell ref="B146:B157"/>
    <mergeCell ref="B158:B170"/>
    <mergeCell ref="B410:B418"/>
    <mergeCell ref="B478:B503"/>
    <mergeCell ref="B547:B550"/>
    <mergeCell ref="B551:B557"/>
    <mergeCell ref="B558:B560"/>
    <mergeCell ref="B561:B583"/>
    <mergeCell ref="B171:B175"/>
    <mergeCell ref="B176:B180"/>
    <mergeCell ref="B181:B182"/>
    <mergeCell ref="B183:B184"/>
    <mergeCell ref="B328:B334"/>
    <mergeCell ref="B338:B349"/>
    <mergeCell ref="B389:B393"/>
  </mergeCells>
  <dataValidations>
    <dataValidation type="list" allowBlank="1" showErrorMessage="1" sqref="I2:I783">
      <formula1>"Pass,Fail,On-hold,NA"</formula1>
    </dataValidation>
    <dataValidation type="list" allowBlank="1" showErrorMessage="1" sqref="J1:J783">
      <formula1>"Yes,No"</formula1>
    </dataValidation>
    <dataValidation type="list" allowBlank="1" showErrorMessage="1" sqref="D1:D783">
      <formula1>"Functional,UI,Smoke,Regression,Integration"</formula1>
    </dataValidation>
  </dataValidations>
  <hyperlinks>
    <hyperlink r:id="rId1" ref="G191"/>
  </hyperlinks>
  <printOptions/>
  <pageMargins bottom="0.75" footer="0.0" header="0.0" left="0.7" right="0.7" top="0.75"/>
  <pageSetup orientation="landscape"/>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31.0"/>
    <col customWidth="1" min="2" max="2" width="69.25"/>
  </cols>
  <sheetData>
    <row r="1">
      <c r="A1" s="239" t="s">
        <v>145</v>
      </c>
      <c r="B1" s="239" t="s">
        <v>1700</v>
      </c>
    </row>
    <row r="2">
      <c r="A2" s="240" t="s">
        <v>1701</v>
      </c>
      <c r="B2" s="240" t="s">
        <v>6295</v>
      </c>
    </row>
    <row r="3">
      <c r="A3" s="240" t="s">
        <v>6296</v>
      </c>
      <c r="B3" s="240" t="s">
        <v>6297</v>
      </c>
    </row>
    <row r="4">
      <c r="A4" s="240" t="s">
        <v>6298</v>
      </c>
      <c r="B4" s="240" t="s">
        <v>6299</v>
      </c>
    </row>
    <row r="5">
      <c r="A5" s="240" t="s">
        <v>6300</v>
      </c>
      <c r="B5" s="240" t="s">
        <v>6301</v>
      </c>
    </row>
    <row r="6">
      <c r="A6" s="240" t="s">
        <v>6302</v>
      </c>
      <c r="B6" s="240" t="s">
        <v>6303</v>
      </c>
    </row>
    <row r="7">
      <c r="A7" s="240" t="s">
        <v>5183</v>
      </c>
      <c r="B7" s="240" t="s">
        <v>6304</v>
      </c>
    </row>
    <row r="8">
      <c r="A8" s="240" t="s">
        <v>6305</v>
      </c>
      <c r="B8" s="240" t="s">
        <v>6306</v>
      </c>
    </row>
    <row r="9">
      <c r="A9" s="240" t="s">
        <v>1762</v>
      </c>
      <c r="B9" s="240" t="s">
        <v>6307</v>
      </c>
    </row>
    <row r="10">
      <c r="A10" s="240" t="s">
        <v>6308</v>
      </c>
      <c r="B10" s="240" t="s">
        <v>6307</v>
      </c>
    </row>
    <row r="11">
      <c r="A11" s="240" t="s">
        <v>6309</v>
      </c>
      <c r="B11" s="240" t="s">
        <v>6310</v>
      </c>
    </row>
    <row r="12">
      <c r="A12" s="240" t="s">
        <v>6311</v>
      </c>
      <c r="B12" s="240" t="s">
        <v>6312</v>
      </c>
    </row>
    <row r="13">
      <c r="A13" s="240" t="s">
        <v>6313</v>
      </c>
      <c r="B13" s="240" t="s">
        <v>6314</v>
      </c>
    </row>
    <row r="14">
      <c r="A14" s="240" t="s">
        <v>6315</v>
      </c>
      <c r="B14" s="240" t="s">
        <v>6316</v>
      </c>
    </row>
    <row r="15">
      <c r="A15" s="240" t="s">
        <v>6317</v>
      </c>
      <c r="B15" s="240" t="s">
        <v>6307</v>
      </c>
    </row>
    <row r="16">
      <c r="A16" s="240" t="s">
        <v>6318</v>
      </c>
      <c r="B16" s="240" t="s">
        <v>6307</v>
      </c>
    </row>
    <row r="17">
      <c r="A17" s="240" t="s">
        <v>6319</v>
      </c>
      <c r="B17" s="240" t="s">
        <v>6320</v>
      </c>
    </row>
    <row r="18">
      <c r="A18" s="240" t="s">
        <v>6321</v>
      </c>
      <c r="B18" s="240" t="s">
        <v>6322</v>
      </c>
    </row>
    <row r="19">
      <c r="A19" s="240" t="s">
        <v>6323</v>
      </c>
      <c r="B19" s="240" t="s">
        <v>6324</v>
      </c>
    </row>
    <row r="20">
      <c r="A20" s="240" t="s">
        <v>6325</v>
      </c>
      <c r="B20" s="240" t="s">
        <v>6324</v>
      </c>
    </row>
    <row r="21">
      <c r="A21" s="240" t="s">
        <v>6326</v>
      </c>
      <c r="B21" s="240" t="s">
        <v>6327</v>
      </c>
    </row>
    <row r="22">
      <c r="A22" s="240" t="s">
        <v>6328</v>
      </c>
      <c r="B22" s="240" t="s">
        <v>6329</v>
      </c>
    </row>
    <row r="23">
      <c r="A23" s="240" t="s">
        <v>6330</v>
      </c>
      <c r="B23" s="240" t="s">
        <v>6331</v>
      </c>
    </row>
    <row r="24">
      <c r="A24" s="240" t="s">
        <v>6332</v>
      </c>
      <c r="B24" s="240" t="s">
        <v>6333</v>
      </c>
    </row>
    <row r="25">
      <c r="A25" s="240" t="s">
        <v>6334</v>
      </c>
      <c r="B25" s="240" t="s">
        <v>6335</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sheetViews>
  <sheetFormatPr customHeight="1" defaultColWidth="12.63" defaultRowHeight="15.0"/>
  <cols>
    <col customWidth="1" min="1" max="1" width="12.75"/>
    <col customWidth="1" min="2" max="2" width="26.5"/>
    <col customWidth="1" min="3" max="3" width="17.63"/>
    <col customWidth="1" min="4" max="4" width="10.0"/>
    <col customWidth="1" min="5" max="5" width="26.5"/>
    <col customWidth="1" min="6" max="6" width="33.63"/>
    <col customWidth="1" min="7" max="7" width="46.13"/>
    <col customWidth="1" min="8" max="8" width="43.25"/>
    <col customWidth="1" min="9" max="9" width="11.63"/>
    <col customWidth="1" min="10" max="28" width="14.75"/>
  </cols>
  <sheetData>
    <row r="1" ht="14.25" customHeight="1">
      <c r="A1" s="93" t="s">
        <v>268</v>
      </c>
      <c r="B1" s="93" t="s">
        <v>269</v>
      </c>
      <c r="C1" s="93" t="s">
        <v>270</v>
      </c>
      <c r="D1" s="94" t="s">
        <v>271</v>
      </c>
      <c r="E1" s="93" t="s">
        <v>145</v>
      </c>
      <c r="F1" s="158" t="s">
        <v>272</v>
      </c>
      <c r="G1" s="93" t="s">
        <v>30</v>
      </c>
      <c r="H1" s="93" t="s">
        <v>273</v>
      </c>
      <c r="I1" s="93" t="s">
        <v>32</v>
      </c>
      <c r="J1" s="96" t="s">
        <v>6336</v>
      </c>
      <c r="K1" s="93" t="s">
        <v>274</v>
      </c>
      <c r="L1" s="97"/>
      <c r="M1" s="97"/>
      <c r="N1" s="97"/>
      <c r="O1" s="95"/>
      <c r="P1" s="95"/>
      <c r="Q1" s="95"/>
      <c r="R1" s="95"/>
      <c r="S1" s="95"/>
      <c r="T1" s="95"/>
      <c r="U1" s="95"/>
      <c r="V1" s="95"/>
      <c r="W1" s="95"/>
      <c r="X1" s="95"/>
      <c r="Y1" s="95"/>
      <c r="Z1" s="97"/>
      <c r="AA1" s="97"/>
      <c r="AB1" s="97"/>
    </row>
    <row r="2" ht="14.25" customHeight="1">
      <c r="A2" s="98" t="s">
        <v>6337</v>
      </c>
      <c r="B2" s="241"/>
      <c r="C2" s="242" t="s">
        <v>6338</v>
      </c>
      <c r="D2" s="243" t="s">
        <v>2482</v>
      </c>
      <c r="E2" s="244" t="s">
        <v>6339</v>
      </c>
      <c r="F2" s="245" t="s">
        <v>6340</v>
      </c>
      <c r="G2" s="244" t="s">
        <v>6341</v>
      </c>
      <c r="H2" s="244" t="s">
        <v>6342</v>
      </c>
      <c r="I2" s="246" t="s">
        <v>36</v>
      </c>
      <c r="J2" s="247" t="s">
        <v>1784</v>
      </c>
      <c r="K2" s="248"/>
      <c r="L2" s="249"/>
      <c r="M2" s="249"/>
      <c r="N2" s="249"/>
      <c r="O2" s="249"/>
      <c r="P2" s="249"/>
      <c r="Q2" s="249"/>
      <c r="R2" s="249"/>
      <c r="S2" s="249"/>
      <c r="T2" s="249"/>
      <c r="U2" s="249"/>
      <c r="V2" s="249"/>
      <c r="W2" s="249"/>
      <c r="X2" s="249"/>
      <c r="Y2" s="249"/>
      <c r="Z2" s="249"/>
      <c r="AA2" s="249"/>
      <c r="AB2" s="249"/>
    </row>
    <row r="3" ht="14.25" customHeight="1">
      <c r="A3" s="98" t="s">
        <v>6343</v>
      </c>
      <c r="B3" s="250" t="s">
        <v>6344</v>
      </c>
      <c r="C3" s="242" t="s">
        <v>6345</v>
      </c>
      <c r="D3" s="98" t="s">
        <v>271</v>
      </c>
      <c r="E3" s="240" t="s">
        <v>6346</v>
      </c>
      <c r="F3" s="240" t="s">
        <v>6347</v>
      </c>
      <c r="G3" s="240" t="s">
        <v>6348</v>
      </c>
      <c r="H3" s="240" t="s">
        <v>6349</v>
      </c>
      <c r="I3" s="84" t="s">
        <v>36</v>
      </c>
      <c r="J3" s="247" t="s">
        <v>1784</v>
      </c>
      <c r="K3" s="251"/>
      <c r="L3" s="251"/>
      <c r="M3" s="251"/>
      <c r="N3" s="251"/>
      <c r="O3" s="251"/>
      <c r="P3" s="251"/>
      <c r="Q3" s="251"/>
      <c r="R3" s="251"/>
      <c r="S3" s="251"/>
      <c r="T3" s="251"/>
      <c r="U3" s="251"/>
      <c r="V3" s="251"/>
      <c r="W3" s="251"/>
      <c r="X3" s="251"/>
      <c r="Y3" s="251"/>
      <c r="Z3" s="251"/>
      <c r="AA3" s="251"/>
      <c r="AB3" s="251"/>
    </row>
    <row r="4" ht="14.25" customHeight="1">
      <c r="A4" s="98" t="s">
        <v>6343</v>
      </c>
      <c r="B4" s="108"/>
      <c r="C4" s="242" t="s">
        <v>6350</v>
      </c>
      <c r="D4" s="98" t="s">
        <v>271</v>
      </c>
      <c r="E4" s="240" t="s">
        <v>6346</v>
      </c>
      <c r="F4" s="240" t="s">
        <v>6347</v>
      </c>
      <c r="G4" s="240" t="s">
        <v>6351</v>
      </c>
      <c r="H4" s="240" t="s">
        <v>6352</v>
      </c>
      <c r="I4" s="84" t="s">
        <v>36</v>
      </c>
      <c r="J4" s="247" t="s">
        <v>1784</v>
      </c>
      <c r="K4" s="251"/>
      <c r="L4" s="251"/>
      <c r="M4" s="251"/>
      <c r="N4" s="251"/>
      <c r="O4" s="251"/>
      <c r="P4" s="251"/>
      <c r="Q4" s="251"/>
      <c r="R4" s="251"/>
      <c r="S4" s="251"/>
      <c r="T4" s="251"/>
      <c r="U4" s="251"/>
      <c r="V4" s="251"/>
      <c r="W4" s="251"/>
      <c r="X4" s="251"/>
      <c r="Y4" s="251"/>
      <c r="Z4" s="251"/>
      <c r="AA4" s="251"/>
      <c r="AB4" s="251"/>
    </row>
    <row r="5" ht="14.25" customHeight="1">
      <c r="A5" s="98" t="s">
        <v>6343</v>
      </c>
      <c r="B5" s="108"/>
      <c r="C5" s="242" t="s">
        <v>6353</v>
      </c>
      <c r="D5" s="98" t="s">
        <v>271</v>
      </c>
      <c r="E5" s="240" t="s">
        <v>6346</v>
      </c>
      <c r="F5" s="240" t="s">
        <v>6347</v>
      </c>
      <c r="G5" s="240" t="s">
        <v>6354</v>
      </c>
      <c r="H5" s="240" t="s">
        <v>6355</v>
      </c>
      <c r="I5" s="84" t="s">
        <v>36</v>
      </c>
      <c r="J5" s="247" t="s">
        <v>1784</v>
      </c>
      <c r="K5" s="251"/>
      <c r="L5" s="251"/>
      <c r="M5" s="251"/>
      <c r="N5" s="251"/>
      <c r="O5" s="251"/>
      <c r="P5" s="251"/>
      <c r="Q5" s="251"/>
      <c r="R5" s="251"/>
      <c r="S5" s="251"/>
      <c r="T5" s="251"/>
      <c r="U5" s="251"/>
      <c r="V5" s="251"/>
      <c r="W5" s="251"/>
      <c r="X5" s="251"/>
      <c r="Y5" s="251"/>
      <c r="Z5" s="251"/>
      <c r="AA5" s="251"/>
      <c r="AB5" s="251"/>
    </row>
    <row r="6" ht="14.25" customHeight="1">
      <c r="A6" s="98" t="s">
        <v>6343</v>
      </c>
      <c r="B6" s="109"/>
      <c r="C6" s="242" t="s">
        <v>6356</v>
      </c>
      <c r="D6" s="98" t="s">
        <v>271</v>
      </c>
      <c r="E6" s="240" t="s">
        <v>6346</v>
      </c>
      <c r="F6" s="240" t="s">
        <v>6347</v>
      </c>
      <c r="G6" s="240" t="s">
        <v>6357</v>
      </c>
      <c r="H6" s="240" t="s">
        <v>6358</v>
      </c>
      <c r="I6" s="84" t="s">
        <v>36</v>
      </c>
      <c r="J6" s="247" t="s">
        <v>1784</v>
      </c>
      <c r="K6" s="251"/>
      <c r="L6" s="251"/>
      <c r="M6" s="251"/>
      <c r="N6" s="251"/>
      <c r="O6" s="251"/>
      <c r="P6" s="251"/>
      <c r="Q6" s="251"/>
      <c r="R6" s="251"/>
      <c r="S6" s="251"/>
      <c r="T6" s="251"/>
      <c r="U6" s="251"/>
      <c r="V6" s="251"/>
      <c r="W6" s="251"/>
      <c r="X6" s="251"/>
      <c r="Y6" s="251"/>
      <c r="Z6" s="251"/>
      <c r="AA6" s="251"/>
      <c r="AB6" s="251"/>
    </row>
    <row r="7" ht="14.25" customHeight="1">
      <c r="A7" s="98" t="s">
        <v>6359</v>
      </c>
      <c r="B7" s="250" t="s">
        <v>6360</v>
      </c>
      <c r="C7" s="242" t="s">
        <v>6361</v>
      </c>
      <c r="D7" s="98" t="s">
        <v>271</v>
      </c>
      <c r="E7" s="240" t="s">
        <v>6362</v>
      </c>
      <c r="F7" s="240" t="s">
        <v>6347</v>
      </c>
      <c r="G7" s="240" t="s">
        <v>6363</v>
      </c>
      <c r="H7" s="240" t="s">
        <v>6364</v>
      </c>
      <c r="I7" s="84" t="s">
        <v>36</v>
      </c>
      <c r="J7" s="247" t="s">
        <v>1784</v>
      </c>
      <c r="K7" s="251"/>
      <c r="L7" s="251"/>
      <c r="M7" s="251"/>
      <c r="N7" s="251"/>
      <c r="O7" s="251"/>
      <c r="P7" s="251"/>
      <c r="Q7" s="251"/>
      <c r="R7" s="251"/>
      <c r="S7" s="251"/>
      <c r="T7" s="251"/>
      <c r="U7" s="251"/>
      <c r="V7" s="251"/>
      <c r="W7" s="251"/>
      <c r="X7" s="251"/>
      <c r="Y7" s="251"/>
      <c r="Z7" s="251"/>
      <c r="AA7" s="251"/>
      <c r="AB7" s="251"/>
    </row>
    <row r="8" ht="14.25" customHeight="1">
      <c r="A8" s="98" t="s">
        <v>6359</v>
      </c>
      <c r="B8" s="108"/>
      <c r="C8" s="242" t="s">
        <v>6365</v>
      </c>
      <c r="D8" s="98" t="s">
        <v>271</v>
      </c>
      <c r="E8" s="240" t="s">
        <v>6362</v>
      </c>
      <c r="F8" s="240" t="s">
        <v>6347</v>
      </c>
      <c r="G8" s="240" t="s">
        <v>6366</v>
      </c>
      <c r="H8" s="240" t="s">
        <v>6367</v>
      </c>
      <c r="I8" s="84" t="s">
        <v>36</v>
      </c>
      <c r="J8" s="247" t="s">
        <v>1784</v>
      </c>
      <c r="K8" s="251"/>
      <c r="L8" s="251"/>
      <c r="M8" s="251"/>
      <c r="N8" s="251"/>
      <c r="O8" s="251"/>
      <c r="P8" s="251"/>
      <c r="Q8" s="251"/>
      <c r="R8" s="251"/>
      <c r="S8" s="251"/>
      <c r="T8" s="251"/>
      <c r="U8" s="251"/>
      <c r="V8" s="251"/>
      <c r="W8" s="251"/>
      <c r="X8" s="251"/>
      <c r="Y8" s="251"/>
      <c r="Z8" s="251"/>
      <c r="AA8" s="251"/>
      <c r="AB8" s="251"/>
    </row>
    <row r="9" ht="14.25" customHeight="1">
      <c r="A9" s="98" t="s">
        <v>6359</v>
      </c>
      <c r="B9" s="108"/>
      <c r="C9" s="242" t="s">
        <v>6368</v>
      </c>
      <c r="D9" s="98" t="s">
        <v>271</v>
      </c>
      <c r="E9" s="240" t="s">
        <v>6362</v>
      </c>
      <c r="F9" s="240" t="s">
        <v>6347</v>
      </c>
      <c r="G9" s="240" t="s">
        <v>6369</v>
      </c>
      <c r="H9" s="240" t="s">
        <v>6370</v>
      </c>
      <c r="I9" s="84" t="s">
        <v>36</v>
      </c>
      <c r="J9" s="247" t="s">
        <v>1784</v>
      </c>
      <c r="K9" s="251"/>
      <c r="L9" s="251"/>
      <c r="M9" s="251"/>
      <c r="N9" s="251"/>
      <c r="O9" s="251"/>
      <c r="P9" s="251"/>
      <c r="Q9" s="251"/>
      <c r="R9" s="251"/>
      <c r="S9" s="251"/>
      <c r="T9" s="251"/>
      <c r="U9" s="251"/>
      <c r="V9" s="251"/>
      <c r="W9" s="251"/>
      <c r="X9" s="251"/>
      <c r="Y9" s="251"/>
      <c r="Z9" s="251"/>
      <c r="AA9" s="251"/>
      <c r="AB9" s="251"/>
    </row>
    <row r="10" ht="14.25" customHeight="1">
      <c r="A10" s="98" t="s">
        <v>6359</v>
      </c>
      <c r="B10" s="108"/>
      <c r="C10" s="242" t="s">
        <v>6371</v>
      </c>
      <c r="D10" s="98" t="s">
        <v>271</v>
      </c>
      <c r="E10" s="240" t="s">
        <v>6362</v>
      </c>
      <c r="F10" s="240" t="s">
        <v>6347</v>
      </c>
      <c r="G10" s="240" t="s">
        <v>6372</v>
      </c>
      <c r="H10" s="240" t="s">
        <v>6355</v>
      </c>
      <c r="I10" s="84" t="s">
        <v>36</v>
      </c>
      <c r="J10" s="247" t="s">
        <v>1784</v>
      </c>
      <c r="K10" s="251"/>
      <c r="L10" s="251"/>
      <c r="M10" s="251"/>
      <c r="N10" s="251"/>
      <c r="O10" s="251"/>
      <c r="P10" s="251"/>
      <c r="Q10" s="251"/>
      <c r="R10" s="251"/>
      <c r="S10" s="251"/>
      <c r="T10" s="251"/>
      <c r="U10" s="251"/>
      <c r="V10" s="251"/>
      <c r="W10" s="251"/>
      <c r="X10" s="251"/>
      <c r="Y10" s="251"/>
      <c r="Z10" s="251"/>
      <c r="AA10" s="251"/>
      <c r="AB10" s="251"/>
    </row>
    <row r="11" ht="14.25" customHeight="1">
      <c r="A11" s="98" t="s">
        <v>6359</v>
      </c>
      <c r="B11" s="108"/>
      <c r="C11" s="242" t="s">
        <v>6373</v>
      </c>
      <c r="D11" s="98" t="s">
        <v>271</v>
      </c>
      <c r="E11" s="240" t="s">
        <v>6362</v>
      </c>
      <c r="F11" s="240" t="s">
        <v>6347</v>
      </c>
      <c r="G11" s="240" t="s">
        <v>6374</v>
      </c>
      <c r="H11" s="240" t="s">
        <v>6375</v>
      </c>
      <c r="I11" s="84" t="s">
        <v>36</v>
      </c>
      <c r="J11" s="247" t="s">
        <v>1784</v>
      </c>
      <c r="K11" s="251"/>
      <c r="L11" s="251"/>
      <c r="M11" s="251"/>
      <c r="N11" s="251"/>
      <c r="O11" s="251"/>
      <c r="P11" s="251"/>
      <c r="Q11" s="251"/>
      <c r="R11" s="251"/>
      <c r="S11" s="251"/>
      <c r="T11" s="251"/>
      <c r="U11" s="251"/>
      <c r="V11" s="251"/>
      <c r="W11" s="251"/>
      <c r="X11" s="251"/>
      <c r="Y11" s="251"/>
      <c r="Z11" s="251"/>
      <c r="AA11" s="251"/>
      <c r="AB11" s="251"/>
    </row>
    <row r="12" ht="14.25" customHeight="1">
      <c r="A12" s="98" t="s">
        <v>6359</v>
      </c>
      <c r="B12" s="108"/>
      <c r="C12" s="242" t="s">
        <v>6376</v>
      </c>
      <c r="D12" s="98" t="s">
        <v>271</v>
      </c>
      <c r="E12" s="240" t="s">
        <v>6362</v>
      </c>
      <c r="F12" s="240" t="s">
        <v>6347</v>
      </c>
      <c r="G12" s="240" t="s">
        <v>6357</v>
      </c>
      <c r="H12" s="240" t="s">
        <v>6358</v>
      </c>
      <c r="I12" s="84" t="s">
        <v>36</v>
      </c>
      <c r="J12" s="247" t="s">
        <v>1784</v>
      </c>
      <c r="K12" s="251"/>
      <c r="L12" s="251"/>
      <c r="M12" s="251"/>
      <c r="N12" s="251"/>
      <c r="O12" s="251"/>
      <c r="P12" s="251"/>
      <c r="Q12" s="251"/>
      <c r="R12" s="251"/>
      <c r="S12" s="251"/>
      <c r="T12" s="251"/>
      <c r="U12" s="251"/>
      <c r="V12" s="251"/>
      <c r="W12" s="251"/>
      <c r="X12" s="251"/>
      <c r="Y12" s="251"/>
      <c r="Z12" s="251"/>
      <c r="AA12" s="251"/>
      <c r="AB12" s="251"/>
    </row>
    <row r="13" ht="14.25" customHeight="1">
      <c r="A13" s="98" t="s">
        <v>6359</v>
      </c>
      <c r="B13" s="108"/>
      <c r="C13" s="242" t="s">
        <v>6377</v>
      </c>
      <c r="D13" s="98" t="s">
        <v>271</v>
      </c>
      <c r="E13" s="240" t="s">
        <v>6362</v>
      </c>
      <c r="F13" s="240" t="s">
        <v>6347</v>
      </c>
      <c r="G13" s="240" t="s">
        <v>6378</v>
      </c>
      <c r="H13" s="240" t="s">
        <v>6379</v>
      </c>
      <c r="I13" s="84" t="s">
        <v>36</v>
      </c>
      <c r="J13" s="247" t="s">
        <v>1784</v>
      </c>
      <c r="K13" s="251"/>
      <c r="L13" s="251"/>
      <c r="M13" s="251"/>
      <c r="N13" s="251"/>
      <c r="O13" s="251"/>
      <c r="P13" s="251"/>
      <c r="Q13" s="251"/>
      <c r="R13" s="251"/>
      <c r="S13" s="251"/>
      <c r="T13" s="251"/>
      <c r="U13" s="251"/>
      <c r="V13" s="251"/>
      <c r="W13" s="251"/>
      <c r="X13" s="251"/>
      <c r="Y13" s="251"/>
      <c r="Z13" s="251"/>
      <c r="AA13" s="251"/>
      <c r="AB13" s="251"/>
    </row>
    <row r="14" ht="14.25" customHeight="1">
      <c r="A14" s="98" t="s">
        <v>6359</v>
      </c>
      <c r="B14" s="108"/>
      <c r="C14" s="242" t="s">
        <v>6380</v>
      </c>
      <c r="D14" s="98" t="s">
        <v>271</v>
      </c>
      <c r="E14" s="240" t="s">
        <v>6362</v>
      </c>
      <c r="F14" s="240" t="s">
        <v>6347</v>
      </c>
      <c r="G14" s="240" t="s">
        <v>6381</v>
      </c>
      <c r="H14" s="240" t="s">
        <v>6381</v>
      </c>
      <c r="I14" s="84" t="s">
        <v>36</v>
      </c>
      <c r="J14" s="247" t="s">
        <v>1784</v>
      </c>
      <c r="K14" s="251"/>
      <c r="L14" s="251"/>
      <c r="M14" s="251"/>
      <c r="N14" s="251"/>
      <c r="O14" s="251"/>
      <c r="P14" s="251"/>
      <c r="Q14" s="251"/>
      <c r="R14" s="251"/>
      <c r="S14" s="251"/>
      <c r="T14" s="251"/>
      <c r="U14" s="251"/>
      <c r="V14" s="251"/>
      <c r="W14" s="251"/>
      <c r="X14" s="251"/>
      <c r="Y14" s="251"/>
      <c r="Z14" s="251"/>
      <c r="AA14" s="251"/>
      <c r="AB14" s="251"/>
    </row>
    <row r="15" ht="14.25" customHeight="1">
      <c r="A15" s="98" t="s">
        <v>6359</v>
      </c>
      <c r="B15" s="108"/>
      <c r="C15" s="242" t="s">
        <v>6382</v>
      </c>
      <c r="D15" s="98" t="s">
        <v>271</v>
      </c>
      <c r="E15" s="240" t="s">
        <v>6362</v>
      </c>
      <c r="F15" s="240" t="s">
        <v>6347</v>
      </c>
      <c r="G15" s="240" t="s">
        <v>6383</v>
      </c>
      <c r="H15" s="240" t="s">
        <v>6384</v>
      </c>
      <c r="I15" s="84" t="s">
        <v>36</v>
      </c>
      <c r="J15" s="247" t="s">
        <v>1784</v>
      </c>
      <c r="K15" s="251"/>
      <c r="L15" s="251"/>
      <c r="M15" s="251"/>
      <c r="N15" s="251"/>
      <c r="O15" s="251"/>
      <c r="P15" s="251"/>
      <c r="Q15" s="251"/>
      <c r="R15" s="251"/>
      <c r="S15" s="251"/>
      <c r="T15" s="251"/>
      <c r="U15" s="251"/>
      <c r="V15" s="251"/>
      <c r="W15" s="251"/>
      <c r="X15" s="251"/>
      <c r="Y15" s="251"/>
      <c r="Z15" s="251"/>
      <c r="AA15" s="251"/>
      <c r="AB15" s="251"/>
    </row>
    <row r="16" ht="14.25" customHeight="1">
      <c r="A16" s="98" t="s">
        <v>6359</v>
      </c>
      <c r="B16" s="109"/>
      <c r="C16" s="242" t="s">
        <v>6385</v>
      </c>
      <c r="D16" s="98" t="s">
        <v>271</v>
      </c>
      <c r="E16" s="240" t="s">
        <v>6362</v>
      </c>
      <c r="F16" s="240" t="s">
        <v>6347</v>
      </c>
      <c r="G16" s="240" t="s">
        <v>6386</v>
      </c>
      <c r="H16" s="240" t="s">
        <v>6387</v>
      </c>
      <c r="I16" s="84" t="s">
        <v>36</v>
      </c>
      <c r="J16" s="247" t="s">
        <v>1784</v>
      </c>
      <c r="K16" s="251"/>
      <c r="L16" s="251"/>
      <c r="M16" s="251"/>
      <c r="N16" s="251"/>
      <c r="O16" s="251"/>
      <c r="P16" s="251"/>
      <c r="Q16" s="251"/>
      <c r="R16" s="251"/>
      <c r="S16" s="251"/>
      <c r="T16" s="251"/>
      <c r="U16" s="251"/>
      <c r="V16" s="251"/>
      <c r="W16" s="251"/>
      <c r="X16" s="251"/>
      <c r="Y16" s="251"/>
      <c r="Z16" s="251"/>
      <c r="AA16" s="251"/>
      <c r="AB16" s="251"/>
    </row>
    <row r="17" ht="14.25" customHeight="1">
      <c r="A17" s="98" t="s">
        <v>6388</v>
      </c>
      <c r="B17" s="250" t="s">
        <v>6389</v>
      </c>
      <c r="C17" s="242" t="s">
        <v>6390</v>
      </c>
      <c r="D17" s="98" t="s">
        <v>271</v>
      </c>
      <c r="E17" s="240" t="s">
        <v>6391</v>
      </c>
      <c r="F17" s="240" t="s">
        <v>6392</v>
      </c>
      <c r="G17" s="240" t="s">
        <v>6393</v>
      </c>
      <c r="H17" s="240" t="s">
        <v>6394</v>
      </c>
      <c r="I17" s="84" t="s">
        <v>36</v>
      </c>
      <c r="J17" s="252" t="s">
        <v>2062</v>
      </c>
      <c r="K17" s="251"/>
      <c r="L17" s="251"/>
      <c r="M17" s="251"/>
      <c r="N17" s="251"/>
      <c r="O17" s="251"/>
      <c r="P17" s="251"/>
      <c r="Q17" s="251"/>
      <c r="R17" s="251"/>
      <c r="S17" s="251"/>
      <c r="T17" s="251"/>
      <c r="U17" s="251"/>
      <c r="V17" s="251"/>
      <c r="W17" s="251"/>
      <c r="X17" s="251"/>
      <c r="Y17" s="251"/>
      <c r="Z17" s="251"/>
      <c r="AA17" s="251"/>
      <c r="AB17" s="251"/>
    </row>
    <row r="18" ht="14.25" customHeight="1">
      <c r="A18" s="98" t="s">
        <v>6388</v>
      </c>
      <c r="B18" s="108"/>
      <c r="C18" s="242" t="s">
        <v>6395</v>
      </c>
      <c r="D18" s="98" t="s">
        <v>271</v>
      </c>
      <c r="E18" s="240" t="s">
        <v>6391</v>
      </c>
      <c r="F18" s="240" t="s">
        <v>6396</v>
      </c>
      <c r="G18" s="240" t="s">
        <v>6397</v>
      </c>
      <c r="H18" s="240" t="s">
        <v>6398</v>
      </c>
      <c r="I18" s="84" t="s">
        <v>36</v>
      </c>
      <c r="J18" s="252" t="s">
        <v>2062</v>
      </c>
      <c r="K18" s="251"/>
      <c r="L18" s="251"/>
      <c r="M18" s="251"/>
      <c r="N18" s="251"/>
      <c r="O18" s="251"/>
      <c r="P18" s="251"/>
      <c r="Q18" s="251"/>
      <c r="R18" s="251"/>
      <c r="S18" s="251"/>
      <c r="T18" s="251"/>
      <c r="U18" s="251"/>
      <c r="V18" s="251"/>
      <c r="W18" s="251"/>
      <c r="X18" s="251"/>
      <c r="Y18" s="251"/>
      <c r="Z18" s="251"/>
      <c r="AA18" s="251"/>
      <c r="AB18" s="251"/>
    </row>
    <row r="19" ht="14.25" customHeight="1">
      <c r="A19" s="98" t="s">
        <v>6388</v>
      </c>
      <c r="B19" s="109"/>
      <c r="C19" s="242" t="s">
        <v>6399</v>
      </c>
      <c r="D19" s="98" t="s">
        <v>271</v>
      </c>
      <c r="E19" s="240" t="s">
        <v>6391</v>
      </c>
      <c r="F19" s="240" t="s">
        <v>6396</v>
      </c>
      <c r="G19" s="240" t="s">
        <v>6400</v>
      </c>
      <c r="H19" s="240" t="s">
        <v>6401</v>
      </c>
      <c r="I19" s="84" t="s">
        <v>36</v>
      </c>
      <c r="J19" s="252" t="s">
        <v>2062</v>
      </c>
      <c r="K19" s="251"/>
      <c r="L19" s="251"/>
      <c r="M19" s="251"/>
      <c r="N19" s="251"/>
      <c r="O19" s="251"/>
      <c r="P19" s="251"/>
      <c r="Q19" s="251"/>
      <c r="R19" s="251"/>
      <c r="S19" s="251"/>
      <c r="T19" s="251"/>
      <c r="U19" s="251"/>
      <c r="V19" s="251"/>
      <c r="W19" s="251"/>
      <c r="X19" s="251"/>
      <c r="Y19" s="251"/>
      <c r="Z19" s="251"/>
      <c r="AA19" s="251"/>
      <c r="AB19" s="251"/>
    </row>
    <row r="20" ht="14.25" customHeight="1">
      <c r="A20" s="253"/>
      <c r="B20" s="254"/>
      <c r="C20" s="242" t="s">
        <v>6402</v>
      </c>
      <c r="D20" s="98" t="s">
        <v>2482</v>
      </c>
      <c r="E20" s="255" t="s">
        <v>6296</v>
      </c>
      <c r="F20" s="256" t="s">
        <v>6403</v>
      </c>
      <c r="G20" s="240" t="s">
        <v>6404</v>
      </c>
      <c r="H20" s="240" t="s">
        <v>6405</v>
      </c>
      <c r="I20" s="84" t="s">
        <v>36</v>
      </c>
      <c r="J20" s="252" t="s">
        <v>2062</v>
      </c>
      <c r="K20" s="251"/>
      <c r="L20" s="251"/>
      <c r="M20" s="251"/>
      <c r="N20" s="251"/>
      <c r="O20" s="251"/>
      <c r="P20" s="251"/>
      <c r="Q20" s="251"/>
      <c r="R20" s="251"/>
      <c r="S20" s="251"/>
      <c r="T20" s="251"/>
      <c r="U20" s="251"/>
      <c r="V20" s="251"/>
      <c r="W20" s="251"/>
      <c r="X20" s="251"/>
      <c r="Y20" s="251"/>
      <c r="Z20" s="251"/>
      <c r="AA20" s="251"/>
      <c r="AB20" s="251"/>
    </row>
    <row r="21" ht="14.25" customHeight="1">
      <c r="A21" s="98" t="s">
        <v>6406</v>
      </c>
      <c r="B21" s="257" t="s">
        <v>6407</v>
      </c>
      <c r="C21" s="242" t="s">
        <v>6408</v>
      </c>
      <c r="D21" s="98" t="s">
        <v>271</v>
      </c>
      <c r="E21" s="240" t="s">
        <v>6409</v>
      </c>
      <c r="F21" s="240" t="s">
        <v>6410</v>
      </c>
      <c r="G21" s="240" t="s">
        <v>6411</v>
      </c>
      <c r="H21" s="240" t="s">
        <v>6412</v>
      </c>
      <c r="I21" s="84" t="s">
        <v>36</v>
      </c>
      <c r="J21" s="252" t="s">
        <v>2034</v>
      </c>
      <c r="K21" s="251"/>
      <c r="L21" s="251"/>
      <c r="M21" s="251"/>
      <c r="N21" s="251"/>
      <c r="O21" s="251"/>
      <c r="P21" s="251"/>
      <c r="Q21" s="251"/>
      <c r="R21" s="251"/>
      <c r="S21" s="251"/>
      <c r="T21" s="251"/>
      <c r="U21" s="251"/>
      <c r="V21" s="251"/>
      <c r="W21" s="251"/>
      <c r="X21" s="251"/>
      <c r="Y21" s="251"/>
      <c r="Z21" s="251"/>
      <c r="AA21" s="251"/>
      <c r="AB21" s="251"/>
    </row>
    <row r="22" ht="14.25" customHeight="1">
      <c r="A22" s="98" t="s">
        <v>6406</v>
      </c>
      <c r="B22" s="108"/>
      <c r="C22" s="242" t="s">
        <v>6413</v>
      </c>
      <c r="D22" s="98" t="s">
        <v>271</v>
      </c>
      <c r="E22" s="240" t="s">
        <v>6409</v>
      </c>
      <c r="F22" s="240" t="s">
        <v>6410</v>
      </c>
      <c r="G22" s="240" t="s">
        <v>6414</v>
      </c>
      <c r="H22" s="240" t="s">
        <v>6415</v>
      </c>
      <c r="I22" s="84" t="s">
        <v>36</v>
      </c>
      <c r="J22" s="252" t="s">
        <v>2034</v>
      </c>
      <c r="K22" s="251"/>
      <c r="L22" s="251"/>
      <c r="M22" s="251"/>
      <c r="N22" s="251"/>
      <c r="O22" s="251"/>
      <c r="P22" s="251"/>
      <c r="Q22" s="251"/>
      <c r="R22" s="251"/>
      <c r="S22" s="251"/>
      <c r="T22" s="251"/>
      <c r="U22" s="251"/>
      <c r="V22" s="251"/>
      <c r="W22" s="251"/>
      <c r="X22" s="251"/>
      <c r="Y22" s="251"/>
      <c r="Z22" s="251"/>
      <c r="AA22" s="251"/>
      <c r="AB22" s="251"/>
    </row>
    <row r="23" ht="14.25" customHeight="1">
      <c r="A23" s="98" t="s">
        <v>6406</v>
      </c>
      <c r="B23" s="108"/>
      <c r="C23" s="242" t="s">
        <v>6416</v>
      </c>
      <c r="D23" s="98" t="s">
        <v>271</v>
      </c>
      <c r="E23" s="240" t="s">
        <v>6409</v>
      </c>
      <c r="F23" s="240" t="s">
        <v>6410</v>
      </c>
      <c r="G23" s="240" t="s">
        <v>6417</v>
      </c>
      <c r="H23" s="240" t="s">
        <v>6418</v>
      </c>
      <c r="I23" s="84" t="s">
        <v>36</v>
      </c>
      <c r="J23" s="252" t="s">
        <v>2034</v>
      </c>
      <c r="K23" s="251"/>
      <c r="L23" s="251"/>
      <c r="M23" s="251"/>
      <c r="N23" s="251"/>
      <c r="O23" s="251"/>
      <c r="P23" s="251"/>
      <c r="Q23" s="251"/>
      <c r="R23" s="251"/>
      <c r="S23" s="251"/>
      <c r="T23" s="251"/>
      <c r="U23" s="251"/>
      <c r="V23" s="251"/>
      <c r="W23" s="251"/>
      <c r="X23" s="251"/>
      <c r="Y23" s="251"/>
      <c r="Z23" s="251"/>
      <c r="AA23" s="251"/>
      <c r="AB23" s="251"/>
    </row>
    <row r="24" ht="14.25" customHeight="1">
      <c r="A24" s="98" t="s">
        <v>6406</v>
      </c>
      <c r="B24" s="108"/>
      <c r="C24" s="242" t="s">
        <v>6419</v>
      </c>
      <c r="D24" s="98" t="s">
        <v>271</v>
      </c>
      <c r="E24" s="240" t="s">
        <v>6409</v>
      </c>
      <c r="F24" s="240" t="s">
        <v>6410</v>
      </c>
      <c r="G24" s="240" t="s">
        <v>6420</v>
      </c>
      <c r="H24" s="240" t="s">
        <v>6421</v>
      </c>
      <c r="I24" s="84" t="s">
        <v>36</v>
      </c>
      <c r="J24" s="252" t="s">
        <v>2034</v>
      </c>
      <c r="K24" s="251"/>
      <c r="L24" s="251"/>
      <c r="M24" s="251"/>
      <c r="N24" s="251"/>
      <c r="O24" s="251"/>
      <c r="P24" s="251"/>
      <c r="Q24" s="251"/>
      <c r="R24" s="251"/>
      <c r="S24" s="251"/>
      <c r="T24" s="251"/>
      <c r="U24" s="251"/>
      <c r="V24" s="251"/>
      <c r="W24" s="251"/>
      <c r="X24" s="251"/>
      <c r="Y24" s="251"/>
      <c r="Z24" s="251"/>
      <c r="AA24" s="251"/>
      <c r="AB24" s="251"/>
    </row>
    <row r="25" ht="14.25" customHeight="1">
      <c r="A25" s="98" t="s">
        <v>6406</v>
      </c>
      <c r="B25" s="108"/>
      <c r="C25" s="242" t="s">
        <v>6422</v>
      </c>
      <c r="D25" s="98" t="s">
        <v>271</v>
      </c>
      <c r="E25" s="240" t="s">
        <v>6409</v>
      </c>
      <c r="F25" s="240" t="s">
        <v>6410</v>
      </c>
      <c r="G25" s="240" t="s">
        <v>6423</v>
      </c>
      <c r="H25" s="240" t="s">
        <v>6418</v>
      </c>
      <c r="I25" s="84" t="s">
        <v>36</v>
      </c>
      <c r="J25" s="252" t="s">
        <v>2034</v>
      </c>
      <c r="K25" s="251"/>
      <c r="L25" s="251"/>
      <c r="M25" s="251"/>
      <c r="N25" s="251"/>
      <c r="O25" s="251"/>
      <c r="P25" s="251"/>
      <c r="Q25" s="251"/>
      <c r="R25" s="251"/>
      <c r="S25" s="251"/>
      <c r="T25" s="251"/>
      <c r="U25" s="251"/>
      <c r="V25" s="251"/>
      <c r="W25" s="251"/>
      <c r="X25" s="251"/>
      <c r="Y25" s="251"/>
      <c r="Z25" s="251"/>
      <c r="AA25" s="251"/>
      <c r="AB25" s="251"/>
    </row>
    <row r="26" ht="14.25" customHeight="1">
      <c r="A26" s="98" t="s">
        <v>6406</v>
      </c>
      <c r="B26" s="108"/>
      <c r="C26" s="242" t="s">
        <v>6424</v>
      </c>
      <c r="D26" s="98" t="s">
        <v>271</v>
      </c>
      <c r="E26" s="240" t="s">
        <v>6409</v>
      </c>
      <c r="F26" s="240" t="s">
        <v>6410</v>
      </c>
      <c r="G26" s="240" t="s">
        <v>6425</v>
      </c>
      <c r="H26" s="240" t="s">
        <v>6426</v>
      </c>
      <c r="I26" s="84" t="s">
        <v>36</v>
      </c>
      <c r="J26" s="252" t="s">
        <v>2034</v>
      </c>
      <c r="K26" s="251"/>
      <c r="L26" s="251"/>
      <c r="M26" s="251"/>
      <c r="N26" s="251"/>
      <c r="O26" s="251"/>
      <c r="P26" s="251"/>
      <c r="Q26" s="251"/>
      <c r="R26" s="251"/>
      <c r="S26" s="251"/>
      <c r="T26" s="251"/>
      <c r="U26" s="251"/>
      <c r="V26" s="251"/>
      <c r="W26" s="251"/>
      <c r="X26" s="251"/>
      <c r="Y26" s="251"/>
      <c r="Z26" s="251"/>
      <c r="AA26" s="251"/>
      <c r="AB26" s="251"/>
    </row>
    <row r="27" ht="14.25" customHeight="1">
      <c r="A27" s="98" t="s">
        <v>6406</v>
      </c>
      <c r="B27" s="108"/>
      <c r="C27" s="242" t="s">
        <v>6427</v>
      </c>
      <c r="D27" s="98" t="s">
        <v>271</v>
      </c>
      <c r="E27" s="240" t="s">
        <v>6409</v>
      </c>
      <c r="F27" s="240" t="s">
        <v>6410</v>
      </c>
      <c r="G27" s="240" t="s">
        <v>6428</v>
      </c>
      <c r="H27" s="240" t="s">
        <v>6429</v>
      </c>
      <c r="I27" s="84" t="s">
        <v>36</v>
      </c>
      <c r="J27" s="252" t="s">
        <v>2034</v>
      </c>
      <c r="K27" s="251"/>
      <c r="L27" s="251"/>
      <c r="M27" s="251"/>
      <c r="N27" s="251"/>
      <c r="O27" s="251"/>
      <c r="P27" s="251"/>
      <c r="Q27" s="251"/>
      <c r="R27" s="251"/>
      <c r="S27" s="251"/>
      <c r="T27" s="251"/>
      <c r="U27" s="251"/>
      <c r="V27" s="251"/>
      <c r="W27" s="251"/>
      <c r="X27" s="251"/>
      <c r="Y27" s="251"/>
      <c r="Z27" s="251"/>
      <c r="AA27" s="251"/>
      <c r="AB27" s="251"/>
    </row>
    <row r="28" ht="14.25" customHeight="1">
      <c r="A28" s="98" t="s">
        <v>6406</v>
      </c>
      <c r="B28" s="108"/>
      <c r="C28" s="242" t="s">
        <v>6430</v>
      </c>
      <c r="D28" s="98" t="s">
        <v>271</v>
      </c>
      <c r="E28" s="240" t="s">
        <v>6409</v>
      </c>
      <c r="F28" s="240" t="s">
        <v>6410</v>
      </c>
      <c r="G28" s="240" t="s">
        <v>6431</v>
      </c>
      <c r="H28" s="240" t="s">
        <v>6432</v>
      </c>
      <c r="I28" s="84" t="s">
        <v>36</v>
      </c>
      <c r="J28" s="252" t="s">
        <v>2034</v>
      </c>
      <c r="K28" s="251"/>
      <c r="L28" s="251"/>
      <c r="M28" s="251"/>
      <c r="N28" s="251"/>
      <c r="O28" s="251"/>
      <c r="P28" s="251"/>
      <c r="Q28" s="251"/>
      <c r="R28" s="251"/>
      <c r="S28" s="251"/>
      <c r="T28" s="251"/>
      <c r="U28" s="251"/>
      <c r="V28" s="251"/>
      <c r="W28" s="251"/>
      <c r="X28" s="251"/>
      <c r="Y28" s="251"/>
      <c r="Z28" s="251"/>
      <c r="AA28" s="251"/>
      <c r="AB28" s="251"/>
    </row>
    <row r="29" ht="14.25" customHeight="1">
      <c r="A29" s="98" t="s">
        <v>6406</v>
      </c>
      <c r="B29" s="108"/>
      <c r="C29" s="242" t="s">
        <v>6433</v>
      </c>
      <c r="D29" s="98" t="s">
        <v>271</v>
      </c>
      <c r="E29" s="240" t="s">
        <v>6409</v>
      </c>
      <c r="F29" s="240" t="s">
        <v>6410</v>
      </c>
      <c r="G29" s="240" t="s">
        <v>6434</v>
      </c>
      <c r="H29" s="240" t="s">
        <v>6435</v>
      </c>
      <c r="I29" s="84" t="s">
        <v>36</v>
      </c>
      <c r="J29" s="252" t="s">
        <v>2034</v>
      </c>
      <c r="K29" s="251"/>
      <c r="L29" s="251"/>
      <c r="M29" s="251"/>
      <c r="N29" s="251"/>
      <c r="O29" s="251"/>
      <c r="P29" s="251"/>
      <c r="Q29" s="251"/>
      <c r="R29" s="251"/>
      <c r="S29" s="251"/>
      <c r="T29" s="251"/>
      <c r="U29" s="251"/>
      <c r="V29" s="251"/>
      <c r="W29" s="251"/>
      <c r="X29" s="251"/>
      <c r="Y29" s="251"/>
      <c r="Z29" s="251"/>
      <c r="AA29" s="251"/>
      <c r="AB29" s="251"/>
    </row>
    <row r="30" ht="14.25" customHeight="1">
      <c r="A30" s="98" t="s">
        <v>6406</v>
      </c>
      <c r="B30" s="108"/>
      <c r="C30" s="242" t="s">
        <v>6436</v>
      </c>
      <c r="D30" s="98" t="s">
        <v>271</v>
      </c>
      <c r="E30" s="240" t="s">
        <v>6409</v>
      </c>
      <c r="F30" s="240" t="s">
        <v>6410</v>
      </c>
      <c r="G30" s="240" t="s">
        <v>6437</v>
      </c>
      <c r="H30" s="240" t="s">
        <v>6438</v>
      </c>
      <c r="I30" s="84" t="s">
        <v>36</v>
      </c>
      <c r="J30" s="252" t="s">
        <v>2034</v>
      </c>
      <c r="K30" s="251"/>
      <c r="L30" s="251"/>
      <c r="M30" s="251"/>
      <c r="N30" s="251"/>
      <c r="O30" s="251"/>
      <c r="P30" s="251"/>
      <c r="Q30" s="251"/>
      <c r="R30" s="251"/>
      <c r="S30" s="251"/>
      <c r="T30" s="251"/>
      <c r="U30" s="251"/>
      <c r="V30" s="251"/>
      <c r="W30" s="251"/>
      <c r="X30" s="251"/>
      <c r="Y30" s="251"/>
      <c r="Z30" s="251"/>
      <c r="AA30" s="251"/>
      <c r="AB30" s="251"/>
    </row>
    <row r="31" ht="14.25" customHeight="1">
      <c r="A31" s="98" t="s">
        <v>6406</v>
      </c>
      <c r="B31" s="108"/>
      <c r="C31" s="242" t="s">
        <v>6439</v>
      </c>
      <c r="D31" s="98" t="s">
        <v>271</v>
      </c>
      <c r="E31" s="240" t="s">
        <v>6409</v>
      </c>
      <c r="F31" s="240" t="s">
        <v>6410</v>
      </c>
      <c r="G31" s="240" t="s">
        <v>6440</v>
      </c>
      <c r="H31" s="240" t="s">
        <v>6441</v>
      </c>
      <c r="I31" s="84" t="s">
        <v>36</v>
      </c>
      <c r="J31" s="252" t="s">
        <v>2034</v>
      </c>
      <c r="K31" s="251"/>
      <c r="L31" s="251"/>
      <c r="M31" s="251"/>
      <c r="N31" s="251"/>
      <c r="O31" s="251"/>
      <c r="P31" s="251"/>
      <c r="Q31" s="251"/>
      <c r="R31" s="251"/>
      <c r="S31" s="251"/>
      <c r="T31" s="251"/>
      <c r="U31" s="251"/>
      <c r="V31" s="251"/>
      <c r="W31" s="251"/>
      <c r="X31" s="251"/>
      <c r="Y31" s="251"/>
      <c r="Z31" s="251"/>
      <c r="AA31" s="251"/>
      <c r="AB31" s="251"/>
    </row>
    <row r="32" ht="14.25" customHeight="1">
      <c r="A32" s="98" t="s">
        <v>6406</v>
      </c>
      <c r="B32" s="108"/>
      <c r="C32" s="242" t="s">
        <v>6442</v>
      </c>
      <c r="D32" s="98" t="s">
        <v>271</v>
      </c>
      <c r="E32" s="240" t="s">
        <v>6409</v>
      </c>
      <c r="F32" s="240" t="s">
        <v>6410</v>
      </c>
      <c r="G32" s="240" t="s">
        <v>6443</v>
      </c>
      <c r="H32" s="240" t="s">
        <v>6444</v>
      </c>
      <c r="I32" s="84" t="s">
        <v>36</v>
      </c>
      <c r="J32" s="252" t="s">
        <v>2034</v>
      </c>
      <c r="K32" s="251"/>
      <c r="L32" s="251"/>
      <c r="M32" s="251"/>
      <c r="N32" s="251"/>
      <c r="O32" s="251"/>
      <c r="P32" s="251"/>
      <c r="Q32" s="251"/>
      <c r="R32" s="251"/>
      <c r="S32" s="251"/>
      <c r="T32" s="251"/>
      <c r="U32" s="251"/>
      <c r="V32" s="251"/>
      <c r="W32" s="251"/>
      <c r="X32" s="251"/>
      <c r="Y32" s="251"/>
      <c r="Z32" s="251"/>
      <c r="AA32" s="251"/>
      <c r="AB32" s="251"/>
    </row>
    <row r="33" ht="14.25" customHeight="1">
      <c r="A33" s="98" t="s">
        <v>6406</v>
      </c>
      <c r="B33" s="108"/>
      <c r="C33" s="242" t="s">
        <v>6445</v>
      </c>
      <c r="D33" s="98" t="s">
        <v>271</v>
      </c>
      <c r="E33" s="240" t="s">
        <v>6409</v>
      </c>
      <c r="F33" s="240" t="s">
        <v>6410</v>
      </c>
      <c r="G33" s="240" t="s">
        <v>6446</v>
      </c>
      <c r="H33" s="240" t="s">
        <v>6447</v>
      </c>
      <c r="I33" s="84" t="s">
        <v>36</v>
      </c>
      <c r="J33" s="252" t="s">
        <v>2034</v>
      </c>
      <c r="K33" s="251"/>
      <c r="L33" s="251"/>
      <c r="M33" s="251"/>
      <c r="N33" s="251"/>
      <c r="O33" s="251"/>
      <c r="P33" s="251"/>
      <c r="Q33" s="251"/>
      <c r="R33" s="251"/>
      <c r="S33" s="251"/>
      <c r="T33" s="251"/>
      <c r="U33" s="251"/>
      <c r="V33" s="251"/>
      <c r="W33" s="251"/>
      <c r="X33" s="251"/>
      <c r="Y33" s="251"/>
      <c r="Z33" s="251"/>
      <c r="AA33" s="251"/>
      <c r="AB33" s="251"/>
    </row>
    <row r="34" ht="14.25" customHeight="1">
      <c r="A34" s="98" t="s">
        <v>6406</v>
      </c>
      <c r="B34" s="108"/>
      <c r="C34" s="242" t="s">
        <v>6448</v>
      </c>
      <c r="D34" s="98" t="s">
        <v>271</v>
      </c>
      <c r="E34" s="240" t="s">
        <v>6409</v>
      </c>
      <c r="F34" s="240" t="s">
        <v>6410</v>
      </c>
      <c r="G34" s="240" t="s">
        <v>6449</v>
      </c>
      <c r="H34" s="240" t="s">
        <v>6450</v>
      </c>
      <c r="I34" s="84" t="s">
        <v>36</v>
      </c>
      <c r="J34" s="252" t="s">
        <v>2034</v>
      </c>
      <c r="K34" s="251"/>
      <c r="L34" s="251"/>
      <c r="M34" s="251"/>
      <c r="N34" s="251"/>
      <c r="O34" s="251"/>
      <c r="P34" s="251"/>
      <c r="Q34" s="251"/>
      <c r="R34" s="251"/>
      <c r="S34" s="251"/>
      <c r="T34" s="251"/>
      <c r="U34" s="251"/>
      <c r="V34" s="251"/>
      <c r="W34" s="251"/>
      <c r="X34" s="251"/>
      <c r="Y34" s="251"/>
      <c r="Z34" s="251"/>
      <c r="AA34" s="251"/>
      <c r="AB34" s="251"/>
    </row>
    <row r="35" ht="14.25" customHeight="1">
      <c r="A35" s="98" t="s">
        <v>6406</v>
      </c>
      <c r="B35" s="108"/>
      <c r="C35" s="242" t="s">
        <v>6451</v>
      </c>
      <c r="D35" s="98" t="s">
        <v>271</v>
      </c>
      <c r="E35" s="240" t="s">
        <v>6409</v>
      </c>
      <c r="F35" s="240" t="s">
        <v>6410</v>
      </c>
      <c r="G35" s="240" t="s">
        <v>6452</v>
      </c>
      <c r="H35" s="240" t="s">
        <v>6453</v>
      </c>
      <c r="I35" s="84" t="s">
        <v>36</v>
      </c>
      <c r="J35" s="252" t="s">
        <v>2034</v>
      </c>
      <c r="K35" s="251"/>
      <c r="L35" s="251"/>
      <c r="M35" s="251"/>
      <c r="N35" s="251"/>
      <c r="O35" s="251"/>
      <c r="P35" s="251"/>
      <c r="Q35" s="251"/>
      <c r="R35" s="251"/>
      <c r="S35" s="251"/>
      <c r="T35" s="251"/>
      <c r="U35" s="251"/>
      <c r="V35" s="251"/>
      <c r="W35" s="251"/>
      <c r="X35" s="251"/>
      <c r="Y35" s="251"/>
      <c r="Z35" s="251"/>
      <c r="AA35" s="251"/>
      <c r="AB35" s="251"/>
    </row>
    <row r="36" ht="14.25" customHeight="1">
      <c r="A36" s="98" t="s">
        <v>6406</v>
      </c>
      <c r="B36" s="108"/>
      <c r="C36" s="242" t="s">
        <v>6454</v>
      </c>
      <c r="D36" s="98" t="s">
        <v>271</v>
      </c>
      <c r="E36" s="240" t="s">
        <v>6409</v>
      </c>
      <c r="F36" s="240" t="s">
        <v>6410</v>
      </c>
      <c r="G36" s="240" t="s">
        <v>6455</v>
      </c>
      <c r="H36" s="240" t="s">
        <v>6456</v>
      </c>
      <c r="I36" s="84" t="s">
        <v>36</v>
      </c>
      <c r="J36" s="252" t="s">
        <v>2034</v>
      </c>
      <c r="K36" s="251"/>
      <c r="L36" s="251"/>
      <c r="M36" s="251"/>
      <c r="N36" s="251"/>
      <c r="O36" s="251"/>
      <c r="P36" s="251"/>
      <c r="Q36" s="251"/>
      <c r="R36" s="251"/>
      <c r="S36" s="251"/>
      <c r="T36" s="251"/>
      <c r="U36" s="251"/>
      <c r="V36" s="251"/>
      <c r="W36" s="251"/>
      <c r="X36" s="251"/>
      <c r="Y36" s="251"/>
      <c r="Z36" s="251"/>
      <c r="AA36" s="251"/>
      <c r="AB36" s="251"/>
    </row>
    <row r="37" ht="14.25" customHeight="1">
      <c r="A37" s="98" t="s">
        <v>6406</v>
      </c>
      <c r="B37" s="108"/>
      <c r="C37" s="242" t="s">
        <v>6457</v>
      </c>
      <c r="D37" s="98" t="s">
        <v>271</v>
      </c>
      <c r="E37" s="240" t="s">
        <v>6409</v>
      </c>
      <c r="F37" s="240" t="s">
        <v>6410</v>
      </c>
      <c r="G37" s="240" t="s">
        <v>6458</v>
      </c>
      <c r="H37" s="240" t="s">
        <v>6459</v>
      </c>
      <c r="I37" s="84" t="s">
        <v>36</v>
      </c>
      <c r="J37" s="252" t="s">
        <v>2034</v>
      </c>
      <c r="K37" s="251"/>
      <c r="L37" s="251"/>
      <c r="M37" s="251"/>
      <c r="N37" s="251"/>
      <c r="O37" s="251"/>
      <c r="P37" s="251"/>
      <c r="Q37" s="251"/>
      <c r="R37" s="251"/>
      <c r="S37" s="251"/>
      <c r="T37" s="251"/>
      <c r="U37" s="251"/>
      <c r="V37" s="251"/>
      <c r="W37" s="251"/>
      <c r="X37" s="251"/>
      <c r="Y37" s="251"/>
      <c r="Z37" s="251"/>
      <c r="AA37" s="251"/>
      <c r="AB37" s="251"/>
    </row>
    <row r="38" ht="14.25" customHeight="1">
      <c r="A38" s="98" t="s">
        <v>6406</v>
      </c>
      <c r="B38" s="108"/>
      <c r="C38" s="242" t="s">
        <v>6460</v>
      </c>
      <c r="D38" s="98" t="s">
        <v>271</v>
      </c>
      <c r="E38" s="240" t="s">
        <v>6409</v>
      </c>
      <c r="F38" s="240" t="s">
        <v>6410</v>
      </c>
      <c r="G38" s="240" t="s">
        <v>6461</v>
      </c>
      <c r="H38" s="240" t="s">
        <v>6462</v>
      </c>
      <c r="I38" s="84" t="s">
        <v>36</v>
      </c>
      <c r="J38" s="252" t="s">
        <v>2034</v>
      </c>
      <c r="K38" s="251"/>
      <c r="L38" s="251"/>
      <c r="M38" s="251"/>
      <c r="N38" s="251"/>
      <c r="O38" s="251"/>
      <c r="P38" s="251"/>
      <c r="Q38" s="251"/>
      <c r="R38" s="251"/>
      <c r="S38" s="251"/>
      <c r="T38" s="251"/>
      <c r="U38" s="251"/>
      <c r="V38" s="251"/>
      <c r="W38" s="251"/>
      <c r="X38" s="251"/>
      <c r="Y38" s="251"/>
      <c r="Z38" s="251"/>
      <c r="AA38" s="251"/>
      <c r="AB38" s="251"/>
    </row>
    <row r="39" ht="14.25" customHeight="1">
      <c r="A39" s="98" t="s">
        <v>6406</v>
      </c>
      <c r="B39" s="108"/>
      <c r="C39" s="242" t="s">
        <v>6463</v>
      </c>
      <c r="D39" s="98" t="s">
        <v>271</v>
      </c>
      <c r="E39" s="240" t="s">
        <v>6409</v>
      </c>
      <c r="F39" s="240" t="s">
        <v>6410</v>
      </c>
      <c r="G39" s="240" t="s">
        <v>6464</v>
      </c>
      <c r="H39" s="240" t="s">
        <v>6465</v>
      </c>
      <c r="I39" s="84" t="s">
        <v>36</v>
      </c>
      <c r="J39" s="252" t="s">
        <v>2034</v>
      </c>
      <c r="K39" s="251"/>
      <c r="L39" s="251"/>
      <c r="M39" s="251"/>
      <c r="N39" s="251"/>
      <c r="O39" s="251"/>
      <c r="P39" s="251"/>
      <c r="Q39" s="251"/>
      <c r="R39" s="251"/>
      <c r="S39" s="251"/>
      <c r="T39" s="251"/>
      <c r="U39" s="251"/>
      <c r="V39" s="251"/>
      <c r="W39" s="251"/>
      <c r="X39" s="251"/>
      <c r="Y39" s="251"/>
      <c r="Z39" s="251"/>
      <c r="AA39" s="251"/>
      <c r="AB39" s="251"/>
    </row>
    <row r="40" ht="14.25" customHeight="1">
      <c r="A40" s="98" t="s">
        <v>6406</v>
      </c>
      <c r="B40" s="108"/>
      <c r="C40" s="242" t="s">
        <v>6466</v>
      </c>
      <c r="D40" s="98" t="s">
        <v>271</v>
      </c>
      <c r="E40" s="240" t="s">
        <v>6409</v>
      </c>
      <c r="F40" s="240" t="s">
        <v>6410</v>
      </c>
      <c r="G40" s="240" t="s">
        <v>6467</v>
      </c>
      <c r="H40" s="240" t="s">
        <v>6468</v>
      </c>
      <c r="I40" s="84" t="s">
        <v>36</v>
      </c>
      <c r="J40" s="252" t="s">
        <v>2034</v>
      </c>
      <c r="K40" s="251"/>
      <c r="L40" s="251"/>
      <c r="M40" s="251"/>
      <c r="N40" s="251"/>
      <c r="O40" s="251"/>
      <c r="P40" s="251"/>
      <c r="Q40" s="251"/>
      <c r="R40" s="251"/>
      <c r="S40" s="251"/>
      <c r="T40" s="251"/>
      <c r="U40" s="251"/>
      <c r="V40" s="251"/>
      <c r="W40" s="251"/>
      <c r="X40" s="251"/>
      <c r="Y40" s="251"/>
      <c r="Z40" s="251"/>
      <c r="AA40" s="251"/>
      <c r="AB40" s="251"/>
    </row>
    <row r="41" ht="14.25" customHeight="1">
      <c r="A41" s="98" t="s">
        <v>6406</v>
      </c>
      <c r="B41" s="108"/>
      <c r="C41" s="242" t="s">
        <v>6469</v>
      </c>
      <c r="D41" s="98" t="s">
        <v>271</v>
      </c>
      <c r="E41" s="240" t="s">
        <v>6409</v>
      </c>
      <c r="F41" s="240" t="s">
        <v>6410</v>
      </c>
      <c r="G41" s="240" t="s">
        <v>6470</v>
      </c>
      <c r="H41" s="240" t="s">
        <v>6471</v>
      </c>
      <c r="I41" s="84" t="s">
        <v>36</v>
      </c>
      <c r="J41" s="252" t="s">
        <v>2034</v>
      </c>
      <c r="K41" s="251"/>
      <c r="L41" s="251"/>
      <c r="M41" s="251"/>
      <c r="N41" s="251"/>
      <c r="O41" s="251"/>
      <c r="P41" s="251"/>
      <c r="Q41" s="251"/>
      <c r="R41" s="251"/>
      <c r="S41" s="251"/>
      <c r="T41" s="251"/>
      <c r="U41" s="251"/>
      <c r="V41" s="251"/>
      <c r="W41" s="251"/>
      <c r="X41" s="251"/>
      <c r="Y41" s="251"/>
      <c r="Z41" s="251"/>
      <c r="AA41" s="251"/>
      <c r="AB41" s="251"/>
    </row>
    <row r="42" ht="14.25" customHeight="1">
      <c r="A42" s="98" t="s">
        <v>6406</v>
      </c>
      <c r="B42" s="108"/>
      <c r="C42" s="242" t="s">
        <v>6472</v>
      </c>
      <c r="D42" s="98" t="s">
        <v>271</v>
      </c>
      <c r="E42" s="240" t="s">
        <v>6409</v>
      </c>
      <c r="F42" s="240" t="s">
        <v>6410</v>
      </c>
      <c r="G42" s="240" t="s">
        <v>6473</v>
      </c>
      <c r="H42" s="240" t="s">
        <v>6474</v>
      </c>
      <c r="I42" s="84" t="s">
        <v>36</v>
      </c>
      <c r="J42" s="252" t="s">
        <v>2034</v>
      </c>
      <c r="K42" s="251"/>
      <c r="L42" s="251"/>
      <c r="M42" s="251"/>
      <c r="N42" s="251"/>
      <c r="O42" s="251"/>
      <c r="P42" s="251"/>
      <c r="Q42" s="251"/>
      <c r="R42" s="251"/>
      <c r="S42" s="251"/>
      <c r="T42" s="251"/>
      <c r="U42" s="251"/>
      <c r="V42" s="251"/>
      <c r="W42" s="251"/>
      <c r="X42" s="251"/>
      <c r="Y42" s="251"/>
      <c r="Z42" s="251"/>
      <c r="AA42" s="251"/>
      <c r="AB42" s="251"/>
    </row>
    <row r="43" ht="14.25" customHeight="1">
      <c r="A43" s="98" t="s">
        <v>6406</v>
      </c>
      <c r="B43" s="108"/>
      <c r="C43" s="242" t="s">
        <v>6475</v>
      </c>
      <c r="D43" s="98" t="s">
        <v>271</v>
      </c>
      <c r="E43" s="240" t="s">
        <v>6409</v>
      </c>
      <c r="F43" s="240" t="s">
        <v>6410</v>
      </c>
      <c r="G43" s="240" t="s">
        <v>6476</v>
      </c>
      <c r="H43" s="240" t="s">
        <v>6477</v>
      </c>
      <c r="I43" s="84" t="s">
        <v>36</v>
      </c>
      <c r="J43" s="252" t="s">
        <v>2034</v>
      </c>
      <c r="K43" s="251"/>
      <c r="L43" s="251"/>
      <c r="M43" s="251"/>
      <c r="N43" s="251"/>
      <c r="O43" s="251"/>
      <c r="P43" s="251"/>
      <c r="Q43" s="251"/>
      <c r="R43" s="251"/>
      <c r="S43" s="251"/>
      <c r="T43" s="251"/>
      <c r="U43" s="251"/>
      <c r="V43" s="251"/>
      <c r="W43" s="251"/>
      <c r="X43" s="251"/>
      <c r="Y43" s="251"/>
      <c r="Z43" s="251"/>
      <c r="AA43" s="251"/>
      <c r="AB43" s="251"/>
    </row>
    <row r="44" ht="14.25" customHeight="1">
      <c r="A44" s="98" t="s">
        <v>6406</v>
      </c>
      <c r="B44" s="108"/>
      <c r="C44" s="242" t="s">
        <v>6478</v>
      </c>
      <c r="D44" s="98" t="s">
        <v>271</v>
      </c>
      <c r="E44" s="240" t="s">
        <v>6409</v>
      </c>
      <c r="F44" s="240" t="s">
        <v>6410</v>
      </c>
      <c r="G44" s="240" t="s">
        <v>6479</v>
      </c>
      <c r="H44" s="240" t="s">
        <v>6480</v>
      </c>
      <c r="I44" s="84" t="s">
        <v>36</v>
      </c>
      <c r="J44" s="252" t="s">
        <v>2034</v>
      </c>
      <c r="K44" s="251"/>
      <c r="L44" s="251"/>
      <c r="M44" s="251"/>
      <c r="N44" s="251"/>
      <c r="O44" s="251"/>
      <c r="P44" s="251"/>
      <c r="Q44" s="251"/>
      <c r="R44" s="251"/>
      <c r="S44" s="251"/>
      <c r="T44" s="251"/>
      <c r="U44" s="251"/>
      <c r="V44" s="251"/>
      <c r="W44" s="251"/>
      <c r="X44" s="251"/>
      <c r="Y44" s="251"/>
      <c r="Z44" s="251"/>
      <c r="AA44" s="251"/>
      <c r="AB44" s="251"/>
    </row>
    <row r="45" ht="14.25" customHeight="1">
      <c r="A45" s="98" t="s">
        <v>6406</v>
      </c>
      <c r="B45" s="108"/>
      <c r="C45" s="242" t="s">
        <v>6481</v>
      </c>
      <c r="D45" s="98" t="s">
        <v>271</v>
      </c>
      <c r="E45" s="240" t="s">
        <v>6409</v>
      </c>
      <c r="F45" s="240" t="s">
        <v>6410</v>
      </c>
      <c r="G45" s="240" t="s">
        <v>6482</v>
      </c>
      <c r="H45" s="240" t="s">
        <v>6483</v>
      </c>
      <c r="I45" s="84" t="s">
        <v>36</v>
      </c>
      <c r="J45" s="252" t="s">
        <v>2034</v>
      </c>
      <c r="K45" s="251"/>
      <c r="L45" s="251"/>
      <c r="M45" s="251"/>
      <c r="N45" s="251"/>
      <c r="O45" s="251"/>
      <c r="P45" s="251"/>
      <c r="Q45" s="251"/>
      <c r="R45" s="251"/>
      <c r="S45" s="251"/>
      <c r="T45" s="251"/>
      <c r="U45" s="251"/>
      <c r="V45" s="251"/>
      <c r="W45" s="251"/>
      <c r="X45" s="251"/>
      <c r="Y45" s="251"/>
      <c r="Z45" s="251"/>
      <c r="AA45" s="251"/>
      <c r="AB45" s="251"/>
    </row>
    <row r="46" ht="14.25" customHeight="1">
      <c r="A46" s="98" t="s">
        <v>6406</v>
      </c>
      <c r="B46" s="108"/>
      <c r="C46" s="242" t="s">
        <v>6484</v>
      </c>
      <c r="D46" s="98" t="s">
        <v>271</v>
      </c>
      <c r="E46" s="240" t="s">
        <v>6409</v>
      </c>
      <c r="F46" s="240" t="s">
        <v>6410</v>
      </c>
      <c r="G46" s="240" t="s">
        <v>6485</v>
      </c>
      <c r="H46" s="240" t="s">
        <v>6486</v>
      </c>
      <c r="I46" s="84" t="s">
        <v>36</v>
      </c>
      <c r="J46" s="252" t="s">
        <v>2034</v>
      </c>
      <c r="K46" s="251"/>
      <c r="L46" s="251"/>
      <c r="M46" s="251"/>
      <c r="N46" s="251"/>
      <c r="O46" s="251"/>
      <c r="P46" s="251"/>
      <c r="Q46" s="251"/>
      <c r="R46" s="251"/>
      <c r="S46" s="251"/>
      <c r="T46" s="251"/>
      <c r="U46" s="251"/>
      <c r="V46" s="251"/>
      <c r="W46" s="251"/>
      <c r="X46" s="251"/>
      <c r="Y46" s="251"/>
      <c r="Z46" s="251"/>
      <c r="AA46" s="251"/>
      <c r="AB46" s="251"/>
    </row>
    <row r="47" ht="14.25" customHeight="1">
      <c r="A47" s="98" t="s">
        <v>6406</v>
      </c>
      <c r="B47" s="108"/>
      <c r="C47" s="242" t="s">
        <v>6487</v>
      </c>
      <c r="D47" s="98" t="s">
        <v>271</v>
      </c>
      <c r="E47" s="240" t="s">
        <v>6409</v>
      </c>
      <c r="F47" s="240" t="s">
        <v>6410</v>
      </c>
      <c r="G47" s="240" t="s">
        <v>6488</v>
      </c>
      <c r="H47" s="240" t="s">
        <v>6489</v>
      </c>
      <c r="I47" s="84" t="s">
        <v>36</v>
      </c>
      <c r="J47" s="252" t="s">
        <v>2034</v>
      </c>
      <c r="K47" s="251"/>
      <c r="L47" s="251"/>
      <c r="M47" s="251"/>
      <c r="N47" s="251"/>
      <c r="O47" s="251"/>
      <c r="P47" s="251"/>
      <c r="Q47" s="251"/>
      <c r="R47" s="251"/>
      <c r="S47" s="251"/>
      <c r="T47" s="251"/>
      <c r="U47" s="251"/>
      <c r="V47" s="251"/>
      <c r="W47" s="251"/>
      <c r="X47" s="251"/>
      <c r="Y47" s="251"/>
      <c r="Z47" s="251"/>
      <c r="AA47" s="251"/>
      <c r="AB47" s="251"/>
    </row>
    <row r="48" ht="14.25" customHeight="1">
      <c r="A48" s="98" t="s">
        <v>6406</v>
      </c>
      <c r="B48" s="108"/>
      <c r="C48" s="242" t="s">
        <v>6490</v>
      </c>
      <c r="D48" s="98" t="s">
        <v>271</v>
      </c>
      <c r="E48" s="240" t="s">
        <v>6409</v>
      </c>
      <c r="F48" s="240" t="s">
        <v>6410</v>
      </c>
      <c r="G48" s="240" t="s">
        <v>6491</v>
      </c>
      <c r="H48" s="240" t="s">
        <v>6492</v>
      </c>
      <c r="I48" s="84" t="s">
        <v>36</v>
      </c>
      <c r="J48" s="252" t="s">
        <v>2034</v>
      </c>
      <c r="K48" s="251"/>
      <c r="L48" s="251"/>
      <c r="M48" s="251"/>
      <c r="N48" s="251"/>
      <c r="O48" s="251"/>
      <c r="P48" s="251"/>
      <c r="Q48" s="251"/>
      <c r="R48" s="251"/>
      <c r="S48" s="251"/>
      <c r="T48" s="251"/>
      <c r="U48" s="251"/>
      <c r="V48" s="251"/>
      <c r="W48" s="251"/>
      <c r="X48" s="251"/>
      <c r="Y48" s="251"/>
      <c r="Z48" s="251"/>
      <c r="AA48" s="251"/>
      <c r="AB48" s="251"/>
    </row>
    <row r="49" ht="14.25" customHeight="1">
      <c r="A49" s="98" t="s">
        <v>6406</v>
      </c>
      <c r="B49" s="108"/>
      <c r="C49" s="242" t="s">
        <v>6493</v>
      </c>
      <c r="D49" s="98" t="s">
        <v>271</v>
      </c>
      <c r="E49" s="240" t="s">
        <v>6409</v>
      </c>
      <c r="F49" s="240" t="s">
        <v>6410</v>
      </c>
      <c r="G49" s="240" t="s">
        <v>6494</v>
      </c>
      <c r="H49" s="240" t="s">
        <v>6495</v>
      </c>
      <c r="I49" s="84" t="s">
        <v>36</v>
      </c>
      <c r="J49" s="252" t="s">
        <v>2034</v>
      </c>
      <c r="K49" s="251"/>
      <c r="L49" s="251"/>
      <c r="M49" s="251"/>
      <c r="N49" s="251"/>
      <c r="O49" s="251"/>
      <c r="P49" s="251"/>
      <c r="Q49" s="251"/>
      <c r="R49" s="251"/>
      <c r="S49" s="251"/>
      <c r="T49" s="251"/>
      <c r="U49" s="251"/>
      <c r="V49" s="251"/>
      <c r="W49" s="251"/>
      <c r="X49" s="251"/>
      <c r="Y49" s="251"/>
      <c r="Z49" s="251"/>
      <c r="AA49" s="251"/>
      <c r="AB49" s="251"/>
    </row>
    <row r="50" ht="14.25" customHeight="1">
      <c r="A50" s="98" t="s">
        <v>6406</v>
      </c>
      <c r="B50" s="108"/>
      <c r="C50" s="242" t="s">
        <v>6496</v>
      </c>
      <c r="D50" s="98" t="s">
        <v>271</v>
      </c>
      <c r="E50" s="240" t="s">
        <v>6409</v>
      </c>
      <c r="F50" s="240" t="s">
        <v>6410</v>
      </c>
      <c r="G50" s="240" t="s">
        <v>6497</v>
      </c>
      <c r="H50" s="240" t="s">
        <v>6498</v>
      </c>
      <c r="I50" s="84" t="s">
        <v>36</v>
      </c>
      <c r="J50" s="252" t="s">
        <v>2034</v>
      </c>
      <c r="K50" s="251"/>
      <c r="L50" s="251"/>
      <c r="M50" s="251"/>
      <c r="N50" s="251"/>
      <c r="O50" s="251"/>
      <c r="P50" s="251"/>
      <c r="Q50" s="251"/>
      <c r="R50" s="251"/>
      <c r="S50" s="251"/>
      <c r="T50" s="251"/>
      <c r="U50" s="251"/>
      <c r="V50" s="251"/>
      <c r="W50" s="251"/>
      <c r="X50" s="251"/>
      <c r="Y50" s="251"/>
      <c r="Z50" s="251"/>
      <c r="AA50" s="251"/>
      <c r="AB50" s="251"/>
    </row>
    <row r="51" ht="14.25" customHeight="1">
      <c r="A51" s="98" t="s">
        <v>6406</v>
      </c>
      <c r="B51" s="108"/>
      <c r="C51" s="242" t="s">
        <v>6499</v>
      </c>
      <c r="D51" s="98" t="s">
        <v>271</v>
      </c>
      <c r="E51" s="240" t="s">
        <v>6409</v>
      </c>
      <c r="F51" s="240" t="s">
        <v>6410</v>
      </c>
      <c r="G51" s="240" t="s">
        <v>6500</v>
      </c>
      <c r="H51" s="240" t="s">
        <v>6501</v>
      </c>
      <c r="I51" s="84" t="s">
        <v>36</v>
      </c>
      <c r="J51" s="252" t="s">
        <v>2034</v>
      </c>
      <c r="K51" s="251"/>
      <c r="L51" s="251"/>
      <c r="M51" s="251"/>
      <c r="N51" s="251"/>
      <c r="O51" s="251"/>
      <c r="P51" s="251"/>
      <c r="Q51" s="251"/>
      <c r="R51" s="251"/>
      <c r="S51" s="251"/>
      <c r="T51" s="251"/>
      <c r="U51" s="251"/>
      <c r="V51" s="251"/>
      <c r="W51" s="251"/>
      <c r="X51" s="251"/>
      <c r="Y51" s="251"/>
      <c r="Z51" s="251"/>
      <c r="AA51" s="251"/>
      <c r="AB51" s="251"/>
    </row>
    <row r="52" ht="14.25" customHeight="1">
      <c r="A52" s="98" t="s">
        <v>6406</v>
      </c>
      <c r="B52" s="108"/>
      <c r="C52" s="242" t="s">
        <v>6502</v>
      </c>
      <c r="D52" s="98" t="s">
        <v>271</v>
      </c>
      <c r="E52" s="240" t="s">
        <v>6409</v>
      </c>
      <c r="F52" s="240" t="s">
        <v>6410</v>
      </c>
      <c r="G52" s="240" t="s">
        <v>6503</v>
      </c>
      <c r="H52" s="255" t="s">
        <v>6504</v>
      </c>
      <c r="I52" s="84" t="s">
        <v>36</v>
      </c>
      <c r="J52" s="252" t="s">
        <v>2034</v>
      </c>
      <c r="K52" s="251"/>
      <c r="L52" s="251"/>
      <c r="M52" s="251"/>
      <c r="N52" s="251"/>
      <c r="O52" s="251"/>
      <c r="P52" s="251"/>
      <c r="Q52" s="251"/>
      <c r="R52" s="251"/>
      <c r="S52" s="251"/>
      <c r="T52" s="251"/>
      <c r="U52" s="251"/>
      <c r="V52" s="251"/>
      <c r="W52" s="251"/>
      <c r="X52" s="251"/>
      <c r="Y52" s="251"/>
      <c r="Z52" s="251"/>
      <c r="AA52" s="251"/>
      <c r="AB52" s="251"/>
    </row>
    <row r="53" ht="14.25" customHeight="1">
      <c r="A53" s="98" t="s">
        <v>6406</v>
      </c>
      <c r="B53" s="108"/>
      <c r="C53" s="242" t="s">
        <v>6505</v>
      </c>
      <c r="D53" s="98" t="s">
        <v>271</v>
      </c>
      <c r="E53" s="240" t="s">
        <v>6409</v>
      </c>
      <c r="F53" s="240" t="s">
        <v>6410</v>
      </c>
      <c r="G53" s="240" t="s">
        <v>6506</v>
      </c>
      <c r="H53" s="255" t="s">
        <v>6507</v>
      </c>
      <c r="I53" s="84" t="s">
        <v>36</v>
      </c>
      <c r="J53" s="252" t="s">
        <v>2034</v>
      </c>
      <c r="K53" s="251"/>
      <c r="L53" s="251"/>
      <c r="M53" s="251"/>
      <c r="N53" s="251"/>
      <c r="O53" s="251"/>
      <c r="P53" s="251"/>
      <c r="Q53" s="251"/>
      <c r="R53" s="251"/>
      <c r="S53" s="251"/>
      <c r="T53" s="251"/>
      <c r="U53" s="251"/>
      <c r="V53" s="251"/>
      <c r="W53" s="251"/>
      <c r="X53" s="251"/>
      <c r="Y53" s="251"/>
      <c r="Z53" s="251"/>
      <c r="AA53" s="251"/>
      <c r="AB53" s="251"/>
    </row>
    <row r="54" ht="14.25" customHeight="1">
      <c r="A54" s="98" t="s">
        <v>6406</v>
      </c>
      <c r="B54" s="108"/>
      <c r="C54" s="242" t="s">
        <v>6508</v>
      </c>
      <c r="D54" s="98" t="s">
        <v>271</v>
      </c>
      <c r="E54" s="240" t="s">
        <v>6409</v>
      </c>
      <c r="F54" s="240" t="s">
        <v>6410</v>
      </c>
      <c r="G54" s="240" t="s">
        <v>6509</v>
      </c>
      <c r="H54" s="255" t="s">
        <v>6510</v>
      </c>
      <c r="I54" s="84" t="s">
        <v>36</v>
      </c>
      <c r="J54" s="252" t="s">
        <v>2034</v>
      </c>
      <c r="K54" s="251"/>
      <c r="L54" s="251"/>
      <c r="M54" s="251"/>
      <c r="N54" s="251"/>
      <c r="O54" s="251"/>
      <c r="P54" s="251"/>
      <c r="Q54" s="251"/>
      <c r="R54" s="251"/>
      <c r="S54" s="251"/>
      <c r="T54" s="251"/>
      <c r="U54" s="251"/>
      <c r="V54" s="251"/>
      <c r="W54" s="251"/>
      <c r="X54" s="251"/>
      <c r="Y54" s="251"/>
      <c r="Z54" s="251"/>
      <c r="AA54" s="251"/>
      <c r="AB54" s="251"/>
    </row>
    <row r="55" ht="14.25" customHeight="1">
      <c r="A55" s="98" t="s">
        <v>6406</v>
      </c>
      <c r="B55" s="108"/>
      <c r="C55" s="242" t="s">
        <v>6511</v>
      </c>
      <c r="D55" s="98" t="s">
        <v>271</v>
      </c>
      <c r="E55" s="240" t="s">
        <v>6409</v>
      </c>
      <c r="F55" s="240" t="s">
        <v>6410</v>
      </c>
      <c r="G55" s="240" t="s">
        <v>6512</v>
      </c>
      <c r="H55" s="255" t="s">
        <v>6513</v>
      </c>
      <c r="I55" s="84" t="s">
        <v>36</v>
      </c>
      <c r="J55" s="252" t="s">
        <v>2034</v>
      </c>
      <c r="K55" s="251"/>
      <c r="L55" s="251"/>
      <c r="M55" s="251"/>
      <c r="N55" s="251"/>
      <c r="O55" s="251"/>
      <c r="P55" s="251"/>
      <c r="Q55" s="251"/>
      <c r="R55" s="251"/>
      <c r="S55" s="251"/>
      <c r="T55" s="251"/>
      <c r="U55" s="251"/>
      <c r="V55" s="251"/>
      <c r="W55" s="251"/>
      <c r="X55" s="251"/>
      <c r="Y55" s="251"/>
      <c r="Z55" s="251"/>
      <c r="AA55" s="251"/>
      <c r="AB55" s="251"/>
    </row>
    <row r="56" ht="14.25" customHeight="1">
      <c r="A56" s="98" t="s">
        <v>6406</v>
      </c>
      <c r="B56" s="108"/>
      <c r="C56" s="242" t="s">
        <v>6514</v>
      </c>
      <c r="D56" s="98" t="s">
        <v>271</v>
      </c>
      <c r="E56" s="240" t="s">
        <v>6409</v>
      </c>
      <c r="F56" s="240" t="s">
        <v>6410</v>
      </c>
      <c r="G56" s="240" t="s">
        <v>6515</v>
      </c>
      <c r="H56" s="240" t="s">
        <v>6516</v>
      </c>
      <c r="I56" s="84" t="s">
        <v>317</v>
      </c>
      <c r="J56" s="252" t="s">
        <v>2034</v>
      </c>
      <c r="K56" s="251"/>
      <c r="L56" s="251"/>
      <c r="M56" s="251"/>
      <c r="N56" s="251"/>
      <c r="O56" s="251"/>
      <c r="P56" s="251"/>
      <c r="Q56" s="251"/>
      <c r="R56" s="251"/>
      <c r="S56" s="251"/>
      <c r="T56" s="251"/>
      <c r="U56" s="251"/>
      <c r="V56" s="251"/>
      <c r="W56" s="251"/>
      <c r="X56" s="251"/>
      <c r="Y56" s="251"/>
      <c r="Z56" s="251"/>
      <c r="AA56" s="251"/>
      <c r="AB56" s="251"/>
    </row>
    <row r="57" ht="14.25" customHeight="1">
      <c r="A57" s="98" t="s">
        <v>6406</v>
      </c>
      <c r="B57" s="108"/>
      <c r="C57" s="242" t="s">
        <v>6517</v>
      </c>
      <c r="D57" s="98" t="s">
        <v>271</v>
      </c>
      <c r="E57" s="240" t="s">
        <v>6409</v>
      </c>
      <c r="F57" s="240" t="s">
        <v>6410</v>
      </c>
      <c r="G57" s="240" t="s">
        <v>6518</v>
      </c>
      <c r="H57" s="240" t="s">
        <v>6519</v>
      </c>
      <c r="I57" s="84" t="s">
        <v>317</v>
      </c>
      <c r="J57" s="252" t="s">
        <v>2034</v>
      </c>
      <c r="K57" s="251"/>
      <c r="L57" s="251"/>
      <c r="M57" s="251"/>
      <c r="N57" s="251"/>
      <c r="O57" s="251"/>
      <c r="P57" s="251"/>
      <c r="Q57" s="251"/>
      <c r="R57" s="251"/>
      <c r="S57" s="251"/>
      <c r="T57" s="251"/>
      <c r="U57" s="251"/>
      <c r="V57" s="251"/>
      <c r="W57" s="251"/>
      <c r="X57" s="251"/>
      <c r="Y57" s="251"/>
      <c r="Z57" s="251"/>
      <c r="AA57" s="251"/>
      <c r="AB57" s="251"/>
    </row>
    <row r="58" ht="14.25" customHeight="1">
      <c r="A58" s="98" t="s">
        <v>6406</v>
      </c>
      <c r="B58" s="108"/>
      <c r="C58" s="242" t="s">
        <v>6520</v>
      </c>
      <c r="D58" s="98" t="s">
        <v>271</v>
      </c>
      <c r="E58" s="240" t="s">
        <v>6409</v>
      </c>
      <c r="F58" s="240" t="s">
        <v>6410</v>
      </c>
      <c r="G58" s="240" t="s">
        <v>6521</v>
      </c>
      <c r="H58" s="240" t="s">
        <v>6522</v>
      </c>
      <c r="I58" s="84" t="s">
        <v>317</v>
      </c>
      <c r="J58" s="252" t="s">
        <v>2034</v>
      </c>
      <c r="K58" s="251"/>
      <c r="L58" s="251"/>
      <c r="M58" s="251"/>
      <c r="N58" s="251"/>
      <c r="O58" s="251"/>
      <c r="P58" s="251"/>
      <c r="Q58" s="251"/>
      <c r="R58" s="251"/>
      <c r="S58" s="251"/>
      <c r="T58" s="251"/>
      <c r="U58" s="251"/>
      <c r="V58" s="251"/>
      <c r="W58" s="251"/>
      <c r="X58" s="251"/>
      <c r="Y58" s="251"/>
      <c r="Z58" s="251"/>
      <c r="AA58" s="251"/>
      <c r="AB58" s="251"/>
    </row>
    <row r="59" ht="14.25" customHeight="1">
      <c r="A59" s="98" t="s">
        <v>6406</v>
      </c>
      <c r="B59" s="109"/>
      <c r="C59" s="242" t="s">
        <v>6523</v>
      </c>
      <c r="D59" s="98" t="s">
        <v>271</v>
      </c>
      <c r="E59" s="240" t="s">
        <v>6409</v>
      </c>
      <c r="F59" s="240" t="s">
        <v>6410</v>
      </c>
      <c r="G59" s="240" t="s">
        <v>6524</v>
      </c>
      <c r="H59" s="255" t="s">
        <v>6510</v>
      </c>
      <c r="I59" s="84" t="s">
        <v>36</v>
      </c>
      <c r="J59" s="252" t="s">
        <v>2034</v>
      </c>
      <c r="K59" s="251"/>
      <c r="L59" s="251"/>
      <c r="M59" s="251"/>
      <c r="N59" s="251"/>
      <c r="O59" s="251"/>
      <c r="P59" s="251"/>
      <c r="Q59" s="251"/>
      <c r="R59" s="251"/>
      <c r="S59" s="251"/>
      <c r="T59" s="251"/>
      <c r="U59" s="251"/>
      <c r="V59" s="251"/>
      <c r="W59" s="251"/>
      <c r="X59" s="251"/>
      <c r="Y59" s="251"/>
      <c r="Z59" s="251"/>
      <c r="AA59" s="251"/>
      <c r="AB59" s="251"/>
    </row>
    <row r="60" ht="14.25" customHeight="1">
      <c r="A60" s="98" t="s">
        <v>6337</v>
      </c>
      <c r="B60" s="257" t="s">
        <v>6525</v>
      </c>
      <c r="C60" s="242" t="s">
        <v>6526</v>
      </c>
      <c r="D60" s="98"/>
      <c r="E60" s="240" t="s">
        <v>6527</v>
      </c>
      <c r="F60" s="258" t="s">
        <v>6528</v>
      </c>
      <c r="G60" s="240" t="s">
        <v>6529</v>
      </c>
      <c r="H60" s="240" t="s">
        <v>6530</v>
      </c>
      <c r="I60" s="84" t="s">
        <v>36</v>
      </c>
      <c r="J60" s="98" t="s">
        <v>1784</v>
      </c>
      <c r="K60" s="251"/>
      <c r="L60" s="251"/>
      <c r="M60" s="251"/>
      <c r="N60" s="251"/>
      <c r="O60" s="251"/>
      <c r="P60" s="251"/>
      <c r="Q60" s="251"/>
      <c r="R60" s="251"/>
      <c r="S60" s="251"/>
      <c r="T60" s="251"/>
      <c r="U60" s="251"/>
      <c r="V60" s="251"/>
      <c r="W60" s="251"/>
      <c r="X60" s="251"/>
      <c r="Y60" s="251"/>
      <c r="Z60" s="251"/>
      <c r="AA60" s="251"/>
      <c r="AB60" s="251"/>
    </row>
    <row r="61" ht="14.25" customHeight="1">
      <c r="A61" s="98" t="s">
        <v>6337</v>
      </c>
      <c r="B61" s="108"/>
      <c r="C61" s="242" t="s">
        <v>6531</v>
      </c>
      <c r="D61" s="98" t="s">
        <v>271</v>
      </c>
      <c r="E61" s="240" t="s">
        <v>6527</v>
      </c>
      <c r="F61" s="258" t="s">
        <v>6528</v>
      </c>
      <c r="G61" s="240" t="s">
        <v>6532</v>
      </c>
      <c r="H61" s="240" t="s">
        <v>6533</v>
      </c>
      <c r="I61" s="84" t="s">
        <v>36</v>
      </c>
      <c r="J61" s="98" t="s">
        <v>1784</v>
      </c>
      <c r="K61" s="251"/>
      <c r="L61" s="251"/>
      <c r="M61" s="251"/>
      <c r="N61" s="251"/>
      <c r="O61" s="251"/>
      <c r="P61" s="251"/>
      <c r="Q61" s="251"/>
      <c r="R61" s="251"/>
      <c r="S61" s="251"/>
      <c r="T61" s="251"/>
      <c r="U61" s="251"/>
      <c r="V61" s="251"/>
      <c r="W61" s="251"/>
      <c r="X61" s="251"/>
      <c r="Y61" s="251"/>
      <c r="Z61" s="251"/>
      <c r="AA61" s="251"/>
      <c r="AB61" s="251"/>
    </row>
    <row r="62" ht="14.25" customHeight="1">
      <c r="A62" s="98" t="s">
        <v>6337</v>
      </c>
      <c r="B62" s="108"/>
      <c r="C62" s="242" t="s">
        <v>6534</v>
      </c>
      <c r="D62" s="98" t="s">
        <v>271</v>
      </c>
      <c r="E62" s="240" t="s">
        <v>6527</v>
      </c>
      <c r="F62" s="258" t="s">
        <v>6528</v>
      </c>
      <c r="G62" s="240" t="s">
        <v>6535</v>
      </c>
      <c r="H62" s="240" t="s">
        <v>6536</v>
      </c>
      <c r="I62" s="84" t="s">
        <v>36</v>
      </c>
      <c r="J62" s="98" t="s">
        <v>1784</v>
      </c>
      <c r="K62" s="251"/>
      <c r="L62" s="251"/>
      <c r="M62" s="251"/>
      <c r="N62" s="251"/>
      <c r="O62" s="251"/>
      <c r="P62" s="251"/>
      <c r="Q62" s="251"/>
      <c r="R62" s="251"/>
      <c r="S62" s="251"/>
      <c r="T62" s="251"/>
      <c r="U62" s="251"/>
      <c r="V62" s="251"/>
      <c r="W62" s="251"/>
      <c r="X62" s="251"/>
      <c r="Y62" s="251"/>
      <c r="Z62" s="251"/>
      <c r="AA62" s="251"/>
      <c r="AB62" s="251"/>
    </row>
    <row r="63" ht="14.25" customHeight="1">
      <c r="A63" s="98" t="s">
        <v>6337</v>
      </c>
      <c r="B63" s="108"/>
      <c r="C63" s="242" t="s">
        <v>6537</v>
      </c>
      <c r="D63" s="98" t="s">
        <v>271</v>
      </c>
      <c r="E63" s="240" t="s">
        <v>6527</v>
      </c>
      <c r="F63" s="258" t="s">
        <v>6528</v>
      </c>
      <c r="G63" s="240" t="s">
        <v>6538</v>
      </c>
      <c r="H63" s="240" t="s">
        <v>6539</v>
      </c>
      <c r="I63" s="84" t="s">
        <v>36</v>
      </c>
      <c r="J63" s="98" t="s">
        <v>1784</v>
      </c>
      <c r="K63" s="251"/>
      <c r="L63" s="251"/>
      <c r="M63" s="251"/>
      <c r="N63" s="251"/>
      <c r="O63" s="251"/>
      <c r="P63" s="251"/>
      <c r="Q63" s="251"/>
      <c r="R63" s="251"/>
      <c r="S63" s="251"/>
      <c r="T63" s="251"/>
      <c r="U63" s="251"/>
      <c r="V63" s="251"/>
      <c r="W63" s="251"/>
      <c r="X63" s="251"/>
      <c r="Y63" s="251"/>
      <c r="Z63" s="251"/>
      <c r="AA63" s="251"/>
      <c r="AB63" s="251"/>
    </row>
    <row r="64" ht="14.25" customHeight="1">
      <c r="A64" s="98" t="s">
        <v>6337</v>
      </c>
      <c r="B64" s="108"/>
      <c r="C64" s="242" t="s">
        <v>6540</v>
      </c>
      <c r="D64" s="98" t="s">
        <v>271</v>
      </c>
      <c r="E64" s="240" t="s">
        <v>6527</v>
      </c>
      <c r="F64" s="258" t="s">
        <v>6528</v>
      </c>
      <c r="G64" s="240" t="s">
        <v>6541</v>
      </c>
      <c r="H64" s="240" t="s">
        <v>6542</v>
      </c>
      <c r="I64" s="84" t="s">
        <v>36</v>
      </c>
      <c r="J64" s="98" t="s">
        <v>1784</v>
      </c>
      <c r="K64" s="251"/>
      <c r="L64" s="251"/>
      <c r="M64" s="251"/>
      <c r="N64" s="251"/>
      <c r="O64" s="251"/>
      <c r="P64" s="251"/>
      <c r="Q64" s="251"/>
      <c r="R64" s="251"/>
      <c r="S64" s="251"/>
      <c r="T64" s="251"/>
      <c r="U64" s="251"/>
      <c r="V64" s="251"/>
      <c r="W64" s="251"/>
      <c r="X64" s="251"/>
      <c r="Y64" s="251"/>
      <c r="Z64" s="251"/>
      <c r="AA64" s="251"/>
      <c r="AB64" s="251"/>
    </row>
    <row r="65" ht="14.25" customHeight="1">
      <c r="A65" s="98" t="s">
        <v>6337</v>
      </c>
      <c r="B65" s="108"/>
      <c r="C65" s="242" t="s">
        <v>6543</v>
      </c>
      <c r="D65" s="98" t="s">
        <v>271</v>
      </c>
      <c r="E65" s="240" t="s">
        <v>6527</v>
      </c>
      <c r="F65" s="258" t="s">
        <v>6528</v>
      </c>
      <c r="G65" s="240" t="s">
        <v>6544</v>
      </c>
      <c r="H65" s="240" t="s">
        <v>6545</v>
      </c>
      <c r="I65" s="84" t="s">
        <v>36</v>
      </c>
      <c r="J65" s="98" t="s">
        <v>1784</v>
      </c>
      <c r="K65" s="251"/>
      <c r="L65" s="251"/>
      <c r="M65" s="251"/>
      <c r="N65" s="251"/>
      <c r="O65" s="251"/>
      <c r="P65" s="251"/>
      <c r="Q65" s="251"/>
      <c r="R65" s="251"/>
      <c r="S65" s="251"/>
      <c r="T65" s="251"/>
      <c r="U65" s="251"/>
      <c r="V65" s="251"/>
      <c r="W65" s="251"/>
      <c r="X65" s="251"/>
      <c r="Y65" s="251"/>
      <c r="Z65" s="251"/>
      <c r="AA65" s="251"/>
      <c r="AB65" s="251"/>
    </row>
    <row r="66" ht="14.25" customHeight="1">
      <c r="A66" s="98" t="s">
        <v>6337</v>
      </c>
      <c r="B66" s="108"/>
      <c r="C66" s="242" t="s">
        <v>6546</v>
      </c>
      <c r="D66" s="98" t="s">
        <v>271</v>
      </c>
      <c r="E66" s="240" t="s">
        <v>6527</v>
      </c>
      <c r="F66" s="258" t="s">
        <v>6528</v>
      </c>
      <c r="G66" s="240" t="s">
        <v>6547</v>
      </c>
      <c r="H66" s="240" t="s">
        <v>6548</v>
      </c>
      <c r="I66" s="84" t="s">
        <v>36</v>
      </c>
      <c r="J66" s="98" t="s">
        <v>1784</v>
      </c>
      <c r="K66" s="251"/>
      <c r="L66" s="251"/>
      <c r="M66" s="251"/>
      <c r="N66" s="251"/>
      <c r="O66" s="251"/>
      <c r="P66" s="251"/>
      <c r="Q66" s="251"/>
      <c r="R66" s="251"/>
      <c r="S66" s="251"/>
      <c r="T66" s="251"/>
      <c r="U66" s="251"/>
      <c r="V66" s="251"/>
      <c r="W66" s="251"/>
      <c r="X66" s="251"/>
      <c r="Y66" s="251"/>
      <c r="Z66" s="251"/>
      <c r="AA66" s="251"/>
      <c r="AB66" s="251"/>
    </row>
    <row r="67" ht="14.25" customHeight="1">
      <c r="A67" s="98" t="s">
        <v>6337</v>
      </c>
      <c r="B67" s="108"/>
      <c r="C67" s="242" t="s">
        <v>6549</v>
      </c>
      <c r="D67" s="98" t="s">
        <v>271</v>
      </c>
      <c r="E67" s="240" t="s">
        <v>6527</v>
      </c>
      <c r="F67" s="258" t="s">
        <v>6528</v>
      </c>
      <c r="G67" s="240" t="s">
        <v>6550</v>
      </c>
      <c r="H67" s="240" t="s">
        <v>6551</v>
      </c>
      <c r="I67" s="84" t="s">
        <v>36</v>
      </c>
      <c r="J67" s="98" t="s">
        <v>1784</v>
      </c>
      <c r="K67" s="251"/>
      <c r="L67" s="251"/>
      <c r="M67" s="251"/>
      <c r="N67" s="251"/>
      <c r="O67" s="251"/>
      <c r="P67" s="251"/>
      <c r="Q67" s="251"/>
      <c r="R67" s="251"/>
      <c r="S67" s="251"/>
      <c r="T67" s="251"/>
      <c r="U67" s="251"/>
      <c r="V67" s="251"/>
      <c r="W67" s="251"/>
      <c r="X67" s="251"/>
      <c r="Y67" s="251"/>
      <c r="Z67" s="251"/>
      <c r="AA67" s="251"/>
      <c r="AB67" s="251"/>
    </row>
    <row r="68" ht="14.25" customHeight="1">
      <c r="A68" s="98" t="s">
        <v>6337</v>
      </c>
      <c r="B68" s="108"/>
      <c r="C68" s="242" t="s">
        <v>6552</v>
      </c>
      <c r="D68" s="98" t="s">
        <v>271</v>
      </c>
      <c r="E68" s="240" t="s">
        <v>6527</v>
      </c>
      <c r="F68" s="258" t="s">
        <v>6528</v>
      </c>
      <c r="G68" s="240" t="s">
        <v>6553</v>
      </c>
      <c r="H68" s="240" t="s">
        <v>6554</v>
      </c>
      <c r="I68" s="84" t="s">
        <v>36</v>
      </c>
      <c r="J68" s="98" t="s">
        <v>1784</v>
      </c>
      <c r="K68" s="251"/>
      <c r="L68" s="251"/>
      <c r="M68" s="251"/>
      <c r="N68" s="251"/>
      <c r="O68" s="251"/>
      <c r="P68" s="251"/>
      <c r="Q68" s="251"/>
      <c r="R68" s="251"/>
      <c r="S68" s="251"/>
      <c r="T68" s="251"/>
      <c r="U68" s="251"/>
      <c r="V68" s="251"/>
      <c r="W68" s="251"/>
      <c r="X68" s="251"/>
      <c r="Y68" s="251"/>
      <c r="Z68" s="251"/>
      <c r="AA68" s="251"/>
      <c r="AB68" s="251"/>
    </row>
    <row r="69" ht="14.25" customHeight="1">
      <c r="A69" s="98" t="s">
        <v>6337</v>
      </c>
      <c r="B69" s="108"/>
      <c r="C69" s="242" t="s">
        <v>6555</v>
      </c>
      <c r="D69" s="98" t="s">
        <v>271</v>
      </c>
      <c r="E69" s="240" t="s">
        <v>6527</v>
      </c>
      <c r="F69" s="258" t="s">
        <v>6528</v>
      </c>
      <c r="G69" s="240" t="s">
        <v>6556</v>
      </c>
      <c r="H69" s="240" t="s">
        <v>6557</v>
      </c>
      <c r="I69" s="84" t="s">
        <v>36</v>
      </c>
      <c r="J69" s="98" t="s">
        <v>1784</v>
      </c>
      <c r="K69" s="251"/>
      <c r="L69" s="251"/>
      <c r="M69" s="251"/>
      <c r="N69" s="251"/>
      <c r="O69" s="251"/>
      <c r="P69" s="251"/>
      <c r="Q69" s="251"/>
      <c r="R69" s="251"/>
      <c r="S69" s="251"/>
      <c r="T69" s="251"/>
      <c r="U69" s="251"/>
      <c r="V69" s="251"/>
      <c r="W69" s="251"/>
      <c r="X69" s="251"/>
      <c r="Y69" s="251"/>
      <c r="Z69" s="251"/>
      <c r="AA69" s="251"/>
      <c r="AB69" s="251"/>
    </row>
    <row r="70" ht="14.25" customHeight="1">
      <c r="A70" s="98" t="s">
        <v>6337</v>
      </c>
      <c r="B70" s="108"/>
      <c r="C70" s="242" t="s">
        <v>6558</v>
      </c>
      <c r="D70" s="98" t="s">
        <v>271</v>
      </c>
      <c r="E70" s="240" t="s">
        <v>6527</v>
      </c>
      <c r="F70" s="258" t="s">
        <v>6528</v>
      </c>
      <c r="G70" s="240" t="s">
        <v>6559</v>
      </c>
      <c r="H70" s="240" t="s">
        <v>6560</v>
      </c>
      <c r="I70" s="84" t="s">
        <v>36</v>
      </c>
      <c r="J70" s="98" t="s">
        <v>1784</v>
      </c>
      <c r="K70" s="251"/>
      <c r="L70" s="251"/>
      <c r="M70" s="251"/>
      <c r="N70" s="251"/>
      <c r="O70" s="251"/>
      <c r="P70" s="251"/>
      <c r="Q70" s="251"/>
      <c r="R70" s="251"/>
      <c r="S70" s="251"/>
      <c r="T70" s="251"/>
      <c r="U70" s="251"/>
      <c r="V70" s="251"/>
      <c r="W70" s="251"/>
      <c r="X70" s="251"/>
      <c r="Y70" s="251"/>
      <c r="Z70" s="251"/>
      <c r="AA70" s="251"/>
      <c r="AB70" s="251"/>
    </row>
    <row r="71" ht="14.25" customHeight="1">
      <c r="A71" s="98" t="s">
        <v>6337</v>
      </c>
      <c r="B71" s="108"/>
      <c r="C71" s="242" t="s">
        <v>6561</v>
      </c>
      <c r="D71" s="98" t="s">
        <v>271</v>
      </c>
      <c r="E71" s="240" t="s">
        <v>6527</v>
      </c>
      <c r="F71" s="258" t="s">
        <v>6528</v>
      </c>
      <c r="G71" s="240" t="s">
        <v>6562</v>
      </c>
      <c r="H71" s="240" t="s">
        <v>6545</v>
      </c>
      <c r="I71" s="84" t="s">
        <v>36</v>
      </c>
      <c r="J71" s="98" t="s">
        <v>1784</v>
      </c>
      <c r="K71" s="251"/>
      <c r="L71" s="251"/>
      <c r="M71" s="251"/>
      <c r="N71" s="251"/>
      <c r="O71" s="251"/>
      <c r="P71" s="251"/>
      <c r="Q71" s="251"/>
      <c r="R71" s="251"/>
      <c r="S71" s="251"/>
      <c r="T71" s="251"/>
      <c r="U71" s="251"/>
      <c r="V71" s="251"/>
      <c r="W71" s="251"/>
      <c r="X71" s="251"/>
      <c r="Y71" s="251"/>
      <c r="Z71" s="251"/>
      <c r="AA71" s="251"/>
      <c r="AB71" s="251"/>
    </row>
    <row r="72" ht="14.25" customHeight="1">
      <c r="A72" s="98" t="s">
        <v>6337</v>
      </c>
      <c r="B72" s="108"/>
      <c r="C72" s="242" t="s">
        <v>6563</v>
      </c>
      <c r="D72" s="98" t="s">
        <v>271</v>
      </c>
      <c r="E72" s="240" t="s">
        <v>6527</v>
      </c>
      <c r="F72" s="258" t="s">
        <v>6528</v>
      </c>
      <c r="G72" s="240" t="s">
        <v>6564</v>
      </c>
      <c r="H72" s="240" t="s">
        <v>6548</v>
      </c>
      <c r="I72" s="84" t="s">
        <v>36</v>
      </c>
      <c r="J72" s="98" t="s">
        <v>1784</v>
      </c>
      <c r="K72" s="251"/>
      <c r="L72" s="251"/>
      <c r="M72" s="251"/>
      <c r="N72" s="251"/>
      <c r="O72" s="251"/>
      <c r="P72" s="251"/>
      <c r="Q72" s="251"/>
      <c r="R72" s="251"/>
      <c r="S72" s="251"/>
      <c r="T72" s="251"/>
      <c r="U72" s="251"/>
      <c r="V72" s="251"/>
      <c r="W72" s="251"/>
      <c r="X72" s="251"/>
      <c r="Y72" s="251"/>
      <c r="Z72" s="251"/>
      <c r="AA72" s="251"/>
      <c r="AB72" s="251"/>
    </row>
    <row r="73" ht="14.25" customHeight="1">
      <c r="A73" s="98" t="s">
        <v>6337</v>
      </c>
      <c r="B73" s="108"/>
      <c r="C73" s="242" t="s">
        <v>6565</v>
      </c>
      <c r="D73" s="98" t="s">
        <v>271</v>
      </c>
      <c r="E73" s="240" t="s">
        <v>6527</v>
      </c>
      <c r="F73" s="258" t="s">
        <v>6528</v>
      </c>
      <c r="G73" s="240" t="s">
        <v>6566</v>
      </c>
      <c r="H73" s="240" t="s">
        <v>6567</v>
      </c>
      <c r="I73" s="84" t="s">
        <v>36</v>
      </c>
      <c r="J73" s="98" t="s">
        <v>1784</v>
      </c>
      <c r="K73" s="251"/>
      <c r="L73" s="251"/>
      <c r="M73" s="251"/>
      <c r="N73" s="251"/>
      <c r="O73" s="251"/>
      <c r="P73" s="251"/>
      <c r="Q73" s="251"/>
      <c r="R73" s="251"/>
      <c r="S73" s="251"/>
      <c r="T73" s="251"/>
      <c r="U73" s="251"/>
      <c r="V73" s="251"/>
      <c r="W73" s="251"/>
      <c r="X73" s="251"/>
      <c r="Y73" s="251"/>
      <c r="Z73" s="251"/>
      <c r="AA73" s="251"/>
      <c r="AB73" s="251"/>
    </row>
    <row r="74" ht="14.25" customHeight="1">
      <c r="A74" s="98" t="s">
        <v>6337</v>
      </c>
      <c r="B74" s="108"/>
      <c r="C74" s="242" t="s">
        <v>6568</v>
      </c>
      <c r="D74" s="98" t="s">
        <v>271</v>
      </c>
      <c r="E74" s="240" t="s">
        <v>6527</v>
      </c>
      <c r="F74" s="258" t="s">
        <v>6528</v>
      </c>
      <c r="G74" s="240" t="s">
        <v>6569</v>
      </c>
      <c r="H74" s="240" t="s">
        <v>6570</v>
      </c>
      <c r="I74" s="84" t="s">
        <v>317</v>
      </c>
      <c r="J74" s="98" t="s">
        <v>1784</v>
      </c>
      <c r="K74" s="251"/>
      <c r="L74" s="251"/>
      <c r="M74" s="251"/>
      <c r="N74" s="251"/>
      <c r="O74" s="251"/>
      <c r="P74" s="251"/>
      <c r="Q74" s="251"/>
      <c r="R74" s="251"/>
      <c r="S74" s="251"/>
      <c r="T74" s="251"/>
      <c r="U74" s="251"/>
      <c r="V74" s="251"/>
      <c r="W74" s="251"/>
      <c r="X74" s="251"/>
      <c r="Y74" s="251"/>
      <c r="Z74" s="251"/>
      <c r="AA74" s="251"/>
      <c r="AB74" s="251"/>
    </row>
    <row r="75" ht="14.25" customHeight="1">
      <c r="A75" s="98" t="s">
        <v>6337</v>
      </c>
      <c r="B75" s="108"/>
      <c r="C75" s="242" t="s">
        <v>6571</v>
      </c>
      <c r="D75" s="98" t="s">
        <v>271</v>
      </c>
      <c r="E75" s="240" t="s">
        <v>6527</v>
      </c>
      <c r="F75" s="258" t="s">
        <v>6528</v>
      </c>
      <c r="G75" s="240" t="s">
        <v>6572</v>
      </c>
      <c r="H75" s="240" t="s">
        <v>6573</v>
      </c>
      <c r="I75" s="84" t="s">
        <v>36</v>
      </c>
      <c r="J75" s="98" t="s">
        <v>1784</v>
      </c>
      <c r="K75" s="251"/>
      <c r="L75" s="251"/>
      <c r="M75" s="251"/>
      <c r="N75" s="251"/>
      <c r="O75" s="251"/>
      <c r="P75" s="251"/>
      <c r="Q75" s="251"/>
      <c r="R75" s="251"/>
      <c r="S75" s="251"/>
      <c r="T75" s="251"/>
      <c r="U75" s="251"/>
      <c r="V75" s="251"/>
      <c r="W75" s="251"/>
      <c r="X75" s="251"/>
      <c r="Y75" s="251"/>
      <c r="Z75" s="251"/>
      <c r="AA75" s="251"/>
      <c r="AB75" s="251"/>
    </row>
    <row r="76" ht="14.25" customHeight="1">
      <c r="A76" s="98" t="s">
        <v>6337</v>
      </c>
      <c r="B76" s="108"/>
      <c r="C76" s="242" t="s">
        <v>6574</v>
      </c>
      <c r="D76" s="98" t="s">
        <v>271</v>
      </c>
      <c r="E76" s="240" t="s">
        <v>6527</v>
      </c>
      <c r="F76" s="258" t="s">
        <v>6528</v>
      </c>
      <c r="G76" s="240" t="s">
        <v>6575</v>
      </c>
      <c r="H76" s="240" t="s">
        <v>6576</v>
      </c>
      <c r="I76" s="84" t="s">
        <v>36</v>
      </c>
      <c r="J76" s="98" t="s">
        <v>1784</v>
      </c>
      <c r="K76" s="251"/>
      <c r="L76" s="251"/>
      <c r="M76" s="251"/>
      <c r="N76" s="251"/>
      <c r="O76" s="251"/>
      <c r="P76" s="251"/>
      <c r="Q76" s="251"/>
      <c r="R76" s="251"/>
      <c r="S76" s="251"/>
      <c r="T76" s="251"/>
      <c r="U76" s="251"/>
      <c r="V76" s="251"/>
      <c r="W76" s="251"/>
      <c r="X76" s="251"/>
      <c r="Y76" s="251"/>
      <c r="Z76" s="251"/>
      <c r="AA76" s="251"/>
      <c r="AB76" s="251"/>
    </row>
    <row r="77" ht="14.25" customHeight="1">
      <c r="A77" s="98" t="s">
        <v>6337</v>
      </c>
      <c r="B77" s="108"/>
      <c r="C77" s="242" t="s">
        <v>6577</v>
      </c>
      <c r="D77" s="98" t="s">
        <v>271</v>
      </c>
      <c r="E77" s="240" t="s">
        <v>6527</v>
      </c>
      <c r="F77" s="258" t="s">
        <v>6528</v>
      </c>
      <c r="G77" s="240" t="s">
        <v>6578</v>
      </c>
      <c r="H77" s="240" t="s">
        <v>6579</v>
      </c>
      <c r="I77" s="84" t="s">
        <v>36</v>
      </c>
      <c r="J77" s="98" t="s">
        <v>1784</v>
      </c>
      <c r="K77" s="251"/>
      <c r="L77" s="251"/>
      <c r="M77" s="251"/>
      <c r="N77" s="251"/>
      <c r="O77" s="251"/>
      <c r="P77" s="251"/>
      <c r="Q77" s="251"/>
      <c r="R77" s="251"/>
      <c r="S77" s="251"/>
      <c r="T77" s="251"/>
      <c r="U77" s="251"/>
      <c r="V77" s="251"/>
      <c r="W77" s="251"/>
      <c r="X77" s="251"/>
      <c r="Y77" s="251"/>
      <c r="Z77" s="251"/>
      <c r="AA77" s="251"/>
      <c r="AB77" s="251"/>
    </row>
    <row r="78" ht="14.25" customHeight="1">
      <c r="A78" s="98" t="s">
        <v>6337</v>
      </c>
      <c r="B78" s="108"/>
      <c r="C78" s="242" t="s">
        <v>6580</v>
      </c>
      <c r="D78" s="98" t="s">
        <v>271</v>
      </c>
      <c r="E78" s="240" t="s">
        <v>6527</v>
      </c>
      <c r="F78" s="258" t="s">
        <v>6528</v>
      </c>
      <c r="G78" s="240" t="s">
        <v>6581</v>
      </c>
      <c r="H78" s="240" t="s">
        <v>6542</v>
      </c>
      <c r="I78" s="84" t="s">
        <v>36</v>
      </c>
      <c r="J78" s="98" t="s">
        <v>1784</v>
      </c>
      <c r="K78" s="251"/>
      <c r="L78" s="251"/>
      <c r="M78" s="251"/>
      <c r="N78" s="251"/>
      <c r="O78" s="251"/>
      <c r="P78" s="251"/>
      <c r="Q78" s="251"/>
      <c r="R78" s="251"/>
      <c r="S78" s="251"/>
      <c r="T78" s="251"/>
      <c r="U78" s="251"/>
      <c r="V78" s="251"/>
      <c r="W78" s="251"/>
      <c r="X78" s="251"/>
      <c r="Y78" s="251"/>
      <c r="Z78" s="251"/>
      <c r="AA78" s="251"/>
      <c r="AB78" s="251"/>
    </row>
    <row r="79" ht="14.25" customHeight="1">
      <c r="A79" s="98" t="s">
        <v>6337</v>
      </c>
      <c r="B79" s="108"/>
      <c r="C79" s="242" t="s">
        <v>6582</v>
      </c>
      <c r="D79" s="98" t="s">
        <v>271</v>
      </c>
      <c r="E79" s="240" t="s">
        <v>6527</v>
      </c>
      <c r="F79" s="258" t="s">
        <v>6528</v>
      </c>
      <c r="G79" s="240" t="s">
        <v>6583</v>
      </c>
      <c r="H79" s="240" t="s">
        <v>6584</v>
      </c>
      <c r="I79" s="84" t="s">
        <v>36</v>
      </c>
      <c r="J79" s="98" t="s">
        <v>1784</v>
      </c>
      <c r="K79" s="251"/>
      <c r="L79" s="251"/>
      <c r="M79" s="251"/>
      <c r="N79" s="251"/>
      <c r="O79" s="251"/>
      <c r="P79" s="251"/>
      <c r="Q79" s="251"/>
      <c r="R79" s="251"/>
      <c r="S79" s="251"/>
      <c r="T79" s="251"/>
      <c r="U79" s="251"/>
      <c r="V79" s="251"/>
      <c r="W79" s="251"/>
      <c r="X79" s="251"/>
      <c r="Y79" s="251"/>
      <c r="Z79" s="251"/>
      <c r="AA79" s="251"/>
      <c r="AB79" s="251"/>
    </row>
    <row r="80" ht="14.25" customHeight="1">
      <c r="A80" s="98" t="s">
        <v>6337</v>
      </c>
      <c r="B80" s="108"/>
      <c r="C80" s="242" t="s">
        <v>6585</v>
      </c>
      <c r="D80" s="98" t="s">
        <v>271</v>
      </c>
      <c r="E80" s="240" t="s">
        <v>6527</v>
      </c>
      <c r="F80" s="258" t="s">
        <v>6528</v>
      </c>
      <c r="G80" s="240" t="s">
        <v>6586</v>
      </c>
      <c r="H80" s="240" t="s">
        <v>6587</v>
      </c>
      <c r="I80" s="84" t="s">
        <v>36</v>
      </c>
      <c r="J80" s="98" t="s">
        <v>1784</v>
      </c>
      <c r="K80" s="251"/>
      <c r="L80" s="251"/>
      <c r="M80" s="251"/>
      <c r="N80" s="251"/>
      <c r="O80" s="251"/>
      <c r="P80" s="251"/>
      <c r="Q80" s="251"/>
      <c r="R80" s="251"/>
      <c r="S80" s="251"/>
      <c r="T80" s="251"/>
      <c r="U80" s="251"/>
      <c r="V80" s="251"/>
      <c r="W80" s="251"/>
      <c r="X80" s="251"/>
      <c r="Y80" s="251"/>
      <c r="Z80" s="251"/>
      <c r="AA80" s="251"/>
      <c r="AB80" s="251"/>
    </row>
    <row r="81" ht="14.25" customHeight="1">
      <c r="A81" s="98" t="s">
        <v>6337</v>
      </c>
      <c r="B81" s="108"/>
      <c r="C81" s="242" t="s">
        <v>6588</v>
      </c>
      <c r="D81" s="98" t="s">
        <v>271</v>
      </c>
      <c r="E81" s="240" t="s">
        <v>6527</v>
      </c>
      <c r="F81" s="258" t="s">
        <v>6528</v>
      </c>
      <c r="G81" s="240" t="s">
        <v>6589</v>
      </c>
      <c r="H81" s="240" t="s">
        <v>6590</v>
      </c>
      <c r="I81" s="84" t="s">
        <v>36</v>
      </c>
      <c r="J81" s="98" t="s">
        <v>1784</v>
      </c>
      <c r="K81" s="251"/>
      <c r="L81" s="251"/>
      <c r="M81" s="251"/>
      <c r="N81" s="251"/>
      <c r="O81" s="251"/>
      <c r="P81" s="251"/>
      <c r="Q81" s="251"/>
      <c r="R81" s="251"/>
      <c r="S81" s="251"/>
      <c r="T81" s="251"/>
      <c r="U81" s="251"/>
      <c r="V81" s="251"/>
      <c r="W81" s="251"/>
      <c r="X81" s="251"/>
      <c r="Y81" s="251"/>
      <c r="Z81" s="251"/>
      <c r="AA81" s="251"/>
      <c r="AB81" s="251"/>
    </row>
    <row r="82" ht="14.25" customHeight="1">
      <c r="A82" s="98" t="s">
        <v>6337</v>
      </c>
      <c r="B82" s="108"/>
      <c r="C82" s="242" t="s">
        <v>6591</v>
      </c>
      <c r="D82" s="98" t="s">
        <v>271</v>
      </c>
      <c r="E82" s="240" t="s">
        <v>6527</v>
      </c>
      <c r="F82" s="258" t="s">
        <v>6528</v>
      </c>
      <c r="G82" s="240" t="s">
        <v>6592</v>
      </c>
      <c r="H82" s="240" t="s">
        <v>6593</v>
      </c>
      <c r="I82" s="84" t="s">
        <v>36</v>
      </c>
      <c r="J82" s="98" t="s">
        <v>1784</v>
      </c>
      <c r="K82" s="251"/>
      <c r="L82" s="251"/>
      <c r="M82" s="251"/>
      <c r="N82" s="251"/>
      <c r="O82" s="251"/>
      <c r="P82" s="251"/>
      <c r="Q82" s="251"/>
      <c r="R82" s="251"/>
      <c r="S82" s="251"/>
      <c r="T82" s="251"/>
      <c r="U82" s="251"/>
      <c r="V82" s="251"/>
      <c r="W82" s="251"/>
      <c r="X82" s="251"/>
      <c r="Y82" s="251"/>
      <c r="Z82" s="251"/>
      <c r="AA82" s="251"/>
      <c r="AB82" s="251"/>
    </row>
    <row r="83" ht="14.25" customHeight="1">
      <c r="A83" s="98" t="s">
        <v>6337</v>
      </c>
      <c r="B83" s="108"/>
      <c r="C83" s="242" t="s">
        <v>6594</v>
      </c>
      <c r="D83" s="98" t="s">
        <v>271</v>
      </c>
      <c r="E83" s="240" t="s">
        <v>6527</v>
      </c>
      <c r="F83" s="258" t="s">
        <v>6528</v>
      </c>
      <c r="G83" s="240" t="s">
        <v>6595</v>
      </c>
      <c r="H83" s="240" t="s">
        <v>6596</v>
      </c>
      <c r="I83" s="84" t="s">
        <v>317</v>
      </c>
      <c r="J83" s="98" t="s">
        <v>1784</v>
      </c>
      <c r="K83" s="251"/>
      <c r="L83" s="251"/>
      <c r="M83" s="251"/>
      <c r="N83" s="251"/>
      <c r="O83" s="251"/>
      <c r="P83" s="251"/>
      <c r="Q83" s="251"/>
      <c r="R83" s="251"/>
      <c r="S83" s="251"/>
      <c r="T83" s="251"/>
      <c r="U83" s="251"/>
      <c r="V83" s="251"/>
      <c r="W83" s="251"/>
      <c r="X83" s="251"/>
      <c r="Y83" s="251"/>
      <c r="Z83" s="251"/>
      <c r="AA83" s="251"/>
      <c r="AB83" s="251"/>
    </row>
    <row r="84" ht="14.25" customHeight="1">
      <c r="A84" s="98" t="s">
        <v>6337</v>
      </c>
      <c r="B84" s="108"/>
      <c r="C84" s="242" t="s">
        <v>6597</v>
      </c>
      <c r="D84" s="98" t="s">
        <v>271</v>
      </c>
      <c r="E84" s="240" t="s">
        <v>6527</v>
      </c>
      <c r="F84" s="258" t="s">
        <v>6528</v>
      </c>
      <c r="G84" s="240" t="s">
        <v>6598</v>
      </c>
      <c r="H84" s="240" t="s">
        <v>6599</v>
      </c>
      <c r="I84" s="84" t="s">
        <v>36</v>
      </c>
      <c r="J84" s="98" t="s">
        <v>1784</v>
      </c>
      <c r="K84" s="251"/>
      <c r="L84" s="251"/>
      <c r="M84" s="251"/>
      <c r="N84" s="251"/>
      <c r="O84" s="251"/>
      <c r="P84" s="251"/>
      <c r="Q84" s="251"/>
      <c r="R84" s="251"/>
      <c r="S84" s="251"/>
      <c r="T84" s="251"/>
      <c r="U84" s="251"/>
      <c r="V84" s="251"/>
      <c r="W84" s="251"/>
      <c r="X84" s="251"/>
      <c r="Y84" s="251"/>
      <c r="Z84" s="251"/>
      <c r="AA84" s="251"/>
      <c r="AB84" s="251"/>
    </row>
    <row r="85" ht="14.25" customHeight="1">
      <c r="A85" s="98" t="s">
        <v>6337</v>
      </c>
      <c r="B85" s="108"/>
      <c r="C85" s="242" t="s">
        <v>6600</v>
      </c>
      <c r="D85" s="98" t="s">
        <v>271</v>
      </c>
      <c r="E85" s="240" t="s">
        <v>6527</v>
      </c>
      <c r="F85" s="258" t="s">
        <v>6528</v>
      </c>
      <c r="G85" s="240" t="s">
        <v>6559</v>
      </c>
      <c r="H85" s="240" t="s">
        <v>6560</v>
      </c>
      <c r="I85" s="84" t="s">
        <v>36</v>
      </c>
      <c r="J85" s="98" t="s">
        <v>1784</v>
      </c>
      <c r="K85" s="251"/>
      <c r="L85" s="251"/>
      <c r="M85" s="251"/>
      <c r="N85" s="251"/>
      <c r="O85" s="251"/>
      <c r="P85" s="251"/>
      <c r="Q85" s="251"/>
      <c r="R85" s="251"/>
      <c r="S85" s="251"/>
      <c r="T85" s="251"/>
      <c r="U85" s="251"/>
      <c r="V85" s="251"/>
      <c r="W85" s="251"/>
      <c r="X85" s="251"/>
      <c r="Y85" s="251"/>
      <c r="Z85" s="251"/>
      <c r="AA85" s="251"/>
      <c r="AB85" s="251"/>
    </row>
    <row r="86" ht="14.25" customHeight="1">
      <c r="A86" s="98" t="s">
        <v>6337</v>
      </c>
      <c r="B86" s="108"/>
      <c r="C86" s="242" t="s">
        <v>6601</v>
      </c>
      <c r="D86" s="98" t="s">
        <v>271</v>
      </c>
      <c r="E86" s="240" t="s">
        <v>6527</v>
      </c>
      <c r="F86" s="258" t="s">
        <v>6528</v>
      </c>
      <c r="G86" s="240" t="s">
        <v>6602</v>
      </c>
      <c r="H86" s="240" t="s">
        <v>6603</v>
      </c>
      <c r="I86" s="84" t="s">
        <v>36</v>
      </c>
      <c r="J86" s="98" t="s">
        <v>1784</v>
      </c>
      <c r="K86" s="251"/>
      <c r="L86" s="251"/>
      <c r="M86" s="251"/>
      <c r="N86" s="251"/>
      <c r="O86" s="251"/>
      <c r="P86" s="251"/>
      <c r="Q86" s="251"/>
      <c r="R86" s="251"/>
      <c r="S86" s="251"/>
      <c r="T86" s="251"/>
      <c r="U86" s="251"/>
      <c r="V86" s="251"/>
      <c r="W86" s="251"/>
      <c r="X86" s="251"/>
      <c r="Y86" s="251"/>
      <c r="Z86" s="251"/>
      <c r="AA86" s="251"/>
      <c r="AB86" s="251"/>
    </row>
    <row r="87" ht="14.25" customHeight="1">
      <c r="A87" s="98" t="s">
        <v>6337</v>
      </c>
      <c r="B87" s="109"/>
      <c r="C87" s="242" t="s">
        <v>6604</v>
      </c>
      <c r="D87" s="98" t="s">
        <v>271</v>
      </c>
      <c r="E87" s="240" t="s">
        <v>6527</v>
      </c>
      <c r="F87" s="258" t="s">
        <v>6528</v>
      </c>
      <c r="G87" s="240" t="s">
        <v>6605</v>
      </c>
      <c r="H87" s="240" t="s">
        <v>6603</v>
      </c>
      <c r="I87" s="84" t="s">
        <v>36</v>
      </c>
      <c r="J87" s="98" t="s">
        <v>1784</v>
      </c>
      <c r="K87" s="251"/>
      <c r="L87" s="251"/>
      <c r="M87" s="251"/>
      <c r="N87" s="251"/>
      <c r="O87" s="251"/>
      <c r="P87" s="251"/>
      <c r="Q87" s="251"/>
      <c r="R87" s="251"/>
      <c r="S87" s="251"/>
      <c r="T87" s="251"/>
      <c r="U87" s="251"/>
      <c r="V87" s="251"/>
      <c r="W87" s="251"/>
      <c r="X87" s="251"/>
      <c r="Y87" s="251"/>
      <c r="Z87" s="251"/>
      <c r="AA87" s="251"/>
      <c r="AB87" s="251"/>
    </row>
    <row r="88" ht="14.25" customHeight="1">
      <c r="A88" s="98" t="s">
        <v>6606</v>
      </c>
      <c r="B88" s="257" t="s">
        <v>6607</v>
      </c>
      <c r="C88" s="242" t="s">
        <v>6608</v>
      </c>
      <c r="D88" s="98" t="s">
        <v>271</v>
      </c>
      <c r="E88" s="240" t="s">
        <v>6609</v>
      </c>
      <c r="F88" s="258" t="s">
        <v>6528</v>
      </c>
      <c r="G88" s="240" t="s">
        <v>6610</v>
      </c>
      <c r="H88" s="240" t="s">
        <v>6611</v>
      </c>
      <c r="I88" s="84" t="s">
        <v>36</v>
      </c>
      <c r="J88" s="98" t="s">
        <v>1784</v>
      </c>
      <c r="K88" s="251"/>
      <c r="L88" s="251"/>
      <c r="M88" s="251"/>
      <c r="N88" s="251"/>
      <c r="O88" s="251"/>
      <c r="P88" s="251"/>
      <c r="Q88" s="251"/>
      <c r="R88" s="251"/>
      <c r="S88" s="251"/>
      <c r="T88" s="251"/>
      <c r="U88" s="251"/>
      <c r="V88" s="251"/>
      <c r="W88" s="251"/>
      <c r="X88" s="251"/>
      <c r="Y88" s="251"/>
      <c r="Z88" s="251"/>
      <c r="AA88" s="251"/>
      <c r="AB88" s="251"/>
    </row>
    <row r="89" ht="14.25" customHeight="1">
      <c r="A89" s="98" t="s">
        <v>6606</v>
      </c>
      <c r="B89" s="108"/>
      <c r="C89" s="242" t="s">
        <v>6612</v>
      </c>
      <c r="D89" s="98" t="s">
        <v>271</v>
      </c>
      <c r="E89" s="240" t="s">
        <v>6609</v>
      </c>
      <c r="F89" s="258" t="s">
        <v>6528</v>
      </c>
      <c r="G89" s="240" t="s">
        <v>6613</v>
      </c>
      <c r="H89" s="240" t="s">
        <v>6614</v>
      </c>
      <c r="I89" s="84" t="s">
        <v>36</v>
      </c>
      <c r="J89" s="98" t="s">
        <v>1784</v>
      </c>
      <c r="K89" s="251"/>
      <c r="L89" s="251"/>
      <c r="M89" s="251"/>
      <c r="N89" s="251"/>
      <c r="O89" s="251"/>
      <c r="P89" s="251"/>
      <c r="Q89" s="251"/>
      <c r="R89" s="251"/>
      <c r="S89" s="251"/>
      <c r="T89" s="251"/>
      <c r="U89" s="251"/>
      <c r="V89" s="251"/>
      <c r="W89" s="251"/>
      <c r="X89" s="251"/>
      <c r="Y89" s="251"/>
      <c r="Z89" s="251"/>
      <c r="AA89" s="251"/>
      <c r="AB89" s="251"/>
    </row>
    <row r="90" ht="14.25" customHeight="1">
      <c r="A90" s="98" t="s">
        <v>6606</v>
      </c>
      <c r="B90" s="108"/>
      <c r="C90" s="242" t="s">
        <v>6615</v>
      </c>
      <c r="D90" s="98" t="s">
        <v>271</v>
      </c>
      <c r="E90" s="240" t="s">
        <v>6609</v>
      </c>
      <c r="F90" s="258" t="s">
        <v>6528</v>
      </c>
      <c r="G90" s="240" t="s">
        <v>6616</v>
      </c>
      <c r="H90" s="240" t="s">
        <v>6617</v>
      </c>
      <c r="I90" s="84" t="s">
        <v>36</v>
      </c>
      <c r="J90" s="98" t="s">
        <v>1784</v>
      </c>
      <c r="K90" s="251"/>
      <c r="L90" s="251"/>
      <c r="M90" s="251"/>
      <c r="N90" s="251"/>
      <c r="O90" s="251"/>
      <c r="P90" s="251"/>
      <c r="Q90" s="251"/>
      <c r="R90" s="251"/>
      <c r="S90" s="251"/>
      <c r="T90" s="251"/>
      <c r="U90" s="251"/>
      <c r="V90" s="251"/>
      <c r="W90" s="251"/>
      <c r="X90" s="251"/>
      <c r="Y90" s="251"/>
      <c r="Z90" s="251"/>
      <c r="AA90" s="251"/>
      <c r="AB90" s="251"/>
    </row>
    <row r="91" ht="14.25" customHeight="1">
      <c r="A91" s="98" t="s">
        <v>6606</v>
      </c>
      <c r="B91" s="108"/>
      <c r="C91" s="242" t="s">
        <v>6618</v>
      </c>
      <c r="D91" s="98" t="s">
        <v>271</v>
      </c>
      <c r="E91" s="240" t="s">
        <v>6609</v>
      </c>
      <c r="F91" s="258" t="s">
        <v>6528</v>
      </c>
      <c r="G91" s="240" t="s">
        <v>6619</v>
      </c>
      <c r="H91" s="240" t="s">
        <v>6620</v>
      </c>
      <c r="I91" s="84" t="s">
        <v>36</v>
      </c>
      <c r="J91" s="98" t="s">
        <v>1784</v>
      </c>
      <c r="K91" s="251"/>
      <c r="L91" s="251"/>
      <c r="M91" s="251"/>
      <c r="N91" s="251"/>
      <c r="O91" s="251"/>
      <c r="P91" s="251"/>
      <c r="Q91" s="251"/>
      <c r="R91" s="251"/>
      <c r="S91" s="251"/>
      <c r="T91" s="251"/>
      <c r="U91" s="251"/>
      <c r="V91" s="251"/>
      <c r="W91" s="251"/>
      <c r="X91" s="251"/>
      <c r="Y91" s="251"/>
      <c r="Z91" s="251"/>
      <c r="AA91" s="251"/>
      <c r="AB91" s="251"/>
    </row>
    <row r="92" ht="14.25" customHeight="1">
      <c r="A92" s="98" t="s">
        <v>6606</v>
      </c>
      <c r="B92" s="108"/>
      <c r="C92" s="242" t="s">
        <v>6621</v>
      </c>
      <c r="D92" s="98" t="s">
        <v>271</v>
      </c>
      <c r="E92" s="240" t="s">
        <v>6609</v>
      </c>
      <c r="F92" s="258" t="s">
        <v>6528</v>
      </c>
      <c r="G92" s="240" t="s">
        <v>6622</v>
      </c>
      <c r="H92" s="240" t="s">
        <v>6623</v>
      </c>
      <c r="I92" s="84" t="s">
        <v>36</v>
      </c>
      <c r="J92" s="98" t="s">
        <v>1784</v>
      </c>
      <c r="K92" s="251"/>
      <c r="L92" s="251"/>
      <c r="M92" s="251"/>
      <c r="N92" s="251"/>
      <c r="O92" s="251"/>
      <c r="P92" s="251"/>
      <c r="Q92" s="251"/>
      <c r="R92" s="251"/>
      <c r="S92" s="251"/>
      <c r="T92" s="251"/>
      <c r="U92" s="251"/>
      <c r="V92" s="251"/>
      <c r="W92" s="251"/>
      <c r="X92" s="251"/>
      <c r="Y92" s="251"/>
      <c r="Z92" s="251"/>
      <c r="AA92" s="251"/>
      <c r="AB92" s="251"/>
    </row>
    <row r="93" ht="14.25" customHeight="1">
      <c r="A93" s="98" t="s">
        <v>6606</v>
      </c>
      <c r="B93" s="108"/>
      <c r="C93" s="242" t="s">
        <v>6624</v>
      </c>
      <c r="D93" s="98" t="s">
        <v>271</v>
      </c>
      <c r="E93" s="240" t="s">
        <v>6609</v>
      </c>
      <c r="F93" s="258" t="s">
        <v>6528</v>
      </c>
      <c r="G93" s="240" t="s">
        <v>6625</v>
      </c>
      <c r="H93" s="240" t="s">
        <v>6626</v>
      </c>
      <c r="I93" s="84" t="s">
        <v>36</v>
      </c>
      <c r="J93" s="98" t="s">
        <v>1784</v>
      </c>
      <c r="K93" s="251"/>
      <c r="L93" s="251"/>
      <c r="M93" s="251"/>
      <c r="N93" s="251"/>
      <c r="O93" s="251"/>
      <c r="P93" s="251"/>
      <c r="Q93" s="251"/>
      <c r="R93" s="251"/>
      <c r="S93" s="251"/>
      <c r="T93" s="251"/>
      <c r="U93" s="251"/>
      <c r="V93" s="251"/>
      <c r="W93" s="251"/>
      <c r="X93" s="251"/>
      <c r="Y93" s="251"/>
      <c r="Z93" s="251"/>
      <c r="AA93" s="251"/>
      <c r="AB93" s="251"/>
    </row>
    <row r="94" ht="14.25" customHeight="1">
      <c r="A94" s="98" t="s">
        <v>6606</v>
      </c>
      <c r="B94" s="108"/>
      <c r="C94" s="242" t="s">
        <v>6627</v>
      </c>
      <c r="D94" s="98" t="s">
        <v>271</v>
      </c>
      <c r="E94" s="240" t="s">
        <v>6609</v>
      </c>
      <c r="F94" s="258" t="s">
        <v>6528</v>
      </c>
      <c r="G94" s="240" t="s">
        <v>6628</v>
      </c>
      <c r="H94" s="240" t="s">
        <v>6629</v>
      </c>
      <c r="I94" s="84" t="s">
        <v>36</v>
      </c>
      <c r="J94" s="98" t="s">
        <v>1784</v>
      </c>
      <c r="K94" s="251"/>
      <c r="L94" s="251"/>
      <c r="M94" s="251"/>
      <c r="N94" s="251"/>
      <c r="O94" s="251"/>
      <c r="P94" s="251"/>
      <c r="Q94" s="251"/>
      <c r="R94" s="251"/>
      <c r="S94" s="251"/>
      <c r="T94" s="251"/>
      <c r="U94" s="251"/>
      <c r="V94" s="251"/>
      <c r="W94" s="251"/>
      <c r="X94" s="251"/>
      <c r="Y94" s="251"/>
      <c r="Z94" s="251"/>
      <c r="AA94" s="251"/>
      <c r="AB94" s="251"/>
    </row>
    <row r="95" ht="14.25" customHeight="1">
      <c r="A95" s="98" t="s">
        <v>6606</v>
      </c>
      <c r="B95" s="108"/>
      <c r="C95" s="242" t="s">
        <v>6630</v>
      </c>
      <c r="D95" s="98" t="s">
        <v>271</v>
      </c>
      <c r="E95" s="240" t="s">
        <v>6609</v>
      </c>
      <c r="F95" s="258" t="s">
        <v>6528</v>
      </c>
      <c r="G95" s="240" t="s">
        <v>6631</v>
      </c>
      <c r="H95" s="240" t="s">
        <v>6632</v>
      </c>
      <c r="I95" s="84" t="s">
        <v>36</v>
      </c>
      <c r="J95" s="98" t="s">
        <v>1784</v>
      </c>
      <c r="K95" s="251"/>
      <c r="L95" s="251"/>
      <c r="M95" s="251"/>
      <c r="N95" s="251"/>
      <c r="O95" s="251"/>
      <c r="P95" s="251"/>
      <c r="Q95" s="251"/>
      <c r="R95" s="251"/>
      <c r="S95" s="251"/>
      <c r="T95" s="251"/>
      <c r="U95" s="251"/>
      <c r="V95" s="251"/>
      <c r="W95" s="251"/>
      <c r="X95" s="251"/>
      <c r="Y95" s="251"/>
      <c r="Z95" s="251"/>
      <c r="AA95" s="251"/>
      <c r="AB95" s="251"/>
    </row>
    <row r="96" ht="14.25" customHeight="1">
      <c r="A96" s="98" t="s">
        <v>6606</v>
      </c>
      <c r="B96" s="108"/>
      <c r="C96" s="242" t="s">
        <v>6633</v>
      </c>
      <c r="D96" s="98" t="s">
        <v>271</v>
      </c>
      <c r="E96" s="240" t="s">
        <v>6609</v>
      </c>
      <c r="F96" s="258" t="s">
        <v>6528</v>
      </c>
      <c r="G96" s="240" t="s">
        <v>6634</v>
      </c>
      <c r="H96" s="240" t="s">
        <v>6635</v>
      </c>
      <c r="I96" s="84" t="s">
        <v>36</v>
      </c>
      <c r="J96" s="98" t="s">
        <v>1784</v>
      </c>
      <c r="K96" s="251"/>
      <c r="L96" s="251"/>
      <c r="M96" s="251"/>
      <c r="N96" s="251"/>
      <c r="O96" s="251"/>
      <c r="P96" s="251"/>
      <c r="Q96" s="251"/>
      <c r="R96" s="251"/>
      <c r="S96" s="251"/>
      <c r="T96" s="251"/>
      <c r="U96" s="251"/>
      <c r="V96" s="251"/>
      <c r="W96" s="251"/>
      <c r="X96" s="251"/>
      <c r="Y96" s="251"/>
      <c r="Z96" s="251"/>
      <c r="AA96" s="251"/>
      <c r="AB96" s="251"/>
    </row>
    <row r="97" ht="14.25" customHeight="1">
      <c r="A97" s="98" t="s">
        <v>6606</v>
      </c>
      <c r="B97" s="108"/>
      <c r="C97" s="242" t="s">
        <v>6636</v>
      </c>
      <c r="D97" s="98" t="s">
        <v>271</v>
      </c>
      <c r="E97" s="240" t="s">
        <v>6609</v>
      </c>
      <c r="F97" s="258" t="s">
        <v>6528</v>
      </c>
      <c r="G97" s="240" t="s">
        <v>6637</v>
      </c>
      <c r="H97" s="240" t="s">
        <v>6638</v>
      </c>
      <c r="I97" s="84" t="s">
        <v>36</v>
      </c>
      <c r="J97" s="98" t="s">
        <v>1784</v>
      </c>
      <c r="K97" s="251"/>
      <c r="L97" s="251"/>
      <c r="M97" s="251"/>
      <c r="N97" s="251"/>
      <c r="O97" s="251"/>
      <c r="P97" s="251"/>
      <c r="Q97" s="251"/>
      <c r="R97" s="251"/>
      <c r="S97" s="251"/>
      <c r="T97" s="251"/>
      <c r="U97" s="251"/>
      <c r="V97" s="251"/>
      <c r="W97" s="251"/>
      <c r="X97" s="251"/>
      <c r="Y97" s="251"/>
      <c r="Z97" s="251"/>
      <c r="AA97" s="251"/>
      <c r="AB97" s="251"/>
    </row>
    <row r="98" ht="14.25" customHeight="1">
      <c r="A98" s="98" t="s">
        <v>6606</v>
      </c>
      <c r="B98" s="108"/>
      <c r="C98" s="242" t="s">
        <v>6639</v>
      </c>
      <c r="D98" s="98" t="s">
        <v>271</v>
      </c>
      <c r="E98" s="240" t="s">
        <v>6609</v>
      </c>
      <c r="F98" s="258" t="s">
        <v>6528</v>
      </c>
      <c r="G98" s="240" t="s">
        <v>6640</v>
      </c>
      <c r="H98" s="240" t="s">
        <v>6641</v>
      </c>
      <c r="I98" s="84" t="s">
        <v>36</v>
      </c>
      <c r="J98" s="98" t="s">
        <v>1784</v>
      </c>
      <c r="K98" s="251"/>
      <c r="L98" s="251"/>
      <c r="M98" s="251"/>
      <c r="N98" s="251"/>
      <c r="O98" s="251"/>
      <c r="P98" s="251"/>
      <c r="Q98" s="251"/>
      <c r="R98" s="251"/>
      <c r="S98" s="251"/>
      <c r="T98" s="251"/>
      <c r="U98" s="251"/>
      <c r="V98" s="251"/>
      <c r="W98" s="251"/>
      <c r="X98" s="251"/>
      <c r="Y98" s="251"/>
      <c r="Z98" s="251"/>
      <c r="AA98" s="251"/>
      <c r="AB98" s="251"/>
    </row>
    <row r="99" ht="14.25" customHeight="1">
      <c r="A99" s="98" t="s">
        <v>6606</v>
      </c>
      <c r="B99" s="108"/>
      <c r="C99" s="242" t="s">
        <v>6642</v>
      </c>
      <c r="D99" s="98" t="s">
        <v>271</v>
      </c>
      <c r="E99" s="240" t="s">
        <v>6609</v>
      </c>
      <c r="F99" s="258" t="s">
        <v>6528</v>
      </c>
      <c r="G99" s="240" t="s">
        <v>6643</v>
      </c>
      <c r="H99" s="240" t="s">
        <v>6644</v>
      </c>
      <c r="I99" s="84" t="s">
        <v>36</v>
      </c>
      <c r="J99" s="98" t="s">
        <v>1784</v>
      </c>
      <c r="K99" s="251"/>
      <c r="L99" s="251"/>
      <c r="M99" s="251"/>
      <c r="N99" s="251"/>
      <c r="O99" s="251"/>
      <c r="P99" s="251"/>
      <c r="Q99" s="251"/>
      <c r="R99" s="251"/>
      <c r="S99" s="251"/>
      <c r="T99" s="251"/>
      <c r="U99" s="251"/>
      <c r="V99" s="251"/>
      <c r="W99" s="251"/>
      <c r="X99" s="251"/>
      <c r="Y99" s="251"/>
      <c r="Z99" s="251"/>
      <c r="AA99" s="251"/>
      <c r="AB99" s="251"/>
    </row>
    <row r="100" ht="14.25" customHeight="1">
      <c r="A100" s="98" t="s">
        <v>6606</v>
      </c>
      <c r="B100" s="108"/>
      <c r="C100" s="242" t="s">
        <v>6645</v>
      </c>
      <c r="D100" s="98" t="s">
        <v>271</v>
      </c>
      <c r="E100" s="240" t="s">
        <v>6609</v>
      </c>
      <c r="F100" s="258" t="s">
        <v>6528</v>
      </c>
      <c r="G100" s="240" t="s">
        <v>6646</v>
      </c>
      <c r="H100" s="240" t="s">
        <v>6647</v>
      </c>
      <c r="I100" s="84" t="s">
        <v>36</v>
      </c>
      <c r="J100" s="98" t="s">
        <v>1784</v>
      </c>
      <c r="K100" s="251"/>
      <c r="L100" s="251"/>
      <c r="M100" s="251"/>
      <c r="N100" s="251"/>
      <c r="O100" s="251"/>
      <c r="P100" s="251"/>
      <c r="Q100" s="251"/>
      <c r="R100" s="251"/>
      <c r="S100" s="251"/>
      <c r="T100" s="251"/>
      <c r="U100" s="251"/>
      <c r="V100" s="251"/>
      <c r="W100" s="251"/>
      <c r="X100" s="251"/>
      <c r="Y100" s="251"/>
      <c r="Z100" s="251"/>
      <c r="AA100" s="251"/>
      <c r="AB100" s="251"/>
    </row>
    <row r="101" ht="14.25" customHeight="1">
      <c r="A101" s="98" t="s">
        <v>6606</v>
      </c>
      <c r="B101" s="108"/>
      <c r="C101" s="242" t="s">
        <v>6648</v>
      </c>
      <c r="D101" s="98" t="s">
        <v>271</v>
      </c>
      <c r="E101" s="240" t="s">
        <v>6609</v>
      </c>
      <c r="F101" s="258" t="s">
        <v>6528</v>
      </c>
      <c r="G101" s="240" t="s">
        <v>6649</v>
      </c>
      <c r="H101" s="240" t="s">
        <v>6650</v>
      </c>
      <c r="I101" s="84" t="s">
        <v>36</v>
      </c>
      <c r="J101" s="98" t="s">
        <v>1784</v>
      </c>
      <c r="K101" s="251"/>
      <c r="L101" s="251"/>
      <c r="M101" s="251"/>
      <c r="N101" s="251"/>
      <c r="O101" s="251"/>
      <c r="P101" s="251"/>
      <c r="Q101" s="251"/>
      <c r="R101" s="251"/>
      <c r="S101" s="251"/>
      <c r="T101" s="251"/>
      <c r="U101" s="251"/>
      <c r="V101" s="251"/>
      <c r="W101" s="251"/>
      <c r="X101" s="251"/>
      <c r="Y101" s="251"/>
      <c r="Z101" s="251"/>
      <c r="AA101" s="251"/>
      <c r="AB101" s="251"/>
    </row>
    <row r="102" ht="14.25" customHeight="1">
      <c r="A102" s="98" t="s">
        <v>6606</v>
      </c>
      <c r="B102" s="108"/>
      <c r="C102" s="242" t="s">
        <v>6651</v>
      </c>
      <c r="D102" s="98" t="s">
        <v>271</v>
      </c>
      <c r="E102" s="240" t="s">
        <v>6609</v>
      </c>
      <c r="F102" s="258" t="s">
        <v>6528</v>
      </c>
      <c r="G102" s="240" t="s">
        <v>6652</v>
      </c>
      <c r="H102" s="240" t="s">
        <v>6653</v>
      </c>
      <c r="I102" s="84" t="s">
        <v>36</v>
      </c>
      <c r="J102" s="98" t="s">
        <v>1784</v>
      </c>
      <c r="K102" s="251"/>
      <c r="L102" s="251"/>
      <c r="M102" s="251"/>
      <c r="N102" s="251"/>
      <c r="O102" s="251"/>
      <c r="P102" s="251"/>
      <c r="Q102" s="251"/>
      <c r="R102" s="251"/>
      <c r="S102" s="251"/>
      <c r="T102" s="251"/>
      <c r="U102" s="251"/>
      <c r="V102" s="251"/>
      <c r="W102" s="251"/>
      <c r="X102" s="251"/>
      <c r="Y102" s="251"/>
      <c r="Z102" s="251"/>
      <c r="AA102" s="251"/>
      <c r="AB102" s="251"/>
    </row>
    <row r="103" ht="14.25" customHeight="1">
      <c r="A103" s="98" t="s">
        <v>6606</v>
      </c>
      <c r="B103" s="108"/>
      <c r="C103" s="242" t="s">
        <v>6654</v>
      </c>
      <c r="D103" s="98" t="s">
        <v>271</v>
      </c>
      <c r="E103" s="240" t="s">
        <v>6609</v>
      </c>
      <c r="F103" s="258" t="s">
        <v>6528</v>
      </c>
      <c r="G103" s="240" t="s">
        <v>6655</v>
      </c>
      <c r="H103" s="240" t="s">
        <v>6656</v>
      </c>
      <c r="I103" s="84" t="s">
        <v>36</v>
      </c>
      <c r="J103" s="98" t="s">
        <v>1784</v>
      </c>
      <c r="K103" s="251"/>
      <c r="L103" s="251"/>
      <c r="M103" s="251"/>
      <c r="N103" s="251"/>
      <c r="O103" s="251"/>
      <c r="P103" s="251"/>
      <c r="Q103" s="251"/>
      <c r="R103" s="251"/>
      <c r="S103" s="251"/>
      <c r="T103" s="251"/>
      <c r="U103" s="251"/>
      <c r="V103" s="251"/>
      <c r="W103" s="251"/>
      <c r="X103" s="251"/>
      <c r="Y103" s="251"/>
      <c r="Z103" s="251"/>
      <c r="AA103" s="251"/>
      <c r="AB103" s="251"/>
    </row>
    <row r="104" ht="14.25" customHeight="1">
      <c r="A104" s="98" t="s">
        <v>6606</v>
      </c>
      <c r="B104" s="108"/>
      <c r="C104" s="242" t="s">
        <v>6657</v>
      </c>
      <c r="D104" s="98" t="s">
        <v>271</v>
      </c>
      <c r="E104" s="240" t="s">
        <v>6609</v>
      </c>
      <c r="F104" s="258" t="s">
        <v>6528</v>
      </c>
      <c r="G104" s="240" t="s">
        <v>6658</v>
      </c>
      <c r="H104" s="240" t="s">
        <v>6659</v>
      </c>
      <c r="I104" s="84" t="s">
        <v>36</v>
      </c>
      <c r="J104" s="98" t="s">
        <v>1784</v>
      </c>
      <c r="K104" s="251"/>
      <c r="L104" s="251"/>
      <c r="M104" s="251"/>
      <c r="N104" s="251"/>
      <c r="O104" s="251"/>
      <c r="P104" s="251"/>
      <c r="Q104" s="251"/>
      <c r="R104" s="251"/>
      <c r="S104" s="251"/>
      <c r="T104" s="251"/>
      <c r="U104" s="251"/>
      <c r="V104" s="251"/>
      <c r="W104" s="251"/>
      <c r="X104" s="251"/>
      <c r="Y104" s="251"/>
      <c r="Z104" s="251"/>
      <c r="AA104" s="251"/>
      <c r="AB104" s="251"/>
    </row>
    <row r="105" ht="14.25" customHeight="1">
      <c r="A105" s="98" t="s">
        <v>6606</v>
      </c>
      <c r="B105" s="108"/>
      <c r="C105" s="242" t="s">
        <v>6660</v>
      </c>
      <c r="D105" s="98" t="s">
        <v>271</v>
      </c>
      <c r="E105" s="240" t="s">
        <v>6609</v>
      </c>
      <c r="F105" s="258" t="s">
        <v>6528</v>
      </c>
      <c r="G105" s="240" t="s">
        <v>6661</v>
      </c>
      <c r="H105" s="240" t="s">
        <v>6662</v>
      </c>
      <c r="I105" s="84" t="s">
        <v>36</v>
      </c>
      <c r="J105" s="98" t="s">
        <v>1784</v>
      </c>
      <c r="K105" s="251"/>
      <c r="L105" s="251"/>
      <c r="M105" s="251"/>
      <c r="N105" s="251"/>
      <c r="O105" s="251"/>
      <c r="P105" s="251"/>
      <c r="Q105" s="251"/>
      <c r="R105" s="251"/>
      <c r="S105" s="251"/>
      <c r="T105" s="251"/>
      <c r="U105" s="251"/>
      <c r="V105" s="251"/>
      <c r="W105" s="251"/>
      <c r="X105" s="251"/>
      <c r="Y105" s="251"/>
      <c r="Z105" s="251"/>
      <c r="AA105" s="251"/>
      <c r="AB105" s="251"/>
    </row>
    <row r="106" ht="14.25" customHeight="1">
      <c r="A106" s="98" t="s">
        <v>6606</v>
      </c>
      <c r="B106" s="108"/>
      <c r="C106" s="242" t="s">
        <v>6663</v>
      </c>
      <c r="D106" s="98" t="s">
        <v>271</v>
      </c>
      <c r="E106" s="240" t="s">
        <v>6609</v>
      </c>
      <c r="F106" s="258" t="s">
        <v>6528</v>
      </c>
      <c r="G106" s="240" t="s">
        <v>6664</v>
      </c>
      <c r="H106" s="240" t="s">
        <v>6665</v>
      </c>
      <c r="I106" s="84" t="s">
        <v>36</v>
      </c>
      <c r="J106" s="98" t="s">
        <v>1784</v>
      </c>
      <c r="K106" s="251"/>
      <c r="L106" s="251"/>
      <c r="M106" s="251"/>
      <c r="N106" s="251"/>
      <c r="O106" s="251"/>
      <c r="P106" s="251"/>
      <c r="Q106" s="251"/>
      <c r="R106" s="251"/>
      <c r="S106" s="251"/>
      <c r="T106" s="251"/>
      <c r="U106" s="251"/>
      <c r="V106" s="251"/>
      <c r="W106" s="251"/>
      <c r="X106" s="251"/>
      <c r="Y106" s="251"/>
      <c r="Z106" s="251"/>
      <c r="AA106" s="251"/>
      <c r="AB106" s="251"/>
    </row>
    <row r="107" ht="14.25" customHeight="1">
      <c r="A107" s="98" t="s">
        <v>6606</v>
      </c>
      <c r="B107" s="108"/>
      <c r="C107" s="242" t="s">
        <v>6666</v>
      </c>
      <c r="D107" s="98" t="s">
        <v>271</v>
      </c>
      <c r="E107" s="240" t="s">
        <v>6609</v>
      </c>
      <c r="F107" s="258" t="s">
        <v>6528</v>
      </c>
      <c r="G107" s="240" t="s">
        <v>6667</v>
      </c>
      <c r="H107" s="240" t="s">
        <v>6668</v>
      </c>
      <c r="I107" s="84" t="s">
        <v>36</v>
      </c>
      <c r="J107" s="98" t="s">
        <v>1784</v>
      </c>
      <c r="K107" s="251"/>
      <c r="L107" s="251"/>
      <c r="M107" s="251"/>
      <c r="N107" s="251"/>
      <c r="O107" s="251"/>
      <c r="P107" s="251"/>
      <c r="Q107" s="251"/>
      <c r="R107" s="251"/>
      <c r="S107" s="251"/>
      <c r="T107" s="251"/>
      <c r="U107" s="251"/>
      <c r="V107" s="251"/>
      <c r="W107" s="251"/>
      <c r="X107" s="251"/>
      <c r="Y107" s="251"/>
      <c r="Z107" s="251"/>
      <c r="AA107" s="251"/>
      <c r="AB107" s="251"/>
    </row>
    <row r="108" ht="14.25" customHeight="1">
      <c r="A108" s="98" t="s">
        <v>6606</v>
      </c>
      <c r="B108" s="109"/>
      <c r="C108" s="242" t="s">
        <v>6669</v>
      </c>
      <c r="D108" s="98" t="s">
        <v>271</v>
      </c>
      <c r="E108" s="240" t="s">
        <v>6609</v>
      </c>
      <c r="F108" s="258" t="s">
        <v>6528</v>
      </c>
      <c r="G108" s="240" t="s">
        <v>6670</v>
      </c>
      <c r="H108" s="240" t="s">
        <v>6671</v>
      </c>
      <c r="I108" s="84" t="s">
        <v>36</v>
      </c>
      <c r="J108" s="98" t="s">
        <v>1784</v>
      </c>
      <c r="K108" s="251"/>
      <c r="L108" s="251"/>
      <c r="M108" s="251"/>
      <c r="N108" s="251"/>
      <c r="O108" s="251"/>
      <c r="P108" s="251"/>
      <c r="Q108" s="251"/>
      <c r="R108" s="251"/>
      <c r="S108" s="251"/>
      <c r="T108" s="251"/>
      <c r="U108" s="251"/>
      <c r="V108" s="251"/>
      <c r="W108" s="251"/>
      <c r="X108" s="251"/>
      <c r="Y108" s="251"/>
      <c r="Z108" s="251"/>
      <c r="AA108" s="251"/>
      <c r="AB108" s="251"/>
    </row>
    <row r="109" ht="14.25" customHeight="1">
      <c r="A109" s="98" t="s">
        <v>6672</v>
      </c>
      <c r="B109" s="257" t="s">
        <v>6673</v>
      </c>
      <c r="C109" s="242" t="s">
        <v>6674</v>
      </c>
      <c r="D109" s="98" t="s">
        <v>271</v>
      </c>
      <c r="E109" s="259" t="s">
        <v>6675</v>
      </c>
      <c r="F109" s="258" t="s">
        <v>6528</v>
      </c>
      <c r="G109" s="258" t="s">
        <v>6676</v>
      </c>
      <c r="H109" s="258" t="s">
        <v>6677</v>
      </c>
      <c r="I109" s="84" t="s">
        <v>36</v>
      </c>
      <c r="J109" s="98" t="s">
        <v>1784</v>
      </c>
      <c r="K109" s="251"/>
      <c r="L109" s="251"/>
      <c r="M109" s="251"/>
      <c r="N109" s="251"/>
      <c r="O109" s="251"/>
      <c r="P109" s="251"/>
      <c r="Q109" s="251"/>
      <c r="R109" s="251"/>
      <c r="S109" s="251"/>
      <c r="T109" s="251"/>
      <c r="U109" s="251"/>
      <c r="V109" s="251"/>
      <c r="W109" s="251"/>
      <c r="X109" s="251"/>
      <c r="Y109" s="251"/>
      <c r="Z109" s="251"/>
      <c r="AA109" s="251"/>
      <c r="AB109" s="251"/>
    </row>
    <row r="110" ht="14.25" customHeight="1">
      <c r="A110" s="98" t="s">
        <v>6672</v>
      </c>
      <c r="B110" s="108"/>
      <c r="C110" s="242" t="s">
        <v>6678</v>
      </c>
      <c r="D110" s="98" t="s">
        <v>271</v>
      </c>
      <c r="E110" s="259" t="s">
        <v>6675</v>
      </c>
      <c r="F110" s="258" t="s">
        <v>6528</v>
      </c>
      <c r="G110" s="258" t="s">
        <v>6679</v>
      </c>
      <c r="H110" s="258" t="s">
        <v>6680</v>
      </c>
      <c r="I110" s="84" t="s">
        <v>36</v>
      </c>
      <c r="J110" s="98" t="s">
        <v>1784</v>
      </c>
      <c r="K110" s="251"/>
      <c r="L110" s="251"/>
      <c r="M110" s="251"/>
      <c r="N110" s="251"/>
      <c r="O110" s="251"/>
      <c r="P110" s="251"/>
      <c r="Q110" s="251"/>
      <c r="R110" s="251"/>
      <c r="S110" s="251"/>
      <c r="T110" s="251"/>
      <c r="U110" s="251"/>
      <c r="V110" s="251"/>
      <c r="W110" s="251"/>
      <c r="X110" s="251"/>
      <c r="Y110" s="251"/>
      <c r="Z110" s="251"/>
      <c r="AA110" s="251"/>
      <c r="AB110" s="251"/>
    </row>
    <row r="111" ht="14.25" customHeight="1">
      <c r="A111" s="98" t="s">
        <v>6672</v>
      </c>
      <c r="B111" s="108"/>
      <c r="C111" s="242" t="s">
        <v>6681</v>
      </c>
      <c r="D111" s="98" t="s">
        <v>271</v>
      </c>
      <c r="E111" s="259" t="s">
        <v>6675</v>
      </c>
      <c r="F111" s="258" t="s">
        <v>6528</v>
      </c>
      <c r="G111" s="258" t="s">
        <v>6682</v>
      </c>
      <c r="H111" s="258" t="s">
        <v>6683</v>
      </c>
      <c r="I111" s="84" t="s">
        <v>36</v>
      </c>
      <c r="J111" s="98" t="s">
        <v>1784</v>
      </c>
      <c r="K111" s="251"/>
      <c r="L111" s="251"/>
      <c r="M111" s="251"/>
      <c r="N111" s="251"/>
      <c r="O111" s="251"/>
      <c r="P111" s="251"/>
      <c r="Q111" s="251"/>
      <c r="R111" s="251"/>
      <c r="S111" s="251"/>
      <c r="T111" s="251"/>
      <c r="U111" s="251"/>
      <c r="V111" s="251"/>
      <c r="W111" s="251"/>
      <c r="X111" s="251"/>
      <c r="Y111" s="251"/>
      <c r="Z111" s="251"/>
      <c r="AA111" s="251"/>
      <c r="AB111" s="251"/>
    </row>
    <row r="112" ht="14.25" customHeight="1">
      <c r="A112" s="98" t="s">
        <v>6672</v>
      </c>
      <c r="B112" s="108"/>
      <c r="C112" s="242" t="s">
        <v>6684</v>
      </c>
      <c r="D112" s="98" t="s">
        <v>271</v>
      </c>
      <c r="E112" s="259" t="s">
        <v>6675</v>
      </c>
      <c r="F112" s="258" t="s">
        <v>6528</v>
      </c>
      <c r="G112" s="258" t="s">
        <v>6685</v>
      </c>
      <c r="H112" s="258" t="s">
        <v>6686</v>
      </c>
      <c r="I112" s="84" t="s">
        <v>36</v>
      </c>
      <c r="J112" s="98" t="s">
        <v>1784</v>
      </c>
      <c r="K112" s="251"/>
      <c r="L112" s="251"/>
      <c r="M112" s="251"/>
      <c r="N112" s="251"/>
      <c r="O112" s="251"/>
      <c r="P112" s="251"/>
      <c r="Q112" s="251"/>
      <c r="R112" s="251"/>
      <c r="S112" s="251"/>
      <c r="T112" s="251"/>
      <c r="U112" s="251"/>
      <c r="V112" s="251"/>
      <c r="W112" s="251"/>
      <c r="X112" s="251"/>
      <c r="Y112" s="251"/>
      <c r="Z112" s="251"/>
      <c r="AA112" s="251"/>
      <c r="AB112" s="251"/>
    </row>
    <row r="113" ht="14.25" customHeight="1">
      <c r="A113" s="98" t="s">
        <v>6672</v>
      </c>
      <c r="B113" s="108"/>
      <c r="C113" s="242" t="s">
        <v>6687</v>
      </c>
      <c r="D113" s="98" t="s">
        <v>271</v>
      </c>
      <c r="E113" s="259" t="s">
        <v>6675</v>
      </c>
      <c r="F113" s="258" t="s">
        <v>6528</v>
      </c>
      <c r="G113" s="258" t="s">
        <v>6688</v>
      </c>
      <c r="H113" s="258" t="s">
        <v>6689</v>
      </c>
      <c r="I113" s="84" t="s">
        <v>36</v>
      </c>
      <c r="J113" s="98" t="s">
        <v>1784</v>
      </c>
      <c r="K113" s="251"/>
      <c r="L113" s="251"/>
      <c r="M113" s="251"/>
      <c r="N113" s="251"/>
      <c r="O113" s="251"/>
      <c r="P113" s="251"/>
      <c r="Q113" s="251"/>
      <c r="R113" s="251"/>
      <c r="S113" s="251"/>
      <c r="T113" s="251"/>
      <c r="U113" s="251"/>
      <c r="V113" s="251"/>
      <c r="W113" s="251"/>
      <c r="X113" s="251"/>
      <c r="Y113" s="251"/>
      <c r="Z113" s="251"/>
      <c r="AA113" s="251"/>
      <c r="AB113" s="251"/>
    </row>
    <row r="114" ht="14.25" customHeight="1">
      <c r="A114" s="98" t="s">
        <v>6672</v>
      </c>
      <c r="B114" s="108"/>
      <c r="C114" s="242" t="s">
        <v>6690</v>
      </c>
      <c r="D114" s="98" t="s">
        <v>271</v>
      </c>
      <c r="E114" s="259" t="s">
        <v>6675</v>
      </c>
      <c r="F114" s="258" t="s">
        <v>6528</v>
      </c>
      <c r="G114" s="258" t="s">
        <v>6691</v>
      </c>
      <c r="H114" s="258" t="s">
        <v>6692</v>
      </c>
      <c r="I114" s="84" t="s">
        <v>36</v>
      </c>
      <c r="J114" s="98" t="s">
        <v>1784</v>
      </c>
      <c r="K114" s="251"/>
      <c r="L114" s="251"/>
      <c r="M114" s="251"/>
      <c r="N114" s="251"/>
      <c r="O114" s="251"/>
      <c r="P114" s="251"/>
      <c r="Q114" s="251"/>
      <c r="R114" s="251"/>
      <c r="S114" s="251"/>
      <c r="T114" s="251"/>
      <c r="U114" s="251"/>
      <c r="V114" s="251"/>
      <c r="W114" s="251"/>
      <c r="X114" s="251"/>
      <c r="Y114" s="251"/>
      <c r="Z114" s="251"/>
      <c r="AA114" s="251"/>
      <c r="AB114" s="251"/>
    </row>
    <row r="115" ht="14.25" customHeight="1">
      <c r="A115" s="98" t="s">
        <v>6672</v>
      </c>
      <c r="B115" s="108"/>
      <c r="C115" s="242" t="s">
        <v>6693</v>
      </c>
      <c r="D115" s="98" t="s">
        <v>271</v>
      </c>
      <c r="E115" s="259" t="s">
        <v>6675</v>
      </c>
      <c r="F115" s="258" t="s">
        <v>6528</v>
      </c>
      <c r="G115" s="258" t="s">
        <v>6694</v>
      </c>
      <c r="H115" s="258" t="s">
        <v>6695</v>
      </c>
      <c r="I115" s="84" t="s">
        <v>36</v>
      </c>
      <c r="J115" s="98" t="s">
        <v>1784</v>
      </c>
      <c r="K115" s="251"/>
      <c r="L115" s="251"/>
      <c r="M115" s="251"/>
      <c r="N115" s="251"/>
      <c r="O115" s="251"/>
      <c r="P115" s="251"/>
      <c r="Q115" s="251"/>
      <c r="R115" s="251"/>
      <c r="S115" s="251"/>
      <c r="T115" s="251"/>
      <c r="U115" s="251"/>
      <c r="V115" s="251"/>
      <c r="W115" s="251"/>
      <c r="X115" s="251"/>
      <c r="Y115" s="251"/>
      <c r="Z115" s="251"/>
      <c r="AA115" s="251"/>
      <c r="AB115" s="251"/>
    </row>
    <row r="116" ht="14.25" customHeight="1">
      <c r="A116" s="98" t="s">
        <v>6672</v>
      </c>
      <c r="B116" s="108"/>
      <c r="C116" s="242" t="s">
        <v>6696</v>
      </c>
      <c r="D116" s="98" t="s">
        <v>271</v>
      </c>
      <c r="E116" s="259" t="s">
        <v>6675</v>
      </c>
      <c r="F116" s="258" t="s">
        <v>6528</v>
      </c>
      <c r="G116" s="258" t="s">
        <v>6697</v>
      </c>
      <c r="H116" s="258" t="s">
        <v>6695</v>
      </c>
      <c r="I116" s="84" t="s">
        <v>36</v>
      </c>
      <c r="J116" s="98" t="s">
        <v>1784</v>
      </c>
      <c r="K116" s="251"/>
      <c r="L116" s="251"/>
      <c r="M116" s="251"/>
      <c r="N116" s="251"/>
      <c r="O116" s="251"/>
      <c r="P116" s="251"/>
      <c r="Q116" s="251"/>
      <c r="R116" s="251"/>
      <c r="S116" s="251"/>
      <c r="T116" s="251"/>
      <c r="U116" s="251"/>
      <c r="V116" s="251"/>
      <c r="W116" s="251"/>
      <c r="X116" s="251"/>
      <c r="Y116" s="251"/>
      <c r="Z116" s="251"/>
      <c r="AA116" s="251"/>
      <c r="AB116" s="251"/>
    </row>
    <row r="117" ht="14.25" customHeight="1">
      <c r="A117" s="98" t="s">
        <v>6672</v>
      </c>
      <c r="B117" s="108"/>
      <c r="C117" s="242" t="s">
        <v>6698</v>
      </c>
      <c r="D117" s="98" t="s">
        <v>271</v>
      </c>
      <c r="E117" s="259" t="s">
        <v>6675</v>
      </c>
      <c r="F117" s="258" t="s">
        <v>6528</v>
      </c>
      <c r="G117" s="258" t="s">
        <v>6699</v>
      </c>
      <c r="H117" s="258" t="s">
        <v>6695</v>
      </c>
      <c r="I117" s="84" t="s">
        <v>36</v>
      </c>
      <c r="J117" s="98" t="s">
        <v>1784</v>
      </c>
      <c r="K117" s="251"/>
      <c r="L117" s="251"/>
      <c r="M117" s="251"/>
      <c r="N117" s="251"/>
      <c r="O117" s="251"/>
      <c r="P117" s="251"/>
      <c r="Q117" s="251"/>
      <c r="R117" s="251"/>
      <c r="S117" s="251"/>
      <c r="T117" s="251"/>
      <c r="U117" s="251"/>
      <c r="V117" s="251"/>
      <c r="W117" s="251"/>
      <c r="X117" s="251"/>
      <c r="Y117" s="251"/>
      <c r="Z117" s="251"/>
      <c r="AA117" s="251"/>
      <c r="AB117" s="251"/>
    </row>
    <row r="118" ht="14.25" customHeight="1">
      <c r="A118" s="98" t="s">
        <v>6672</v>
      </c>
      <c r="B118" s="108"/>
      <c r="C118" s="242" t="s">
        <v>6700</v>
      </c>
      <c r="D118" s="98" t="s">
        <v>271</v>
      </c>
      <c r="E118" s="259" t="s">
        <v>6675</v>
      </c>
      <c r="F118" s="258" t="s">
        <v>6528</v>
      </c>
      <c r="G118" s="258" t="s">
        <v>6701</v>
      </c>
      <c r="H118" s="258" t="s">
        <v>6702</v>
      </c>
      <c r="I118" s="84" t="s">
        <v>36</v>
      </c>
      <c r="J118" s="98" t="s">
        <v>1784</v>
      </c>
      <c r="K118" s="251"/>
      <c r="L118" s="251"/>
      <c r="M118" s="251"/>
      <c r="N118" s="251"/>
      <c r="O118" s="251"/>
      <c r="P118" s="251"/>
      <c r="Q118" s="251"/>
      <c r="R118" s="251"/>
      <c r="S118" s="251"/>
      <c r="T118" s="251"/>
      <c r="U118" s="251"/>
      <c r="V118" s="251"/>
      <c r="W118" s="251"/>
      <c r="X118" s="251"/>
      <c r="Y118" s="251"/>
      <c r="Z118" s="251"/>
      <c r="AA118" s="251"/>
      <c r="AB118" s="251"/>
    </row>
    <row r="119" ht="14.25" customHeight="1">
      <c r="A119" s="98" t="s">
        <v>6672</v>
      </c>
      <c r="B119" s="108"/>
      <c r="C119" s="242" t="s">
        <v>6703</v>
      </c>
      <c r="D119" s="98" t="s">
        <v>271</v>
      </c>
      <c r="E119" s="259" t="s">
        <v>6675</v>
      </c>
      <c r="F119" s="258" t="s">
        <v>6528</v>
      </c>
      <c r="G119" s="258" t="s">
        <v>6704</v>
      </c>
      <c r="H119" s="258" t="s">
        <v>6705</v>
      </c>
      <c r="I119" s="84" t="s">
        <v>36</v>
      </c>
      <c r="J119" s="98" t="s">
        <v>1784</v>
      </c>
      <c r="K119" s="251"/>
      <c r="L119" s="251"/>
      <c r="M119" s="251"/>
      <c r="N119" s="251"/>
      <c r="O119" s="251"/>
      <c r="P119" s="251"/>
      <c r="Q119" s="251"/>
      <c r="R119" s="251"/>
      <c r="S119" s="251"/>
      <c r="T119" s="251"/>
      <c r="U119" s="251"/>
      <c r="V119" s="251"/>
      <c r="W119" s="251"/>
      <c r="X119" s="251"/>
      <c r="Y119" s="251"/>
      <c r="Z119" s="251"/>
      <c r="AA119" s="251"/>
      <c r="AB119" s="251"/>
    </row>
    <row r="120" ht="14.25" customHeight="1">
      <c r="A120" s="98" t="s">
        <v>6672</v>
      </c>
      <c r="B120" s="108"/>
      <c r="C120" s="242" t="s">
        <v>6706</v>
      </c>
      <c r="D120" s="98" t="s">
        <v>271</v>
      </c>
      <c r="E120" s="259" t="s">
        <v>6675</v>
      </c>
      <c r="F120" s="258" t="s">
        <v>6528</v>
      </c>
      <c r="G120" s="258" t="s">
        <v>6707</v>
      </c>
      <c r="H120" s="258" t="s">
        <v>6708</v>
      </c>
      <c r="I120" s="84" t="s">
        <v>36</v>
      </c>
      <c r="J120" s="98" t="s">
        <v>1784</v>
      </c>
      <c r="K120" s="251"/>
      <c r="L120" s="251"/>
      <c r="M120" s="251"/>
      <c r="N120" s="251"/>
      <c r="O120" s="251"/>
      <c r="P120" s="251"/>
      <c r="Q120" s="251"/>
      <c r="R120" s="251"/>
      <c r="S120" s="251"/>
      <c r="T120" s="251"/>
      <c r="U120" s="251"/>
      <c r="V120" s="251"/>
      <c r="W120" s="251"/>
      <c r="X120" s="251"/>
      <c r="Y120" s="251"/>
      <c r="Z120" s="251"/>
      <c r="AA120" s="251"/>
      <c r="AB120" s="251"/>
    </row>
    <row r="121" ht="14.25" customHeight="1">
      <c r="A121" s="98" t="s">
        <v>6672</v>
      </c>
      <c r="B121" s="108"/>
      <c r="C121" s="242" t="s">
        <v>6709</v>
      </c>
      <c r="D121" s="98" t="s">
        <v>271</v>
      </c>
      <c r="E121" s="259" t="s">
        <v>6675</v>
      </c>
      <c r="F121" s="258" t="s">
        <v>6528</v>
      </c>
      <c r="G121" s="258" t="s">
        <v>6710</v>
      </c>
      <c r="H121" s="258" t="s">
        <v>6708</v>
      </c>
      <c r="I121" s="84" t="s">
        <v>36</v>
      </c>
      <c r="J121" s="98" t="s">
        <v>1784</v>
      </c>
      <c r="K121" s="251"/>
      <c r="L121" s="251"/>
      <c r="M121" s="251"/>
      <c r="N121" s="251"/>
      <c r="O121" s="251"/>
      <c r="P121" s="251"/>
      <c r="Q121" s="251"/>
      <c r="R121" s="251"/>
      <c r="S121" s="251"/>
      <c r="T121" s="251"/>
      <c r="U121" s="251"/>
      <c r="V121" s="251"/>
      <c r="W121" s="251"/>
      <c r="X121" s="251"/>
      <c r="Y121" s="251"/>
      <c r="Z121" s="251"/>
      <c r="AA121" s="251"/>
      <c r="AB121" s="251"/>
    </row>
    <row r="122" ht="14.25" customHeight="1">
      <c r="A122" s="98" t="s">
        <v>6672</v>
      </c>
      <c r="B122" s="108"/>
      <c r="C122" s="242" t="s">
        <v>6711</v>
      </c>
      <c r="D122" s="98" t="s">
        <v>271</v>
      </c>
      <c r="E122" s="259" t="s">
        <v>6675</v>
      </c>
      <c r="F122" s="258" t="s">
        <v>6528</v>
      </c>
      <c r="G122" s="258" t="s">
        <v>6712</v>
      </c>
      <c r="H122" s="258" t="s">
        <v>6708</v>
      </c>
      <c r="I122" s="84" t="s">
        <v>36</v>
      </c>
      <c r="J122" s="98" t="s">
        <v>1784</v>
      </c>
      <c r="K122" s="251"/>
      <c r="L122" s="251"/>
      <c r="M122" s="251"/>
      <c r="N122" s="251"/>
      <c r="O122" s="251"/>
      <c r="P122" s="251"/>
      <c r="Q122" s="251"/>
      <c r="R122" s="251"/>
      <c r="S122" s="251"/>
      <c r="T122" s="251"/>
      <c r="U122" s="251"/>
      <c r="V122" s="251"/>
      <c r="W122" s="251"/>
      <c r="X122" s="251"/>
      <c r="Y122" s="251"/>
      <c r="Z122" s="251"/>
      <c r="AA122" s="251"/>
      <c r="AB122" s="251"/>
    </row>
    <row r="123" ht="14.25" customHeight="1">
      <c r="A123" s="98" t="s">
        <v>6672</v>
      </c>
      <c r="B123" s="108"/>
      <c r="C123" s="242" t="s">
        <v>6713</v>
      </c>
      <c r="D123" s="98" t="s">
        <v>271</v>
      </c>
      <c r="E123" s="259" t="s">
        <v>6675</v>
      </c>
      <c r="F123" s="258" t="s">
        <v>6528</v>
      </c>
      <c r="G123" s="258" t="s">
        <v>6714</v>
      </c>
      <c r="H123" s="258" t="s">
        <v>6715</v>
      </c>
      <c r="I123" s="84" t="s">
        <v>36</v>
      </c>
      <c r="J123" s="98" t="s">
        <v>1784</v>
      </c>
      <c r="K123" s="251"/>
      <c r="L123" s="251"/>
      <c r="M123" s="251"/>
      <c r="N123" s="251"/>
      <c r="O123" s="251"/>
      <c r="P123" s="251"/>
      <c r="Q123" s="251"/>
      <c r="R123" s="251"/>
      <c r="S123" s="251"/>
      <c r="T123" s="251"/>
      <c r="U123" s="251"/>
      <c r="V123" s="251"/>
      <c r="W123" s="251"/>
      <c r="X123" s="251"/>
      <c r="Y123" s="251"/>
      <c r="Z123" s="251"/>
      <c r="AA123" s="251"/>
      <c r="AB123" s="251"/>
    </row>
    <row r="124" ht="14.25" customHeight="1">
      <c r="A124" s="98" t="s">
        <v>6672</v>
      </c>
      <c r="B124" s="108"/>
      <c r="C124" s="242" t="s">
        <v>6716</v>
      </c>
      <c r="D124" s="98" t="s">
        <v>271</v>
      </c>
      <c r="E124" s="259" t="s">
        <v>6675</v>
      </c>
      <c r="F124" s="258" t="s">
        <v>6528</v>
      </c>
      <c r="G124" s="258" t="s">
        <v>6717</v>
      </c>
      <c r="H124" s="258" t="s">
        <v>6718</v>
      </c>
      <c r="I124" s="84" t="s">
        <v>36</v>
      </c>
      <c r="J124" s="98" t="s">
        <v>1784</v>
      </c>
      <c r="K124" s="251"/>
      <c r="L124" s="251"/>
      <c r="M124" s="251"/>
      <c r="N124" s="251"/>
      <c r="O124" s="251"/>
      <c r="P124" s="251"/>
      <c r="Q124" s="251"/>
      <c r="R124" s="251"/>
      <c r="S124" s="251"/>
      <c r="T124" s="251"/>
      <c r="U124" s="251"/>
      <c r="V124" s="251"/>
      <c r="W124" s="251"/>
      <c r="X124" s="251"/>
      <c r="Y124" s="251"/>
      <c r="Z124" s="251"/>
      <c r="AA124" s="251"/>
      <c r="AB124" s="251"/>
    </row>
    <row r="125" ht="14.25" customHeight="1">
      <c r="A125" s="98" t="s">
        <v>6672</v>
      </c>
      <c r="B125" s="108"/>
      <c r="C125" s="242" t="s">
        <v>6719</v>
      </c>
      <c r="D125" s="98" t="s">
        <v>271</v>
      </c>
      <c r="E125" s="259" t="s">
        <v>6675</v>
      </c>
      <c r="F125" s="258" t="s">
        <v>6528</v>
      </c>
      <c r="G125" s="258" t="s">
        <v>6720</v>
      </c>
      <c r="H125" s="258" t="s">
        <v>6721</v>
      </c>
      <c r="I125" s="84" t="s">
        <v>36</v>
      </c>
      <c r="J125" s="98" t="s">
        <v>1784</v>
      </c>
      <c r="K125" s="251"/>
      <c r="L125" s="251"/>
      <c r="M125" s="251"/>
      <c r="N125" s="251"/>
      <c r="O125" s="251"/>
      <c r="P125" s="251"/>
      <c r="Q125" s="251"/>
      <c r="R125" s="251"/>
      <c r="S125" s="251"/>
      <c r="T125" s="251"/>
      <c r="U125" s="251"/>
      <c r="V125" s="251"/>
      <c r="W125" s="251"/>
      <c r="X125" s="251"/>
      <c r="Y125" s="251"/>
      <c r="Z125" s="251"/>
      <c r="AA125" s="251"/>
      <c r="AB125" s="251"/>
    </row>
    <row r="126" ht="14.25" customHeight="1">
      <c r="A126" s="98" t="s">
        <v>6672</v>
      </c>
      <c r="B126" s="108"/>
      <c r="C126" s="242" t="s">
        <v>6722</v>
      </c>
      <c r="D126" s="98" t="s">
        <v>271</v>
      </c>
      <c r="E126" s="259" t="s">
        <v>6675</v>
      </c>
      <c r="F126" s="258" t="s">
        <v>6528</v>
      </c>
      <c r="G126" s="258" t="s">
        <v>6723</v>
      </c>
      <c r="H126" s="258" t="s">
        <v>6721</v>
      </c>
      <c r="I126" s="84" t="s">
        <v>36</v>
      </c>
      <c r="J126" s="98" t="s">
        <v>1784</v>
      </c>
      <c r="K126" s="251"/>
      <c r="L126" s="251"/>
      <c r="M126" s="251"/>
      <c r="N126" s="251"/>
      <c r="O126" s="251"/>
      <c r="P126" s="251"/>
      <c r="Q126" s="251"/>
      <c r="R126" s="251"/>
      <c r="S126" s="251"/>
      <c r="T126" s="251"/>
      <c r="U126" s="251"/>
      <c r="V126" s="251"/>
      <c r="W126" s="251"/>
      <c r="X126" s="251"/>
      <c r="Y126" s="251"/>
      <c r="Z126" s="251"/>
      <c r="AA126" s="251"/>
      <c r="AB126" s="251"/>
    </row>
    <row r="127" ht="14.25" customHeight="1">
      <c r="A127" s="98" t="s">
        <v>6672</v>
      </c>
      <c r="B127" s="108"/>
      <c r="C127" s="242" t="s">
        <v>6724</v>
      </c>
      <c r="D127" s="98" t="s">
        <v>271</v>
      </c>
      <c r="E127" s="259" t="s">
        <v>6675</v>
      </c>
      <c r="F127" s="258" t="s">
        <v>6528</v>
      </c>
      <c r="G127" s="258" t="s">
        <v>6725</v>
      </c>
      <c r="H127" s="258" t="s">
        <v>6721</v>
      </c>
      <c r="I127" s="84" t="s">
        <v>36</v>
      </c>
      <c r="J127" s="98" t="s">
        <v>1784</v>
      </c>
      <c r="K127" s="251"/>
      <c r="L127" s="251"/>
      <c r="M127" s="251"/>
      <c r="N127" s="251"/>
      <c r="O127" s="251"/>
      <c r="P127" s="251"/>
      <c r="Q127" s="251"/>
      <c r="R127" s="251"/>
      <c r="S127" s="251"/>
      <c r="T127" s="251"/>
      <c r="U127" s="251"/>
      <c r="V127" s="251"/>
      <c r="W127" s="251"/>
      <c r="X127" s="251"/>
      <c r="Y127" s="251"/>
      <c r="Z127" s="251"/>
      <c r="AA127" s="251"/>
      <c r="AB127" s="251"/>
    </row>
    <row r="128" ht="14.25" customHeight="1">
      <c r="A128" s="98" t="s">
        <v>6672</v>
      </c>
      <c r="B128" s="108"/>
      <c r="C128" s="242" t="s">
        <v>6726</v>
      </c>
      <c r="D128" s="98" t="s">
        <v>271</v>
      </c>
      <c r="E128" s="259" t="s">
        <v>6675</v>
      </c>
      <c r="F128" s="258" t="s">
        <v>6528</v>
      </c>
      <c r="G128" s="258" t="s">
        <v>6727</v>
      </c>
      <c r="H128" s="258" t="s">
        <v>6728</v>
      </c>
      <c r="I128" s="84" t="s">
        <v>36</v>
      </c>
      <c r="J128" s="98" t="s">
        <v>1784</v>
      </c>
      <c r="K128" s="251"/>
      <c r="L128" s="251"/>
      <c r="M128" s="251"/>
      <c r="N128" s="251"/>
      <c r="O128" s="251"/>
      <c r="P128" s="251"/>
      <c r="Q128" s="251"/>
      <c r="R128" s="251"/>
      <c r="S128" s="251"/>
      <c r="T128" s="251"/>
      <c r="U128" s="251"/>
      <c r="V128" s="251"/>
      <c r="W128" s="251"/>
      <c r="X128" s="251"/>
      <c r="Y128" s="251"/>
      <c r="Z128" s="251"/>
      <c r="AA128" s="251"/>
      <c r="AB128" s="251"/>
    </row>
    <row r="129" ht="14.25" customHeight="1">
      <c r="A129" s="98" t="s">
        <v>6672</v>
      </c>
      <c r="B129" s="108"/>
      <c r="C129" s="242" t="s">
        <v>6729</v>
      </c>
      <c r="D129" s="98" t="s">
        <v>271</v>
      </c>
      <c r="E129" s="259" t="s">
        <v>6675</v>
      </c>
      <c r="F129" s="258" t="s">
        <v>6528</v>
      </c>
      <c r="G129" s="258" t="s">
        <v>6730</v>
      </c>
      <c r="H129" s="258" t="s">
        <v>6731</v>
      </c>
      <c r="I129" s="84" t="s">
        <v>36</v>
      </c>
      <c r="J129" s="98" t="s">
        <v>1784</v>
      </c>
      <c r="K129" s="251"/>
      <c r="L129" s="251"/>
      <c r="M129" s="251"/>
      <c r="N129" s="251"/>
      <c r="O129" s="251"/>
      <c r="P129" s="251"/>
      <c r="Q129" s="251"/>
      <c r="R129" s="251"/>
      <c r="S129" s="251"/>
      <c r="T129" s="251"/>
      <c r="U129" s="251"/>
      <c r="V129" s="251"/>
      <c r="W129" s="251"/>
      <c r="X129" s="251"/>
      <c r="Y129" s="251"/>
      <c r="Z129" s="251"/>
      <c r="AA129" s="251"/>
      <c r="AB129" s="251"/>
    </row>
    <row r="130" ht="14.25" customHeight="1">
      <c r="A130" s="98" t="s">
        <v>6672</v>
      </c>
      <c r="B130" s="108"/>
      <c r="C130" s="242" t="s">
        <v>6732</v>
      </c>
      <c r="D130" s="98" t="s">
        <v>271</v>
      </c>
      <c r="E130" s="259" t="s">
        <v>6675</v>
      </c>
      <c r="F130" s="258" t="s">
        <v>6528</v>
      </c>
      <c r="G130" s="258" t="s">
        <v>6733</v>
      </c>
      <c r="H130" s="258" t="s">
        <v>6734</v>
      </c>
      <c r="I130" s="84" t="s">
        <v>36</v>
      </c>
      <c r="J130" s="98" t="s">
        <v>1784</v>
      </c>
      <c r="K130" s="251"/>
      <c r="L130" s="251"/>
      <c r="M130" s="251"/>
      <c r="N130" s="251"/>
      <c r="O130" s="251"/>
      <c r="P130" s="251"/>
      <c r="Q130" s="251"/>
      <c r="R130" s="251"/>
      <c r="S130" s="251"/>
      <c r="T130" s="251"/>
      <c r="U130" s="251"/>
      <c r="V130" s="251"/>
      <c r="W130" s="251"/>
      <c r="X130" s="251"/>
      <c r="Y130" s="251"/>
      <c r="Z130" s="251"/>
      <c r="AA130" s="251"/>
      <c r="AB130" s="251"/>
    </row>
    <row r="131" ht="14.25" customHeight="1">
      <c r="A131" s="98" t="s">
        <v>6672</v>
      </c>
      <c r="B131" s="108"/>
      <c r="C131" s="242" t="s">
        <v>6735</v>
      </c>
      <c r="D131" s="98" t="s">
        <v>271</v>
      </c>
      <c r="E131" s="259" t="s">
        <v>6675</v>
      </c>
      <c r="F131" s="258" t="s">
        <v>6528</v>
      </c>
      <c r="G131" s="258" t="s">
        <v>6733</v>
      </c>
      <c r="H131" s="258" t="s">
        <v>6734</v>
      </c>
      <c r="I131" s="84" t="s">
        <v>36</v>
      </c>
      <c r="J131" s="98" t="s">
        <v>1784</v>
      </c>
      <c r="K131" s="251"/>
      <c r="L131" s="251"/>
      <c r="M131" s="251"/>
      <c r="N131" s="251"/>
      <c r="O131" s="251"/>
      <c r="P131" s="251"/>
      <c r="Q131" s="251"/>
      <c r="R131" s="251"/>
      <c r="S131" s="251"/>
      <c r="T131" s="251"/>
      <c r="U131" s="251"/>
      <c r="V131" s="251"/>
      <c r="W131" s="251"/>
      <c r="X131" s="251"/>
      <c r="Y131" s="251"/>
      <c r="Z131" s="251"/>
      <c r="AA131" s="251"/>
      <c r="AB131" s="251"/>
    </row>
    <row r="132" ht="14.25" customHeight="1">
      <c r="A132" s="98" t="s">
        <v>6672</v>
      </c>
      <c r="B132" s="108"/>
      <c r="C132" s="242" t="s">
        <v>6736</v>
      </c>
      <c r="D132" s="98" t="s">
        <v>271</v>
      </c>
      <c r="E132" s="259" t="s">
        <v>6675</v>
      </c>
      <c r="F132" s="258" t="s">
        <v>6528</v>
      </c>
      <c r="G132" s="258" t="s">
        <v>6737</v>
      </c>
      <c r="H132" s="258" t="s">
        <v>6734</v>
      </c>
      <c r="I132" s="84" t="s">
        <v>36</v>
      </c>
      <c r="J132" s="98" t="s">
        <v>1784</v>
      </c>
      <c r="K132" s="251"/>
      <c r="L132" s="251"/>
      <c r="M132" s="251"/>
      <c r="N132" s="251"/>
      <c r="O132" s="251"/>
      <c r="P132" s="251"/>
      <c r="Q132" s="251"/>
      <c r="R132" s="251"/>
      <c r="S132" s="251"/>
      <c r="T132" s="251"/>
      <c r="U132" s="251"/>
      <c r="V132" s="251"/>
      <c r="W132" s="251"/>
      <c r="X132" s="251"/>
      <c r="Y132" s="251"/>
      <c r="Z132" s="251"/>
      <c r="AA132" s="251"/>
      <c r="AB132" s="251"/>
    </row>
    <row r="133" ht="14.25" customHeight="1">
      <c r="A133" s="98" t="s">
        <v>6672</v>
      </c>
      <c r="B133" s="108"/>
      <c r="C133" s="242" t="s">
        <v>6738</v>
      </c>
      <c r="D133" s="98" t="s">
        <v>271</v>
      </c>
      <c r="E133" s="259" t="s">
        <v>6675</v>
      </c>
      <c r="F133" s="258" t="s">
        <v>6528</v>
      </c>
      <c r="G133" s="258" t="s">
        <v>6739</v>
      </c>
      <c r="H133" s="258" t="s">
        <v>6740</v>
      </c>
      <c r="I133" s="84" t="s">
        <v>36</v>
      </c>
      <c r="J133" s="98" t="s">
        <v>1784</v>
      </c>
      <c r="K133" s="251"/>
      <c r="L133" s="251"/>
      <c r="M133" s="251"/>
      <c r="N133" s="251"/>
      <c r="O133" s="251"/>
      <c r="P133" s="251"/>
      <c r="Q133" s="251"/>
      <c r="R133" s="251"/>
      <c r="S133" s="251"/>
      <c r="T133" s="251"/>
      <c r="U133" s="251"/>
      <c r="V133" s="251"/>
      <c r="W133" s="251"/>
      <c r="X133" s="251"/>
      <c r="Y133" s="251"/>
      <c r="Z133" s="251"/>
      <c r="AA133" s="251"/>
      <c r="AB133" s="251"/>
    </row>
    <row r="134" ht="14.25" customHeight="1">
      <c r="A134" s="98" t="s">
        <v>6672</v>
      </c>
      <c r="B134" s="108"/>
      <c r="C134" s="242" t="s">
        <v>6741</v>
      </c>
      <c r="D134" s="98" t="s">
        <v>271</v>
      </c>
      <c r="E134" s="259" t="s">
        <v>6675</v>
      </c>
      <c r="F134" s="258" t="s">
        <v>6528</v>
      </c>
      <c r="G134" s="258" t="s">
        <v>6742</v>
      </c>
      <c r="H134" s="258" t="s">
        <v>6743</v>
      </c>
      <c r="I134" s="84" t="s">
        <v>36</v>
      </c>
      <c r="J134" s="98" t="s">
        <v>1784</v>
      </c>
      <c r="K134" s="251"/>
      <c r="L134" s="251"/>
      <c r="M134" s="251"/>
      <c r="N134" s="251"/>
      <c r="O134" s="251"/>
      <c r="P134" s="251"/>
      <c r="Q134" s="251"/>
      <c r="R134" s="251"/>
      <c r="S134" s="251"/>
      <c r="T134" s="251"/>
      <c r="U134" s="251"/>
      <c r="V134" s="251"/>
      <c r="W134" s="251"/>
      <c r="X134" s="251"/>
      <c r="Y134" s="251"/>
      <c r="Z134" s="251"/>
      <c r="AA134" s="251"/>
      <c r="AB134" s="251"/>
    </row>
    <row r="135" ht="14.25" customHeight="1">
      <c r="A135" s="98" t="s">
        <v>6672</v>
      </c>
      <c r="B135" s="108"/>
      <c r="C135" s="242" t="s">
        <v>6744</v>
      </c>
      <c r="D135" s="98" t="s">
        <v>271</v>
      </c>
      <c r="E135" s="259" t="s">
        <v>6675</v>
      </c>
      <c r="F135" s="258" t="s">
        <v>6528</v>
      </c>
      <c r="G135" s="258" t="s">
        <v>6745</v>
      </c>
      <c r="H135" s="258" t="s">
        <v>6746</v>
      </c>
      <c r="I135" s="84" t="s">
        <v>36</v>
      </c>
      <c r="J135" s="98" t="s">
        <v>1784</v>
      </c>
      <c r="K135" s="251"/>
      <c r="L135" s="251"/>
      <c r="M135" s="251"/>
      <c r="N135" s="251"/>
      <c r="O135" s="251"/>
      <c r="P135" s="251"/>
      <c r="Q135" s="251"/>
      <c r="R135" s="251"/>
      <c r="S135" s="251"/>
      <c r="T135" s="251"/>
      <c r="U135" s="251"/>
      <c r="V135" s="251"/>
      <c r="W135" s="251"/>
      <c r="X135" s="251"/>
      <c r="Y135" s="251"/>
      <c r="Z135" s="251"/>
      <c r="AA135" s="251"/>
      <c r="AB135" s="251"/>
    </row>
    <row r="136" ht="14.25" customHeight="1">
      <c r="A136" s="98" t="s">
        <v>6672</v>
      </c>
      <c r="B136" s="108"/>
      <c r="C136" s="242" t="s">
        <v>6747</v>
      </c>
      <c r="D136" s="98" t="s">
        <v>271</v>
      </c>
      <c r="E136" s="259" t="s">
        <v>6675</v>
      </c>
      <c r="F136" s="258" t="s">
        <v>6528</v>
      </c>
      <c r="G136" s="258" t="s">
        <v>6748</v>
      </c>
      <c r="H136" s="258" t="s">
        <v>6746</v>
      </c>
      <c r="I136" s="84" t="s">
        <v>36</v>
      </c>
      <c r="J136" s="98" t="s">
        <v>1784</v>
      </c>
      <c r="K136" s="251"/>
      <c r="L136" s="251"/>
      <c r="M136" s="251"/>
      <c r="N136" s="251"/>
      <c r="O136" s="251"/>
      <c r="P136" s="251"/>
      <c r="Q136" s="251"/>
      <c r="R136" s="251"/>
      <c r="S136" s="251"/>
      <c r="T136" s="251"/>
      <c r="U136" s="251"/>
      <c r="V136" s="251"/>
      <c r="W136" s="251"/>
      <c r="X136" s="251"/>
      <c r="Y136" s="251"/>
      <c r="Z136" s="251"/>
      <c r="AA136" s="251"/>
      <c r="AB136" s="251"/>
    </row>
    <row r="137" ht="14.25" customHeight="1">
      <c r="A137" s="98" t="s">
        <v>6672</v>
      </c>
      <c r="B137" s="108"/>
      <c r="C137" s="242" t="s">
        <v>6749</v>
      </c>
      <c r="D137" s="98" t="s">
        <v>271</v>
      </c>
      <c r="E137" s="259" t="s">
        <v>6675</v>
      </c>
      <c r="F137" s="258" t="s">
        <v>6528</v>
      </c>
      <c r="G137" s="258" t="s">
        <v>6750</v>
      </c>
      <c r="H137" s="258" t="s">
        <v>6746</v>
      </c>
      <c r="I137" s="84" t="s">
        <v>36</v>
      </c>
      <c r="J137" s="98" t="s">
        <v>1784</v>
      </c>
      <c r="K137" s="251"/>
      <c r="L137" s="251"/>
      <c r="M137" s="251"/>
      <c r="N137" s="251"/>
      <c r="O137" s="251"/>
      <c r="P137" s="251"/>
      <c r="Q137" s="251"/>
      <c r="R137" s="251"/>
      <c r="S137" s="251"/>
      <c r="T137" s="251"/>
      <c r="U137" s="251"/>
      <c r="V137" s="251"/>
      <c r="W137" s="251"/>
      <c r="X137" s="251"/>
      <c r="Y137" s="251"/>
      <c r="Z137" s="251"/>
      <c r="AA137" s="251"/>
      <c r="AB137" s="251"/>
    </row>
    <row r="138" ht="14.25" customHeight="1">
      <c r="A138" s="98" t="s">
        <v>6672</v>
      </c>
      <c r="B138" s="108"/>
      <c r="C138" s="242" t="s">
        <v>6751</v>
      </c>
      <c r="D138" s="98" t="s">
        <v>271</v>
      </c>
      <c r="E138" s="259" t="s">
        <v>6675</v>
      </c>
      <c r="F138" s="258" t="s">
        <v>6528</v>
      </c>
      <c r="G138" s="258" t="s">
        <v>6752</v>
      </c>
      <c r="H138" s="258" t="s">
        <v>6753</v>
      </c>
      <c r="I138" s="84" t="s">
        <v>36</v>
      </c>
      <c r="J138" s="98" t="s">
        <v>1784</v>
      </c>
      <c r="K138" s="251"/>
      <c r="L138" s="251"/>
      <c r="M138" s="251"/>
      <c r="N138" s="251"/>
      <c r="O138" s="251"/>
      <c r="P138" s="251"/>
      <c r="Q138" s="251"/>
      <c r="R138" s="251"/>
      <c r="S138" s="251"/>
      <c r="T138" s="251"/>
      <c r="U138" s="251"/>
      <c r="V138" s="251"/>
      <c r="W138" s="251"/>
      <c r="X138" s="251"/>
      <c r="Y138" s="251"/>
      <c r="Z138" s="251"/>
      <c r="AA138" s="251"/>
      <c r="AB138" s="251"/>
    </row>
    <row r="139" ht="14.25" customHeight="1">
      <c r="A139" s="98" t="s">
        <v>6672</v>
      </c>
      <c r="B139" s="108"/>
      <c r="C139" s="242" t="s">
        <v>6754</v>
      </c>
      <c r="D139" s="98" t="s">
        <v>271</v>
      </c>
      <c r="E139" s="259" t="s">
        <v>6675</v>
      </c>
      <c r="F139" s="258" t="s">
        <v>6528</v>
      </c>
      <c r="G139" s="258" t="s">
        <v>6755</v>
      </c>
      <c r="H139" s="258" t="s">
        <v>6756</v>
      </c>
      <c r="I139" s="84" t="s">
        <v>36</v>
      </c>
      <c r="J139" s="98" t="s">
        <v>1784</v>
      </c>
      <c r="K139" s="251"/>
      <c r="L139" s="251"/>
      <c r="M139" s="251"/>
      <c r="N139" s="251"/>
      <c r="O139" s="251"/>
      <c r="P139" s="251"/>
      <c r="Q139" s="251"/>
      <c r="R139" s="251"/>
      <c r="S139" s="251"/>
      <c r="T139" s="251"/>
      <c r="U139" s="251"/>
      <c r="V139" s="251"/>
      <c r="W139" s="251"/>
      <c r="X139" s="251"/>
      <c r="Y139" s="251"/>
      <c r="Z139" s="251"/>
      <c r="AA139" s="251"/>
      <c r="AB139" s="251"/>
    </row>
    <row r="140" ht="14.25" customHeight="1">
      <c r="A140" s="98" t="s">
        <v>6672</v>
      </c>
      <c r="B140" s="108"/>
      <c r="C140" s="242" t="s">
        <v>6757</v>
      </c>
      <c r="D140" s="98" t="s">
        <v>271</v>
      </c>
      <c r="E140" s="259" t="s">
        <v>6675</v>
      </c>
      <c r="F140" s="258" t="s">
        <v>6528</v>
      </c>
      <c r="G140" s="258" t="s">
        <v>6758</v>
      </c>
      <c r="H140" s="258" t="s">
        <v>6759</v>
      </c>
      <c r="I140" s="84" t="s">
        <v>36</v>
      </c>
      <c r="J140" s="98" t="s">
        <v>1784</v>
      </c>
      <c r="K140" s="251"/>
      <c r="L140" s="251"/>
      <c r="M140" s="251"/>
      <c r="N140" s="251"/>
      <c r="O140" s="251"/>
      <c r="P140" s="251"/>
      <c r="Q140" s="251"/>
      <c r="R140" s="251"/>
      <c r="S140" s="251"/>
      <c r="T140" s="251"/>
      <c r="U140" s="251"/>
      <c r="V140" s="251"/>
      <c r="W140" s="251"/>
      <c r="X140" s="251"/>
      <c r="Y140" s="251"/>
      <c r="Z140" s="251"/>
      <c r="AA140" s="251"/>
      <c r="AB140" s="251"/>
    </row>
    <row r="141" ht="14.25" customHeight="1">
      <c r="A141" s="98" t="s">
        <v>6672</v>
      </c>
      <c r="B141" s="108"/>
      <c r="C141" s="242" t="s">
        <v>6760</v>
      </c>
      <c r="D141" s="98" t="s">
        <v>271</v>
      </c>
      <c r="E141" s="259" t="s">
        <v>6675</v>
      </c>
      <c r="F141" s="258" t="s">
        <v>6528</v>
      </c>
      <c r="G141" s="258" t="s">
        <v>6761</v>
      </c>
      <c r="H141" s="258" t="s">
        <v>6759</v>
      </c>
      <c r="I141" s="84" t="s">
        <v>36</v>
      </c>
      <c r="J141" s="98" t="s">
        <v>1784</v>
      </c>
      <c r="K141" s="251"/>
      <c r="L141" s="251"/>
      <c r="M141" s="251"/>
      <c r="N141" s="251"/>
      <c r="O141" s="251"/>
      <c r="P141" s="251"/>
      <c r="Q141" s="251"/>
      <c r="R141" s="251"/>
      <c r="S141" s="251"/>
      <c r="T141" s="251"/>
      <c r="U141" s="251"/>
      <c r="V141" s="251"/>
      <c r="W141" s="251"/>
      <c r="X141" s="251"/>
      <c r="Y141" s="251"/>
      <c r="Z141" s="251"/>
      <c r="AA141" s="251"/>
      <c r="AB141" s="251"/>
    </row>
    <row r="142" ht="14.25" customHeight="1">
      <c r="A142" s="98" t="s">
        <v>6672</v>
      </c>
      <c r="B142" s="108"/>
      <c r="C142" s="242" t="s">
        <v>6762</v>
      </c>
      <c r="D142" s="98" t="s">
        <v>271</v>
      </c>
      <c r="E142" s="259" t="s">
        <v>6675</v>
      </c>
      <c r="F142" s="258" t="s">
        <v>6528</v>
      </c>
      <c r="G142" s="258" t="s">
        <v>6763</v>
      </c>
      <c r="H142" s="258" t="s">
        <v>6759</v>
      </c>
      <c r="I142" s="84" t="s">
        <v>36</v>
      </c>
      <c r="J142" s="98" t="s">
        <v>1784</v>
      </c>
      <c r="K142" s="251"/>
      <c r="L142" s="251"/>
      <c r="M142" s="251"/>
      <c r="N142" s="251"/>
      <c r="O142" s="251"/>
      <c r="P142" s="251"/>
      <c r="Q142" s="251"/>
      <c r="R142" s="251"/>
      <c r="S142" s="251"/>
      <c r="T142" s="251"/>
      <c r="U142" s="251"/>
      <c r="V142" s="251"/>
      <c r="W142" s="251"/>
      <c r="X142" s="251"/>
      <c r="Y142" s="251"/>
      <c r="Z142" s="251"/>
      <c r="AA142" s="251"/>
      <c r="AB142" s="251"/>
    </row>
    <row r="143" ht="14.25" customHeight="1">
      <c r="A143" s="98" t="s">
        <v>6672</v>
      </c>
      <c r="B143" s="108"/>
      <c r="C143" s="242" t="s">
        <v>6764</v>
      </c>
      <c r="D143" s="98" t="s">
        <v>271</v>
      </c>
      <c r="E143" s="259" t="s">
        <v>6675</v>
      </c>
      <c r="F143" s="258" t="s">
        <v>6528</v>
      </c>
      <c r="G143" s="258" t="s">
        <v>6765</v>
      </c>
      <c r="H143" s="258" t="s">
        <v>6766</v>
      </c>
      <c r="I143" s="84" t="s">
        <v>36</v>
      </c>
      <c r="J143" s="98" t="s">
        <v>1784</v>
      </c>
      <c r="K143" s="251"/>
      <c r="L143" s="251"/>
      <c r="M143" s="251"/>
      <c r="N143" s="251"/>
      <c r="O143" s="251"/>
      <c r="P143" s="251"/>
      <c r="Q143" s="251"/>
      <c r="R143" s="251"/>
      <c r="S143" s="251"/>
      <c r="T143" s="251"/>
      <c r="U143" s="251"/>
      <c r="V143" s="251"/>
      <c r="W143" s="251"/>
      <c r="X143" s="251"/>
      <c r="Y143" s="251"/>
      <c r="Z143" s="251"/>
      <c r="AA143" s="251"/>
      <c r="AB143" s="251"/>
    </row>
    <row r="144" ht="14.25" customHeight="1">
      <c r="A144" s="98" t="s">
        <v>6672</v>
      </c>
      <c r="B144" s="108"/>
      <c r="C144" s="242" t="s">
        <v>6767</v>
      </c>
      <c r="D144" s="98" t="s">
        <v>271</v>
      </c>
      <c r="E144" s="260" t="s">
        <v>6768</v>
      </c>
      <c r="F144" s="258" t="s">
        <v>6528</v>
      </c>
      <c r="G144" s="261" t="s">
        <v>6769</v>
      </c>
      <c r="H144" s="258" t="s">
        <v>6770</v>
      </c>
      <c r="I144" s="84" t="s">
        <v>36</v>
      </c>
      <c r="J144" s="98" t="s">
        <v>1784</v>
      </c>
      <c r="K144" s="251"/>
      <c r="L144" s="251"/>
      <c r="M144" s="251"/>
      <c r="N144" s="251"/>
      <c r="O144" s="251"/>
      <c r="P144" s="251"/>
      <c r="Q144" s="251"/>
      <c r="R144" s="251"/>
      <c r="S144" s="251"/>
      <c r="T144" s="251"/>
      <c r="U144" s="251"/>
      <c r="V144" s="251"/>
      <c r="W144" s="251"/>
      <c r="X144" s="251"/>
      <c r="Y144" s="251"/>
      <c r="Z144" s="251"/>
      <c r="AA144" s="251"/>
      <c r="AB144" s="251"/>
    </row>
    <row r="145" ht="14.25" customHeight="1">
      <c r="A145" s="98" t="s">
        <v>6672</v>
      </c>
      <c r="B145" s="108"/>
      <c r="C145" s="242" t="s">
        <v>6771</v>
      </c>
      <c r="D145" s="98" t="s">
        <v>271</v>
      </c>
      <c r="E145" s="109"/>
      <c r="F145" s="258" t="s">
        <v>6528</v>
      </c>
      <c r="G145" s="109"/>
      <c r="H145" s="258" t="s">
        <v>6772</v>
      </c>
      <c r="I145" s="84" t="s">
        <v>36</v>
      </c>
      <c r="J145" s="98" t="s">
        <v>1784</v>
      </c>
      <c r="K145" s="251"/>
      <c r="L145" s="251"/>
      <c r="M145" s="251"/>
      <c r="N145" s="251"/>
      <c r="O145" s="251"/>
      <c r="P145" s="251"/>
      <c r="Q145" s="251"/>
      <c r="R145" s="251"/>
      <c r="S145" s="251"/>
      <c r="T145" s="251"/>
      <c r="U145" s="251"/>
      <c r="V145" s="251"/>
      <c r="W145" s="251"/>
      <c r="X145" s="251"/>
      <c r="Y145" s="251"/>
      <c r="Z145" s="251"/>
      <c r="AA145" s="251"/>
      <c r="AB145" s="251"/>
    </row>
    <row r="146" ht="14.25" customHeight="1">
      <c r="A146" s="98" t="s">
        <v>6672</v>
      </c>
      <c r="B146" s="108"/>
      <c r="C146" s="242" t="s">
        <v>6773</v>
      </c>
      <c r="D146" s="98" t="s">
        <v>271</v>
      </c>
      <c r="E146" s="260" t="s">
        <v>6768</v>
      </c>
      <c r="F146" s="258" t="s">
        <v>6528</v>
      </c>
      <c r="G146" s="260" t="s">
        <v>6774</v>
      </c>
      <c r="H146" s="258" t="s">
        <v>6775</v>
      </c>
      <c r="I146" s="84" t="s">
        <v>36</v>
      </c>
      <c r="J146" s="98" t="s">
        <v>1784</v>
      </c>
      <c r="K146" s="251"/>
      <c r="L146" s="251"/>
      <c r="M146" s="251"/>
      <c r="N146" s="251"/>
      <c r="O146" s="251"/>
      <c r="P146" s="251"/>
      <c r="Q146" s="251"/>
      <c r="R146" s="251"/>
      <c r="S146" s="251"/>
      <c r="T146" s="251"/>
      <c r="U146" s="251"/>
      <c r="V146" s="251"/>
      <c r="W146" s="251"/>
      <c r="X146" s="251"/>
      <c r="Y146" s="251"/>
      <c r="Z146" s="251"/>
      <c r="AA146" s="251"/>
      <c r="AB146" s="251"/>
    </row>
    <row r="147" ht="14.25" customHeight="1">
      <c r="A147" s="98" t="s">
        <v>6672</v>
      </c>
      <c r="B147" s="108"/>
      <c r="C147" s="242" t="s">
        <v>6776</v>
      </c>
      <c r="D147" s="98" t="s">
        <v>271</v>
      </c>
      <c r="E147" s="109"/>
      <c r="F147" s="258" t="s">
        <v>6528</v>
      </c>
      <c r="G147" s="109"/>
      <c r="H147" s="258" t="s">
        <v>6777</v>
      </c>
      <c r="I147" s="84" t="s">
        <v>36</v>
      </c>
      <c r="J147" s="98" t="s">
        <v>1784</v>
      </c>
      <c r="K147" s="251"/>
      <c r="L147" s="251"/>
      <c r="M147" s="251"/>
      <c r="N147" s="251"/>
      <c r="O147" s="251"/>
      <c r="P147" s="251"/>
      <c r="Q147" s="251"/>
      <c r="R147" s="251"/>
      <c r="S147" s="251"/>
      <c r="T147" s="251"/>
      <c r="U147" s="251"/>
      <c r="V147" s="251"/>
      <c r="W147" s="251"/>
      <c r="X147" s="251"/>
      <c r="Y147" s="251"/>
      <c r="Z147" s="251"/>
      <c r="AA147" s="251"/>
      <c r="AB147" s="251"/>
    </row>
    <row r="148" ht="14.25" customHeight="1">
      <c r="A148" s="98" t="s">
        <v>6672</v>
      </c>
      <c r="B148" s="108"/>
      <c r="C148" s="242" t="s">
        <v>6778</v>
      </c>
      <c r="D148" s="98" t="s">
        <v>271</v>
      </c>
      <c r="E148" s="260" t="s">
        <v>6768</v>
      </c>
      <c r="F148" s="258" t="s">
        <v>6528</v>
      </c>
      <c r="G148" s="260" t="s">
        <v>6779</v>
      </c>
      <c r="H148" s="258" t="s">
        <v>6780</v>
      </c>
      <c r="I148" s="84" t="s">
        <v>36</v>
      </c>
      <c r="J148" s="98" t="s">
        <v>1784</v>
      </c>
      <c r="K148" s="251"/>
      <c r="L148" s="251"/>
      <c r="M148" s="251"/>
      <c r="N148" s="251"/>
      <c r="O148" s="251"/>
      <c r="P148" s="251"/>
      <c r="Q148" s="251"/>
      <c r="R148" s="251"/>
      <c r="S148" s="251"/>
      <c r="T148" s="251"/>
      <c r="U148" s="251"/>
      <c r="V148" s="251"/>
      <c r="W148" s="251"/>
      <c r="X148" s="251"/>
      <c r="Y148" s="251"/>
      <c r="Z148" s="251"/>
      <c r="AA148" s="251"/>
      <c r="AB148" s="251"/>
    </row>
    <row r="149" ht="14.25" customHeight="1">
      <c r="A149" s="98" t="s">
        <v>6672</v>
      </c>
      <c r="B149" s="108"/>
      <c r="C149" s="242" t="s">
        <v>6781</v>
      </c>
      <c r="D149" s="98" t="s">
        <v>271</v>
      </c>
      <c r="E149" s="109"/>
      <c r="F149" s="258" t="s">
        <v>6528</v>
      </c>
      <c r="G149" s="109"/>
      <c r="H149" s="258" t="s">
        <v>6782</v>
      </c>
      <c r="I149" s="84" t="s">
        <v>36</v>
      </c>
      <c r="J149" s="98" t="s">
        <v>1784</v>
      </c>
      <c r="K149" s="251"/>
      <c r="L149" s="251"/>
      <c r="M149" s="251"/>
      <c r="N149" s="251"/>
      <c r="O149" s="251"/>
      <c r="P149" s="251"/>
      <c r="Q149" s="251"/>
      <c r="R149" s="251"/>
      <c r="S149" s="251"/>
      <c r="T149" s="251"/>
      <c r="U149" s="251"/>
      <c r="V149" s="251"/>
      <c r="W149" s="251"/>
      <c r="X149" s="251"/>
      <c r="Y149" s="251"/>
      <c r="Z149" s="251"/>
      <c r="AA149" s="251"/>
      <c r="AB149" s="251"/>
    </row>
    <row r="150" ht="14.25" customHeight="1">
      <c r="A150" s="98" t="s">
        <v>6672</v>
      </c>
      <c r="B150" s="108"/>
      <c r="C150" s="242" t="s">
        <v>6783</v>
      </c>
      <c r="D150" s="98" t="s">
        <v>271</v>
      </c>
      <c r="E150" s="260" t="s">
        <v>6768</v>
      </c>
      <c r="F150" s="258" t="s">
        <v>6528</v>
      </c>
      <c r="G150" s="260" t="s">
        <v>6784</v>
      </c>
      <c r="H150" s="258" t="s">
        <v>6785</v>
      </c>
      <c r="I150" s="84" t="s">
        <v>36</v>
      </c>
      <c r="J150" s="98" t="s">
        <v>1784</v>
      </c>
      <c r="K150" s="251"/>
      <c r="L150" s="251"/>
      <c r="M150" s="251"/>
      <c r="N150" s="251"/>
      <c r="O150" s="251"/>
      <c r="P150" s="251"/>
      <c r="Q150" s="251"/>
      <c r="R150" s="251"/>
      <c r="S150" s="251"/>
      <c r="T150" s="251"/>
      <c r="U150" s="251"/>
      <c r="V150" s="251"/>
      <c r="W150" s="251"/>
      <c r="X150" s="251"/>
      <c r="Y150" s="251"/>
      <c r="Z150" s="251"/>
      <c r="AA150" s="251"/>
      <c r="AB150" s="251"/>
    </row>
    <row r="151" ht="14.25" customHeight="1">
      <c r="A151" s="98" t="s">
        <v>6672</v>
      </c>
      <c r="B151" s="108"/>
      <c r="C151" s="242" t="s">
        <v>6786</v>
      </c>
      <c r="D151" s="98" t="s">
        <v>271</v>
      </c>
      <c r="E151" s="109"/>
      <c r="F151" s="258" t="s">
        <v>6528</v>
      </c>
      <c r="G151" s="109"/>
      <c r="H151" s="258" t="s">
        <v>6787</v>
      </c>
      <c r="I151" s="84" t="s">
        <v>36</v>
      </c>
      <c r="J151" s="98" t="s">
        <v>1784</v>
      </c>
      <c r="K151" s="251"/>
      <c r="L151" s="251"/>
      <c r="M151" s="251"/>
      <c r="N151" s="251"/>
      <c r="O151" s="251"/>
      <c r="P151" s="251"/>
      <c r="Q151" s="251"/>
      <c r="R151" s="251"/>
      <c r="S151" s="251"/>
      <c r="T151" s="251"/>
      <c r="U151" s="251"/>
      <c r="V151" s="251"/>
      <c r="W151" s="251"/>
      <c r="X151" s="251"/>
      <c r="Y151" s="251"/>
      <c r="Z151" s="251"/>
      <c r="AA151" s="251"/>
      <c r="AB151" s="251"/>
    </row>
    <row r="152" ht="14.25" customHeight="1">
      <c r="A152" s="98" t="s">
        <v>6672</v>
      </c>
      <c r="B152" s="108"/>
      <c r="C152" s="242" t="s">
        <v>6788</v>
      </c>
      <c r="D152" s="98" t="s">
        <v>271</v>
      </c>
      <c r="E152" s="260" t="s">
        <v>6768</v>
      </c>
      <c r="F152" s="258" t="s">
        <v>6528</v>
      </c>
      <c r="G152" s="260" t="s">
        <v>6789</v>
      </c>
      <c r="H152" s="258" t="s">
        <v>6790</v>
      </c>
      <c r="I152" s="84" t="s">
        <v>36</v>
      </c>
      <c r="J152" s="98" t="s">
        <v>1784</v>
      </c>
      <c r="K152" s="251"/>
      <c r="L152" s="251"/>
      <c r="M152" s="251"/>
      <c r="N152" s="251"/>
      <c r="O152" s="251"/>
      <c r="P152" s="251"/>
      <c r="Q152" s="251"/>
      <c r="R152" s="251"/>
      <c r="S152" s="251"/>
      <c r="T152" s="251"/>
      <c r="U152" s="251"/>
      <c r="V152" s="251"/>
      <c r="W152" s="251"/>
      <c r="X152" s="251"/>
      <c r="Y152" s="251"/>
      <c r="Z152" s="251"/>
      <c r="AA152" s="251"/>
      <c r="AB152" s="251"/>
    </row>
    <row r="153" ht="14.25" customHeight="1">
      <c r="A153" s="98" t="s">
        <v>6672</v>
      </c>
      <c r="B153" s="108"/>
      <c r="C153" s="242" t="s">
        <v>6791</v>
      </c>
      <c r="D153" s="98" t="s">
        <v>271</v>
      </c>
      <c r="E153" s="109"/>
      <c r="F153" s="258" t="s">
        <v>6528</v>
      </c>
      <c r="G153" s="109"/>
      <c r="H153" s="258" t="s">
        <v>6792</v>
      </c>
      <c r="I153" s="84" t="s">
        <v>36</v>
      </c>
      <c r="J153" s="98" t="s">
        <v>1784</v>
      </c>
      <c r="K153" s="251"/>
      <c r="L153" s="251"/>
      <c r="M153" s="251"/>
      <c r="N153" s="251"/>
      <c r="O153" s="251"/>
      <c r="P153" s="251"/>
      <c r="Q153" s="251"/>
      <c r="R153" s="251"/>
      <c r="S153" s="251"/>
      <c r="T153" s="251"/>
      <c r="U153" s="251"/>
      <c r="V153" s="251"/>
      <c r="W153" s="251"/>
      <c r="X153" s="251"/>
      <c r="Y153" s="251"/>
      <c r="Z153" s="251"/>
      <c r="AA153" s="251"/>
      <c r="AB153" s="251"/>
    </row>
    <row r="154" ht="14.25" customHeight="1">
      <c r="A154" s="98" t="s">
        <v>6672</v>
      </c>
      <c r="B154" s="108"/>
      <c r="C154" s="242" t="s">
        <v>6793</v>
      </c>
      <c r="D154" s="98" t="s">
        <v>271</v>
      </c>
      <c r="E154" s="260" t="s">
        <v>6768</v>
      </c>
      <c r="F154" s="258" t="s">
        <v>6528</v>
      </c>
      <c r="G154" s="260" t="s">
        <v>6794</v>
      </c>
      <c r="H154" s="258" t="s">
        <v>6795</v>
      </c>
      <c r="I154" s="84" t="s">
        <v>36</v>
      </c>
      <c r="J154" s="98" t="s">
        <v>1784</v>
      </c>
      <c r="K154" s="251"/>
      <c r="L154" s="251"/>
      <c r="M154" s="251"/>
      <c r="N154" s="251"/>
      <c r="O154" s="251"/>
      <c r="P154" s="251"/>
      <c r="Q154" s="251"/>
      <c r="R154" s="251"/>
      <c r="S154" s="251"/>
      <c r="T154" s="251"/>
      <c r="U154" s="251"/>
      <c r="V154" s="251"/>
      <c r="W154" s="251"/>
      <c r="X154" s="251"/>
      <c r="Y154" s="251"/>
      <c r="Z154" s="251"/>
      <c r="AA154" s="251"/>
      <c r="AB154" s="251"/>
    </row>
    <row r="155" ht="14.25" customHeight="1">
      <c r="A155" s="98" t="s">
        <v>6672</v>
      </c>
      <c r="B155" s="108"/>
      <c r="C155" s="242" t="s">
        <v>6796</v>
      </c>
      <c r="D155" s="98" t="s">
        <v>271</v>
      </c>
      <c r="E155" s="109"/>
      <c r="F155" s="258" t="s">
        <v>6528</v>
      </c>
      <c r="G155" s="109"/>
      <c r="H155" s="258" t="s">
        <v>6797</v>
      </c>
      <c r="I155" s="84" t="s">
        <v>36</v>
      </c>
      <c r="J155" s="98" t="s">
        <v>1784</v>
      </c>
      <c r="K155" s="251"/>
      <c r="L155" s="251"/>
      <c r="M155" s="251"/>
      <c r="N155" s="251"/>
      <c r="O155" s="251"/>
      <c r="P155" s="251"/>
      <c r="Q155" s="251"/>
      <c r="R155" s="251"/>
      <c r="S155" s="251"/>
      <c r="T155" s="251"/>
      <c r="U155" s="251"/>
      <c r="V155" s="251"/>
      <c r="W155" s="251"/>
      <c r="X155" s="251"/>
      <c r="Y155" s="251"/>
      <c r="Z155" s="251"/>
      <c r="AA155" s="251"/>
      <c r="AB155" s="251"/>
    </row>
    <row r="156" ht="14.25" customHeight="1">
      <c r="A156" s="98" t="s">
        <v>6672</v>
      </c>
      <c r="B156" s="108"/>
      <c r="C156" s="242" t="s">
        <v>6798</v>
      </c>
      <c r="D156" s="98" t="s">
        <v>271</v>
      </c>
      <c r="E156" s="260" t="s">
        <v>6768</v>
      </c>
      <c r="F156" s="258" t="s">
        <v>6528</v>
      </c>
      <c r="G156" s="261" t="s">
        <v>6799</v>
      </c>
      <c r="H156" s="258" t="s">
        <v>6800</v>
      </c>
      <c r="I156" s="84" t="s">
        <v>36</v>
      </c>
      <c r="J156" s="98" t="s">
        <v>1784</v>
      </c>
      <c r="K156" s="251"/>
      <c r="L156" s="251"/>
      <c r="M156" s="251"/>
      <c r="N156" s="251"/>
      <c r="O156" s="251"/>
      <c r="P156" s="251"/>
      <c r="Q156" s="251"/>
      <c r="R156" s="251"/>
      <c r="S156" s="251"/>
      <c r="T156" s="251"/>
      <c r="U156" s="251"/>
      <c r="V156" s="251"/>
      <c r="W156" s="251"/>
      <c r="X156" s="251"/>
      <c r="Y156" s="251"/>
      <c r="Z156" s="251"/>
      <c r="AA156" s="251"/>
      <c r="AB156" s="251"/>
    </row>
    <row r="157" ht="14.25" customHeight="1">
      <c r="A157" s="98" t="s">
        <v>6672</v>
      </c>
      <c r="B157" s="109"/>
      <c r="C157" s="242" t="s">
        <v>6801</v>
      </c>
      <c r="D157" s="98" t="s">
        <v>271</v>
      </c>
      <c r="E157" s="109"/>
      <c r="F157" s="258" t="s">
        <v>6528</v>
      </c>
      <c r="G157" s="109"/>
      <c r="H157" s="258" t="s">
        <v>6802</v>
      </c>
      <c r="I157" s="84" t="s">
        <v>36</v>
      </c>
      <c r="J157" s="98" t="s">
        <v>1784</v>
      </c>
      <c r="K157" s="251"/>
      <c r="L157" s="251"/>
      <c r="M157" s="251"/>
      <c r="N157" s="251"/>
      <c r="O157" s="251"/>
      <c r="P157" s="251"/>
      <c r="Q157" s="251"/>
      <c r="R157" s="251"/>
      <c r="S157" s="251"/>
      <c r="T157" s="251"/>
      <c r="U157" s="251"/>
      <c r="V157" s="251"/>
      <c r="W157" s="251"/>
      <c r="X157" s="251"/>
      <c r="Y157" s="251"/>
      <c r="Z157" s="251"/>
      <c r="AA157" s="251"/>
      <c r="AB157" s="251"/>
    </row>
    <row r="158" ht="14.25" customHeight="1">
      <c r="A158" s="253" t="s">
        <v>6803</v>
      </c>
      <c r="B158" s="257" t="s">
        <v>6804</v>
      </c>
      <c r="C158" s="242" t="s">
        <v>6805</v>
      </c>
      <c r="D158" s="98" t="s">
        <v>271</v>
      </c>
      <c r="E158" s="255" t="s">
        <v>6806</v>
      </c>
      <c r="F158" s="256" t="s">
        <v>6807</v>
      </c>
      <c r="G158" s="240" t="s">
        <v>6808</v>
      </c>
      <c r="H158" s="240" t="s">
        <v>6809</v>
      </c>
      <c r="I158" s="84" t="s">
        <v>36</v>
      </c>
      <c r="J158" s="247" t="s">
        <v>1784</v>
      </c>
      <c r="K158" s="251"/>
      <c r="L158" s="251"/>
      <c r="M158" s="251"/>
      <c r="N158" s="251"/>
      <c r="O158" s="251"/>
      <c r="P158" s="251"/>
      <c r="Q158" s="251"/>
      <c r="R158" s="251"/>
      <c r="S158" s="251"/>
      <c r="T158" s="251"/>
      <c r="U158" s="251"/>
      <c r="V158" s="251"/>
      <c r="W158" s="251"/>
      <c r="X158" s="251"/>
      <c r="Y158" s="251"/>
      <c r="Z158" s="251"/>
      <c r="AA158" s="251"/>
      <c r="AB158" s="251"/>
    </row>
    <row r="159" ht="14.25" customHeight="1">
      <c r="A159" s="253" t="s">
        <v>6803</v>
      </c>
      <c r="B159" s="108"/>
      <c r="C159" s="242" t="s">
        <v>6810</v>
      </c>
      <c r="D159" s="98" t="s">
        <v>271</v>
      </c>
      <c r="E159" s="255" t="s">
        <v>6806</v>
      </c>
      <c r="F159" s="256" t="s">
        <v>6811</v>
      </c>
      <c r="G159" s="240" t="s">
        <v>6812</v>
      </c>
      <c r="H159" s="240" t="s">
        <v>6813</v>
      </c>
      <c r="I159" s="84" t="s">
        <v>36</v>
      </c>
      <c r="J159" s="247" t="s">
        <v>1784</v>
      </c>
      <c r="K159" s="251"/>
      <c r="L159" s="251"/>
      <c r="M159" s="251"/>
      <c r="N159" s="251"/>
      <c r="O159" s="251"/>
      <c r="P159" s="251"/>
      <c r="Q159" s="251"/>
      <c r="R159" s="251"/>
      <c r="S159" s="251"/>
      <c r="T159" s="251"/>
      <c r="U159" s="251"/>
      <c r="V159" s="251"/>
      <c r="W159" s="251"/>
      <c r="X159" s="251"/>
      <c r="Y159" s="251"/>
      <c r="Z159" s="251"/>
      <c r="AA159" s="251"/>
      <c r="AB159" s="251"/>
    </row>
    <row r="160" ht="14.25" customHeight="1">
      <c r="A160" s="253" t="s">
        <v>6803</v>
      </c>
      <c r="B160" s="108"/>
      <c r="C160" s="242" t="s">
        <v>6814</v>
      </c>
      <c r="D160" s="98" t="s">
        <v>271</v>
      </c>
      <c r="E160" s="255" t="s">
        <v>6806</v>
      </c>
      <c r="F160" s="256" t="s">
        <v>6815</v>
      </c>
      <c r="G160" s="240" t="s">
        <v>6816</v>
      </c>
      <c r="H160" s="240" t="s">
        <v>6817</v>
      </c>
      <c r="I160" s="84" t="s">
        <v>36</v>
      </c>
      <c r="J160" s="247" t="s">
        <v>1784</v>
      </c>
      <c r="K160" s="251"/>
      <c r="L160" s="251"/>
      <c r="M160" s="251"/>
      <c r="N160" s="251"/>
      <c r="O160" s="251"/>
      <c r="P160" s="251"/>
      <c r="Q160" s="251"/>
      <c r="R160" s="251"/>
      <c r="S160" s="251"/>
      <c r="T160" s="251"/>
      <c r="U160" s="251"/>
      <c r="V160" s="251"/>
      <c r="W160" s="251"/>
      <c r="X160" s="251"/>
      <c r="Y160" s="251"/>
      <c r="Z160" s="251"/>
      <c r="AA160" s="251"/>
      <c r="AB160" s="251"/>
    </row>
    <row r="161" ht="14.25" customHeight="1">
      <c r="A161" s="253" t="s">
        <v>6803</v>
      </c>
      <c r="B161" s="108"/>
      <c r="C161" s="242" t="s">
        <v>6818</v>
      </c>
      <c r="D161" s="98" t="s">
        <v>271</v>
      </c>
      <c r="E161" s="255" t="s">
        <v>6806</v>
      </c>
      <c r="F161" s="256" t="s">
        <v>6819</v>
      </c>
      <c r="G161" s="240" t="s">
        <v>6820</v>
      </c>
      <c r="H161" s="240" t="s">
        <v>6821</v>
      </c>
      <c r="I161" s="84" t="s">
        <v>317</v>
      </c>
      <c r="J161" s="247" t="s">
        <v>1784</v>
      </c>
      <c r="K161" s="251"/>
      <c r="L161" s="251"/>
      <c r="M161" s="251"/>
      <c r="N161" s="251"/>
      <c r="O161" s="251"/>
      <c r="P161" s="251"/>
      <c r="Q161" s="251"/>
      <c r="R161" s="251"/>
      <c r="S161" s="251"/>
      <c r="T161" s="251"/>
      <c r="U161" s="251"/>
      <c r="V161" s="251"/>
      <c r="W161" s="251"/>
      <c r="X161" s="251"/>
      <c r="Y161" s="251"/>
      <c r="Z161" s="251"/>
      <c r="AA161" s="251"/>
      <c r="AB161" s="251"/>
    </row>
    <row r="162" ht="14.25" customHeight="1">
      <c r="A162" s="253" t="s">
        <v>6803</v>
      </c>
      <c r="B162" s="108"/>
      <c r="C162" s="242" t="s">
        <v>6822</v>
      </c>
      <c r="D162" s="98" t="s">
        <v>271</v>
      </c>
      <c r="E162" s="255" t="s">
        <v>6806</v>
      </c>
      <c r="F162" s="256" t="s">
        <v>6819</v>
      </c>
      <c r="G162" s="240" t="s">
        <v>6823</v>
      </c>
      <c r="H162" s="240" t="s">
        <v>6824</v>
      </c>
      <c r="I162" s="84" t="s">
        <v>36</v>
      </c>
      <c r="J162" s="247" t="s">
        <v>1784</v>
      </c>
      <c r="K162" s="251"/>
      <c r="L162" s="251"/>
      <c r="M162" s="251"/>
      <c r="N162" s="251"/>
      <c r="O162" s="251"/>
      <c r="P162" s="251"/>
      <c r="Q162" s="251"/>
      <c r="R162" s="251"/>
      <c r="S162" s="251"/>
      <c r="T162" s="251"/>
      <c r="U162" s="251"/>
      <c r="V162" s="251"/>
      <c r="W162" s="251"/>
      <c r="X162" s="251"/>
      <c r="Y162" s="251"/>
      <c r="Z162" s="251"/>
      <c r="AA162" s="251"/>
      <c r="AB162" s="251"/>
    </row>
    <row r="163" ht="14.25" customHeight="1">
      <c r="A163" s="253" t="s">
        <v>6803</v>
      </c>
      <c r="B163" s="108"/>
      <c r="C163" s="242" t="s">
        <v>6825</v>
      </c>
      <c r="D163" s="98" t="s">
        <v>271</v>
      </c>
      <c r="E163" s="255" t="s">
        <v>6806</v>
      </c>
      <c r="F163" s="256" t="s">
        <v>6819</v>
      </c>
      <c r="G163" s="240" t="s">
        <v>6826</v>
      </c>
      <c r="H163" s="240" t="s">
        <v>6827</v>
      </c>
      <c r="I163" s="84" t="s">
        <v>317</v>
      </c>
      <c r="J163" s="247" t="s">
        <v>1784</v>
      </c>
      <c r="K163" s="251"/>
      <c r="L163" s="251"/>
      <c r="M163" s="251"/>
      <c r="N163" s="251"/>
      <c r="O163" s="251"/>
      <c r="P163" s="251"/>
      <c r="Q163" s="251"/>
      <c r="R163" s="251"/>
      <c r="S163" s="251"/>
      <c r="T163" s="251"/>
      <c r="U163" s="251"/>
      <c r="V163" s="251"/>
      <c r="W163" s="251"/>
      <c r="X163" s="251"/>
      <c r="Y163" s="251"/>
      <c r="Z163" s="251"/>
      <c r="AA163" s="251"/>
      <c r="AB163" s="251"/>
    </row>
    <row r="164" ht="14.25" customHeight="1">
      <c r="A164" s="253" t="s">
        <v>6803</v>
      </c>
      <c r="B164" s="108"/>
      <c r="C164" s="242" t="s">
        <v>6828</v>
      </c>
      <c r="D164" s="98" t="s">
        <v>271</v>
      </c>
      <c r="E164" s="255" t="s">
        <v>6806</v>
      </c>
      <c r="F164" s="256" t="s">
        <v>6819</v>
      </c>
      <c r="G164" s="240" t="s">
        <v>6829</v>
      </c>
      <c r="H164" s="240" t="s">
        <v>6830</v>
      </c>
      <c r="I164" s="84" t="s">
        <v>36</v>
      </c>
      <c r="J164" s="247" t="s">
        <v>1784</v>
      </c>
      <c r="K164" s="251"/>
      <c r="L164" s="251"/>
      <c r="M164" s="251"/>
      <c r="N164" s="251"/>
      <c r="O164" s="251"/>
      <c r="P164" s="251"/>
      <c r="Q164" s="251"/>
      <c r="R164" s="251"/>
      <c r="S164" s="251"/>
      <c r="T164" s="251"/>
      <c r="U164" s="251"/>
      <c r="V164" s="251"/>
      <c r="W164" s="251"/>
      <c r="X164" s="251"/>
      <c r="Y164" s="251"/>
      <c r="Z164" s="251"/>
      <c r="AA164" s="251"/>
      <c r="AB164" s="251"/>
    </row>
    <row r="165" ht="14.25" customHeight="1">
      <c r="A165" s="253" t="s">
        <v>6803</v>
      </c>
      <c r="B165" s="108"/>
      <c r="C165" s="242" t="s">
        <v>6831</v>
      </c>
      <c r="D165" s="98" t="s">
        <v>271</v>
      </c>
      <c r="E165" s="255" t="s">
        <v>6806</v>
      </c>
      <c r="F165" s="256" t="s">
        <v>6832</v>
      </c>
      <c r="G165" s="240" t="s">
        <v>6833</v>
      </c>
      <c r="H165" s="240" t="s">
        <v>6834</v>
      </c>
      <c r="I165" s="84" t="s">
        <v>36</v>
      </c>
      <c r="J165" s="247" t="s">
        <v>1784</v>
      </c>
      <c r="K165" s="251"/>
      <c r="L165" s="251"/>
      <c r="M165" s="251"/>
      <c r="N165" s="251"/>
      <c r="O165" s="251"/>
      <c r="P165" s="251"/>
      <c r="Q165" s="251"/>
      <c r="R165" s="251"/>
      <c r="S165" s="251"/>
      <c r="T165" s="251"/>
      <c r="U165" s="251"/>
      <c r="V165" s="251"/>
      <c r="W165" s="251"/>
      <c r="X165" s="251"/>
      <c r="Y165" s="251"/>
      <c r="Z165" s="251"/>
      <c r="AA165" s="251"/>
      <c r="AB165" s="251"/>
    </row>
    <row r="166" ht="14.25" customHeight="1">
      <c r="A166" s="253" t="s">
        <v>6803</v>
      </c>
      <c r="B166" s="108"/>
      <c r="C166" s="242" t="s">
        <v>6835</v>
      </c>
      <c r="D166" s="98" t="s">
        <v>271</v>
      </c>
      <c r="E166" s="255" t="s">
        <v>6806</v>
      </c>
      <c r="F166" s="256" t="s">
        <v>6832</v>
      </c>
      <c r="G166" s="240" t="s">
        <v>6836</v>
      </c>
      <c r="H166" s="240" t="s">
        <v>6837</v>
      </c>
      <c r="I166" s="84" t="s">
        <v>36</v>
      </c>
      <c r="J166" s="247" t="s">
        <v>1784</v>
      </c>
      <c r="K166" s="251"/>
      <c r="L166" s="251"/>
      <c r="M166" s="251"/>
      <c r="N166" s="251"/>
      <c r="O166" s="251"/>
      <c r="P166" s="251"/>
      <c r="Q166" s="251"/>
      <c r="R166" s="251"/>
      <c r="S166" s="251"/>
      <c r="T166" s="251"/>
      <c r="U166" s="251"/>
      <c r="V166" s="251"/>
      <c r="W166" s="251"/>
      <c r="X166" s="251"/>
      <c r="Y166" s="251"/>
      <c r="Z166" s="251"/>
      <c r="AA166" s="251"/>
      <c r="AB166" s="251"/>
    </row>
    <row r="167" ht="14.25" customHeight="1">
      <c r="A167" s="253" t="s">
        <v>6803</v>
      </c>
      <c r="B167" s="108"/>
      <c r="C167" s="242" t="s">
        <v>6838</v>
      </c>
      <c r="D167" s="98" t="s">
        <v>271</v>
      </c>
      <c r="E167" s="255" t="s">
        <v>6806</v>
      </c>
      <c r="F167" s="256" t="s">
        <v>6832</v>
      </c>
      <c r="G167" s="240" t="s">
        <v>6839</v>
      </c>
      <c r="H167" s="240" t="s">
        <v>6840</v>
      </c>
      <c r="I167" s="84" t="s">
        <v>36</v>
      </c>
      <c r="J167" s="247" t="s">
        <v>1784</v>
      </c>
      <c r="K167" s="251"/>
      <c r="L167" s="251"/>
      <c r="M167" s="251"/>
      <c r="N167" s="251"/>
      <c r="O167" s="251"/>
      <c r="P167" s="251"/>
      <c r="Q167" s="251"/>
      <c r="R167" s="251"/>
      <c r="S167" s="251"/>
      <c r="T167" s="251"/>
      <c r="U167" s="251"/>
      <c r="V167" s="251"/>
      <c r="W167" s="251"/>
      <c r="X167" s="251"/>
      <c r="Y167" s="251"/>
      <c r="Z167" s="251"/>
      <c r="AA167" s="251"/>
      <c r="AB167" s="251"/>
    </row>
    <row r="168" ht="14.25" customHeight="1">
      <c r="A168" s="253" t="s">
        <v>6803</v>
      </c>
      <c r="B168" s="108"/>
      <c r="C168" s="242" t="s">
        <v>6841</v>
      </c>
      <c r="D168" s="98" t="s">
        <v>271</v>
      </c>
      <c r="E168" s="255" t="s">
        <v>6806</v>
      </c>
      <c r="F168" s="256" t="s">
        <v>6842</v>
      </c>
      <c r="G168" s="240" t="s">
        <v>6843</v>
      </c>
      <c r="H168" s="240" t="s">
        <v>6844</v>
      </c>
      <c r="I168" s="84" t="s">
        <v>36</v>
      </c>
      <c r="J168" s="247" t="s">
        <v>1784</v>
      </c>
      <c r="K168" s="251"/>
      <c r="L168" s="251"/>
      <c r="M168" s="251"/>
      <c r="N168" s="251"/>
      <c r="O168" s="251"/>
      <c r="P168" s="251"/>
      <c r="Q168" s="251"/>
      <c r="R168" s="251"/>
      <c r="S168" s="251"/>
      <c r="T168" s="251"/>
      <c r="U168" s="251"/>
      <c r="V168" s="251"/>
      <c r="W168" s="251"/>
      <c r="X168" s="251"/>
      <c r="Y168" s="251"/>
      <c r="Z168" s="251"/>
      <c r="AA168" s="251"/>
      <c r="AB168" s="251"/>
    </row>
    <row r="169" ht="14.25" customHeight="1">
      <c r="A169" s="253" t="s">
        <v>6803</v>
      </c>
      <c r="B169" s="108"/>
      <c r="C169" s="242" t="s">
        <v>6845</v>
      </c>
      <c r="D169" s="98" t="s">
        <v>271</v>
      </c>
      <c r="E169" s="262"/>
      <c r="F169" s="256" t="s">
        <v>6842</v>
      </c>
      <c r="G169" s="240" t="s">
        <v>6846</v>
      </c>
      <c r="H169" s="240" t="s">
        <v>6847</v>
      </c>
      <c r="I169" s="84" t="s">
        <v>36</v>
      </c>
      <c r="J169" s="247" t="s">
        <v>1784</v>
      </c>
      <c r="K169" s="251"/>
      <c r="L169" s="251"/>
      <c r="M169" s="251"/>
      <c r="N169" s="251"/>
      <c r="O169" s="251"/>
      <c r="P169" s="251"/>
      <c r="Q169" s="251"/>
      <c r="R169" s="251"/>
      <c r="S169" s="251"/>
      <c r="T169" s="251"/>
      <c r="U169" s="251"/>
      <c r="V169" s="251"/>
      <c r="W169" s="251"/>
      <c r="X169" s="251"/>
      <c r="Y169" s="251"/>
      <c r="Z169" s="251"/>
      <c r="AA169" s="251"/>
      <c r="AB169" s="251"/>
    </row>
    <row r="170" ht="14.25" customHeight="1">
      <c r="A170" s="253" t="s">
        <v>6803</v>
      </c>
      <c r="B170" s="108"/>
      <c r="C170" s="242" t="s">
        <v>6848</v>
      </c>
      <c r="D170" s="98" t="s">
        <v>271</v>
      </c>
      <c r="E170" s="255" t="s">
        <v>6806</v>
      </c>
      <c r="F170" s="256" t="s">
        <v>6849</v>
      </c>
      <c r="G170" s="240" t="s">
        <v>6850</v>
      </c>
      <c r="H170" s="240" t="s">
        <v>6851</v>
      </c>
      <c r="I170" s="84" t="s">
        <v>36</v>
      </c>
      <c r="J170" s="247" t="s">
        <v>1784</v>
      </c>
      <c r="K170" s="251"/>
      <c r="L170" s="251"/>
      <c r="M170" s="251"/>
      <c r="N170" s="251"/>
      <c r="O170" s="251"/>
      <c r="P170" s="251"/>
      <c r="Q170" s="251"/>
      <c r="R170" s="251"/>
      <c r="S170" s="251"/>
      <c r="T170" s="251"/>
      <c r="U170" s="251"/>
      <c r="V170" s="251"/>
      <c r="W170" s="251"/>
      <c r="X170" s="251"/>
      <c r="Y170" s="251"/>
      <c r="Z170" s="251"/>
      <c r="AA170" s="251"/>
      <c r="AB170" s="251"/>
    </row>
    <row r="171" ht="14.25" customHeight="1">
      <c r="A171" s="253" t="s">
        <v>6803</v>
      </c>
      <c r="B171" s="108"/>
      <c r="C171" s="242" t="s">
        <v>6852</v>
      </c>
      <c r="D171" s="98" t="s">
        <v>271</v>
      </c>
      <c r="E171" s="255" t="s">
        <v>6806</v>
      </c>
      <c r="F171" s="256" t="s">
        <v>6849</v>
      </c>
      <c r="G171" s="240" t="s">
        <v>6853</v>
      </c>
      <c r="H171" s="240" t="s">
        <v>6854</v>
      </c>
      <c r="I171" s="84" t="s">
        <v>36</v>
      </c>
      <c r="J171" s="247" t="s">
        <v>1784</v>
      </c>
      <c r="K171" s="251"/>
      <c r="L171" s="251"/>
      <c r="M171" s="251"/>
      <c r="N171" s="251"/>
      <c r="O171" s="251"/>
      <c r="P171" s="251"/>
      <c r="Q171" s="251"/>
      <c r="R171" s="251"/>
      <c r="S171" s="251"/>
      <c r="T171" s="251"/>
      <c r="U171" s="251"/>
      <c r="V171" s="251"/>
      <c r="W171" s="251"/>
      <c r="X171" s="251"/>
      <c r="Y171" s="251"/>
      <c r="Z171" s="251"/>
      <c r="AA171" s="251"/>
      <c r="AB171" s="251"/>
    </row>
    <row r="172" ht="14.25" customHeight="1">
      <c r="A172" s="253" t="s">
        <v>6803</v>
      </c>
      <c r="B172" s="108"/>
      <c r="C172" s="242" t="s">
        <v>6855</v>
      </c>
      <c r="D172" s="98" t="s">
        <v>271</v>
      </c>
      <c r="E172" s="255" t="s">
        <v>6806</v>
      </c>
      <c r="F172" s="256" t="s">
        <v>6849</v>
      </c>
      <c r="G172" s="240" t="s">
        <v>6856</v>
      </c>
      <c r="H172" s="240" t="s">
        <v>6857</v>
      </c>
      <c r="I172" s="84" t="s">
        <v>36</v>
      </c>
      <c r="J172" s="247" t="s">
        <v>1784</v>
      </c>
      <c r="K172" s="251"/>
      <c r="L172" s="251"/>
      <c r="M172" s="251"/>
      <c r="N172" s="251"/>
      <c r="O172" s="251"/>
      <c r="P172" s="251"/>
      <c r="Q172" s="251"/>
      <c r="R172" s="251"/>
      <c r="S172" s="251"/>
      <c r="T172" s="251"/>
      <c r="U172" s="251"/>
      <c r="V172" s="251"/>
      <c r="W172" s="251"/>
      <c r="X172" s="251"/>
      <c r="Y172" s="251"/>
      <c r="Z172" s="251"/>
      <c r="AA172" s="251"/>
      <c r="AB172" s="251"/>
    </row>
    <row r="173" ht="14.25" customHeight="1">
      <c r="A173" s="253" t="s">
        <v>6803</v>
      </c>
      <c r="B173" s="108"/>
      <c r="C173" s="242" t="s">
        <v>6858</v>
      </c>
      <c r="D173" s="98" t="s">
        <v>271</v>
      </c>
      <c r="E173" s="255" t="s">
        <v>6806</v>
      </c>
      <c r="F173" s="256" t="s">
        <v>6859</v>
      </c>
      <c r="G173" s="240" t="s">
        <v>6860</v>
      </c>
      <c r="H173" s="240" t="s">
        <v>6861</v>
      </c>
      <c r="I173" s="84" t="s">
        <v>36</v>
      </c>
      <c r="J173" s="247" t="s">
        <v>1784</v>
      </c>
      <c r="K173" s="251"/>
      <c r="L173" s="251"/>
      <c r="M173" s="251"/>
      <c r="N173" s="251"/>
      <c r="O173" s="251"/>
      <c r="P173" s="251"/>
      <c r="Q173" s="251"/>
      <c r="R173" s="251"/>
      <c r="S173" s="251"/>
      <c r="T173" s="251"/>
      <c r="U173" s="251"/>
      <c r="V173" s="251"/>
      <c r="W173" s="251"/>
      <c r="X173" s="251"/>
      <c r="Y173" s="251"/>
      <c r="Z173" s="251"/>
      <c r="AA173" s="251"/>
      <c r="AB173" s="251"/>
    </row>
    <row r="174" ht="14.25" customHeight="1">
      <c r="A174" s="253" t="s">
        <v>6803</v>
      </c>
      <c r="B174" s="108"/>
      <c r="C174" s="242" t="s">
        <v>6862</v>
      </c>
      <c r="D174" s="98" t="s">
        <v>271</v>
      </c>
      <c r="E174" s="255" t="s">
        <v>6806</v>
      </c>
      <c r="F174" s="256" t="s">
        <v>6859</v>
      </c>
      <c r="G174" s="240" t="s">
        <v>6863</v>
      </c>
      <c r="H174" s="240" t="s">
        <v>6864</v>
      </c>
      <c r="I174" s="84" t="s">
        <v>317</v>
      </c>
      <c r="J174" s="247" t="s">
        <v>1784</v>
      </c>
      <c r="K174" s="251"/>
      <c r="L174" s="251"/>
      <c r="M174" s="251"/>
      <c r="N174" s="251"/>
      <c r="O174" s="251"/>
      <c r="P174" s="251"/>
      <c r="Q174" s="251"/>
      <c r="R174" s="251"/>
      <c r="S174" s="251"/>
      <c r="T174" s="251"/>
      <c r="U174" s="251"/>
      <c r="V174" s="251"/>
      <c r="W174" s="251"/>
      <c r="X174" s="251"/>
      <c r="Y174" s="251"/>
      <c r="Z174" s="251"/>
      <c r="AA174" s="251"/>
      <c r="AB174" s="251"/>
    </row>
    <row r="175" ht="14.25" customHeight="1">
      <c r="A175" s="253" t="s">
        <v>6803</v>
      </c>
      <c r="B175" s="108"/>
      <c r="C175" s="242" t="s">
        <v>6865</v>
      </c>
      <c r="D175" s="98" t="s">
        <v>271</v>
      </c>
      <c r="E175" s="255" t="s">
        <v>6806</v>
      </c>
      <c r="F175" s="256" t="s">
        <v>6859</v>
      </c>
      <c r="G175" s="240" t="s">
        <v>6866</v>
      </c>
      <c r="H175" s="240" t="s">
        <v>6867</v>
      </c>
      <c r="I175" s="84" t="s">
        <v>36</v>
      </c>
      <c r="J175" s="247" t="s">
        <v>1784</v>
      </c>
      <c r="K175" s="251"/>
      <c r="L175" s="251"/>
      <c r="M175" s="251"/>
      <c r="N175" s="251"/>
      <c r="O175" s="251"/>
      <c r="P175" s="251"/>
      <c r="Q175" s="251"/>
      <c r="R175" s="251"/>
      <c r="S175" s="251"/>
      <c r="T175" s="251"/>
      <c r="U175" s="251"/>
      <c r="V175" s="251"/>
      <c r="W175" s="251"/>
      <c r="X175" s="251"/>
      <c r="Y175" s="251"/>
      <c r="Z175" s="251"/>
      <c r="AA175" s="251"/>
      <c r="AB175" s="251"/>
    </row>
    <row r="176" ht="14.25" customHeight="1">
      <c r="A176" s="253" t="s">
        <v>6803</v>
      </c>
      <c r="B176" s="108"/>
      <c r="C176" s="242" t="s">
        <v>6868</v>
      </c>
      <c r="D176" s="98" t="s">
        <v>271</v>
      </c>
      <c r="E176" s="255" t="s">
        <v>6806</v>
      </c>
      <c r="F176" s="256" t="s">
        <v>6859</v>
      </c>
      <c r="G176" s="240" t="s">
        <v>6869</v>
      </c>
      <c r="H176" s="240" t="s">
        <v>6870</v>
      </c>
      <c r="I176" s="84" t="s">
        <v>317</v>
      </c>
      <c r="J176" s="247" t="s">
        <v>1784</v>
      </c>
      <c r="K176" s="251"/>
      <c r="L176" s="251"/>
      <c r="M176" s="251"/>
      <c r="N176" s="251"/>
      <c r="O176" s="251"/>
      <c r="P176" s="251"/>
      <c r="Q176" s="251"/>
      <c r="R176" s="251"/>
      <c r="S176" s="251"/>
      <c r="T176" s="251"/>
      <c r="U176" s="251"/>
      <c r="V176" s="251"/>
      <c r="W176" s="251"/>
      <c r="X176" s="251"/>
      <c r="Y176" s="251"/>
      <c r="Z176" s="251"/>
      <c r="AA176" s="251"/>
      <c r="AB176" s="251"/>
    </row>
    <row r="177" ht="14.25" customHeight="1">
      <c r="A177" s="253" t="s">
        <v>6803</v>
      </c>
      <c r="B177" s="108"/>
      <c r="C177" s="242" t="s">
        <v>6871</v>
      </c>
      <c r="D177" s="98" t="s">
        <v>271</v>
      </c>
      <c r="E177" s="255" t="s">
        <v>6806</v>
      </c>
      <c r="F177" s="256" t="s">
        <v>6819</v>
      </c>
      <c r="G177" s="240" t="s">
        <v>6872</v>
      </c>
      <c r="H177" s="240" t="s">
        <v>6873</v>
      </c>
      <c r="I177" s="84" t="s">
        <v>36</v>
      </c>
      <c r="J177" s="247" t="s">
        <v>1784</v>
      </c>
      <c r="K177" s="251"/>
      <c r="L177" s="251"/>
      <c r="M177" s="251"/>
      <c r="N177" s="251"/>
      <c r="O177" s="251"/>
      <c r="P177" s="251"/>
      <c r="Q177" s="251"/>
      <c r="R177" s="251"/>
      <c r="S177" s="251"/>
      <c r="T177" s="251"/>
      <c r="U177" s="251"/>
      <c r="V177" s="251"/>
      <c r="W177" s="251"/>
      <c r="X177" s="251"/>
      <c r="Y177" s="251"/>
      <c r="Z177" s="251"/>
      <c r="AA177" s="251"/>
      <c r="AB177" s="251"/>
    </row>
    <row r="178" ht="14.25" customHeight="1">
      <c r="A178" s="253" t="s">
        <v>6803</v>
      </c>
      <c r="B178" s="108"/>
      <c r="C178" s="242" t="s">
        <v>6874</v>
      </c>
      <c r="D178" s="98" t="s">
        <v>271</v>
      </c>
      <c r="E178" s="255" t="s">
        <v>6806</v>
      </c>
      <c r="F178" s="256" t="s">
        <v>6875</v>
      </c>
      <c r="G178" s="240" t="s">
        <v>6876</v>
      </c>
      <c r="H178" s="240" t="s">
        <v>6877</v>
      </c>
      <c r="I178" s="84" t="s">
        <v>317</v>
      </c>
      <c r="J178" s="247" t="s">
        <v>1784</v>
      </c>
      <c r="K178" s="251"/>
      <c r="L178" s="251"/>
      <c r="M178" s="251"/>
      <c r="N178" s="251"/>
      <c r="O178" s="251"/>
      <c r="P178" s="251"/>
      <c r="Q178" s="251"/>
      <c r="R178" s="251"/>
      <c r="S178" s="251"/>
      <c r="T178" s="251"/>
      <c r="U178" s="251"/>
      <c r="V178" s="251"/>
      <c r="W178" s="251"/>
      <c r="X178" s="251"/>
      <c r="Y178" s="251"/>
      <c r="Z178" s="251"/>
      <c r="AA178" s="251"/>
      <c r="AB178" s="251"/>
    </row>
    <row r="179" ht="14.25" customHeight="1">
      <c r="A179" s="253" t="s">
        <v>6803</v>
      </c>
      <c r="B179" s="108"/>
      <c r="C179" s="242" t="s">
        <v>6878</v>
      </c>
      <c r="D179" s="98" t="s">
        <v>271</v>
      </c>
      <c r="E179" s="255" t="s">
        <v>6806</v>
      </c>
      <c r="F179" s="256" t="s">
        <v>6875</v>
      </c>
      <c r="G179" s="240" t="s">
        <v>6879</v>
      </c>
      <c r="H179" s="240" t="s">
        <v>6880</v>
      </c>
      <c r="I179" s="84" t="s">
        <v>317</v>
      </c>
      <c r="J179" s="247" t="s">
        <v>1784</v>
      </c>
      <c r="K179" s="251"/>
      <c r="L179" s="251"/>
      <c r="M179" s="251"/>
      <c r="N179" s="251"/>
      <c r="O179" s="251"/>
      <c r="P179" s="251"/>
      <c r="Q179" s="251"/>
      <c r="R179" s="251"/>
      <c r="S179" s="251"/>
      <c r="T179" s="251"/>
      <c r="U179" s="251"/>
      <c r="V179" s="251"/>
      <c r="W179" s="251"/>
      <c r="X179" s="251"/>
      <c r="Y179" s="251"/>
      <c r="Z179" s="251"/>
      <c r="AA179" s="251"/>
      <c r="AB179" s="251"/>
    </row>
    <row r="180" ht="14.25" customHeight="1">
      <c r="A180" s="253" t="s">
        <v>6803</v>
      </c>
      <c r="B180" s="108"/>
      <c r="C180" s="242" t="s">
        <v>6881</v>
      </c>
      <c r="D180" s="98" t="s">
        <v>271</v>
      </c>
      <c r="E180" s="255" t="s">
        <v>6806</v>
      </c>
      <c r="F180" s="256" t="s">
        <v>6875</v>
      </c>
      <c r="G180" s="240" t="s">
        <v>6882</v>
      </c>
      <c r="H180" s="240" t="s">
        <v>6883</v>
      </c>
      <c r="I180" s="84" t="s">
        <v>317</v>
      </c>
      <c r="J180" s="247" t="s">
        <v>1784</v>
      </c>
      <c r="K180" s="251"/>
      <c r="L180" s="251"/>
      <c r="M180" s="251"/>
      <c r="N180" s="251"/>
      <c r="O180" s="251"/>
      <c r="P180" s="251"/>
      <c r="Q180" s="251"/>
      <c r="R180" s="251"/>
      <c r="S180" s="251"/>
      <c r="T180" s="251"/>
      <c r="U180" s="251"/>
      <c r="V180" s="251"/>
      <c r="W180" s="251"/>
      <c r="X180" s="251"/>
      <c r="Y180" s="251"/>
      <c r="Z180" s="251"/>
      <c r="AA180" s="251"/>
      <c r="AB180" s="251"/>
    </row>
    <row r="181" ht="14.25" customHeight="1">
      <c r="A181" s="253" t="s">
        <v>6803</v>
      </c>
      <c r="B181" s="108"/>
      <c r="C181" s="242" t="s">
        <v>6884</v>
      </c>
      <c r="D181" s="98" t="s">
        <v>271</v>
      </c>
      <c r="E181" s="255" t="s">
        <v>6806</v>
      </c>
      <c r="F181" s="256" t="s">
        <v>6875</v>
      </c>
      <c r="G181" s="240" t="s">
        <v>6885</v>
      </c>
      <c r="H181" s="240" t="s">
        <v>6886</v>
      </c>
      <c r="I181" s="84" t="s">
        <v>36</v>
      </c>
      <c r="J181" s="247" t="s">
        <v>1784</v>
      </c>
      <c r="K181" s="251"/>
      <c r="L181" s="251"/>
      <c r="M181" s="251"/>
      <c r="N181" s="251"/>
      <c r="O181" s="251"/>
      <c r="P181" s="251"/>
      <c r="Q181" s="251"/>
      <c r="R181" s="251"/>
      <c r="S181" s="251"/>
      <c r="T181" s="251"/>
      <c r="U181" s="251"/>
      <c r="V181" s="251"/>
      <c r="W181" s="251"/>
      <c r="X181" s="251"/>
      <c r="Y181" s="251"/>
      <c r="Z181" s="251"/>
      <c r="AA181" s="251"/>
      <c r="AB181" s="251"/>
    </row>
    <row r="182" ht="14.25" customHeight="1">
      <c r="A182" s="253" t="s">
        <v>6803</v>
      </c>
      <c r="B182" s="108"/>
      <c r="C182" s="242" t="s">
        <v>6887</v>
      </c>
      <c r="D182" s="98" t="s">
        <v>271</v>
      </c>
      <c r="E182" s="255" t="s">
        <v>6806</v>
      </c>
      <c r="F182" s="256" t="s">
        <v>6875</v>
      </c>
      <c r="G182" s="240" t="s">
        <v>6888</v>
      </c>
      <c r="H182" s="240" t="s">
        <v>6889</v>
      </c>
      <c r="I182" s="84" t="s">
        <v>36</v>
      </c>
      <c r="J182" s="247" t="s">
        <v>1784</v>
      </c>
      <c r="K182" s="251"/>
      <c r="L182" s="251"/>
      <c r="M182" s="251"/>
      <c r="N182" s="251"/>
      <c r="O182" s="251"/>
      <c r="P182" s="251"/>
      <c r="Q182" s="251"/>
      <c r="R182" s="251"/>
      <c r="S182" s="251"/>
      <c r="T182" s="251"/>
      <c r="U182" s="251"/>
      <c r="V182" s="251"/>
      <c r="W182" s="251"/>
      <c r="X182" s="251"/>
      <c r="Y182" s="251"/>
      <c r="Z182" s="251"/>
      <c r="AA182" s="251"/>
      <c r="AB182" s="251"/>
    </row>
    <row r="183" ht="14.25" customHeight="1">
      <c r="A183" s="253" t="s">
        <v>6803</v>
      </c>
      <c r="B183" s="108"/>
      <c r="C183" s="242" t="s">
        <v>6890</v>
      </c>
      <c r="D183" s="98" t="s">
        <v>271</v>
      </c>
      <c r="E183" s="255" t="s">
        <v>6806</v>
      </c>
      <c r="F183" s="256" t="s">
        <v>6875</v>
      </c>
      <c r="G183" s="240" t="s">
        <v>6891</v>
      </c>
      <c r="H183" s="240" t="s">
        <v>6892</v>
      </c>
      <c r="I183" s="84" t="s">
        <v>36</v>
      </c>
      <c r="J183" s="247" t="s">
        <v>1784</v>
      </c>
      <c r="K183" s="251"/>
      <c r="L183" s="251"/>
      <c r="M183" s="251"/>
      <c r="N183" s="251"/>
      <c r="O183" s="251"/>
      <c r="P183" s="251"/>
      <c r="Q183" s="251"/>
      <c r="R183" s="251"/>
      <c r="S183" s="251"/>
      <c r="T183" s="251"/>
      <c r="U183" s="251"/>
      <c r="V183" s="251"/>
      <c r="W183" s="251"/>
      <c r="X183" s="251"/>
      <c r="Y183" s="251"/>
      <c r="Z183" s="251"/>
      <c r="AA183" s="251"/>
      <c r="AB183" s="251"/>
    </row>
    <row r="184" ht="14.25" customHeight="1">
      <c r="A184" s="253" t="s">
        <v>6803</v>
      </c>
      <c r="B184" s="108"/>
      <c r="C184" s="242" t="s">
        <v>6893</v>
      </c>
      <c r="D184" s="98" t="s">
        <v>271</v>
      </c>
      <c r="E184" s="255" t="s">
        <v>6806</v>
      </c>
      <c r="F184" s="256" t="s">
        <v>6875</v>
      </c>
      <c r="G184" s="240" t="s">
        <v>6894</v>
      </c>
      <c r="H184" s="240" t="s">
        <v>6895</v>
      </c>
      <c r="I184" s="84" t="s">
        <v>36</v>
      </c>
      <c r="J184" s="247" t="s">
        <v>1784</v>
      </c>
      <c r="K184" s="251"/>
      <c r="L184" s="251"/>
      <c r="M184" s="251"/>
      <c r="N184" s="251"/>
      <c r="O184" s="251"/>
      <c r="P184" s="251"/>
      <c r="Q184" s="251"/>
      <c r="R184" s="251"/>
      <c r="S184" s="251"/>
      <c r="T184" s="251"/>
      <c r="U184" s="251"/>
      <c r="V184" s="251"/>
      <c r="W184" s="251"/>
      <c r="X184" s="251"/>
      <c r="Y184" s="251"/>
      <c r="Z184" s="251"/>
      <c r="AA184" s="251"/>
      <c r="AB184" s="251"/>
    </row>
    <row r="185" ht="14.25" customHeight="1">
      <c r="A185" s="253" t="s">
        <v>6803</v>
      </c>
      <c r="B185" s="108"/>
      <c r="C185" s="242" t="s">
        <v>6896</v>
      </c>
      <c r="D185" s="98" t="s">
        <v>271</v>
      </c>
      <c r="E185" s="255" t="s">
        <v>6806</v>
      </c>
      <c r="F185" s="256" t="s">
        <v>6875</v>
      </c>
      <c r="G185" s="240" t="s">
        <v>6897</v>
      </c>
      <c r="H185" s="240" t="s">
        <v>6898</v>
      </c>
      <c r="I185" s="84" t="s">
        <v>36</v>
      </c>
      <c r="J185" s="247" t="s">
        <v>1784</v>
      </c>
      <c r="K185" s="251"/>
      <c r="L185" s="251"/>
      <c r="M185" s="251"/>
      <c r="N185" s="251"/>
      <c r="O185" s="251"/>
      <c r="P185" s="251"/>
      <c r="Q185" s="251"/>
      <c r="R185" s="251"/>
      <c r="S185" s="251"/>
      <c r="T185" s="251"/>
      <c r="U185" s="251"/>
      <c r="V185" s="251"/>
      <c r="W185" s="251"/>
      <c r="X185" s="251"/>
      <c r="Y185" s="251"/>
      <c r="Z185" s="251"/>
      <c r="AA185" s="251"/>
      <c r="AB185" s="251"/>
    </row>
    <row r="186" ht="14.25" customHeight="1">
      <c r="A186" s="253" t="s">
        <v>6803</v>
      </c>
      <c r="B186" s="108"/>
      <c r="C186" s="242" t="s">
        <v>6899</v>
      </c>
      <c r="D186" s="98" t="s">
        <v>271</v>
      </c>
      <c r="E186" s="255" t="s">
        <v>6806</v>
      </c>
      <c r="F186" s="256" t="s">
        <v>6900</v>
      </c>
      <c r="G186" s="240" t="s">
        <v>6901</v>
      </c>
      <c r="H186" s="240" t="s">
        <v>6902</v>
      </c>
      <c r="I186" s="84" t="s">
        <v>36</v>
      </c>
      <c r="J186" s="247" t="s">
        <v>1784</v>
      </c>
      <c r="K186" s="251"/>
      <c r="L186" s="251"/>
      <c r="M186" s="251"/>
      <c r="N186" s="251"/>
      <c r="O186" s="251"/>
      <c r="P186" s="251"/>
      <c r="Q186" s="251"/>
      <c r="R186" s="251"/>
      <c r="S186" s="251"/>
      <c r="T186" s="251"/>
      <c r="U186" s="251"/>
      <c r="V186" s="251"/>
      <c r="W186" s="251"/>
      <c r="X186" s="251"/>
      <c r="Y186" s="251"/>
      <c r="Z186" s="251"/>
      <c r="AA186" s="251"/>
      <c r="AB186" s="251"/>
    </row>
    <row r="187" ht="14.25" customHeight="1">
      <c r="A187" s="253" t="s">
        <v>6803</v>
      </c>
      <c r="B187" s="108"/>
      <c r="C187" s="242" t="s">
        <v>6903</v>
      </c>
      <c r="D187" s="98" t="s">
        <v>271</v>
      </c>
      <c r="E187" s="255" t="s">
        <v>6806</v>
      </c>
      <c r="F187" s="256" t="s">
        <v>6900</v>
      </c>
      <c r="G187" s="240" t="s">
        <v>6904</v>
      </c>
      <c r="H187" s="240" t="s">
        <v>6905</v>
      </c>
      <c r="I187" s="84" t="s">
        <v>36</v>
      </c>
      <c r="J187" s="247" t="s">
        <v>1784</v>
      </c>
      <c r="K187" s="251"/>
      <c r="L187" s="251"/>
      <c r="M187" s="251"/>
      <c r="N187" s="251"/>
      <c r="O187" s="251"/>
      <c r="P187" s="251"/>
      <c r="Q187" s="251"/>
      <c r="R187" s="251"/>
      <c r="S187" s="251"/>
      <c r="T187" s="251"/>
      <c r="U187" s="251"/>
      <c r="V187" s="251"/>
      <c r="W187" s="251"/>
      <c r="X187" s="251"/>
      <c r="Y187" s="251"/>
      <c r="Z187" s="251"/>
      <c r="AA187" s="251"/>
      <c r="AB187" s="251"/>
    </row>
    <row r="188" ht="14.25" customHeight="1">
      <c r="A188" s="253" t="s">
        <v>6803</v>
      </c>
      <c r="B188" s="108"/>
      <c r="C188" s="242" t="s">
        <v>6906</v>
      </c>
      <c r="D188" s="98" t="s">
        <v>271</v>
      </c>
      <c r="E188" s="255" t="s">
        <v>6806</v>
      </c>
      <c r="F188" s="256" t="s">
        <v>6900</v>
      </c>
      <c r="G188" s="240" t="s">
        <v>6907</v>
      </c>
      <c r="H188" s="240" t="s">
        <v>6908</v>
      </c>
      <c r="I188" s="84" t="s">
        <v>36</v>
      </c>
      <c r="J188" s="247" t="s">
        <v>1784</v>
      </c>
      <c r="K188" s="251"/>
      <c r="L188" s="251"/>
      <c r="M188" s="251"/>
      <c r="N188" s="251"/>
      <c r="O188" s="251"/>
      <c r="P188" s="251"/>
      <c r="Q188" s="251"/>
      <c r="R188" s="251"/>
      <c r="S188" s="251"/>
      <c r="T188" s="251"/>
      <c r="U188" s="251"/>
      <c r="V188" s="251"/>
      <c r="W188" s="251"/>
      <c r="X188" s="251"/>
      <c r="Y188" s="251"/>
      <c r="Z188" s="251"/>
      <c r="AA188" s="251"/>
      <c r="AB188" s="251"/>
    </row>
    <row r="189" ht="14.25" customHeight="1">
      <c r="A189" s="253" t="s">
        <v>6803</v>
      </c>
      <c r="B189" s="108"/>
      <c r="C189" s="242" t="s">
        <v>6909</v>
      </c>
      <c r="D189" s="98" t="s">
        <v>271</v>
      </c>
      <c r="E189" s="255" t="s">
        <v>6806</v>
      </c>
      <c r="F189" s="256" t="s">
        <v>6900</v>
      </c>
      <c r="G189" s="240" t="s">
        <v>6910</v>
      </c>
      <c r="H189" s="240" t="s">
        <v>6911</v>
      </c>
      <c r="I189" s="84" t="s">
        <v>36</v>
      </c>
      <c r="J189" s="247" t="s">
        <v>1784</v>
      </c>
      <c r="K189" s="251"/>
      <c r="L189" s="251"/>
      <c r="M189" s="251"/>
      <c r="N189" s="251"/>
      <c r="O189" s="251"/>
      <c r="P189" s="251"/>
      <c r="Q189" s="251"/>
      <c r="R189" s="251"/>
      <c r="S189" s="251"/>
      <c r="T189" s="251"/>
      <c r="U189" s="251"/>
      <c r="V189" s="251"/>
      <c r="W189" s="251"/>
      <c r="X189" s="251"/>
      <c r="Y189" s="251"/>
      <c r="Z189" s="251"/>
      <c r="AA189" s="251"/>
      <c r="AB189" s="251"/>
    </row>
    <row r="190" ht="14.25" customHeight="1">
      <c r="A190" s="253" t="s">
        <v>6803</v>
      </c>
      <c r="B190" s="108"/>
      <c r="C190" s="242" t="s">
        <v>6912</v>
      </c>
      <c r="D190" s="98" t="s">
        <v>271</v>
      </c>
      <c r="E190" s="255" t="s">
        <v>6806</v>
      </c>
      <c r="F190" s="256" t="s">
        <v>6900</v>
      </c>
      <c r="G190" s="240" t="s">
        <v>6913</v>
      </c>
      <c r="H190" s="240" t="s">
        <v>6914</v>
      </c>
      <c r="I190" s="84" t="s">
        <v>36</v>
      </c>
      <c r="J190" s="247" t="s">
        <v>1784</v>
      </c>
      <c r="K190" s="251"/>
      <c r="L190" s="251"/>
      <c r="M190" s="251"/>
      <c r="N190" s="251"/>
      <c r="O190" s="251"/>
      <c r="P190" s="251"/>
      <c r="Q190" s="251"/>
      <c r="R190" s="251"/>
      <c r="S190" s="251"/>
      <c r="T190" s="251"/>
      <c r="U190" s="251"/>
      <c r="V190" s="251"/>
      <c r="W190" s="251"/>
      <c r="X190" s="251"/>
      <c r="Y190" s="251"/>
      <c r="Z190" s="251"/>
      <c r="AA190" s="251"/>
      <c r="AB190" s="251"/>
    </row>
    <row r="191" ht="14.25" customHeight="1">
      <c r="A191" s="253" t="s">
        <v>6803</v>
      </c>
      <c r="B191" s="108"/>
      <c r="C191" s="242" t="s">
        <v>6915</v>
      </c>
      <c r="D191" s="98" t="s">
        <v>271</v>
      </c>
      <c r="E191" s="262"/>
      <c r="F191" s="256" t="s">
        <v>6900</v>
      </c>
      <c r="G191" s="240" t="s">
        <v>6916</v>
      </c>
      <c r="H191" s="240" t="s">
        <v>6917</v>
      </c>
      <c r="I191" s="84" t="s">
        <v>36</v>
      </c>
      <c r="J191" s="247" t="s">
        <v>1784</v>
      </c>
      <c r="K191" s="251"/>
      <c r="L191" s="251"/>
      <c r="M191" s="251"/>
      <c r="N191" s="251"/>
      <c r="O191" s="251"/>
      <c r="P191" s="251"/>
      <c r="Q191" s="251"/>
      <c r="R191" s="251"/>
      <c r="S191" s="251"/>
      <c r="T191" s="251"/>
      <c r="U191" s="251"/>
      <c r="V191" s="251"/>
      <c r="W191" s="251"/>
      <c r="X191" s="251"/>
      <c r="Y191" s="251"/>
      <c r="Z191" s="251"/>
      <c r="AA191" s="251"/>
      <c r="AB191" s="251"/>
    </row>
    <row r="192" ht="14.25" customHeight="1">
      <c r="A192" s="253" t="s">
        <v>6803</v>
      </c>
      <c r="B192" s="108"/>
      <c r="C192" s="242" t="s">
        <v>6918</v>
      </c>
      <c r="D192" s="98" t="s">
        <v>271</v>
      </c>
      <c r="E192" s="255" t="s">
        <v>6806</v>
      </c>
      <c r="F192" s="256" t="s">
        <v>6919</v>
      </c>
      <c r="G192" s="240" t="s">
        <v>6920</v>
      </c>
      <c r="H192" s="240" t="s">
        <v>6921</v>
      </c>
      <c r="I192" s="84" t="s">
        <v>36</v>
      </c>
      <c r="J192" s="247" t="s">
        <v>1784</v>
      </c>
      <c r="K192" s="251"/>
      <c r="L192" s="251"/>
      <c r="M192" s="251"/>
      <c r="N192" s="251"/>
      <c r="O192" s="251"/>
      <c r="P192" s="251"/>
      <c r="Q192" s="251"/>
      <c r="R192" s="251"/>
      <c r="S192" s="251"/>
      <c r="T192" s="251"/>
      <c r="U192" s="251"/>
      <c r="V192" s="251"/>
      <c r="W192" s="251"/>
      <c r="X192" s="251"/>
      <c r="Y192" s="251"/>
      <c r="Z192" s="251"/>
      <c r="AA192" s="251"/>
      <c r="AB192" s="251"/>
    </row>
    <row r="193" ht="14.25" customHeight="1">
      <c r="A193" s="253" t="s">
        <v>6803</v>
      </c>
      <c r="B193" s="108"/>
      <c r="C193" s="242" t="s">
        <v>6922</v>
      </c>
      <c r="D193" s="98" t="s">
        <v>271</v>
      </c>
      <c r="E193" s="255" t="s">
        <v>6806</v>
      </c>
      <c r="F193" s="256" t="s">
        <v>6923</v>
      </c>
      <c r="G193" s="240" t="s">
        <v>6924</v>
      </c>
      <c r="H193" s="240" t="s">
        <v>6925</v>
      </c>
      <c r="I193" s="84" t="s">
        <v>36</v>
      </c>
      <c r="J193" s="247" t="s">
        <v>1784</v>
      </c>
      <c r="K193" s="251"/>
      <c r="L193" s="251"/>
      <c r="M193" s="251"/>
      <c r="N193" s="251"/>
      <c r="O193" s="251"/>
      <c r="P193" s="251"/>
      <c r="Q193" s="251"/>
      <c r="R193" s="251"/>
      <c r="S193" s="251"/>
      <c r="T193" s="251"/>
      <c r="U193" s="251"/>
      <c r="V193" s="251"/>
      <c r="W193" s="251"/>
      <c r="X193" s="251"/>
      <c r="Y193" s="251"/>
      <c r="Z193" s="251"/>
      <c r="AA193" s="251"/>
      <c r="AB193" s="251"/>
    </row>
    <row r="194" ht="14.25" customHeight="1">
      <c r="A194" s="253" t="s">
        <v>6803</v>
      </c>
      <c r="B194" s="108"/>
      <c r="C194" s="242" t="s">
        <v>6926</v>
      </c>
      <c r="D194" s="98" t="s">
        <v>271</v>
      </c>
      <c r="E194" s="255" t="s">
        <v>6806</v>
      </c>
      <c r="F194" s="256" t="s">
        <v>6919</v>
      </c>
      <c r="G194" s="240" t="s">
        <v>6927</v>
      </c>
      <c r="H194" s="240" t="s">
        <v>6928</v>
      </c>
      <c r="I194" s="84" t="s">
        <v>36</v>
      </c>
      <c r="J194" s="247" t="s">
        <v>1784</v>
      </c>
      <c r="K194" s="251"/>
      <c r="L194" s="251"/>
      <c r="M194" s="251"/>
      <c r="N194" s="251"/>
      <c r="O194" s="251"/>
      <c r="P194" s="251"/>
      <c r="Q194" s="251"/>
      <c r="R194" s="251"/>
      <c r="S194" s="251"/>
      <c r="T194" s="251"/>
      <c r="U194" s="251"/>
      <c r="V194" s="251"/>
      <c r="W194" s="251"/>
      <c r="X194" s="251"/>
      <c r="Y194" s="251"/>
      <c r="Z194" s="251"/>
      <c r="AA194" s="251"/>
      <c r="AB194" s="251"/>
    </row>
    <row r="195" ht="14.25" customHeight="1">
      <c r="A195" s="253" t="s">
        <v>6803</v>
      </c>
      <c r="B195" s="108"/>
      <c r="C195" s="242" t="s">
        <v>6929</v>
      </c>
      <c r="D195" s="98" t="s">
        <v>271</v>
      </c>
      <c r="E195" s="255" t="s">
        <v>6806</v>
      </c>
      <c r="F195" s="256" t="s">
        <v>6919</v>
      </c>
      <c r="G195" s="240" t="s">
        <v>6930</v>
      </c>
      <c r="H195" s="240" t="s">
        <v>6931</v>
      </c>
      <c r="I195" s="84" t="s">
        <v>36</v>
      </c>
      <c r="J195" s="247" t="s">
        <v>1784</v>
      </c>
      <c r="K195" s="251"/>
      <c r="L195" s="251"/>
      <c r="M195" s="251"/>
      <c r="N195" s="251"/>
      <c r="O195" s="251"/>
      <c r="P195" s="251"/>
      <c r="Q195" s="251"/>
      <c r="R195" s="251"/>
      <c r="S195" s="251"/>
      <c r="T195" s="251"/>
      <c r="U195" s="251"/>
      <c r="V195" s="251"/>
      <c r="W195" s="251"/>
      <c r="X195" s="251"/>
      <c r="Y195" s="251"/>
      <c r="Z195" s="251"/>
      <c r="AA195" s="251"/>
      <c r="AB195" s="251"/>
    </row>
    <row r="196" ht="14.25" customHeight="1">
      <c r="A196" s="253" t="s">
        <v>6803</v>
      </c>
      <c r="B196" s="108"/>
      <c r="C196" s="242" t="s">
        <v>6932</v>
      </c>
      <c r="D196" s="98" t="s">
        <v>271</v>
      </c>
      <c r="E196" s="255" t="s">
        <v>6806</v>
      </c>
      <c r="F196" s="256" t="s">
        <v>6919</v>
      </c>
      <c r="G196" s="240" t="s">
        <v>6933</v>
      </c>
      <c r="H196" s="240" t="s">
        <v>6934</v>
      </c>
      <c r="I196" s="84" t="s">
        <v>36</v>
      </c>
      <c r="J196" s="247" t="s">
        <v>1784</v>
      </c>
      <c r="K196" s="251"/>
      <c r="L196" s="251"/>
      <c r="M196" s="251"/>
      <c r="N196" s="251"/>
      <c r="O196" s="251"/>
      <c r="P196" s="251"/>
      <c r="Q196" s="251"/>
      <c r="R196" s="251"/>
      <c r="S196" s="251"/>
      <c r="T196" s="251"/>
      <c r="U196" s="251"/>
      <c r="V196" s="251"/>
      <c r="W196" s="251"/>
      <c r="X196" s="251"/>
      <c r="Y196" s="251"/>
      <c r="Z196" s="251"/>
      <c r="AA196" s="251"/>
      <c r="AB196" s="251"/>
    </row>
    <row r="197" ht="14.25" customHeight="1">
      <c r="A197" s="253" t="s">
        <v>6803</v>
      </c>
      <c r="B197" s="108"/>
      <c r="C197" s="242" t="s">
        <v>6935</v>
      </c>
      <c r="D197" s="98" t="s">
        <v>271</v>
      </c>
      <c r="E197" s="255" t="s">
        <v>6806</v>
      </c>
      <c r="F197" s="256" t="s">
        <v>6923</v>
      </c>
      <c r="G197" s="240" t="s">
        <v>6936</v>
      </c>
      <c r="H197" s="240" t="s">
        <v>6937</v>
      </c>
      <c r="I197" s="84" t="s">
        <v>36</v>
      </c>
      <c r="J197" s="247" t="s">
        <v>1784</v>
      </c>
      <c r="K197" s="251"/>
      <c r="L197" s="251"/>
      <c r="M197" s="251"/>
      <c r="N197" s="251"/>
      <c r="O197" s="251"/>
      <c r="P197" s="251"/>
      <c r="Q197" s="251"/>
      <c r="R197" s="251"/>
      <c r="S197" s="251"/>
      <c r="T197" s="251"/>
      <c r="U197" s="251"/>
      <c r="V197" s="251"/>
      <c r="W197" s="251"/>
      <c r="X197" s="251"/>
      <c r="Y197" s="251"/>
      <c r="Z197" s="251"/>
      <c r="AA197" s="251"/>
      <c r="AB197" s="251"/>
    </row>
    <row r="198" ht="14.25" customHeight="1">
      <c r="A198" s="253" t="s">
        <v>6803</v>
      </c>
      <c r="B198" s="108"/>
      <c r="C198" s="242" t="s">
        <v>6938</v>
      </c>
      <c r="D198" s="98" t="s">
        <v>271</v>
      </c>
      <c r="E198" s="255" t="s">
        <v>6806</v>
      </c>
      <c r="F198" s="256" t="s">
        <v>6923</v>
      </c>
      <c r="G198" s="240" t="s">
        <v>6939</v>
      </c>
      <c r="H198" s="240" t="s">
        <v>6940</v>
      </c>
      <c r="I198" s="84" t="s">
        <v>36</v>
      </c>
      <c r="J198" s="247" t="s">
        <v>1784</v>
      </c>
      <c r="K198" s="251"/>
      <c r="L198" s="251"/>
      <c r="M198" s="251"/>
      <c r="N198" s="251"/>
      <c r="O198" s="251"/>
      <c r="P198" s="251"/>
      <c r="Q198" s="251"/>
      <c r="R198" s="251"/>
      <c r="S198" s="251"/>
      <c r="T198" s="251"/>
      <c r="U198" s="251"/>
      <c r="V198" s="251"/>
      <c r="W198" s="251"/>
      <c r="X198" s="251"/>
      <c r="Y198" s="251"/>
      <c r="Z198" s="251"/>
      <c r="AA198" s="251"/>
      <c r="AB198" s="251"/>
    </row>
    <row r="199" ht="14.25" customHeight="1">
      <c r="A199" s="253" t="s">
        <v>6803</v>
      </c>
      <c r="B199" s="108"/>
      <c r="C199" s="242" t="s">
        <v>6941</v>
      </c>
      <c r="D199" s="98" t="s">
        <v>271</v>
      </c>
      <c r="E199" s="255" t="s">
        <v>6806</v>
      </c>
      <c r="F199" s="256" t="s">
        <v>6815</v>
      </c>
      <c r="G199" s="240" t="s">
        <v>6942</v>
      </c>
      <c r="H199" s="240" t="s">
        <v>6943</v>
      </c>
      <c r="I199" s="84" t="s">
        <v>36</v>
      </c>
      <c r="J199" s="247" t="s">
        <v>1784</v>
      </c>
      <c r="K199" s="251"/>
      <c r="L199" s="251"/>
      <c r="M199" s="251"/>
      <c r="N199" s="251"/>
      <c r="O199" s="251"/>
      <c r="P199" s="251"/>
      <c r="Q199" s="251"/>
      <c r="R199" s="251"/>
      <c r="S199" s="251"/>
      <c r="T199" s="251"/>
      <c r="U199" s="251"/>
      <c r="V199" s="251"/>
      <c r="W199" s="251"/>
      <c r="X199" s="251"/>
      <c r="Y199" s="251"/>
      <c r="Z199" s="251"/>
      <c r="AA199" s="251"/>
      <c r="AB199" s="251"/>
    </row>
    <row r="200" ht="14.25" customHeight="1">
      <c r="A200" s="253" t="s">
        <v>6803</v>
      </c>
      <c r="B200" s="108"/>
      <c r="C200" s="242" t="s">
        <v>6944</v>
      </c>
      <c r="D200" s="98" t="s">
        <v>271</v>
      </c>
      <c r="E200" s="255" t="s">
        <v>6806</v>
      </c>
      <c r="F200" s="256" t="s">
        <v>6945</v>
      </c>
      <c r="G200" s="240" t="s">
        <v>6946</v>
      </c>
      <c r="H200" s="240" t="s">
        <v>6947</v>
      </c>
      <c r="I200" s="84" t="s">
        <v>36</v>
      </c>
      <c r="J200" s="247" t="s">
        <v>1784</v>
      </c>
      <c r="K200" s="251"/>
      <c r="L200" s="251"/>
      <c r="M200" s="251"/>
      <c r="N200" s="251"/>
      <c r="O200" s="251"/>
      <c r="P200" s="251"/>
      <c r="Q200" s="251"/>
      <c r="R200" s="251"/>
      <c r="S200" s="251"/>
      <c r="T200" s="251"/>
      <c r="U200" s="251"/>
      <c r="V200" s="251"/>
      <c r="W200" s="251"/>
      <c r="X200" s="251"/>
      <c r="Y200" s="251"/>
      <c r="Z200" s="251"/>
      <c r="AA200" s="251"/>
      <c r="AB200" s="251"/>
    </row>
    <row r="201" ht="14.25" customHeight="1">
      <c r="A201" s="253" t="s">
        <v>6803</v>
      </c>
      <c r="B201" s="109"/>
      <c r="C201" s="242" t="s">
        <v>6948</v>
      </c>
      <c r="D201" s="98" t="s">
        <v>271</v>
      </c>
      <c r="E201" s="255" t="s">
        <v>6806</v>
      </c>
      <c r="F201" s="256" t="s">
        <v>6945</v>
      </c>
      <c r="G201" s="240" t="s">
        <v>6949</v>
      </c>
      <c r="H201" s="240" t="s">
        <v>6950</v>
      </c>
      <c r="I201" s="84" t="s">
        <v>36</v>
      </c>
      <c r="J201" s="247" t="s">
        <v>1784</v>
      </c>
      <c r="K201" s="251"/>
      <c r="L201" s="251"/>
      <c r="M201" s="251"/>
      <c r="N201" s="251"/>
      <c r="O201" s="251"/>
      <c r="P201" s="251"/>
      <c r="Q201" s="251"/>
      <c r="R201" s="251"/>
      <c r="S201" s="251"/>
      <c r="T201" s="251"/>
      <c r="U201" s="251"/>
      <c r="V201" s="251"/>
      <c r="W201" s="251"/>
      <c r="X201" s="251"/>
      <c r="Y201" s="251"/>
      <c r="Z201" s="251"/>
      <c r="AA201" s="251"/>
      <c r="AB201" s="251"/>
    </row>
    <row r="202" ht="14.25" customHeight="1">
      <c r="A202" s="251"/>
      <c r="B202" s="263"/>
      <c r="C202" s="242" t="s">
        <v>6951</v>
      </c>
      <c r="D202" s="98" t="s">
        <v>271</v>
      </c>
      <c r="E202" s="240" t="s">
        <v>6952</v>
      </c>
      <c r="F202" s="258" t="s">
        <v>6807</v>
      </c>
      <c r="G202" s="240" t="s">
        <v>6953</v>
      </c>
      <c r="H202" s="240" t="s">
        <v>6954</v>
      </c>
      <c r="I202" s="84" t="s">
        <v>36</v>
      </c>
      <c r="J202" s="247" t="s">
        <v>1784</v>
      </c>
      <c r="K202" s="251"/>
      <c r="L202" s="251"/>
      <c r="M202" s="251"/>
      <c r="N202" s="251"/>
      <c r="O202" s="251"/>
      <c r="P202" s="251"/>
      <c r="Q202" s="251"/>
      <c r="R202" s="251"/>
      <c r="S202" s="251"/>
      <c r="T202" s="251"/>
      <c r="U202" s="251"/>
      <c r="V202" s="251"/>
      <c r="W202" s="251"/>
      <c r="X202" s="251"/>
      <c r="Y202" s="251"/>
      <c r="Z202" s="251"/>
      <c r="AA202" s="251"/>
      <c r="AB202" s="251"/>
    </row>
    <row r="203" ht="14.25" customHeight="1">
      <c r="A203" s="251"/>
      <c r="B203" s="263"/>
      <c r="C203" s="242" t="s">
        <v>6955</v>
      </c>
      <c r="D203" s="98" t="s">
        <v>271</v>
      </c>
      <c r="E203" s="240" t="s">
        <v>6952</v>
      </c>
      <c r="F203" s="258" t="s">
        <v>6956</v>
      </c>
      <c r="G203" s="240" t="s">
        <v>6957</v>
      </c>
      <c r="H203" s="240" t="s">
        <v>6958</v>
      </c>
      <c r="I203" s="84" t="s">
        <v>36</v>
      </c>
      <c r="J203" s="247" t="s">
        <v>1784</v>
      </c>
      <c r="K203" s="251"/>
      <c r="L203" s="251"/>
      <c r="M203" s="251"/>
      <c r="N203" s="251"/>
      <c r="O203" s="251"/>
      <c r="P203" s="251"/>
      <c r="Q203" s="251"/>
      <c r="R203" s="251"/>
      <c r="S203" s="251"/>
      <c r="T203" s="251"/>
      <c r="U203" s="251"/>
      <c r="V203" s="251"/>
      <c r="W203" s="251"/>
      <c r="X203" s="251"/>
      <c r="Y203" s="251"/>
      <c r="Z203" s="251"/>
      <c r="AA203" s="251"/>
      <c r="AB203" s="251"/>
    </row>
    <row r="204" ht="14.25" customHeight="1">
      <c r="A204" s="251"/>
      <c r="B204" s="263"/>
      <c r="C204" s="242" t="s">
        <v>6959</v>
      </c>
      <c r="D204" s="98" t="s">
        <v>271</v>
      </c>
      <c r="E204" s="240" t="s">
        <v>6952</v>
      </c>
      <c r="F204" s="258" t="s">
        <v>6960</v>
      </c>
      <c r="G204" s="240" t="s">
        <v>6961</v>
      </c>
      <c r="H204" s="240" t="s">
        <v>6962</v>
      </c>
      <c r="I204" s="84" t="s">
        <v>36</v>
      </c>
      <c r="J204" s="247" t="s">
        <v>1784</v>
      </c>
      <c r="K204" s="251"/>
      <c r="L204" s="251"/>
      <c r="M204" s="251"/>
      <c r="N204" s="251"/>
      <c r="O204" s="251"/>
      <c r="P204" s="251"/>
      <c r="Q204" s="251"/>
      <c r="R204" s="251"/>
      <c r="S204" s="251"/>
      <c r="T204" s="251"/>
      <c r="U204" s="251"/>
      <c r="V204" s="251"/>
      <c r="W204" s="251"/>
      <c r="X204" s="251"/>
      <c r="Y204" s="251"/>
      <c r="Z204" s="251"/>
      <c r="AA204" s="251"/>
      <c r="AB204" s="251"/>
    </row>
    <row r="205" ht="14.25" customHeight="1">
      <c r="A205" s="251"/>
      <c r="B205" s="263"/>
      <c r="C205" s="242" t="s">
        <v>6963</v>
      </c>
      <c r="D205" s="98" t="s">
        <v>271</v>
      </c>
      <c r="E205" s="240" t="s">
        <v>6952</v>
      </c>
      <c r="F205" s="258" t="s">
        <v>6964</v>
      </c>
      <c r="G205" s="240" t="s">
        <v>6965</v>
      </c>
      <c r="H205" s="240" t="s">
        <v>6966</v>
      </c>
      <c r="I205" s="84" t="s">
        <v>36</v>
      </c>
      <c r="J205" s="247" t="s">
        <v>1784</v>
      </c>
      <c r="K205" s="251"/>
      <c r="L205" s="251"/>
      <c r="M205" s="251"/>
      <c r="N205" s="251"/>
      <c r="O205" s="251"/>
      <c r="P205" s="251"/>
      <c r="Q205" s="251"/>
      <c r="R205" s="251"/>
      <c r="S205" s="251"/>
      <c r="T205" s="251"/>
      <c r="U205" s="251"/>
      <c r="V205" s="251"/>
      <c r="W205" s="251"/>
      <c r="X205" s="251"/>
      <c r="Y205" s="251"/>
      <c r="Z205" s="251"/>
      <c r="AA205" s="251"/>
      <c r="AB205" s="251"/>
    </row>
    <row r="206" ht="14.25" customHeight="1">
      <c r="A206" s="251"/>
      <c r="B206" s="263"/>
      <c r="C206" s="242" t="s">
        <v>6967</v>
      </c>
      <c r="D206" s="98" t="s">
        <v>271</v>
      </c>
      <c r="E206" s="240" t="s">
        <v>6952</v>
      </c>
      <c r="F206" s="258" t="s">
        <v>6968</v>
      </c>
      <c r="G206" s="240" t="s">
        <v>6969</v>
      </c>
      <c r="H206" s="240" t="s">
        <v>6970</v>
      </c>
      <c r="I206" s="84" t="s">
        <v>36</v>
      </c>
      <c r="J206" s="247" t="s">
        <v>1784</v>
      </c>
      <c r="K206" s="251"/>
      <c r="L206" s="251"/>
      <c r="M206" s="251"/>
      <c r="N206" s="251"/>
      <c r="O206" s="251"/>
      <c r="P206" s="251"/>
      <c r="Q206" s="251"/>
      <c r="R206" s="251"/>
      <c r="S206" s="251"/>
      <c r="T206" s="251"/>
      <c r="U206" s="251"/>
      <c r="V206" s="251"/>
      <c r="W206" s="251"/>
      <c r="X206" s="251"/>
      <c r="Y206" s="251"/>
      <c r="Z206" s="251"/>
      <c r="AA206" s="251"/>
      <c r="AB206" s="251"/>
    </row>
    <row r="207" ht="14.25" customHeight="1">
      <c r="A207" s="251"/>
      <c r="B207" s="263"/>
      <c r="C207" s="242" t="s">
        <v>6971</v>
      </c>
      <c r="D207" s="98" t="s">
        <v>271</v>
      </c>
      <c r="E207" s="240" t="s">
        <v>6952</v>
      </c>
      <c r="F207" s="258" t="s">
        <v>6972</v>
      </c>
      <c r="G207" s="240" t="s">
        <v>6973</v>
      </c>
      <c r="H207" s="240" t="s">
        <v>6974</v>
      </c>
      <c r="I207" s="84" t="s">
        <v>36</v>
      </c>
      <c r="J207" s="247" t="s">
        <v>1784</v>
      </c>
      <c r="K207" s="251"/>
      <c r="L207" s="251"/>
      <c r="M207" s="251"/>
      <c r="N207" s="251"/>
      <c r="O207" s="251"/>
      <c r="P207" s="251"/>
      <c r="Q207" s="251"/>
      <c r="R207" s="251"/>
      <c r="S207" s="251"/>
      <c r="T207" s="251"/>
      <c r="U207" s="251"/>
      <c r="V207" s="251"/>
      <c r="W207" s="251"/>
      <c r="X207" s="251"/>
      <c r="Y207" s="251"/>
      <c r="Z207" s="251"/>
      <c r="AA207" s="251"/>
      <c r="AB207" s="251"/>
    </row>
    <row r="208" ht="14.25" customHeight="1">
      <c r="A208" s="251"/>
      <c r="B208" s="263"/>
      <c r="C208" s="242" t="s">
        <v>6975</v>
      </c>
      <c r="D208" s="98" t="s">
        <v>271</v>
      </c>
      <c r="E208" s="240" t="s">
        <v>6952</v>
      </c>
      <c r="F208" s="258" t="s">
        <v>6972</v>
      </c>
      <c r="G208" s="240" t="s">
        <v>6836</v>
      </c>
      <c r="H208" s="240" t="s">
        <v>6976</v>
      </c>
      <c r="I208" s="84" t="s">
        <v>36</v>
      </c>
      <c r="J208" s="247" t="s">
        <v>1784</v>
      </c>
      <c r="K208" s="251"/>
      <c r="L208" s="251"/>
      <c r="M208" s="251"/>
      <c r="N208" s="251"/>
      <c r="O208" s="251"/>
      <c r="P208" s="251"/>
      <c r="Q208" s="251"/>
      <c r="R208" s="251"/>
      <c r="S208" s="251"/>
      <c r="T208" s="251"/>
      <c r="U208" s="251"/>
      <c r="V208" s="251"/>
      <c r="W208" s="251"/>
      <c r="X208" s="251"/>
      <c r="Y208" s="251"/>
      <c r="Z208" s="251"/>
      <c r="AA208" s="251"/>
      <c r="AB208" s="251"/>
    </row>
    <row r="209" ht="14.25" customHeight="1">
      <c r="A209" s="251"/>
      <c r="B209" s="263"/>
      <c r="C209" s="242" t="s">
        <v>6977</v>
      </c>
      <c r="D209" s="98" t="s">
        <v>271</v>
      </c>
      <c r="E209" s="240" t="s">
        <v>6952</v>
      </c>
      <c r="F209" s="258" t="s">
        <v>6972</v>
      </c>
      <c r="G209" s="240" t="s">
        <v>6839</v>
      </c>
      <c r="H209" s="240" t="s">
        <v>6840</v>
      </c>
      <c r="I209" s="84" t="s">
        <v>36</v>
      </c>
      <c r="J209" s="247" t="s">
        <v>1784</v>
      </c>
      <c r="K209" s="251"/>
      <c r="L209" s="251"/>
      <c r="M209" s="251"/>
      <c r="N209" s="251"/>
      <c r="O209" s="251"/>
      <c r="P209" s="251"/>
      <c r="Q209" s="251"/>
      <c r="R209" s="251"/>
      <c r="S209" s="251"/>
      <c r="T209" s="251"/>
      <c r="U209" s="251"/>
      <c r="V209" s="251"/>
      <c r="W209" s="251"/>
      <c r="X209" s="251"/>
      <c r="Y209" s="251"/>
      <c r="Z209" s="251"/>
      <c r="AA209" s="251"/>
      <c r="AB209" s="251"/>
    </row>
    <row r="210" ht="14.25" customHeight="1">
      <c r="A210" s="251"/>
      <c r="B210" s="263"/>
      <c r="C210" s="242" t="s">
        <v>6978</v>
      </c>
      <c r="D210" s="98" t="s">
        <v>271</v>
      </c>
      <c r="E210" s="240" t="s">
        <v>6952</v>
      </c>
      <c r="F210" s="258" t="s">
        <v>6972</v>
      </c>
      <c r="G210" s="240" t="s">
        <v>6846</v>
      </c>
      <c r="H210" s="240" t="s">
        <v>6847</v>
      </c>
      <c r="I210" s="84" t="s">
        <v>36</v>
      </c>
      <c r="J210" s="247" t="s">
        <v>1784</v>
      </c>
      <c r="K210" s="251"/>
      <c r="L210" s="251"/>
      <c r="M210" s="251"/>
      <c r="N210" s="251"/>
      <c r="O210" s="251"/>
      <c r="P210" s="251"/>
      <c r="Q210" s="251"/>
      <c r="R210" s="251"/>
      <c r="S210" s="251"/>
      <c r="T210" s="251"/>
      <c r="U210" s="251"/>
      <c r="V210" s="251"/>
      <c r="W210" s="251"/>
      <c r="X210" s="251"/>
      <c r="Y210" s="251"/>
      <c r="Z210" s="251"/>
      <c r="AA210" s="251"/>
      <c r="AB210" s="251"/>
    </row>
    <row r="211" ht="14.25" customHeight="1">
      <c r="A211" s="251"/>
      <c r="B211" s="263"/>
      <c r="C211" s="242" t="s">
        <v>6979</v>
      </c>
      <c r="D211" s="98" t="s">
        <v>271</v>
      </c>
      <c r="E211" s="240" t="s">
        <v>6952</v>
      </c>
      <c r="F211" s="258" t="s">
        <v>6980</v>
      </c>
      <c r="G211" s="240" t="s">
        <v>6981</v>
      </c>
      <c r="H211" s="240" t="s">
        <v>6982</v>
      </c>
      <c r="I211" s="84" t="s">
        <v>36</v>
      </c>
      <c r="J211" s="247" t="s">
        <v>1784</v>
      </c>
      <c r="K211" s="251"/>
      <c r="L211" s="251"/>
      <c r="M211" s="251"/>
      <c r="N211" s="251"/>
      <c r="O211" s="251"/>
      <c r="P211" s="251"/>
      <c r="Q211" s="251"/>
      <c r="R211" s="251"/>
      <c r="S211" s="251"/>
      <c r="T211" s="251"/>
      <c r="U211" s="251"/>
      <c r="V211" s="251"/>
      <c r="W211" s="251"/>
      <c r="X211" s="251"/>
      <c r="Y211" s="251"/>
      <c r="Z211" s="251"/>
      <c r="AA211" s="251"/>
      <c r="AB211" s="251"/>
    </row>
    <row r="212" ht="14.25" customHeight="1">
      <c r="A212" s="251"/>
      <c r="B212" s="263"/>
      <c r="C212" s="242" t="s">
        <v>6983</v>
      </c>
      <c r="D212" s="98" t="s">
        <v>271</v>
      </c>
      <c r="E212" s="240" t="s">
        <v>6952</v>
      </c>
      <c r="F212" s="258" t="s">
        <v>6980</v>
      </c>
      <c r="G212" s="240" t="s">
        <v>6853</v>
      </c>
      <c r="H212" s="240" t="s">
        <v>6984</v>
      </c>
      <c r="I212" s="84" t="s">
        <v>36</v>
      </c>
      <c r="J212" s="247" t="s">
        <v>1784</v>
      </c>
      <c r="K212" s="251"/>
      <c r="L212" s="251"/>
      <c r="M212" s="251"/>
      <c r="N212" s="251"/>
      <c r="O212" s="251"/>
      <c r="P212" s="251"/>
      <c r="Q212" s="251"/>
      <c r="R212" s="251"/>
      <c r="S212" s="251"/>
      <c r="T212" s="251"/>
      <c r="U212" s="251"/>
      <c r="V212" s="251"/>
      <c r="W212" s="251"/>
      <c r="X212" s="251"/>
      <c r="Y212" s="251"/>
      <c r="Z212" s="251"/>
      <c r="AA212" s="251"/>
      <c r="AB212" s="251"/>
    </row>
    <row r="213" ht="14.25" customHeight="1">
      <c r="A213" s="251"/>
      <c r="B213" s="263"/>
      <c r="C213" s="242" t="s">
        <v>6985</v>
      </c>
      <c r="D213" s="98" t="s">
        <v>271</v>
      </c>
      <c r="E213" s="240" t="s">
        <v>6952</v>
      </c>
      <c r="F213" s="258" t="s">
        <v>6986</v>
      </c>
      <c r="G213" s="240" t="s">
        <v>6987</v>
      </c>
      <c r="H213" s="240" t="s">
        <v>6988</v>
      </c>
      <c r="I213" s="84" t="s">
        <v>36</v>
      </c>
      <c r="J213" s="247" t="s">
        <v>1784</v>
      </c>
      <c r="K213" s="251"/>
      <c r="L213" s="251"/>
      <c r="M213" s="251"/>
      <c r="N213" s="251"/>
      <c r="O213" s="251"/>
      <c r="P213" s="251"/>
      <c r="Q213" s="251"/>
      <c r="R213" s="251"/>
      <c r="S213" s="251"/>
      <c r="T213" s="251"/>
      <c r="U213" s="251"/>
      <c r="V213" s="251"/>
      <c r="W213" s="251"/>
      <c r="X213" s="251"/>
      <c r="Y213" s="251"/>
      <c r="Z213" s="251"/>
      <c r="AA213" s="251"/>
      <c r="AB213" s="251"/>
    </row>
    <row r="214" ht="14.25" customHeight="1">
      <c r="A214" s="251"/>
      <c r="B214" s="263"/>
      <c r="C214" s="242" t="s">
        <v>6989</v>
      </c>
      <c r="D214" s="98" t="s">
        <v>271</v>
      </c>
      <c r="E214" s="240" t="s">
        <v>6952</v>
      </c>
      <c r="F214" s="258" t="s">
        <v>6986</v>
      </c>
      <c r="G214" s="240" t="s">
        <v>6990</v>
      </c>
      <c r="H214" s="240" t="s">
        <v>6991</v>
      </c>
      <c r="I214" s="84" t="s">
        <v>36</v>
      </c>
      <c r="J214" s="247" t="s">
        <v>1784</v>
      </c>
      <c r="K214" s="251"/>
      <c r="L214" s="251"/>
      <c r="M214" s="251"/>
      <c r="N214" s="251"/>
      <c r="O214" s="251"/>
      <c r="P214" s="251"/>
      <c r="Q214" s="251"/>
      <c r="R214" s="251"/>
      <c r="S214" s="251"/>
      <c r="T214" s="251"/>
      <c r="U214" s="251"/>
      <c r="V214" s="251"/>
      <c r="W214" s="251"/>
      <c r="X214" s="251"/>
      <c r="Y214" s="251"/>
      <c r="Z214" s="251"/>
      <c r="AA214" s="251"/>
      <c r="AB214" s="251"/>
    </row>
    <row r="215" ht="14.25" customHeight="1">
      <c r="A215" s="251"/>
      <c r="B215" s="263"/>
      <c r="C215" s="242" t="s">
        <v>6992</v>
      </c>
      <c r="D215" s="98" t="s">
        <v>271</v>
      </c>
      <c r="E215" s="240" t="s">
        <v>6952</v>
      </c>
      <c r="F215" s="258" t="s">
        <v>6993</v>
      </c>
      <c r="G215" s="240" t="s">
        <v>6994</v>
      </c>
      <c r="H215" s="240" t="s">
        <v>6995</v>
      </c>
      <c r="I215" s="84" t="s">
        <v>36</v>
      </c>
      <c r="J215" s="247" t="s">
        <v>1784</v>
      </c>
      <c r="K215" s="251"/>
      <c r="L215" s="251"/>
      <c r="M215" s="251"/>
      <c r="N215" s="251"/>
      <c r="O215" s="251"/>
      <c r="P215" s="251"/>
      <c r="Q215" s="251"/>
      <c r="R215" s="251"/>
      <c r="S215" s="251"/>
      <c r="T215" s="251"/>
      <c r="U215" s="251"/>
      <c r="V215" s="251"/>
      <c r="W215" s="251"/>
      <c r="X215" s="251"/>
      <c r="Y215" s="251"/>
      <c r="Z215" s="251"/>
      <c r="AA215" s="251"/>
      <c r="AB215" s="251"/>
    </row>
    <row r="216" ht="14.25" customHeight="1">
      <c r="A216" s="251"/>
      <c r="B216" s="263"/>
      <c r="C216" s="242" t="s">
        <v>6996</v>
      </c>
      <c r="D216" s="98" t="s">
        <v>271</v>
      </c>
      <c r="E216" s="240" t="s">
        <v>6952</v>
      </c>
      <c r="F216" s="258" t="s">
        <v>6993</v>
      </c>
      <c r="G216" s="240" t="s">
        <v>6888</v>
      </c>
      <c r="H216" s="240" t="s">
        <v>6889</v>
      </c>
      <c r="I216" s="84" t="s">
        <v>36</v>
      </c>
      <c r="J216" s="247" t="s">
        <v>1784</v>
      </c>
      <c r="K216" s="251"/>
      <c r="L216" s="251"/>
      <c r="M216" s="251"/>
      <c r="N216" s="251"/>
      <c r="O216" s="251"/>
      <c r="P216" s="251"/>
      <c r="Q216" s="251"/>
      <c r="R216" s="251"/>
      <c r="S216" s="251"/>
      <c r="T216" s="251"/>
      <c r="U216" s="251"/>
      <c r="V216" s="251"/>
      <c r="W216" s="251"/>
      <c r="X216" s="251"/>
      <c r="Y216" s="251"/>
      <c r="Z216" s="251"/>
      <c r="AA216" s="251"/>
      <c r="AB216" s="251"/>
    </row>
    <row r="217" ht="14.25" customHeight="1">
      <c r="A217" s="251"/>
      <c r="B217" s="263"/>
      <c r="C217" s="242" t="s">
        <v>6997</v>
      </c>
      <c r="D217" s="98" t="s">
        <v>271</v>
      </c>
      <c r="E217" s="240" t="s">
        <v>6952</v>
      </c>
      <c r="F217" s="258" t="s">
        <v>6993</v>
      </c>
      <c r="G217" s="240" t="s">
        <v>6891</v>
      </c>
      <c r="H217" s="240" t="s">
        <v>6998</v>
      </c>
      <c r="I217" s="84" t="s">
        <v>36</v>
      </c>
      <c r="J217" s="247" t="s">
        <v>1784</v>
      </c>
      <c r="K217" s="251"/>
      <c r="L217" s="251"/>
      <c r="M217" s="251"/>
      <c r="N217" s="251"/>
      <c r="O217" s="251"/>
      <c r="P217" s="251"/>
      <c r="Q217" s="251"/>
      <c r="R217" s="251"/>
      <c r="S217" s="251"/>
      <c r="T217" s="251"/>
      <c r="U217" s="251"/>
      <c r="V217" s="251"/>
      <c r="W217" s="251"/>
      <c r="X217" s="251"/>
      <c r="Y217" s="251"/>
      <c r="Z217" s="251"/>
      <c r="AA217" s="251"/>
      <c r="AB217" s="251"/>
    </row>
    <row r="218" ht="14.25" customHeight="1">
      <c r="A218" s="251"/>
      <c r="B218" s="263"/>
      <c r="C218" s="242" t="s">
        <v>6999</v>
      </c>
      <c r="D218" s="98" t="s">
        <v>271</v>
      </c>
      <c r="E218" s="240" t="s">
        <v>6952</v>
      </c>
      <c r="F218" s="258" t="s">
        <v>6993</v>
      </c>
      <c r="G218" s="240" t="s">
        <v>6894</v>
      </c>
      <c r="H218" s="240" t="s">
        <v>7000</v>
      </c>
      <c r="I218" s="84" t="s">
        <v>36</v>
      </c>
      <c r="J218" s="247" t="s">
        <v>1784</v>
      </c>
      <c r="K218" s="251"/>
      <c r="L218" s="251"/>
      <c r="M218" s="251"/>
      <c r="N218" s="251"/>
      <c r="O218" s="251"/>
      <c r="P218" s="251"/>
      <c r="Q218" s="251"/>
      <c r="R218" s="251"/>
      <c r="S218" s="251"/>
      <c r="T218" s="251"/>
      <c r="U218" s="251"/>
      <c r="V218" s="251"/>
      <c r="W218" s="251"/>
      <c r="X218" s="251"/>
      <c r="Y218" s="251"/>
      <c r="Z218" s="251"/>
      <c r="AA218" s="251"/>
      <c r="AB218" s="251"/>
    </row>
    <row r="219" ht="14.25" customHeight="1">
      <c r="A219" s="251"/>
      <c r="B219" s="263"/>
      <c r="C219" s="242" t="s">
        <v>7001</v>
      </c>
      <c r="D219" s="98" t="s">
        <v>271</v>
      </c>
      <c r="E219" s="240" t="s">
        <v>6952</v>
      </c>
      <c r="F219" s="258" t="s">
        <v>6993</v>
      </c>
      <c r="G219" s="240" t="s">
        <v>6897</v>
      </c>
      <c r="H219" s="240" t="s">
        <v>6898</v>
      </c>
      <c r="I219" s="84" t="s">
        <v>36</v>
      </c>
      <c r="J219" s="247" t="s">
        <v>1784</v>
      </c>
      <c r="K219" s="251"/>
      <c r="L219" s="251"/>
      <c r="M219" s="251"/>
      <c r="N219" s="251"/>
      <c r="O219" s="251"/>
      <c r="P219" s="251"/>
      <c r="Q219" s="251"/>
      <c r="R219" s="251"/>
      <c r="S219" s="251"/>
      <c r="T219" s="251"/>
      <c r="U219" s="251"/>
      <c r="V219" s="251"/>
      <c r="W219" s="251"/>
      <c r="X219" s="251"/>
      <c r="Y219" s="251"/>
      <c r="Z219" s="251"/>
      <c r="AA219" s="251"/>
      <c r="AB219" s="251"/>
    </row>
    <row r="220" ht="14.25" customHeight="1">
      <c r="A220" s="251"/>
      <c r="B220" s="263"/>
      <c r="C220" s="242" t="s">
        <v>7002</v>
      </c>
      <c r="D220" s="98" t="s">
        <v>271</v>
      </c>
      <c r="E220" s="240" t="s">
        <v>6952</v>
      </c>
      <c r="F220" s="258" t="s">
        <v>7003</v>
      </c>
      <c r="G220" s="240" t="s">
        <v>7004</v>
      </c>
      <c r="H220" s="240" t="s">
        <v>6921</v>
      </c>
      <c r="I220" s="84" t="s">
        <v>36</v>
      </c>
      <c r="J220" s="247" t="s">
        <v>1784</v>
      </c>
      <c r="K220" s="251"/>
      <c r="L220" s="251"/>
      <c r="M220" s="251"/>
      <c r="N220" s="251"/>
      <c r="O220" s="251"/>
      <c r="P220" s="251"/>
      <c r="Q220" s="251"/>
      <c r="R220" s="251"/>
      <c r="S220" s="251"/>
      <c r="T220" s="251"/>
      <c r="U220" s="251"/>
      <c r="V220" s="251"/>
      <c r="W220" s="251"/>
      <c r="X220" s="251"/>
      <c r="Y220" s="251"/>
      <c r="Z220" s="251"/>
      <c r="AA220" s="251"/>
      <c r="AB220" s="251"/>
    </row>
    <row r="221" ht="14.25" customHeight="1">
      <c r="A221" s="251"/>
      <c r="B221" s="263"/>
      <c r="C221" s="242" t="s">
        <v>7005</v>
      </c>
      <c r="D221" s="98" t="s">
        <v>271</v>
      </c>
      <c r="E221" s="240" t="s">
        <v>6952</v>
      </c>
      <c r="F221" s="258" t="s">
        <v>7006</v>
      </c>
      <c r="G221" s="240" t="s">
        <v>6924</v>
      </c>
      <c r="H221" s="240" t="s">
        <v>6925</v>
      </c>
      <c r="I221" s="84" t="s">
        <v>36</v>
      </c>
      <c r="J221" s="247" t="s">
        <v>1784</v>
      </c>
      <c r="K221" s="251"/>
      <c r="L221" s="251"/>
      <c r="M221" s="251"/>
      <c r="N221" s="251"/>
      <c r="O221" s="251"/>
      <c r="P221" s="251"/>
      <c r="Q221" s="251"/>
      <c r="R221" s="251"/>
      <c r="S221" s="251"/>
      <c r="T221" s="251"/>
      <c r="U221" s="251"/>
      <c r="V221" s="251"/>
      <c r="W221" s="251"/>
      <c r="X221" s="251"/>
      <c r="Y221" s="251"/>
      <c r="Z221" s="251"/>
      <c r="AA221" s="251"/>
      <c r="AB221" s="251"/>
    </row>
    <row r="222" ht="14.25" customHeight="1">
      <c r="A222" s="251"/>
      <c r="B222" s="263"/>
      <c r="C222" s="242" t="s">
        <v>7007</v>
      </c>
      <c r="D222" s="98" t="s">
        <v>271</v>
      </c>
      <c r="E222" s="240" t="s">
        <v>6952</v>
      </c>
      <c r="F222" s="258" t="s">
        <v>7003</v>
      </c>
      <c r="G222" s="240" t="s">
        <v>6927</v>
      </c>
      <c r="H222" s="240" t="s">
        <v>6928</v>
      </c>
      <c r="I222" s="84" t="s">
        <v>36</v>
      </c>
      <c r="J222" s="247" t="s">
        <v>1784</v>
      </c>
      <c r="K222" s="251"/>
      <c r="L222" s="251"/>
      <c r="M222" s="251"/>
      <c r="N222" s="251"/>
      <c r="O222" s="251"/>
      <c r="P222" s="251"/>
      <c r="Q222" s="251"/>
      <c r="R222" s="251"/>
      <c r="S222" s="251"/>
      <c r="T222" s="251"/>
      <c r="U222" s="251"/>
      <c r="V222" s="251"/>
      <c r="W222" s="251"/>
      <c r="X222" s="251"/>
      <c r="Y222" s="251"/>
      <c r="Z222" s="251"/>
      <c r="AA222" s="251"/>
      <c r="AB222" s="251"/>
    </row>
    <row r="223" ht="14.25" customHeight="1">
      <c r="A223" s="251"/>
      <c r="B223" s="263"/>
      <c r="C223" s="242" t="s">
        <v>7008</v>
      </c>
      <c r="D223" s="98" t="s">
        <v>271</v>
      </c>
      <c r="E223" s="240" t="s">
        <v>6952</v>
      </c>
      <c r="F223" s="258" t="s">
        <v>7003</v>
      </c>
      <c r="G223" s="240" t="s">
        <v>6930</v>
      </c>
      <c r="H223" s="240" t="s">
        <v>6931</v>
      </c>
      <c r="I223" s="84" t="s">
        <v>36</v>
      </c>
      <c r="J223" s="247" t="s">
        <v>1784</v>
      </c>
      <c r="K223" s="251"/>
      <c r="L223" s="251"/>
      <c r="M223" s="251"/>
      <c r="N223" s="251"/>
      <c r="O223" s="251"/>
      <c r="P223" s="251"/>
      <c r="Q223" s="251"/>
      <c r="R223" s="251"/>
      <c r="S223" s="251"/>
      <c r="T223" s="251"/>
      <c r="U223" s="251"/>
      <c r="V223" s="251"/>
      <c r="W223" s="251"/>
      <c r="X223" s="251"/>
      <c r="Y223" s="251"/>
      <c r="Z223" s="251"/>
      <c r="AA223" s="251"/>
      <c r="AB223" s="251"/>
    </row>
    <row r="224" ht="14.25" customHeight="1">
      <c r="A224" s="251"/>
      <c r="B224" s="263"/>
      <c r="C224" s="242" t="s">
        <v>7009</v>
      </c>
      <c r="D224" s="98" t="s">
        <v>271</v>
      </c>
      <c r="E224" s="240" t="s">
        <v>6952</v>
      </c>
      <c r="F224" s="258" t="s">
        <v>7003</v>
      </c>
      <c r="G224" s="240" t="s">
        <v>6933</v>
      </c>
      <c r="H224" s="240" t="s">
        <v>6934</v>
      </c>
      <c r="I224" s="84" t="s">
        <v>36</v>
      </c>
      <c r="J224" s="247" t="s">
        <v>1784</v>
      </c>
      <c r="K224" s="251"/>
      <c r="L224" s="251"/>
      <c r="M224" s="251"/>
      <c r="N224" s="251"/>
      <c r="O224" s="251"/>
      <c r="P224" s="251"/>
      <c r="Q224" s="251"/>
      <c r="R224" s="251"/>
      <c r="S224" s="251"/>
      <c r="T224" s="251"/>
      <c r="U224" s="251"/>
      <c r="V224" s="251"/>
      <c r="W224" s="251"/>
      <c r="X224" s="251"/>
      <c r="Y224" s="251"/>
      <c r="Z224" s="251"/>
      <c r="AA224" s="251"/>
      <c r="AB224" s="251"/>
    </row>
    <row r="225" ht="14.25" customHeight="1">
      <c r="A225" s="251"/>
      <c r="B225" s="263"/>
      <c r="C225" s="242" t="s">
        <v>7010</v>
      </c>
      <c r="D225" s="98" t="s">
        <v>271</v>
      </c>
      <c r="E225" s="240" t="s">
        <v>6952</v>
      </c>
      <c r="F225" s="258" t="s">
        <v>7006</v>
      </c>
      <c r="G225" s="240" t="s">
        <v>7011</v>
      </c>
      <c r="H225" s="240" t="s">
        <v>7012</v>
      </c>
      <c r="I225" s="84" t="s">
        <v>36</v>
      </c>
      <c r="J225" s="247" t="s">
        <v>1784</v>
      </c>
      <c r="K225" s="251"/>
      <c r="L225" s="251"/>
      <c r="M225" s="251"/>
      <c r="N225" s="251"/>
      <c r="O225" s="251"/>
      <c r="P225" s="251"/>
      <c r="Q225" s="251"/>
      <c r="R225" s="251"/>
      <c r="S225" s="251"/>
      <c r="T225" s="251"/>
      <c r="U225" s="251"/>
      <c r="V225" s="251"/>
      <c r="W225" s="251"/>
      <c r="X225" s="251"/>
      <c r="Y225" s="251"/>
      <c r="Z225" s="251"/>
      <c r="AA225" s="251"/>
      <c r="AB225" s="251"/>
    </row>
    <row r="226" ht="14.25" customHeight="1">
      <c r="A226" s="251"/>
      <c r="B226" s="263"/>
      <c r="C226" s="242" t="s">
        <v>7013</v>
      </c>
      <c r="D226" s="98" t="s">
        <v>271</v>
      </c>
      <c r="E226" s="240" t="s">
        <v>6952</v>
      </c>
      <c r="F226" s="258" t="s">
        <v>7006</v>
      </c>
      <c r="G226" s="240" t="s">
        <v>6939</v>
      </c>
      <c r="H226" s="240" t="s">
        <v>6940</v>
      </c>
      <c r="I226" s="84" t="s">
        <v>36</v>
      </c>
      <c r="J226" s="247" t="s">
        <v>1784</v>
      </c>
      <c r="K226" s="251"/>
      <c r="L226" s="251"/>
      <c r="M226" s="251"/>
      <c r="N226" s="251"/>
      <c r="O226" s="251"/>
      <c r="P226" s="251"/>
      <c r="Q226" s="251"/>
      <c r="R226" s="251"/>
      <c r="S226" s="251"/>
      <c r="T226" s="251"/>
      <c r="U226" s="251"/>
      <c r="V226" s="251"/>
      <c r="W226" s="251"/>
      <c r="X226" s="251"/>
      <c r="Y226" s="251"/>
      <c r="Z226" s="251"/>
      <c r="AA226" s="251"/>
      <c r="AB226" s="251"/>
    </row>
    <row r="227" ht="14.25" customHeight="1">
      <c r="A227" s="251"/>
      <c r="B227" s="263"/>
      <c r="C227" s="242" t="s">
        <v>7014</v>
      </c>
      <c r="D227" s="98" t="s">
        <v>271</v>
      </c>
      <c r="E227" s="240" t="s">
        <v>6952</v>
      </c>
      <c r="F227" s="258" t="s">
        <v>7015</v>
      </c>
      <c r="G227" s="240" t="s">
        <v>6949</v>
      </c>
      <c r="H227" s="240" t="s">
        <v>7016</v>
      </c>
      <c r="I227" s="84" t="s">
        <v>36</v>
      </c>
      <c r="J227" s="247" t="s">
        <v>1784</v>
      </c>
      <c r="K227" s="251"/>
      <c r="L227" s="251"/>
      <c r="M227" s="251"/>
      <c r="N227" s="251"/>
      <c r="O227" s="251"/>
      <c r="P227" s="251"/>
      <c r="Q227" s="251"/>
      <c r="R227" s="251"/>
      <c r="S227" s="251"/>
      <c r="T227" s="251"/>
      <c r="U227" s="251"/>
      <c r="V227" s="251"/>
      <c r="W227" s="251"/>
      <c r="X227" s="251"/>
      <c r="Y227" s="251"/>
      <c r="Z227" s="251"/>
      <c r="AA227" s="251"/>
      <c r="AB227" s="251"/>
    </row>
    <row r="228" ht="14.25" customHeight="1">
      <c r="A228" s="251"/>
      <c r="B228" s="263"/>
      <c r="C228" s="242" t="s">
        <v>7017</v>
      </c>
      <c r="D228" s="98" t="s">
        <v>271</v>
      </c>
      <c r="E228" s="240" t="s">
        <v>6952</v>
      </c>
      <c r="F228" s="258" t="s">
        <v>7015</v>
      </c>
      <c r="G228" s="240" t="s">
        <v>7018</v>
      </c>
      <c r="H228" s="240" t="s">
        <v>7019</v>
      </c>
      <c r="I228" s="84" t="s">
        <v>36</v>
      </c>
      <c r="J228" s="247" t="s">
        <v>1784</v>
      </c>
      <c r="K228" s="251"/>
      <c r="L228" s="251"/>
      <c r="M228" s="251"/>
      <c r="N228" s="251"/>
      <c r="O228" s="251"/>
      <c r="P228" s="251"/>
      <c r="Q228" s="251"/>
      <c r="R228" s="251"/>
      <c r="S228" s="251"/>
      <c r="T228" s="251"/>
      <c r="U228" s="251"/>
      <c r="V228" s="251"/>
      <c r="W228" s="251"/>
      <c r="X228" s="251"/>
      <c r="Y228" s="251"/>
      <c r="Z228" s="251"/>
      <c r="AA228" s="251"/>
      <c r="AB228" s="251"/>
    </row>
    <row r="229" ht="14.25" customHeight="1">
      <c r="A229" s="251"/>
      <c r="B229" s="263"/>
      <c r="C229" s="242" t="s">
        <v>7020</v>
      </c>
      <c r="D229" s="98" t="s">
        <v>271</v>
      </c>
      <c r="E229" s="240" t="s">
        <v>7021</v>
      </c>
      <c r="F229" s="258" t="s">
        <v>6807</v>
      </c>
      <c r="G229" s="240" t="s">
        <v>7022</v>
      </c>
      <c r="H229" s="240" t="s">
        <v>7023</v>
      </c>
      <c r="I229" s="84" t="s">
        <v>36</v>
      </c>
      <c r="J229" s="247" t="s">
        <v>1784</v>
      </c>
      <c r="K229" s="251"/>
      <c r="L229" s="251"/>
      <c r="M229" s="251"/>
      <c r="N229" s="251"/>
      <c r="O229" s="251"/>
      <c r="P229" s="251"/>
      <c r="Q229" s="251"/>
      <c r="R229" s="251"/>
      <c r="S229" s="251"/>
      <c r="T229" s="251"/>
      <c r="U229" s="251"/>
      <c r="V229" s="251"/>
      <c r="W229" s="251"/>
      <c r="X229" s="251"/>
      <c r="Y229" s="251"/>
      <c r="Z229" s="251"/>
      <c r="AA229" s="251"/>
      <c r="AB229" s="251"/>
    </row>
    <row r="230" ht="14.25" customHeight="1">
      <c r="A230" s="251"/>
      <c r="B230" s="263"/>
      <c r="C230" s="242" t="s">
        <v>7024</v>
      </c>
      <c r="D230" s="98" t="s">
        <v>271</v>
      </c>
      <c r="E230" s="240" t="s">
        <v>7021</v>
      </c>
      <c r="F230" s="258" t="s">
        <v>7025</v>
      </c>
      <c r="G230" s="240" t="s">
        <v>7026</v>
      </c>
      <c r="H230" s="240" t="s">
        <v>7027</v>
      </c>
      <c r="I230" s="84" t="s">
        <v>36</v>
      </c>
      <c r="J230" s="247" t="s">
        <v>1784</v>
      </c>
      <c r="K230" s="251"/>
      <c r="L230" s="251"/>
      <c r="M230" s="251"/>
      <c r="N230" s="251"/>
      <c r="O230" s="251"/>
      <c r="P230" s="251"/>
      <c r="Q230" s="251"/>
      <c r="R230" s="251"/>
      <c r="S230" s="251"/>
      <c r="T230" s="251"/>
      <c r="U230" s="251"/>
      <c r="V230" s="251"/>
      <c r="W230" s="251"/>
      <c r="X230" s="251"/>
      <c r="Y230" s="251"/>
      <c r="Z230" s="251"/>
      <c r="AA230" s="251"/>
      <c r="AB230" s="251"/>
    </row>
    <row r="231" ht="14.25" customHeight="1">
      <c r="A231" s="251"/>
      <c r="B231" s="263"/>
      <c r="C231" s="242" t="s">
        <v>7028</v>
      </c>
      <c r="D231" s="98" t="s">
        <v>271</v>
      </c>
      <c r="E231" s="240" t="s">
        <v>7021</v>
      </c>
      <c r="F231" s="258" t="s">
        <v>7029</v>
      </c>
      <c r="G231" s="240" t="s">
        <v>7030</v>
      </c>
      <c r="H231" s="240" t="s">
        <v>7031</v>
      </c>
      <c r="I231" s="84" t="s">
        <v>36</v>
      </c>
      <c r="J231" s="247" t="s">
        <v>1784</v>
      </c>
      <c r="K231" s="251"/>
      <c r="L231" s="251"/>
      <c r="M231" s="251"/>
      <c r="N231" s="251"/>
      <c r="O231" s="251"/>
      <c r="P231" s="251"/>
      <c r="Q231" s="251"/>
      <c r="R231" s="251"/>
      <c r="S231" s="251"/>
      <c r="T231" s="251"/>
      <c r="U231" s="251"/>
      <c r="V231" s="251"/>
      <c r="W231" s="251"/>
      <c r="X231" s="251"/>
      <c r="Y231" s="251"/>
      <c r="Z231" s="251"/>
      <c r="AA231" s="251"/>
      <c r="AB231" s="251"/>
    </row>
    <row r="232" ht="14.25" customHeight="1">
      <c r="A232" s="251"/>
      <c r="B232" s="263"/>
      <c r="C232" s="242" t="s">
        <v>7032</v>
      </c>
      <c r="D232" s="98" t="s">
        <v>271</v>
      </c>
      <c r="E232" s="240" t="s">
        <v>7021</v>
      </c>
      <c r="F232" s="258" t="s">
        <v>7033</v>
      </c>
      <c r="G232" s="240" t="s">
        <v>7034</v>
      </c>
      <c r="H232" s="240" t="s">
        <v>7035</v>
      </c>
      <c r="I232" s="84" t="s">
        <v>317</v>
      </c>
      <c r="J232" s="247" t="s">
        <v>1784</v>
      </c>
      <c r="K232" s="251"/>
      <c r="L232" s="251"/>
      <c r="M232" s="251"/>
      <c r="N232" s="251"/>
      <c r="O232" s="251"/>
      <c r="P232" s="251"/>
      <c r="Q232" s="251"/>
      <c r="R232" s="251"/>
      <c r="S232" s="251"/>
      <c r="T232" s="251"/>
      <c r="U232" s="251"/>
      <c r="V232" s="251"/>
      <c r="W232" s="251"/>
      <c r="X232" s="251"/>
      <c r="Y232" s="251"/>
      <c r="Z232" s="251"/>
      <c r="AA232" s="251"/>
      <c r="AB232" s="251"/>
    </row>
    <row r="233" ht="14.25" customHeight="1">
      <c r="A233" s="251"/>
      <c r="B233" s="263"/>
      <c r="C233" s="242" t="s">
        <v>7036</v>
      </c>
      <c r="D233" s="98" t="s">
        <v>271</v>
      </c>
      <c r="E233" s="240" t="s">
        <v>7021</v>
      </c>
      <c r="F233" s="258" t="s">
        <v>7033</v>
      </c>
      <c r="G233" s="240" t="s">
        <v>7037</v>
      </c>
      <c r="H233" s="240" t="s">
        <v>6824</v>
      </c>
      <c r="I233" s="84" t="s">
        <v>36</v>
      </c>
      <c r="J233" s="247" t="s">
        <v>1784</v>
      </c>
      <c r="K233" s="251"/>
      <c r="L233" s="251"/>
      <c r="M233" s="251"/>
      <c r="N233" s="251"/>
      <c r="O233" s="251"/>
      <c r="P233" s="251"/>
      <c r="Q233" s="251"/>
      <c r="R233" s="251"/>
      <c r="S233" s="251"/>
      <c r="T233" s="251"/>
      <c r="U233" s="251"/>
      <c r="V233" s="251"/>
      <c r="W233" s="251"/>
      <c r="X233" s="251"/>
      <c r="Y233" s="251"/>
      <c r="Z233" s="251"/>
      <c r="AA233" s="251"/>
      <c r="AB233" s="251"/>
    </row>
    <row r="234" ht="14.25" customHeight="1">
      <c r="A234" s="251"/>
      <c r="B234" s="263"/>
      <c r="C234" s="242" t="s">
        <v>7038</v>
      </c>
      <c r="D234" s="98" t="s">
        <v>271</v>
      </c>
      <c r="E234" s="240" t="s">
        <v>7021</v>
      </c>
      <c r="F234" s="258" t="s">
        <v>7033</v>
      </c>
      <c r="G234" s="240" t="s">
        <v>7039</v>
      </c>
      <c r="H234" s="240" t="s">
        <v>6827</v>
      </c>
      <c r="I234" s="84" t="s">
        <v>317</v>
      </c>
      <c r="J234" s="247" t="s">
        <v>1784</v>
      </c>
      <c r="K234" s="251"/>
      <c r="L234" s="251"/>
      <c r="M234" s="251"/>
      <c r="N234" s="251"/>
      <c r="O234" s="251"/>
      <c r="P234" s="251"/>
      <c r="Q234" s="251"/>
      <c r="R234" s="251"/>
      <c r="S234" s="251"/>
      <c r="T234" s="251"/>
      <c r="U234" s="251"/>
      <c r="V234" s="251"/>
      <c r="W234" s="251"/>
      <c r="X234" s="251"/>
      <c r="Y234" s="251"/>
      <c r="Z234" s="251"/>
      <c r="AA234" s="251"/>
      <c r="AB234" s="251"/>
    </row>
    <row r="235" ht="14.25" customHeight="1">
      <c r="A235" s="251"/>
      <c r="B235" s="263"/>
      <c r="C235" s="242" t="s">
        <v>7040</v>
      </c>
      <c r="D235" s="98" t="s">
        <v>271</v>
      </c>
      <c r="E235" s="240" t="s">
        <v>7021</v>
      </c>
      <c r="F235" s="258" t="s">
        <v>7033</v>
      </c>
      <c r="G235" s="240" t="s">
        <v>7041</v>
      </c>
      <c r="H235" s="240" t="s">
        <v>7042</v>
      </c>
      <c r="I235" s="84" t="s">
        <v>36</v>
      </c>
      <c r="J235" s="247" t="s">
        <v>1784</v>
      </c>
      <c r="K235" s="251"/>
      <c r="L235" s="251"/>
      <c r="M235" s="251"/>
      <c r="N235" s="251"/>
      <c r="O235" s="251"/>
      <c r="P235" s="251"/>
      <c r="Q235" s="251"/>
      <c r="R235" s="251"/>
      <c r="S235" s="251"/>
      <c r="T235" s="251"/>
      <c r="U235" s="251"/>
      <c r="V235" s="251"/>
      <c r="W235" s="251"/>
      <c r="X235" s="251"/>
      <c r="Y235" s="251"/>
      <c r="Z235" s="251"/>
      <c r="AA235" s="251"/>
      <c r="AB235" s="251"/>
    </row>
    <row r="236" ht="14.25" customHeight="1">
      <c r="A236" s="251"/>
      <c r="B236" s="263"/>
      <c r="C236" s="242" t="s">
        <v>7043</v>
      </c>
      <c r="D236" s="98" t="s">
        <v>271</v>
      </c>
      <c r="E236" s="240" t="s">
        <v>7021</v>
      </c>
      <c r="F236" s="258" t="s">
        <v>7044</v>
      </c>
      <c r="G236" s="240" t="s">
        <v>7045</v>
      </c>
      <c r="H236" s="240" t="s">
        <v>7046</v>
      </c>
      <c r="I236" s="84" t="s">
        <v>36</v>
      </c>
      <c r="J236" s="247" t="s">
        <v>1784</v>
      </c>
      <c r="K236" s="251"/>
      <c r="L236" s="251"/>
      <c r="M236" s="251"/>
      <c r="N236" s="251"/>
      <c r="O236" s="251"/>
      <c r="P236" s="251"/>
      <c r="Q236" s="251"/>
      <c r="R236" s="251"/>
      <c r="S236" s="251"/>
      <c r="T236" s="251"/>
      <c r="U236" s="251"/>
      <c r="V236" s="251"/>
      <c r="W236" s="251"/>
      <c r="X236" s="251"/>
      <c r="Y236" s="251"/>
      <c r="Z236" s="251"/>
      <c r="AA236" s="251"/>
      <c r="AB236" s="251"/>
    </row>
    <row r="237" ht="14.25" customHeight="1">
      <c r="A237" s="251"/>
      <c r="B237" s="263"/>
      <c r="C237" s="242" t="s">
        <v>7047</v>
      </c>
      <c r="D237" s="98" t="s">
        <v>271</v>
      </c>
      <c r="E237" s="240" t="s">
        <v>7021</v>
      </c>
      <c r="F237" s="258" t="s">
        <v>7044</v>
      </c>
      <c r="G237" s="240" t="s">
        <v>6836</v>
      </c>
      <c r="H237" s="240" t="s">
        <v>7048</v>
      </c>
      <c r="I237" s="84" t="s">
        <v>36</v>
      </c>
      <c r="J237" s="247" t="s">
        <v>1784</v>
      </c>
      <c r="K237" s="251"/>
      <c r="L237" s="251"/>
      <c r="M237" s="251"/>
      <c r="N237" s="251"/>
      <c r="O237" s="251"/>
      <c r="P237" s="251"/>
      <c r="Q237" s="251"/>
      <c r="R237" s="251"/>
      <c r="S237" s="251"/>
      <c r="T237" s="251"/>
      <c r="U237" s="251"/>
      <c r="V237" s="251"/>
      <c r="W237" s="251"/>
      <c r="X237" s="251"/>
      <c r="Y237" s="251"/>
      <c r="Z237" s="251"/>
      <c r="AA237" s="251"/>
      <c r="AB237" s="251"/>
    </row>
    <row r="238" ht="14.25" customHeight="1">
      <c r="A238" s="251"/>
      <c r="B238" s="263"/>
      <c r="C238" s="242" t="s">
        <v>7049</v>
      </c>
      <c r="D238" s="98" t="s">
        <v>271</v>
      </c>
      <c r="E238" s="240" t="s">
        <v>7021</v>
      </c>
      <c r="F238" s="258" t="s">
        <v>7044</v>
      </c>
      <c r="G238" s="240" t="s">
        <v>6839</v>
      </c>
      <c r="H238" s="240" t="s">
        <v>6840</v>
      </c>
      <c r="I238" s="84" t="s">
        <v>36</v>
      </c>
      <c r="J238" s="247" t="s">
        <v>1784</v>
      </c>
      <c r="K238" s="251"/>
      <c r="L238" s="251"/>
      <c r="M238" s="251"/>
      <c r="N238" s="251"/>
      <c r="O238" s="251"/>
      <c r="P238" s="251"/>
      <c r="Q238" s="251"/>
      <c r="R238" s="251"/>
      <c r="S238" s="251"/>
      <c r="T238" s="251"/>
      <c r="U238" s="251"/>
      <c r="V238" s="251"/>
      <c r="W238" s="251"/>
      <c r="X238" s="251"/>
      <c r="Y238" s="251"/>
      <c r="Z238" s="251"/>
      <c r="AA238" s="251"/>
      <c r="AB238" s="251"/>
    </row>
    <row r="239" ht="14.25" customHeight="1">
      <c r="A239" s="251"/>
      <c r="B239" s="263"/>
      <c r="C239" s="242" t="s">
        <v>7050</v>
      </c>
      <c r="D239" s="98" t="s">
        <v>271</v>
      </c>
      <c r="E239" s="240" t="s">
        <v>7021</v>
      </c>
      <c r="F239" s="258" t="s">
        <v>7051</v>
      </c>
      <c r="G239" s="240" t="s">
        <v>7052</v>
      </c>
      <c r="H239" s="240" t="s">
        <v>7053</v>
      </c>
      <c r="I239" s="84" t="s">
        <v>36</v>
      </c>
      <c r="J239" s="247" t="s">
        <v>1784</v>
      </c>
      <c r="K239" s="251"/>
      <c r="L239" s="251"/>
      <c r="M239" s="251"/>
      <c r="N239" s="251"/>
      <c r="O239" s="251"/>
      <c r="P239" s="251"/>
      <c r="Q239" s="251"/>
      <c r="R239" s="251"/>
      <c r="S239" s="251"/>
      <c r="T239" s="251"/>
      <c r="U239" s="251"/>
      <c r="V239" s="251"/>
      <c r="W239" s="251"/>
      <c r="X239" s="251"/>
      <c r="Y239" s="251"/>
      <c r="Z239" s="251"/>
      <c r="AA239" s="251"/>
      <c r="AB239" s="251"/>
    </row>
    <row r="240" ht="14.25" customHeight="1">
      <c r="A240" s="251"/>
      <c r="B240" s="263"/>
      <c r="C240" s="242" t="s">
        <v>7054</v>
      </c>
      <c r="D240" s="98" t="s">
        <v>271</v>
      </c>
      <c r="E240" s="240" t="s">
        <v>7021</v>
      </c>
      <c r="F240" s="258" t="s">
        <v>7044</v>
      </c>
      <c r="G240" s="240" t="s">
        <v>6846</v>
      </c>
      <c r="H240" s="240" t="s">
        <v>6847</v>
      </c>
      <c r="I240" s="84" t="s">
        <v>36</v>
      </c>
      <c r="J240" s="247" t="s">
        <v>1784</v>
      </c>
      <c r="K240" s="251"/>
      <c r="L240" s="251"/>
      <c r="M240" s="251"/>
      <c r="N240" s="251"/>
      <c r="O240" s="251"/>
      <c r="P240" s="251"/>
      <c r="Q240" s="251"/>
      <c r="R240" s="251"/>
      <c r="S240" s="251"/>
      <c r="T240" s="251"/>
      <c r="U240" s="251"/>
      <c r="V240" s="251"/>
      <c r="W240" s="251"/>
      <c r="X240" s="251"/>
      <c r="Y240" s="251"/>
      <c r="Z240" s="251"/>
      <c r="AA240" s="251"/>
      <c r="AB240" s="251"/>
    </row>
    <row r="241" ht="14.25" customHeight="1">
      <c r="A241" s="251"/>
      <c r="B241" s="263"/>
      <c r="C241" s="242" t="s">
        <v>7055</v>
      </c>
      <c r="D241" s="98" t="s">
        <v>271</v>
      </c>
      <c r="E241" s="240" t="s">
        <v>7021</v>
      </c>
      <c r="F241" s="258" t="s">
        <v>7056</v>
      </c>
      <c r="G241" s="240" t="s">
        <v>7057</v>
      </c>
      <c r="H241" s="240" t="s">
        <v>7058</v>
      </c>
      <c r="I241" s="84" t="s">
        <v>36</v>
      </c>
      <c r="J241" s="247" t="s">
        <v>1784</v>
      </c>
      <c r="K241" s="251"/>
      <c r="L241" s="251"/>
      <c r="M241" s="251"/>
      <c r="N241" s="251"/>
      <c r="O241" s="251"/>
      <c r="P241" s="251"/>
      <c r="Q241" s="251"/>
      <c r="R241" s="251"/>
      <c r="S241" s="251"/>
      <c r="T241" s="251"/>
      <c r="U241" s="251"/>
      <c r="V241" s="251"/>
      <c r="W241" s="251"/>
      <c r="X241" s="251"/>
      <c r="Y241" s="251"/>
      <c r="Z241" s="251"/>
      <c r="AA241" s="251"/>
      <c r="AB241" s="251"/>
    </row>
    <row r="242" ht="14.25" customHeight="1">
      <c r="A242" s="251"/>
      <c r="B242" s="263"/>
      <c r="C242" s="242" t="s">
        <v>7059</v>
      </c>
      <c r="D242" s="98" t="s">
        <v>271</v>
      </c>
      <c r="E242" s="240" t="s">
        <v>7021</v>
      </c>
      <c r="F242" s="258" t="s">
        <v>7056</v>
      </c>
      <c r="G242" s="240" t="s">
        <v>6853</v>
      </c>
      <c r="H242" s="240" t="s">
        <v>7060</v>
      </c>
      <c r="I242" s="84" t="s">
        <v>36</v>
      </c>
      <c r="J242" s="247" t="s">
        <v>1784</v>
      </c>
      <c r="K242" s="251"/>
      <c r="L242" s="251"/>
      <c r="M242" s="251"/>
      <c r="N242" s="251"/>
      <c r="O242" s="251"/>
      <c r="P242" s="251"/>
      <c r="Q242" s="251"/>
      <c r="R242" s="251"/>
      <c r="S242" s="251"/>
      <c r="T242" s="251"/>
      <c r="U242" s="251"/>
      <c r="V242" s="251"/>
      <c r="W242" s="251"/>
      <c r="X242" s="251"/>
      <c r="Y242" s="251"/>
      <c r="Z242" s="251"/>
      <c r="AA242" s="251"/>
      <c r="AB242" s="251"/>
    </row>
    <row r="243" ht="14.25" customHeight="1">
      <c r="A243" s="251"/>
      <c r="B243" s="263"/>
      <c r="C243" s="242" t="s">
        <v>7061</v>
      </c>
      <c r="D243" s="98" t="s">
        <v>271</v>
      </c>
      <c r="E243" s="240" t="s">
        <v>7021</v>
      </c>
      <c r="F243" s="258" t="s">
        <v>7056</v>
      </c>
      <c r="G243" s="240" t="s">
        <v>7062</v>
      </c>
      <c r="H243" s="240" t="s">
        <v>7063</v>
      </c>
      <c r="I243" s="84" t="s">
        <v>317</v>
      </c>
      <c r="J243" s="247" t="s">
        <v>1784</v>
      </c>
      <c r="K243" s="251"/>
      <c r="L243" s="251"/>
      <c r="M243" s="251"/>
      <c r="N243" s="251"/>
      <c r="O243" s="251"/>
      <c r="P243" s="251"/>
      <c r="Q243" s="251"/>
      <c r="R243" s="251"/>
      <c r="S243" s="251"/>
      <c r="T243" s="251"/>
      <c r="U243" s="251"/>
      <c r="V243" s="251"/>
      <c r="W243" s="251"/>
      <c r="X243" s="251"/>
      <c r="Y243" s="251"/>
      <c r="Z243" s="251"/>
      <c r="AA243" s="251"/>
      <c r="AB243" s="251"/>
    </row>
    <row r="244" ht="14.25" customHeight="1">
      <c r="A244" s="251"/>
      <c r="B244" s="263"/>
      <c r="C244" s="242" t="s">
        <v>7064</v>
      </c>
      <c r="D244" s="98" t="s">
        <v>271</v>
      </c>
      <c r="E244" s="240" t="s">
        <v>7021</v>
      </c>
      <c r="F244" s="258" t="s">
        <v>7065</v>
      </c>
      <c r="G244" s="240" t="s">
        <v>7066</v>
      </c>
      <c r="H244" s="240" t="s">
        <v>7067</v>
      </c>
      <c r="I244" s="84" t="s">
        <v>36</v>
      </c>
      <c r="J244" s="247" t="s">
        <v>1784</v>
      </c>
      <c r="K244" s="251"/>
      <c r="L244" s="251"/>
      <c r="M244" s="251"/>
      <c r="N244" s="251"/>
      <c r="O244" s="251"/>
      <c r="P244" s="251"/>
      <c r="Q244" s="251"/>
      <c r="R244" s="251"/>
      <c r="S244" s="251"/>
      <c r="T244" s="251"/>
      <c r="U244" s="251"/>
      <c r="V244" s="251"/>
      <c r="W244" s="251"/>
      <c r="X244" s="251"/>
      <c r="Y244" s="251"/>
      <c r="Z244" s="251"/>
      <c r="AA244" s="251"/>
      <c r="AB244" s="251"/>
    </row>
    <row r="245" ht="14.25" customHeight="1">
      <c r="A245" s="251"/>
      <c r="B245" s="263"/>
      <c r="C245" s="242" t="s">
        <v>7068</v>
      </c>
      <c r="D245" s="98" t="s">
        <v>271</v>
      </c>
      <c r="E245" s="240" t="s">
        <v>7021</v>
      </c>
      <c r="F245" s="258" t="s">
        <v>7065</v>
      </c>
      <c r="G245" s="240" t="s">
        <v>7069</v>
      </c>
      <c r="H245" s="240" t="s">
        <v>7070</v>
      </c>
      <c r="I245" s="84" t="s">
        <v>317</v>
      </c>
      <c r="J245" s="247" t="s">
        <v>1784</v>
      </c>
      <c r="K245" s="251"/>
      <c r="L245" s="251"/>
      <c r="M245" s="251"/>
      <c r="N245" s="251"/>
      <c r="O245" s="251"/>
      <c r="P245" s="251"/>
      <c r="Q245" s="251"/>
      <c r="R245" s="251"/>
      <c r="S245" s="251"/>
      <c r="T245" s="251"/>
      <c r="U245" s="251"/>
      <c r="V245" s="251"/>
      <c r="W245" s="251"/>
      <c r="X245" s="251"/>
      <c r="Y245" s="251"/>
      <c r="Z245" s="251"/>
      <c r="AA245" s="251"/>
      <c r="AB245" s="251"/>
    </row>
    <row r="246" ht="14.25" customHeight="1">
      <c r="A246" s="251"/>
      <c r="B246" s="263"/>
      <c r="C246" s="242" t="s">
        <v>7071</v>
      </c>
      <c r="D246" s="98" t="s">
        <v>271</v>
      </c>
      <c r="E246" s="240" t="s">
        <v>7021</v>
      </c>
      <c r="F246" s="258" t="s">
        <v>7065</v>
      </c>
      <c r="G246" s="240" t="s">
        <v>6866</v>
      </c>
      <c r="H246" s="240" t="s">
        <v>7072</v>
      </c>
      <c r="I246" s="84" t="s">
        <v>36</v>
      </c>
      <c r="J246" s="247" t="s">
        <v>1784</v>
      </c>
      <c r="K246" s="251"/>
      <c r="L246" s="251"/>
      <c r="M246" s="251"/>
      <c r="N246" s="251"/>
      <c r="O246" s="251"/>
      <c r="P246" s="251"/>
      <c r="Q246" s="251"/>
      <c r="R246" s="251"/>
      <c r="S246" s="251"/>
      <c r="T246" s="251"/>
      <c r="U246" s="251"/>
      <c r="V246" s="251"/>
      <c r="W246" s="251"/>
      <c r="X246" s="251"/>
      <c r="Y246" s="251"/>
      <c r="Z246" s="251"/>
      <c r="AA246" s="251"/>
      <c r="AB246" s="251"/>
    </row>
    <row r="247" ht="14.25" customHeight="1">
      <c r="A247" s="251"/>
      <c r="B247" s="263"/>
      <c r="C247" s="242" t="s">
        <v>7073</v>
      </c>
      <c r="D247" s="98" t="s">
        <v>271</v>
      </c>
      <c r="E247" s="240" t="s">
        <v>7021</v>
      </c>
      <c r="F247" s="258" t="s">
        <v>7065</v>
      </c>
      <c r="G247" s="240" t="s">
        <v>6869</v>
      </c>
      <c r="H247" s="240" t="s">
        <v>6870</v>
      </c>
      <c r="I247" s="84" t="s">
        <v>317</v>
      </c>
      <c r="J247" s="247" t="s">
        <v>1784</v>
      </c>
      <c r="K247" s="251"/>
      <c r="L247" s="251"/>
      <c r="M247" s="251"/>
      <c r="N247" s="251"/>
      <c r="O247" s="251"/>
      <c r="P247" s="251"/>
      <c r="Q247" s="251"/>
      <c r="R247" s="251"/>
      <c r="S247" s="251"/>
      <c r="T247" s="251"/>
      <c r="U247" s="251"/>
      <c r="V247" s="251"/>
      <c r="W247" s="251"/>
      <c r="X247" s="251"/>
      <c r="Y247" s="251"/>
      <c r="Z247" s="251"/>
      <c r="AA247" s="251"/>
      <c r="AB247" s="251"/>
    </row>
    <row r="248" ht="14.25" customHeight="1">
      <c r="A248" s="251"/>
      <c r="B248" s="263"/>
      <c r="C248" s="242" t="s">
        <v>7074</v>
      </c>
      <c r="D248" s="98" t="s">
        <v>271</v>
      </c>
      <c r="E248" s="240" t="s">
        <v>7021</v>
      </c>
      <c r="F248" s="258" t="s">
        <v>7033</v>
      </c>
      <c r="G248" s="240" t="s">
        <v>6872</v>
      </c>
      <c r="H248" s="240" t="s">
        <v>6873</v>
      </c>
      <c r="I248" s="84" t="s">
        <v>36</v>
      </c>
      <c r="J248" s="247" t="s">
        <v>1784</v>
      </c>
      <c r="K248" s="251"/>
      <c r="L248" s="251"/>
      <c r="M248" s="251"/>
      <c r="N248" s="251"/>
      <c r="O248" s="251"/>
      <c r="P248" s="251"/>
      <c r="Q248" s="251"/>
      <c r="R248" s="251"/>
      <c r="S248" s="251"/>
      <c r="T248" s="251"/>
      <c r="U248" s="251"/>
      <c r="V248" s="251"/>
      <c r="W248" s="251"/>
      <c r="X248" s="251"/>
      <c r="Y248" s="251"/>
      <c r="Z248" s="251"/>
      <c r="AA248" s="251"/>
      <c r="AB248" s="251"/>
    </row>
    <row r="249" ht="14.25" customHeight="1">
      <c r="A249" s="251"/>
      <c r="B249" s="263"/>
      <c r="C249" s="242" t="s">
        <v>7075</v>
      </c>
      <c r="D249" s="98" t="s">
        <v>271</v>
      </c>
      <c r="E249" s="240" t="s">
        <v>7021</v>
      </c>
      <c r="F249" s="258" t="s">
        <v>7076</v>
      </c>
      <c r="G249" s="240" t="s">
        <v>7077</v>
      </c>
      <c r="H249" s="240" t="s">
        <v>6877</v>
      </c>
      <c r="I249" s="84" t="s">
        <v>317</v>
      </c>
      <c r="J249" s="247" t="s">
        <v>1784</v>
      </c>
      <c r="K249" s="251"/>
      <c r="L249" s="251"/>
      <c r="M249" s="251"/>
      <c r="N249" s="251"/>
      <c r="O249" s="251"/>
      <c r="P249" s="251"/>
      <c r="Q249" s="251"/>
      <c r="R249" s="251"/>
      <c r="S249" s="251"/>
      <c r="T249" s="251"/>
      <c r="U249" s="251"/>
      <c r="V249" s="251"/>
      <c r="W249" s="251"/>
      <c r="X249" s="251"/>
      <c r="Y249" s="251"/>
      <c r="Z249" s="251"/>
      <c r="AA249" s="251"/>
      <c r="AB249" s="251"/>
    </row>
    <row r="250" ht="14.25" customHeight="1">
      <c r="A250" s="251"/>
      <c r="B250" s="263"/>
      <c r="C250" s="242" t="s">
        <v>7078</v>
      </c>
      <c r="D250" s="98" t="s">
        <v>271</v>
      </c>
      <c r="E250" s="240" t="s">
        <v>7021</v>
      </c>
      <c r="F250" s="258" t="s">
        <v>7076</v>
      </c>
      <c r="G250" s="240" t="s">
        <v>6879</v>
      </c>
      <c r="H250" s="240" t="s">
        <v>7079</v>
      </c>
      <c r="I250" s="84" t="s">
        <v>317</v>
      </c>
      <c r="J250" s="247" t="s">
        <v>1784</v>
      </c>
      <c r="K250" s="251"/>
      <c r="L250" s="251"/>
      <c r="M250" s="251"/>
      <c r="N250" s="251"/>
      <c r="O250" s="251"/>
      <c r="P250" s="251"/>
      <c r="Q250" s="251"/>
      <c r="R250" s="251"/>
      <c r="S250" s="251"/>
      <c r="T250" s="251"/>
      <c r="U250" s="251"/>
      <c r="V250" s="251"/>
      <c r="W250" s="251"/>
      <c r="X250" s="251"/>
      <c r="Y250" s="251"/>
      <c r="Z250" s="251"/>
      <c r="AA250" s="251"/>
      <c r="AB250" s="251"/>
    </row>
    <row r="251" ht="14.25" customHeight="1">
      <c r="A251" s="251"/>
      <c r="B251" s="263"/>
      <c r="C251" s="242" t="s">
        <v>7080</v>
      </c>
      <c r="D251" s="98" t="s">
        <v>271</v>
      </c>
      <c r="E251" s="240" t="s">
        <v>7021</v>
      </c>
      <c r="F251" s="258" t="s">
        <v>7076</v>
      </c>
      <c r="G251" s="240" t="s">
        <v>6882</v>
      </c>
      <c r="H251" s="240" t="s">
        <v>6883</v>
      </c>
      <c r="I251" s="84" t="s">
        <v>317</v>
      </c>
      <c r="J251" s="247" t="s">
        <v>1784</v>
      </c>
      <c r="K251" s="251"/>
      <c r="L251" s="251"/>
      <c r="M251" s="251"/>
      <c r="N251" s="251"/>
      <c r="O251" s="251"/>
      <c r="P251" s="251"/>
      <c r="Q251" s="251"/>
      <c r="R251" s="251"/>
      <c r="S251" s="251"/>
      <c r="T251" s="251"/>
      <c r="U251" s="251"/>
      <c r="V251" s="251"/>
      <c r="W251" s="251"/>
      <c r="X251" s="251"/>
      <c r="Y251" s="251"/>
      <c r="Z251" s="251"/>
      <c r="AA251" s="251"/>
      <c r="AB251" s="251"/>
    </row>
    <row r="252" ht="14.25" customHeight="1">
      <c r="A252" s="251"/>
      <c r="B252" s="263"/>
      <c r="C252" s="242" t="s">
        <v>7081</v>
      </c>
      <c r="D252" s="98" t="s">
        <v>271</v>
      </c>
      <c r="E252" s="240" t="s">
        <v>7021</v>
      </c>
      <c r="F252" s="258" t="s">
        <v>7076</v>
      </c>
      <c r="G252" s="240" t="s">
        <v>6888</v>
      </c>
      <c r="H252" s="240" t="s">
        <v>6889</v>
      </c>
      <c r="I252" s="84" t="s">
        <v>36</v>
      </c>
      <c r="J252" s="247" t="s">
        <v>1784</v>
      </c>
      <c r="K252" s="251"/>
      <c r="L252" s="251"/>
      <c r="M252" s="251"/>
      <c r="N252" s="251"/>
      <c r="O252" s="251"/>
      <c r="P252" s="251"/>
      <c r="Q252" s="251"/>
      <c r="R252" s="251"/>
      <c r="S252" s="251"/>
      <c r="T252" s="251"/>
      <c r="U252" s="251"/>
      <c r="V252" s="251"/>
      <c r="W252" s="251"/>
      <c r="X252" s="251"/>
      <c r="Y252" s="251"/>
      <c r="Z252" s="251"/>
      <c r="AA252" s="251"/>
      <c r="AB252" s="251"/>
    </row>
    <row r="253" ht="14.25" customHeight="1">
      <c r="A253" s="251"/>
      <c r="B253" s="263"/>
      <c r="C253" s="242" t="s">
        <v>7082</v>
      </c>
      <c r="D253" s="98" t="s">
        <v>271</v>
      </c>
      <c r="E253" s="240" t="s">
        <v>7021</v>
      </c>
      <c r="F253" s="258" t="s">
        <v>7076</v>
      </c>
      <c r="G253" s="240" t="s">
        <v>6891</v>
      </c>
      <c r="H253" s="240" t="s">
        <v>7083</v>
      </c>
      <c r="I253" s="84" t="s">
        <v>36</v>
      </c>
      <c r="J253" s="247" t="s">
        <v>1784</v>
      </c>
      <c r="K253" s="251"/>
      <c r="L253" s="251"/>
      <c r="M253" s="251"/>
      <c r="N253" s="251"/>
      <c r="O253" s="251"/>
      <c r="P253" s="251"/>
      <c r="Q253" s="251"/>
      <c r="R253" s="251"/>
      <c r="S253" s="251"/>
      <c r="T253" s="251"/>
      <c r="U253" s="251"/>
      <c r="V253" s="251"/>
      <c r="W253" s="251"/>
      <c r="X253" s="251"/>
      <c r="Y253" s="251"/>
      <c r="Z253" s="251"/>
      <c r="AA253" s="251"/>
      <c r="AB253" s="251"/>
    </row>
    <row r="254" ht="14.25" customHeight="1">
      <c r="A254" s="251"/>
      <c r="B254" s="263"/>
      <c r="C254" s="242" t="s">
        <v>7084</v>
      </c>
      <c r="D254" s="98" t="s">
        <v>271</v>
      </c>
      <c r="E254" s="240" t="s">
        <v>7021</v>
      </c>
      <c r="F254" s="258" t="s">
        <v>7076</v>
      </c>
      <c r="G254" s="240" t="s">
        <v>6894</v>
      </c>
      <c r="H254" s="240" t="s">
        <v>6895</v>
      </c>
      <c r="I254" s="84" t="s">
        <v>36</v>
      </c>
      <c r="J254" s="247" t="s">
        <v>1784</v>
      </c>
      <c r="K254" s="251"/>
      <c r="L254" s="251"/>
      <c r="M254" s="251"/>
      <c r="N254" s="251"/>
      <c r="O254" s="251"/>
      <c r="P254" s="251"/>
      <c r="Q254" s="251"/>
      <c r="R254" s="251"/>
      <c r="S254" s="251"/>
      <c r="T254" s="251"/>
      <c r="U254" s="251"/>
      <c r="V254" s="251"/>
      <c r="W254" s="251"/>
      <c r="X254" s="251"/>
      <c r="Y254" s="251"/>
      <c r="Z254" s="251"/>
      <c r="AA254" s="251"/>
      <c r="AB254" s="251"/>
    </row>
    <row r="255" ht="14.25" customHeight="1">
      <c r="A255" s="251"/>
      <c r="B255" s="263"/>
      <c r="C255" s="242" t="s">
        <v>7085</v>
      </c>
      <c r="D255" s="98" t="s">
        <v>271</v>
      </c>
      <c r="E255" s="240" t="s">
        <v>7021</v>
      </c>
      <c r="F255" s="258" t="s">
        <v>7076</v>
      </c>
      <c r="G255" s="240" t="s">
        <v>6897</v>
      </c>
      <c r="H255" s="240" t="s">
        <v>6898</v>
      </c>
      <c r="I255" s="84" t="s">
        <v>36</v>
      </c>
      <c r="J255" s="247" t="s">
        <v>1784</v>
      </c>
      <c r="K255" s="251"/>
      <c r="L255" s="251"/>
      <c r="M255" s="251"/>
      <c r="N255" s="251"/>
      <c r="O255" s="251"/>
      <c r="P255" s="251"/>
      <c r="Q255" s="251"/>
      <c r="R255" s="251"/>
      <c r="S255" s="251"/>
      <c r="T255" s="251"/>
      <c r="U255" s="251"/>
      <c r="V255" s="251"/>
      <c r="W255" s="251"/>
      <c r="X255" s="251"/>
      <c r="Y255" s="251"/>
      <c r="Z255" s="251"/>
      <c r="AA255" s="251"/>
      <c r="AB255" s="251"/>
    </row>
    <row r="256" ht="14.25" customHeight="1">
      <c r="A256" s="251"/>
      <c r="B256" s="263"/>
      <c r="C256" s="242" t="s">
        <v>7086</v>
      </c>
      <c r="D256" s="98" t="s">
        <v>271</v>
      </c>
      <c r="E256" s="240" t="s">
        <v>7021</v>
      </c>
      <c r="F256" s="258" t="s">
        <v>7087</v>
      </c>
      <c r="G256" s="240" t="s">
        <v>7088</v>
      </c>
      <c r="H256" s="240" t="s">
        <v>7089</v>
      </c>
      <c r="I256" s="84" t="s">
        <v>36</v>
      </c>
      <c r="J256" s="247" t="s">
        <v>1784</v>
      </c>
      <c r="K256" s="251"/>
      <c r="L256" s="251"/>
      <c r="M256" s="251"/>
      <c r="N256" s="251"/>
      <c r="O256" s="251"/>
      <c r="P256" s="251"/>
      <c r="Q256" s="251"/>
      <c r="R256" s="251"/>
      <c r="S256" s="251"/>
      <c r="T256" s="251"/>
      <c r="U256" s="251"/>
      <c r="V256" s="251"/>
      <c r="W256" s="251"/>
      <c r="X256" s="251"/>
      <c r="Y256" s="251"/>
      <c r="Z256" s="251"/>
      <c r="AA256" s="251"/>
      <c r="AB256" s="251"/>
    </row>
    <row r="257" ht="14.25" customHeight="1">
      <c r="A257" s="251"/>
      <c r="B257" s="263"/>
      <c r="C257" s="242" t="s">
        <v>7090</v>
      </c>
      <c r="D257" s="98" t="s">
        <v>271</v>
      </c>
      <c r="E257" s="240" t="s">
        <v>7021</v>
      </c>
      <c r="F257" s="258" t="s">
        <v>7087</v>
      </c>
      <c r="G257" s="240" t="s">
        <v>6904</v>
      </c>
      <c r="H257" s="240" t="s">
        <v>6905</v>
      </c>
      <c r="I257" s="84" t="s">
        <v>36</v>
      </c>
      <c r="J257" s="247" t="s">
        <v>1784</v>
      </c>
      <c r="K257" s="251"/>
      <c r="L257" s="251"/>
      <c r="M257" s="251"/>
      <c r="N257" s="251"/>
      <c r="O257" s="251"/>
      <c r="P257" s="251"/>
      <c r="Q257" s="251"/>
      <c r="R257" s="251"/>
      <c r="S257" s="251"/>
      <c r="T257" s="251"/>
      <c r="U257" s="251"/>
      <c r="V257" s="251"/>
      <c r="W257" s="251"/>
      <c r="X257" s="251"/>
      <c r="Y257" s="251"/>
      <c r="Z257" s="251"/>
      <c r="AA257" s="251"/>
      <c r="AB257" s="251"/>
    </row>
    <row r="258" ht="14.25" customHeight="1">
      <c r="A258" s="251"/>
      <c r="B258" s="263"/>
      <c r="C258" s="242" t="s">
        <v>7091</v>
      </c>
      <c r="D258" s="98" t="s">
        <v>271</v>
      </c>
      <c r="E258" s="240" t="s">
        <v>7021</v>
      </c>
      <c r="F258" s="258" t="s">
        <v>7087</v>
      </c>
      <c r="G258" s="240" t="s">
        <v>6907</v>
      </c>
      <c r="H258" s="240" t="s">
        <v>7092</v>
      </c>
      <c r="I258" s="84" t="s">
        <v>317</v>
      </c>
      <c r="J258" s="247" t="s">
        <v>1784</v>
      </c>
      <c r="K258" s="251"/>
      <c r="L258" s="251"/>
      <c r="M258" s="251"/>
      <c r="N258" s="251"/>
      <c r="O258" s="251"/>
      <c r="P258" s="251"/>
      <c r="Q258" s="251"/>
      <c r="R258" s="251"/>
      <c r="S258" s="251"/>
      <c r="T258" s="251"/>
      <c r="U258" s="251"/>
      <c r="V258" s="251"/>
      <c r="W258" s="251"/>
      <c r="X258" s="251"/>
      <c r="Y258" s="251"/>
      <c r="Z258" s="251"/>
      <c r="AA258" s="251"/>
      <c r="AB258" s="251"/>
    </row>
    <row r="259" ht="14.25" customHeight="1">
      <c r="A259" s="251"/>
      <c r="B259" s="263"/>
      <c r="C259" s="242" t="s">
        <v>7093</v>
      </c>
      <c r="D259" s="98" t="s">
        <v>271</v>
      </c>
      <c r="E259" s="240" t="s">
        <v>7021</v>
      </c>
      <c r="F259" s="258" t="s">
        <v>7087</v>
      </c>
      <c r="G259" s="240" t="s">
        <v>6910</v>
      </c>
      <c r="H259" s="240" t="s">
        <v>7094</v>
      </c>
      <c r="I259" s="84" t="s">
        <v>36</v>
      </c>
      <c r="J259" s="247" t="s">
        <v>1784</v>
      </c>
      <c r="K259" s="251"/>
      <c r="L259" s="251"/>
      <c r="M259" s="251"/>
      <c r="N259" s="251"/>
      <c r="O259" s="251"/>
      <c r="P259" s="251"/>
      <c r="Q259" s="251"/>
      <c r="R259" s="251"/>
      <c r="S259" s="251"/>
      <c r="T259" s="251"/>
      <c r="U259" s="251"/>
      <c r="V259" s="251"/>
      <c r="W259" s="251"/>
      <c r="X259" s="251"/>
      <c r="Y259" s="251"/>
      <c r="Z259" s="251"/>
      <c r="AA259" s="251"/>
      <c r="AB259" s="251"/>
    </row>
    <row r="260" ht="14.25" customHeight="1">
      <c r="A260" s="251"/>
      <c r="B260" s="263"/>
      <c r="C260" s="242" t="s">
        <v>7095</v>
      </c>
      <c r="D260" s="98" t="s">
        <v>271</v>
      </c>
      <c r="E260" s="240" t="s">
        <v>7021</v>
      </c>
      <c r="F260" s="258" t="s">
        <v>7087</v>
      </c>
      <c r="G260" s="240" t="s">
        <v>6913</v>
      </c>
      <c r="H260" s="240" t="s">
        <v>6914</v>
      </c>
      <c r="I260" s="84" t="s">
        <v>317</v>
      </c>
      <c r="J260" s="247" t="s">
        <v>1784</v>
      </c>
      <c r="K260" s="251"/>
      <c r="L260" s="251"/>
      <c r="M260" s="251"/>
      <c r="N260" s="251"/>
      <c r="O260" s="251"/>
      <c r="P260" s="251"/>
      <c r="Q260" s="251"/>
      <c r="R260" s="251"/>
      <c r="S260" s="251"/>
      <c r="T260" s="251"/>
      <c r="U260" s="251"/>
      <c r="V260" s="251"/>
      <c r="W260" s="251"/>
      <c r="X260" s="251"/>
      <c r="Y260" s="251"/>
      <c r="Z260" s="251"/>
      <c r="AA260" s="251"/>
      <c r="AB260" s="251"/>
    </row>
    <row r="261" ht="14.25" customHeight="1">
      <c r="A261" s="251"/>
      <c r="B261" s="263"/>
      <c r="C261" s="242" t="s">
        <v>7096</v>
      </c>
      <c r="D261" s="98" t="s">
        <v>271</v>
      </c>
      <c r="E261" s="264"/>
      <c r="F261" s="258" t="s">
        <v>6900</v>
      </c>
      <c r="G261" s="240" t="s">
        <v>6916</v>
      </c>
      <c r="H261" s="240" t="s">
        <v>6917</v>
      </c>
      <c r="I261" s="84" t="s">
        <v>36</v>
      </c>
      <c r="J261" s="247" t="s">
        <v>1784</v>
      </c>
      <c r="K261" s="251"/>
      <c r="L261" s="251"/>
      <c r="M261" s="251"/>
      <c r="N261" s="251"/>
      <c r="O261" s="251"/>
      <c r="P261" s="251"/>
      <c r="Q261" s="251"/>
      <c r="R261" s="251"/>
      <c r="S261" s="251"/>
      <c r="T261" s="251"/>
      <c r="U261" s="251"/>
      <c r="V261" s="251"/>
      <c r="W261" s="251"/>
      <c r="X261" s="251"/>
      <c r="Y261" s="251"/>
      <c r="Z261" s="251"/>
      <c r="AA261" s="251"/>
      <c r="AB261" s="251"/>
    </row>
    <row r="262" ht="14.25" customHeight="1">
      <c r="A262" s="251"/>
      <c r="B262" s="263"/>
      <c r="C262" s="242" t="s">
        <v>7097</v>
      </c>
      <c r="D262" s="98" t="s">
        <v>271</v>
      </c>
      <c r="E262" s="240" t="s">
        <v>7021</v>
      </c>
      <c r="F262" s="258" t="s">
        <v>7098</v>
      </c>
      <c r="G262" s="240" t="s">
        <v>7099</v>
      </c>
      <c r="H262" s="240" t="s">
        <v>6921</v>
      </c>
      <c r="I262" s="84" t="s">
        <v>36</v>
      </c>
      <c r="J262" s="247" t="s">
        <v>1784</v>
      </c>
      <c r="K262" s="251"/>
      <c r="L262" s="251"/>
      <c r="M262" s="251"/>
      <c r="N262" s="251"/>
      <c r="O262" s="251"/>
      <c r="P262" s="251"/>
      <c r="Q262" s="251"/>
      <c r="R262" s="251"/>
      <c r="S262" s="251"/>
      <c r="T262" s="251"/>
      <c r="U262" s="251"/>
      <c r="V262" s="251"/>
      <c r="W262" s="251"/>
      <c r="X262" s="251"/>
      <c r="Y262" s="251"/>
      <c r="Z262" s="251"/>
      <c r="AA262" s="251"/>
      <c r="AB262" s="251"/>
    </row>
    <row r="263" ht="14.25" customHeight="1">
      <c r="A263" s="251"/>
      <c r="B263" s="263"/>
      <c r="C263" s="242" t="s">
        <v>7100</v>
      </c>
      <c r="D263" s="98" t="s">
        <v>271</v>
      </c>
      <c r="E263" s="240" t="s">
        <v>7021</v>
      </c>
      <c r="F263" s="258" t="s">
        <v>7101</v>
      </c>
      <c r="G263" s="240" t="s">
        <v>6924</v>
      </c>
      <c r="H263" s="240" t="s">
        <v>6925</v>
      </c>
      <c r="I263" s="84" t="s">
        <v>36</v>
      </c>
      <c r="J263" s="247" t="s">
        <v>1784</v>
      </c>
      <c r="K263" s="251"/>
      <c r="L263" s="251"/>
      <c r="M263" s="251"/>
      <c r="N263" s="251"/>
      <c r="O263" s="251"/>
      <c r="P263" s="251"/>
      <c r="Q263" s="251"/>
      <c r="R263" s="251"/>
      <c r="S263" s="251"/>
      <c r="T263" s="251"/>
      <c r="U263" s="251"/>
      <c r="V263" s="251"/>
      <c r="W263" s="251"/>
      <c r="X263" s="251"/>
      <c r="Y263" s="251"/>
      <c r="Z263" s="251"/>
      <c r="AA263" s="251"/>
      <c r="AB263" s="251"/>
    </row>
    <row r="264" ht="14.25" customHeight="1">
      <c r="A264" s="251"/>
      <c r="B264" s="263"/>
      <c r="C264" s="242" t="s">
        <v>7102</v>
      </c>
      <c r="D264" s="98" t="s">
        <v>271</v>
      </c>
      <c r="E264" s="240" t="s">
        <v>7021</v>
      </c>
      <c r="F264" s="258" t="s">
        <v>7103</v>
      </c>
      <c r="G264" s="240" t="s">
        <v>6927</v>
      </c>
      <c r="H264" s="240" t="s">
        <v>6928</v>
      </c>
      <c r="I264" s="84" t="s">
        <v>36</v>
      </c>
      <c r="J264" s="247" t="s">
        <v>1784</v>
      </c>
      <c r="K264" s="251"/>
      <c r="L264" s="251"/>
      <c r="M264" s="251"/>
      <c r="N264" s="251"/>
      <c r="O264" s="251"/>
      <c r="P264" s="251"/>
      <c r="Q264" s="251"/>
      <c r="R264" s="251"/>
      <c r="S264" s="251"/>
      <c r="T264" s="251"/>
      <c r="U264" s="251"/>
      <c r="V264" s="251"/>
      <c r="W264" s="251"/>
      <c r="X264" s="251"/>
      <c r="Y264" s="251"/>
      <c r="Z264" s="251"/>
      <c r="AA264" s="251"/>
      <c r="AB264" s="251"/>
    </row>
    <row r="265" ht="14.25" customHeight="1">
      <c r="A265" s="251"/>
      <c r="B265" s="263"/>
      <c r="C265" s="242" t="s">
        <v>7104</v>
      </c>
      <c r="D265" s="98" t="s">
        <v>271</v>
      </c>
      <c r="E265" s="240" t="s">
        <v>7021</v>
      </c>
      <c r="F265" s="258" t="s">
        <v>7103</v>
      </c>
      <c r="G265" s="240" t="s">
        <v>6930</v>
      </c>
      <c r="H265" s="240" t="s">
        <v>6931</v>
      </c>
      <c r="I265" s="84" t="s">
        <v>36</v>
      </c>
      <c r="J265" s="247" t="s">
        <v>1784</v>
      </c>
      <c r="K265" s="251"/>
      <c r="L265" s="251"/>
      <c r="M265" s="251"/>
      <c r="N265" s="251"/>
      <c r="O265" s="251"/>
      <c r="P265" s="251"/>
      <c r="Q265" s="251"/>
      <c r="R265" s="251"/>
      <c r="S265" s="251"/>
      <c r="T265" s="251"/>
      <c r="U265" s="251"/>
      <c r="V265" s="251"/>
      <c r="W265" s="251"/>
      <c r="X265" s="251"/>
      <c r="Y265" s="251"/>
      <c r="Z265" s="251"/>
      <c r="AA265" s="251"/>
      <c r="AB265" s="251"/>
    </row>
    <row r="266" ht="14.25" customHeight="1">
      <c r="A266" s="251"/>
      <c r="B266" s="263"/>
      <c r="C266" s="242" t="s">
        <v>7105</v>
      </c>
      <c r="D266" s="98" t="s">
        <v>271</v>
      </c>
      <c r="E266" s="240" t="s">
        <v>7021</v>
      </c>
      <c r="F266" s="258" t="s">
        <v>7098</v>
      </c>
      <c r="G266" s="240" t="s">
        <v>6933</v>
      </c>
      <c r="H266" s="240" t="s">
        <v>6934</v>
      </c>
      <c r="I266" s="84" t="s">
        <v>36</v>
      </c>
      <c r="J266" s="247" t="s">
        <v>1784</v>
      </c>
      <c r="K266" s="251"/>
      <c r="L266" s="251"/>
      <c r="M266" s="251"/>
      <c r="N266" s="251"/>
      <c r="O266" s="251"/>
      <c r="P266" s="251"/>
      <c r="Q266" s="251"/>
      <c r="R266" s="251"/>
      <c r="S266" s="251"/>
      <c r="T266" s="251"/>
      <c r="U266" s="251"/>
      <c r="V266" s="251"/>
      <c r="W266" s="251"/>
      <c r="X266" s="251"/>
      <c r="Y266" s="251"/>
      <c r="Z266" s="251"/>
      <c r="AA266" s="251"/>
      <c r="AB266" s="251"/>
    </row>
    <row r="267" ht="14.25" customHeight="1">
      <c r="A267" s="251"/>
      <c r="B267" s="263"/>
      <c r="C267" s="242" t="s">
        <v>7106</v>
      </c>
      <c r="D267" s="98" t="s">
        <v>271</v>
      </c>
      <c r="E267" s="240" t="s">
        <v>7021</v>
      </c>
      <c r="F267" s="258" t="s">
        <v>7101</v>
      </c>
      <c r="G267" s="240" t="s">
        <v>7107</v>
      </c>
      <c r="H267" s="240" t="s">
        <v>7108</v>
      </c>
      <c r="I267" s="84" t="s">
        <v>36</v>
      </c>
      <c r="J267" s="247" t="s">
        <v>1784</v>
      </c>
      <c r="K267" s="251"/>
      <c r="L267" s="251"/>
      <c r="M267" s="251"/>
      <c r="N267" s="251"/>
      <c r="O267" s="251"/>
      <c r="P267" s="251"/>
      <c r="Q267" s="251"/>
      <c r="R267" s="251"/>
      <c r="S267" s="251"/>
      <c r="T267" s="251"/>
      <c r="U267" s="251"/>
      <c r="V267" s="251"/>
      <c r="W267" s="251"/>
      <c r="X267" s="251"/>
      <c r="Y267" s="251"/>
      <c r="Z267" s="251"/>
      <c r="AA267" s="251"/>
      <c r="AB267" s="251"/>
    </row>
    <row r="268" ht="14.25" customHeight="1">
      <c r="A268" s="251"/>
      <c r="B268" s="263"/>
      <c r="C268" s="242" t="s">
        <v>7109</v>
      </c>
      <c r="D268" s="98" t="s">
        <v>271</v>
      </c>
      <c r="E268" s="240" t="s">
        <v>7021</v>
      </c>
      <c r="F268" s="258" t="s">
        <v>7101</v>
      </c>
      <c r="G268" s="240" t="s">
        <v>6939</v>
      </c>
      <c r="H268" s="240" t="s">
        <v>6940</v>
      </c>
      <c r="I268" s="84" t="s">
        <v>36</v>
      </c>
      <c r="J268" s="247" t="s">
        <v>1784</v>
      </c>
      <c r="K268" s="251"/>
      <c r="L268" s="251"/>
      <c r="M268" s="251"/>
      <c r="N268" s="251"/>
      <c r="O268" s="251"/>
      <c r="P268" s="251"/>
      <c r="Q268" s="251"/>
      <c r="R268" s="251"/>
      <c r="S268" s="251"/>
      <c r="T268" s="251"/>
      <c r="U268" s="251"/>
      <c r="V268" s="251"/>
      <c r="W268" s="251"/>
      <c r="X268" s="251"/>
      <c r="Y268" s="251"/>
      <c r="Z268" s="251"/>
      <c r="AA268" s="251"/>
      <c r="AB268" s="251"/>
    </row>
    <row r="269" ht="14.25" customHeight="1">
      <c r="A269" s="251"/>
      <c r="B269" s="263"/>
      <c r="C269" s="242" t="s">
        <v>7110</v>
      </c>
      <c r="D269" s="98" t="s">
        <v>271</v>
      </c>
      <c r="E269" s="240" t="s">
        <v>7021</v>
      </c>
      <c r="F269" s="258" t="s">
        <v>7076</v>
      </c>
      <c r="G269" s="240" t="s">
        <v>7111</v>
      </c>
      <c r="H269" s="240" t="s">
        <v>7112</v>
      </c>
      <c r="I269" s="84" t="s">
        <v>36</v>
      </c>
      <c r="J269" s="247" t="s">
        <v>1784</v>
      </c>
      <c r="K269" s="251"/>
      <c r="L269" s="251"/>
      <c r="M269" s="251"/>
      <c r="N269" s="251"/>
      <c r="O269" s="251"/>
      <c r="P269" s="251"/>
      <c r="Q269" s="251"/>
      <c r="R269" s="251"/>
      <c r="S269" s="251"/>
      <c r="T269" s="251"/>
      <c r="U269" s="251"/>
      <c r="V269" s="251"/>
      <c r="W269" s="251"/>
      <c r="X269" s="251"/>
      <c r="Y269" s="251"/>
      <c r="Z269" s="251"/>
      <c r="AA269" s="251"/>
      <c r="AB269" s="251"/>
    </row>
    <row r="270" ht="14.25" customHeight="1">
      <c r="A270" s="251"/>
      <c r="B270" s="263"/>
      <c r="C270" s="242" t="s">
        <v>7113</v>
      </c>
      <c r="D270" s="98" t="s">
        <v>271</v>
      </c>
      <c r="E270" s="240" t="s">
        <v>7114</v>
      </c>
      <c r="F270" s="258" t="s">
        <v>6807</v>
      </c>
      <c r="G270" s="240" t="s">
        <v>7115</v>
      </c>
      <c r="H270" s="240" t="s">
        <v>7116</v>
      </c>
      <c r="I270" s="84" t="s">
        <v>36</v>
      </c>
      <c r="J270" s="252" t="s">
        <v>7117</v>
      </c>
      <c r="K270" s="251"/>
      <c r="L270" s="251"/>
      <c r="M270" s="251"/>
      <c r="N270" s="251"/>
      <c r="O270" s="251"/>
      <c r="P270" s="251"/>
      <c r="Q270" s="251"/>
      <c r="R270" s="251"/>
      <c r="S270" s="251"/>
      <c r="T270" s="251"/>
      <c r="U270" s="251"/>
      <c r="V270" s="251"/>
      <c r="W270" s="251"/>
      <c r="X270" s="251"/>
      <c r="Y270" s="251"/>
      <c r="Z270" s="251"/>
      <c r="AA270" s="251"/>
      <c r="AB270" s="251"/>
    </row>
    <row r="271" ht="14.25" customHeight="1">
      <c r="A271" s="251"/>
      <c r="B271" s="263"/>
      <c r="C271" s="242" t="s">
        <v>7118</v>
      </c>
      <c r="D271" s="98" t="s">
        <v>271</v>
      </c>
      <c r="E271" s="240" t="s">
        <v>7114</v>
      </c>
      <c r="F271" s="258" t="s">
        <v>7119</v>
      </c>
      <c r="G271" s="240" t="s">
        <v>7120</v>
      </c>
      <c r="H271" s="240" t="s">
        <v>7121</v>
      </c>
      <c r="I271" s="84" t="s">
        <v>36</v>
      </c>
      <c r="J271" s="252" t="s">
        <v>7117</v>
      </c>
      <c r="K271" s="251"/>
      <c r="L271" s="251"/>
      <c r="M271" s="251"/>
      <c r="N271" s="251"/>
      <c r="O271" s="251"/>
      <c r="P271" s="251"/>
      <c r="Q271" s="251"/>
      <c r="R271" s="251"/>
      <c r="S271" s="251"/>
      <c r="T271" s="251"/>
      <c r="U271" s="251"/>
      <c r="V271" s="251"/>
      <c r="W271" s="251"/>
      <c r="X271" s="251"/>
      <c r="Y271" s="251"/>
      <c r="Z271" s="251"/>
      <c r="AA271" s="251"/>
      <c r="AB271" s="251"/>
    </row>
    <row r="272" ht="14.25" customHeight="1">
      <c r="A272" s="251"/>
      <c r="B272" s="263"/>
      <c r="C272" s="242" t="s">
        <v>7122</v>
      </c>
      <c r="D272" s="98" t="s">
        <v>271</v>
      </c>
      <c r="E272" s="240" t="s">
        <v>7114</v>
      </c>
      <c r="F272" s="258" t="s">
        <v>7123</v>
      </c>
      <c r="G272" s="240" t="s">
        <v>7124</v>
      </c>
      <c r="H272" s="240" t="s">
        <v>7125</v>
      </c>
      <c r="I272" s="84" t="s">
        <v>36</v>
      </c>
      <c r="J272" s="252" t="s">
        <v>7117</v>
      </c>
      <c r="K272" s="251"/>
      <c r="L272" s="251"/>
      <c r="M272" s="251"/>
      <c r="N272" s="251"/>
      <c r="O272" s="251"/>
      <c r="P272" s="251"/>
      <c r="Q272" s="251"/>
      <c r="R272" s="251"/>
      <c r="S272" s="251"/>
      <c r="T272" s="251"/>
      <c r="U272" s="251"/>
      <c r="V272" s="251"/>
      <c r="W272" s="251"/>
      <c r="X272" s="251"/>
      <c r="Y272" s="251"/>
      <c r="Z272" s="251"/>
      <c r="AA272" s="251"/>
      <c r="AB272" s="251"/>
    </row>
    <row r="273" ht="14.25" customHeight="1">
      <c r="A273" s="251"/>
      <c r="B273" s="263"/>
      <c r="C273" s="242" t="s">
        <v>7126</v>
      </c>
      <c r="D273" s="98" t="s">
        <v>271</v>
      </c>
      <c r="E273" s="240" t="s">
        <v>7114</v>
      </c>
      <c r="F273" s="258" t="s">
        <v>7127</v>
      </c>
      <c r="G273" s="240" t="s">
        <v>7128</v>
      </c>
      <c r="H273" s="240" t="s">
        <v>7129</v>
      </c>
      <c r="I273" s="84" t="s">
        <v>317</v>
      </c>
      <c r="J273" s="252" t="s">
        <v>7117</v>
      </c>
      <c r="K273" s="251"/>
      <c r="L273" s="251"/>
      <c r="M273" s="251"/>
      <c r="N273" s="251"/>
      <c r="O273" s="251"/>
      <c r="P273" s="251"/>
      <c r="Q273" s="251"/>
      <c r="R273" s="251"/>
      <c r="S273" s="251"/>
      <c r="T273" s="251"/>
      <c r="U273" s="251"/>
      <c r="V273" s="251"/>
      <c r="W273" s="251"/>
      <c r="X273" s="251"/>
      <c r="Y273" s="251"/>
      <c r="Z273" s="251"/>
      <c r="AA273" s="251"/>
      <c r="AB273" s="251"/>
    </row>
    <row r="274" ht="14.25" customHeight="1">
      <c r="A274" s="251"/>
      <c r="B274" s="263"/>
      <c r="C274" s="242" t="s">
        <v>7130</v>
      </c>
      <c r="D274" s="98" t="s">
        <v>271</v>
      </c>
      <c r="E274" s="240" t="s">
        <v>7114</v>
      </c>
      <c r="F274" s="258" t="s">
        <v>7127</v>
      </c>
      <c r="G274" s="240" t="s">
        <v>7131</v>
      </c>
      <c r="H274" s="240" t="s">
        <v>7132</v>
      </c>
      <c r="I274" s="84" t="s">
        <v>36</v>
      </c>
      <c r="J274" s="252" t="s">
        <v>7117</v>
      </c>
      <c r="K274" s="251"/>
      <c r="L274" s="251"/>
      <c r="M274" s="251"/>
      <c r="N274" s="251"/>
      <c r="O274" s="251"/>
      <c r="P274" s="251"/>
      <c r="Q274" s="251"/>
      <c r="R274" s="251"/>
      <c r="S274" s="251"/>
      <c r="T274" s="251"/>
      <c r="U274" s="251"/>
      <c r="V274" s="251"/>
      <c r="W274" s="251"/>
      <c r="X274" s="251"/>
      <c r="Y274" s="251"/>
      <c r="Z274" s="251"/>
      <c r="AA274" s="251"/>
      <c r="AB274" s="251"/>
    </row>
    <row r="275" ht="14.25" customHeight="1">
      <c r="A275" s="251"/>
      <c r="B275" s="263"/>
      <c r="C275" s="242" t="s">
        <v>7133</v>
      </c>
      <c r="D275" s="98" t="s">
        <v>271</v>
      </c>
      <c r="E275" s="240" t="s">
        <v>7114</v>
      </c>
      <c r="F275" s="258" t="s">
        <v>7127</v>
      </c>
      <c r="G275" s="240" t="s">
        <v>7039</v>
      </c>
      <c r="H275" s="240" t="s">
        <v>6827</v>
      </c>
      <c r="I275" s="84" t="s">
        <v>36</v>
      </c>
      <c r="J275" s="252" t="s">
        <v>7117</v>
      </c>
      <c r="K275" s="251"/>
      <c r="L275" s="251"/>
      <c r="M275" s="251"/>
      <c r="N275" s="251"/>
      <c r="O275" s="251"/>
      <c r="P275" s="251"/>
      <c r="Q275" s="251"/>
      <c r="R275" s="251"/>
      <c r="S275" s="251"/>
      <c r="T275" s="251"/>
      <c r="U275" s="251"/>
      <c r="V275" s="251"/>
      <c r="W275" s="251"/>
      <c r="X275" s="251"/>
      <c r="Y275" s="251"/>
      <c r="Z275" s="251"/>
      <c r="AA275" s="251"/>
      <c r="AB275" s="251"/>
    </row>
    <row r="276" ht="14.25" customHeight="1">
      <c r="A276" s="251"/>
      <c r="B276" s="263"/>
      <c r="C276" s="242" t="s">
        <v>7134</v>
      </c>
      <c r="D276" s="98" t="s">
        <v>271</v>
      </c>
      <c r="E276" s="240" t="s">
        <v>7114</v>
      </c>
      <c r="F276" s="258" t="s">
        <v>7127</v>
      </c>
      <c r="G276" s="240" t="s">
        <v>7135</v>
      </c>
      <c r="H276" s="240" t="s">
        <v>7136</v>
      </c>
      <c r="I276" s="84" t="s">
        <v>36</v>
      </c>
      <c r="J276" s="252" t="s">
        <v>7117</v>
      </c>
      <c r="K276" s="251"/>
      <c r="L276" s="251"/>
      <c r="M276" s="251"/>
      <c r="N276" s="251"/>
      <c r="O276" s="251"/>
      <c r="P276" s="251"/>
      <c r="Q276" s="251"/>
      <c r="R276" s="251"/>
      <c r="S276" s="251"/>
      <c r="T276" s="251"/>
      <c r="U276" s="251"/>
      <c r="V276" s="251"/>
      <c r="W276" s="251"/>
      <c r="X276" s="251"/>
      <c r="Y276" s="251"/>
      <c r="Z276" s="251"/>
      <c r="AA276" s="251"/>
      <c r="AB276" s="251"/>
    </row>
    <row r="277" ht="14.25" customHeight="1">
      <c r="A277" s="251"/>
      <c r="B277" s="263"/>
      <c r="C277" s="242" t="s">
        <v>7137</v>
      </c>
      <c r="D277" s="98" t="s">
        <v>271</v>
      </c>
      <c r="E277" s="240" t="s">
        <v>7114</v>
      </c>
      <c r="F277" s="258" t="s">
        <v>7138</v>
      </c>
      <c r="G277" s="240" t="s">
        <v>7139</v>
      </c>
      <c r="H277" s="240" t="s">
        <v>7140</v>
      </c>
      <c r="I277" s="84" t="s">
        <v>36</v>
      </c>
      <c r="J277" s="252" t="s">
        <v>7117</v>
      </c>
      <c r="K277" s="251"/>
      <c r="L277" s="251"/>
      <c r="M277" s="251"/>
      <c r="N277" s="251"/>
      <c r="O277" s="251"/>
      <c r="P277" s="251"/>
      <c r="Q277" s="251"/>
      <c r="R277" s="251"/>
      <c r="S277" s="251"/>
      <c r="T277" s="251"/>
      <c r="U277" s="251"/>
      <c r="V277" s="251"/>
      <c r="W277" s="251"/>
      <c r="X277" s="251"/>
      <c r="Y277" s="251"/>
      <c r="Z277" s="251"/>
      <c r="AA277" s="251"/>
      <c r="AB277" s="251"/>
    </row>
    <row r="278" ht="14.25" customHeight="1">
      <c r="A278" s="251"/>
      <c r="B278" s="263"/>
      <c r="C278" s="242" t="s">
        <v>7141</v>
      </c>
      <c r="D278" s="98" t="s">
        <v>271</v>
      </c>
      <c r="E278" s="240" t="s">
        <v>7114</v>
      </c>
      <c r="F278" s="258" t="s">
        <v>7142</v>
      </c>
      <c r="G278" s="240" t="s">
        <v>6836</v>
      </c>
      <c r="H278" s="240" t="s">
        <v>7143</v>
      </c>
      <c r="I278" s="84" t="s">
        <v>36</v>
      </c>
      <c r="J278" s="252" t="s">
        <v>7117</v>
      </c>
      <c r="K278" s="251"/>
      <c r="L278" s="251"/>
      <c r="M278" s="251"/>
      <c r="N278" s="251"/>
      <c r="O278" s="251"/>
      <c r="P278" s="251"/>
      <c r="Q278" s="251"/>
      <c r="R278" s="251"/>
      <c r="S278" s="251"/>
      <c r="T278" s="251"/>
      <c r="U278" s="251"/>
      <c r="V278" s="251"/>
      <c r="W278" s="251"/>
      <c r="X278" s="251"/>
      <c r="Y278" s="251"/>
      <c r="Z278" s="251"/>
      <c r="AA278" s="251"/>
      <c r="AB278" s="251"/>
    </row>
    <row r="279" ht="14.25" customHeight="1">
      <c r="A279" s="251"/>
      <c r="B279" s="263"/>
      <c r="C279" s="242" t="s">
        <v>7144</v>
      </c>
      <c r="D279" s="98" t="s">
        <v>271</v>
      </c>
      <c r="E279" s="240" t="s">
        <v>7114</v>
      </c>
      <c r="F279" s="258" t="s">
        <v>7138</v>
      </c>
      <c r="G279" s="240" t="s">
        <v>6839</v>
      </c>
      <c r="H279" s="240" t="s">
        <v>6840</v>
      </c>
      <c r="I279" s="84" t="s">
        <v>36</v>
      </c>
      <c r="J279" s="252" t="s">
        <v>7117</v>
      </c>
      <c r="K279" s="251"/>
      <c r="L279" s="251"/>
      <c r="M279" s="251"/>
      <c r="N279" s="251"/>
      <c r="O279" s="251"/>
      <c r="P279" s="251"/>
      <c r="Q279" s="251"/>
      <c r="R279" s="251"/>
      <c r="S279" s="251"/>
      <c r="T279" s="251"/>
      <c r="U279" s="251"/>
      <c r="V279" s="251"/>
      <c r="W279" s="251"/>
      <c r="X279" s="251"/>
      <c r="Y279" s="251"/>
      <c r="Z279" s="251"/>
      <c r="AA279" s="251"/>
      <c r="AB279" s="251"/>
    </row>
    <row r="280" ht="14.25" customHeight="1">
      <c r="A280" s="251"/>
      <c r="B280" s="263"/>
      <c r="C280" s="242" t="s">
        <v>7145</v>
      </c>
      <c r="D280" s="98" t="s">
        <v>271</v>
      </c>
      <c r="E280" s="240" t="s">
        <v>7114</v>
      </c>
      <c r="F280" s="258" t="s">
        <v>7146</v>
      </c>
      <c r="G280" s="240" t="s">
        <v>6846</v>
      </c>
      <c r="H280" s="240" t="s">
        <v>6847</v>
      </c>
      <c r="I280" s="84" t="s">
        <v>36</v>
      </c>
      <c r="J280" s="252" t="s">
        <v>7117</v>
      </c>
      <c r="K280" s="251"/>
      <c r="L280" s="251"/>
      <c r="M280" s="251"/>
      <c r="N280" s="251"/>
      <c r="O280" s="251"/>
      <c r="P280" s="251"/>
      <c r="Q280" s="251"/>
      <c r="R280" s="251"/>
      <c r="S280" s="251"/>
      <c r="T280" s="251"/>
      <c r="U280" s="251"/>
      <c r="V280" s="251"/>
      <c r="W280" s="251"/>
      <c r="X280" s="251"/>
      <c r="Y280" s="251"/>
      <c r="Z280" s="251"/>
      <c r="AA280" s="251"/>
      <c r="AB280" s="251"/>
    </row>
    <row r="281" ht="14.25" customHeight="1">
      <c r="A281" s="251"/>
      <c r="B281" s="263"/>
      <c r="C281" s="242" t="s">
        <v>7147</v>
      </c>
      <c r="D281" s="98" t="s">
        <v>271</v>
      </c>
      <c r="E281" s="240" t="s">
        <v>7114</v>
      </c>
      <c r="F281" s="258" t="s">
        <v>7148</v>
      </c>
      <c r="G281" s="240" t="s">
        <v>7149</v>
      </c>
      <c r="H281" s="240" t="s">
        <v>7150</v>
      </c>
      <c r="I281" s="84" t="s">
        <v>36</v>
      </c>
      <c r="J281" s="252" t="s">
        <v>7117</v>
      </c>
      <c r="K281" s="251"/>
      <c r="L281" s="251"/>
      <c r="M281" s="251"/>
      <c r="N281" s="251"/>
      <c r="O281" s="251"/>
      <c r="P281" s="251"/>
      <c r="Q281" s="251"/>
      <c r="R281" s="251"/>
      <c r="S281" s="251"/>
      <c r="T281" s="251"/>
      <c r="U281" s="251"/>
      <c r="V281" s="251"/>
      <c r="W281" s="251"/>
      <c r="X281" s="251"/>
      <c r="Y281" s="251"/>
      <c r="Z281" s="251"/>
      <c r="AA281" s="251"/>
      <c r="AB281" s="251"/>
    </row>
    <row r="282" ht="14.25" customHeight="1">
      <c r="A282" s="251"/>
      <c r="B282" s="263"/>
      <c r="C282" s="242" t="s">
        <v>7151</v>
      </c>
      <c r="D282" s="98" t="s">
        <v>271</v>
      </c>
      <c r="E282" s="240" t="s">
        <v>7114</v>
      </c>
      <c r="F282" s="258" t="s">
        <v>7148</v>
      </c>
      <c r="G282" s="240" t="s">
        <v>6853</v>
      </c>
      <c r="H282" s="240" t="s">
        <v>7152</v>
      </c>
      <c r="I282" s="84" t="s">
        <v>36</v>
      </c>
      <c r="J282" s="252" t="s">
        <v>7117</v>
      </c>
      <c r="K282" s="251"/>
      <c r="L282" s="251"/>
      <c r="M282" s="251"/>
      <c r="N282" s="251"/>
      <c r="O282" s="251"/>
      <c r="P282" s="251"/>
      <c r="Q282" s="251"/>
      <c r="R282" s="251"/>
      <c r="S282" s="251"/>
      <c r="T282" s="251"/>
      <c r="U282" s="251"/>
      <c r="V282" s="251"/>
      <c r="W282" s="251"/>
      <c r="X282" s="251"/>
      <c r="Y282" s="251"/>
      <c r="Z282" s="251"/>
      <c r="AA282" s="251"/>
      <c r="AB282" s="251"/>
    </row>
    <row r="283" ht="14.25" customHeight="1">
      <c r="A283" s="251"/>
      <c r="B283" s="263"/>
      <c r="C283" s="242" t="s">
        <v>7153</v>
      </c>
      <c r="D283" s="98" t="s">
        <v>271</v>
      </c>
      <c r="E283" s="240" t="s">
        <v>7114</v>
      </c>
      <c r="F283" s="258" t="s">
        <v>7154</v>
      </c>
      <c r="G283" s="240" t="s">
        <v>7155</v>
      </c>
      <c r="H283" s="240" t="s">
        <v>7156</v>
      </c>
      <c r="I283" s="84" t="s">
        <v>36</v>
      </c>
      <c r="J283" s="252" t="s">
        <v>7117</v>
      </c>
      <c r="K283" s="251"/>
      <c r="L283" s="251"/>
      <c r="M283" s="251"/>
      <c r="N283" s="251"/>
      <c r="O283" s="251"/>
      <c r="P283" s="251"/>
      <c r="Q283" s="251"/>
      <c r="R283" s="251"/>
      <c r="S283" s="251"/>
      <c r="T283" s="251"/>
      <c r="U283" s="251"/>
      <c r="V283" s="251"/>
      <c r="W283" s="251"/>
      <c r="X283" s="251"/>
      <c r="Y283" s="251"/>
      <c r="Z283" s="251"/>
      <c r="AA283" s="251"/>
      <c r="AB283" s="251"/>
    </row>
    <row r="284" ht="14.25" customHeight="1">
      <c r="A284" s="251"/>
      <c r="B284" s="263"/>
      <c r="C284" s="242" t="s">
        <v>7157</v>
      </c>
      <c r="D284" s="98" t="s">
        <v>271</v>
      </c>
      <c r="E284" s="240" t="s">
        <v>7114</v>
      </c>
      <c r="F284" s="258" t="s">
        <v>7154</v>
      </c>
      <c r="G284" s="240" t="s">
        <v>7158</v>
      </c>
      <c r="H284" s="240" t="s">
        <v>7159</v>
      </c>
      <c r="I284" s="84" t="s">
        <v>317</v>
      </c>
      <c r="J284" s="252" t="s">
        <v>7117</v>
      </c>
      <c r="K284" s="251"/>
      <c r="L284" s="251"/>
      <c r="M284" s="251"/>
      <c r="N284" s="251"/>
      <c r="O284" s="251"/>
      <c r="P284" s="251"/>
      <c r="Q284" s="251"/>
      <c r="R284" s="251"/>
      <c r="S284" s="251"/>
      <c r="T284" s="251"/>
      <c r="U284" s="251"/>
      <c r="V284" s="251"/>
      <c r="W284" s="251"/>
      <c r="X284" s="251"/>
      <c r="Y284" s="251"/>
      <c r="Z284" s="251"/>
      <c r="AA284" s="251"/>
      <c r="AB284" s="251"/>
    </row>
    <row r="285" ht="14.25" customHeight="1">
      <c r="A285" s="251"/>
      <c r="B285" s="263"/>
      <c r="C285" s="242" t="s">
        <v>7160</v>
      </c>
      <c r="D285" s="98" t="s">
        <v>271</v>
      </c>
      <c r="E285" s="240" t="s">
        <v>7114</v>
      </c>
      <c r="F285" s="258" t="s">
        <v>7154</v>
      </c>
      <c r="G285" s="240" t="s">
        <v>6866</v>
      </c>
      <c r="H285" s="240" t="s">
        <v>7161</v>
      </c>
      <c r="I285" s="84" t="s">
        <v>36</v>
      </c>
      <c r="J285" s="252" t="s">
        <v>7117</v>
      </c>
      <c r="K285" s="251"/>
      <c r="L285" s="251"/>
      <c r="M285" s="251"/>
      <c r="N285" s="251"/>
      <c r="O285" s="251"/>
      <c r="P285" s="251"/>
      <c r="Q285" s="251"/>
      <c r="R285" s="251"/>
      <c r="S285" s="251"/>
      <c r="T285" s="251"/>
      <c r="U285" s="251"/>
      <c r="V285" s="251"/>
      <c r="W285" s="251"/>
      <c r="X285" s="251"/>
      <c r="Y285" s="251"/>
      <c r="Z285" s="251"/>
      <c r="AA285" s="251"/>
      <c r="AB285" s="251"/>
    </row>
    <row r="286" ht="14.25" customHeight="1">
      <c r="A286" s="251"/>
      <c r="B286" s="263"/>
      <c r="C286" s="242" t="s">
        <v>7162</v>
      </c>
      <c r="D286" s="98" t="s">
        <v>271</v>
      </c>
      <c r="E286" s="240" t="s">
        <v>7114</v>
      </c>
      <c r="F286" s="258" t="s">
        <v>7154</v>
      </c>
      <c r="G286" s="240" t="s">
        <v>6869</v>
      </c>
      <c r="H286" s="240" t="s">
        <v>6870</v>
      </c>
      <c r="I286" s="84" t="s">
        <v>317</v>
      </c>
      <c r="J286" s="252" t="s">
        <v>7117</v>
      </c>
      <c r="K286" s="251"/>
      <c r="L286" s="251"/>
      <c r="M286" s="251"/>
      <c r="N286" s="251"/>
      <c r="O286" s="251"/>
      <c r="P286" s="251"/>
      <c r="Q286" s="251"/>
      <c r="R286" s="251"/>
      <c r="S286" s="251"/>
      <c r="T286" s="251"/>
      <c r="U286" s="251"/>
      <c r="V286" s="251"/>
      <c r="W286" s="251"/>
      <c r="X286" s="251"/>
      <c r="Y286" s="251"/>
      <c r="Z286" s="251"/>
      <c r="AA286" s="251"/>
      <c r="AB286" s="251"/>
    </row>
    <row r="287" ht="14.25" customHeight="1">
      <c r="A287" s="251"/>
      <c r="B287" s="263"/>
      <c r="C287" s="242" t="s">
        <v>7163</v>
      </c>
      <c r="D287" s="98" t="s">
        <v>271</v>
      </c>
      <c r="E287" s="240" t="s">
        <v>7114</v>
      </c>
      <c r="F287" s="258" t="s">
        <v>7127</v>
      </c>
      <c r="G287" s="240" t="s">
        <v>6872</v>
      </c>
      <c r="H287" s="240" t="s">
        <v>6873</v>
      </c>
      <c r="I287" s="84" t="s">
        <v>36</v>
      </c>
      <c r="J287" s="252" t="s">
        <v>7117</v>
      </c>
      <c r="K287" s="251"/>
      <c r="L287" s="251"/>
      <c r="M287" s="251"/>
      <c r="N287" s="251"/>
      <c r="O287" s="251"/>
      <c r="P287" s="251"/>
      <c r="Q287" s="251"/>
      <c r="R287" s="251"/>
      <c r="S287" s="251"/>
      <c r="T287" s="251"/>
      <c r="U287" s="251"/>
      <c r="V287" s="251"/>
      <c r="W287" s="251"/>
      <c r="X287" s="251"/>
      <c r="Y287" s="251"/>
      <c r="Z287" s="251"/>
      <c r="AA287" s="251"/>
      <c r="AB287" s="251"/>
    </row>
    <row r="288" ht="14.25" customHeight="1">
      <c r="A288" s="251"/>
      <c r="B288" s="263"/>
      <c r="C288" s="242" t="s">
        <v>7164</v>
      </c>
      <c r="D288" s="98" t="s">
        <v>271</v>
      </c>
      <c r="E288" s="240" t="s">
        <v>7114</v>
      </c>
      <c r="F288" s="258" t="s">
        <v>7165</v>
      </c>
      <c r="G288" s="240" t="s">
        <v>7166</v>
      </c>
      <c r="H288" s="240" t="s">
        <v>6877</v>
      </c>
      <c r="I288" s="84" t="s">
        <v>317</v>
      </c>
      <c r="J288" s="252" t="s">
        <v>7117</v>
      </c>
      <c r="K288" s="251"/>
      <c r="L288" s="251"/>
      <c r="M288" s="251"/>
      <c r="N288" s="251"/>
      <c r="O288" s="251"/>
      <c r="P288" s="251"/>
      <c r="Q288" s="251"/>
      <c r="R288" s="251"/>
      <c r="S288" s="251"/>
      <c r="T288" s="251"/>
      <c r="U288" s="251"/>
      <c r="V288" s="251"/>
      <c r="W288" s="251"/>
      <c r="X288" s="251"/>
      <c r="Y288" s="251"/>
      <c r="Z288" s="251"/>
      <c r="AA288" s="251"/>
      <c r="AB288" s="251"/>
    </row>
    <row r="289" ht="14.25" customHeight="1">
      <c r="A289" s="251"/>
      <c r="B289" s="263"/>
      <c r="C289" s="242" t="s">
        <v>7167</v>
      </c>
      <c r="D289" s="98" t="s">
        <v>271</v>
      </c>
      <c r="E289" s="240" t="s">
        <v>7114</v>
      </c>
      <c r="F289" s="258" t="s">
        <v>7165</v>
      </c>
      <c r="G289" s="240" t="s">
        <v>6879</v>
      </c>
      <c r="H289" s="240" t="s">
        <v>7168</v>
      </c>
      <c r="I289" s="84" t="s">
        <v>317</v>
      </c>
      <c r="J289" s="252" t="s">
        <v>7117</v>
      </c>
      <c r="K289" s="251"/>
      <c r="L289" s="251"/>
      <c r="M289" s="251"/>
      <c r="N289" s="251"/>
      <c r="O289" s="251"/>
      <c r="P289" s="251"/>
      <c r="Q289" s="251"/>
      <c r="R289" s="251"/>
      <c r="S289" s="251"/>
      <c r="T289" s="251"/>
      <c r="U289" s="251"/>
      <c r="V289" s="251"/>
      <c r="W289" s="251"/>
      <c r="X289" s="251"/>
      <c r="Y289" s="251"/>
      <c r="Z289" s="251"/>
      <c r="AA289" s="251"/>
      <c r="AB289" s="251"/>
    </row>
    <row r="290" ht="14.25" customHeight="1">
      <c r="A290" s="251"/>
      <c r="B290" s="263"/>
      <c r="C290" s="242" t="s">
        <v>7169</v>
      </c>
      <c r="D290" s="98" t="s">
        <v>271</v>
      </c>
      <c r="E290" s="240" t="s">
        <v>7114</v>
      </c>
      <c r="F290" s="258" t="s">
        <v>7165</v>
      </c>
      <c r="G290" s="240" t="s">
        <v>6882</v>
      </c>
      <c r="H290" s="240" t="s">
        <v>6883</v>
      </c>
      <c r="I290" s="84" t="s">
        <v>317</v>
      </c>
      <c r="J290" s="252" t="s">
        <v>7117</v>
      </c>
      <c r="K290" s="251"/>
      <c r="L290" s="251"/>
      <c r="M290" s="251"/>
      <c r="N290" s="251"/>
      <c r="O290" s="251"/>
      <c r="P290" s="251"/>
      <c r="Q290" s="251"/>
      <c r="R290" s="251"/>
      <c r="S290" s="251"/>
      <c r="T290" s="251"/>
      <c r="U290" s="251"/>
      <c r="V290" s="251"/>
      <c r="W290" s="251"/>
      <c r="X290" s="251"/>
      <c r="Y290" s="251"/>
      <c r="Z290" s="251"/>
      <c r="AA290" s="251"/>
      <c r="AB290" s="251"/>
    </row>
    <row r="291" ht="14.25" customHeight="1">
      <c r="A291" s="251"/>
      <c r="B291" s="263"/>
      <c r="C291" s="242" t="s">
        <v>7170</v>
      </c>
      <c r="D291" s="98" t="s">
        <v>271</v>
      </c>
      <c r="E291" s="240" t="s">
        <v>7114</v>
      </c>
      <c r="F291" s="258" t="s">
        <v>7165</v>
      </c>
      <c r="G291" s="240" t="s">
        <v>6888</v>
      </c>
      <c r="H291" s="240" t="s">
        <v>6889</v>
      </c>
      <c r="I291" s="84" t="s">
        <v>36</v>
      </c>
      <c r="J291" s="252" t="s">
        <v>7117</v>
      </c>
      <c r="K291" s="251"/>
      <c r="L291" s="251"/>
      <c r="M291" s="251"/>
      <c r="N291" s="251"/>
      <c r="O291" s="251"/>
      <c r="P291" s="251"/>
      <c r="Q291" s="251"/>
      <c r="R291" s="251"/>
      <c r="S291" s="251"/>
      <c r="T291" s="251"/>
      <c r="U291" s="251"/>
      <c r="V291" s="251"/>
      <c r="W291" s="251"/>
      <c r="X291" s="251"/>
      <c r="Y291" s="251"/>
      <c r="Z291" s="251"/>
      <c r="AA291" s="251"/>
      <c r="AB291" s="251"/>
    </row>
    <row r="292" ht="14.25" customHeight="1">
      <c r="A292" s="251"/>
      <c r="B292" s="263"/>
      <c r="C292" s="242" t="s">
        <v>7171</v>
      </c>
      <c r="D292" s="98" t="s">
        <v>271</v>
      </c>
      <c r="E292" s="240" t="s">
        <v>7114</v>
      </c>
      <c r="F292" s="258" t="s">
        <v>7165</v>
      </c>
      <c r="G292" s="240" t="s">
        <v>6891</v>
      </c>
      <c r="H292" s="240" t="s">
        <v>7172</v>
      </c>
      <c r="I292" s="84" t="s">
        <v>36</v>
      </c>
      <c r="J292" s="252" t="s">
        <v>7117</v>
      </c>
      <c r="K292" s="251"/>
      <c r="L292" s="251"/>
      <c r="M292" s="251"/>
      <c r="N292" s="251"/>
      <c r="O292" s="251"/>
      <c r="P292" s="251"/>
      <c r="Q292" s="251"/>
      <c r="R292" s="251"/>
      <c r="S292" s="251"/>
      <c r="T292" s="251"/>
      <c r="U292" s="251"/>
      <c r="V292" s="251"/>
      <c r="W292" s="251"/>
      <c r="X292" s="251"/>
      <c r="Y292" s="251"/>
      <c r="Z292" s="251"/>
      <c r="AA292" s="251"/>
      <c r="AB292" s="251"/>
    </row>
    <row r="293" ht="14.25" customHeight="1">
      <c r="A293" s="251"/>
      <c r="B293" s="263"/>
      <c r="C293" s="242" t="s">
        <v>7173</v>
      </c>
      <c r="D293" s="98" t="s">
        <v>271</v>
      </c>
      <c r="E293" s="240" t="s">
        <v>7114</v>
      </c>
      <c r="F293" s="258" t="s">
        <v>7165</v>
      </c>
      <c r="G293" s="240" t="s">
        <v>7174</v>
      </c>
      <c r="H293" s="240" t="s">
        <v>7175</v>
      </c>
      <c r="I293" s="84" t="s">
        <v>36</v>
      </c>
      <c r="J293" s="252" t="s">
        <v>7117</v>
      </c>
      <c r="K293" s="251"/>
      <c r="L293" s="251"/>
      <c r="M293" s="251"/>
      <c r="N293" s="251"/>
      <c r="O293" s="251"/>
      <c r="P293" s="251"/>
      <c r="Q293" s="251"/>
      <c r="R293" s="251"/>
      <c r="S293" s="251"/>
      <c r="T293" s="251"/>
      <c r="U293" s="251"/>
      <c r="V293" s="251"/>
      <c r="W293" s="251"/>
      <c r="X293" s="251"/>
      <c r="Y293" s="251"/>
      <c r="Z293" s="251"/>
      <c r="AA293" s="251"/>
      <c r="AB293" s="251"/>
    </row>
    <row r="294" ht="14.25" customHeight="1">
      <c r="A294" s="251"/>
      <c r="B294" s="263"/>
      <c r="C294" s="242" t="s">
        <v>7176</v>
      </c>
      <c r="D294" s="98" t="s">
        <v>271</v>
      </c>
      <c r="E294" s="240" t="s">
        <v>7114</v>
      </c>
      <c r="F294" s="258" t="s">
        <v>7165</v>
      </c>
      <c r="G294" s="240" t="s">
        <v>6897</v>
      </c>
      <c r="H294" s="240" t="s">
        <v>6898</v>
      </c>
      <c r="I294" s="84" t="s">
        <v>36</v>
      </c>
      <c r="J294" s="252" t="s">
        <v>7117</v>
      </c>
      <c r="K294" s="251"/>
      <c r="L294" s="251"/>
      <c r="M294" s="251"/>
      <c r="N294" s="251"/>
      <c r="O294" s="251"/>
      <c r="P294" s="251"/>
      <c r="Q294" s="251"/>
      <c r="R294" s="251"/>
      <c r="S294" s="251"/>
      <c r="T294" s="251"/>
      <c r="U294" s="251"/>
      <c r="V294" s="251"/>
      <c r="W294" s="251"/>
      <c r="X294" s="251"/>
      <c r="Y294" s="251"/>
      <c r="Z294" s="251"/>
      <c r="AA294" s="251"/>
      <c r="AB294" s="251"/>
    </row>
    <row r="295" ht="14.25" customHeight="1">
      <c r="A295" s="251"/>
      <c r="B295" s="263"/>
      <c r="C295" s="242" t="s">
        <v>7177</v>
      </c>
      <c r="D295" s="98" t="s">
        <v>271</v>
      </c>
      <c r="E295" s="240" t="s">
        <v>7114</v>
      </c>
      <c r="F295" s="258" t="s">
        <v>7178</v>
      </c>
      <c r="G295" s="240" t="s">
        <v>7179</v>
      </c>
      <c r="H295" s="240" t="s">
        <v>7180</v>
      </c>
      <c r="I295" s="84" t="s">
        <v>317</v>
      </c>
      <c r="J295" s="252" t="s">
        <v>7117</v>
      </c>
      <c r="K295" s="251"/>
      <c r="L295" s="251"/>
      <c r="M295" s="251"/>
      <c r="N295" s="251"/>
      <c r="O295" s="251"/>
      <c r="P295" s="251"/>
      <c r="Q295" s="251"/>
      <c r="R295" s="251"/>
      <c r="S295" s="251"/>
      <c r="T295" s="251"/>
      <c r="U295" s="251"/>
      <c r="V295" s="251"/>
      <c r="W295" s="251"/>
      <c r="X295" s="251"/>
      <c r="Y295" s="251"/>
      <c r="Z295" s="251"/>
      <c r="AA295" s="251"/>
      <c r="AB295" s="251"/>
    </row>
    <row r="296" ht="14.25" customHeight="1">
      <c r="A296" s="251"/>
      <c r="B296" s="263"/>
      <c r="C296" s="242" t="s">
        <v>7181</v>
      </c>
      <c r="D296" s="98" t="s">
        <v>271</v>
      </c>
      <c r="E296" s="240" t="s">
        <v>7114</v>
      </c>
      <c r="F296" s="258" t="s">
        <v>7178</v>
      </c>
      <c r="G296" s="240" t="s">
        <v>6904</v>
      </c>
      <c r="H296" s="240" t="s">
        <v>6905</v>
      </c>
      <c r="I296" s="84" t="s">
        <v>317</v>
      </c>
      <c r="J296" s="252" t="s">
        <v>7117</v>
      </c>
      <c r="K296" s="251"/>
      <c r="L296" s="251"/>
      <c r="M296" s="251"/>
      <c r="N296" s="251"/>
      <c r="O296" s="251"/>
      <c r="P296" s="251"/>
      <c r="Q296" s="251"/>
      <c r="R296" s="251"/>
      <c r="S296" s="251"/>
      <c r="T296" s="251"/>
      <c r="U296" s="251"/>
      <c r="V296" s="251"/>
      <c r="W296" s="251"/>
      <c r="X296" s="251"/>
      <c r="Y296" s="251"/>
      <c r="Z296" s="251"/>
      <c r="AA296" s="251"/>
      <c r="AB296" s="251"/>
    </row>
    <row r="297" ht="14.25" customHeight="1">
      <c r="A297" s="251"/>
      <c r="B297" s="263"/>
      <c r="C297" s="242" t="s">
        <v>7182</v>
      </c>
      <c r="D297" s="98" t="s">
        <v>271</v>
      </c>
      <c r="E297" s="240" t="s">
        <v>7114</v>
      </c>
      <c r="F297" s="258" t="s">
        <v>7178</v>
      </c>
      <c r="G297" s="240" t="s">
        <v>6907</v>
      </c>
      <c r="H297" s="240" t="s">
        <v>7183</v>
      </c>
      <c r="I297" s="84" t="s">
        <v>317</v>
      </c>
      <c r="J297" s="252" t="s">
        <v>7117</v>
      </c>
      <c r="K297" s="251"/>
      <c r="L297" s="251"/>
      <c r="M297" s="251"/>
      <c r="N297" s="251"/>
      <c r="O297" s="251"/>
      <c r="P297" s="251"/>
      <c r="Q297" s="251"/>
      <c r="R297" s="251"/>
      <c r="S297" s="251"/>
      <c r="T297" s="251"/>
      <c r="U297" s="251"/>
      <c r="V297" s="251"/>
      <c r="W297" s="251"/>
      <c r="X297" s="251"/>
      <c r="Y297" s="251"/>
      <c r="Z297" s="251"/>
      <c r="AA297" s="251"/>
      <c r="AB297" s="251"/>
    </row>
    <row r="298" ht="14.25" customHeight="1">
      <c r="A298" s="251"/>
      <c r="B298" s="263"/>
      <c r="C298" s="242" t="s">
        <v>7184</v>
      </c>
      <c r="D298" s="98" t="s">
        <v>271</v>
      </c>
      <c r="E298" s="240" t="s">
        <v>7114</v>
      </c>
      <c r="F298" s="258" t="s">
        <v>7178</v>
      </c>
      <c r="G298" s="240" t="s">
        <v>6910</v>
      </c>
      <c r="H298" s="240" t="s">
        <v>7185</v>
      </c>
      <c r="I298" s="84" t="s">
        <v>317</v>
      </c>
      <c r="J298" s="252" t="s">
        <v>7117</v>
      </c>
      <c r="K298" s="251"/>
      <c r="L298" s="251"/>
      <c r="M298" s="251"/>
      <c r="N298" s="251"/>
      <c r="O298" s="251"/>
      <c r="P298" s="251"/>
      <c r="Q298" s="251"/>
      <c r="R298" s="251"/>
      <c r="S298" s="251"/>
      <c r="T298" s="251"/>
      <c r="U298" s="251"/>
      <c r="V298" s="251"/>
      <c r="W298" s="251"/>
      <c r="X298" s="251"/>
      <c r="Y298" s="251"/>
      <c r="Z298" s="251"/>
      <c r="AA298" s="251"/>
      <c r="AB298" s="251"/>
    </row>
    <row r="299" ht="14.25" customHeight="1">
      <c r="A299" s="251"/>
      <c r="B299" s="263"/>
      <c r="C299" s="242" t="s">
        <v>7186</v>
      </c>
      <c r="D299" s="98" t="s">
        <v>271</v>
      </c>
      <c r="E299" s="240" t="s">
        <v>7114</v>
      </c>
      <c r="F299" s="258" t="s">
        <v>7178</v>
      </c>
      <c r="G299" s="240" t="s">
        <v>6913</v>
      </c>
      <c r="H299" s="240" t="s">
        <v>6914</v>
      </c>
      <c r="I299" s="84" t="s">
        <v>317</v>
      </c>
      <c r="J299" s="252" t="s">
        <v>7117</v>
      </c>
      <c r="K299" s="251"/>
      <c r="L299" s="251"/>
      <c r="M299" s="251"/>
      <c r="N299" s="251"/>
      <c r="O299" s="251"/>
      <c r="P299" s="251"/>
      <c r="Q299" s="251"/>
      <c r="R299" s="251"/>
      <c r="S299" s="251"/>
      <c r="T299" s="251"/>
      <c r="U299" s="251"/>
      <c r="V299" s="251"/>
      <c r="W299" s="251"/>
      <c r="X299" s="251"/>
      <c r="Y299" s="251"/>
      <c r="Z299" s="251"/>
      <c r="AA299" s="251"/>
      <c r="AB299" s="251"/>
    </row>
    <row r="300" ht="14.25" customHeight="1">
      <c r="A300" s="251"/>
      <c r="B300" s="263"/>
      <c r="C300" s="242" t="s">
        <v>7187</v>
      </c>
      <c r="D300" s="98" t="s">
        <v>271</v>
      </c>
      <c r="E300" s="240" t="s">
        <v>7114</v>
      </c>
      <c r="F300" s="258" t="s">
        <v>7178</v>
      </c>
      <c r="G300" s="240" t="s">
        <v>6916</v>
      </c>
      <c r="H300" s="240" t="s">
        <v>6917</v>
      </c>
      <c r="I300" s="84" t="s">
        <v>317</v>
      </c>
      <c r="J300" s="252" t="s">
        <v>7117</v>
      </c>
      <c r="K300" s="251"/>
      <c r="L300" s="251"/>
      <c r="M300" s="251"/>
      <c r="N300" s="251"/>
      <c r="O300" s="251"/>
      <c r="P300" s="251"/>
      <c r="Q300" s="251"/>
      <c r="R300" s="251"/>
      <c r="S300" s="251"/>
      <c r="T300" s="251"/>
      <c r="U300" s="251"/>
      <c r="V300" s="251"/>
      <c r="W300" s="251"/>
      <c r="X300" s="251"/>
      <c r="Y300" s="251"/>
      <c r="Z300" s="251"/>
      <c r="AA300" s="251"/>
      <c r="AB300" s="251"/>
    </row>
    <row r="301" ht="14.25" customHeight="1">
      <c r="A301" s="251"/>
      <c r="B301" s="263"/>
      <c r="C301" s="242" t="s">
        <v>7188</v>
      </c>
      <c r="D301" s="98" t="s">
        <v>271</v>
      </c>
      <c r="E301" s="240" t="s">
        <v>7114</v>
      </c>
      <c r="F301" s="258" t="s">
        <v>7189</v>
      </c>
      <c r="G301" s="240" t="s">
        <v>7190</v>
      </c>
      <c r="H301" s="240" t="s">
        <v>6921</v>
      </c>
      <c r="I301" s="84" t="s">
        <v>36</v>
      </c>
      <c r="J301" s="252" t="s">
        <v>7117</v>
      </c>
      <c r="K301" s="251"/>
      <c r="L301" s="251"/>
      <c r="M301" s="251"/>
      <c r="N301" s="251"/>
      <c r="O301" s="251"/>
      <c r="P301" s="251"/>
      <c r="Q301" s="251"/>
      <c r="R301" s="251"/>
      <c r="S301" s="251"/>
      <c r="T301" s="251"/>
      <c r="U301" s="251"/>
      <c r="V301" s="251"/>
      <c r="W301" s="251"/>
      <c r="X301" s="251"/>
      <c r="Y301" s="251"/>
      <c r="Z301" s="251"/>
      <c r="AA301" s="251"/>
      <c r="AB301" s="251"/>
    </row>
    <row r="302" ht="14.25" customHeight="1">
      <c r="A302" s="251"/>
      <c r="B302" s="263"/>
      <c r="C302" s="242" t="s">
        <v>7191</v>
      </c>
      <c r="D302" s="98" t="s">
        <v>271</v>
      </c>
      <c r="E302" s="240" t="s">
        <v>7114</v>
      </c>
      <c r="F302" s="258" t="s">
        <v>7192</v>
      </c>
      <c r="G302" s="240" t="s">
        <v>6924</v>
      </c>
      <c r="H302" s="240" t="s">
        <v>6925</v>
      </c>
      <c r="I302" s="84" t="s">
        <v>36</v>
      </c>
      <c r="J302" s="252" t="s">
        <v>7117</v>
      </c>
      <c r="K302" s="251"/>
      <c r="L302" s="251"/>
      <c r="M302" s="251"/>
      <c r="N302" s="251"/>
      <c r="O302" s="251"/>
      <c r="P302" s="251"/>
      <c r="Q302" s="251"/>
      <c r="R302" s="251"/>
      <c r="S302" s="251"/>
      <c r="T302" s="251"/>
      <c r="U302" s="251"/>
      <c r="V302" s="251"/>
      <c r="W302" s="251"/>
      <c r="X302" s="251"/>
      <c r="Y302" s="251"/>
      <c r="Z302" s="251"/>
      <c r="AA302" s="251"/>
      <c r="AB302" s="251"/>
    </row>
    <row r="303" ht="14.25" customHeight="1">
      <c r="A303" s="251"/>
      <c r="B303" s="263"/>
      <c r="C303" s="242" t="s">
        <v>7193</v>
      </c>
      <c r="D303" s="98" t="s">
        <v>271</v>
      </c>
      <c r="E303" s="240" t="s">
        <v>7114</v>
      </c>
      <c r="F303" s="258" t="s">
        <v>7189</v>
      </c>
      <c r="G303" s="240" t="s">
        <v>6927</v>
      </c>
      <c r="H303" s="240" t="s">
        <v>6928</v>
      </c>
      <c r="I303" s="84" t="s">
        <v>36</v>
      </c>
      <c r="J303" s="252" t="s">
        <v>7117</v>
      </c>
      <c r="K303" s="251"/>
      <c r="L303" s="251"/>
      <c r="M303" s="251"/>
      <c r="N303" s="251"/>
      <c r="O303" s="251"/>
      <c r="P303" s="251"/>
      <c r="Q303" s="251"/>
      <c r="R303" s="251"/>
      <c r="S303" s="251"/>
      <c r="T303" s="251"/>
      <c r="U303" s="251"/>
      <c r="V303" s="251"/>
      <c r="W303" s="251"/>
      <c r="X303" s="251"/>
      <c r="Y303" s="251"/>
      <c r="Z303" s="251"/>
      <c r="AA303" s="251"/>
      <c r="AB303" s="251"/>
    </row>
    <row r="304" ht="14.25" customHeight="1">
      <c r="A304" s="251"/>
      <c r="B304" s="263"/>
      <c r="C304" s="242" t="s">
        <v>7194</v>
      </c>
      <c r="D304" s="98" t="s">
        <v>271</v>
      </c>
      <c r="E304" s="240" t="s">
        <v>7114</v>
      </c>
      <c r="F304" s="258" t="s">
        <v>7189</v>
      </c>
      <c r="G304" s="240" t="s">
        <v>6930</v>
      </c>
      <c r="H304" s="240" t="s">
        <v>6931</v>
      </c>
      <c r="I304" s="84" t="s">
        <v>36</v>
      </c>
      <c r="J304" s="252" t="s">
        <v>7117</v>
      </c>
      <c r="K304" s="251"/>
      <c r="L304" s="251"/>
      <c r="M304" s="251"/>
      <c r="N304" s="251"/>
      <c r="O304" s="251"/>
      <c r="P304" s="251"/>
      <c r="Q304" s="251"/>
      <c r="R304" s="251"/>
      <c r="S304" s="251"/>
      <c r="T304" s="251"/>
      <c r="U304" s="251"/>
      <c r="V304" s="251"/>
      <c r="W304" s="251"/>
      <c r="X304" s="251"/>
      <c r="Y304" s="251"/>
      <c r="Z304" s="251"/>
      <c r="AA304" s="251"/>
      <c r="AB304" s="251"/>
    </row>
    <row r="305" ht="14.25" customHeight="1">
      <c r="A305" s="251"/>
      <c r="B305" s="263"/>
      <c r="C305" s="242" t="s">
        <v>7195</v>
      </c>
      <c r="D305" s="98" t="s">
        <v>271</v>
      </c>
      <c r="E305" s="240" t="s">
        <v>7114</v>
      </c>
      <c r="F305" s="258" t="s">
        <v>7189</v>
      </c>
      <c r="G305" s="240" t="s">
        <v>6933</v>
      </c>
      <c r="H305" s="240" t="s">
        <v>6934</v>
      </c>
      <c r="I305" s="84" t="s">
        <v>36</v>
      </c>
      <c r="J305" s="252" t="s">
        <v>7117</v>
      </c>
      <c r="K305" s="251"/>
      <c r="L305" s="251"/>
      <c r="M305" s="251"/>
      <c r="N305" s="251"/>
      <c r="O305" s="251"/>
      <c r="P305" s="251"/>
      <c r="Q305" s="251"/>
      <c r="R305" s="251"/>
      <c r="S305" s="251"/>
      <c r="T305" s="251"/>
      <c r="U305" s="251"/>
      <c r="V305" s="251"/>
      <c r="W305" s="251"/>
      <c r="X305" s="251"/>
      <c r="Y305" s="251"/>
      <c r="Z305" s="251"/>
      <c r="AA305" s="251"/>
      <c r="AB305" s="251"/>
    </row>
    <row r="306" ht="14.25" customHeight="1">
      <c r="A306" s="251"/>
      <c r="B306" s="263"/>
      <c r="C306" s="242" t="s">
        <v>7196</v>
      </c>
      <c r="D306" s="98" t="s">
        <v>271</v>
      </c>
      <c r="E306" s="240" t="s">
        <v>7114</v>
      </c>
      <c r="F306" s="258" t="s">
        <v>7192</v>
      </c>
      <c r="G306" s="240" t="s">
        <v>7197</v>
      </c>
      <c r="H306" s="240" t="s">
        <v>7198</v>
      </c>
      <c r="I306" s="84" t="s">
        <v>36</v>
      </c>
      <c r="J306" s="252" t="s">
        <v>7117</v>
      </c>
      <c r="K306" s="251"/>
      <c r="L306" s="251"/>
      <c r="M306" s="251"/>
      <c r="N306" s="251"/>
      <c r="O306" s="251"/>
      <c r="P306" s="251"/>
      <c r="Q306" s="251"/>
      <c r="R306" s="251"/>
      <c r="S306" s="251"/>
      <c r="T306" s="251"/>
      <c r="U306" s="251"/>
      <c r="V306" s="251"/>
      <c r="W306" s="251"/>
      <c r="X306" s="251"/>
      <c r="Y306" s="251"/>
      <c r="Z306" s="251"/>
      <c r="AA306" s="251"/>
      <c r="AB306" s="251"/>
    </row>
    <row r="307" ht="14.25" customHeight="1">
      <c r="A307" s="251"/>
      <c r="B307" s="263"/>
      <c r="C307" s="242" t="s">
        <v>7199</v>
      </c>
      <c r="D307" s="98" t="s">
        <v>271</v>
      </c>
      <c r="E307" s="240" t="s">
        <v>7114</v>
      </c>
      <c r="F307" s="258" t="s">
        <v>7192</v>
      </c>
      <c r="G307" s="240" t="s">
        <v>6939</v>
      </c>
      <c r="H307" s="240" t="s">
        <v>6940</v>
      </c>
      <c r="I307" s="84" t="s">
        <v>36</v>
      </c>
      <c r="J307" s="252" t="s">
        <v>7117</v>
      </c>
      <c r="K307" s="251"/>
      <c r="L307" s="251"/>
      <c r="M307" s="251"/>
      <c r="N307" s="251"/>
      <c r="O307" s="251"/>
      <c r="P307" s="251"/>
      <c r="Q307" s="251"/>
      <c r="R307" s="251"/>
      <c r="S307" s="251"/>
      <c r="T307" s="251"/>
      <c r="U307" s="251"/>
      <c r="V307" s="251"/>
      <c r="W307" s="251"/>
      <c r="X307" s="251"/>
      <c r="Y307" s="251"/>
      <c r="Z307" s="251"/>
      <c r="AA307" s="251"/>
      <c r="AB307" s="251"/>
    </row>
    <row r="308" ht="14.25" customHeight="1">
      <c r="A308" s="251"/>
      <c r="B308" s="263"/>
      <c r="C308" s="242" t="s">
        <v>7200</v>
      </c>
      <c r="D308" s="98" t="s">
        <v>271</v>
      </c>
      <c r="E308" s="240" t="s">
        <v>7201</v>
      </c>
      <c r="F308" s="255" t="s">
        <v>7202</v>
      </c>
      <c r="G308" s="240" t="s">
        <v>7203</v>
      </c>
      <c r="H308" s="240" t="s">
        <v>7204</v>
      </c>
      <c r="I308" s="240" t="s">
        <v>36</v>
      </c>
      <c r="J308" s="98" t="s">
        <v>1784</v>
      </c>
      <c r="K308" s="251"/>
      <c r="L308" s="251"/>
      <c r="M308" s="251"/>
      <c r="N308" s="251"/>
      <c r="O308" s="251"/>
      <c r="P308" s="251"/>
      <c r="Q308" s="251"/>
      <c r="R308" s="251"/>
      <c r="S308" s="251"/>
      <c r="T308" s="251"/>
      <c r="U308" s="251"/>
      <c r="V308" s="251"/>
      <c r="W308" s="251"/>
      <c r="X308" s="251"/>
      <c r="Y308" s="251"/>
      <c r="Z308" s="251"/>
      <c r="AA308" s="251"/>
      <c r="AB308" s="251"/>
    </row>
    <row r="309" ht="14.25" customHeight="1">
      <c r="A309" s="251"/>
      <c r="B309" s="263"/>
      <c r="C309" s="242" t="s">
        <v>7205</v>
      </c>
      <c r="D309" s="98" t="s">
        <v>271</v>
      </c>
      <c r="E309" s="240" t="s">
        <v>7201</v>
      </c>
      <c r="F309" s="255" t="s">
        <v>7206</v>
      </c>
      <c r="G309" s="240" t="s">
        <v>7207</v>
      </c>
      <c r="H309" s="240" t="s">
        <v>7208</v>
      </c>
      <c r="I309" s="240" t="s">
        <v>36</v>
      </c>
      <c r="J309" s="98" t="s">
        <v>1784</v>
      </c>
      <c r="K309" s="251"/>
      <c r="L309" s="251"/>
      <c r="M309" s="251"/>
      <c r="N309" s="251"/>
      <c r="O309" s="251"/>
      <c r="P309" s="251"/>
      <c r="Q309" s="251"/>
      <c r="R309" s="251"/>
      <c r="S309" s="251"/>
      <c r="T309" s="251"/>
      <c r="U309" s="251"/>
      <c r="V309" s="251"/>
      <c r="W309" s="251"/>
      <c r="X309" s="251"/>
      <c r="Y309" s="251"/>
      <c r="Z309" s="251"/>
      <c r="AA309" s="251"/>
      <c r="AB309" s="251"/>
    </row>
    <row r="310" ht="14.25" customHeight="1">
      <c r="A310" s="251"/>
      <c r="B310" s="263"/>
      <c r="C310" s="242" t="s">
        <v>7209</v>
      </c>
      <c r="D310" s="98" t="s">
        <v>271</v>
      </c>
      <c r="E310" s="240" t="s">
        <v>7201</v>
      </c>
      <c r="F310" s="255" t="s">
        <v>7210</v>
      </c>
      <c r="G310" s="240" t="s">
        <v>7211</v>
      </c>
      <c r="H310" s="240" t="s">
        <v>7212</v>
      </c>
      <c r="I310" s="240" t="s">
        <v>36</v>
      </c>
      <c r="J310" s="98" t="s">
        <v>1784</v>
      </c>
      <c r="K310" s="251"/>
      <c r="L310" s="251"/>
      <c r="M310" s="251"/>
      <c r="N310" s="251"/>
      <c r="O310" s="251"/>
      <c r="P310" s="251"/>
      <c r="Q310" s="251"/>
      <c r="R310" s="251"/>
      <c r="S310" s="251"/>
      <c r="T310" s="251"/>
      <c r="U310" s="251"/>
      <c r="V310" s="251"/>
      <c r="W310" s="251"/>
      <c r="X310" s="251"/>
      <c r="Y310" s="251"/>
      <c r="Z310" s="251"/>
      <c r="AA310" s="251"/>
      <c r="AB310" s="251"/>
    </row>
    <row r="311" ht="14.25" customHeight="1">
      <c r="A311" s="251"/>
      <c r="B311" s="263"/>
      <c r="C311" s="242" t="s">
        <v>7213</v>
      </c>
      <c r="D311" s="98" t="s">
        <v>271</v>
      </c>
      <c r="E311" s="240" t="s">
        <v>7201</v>
      </c>
      <c r="F311" s="255" t="s">
        <v>7210</v>
      </c>
      <c r="G311" s="240" t="s">
        <v>7214</v>
      </c>
      <c r="H311" s="240" t="s">
        <v>7215</v>
      </c>
      <c r="I311" s="240" t="s">
        <v>36</v>
      </c>
      <c r="J311" s="98" t="s">
        <v>1784</v>
      </c>
      <c r="K311" s="251"/>
      <c r="L311" s="251"/>
      <c r="M311" s="251"/>
      <c r="N311" s="251"/>
      <c r="O311" s="251"/>
      <c r="P311" s="251"/>
      <c r="Q311" s="251"/>
      <c r="R311" s="251"/>
      <c r="S311" s="251"/>
      <c r="T311" s="251"/>
      <c r="U311" s="251"/>
      <c r="V311" s="251"/>
      <c r="W311" s="251"/>
      <c r="X311" s="251"/>
      <c r="Y311" s="251"/>
      <c r="Z311" s="251"/>
      <c r="AA311" s="251"/>
      <c r="AB311" s="251"/>
    </row>
    <row r="312" ht="14.25" customHeight="1">
      <c r="A312" s="251"/>
      <c r="B312" s="263"/>
      <c r="C312" s="242" t="s">
        <v>7216</v>
      </c>
      <c r="D312" s="98" t="s">
        <v>271</v>
      </c>
      <c r="E312" s="240" t="s">
        <v>7201</v>
      </c>
      <c r="F312" s="255" t="s">
        <v>7217</v>
      </c>
      <c r="G312" s="240" t="s">
        <v>7218</v>
      </c>
      <c r="H312" s="240" t="s">
        <v>7219</v>
      </c>
      <c r="I312" s="240" t="s">
        <v>36</v>
      </c>
      <c r="J312" s="98" t="s">
        <v>1784</v>
      </c>
      <c r="K312" s="251"/>
      <c r="L312" s="251"/>
      <c r="M312" s="251"/>
      <c r="N312" s="251"/>
      <c r="O312" s="251"/>
      <c r="P312" s="251"/>
      <c r="Q312" s="251"/>
      <c r="R312" s="251"/>
      <c r="S312" s="251"/>
      <c r="T312" s="251"/>
      <c r="U312" s="251"/>
      <c r="V312" s="251"/>
      <c r="W312" s="251"/>
      <c r="X312" s="251"/>
      <c r="Y312" s="251"/>
      <c r="Z312" s="251"/>
      <c r="AA312" s="251"/>
      <c r="AB312" s="251"/>
    </row>
    <row r="313" ht="14.25" customHeight="1">
      <c r="A313" s="251"/>
      <c r="B313" s="263"/>
      <c r="C313" s="242" t="s">
        <v>7220</v>
      </c>
      <c r="D313" s="98" t="s">
        <v>271</v>
      </c>
      <c r="E313" s="240" t="s">
        <v>7201</v>
      </c>
      <c r="F313" s="255" t="s">
        <v>7217</v>
      </c>
      <c r="G313" s="240" t="s">
        <v>7221</v>
      </c>
      <c r="H313" s="240" t="s">
        <v>7222</v>
      </c>
      <c r="I313" s="240" t="s">
        <v>36</v>
      </c>
      <c r="J313" s="98" t="s">
        <v>1784</v>
      </c>
      <c r="K313" s="251"/>
      <c r="L313" s="251"/>
      <c r="M313" s="251"/>
      <c r="N313" s="251"/>
      <c r="O313" s="251"/>
      <c r="P313" s="251"/>
      <c r="Q313" s="251"/>
      <c r="R313" s="251"/>
      <c r="S313" s="251"/>
      <c r="T313" s="251"/>
      <c r="U313" s="251"/>
      <c r="V313" s="251"/>
      <c r="W313" s="251"/>
      <c r="X313" s="251"/>
      <c r="Y313" s="251"/>
      <c r="Z313" s="251"/>
      <c r="AA313" s="251"/>
      <c r="AB313" s="251"/>
    </row>
    <row r="314" ht="14.25" customHeight="1">
      <c r="A314" s="251"/>
      <c r="B314" s="263"/>
      <c r="C314" s="242" t="s">
        <v>7223</v>
      </c>
      <c r="D314" s="98" t="s">
        <v>271</v>
      </c>
      <c r="E314" s="240" t="s">
        <v>7201</v>
      </c>
      <c r="F314" s="255" t="s">
        <v>7217</v>
      </c>
      <c r="G314" s="240" t="s">
        <v>7224</v>
      </c>
      <c r="H314" s="240" t="s">
        <v>7225</v>
      </c>
      <c r="I314" s="240" t="s">
        <v>36</v>
      </c>
      <c r="J314" s="98" t="s">
        <v>1784</v>
      </c>
      <c r="K314" s="251"/>
      <c r="L314" s="251"/>
      <c r="M314" s="251"/>
      <c r="N314" s="251"/>
      <c r="O314" s="251"/>
      <c r="P314" s="251"/>
      <c r="Q314" s="251"/>
      <c r="R314" s="251"/>
      <c r="S314" s="251"/>
      <c r="T314" s="251"/>
      <c r="U314" s="251"/>
      <c r="V314" s="251"/>
      <c r="W314" s="251"/>
      <c r="X314" s="251"/>
      <c r="Y314" s="251"/>
      <c r="Z314" s="251"/>
      <c r="AA314" s="251"/>
      <c r="AB314" s="251"/>
    </row>
    <row r="315" ht="14.25" customHeight="1">
      <c r="A315" s="251"/>
      <c r="B315" s="263"/>
      <c r="C315" s="242" t="s">
        <v>7226</v>
      </c>
      <c r="D315" s="98" t="s">
        <v>271</v>
      </c>
      <c r="E315" s="240" t="s">
        <v>7201</v>
      </c>
      <c r="F315" s="255" t="s">
        <v>7210</v>
      </c>
      <c r="G315" s="240" t="s">
        <v>7227</v>
      </c>
      <c r="H315" s="240" t="s">
        <v>7228</v>
      </c>
      <c r="I315" s="240" t="s">
        <v>317</v>
      </c>
      <c r="J315" s="98" t="s">
        <v>1784</v>
      </c>
      <c r="K315" s="251"/>
      <c r="L315" s="251"/>
      <c r="M315" s="251"/>
      <c r="N315" s="251"/>
      <c r="O315" s="251"/>
      <c r="P315" s="251"/>
      <c r="Q315" s="251"/>
      <c r="R315" s="251"/>
      <c r="S315" s="251"/>
      <c r="T315" s="251"/>
      <c r="U315" s="251"/>
      <c r="V315" s="251"/>
      <c r="W315" s="251"/>
      <c r="X315" s="251"/>
      <c r="Y315" s="251"/>
      <c r="Z315" s="251"/>
      <c r="AA315" s="251"/>
      <c r="AB315" s="251"/>
    </row>
    <row r="316" ht="14.25" customHeight="1">
      <c r="A316" s="251"/>
      <c r="B316" s="263"/>
      <c r="C316" s="242" t="s">
        <v>7229</v>
      </c>
      <c r="D316" s="98" t="s">
        <v>271</v>
      </c>
      <c r="E316" s="240" t="s">
        <v>7201</v>
      </c>
      <c r="F316" s="255" t="s">
        <v>7217</v>
      </c>
      <c r="G316" s="240" t="s">
        <v>7230</v>
      </c>
      <c r="H316" s="240" t="s">
        <v>7231</v>
      </c>
      <c r="I316" s="240" t="s">
        <v>317</v>
      </c>
      <c r="J316" s="98" t="s">
        <v>1784</v>
      </c>
      <c r="K316" s="251"/>
      <c r="L316" s="251"/>
      <c r="M316" s="251"/>
      <c r="N316" s="251"/>
      <c r="O316" s="251"/>
      <c r="P316" s="251"/>
      <c r="Q316" s="251"/>
      <c r="R316" s="251"/>
      <c r="S316" s="251"/>
      <c r="T316" s="251"/>
      <c r="U316" s="251"/>
      <c r="V316" s="251"/>
      <c r="W316" s="251"/>
      <c r="X316" s="251"/>
      <c r="Y316" s="251"/>
      <c r="Z316" s="251"/>
      <c r="AA316" s="251"/>
      <c r="AB316" s="251"/>
    </row>
    <row r="317" ht="14.25" customHeight="1">
      <c r="A317" s="251"/>
      <c r="B317" s="263"/>
      <c r="C317" s="242" t="s">
        <v>7232</v>
      </c>
      <c r="D317" s="98" t="s">
        <v>271</v>
      </c>
      <c r="E317" s="240" t="s">
        <v>7201</v>
      </c>
      <c r="F317" s="255" t="s">
        <v>7210</v>
      </c>
      <c r="G317" s="240" t="s">
        <v>7233</v>
      </c>
      <c r="H317" s="240" t="s">
        <v>7234</v>
      </c>
      <c r="I317" s="240" t="s">
        <v>36</v>
      </c>
      <c r="J317" s="98" t="s">
        <v>1784</v>
      </c>
      <c r="K317" s="251"/>
      <c r="L317" s="251"/>
      <c r="M317" s="251"/>
      <c r="N317" s="251"/>
      <c r="O317" s="251"/>
      <c r="P317" s="251"/>
      <c r="Q317" s="251"/>
      <c r="R317" s="251"/>
      <c r="S317" s="251"/>
      <c r="T317" s="251"/>
      <c r="U317" s="251"/>
      <c r="V317" s="251"/>
      <c r="W317" s="251"/>
      <c r="X317" s="251"/>
      <c r="Y317" s="251"/>
      <c r="Z317" s="251"/>
      <c r="AA317" s="251"/>
      <c r="AB317" s="251"/>
    </row>
    <row r="318" ht="14.25" customHeight="1">
      <c r="A318" s="251"/>
      <c r="B318" s="263"/>
      <c r="C318" s="242" t="s">
        <v>7235</v>
      </c>
      <c r="D318" s="98" t="s">
        <v>271</v>
      </c>
      <c r="E318" s="240" t="s">
        <v>7201</v>
      </c>
      <c r="F318" s="255" t="s">
        <v>7217</v>
      </c>
      <c r="G318" s="240" t="s">
        <v>7236</v>
      </c>
      <c r="H318" s="265" t="s">
        <v>7237</v>
      </c>
      <c r="I318" s="240" t="s">
        <v>36</v>
      </c>
      <c r="J318" s="98" t="s">
        <v>1784</v>
      </c>
      <c r="K318" s="251"/>
      <c r="L318" s="251"/>
      <c r="M318" s="251"/>
      <c r="N318" s="251"/>
      <c r="O318" s="251"/>
      <c r="P318" s="251"/>
      <c r="Q318" s="251"/>
      <c r="R318" s="251"/>
      <c r="S318" s="251"/>
      <c r="T318" s="251"/>
      <c r="U318" s="251"/>
      <c r="V318" s="251"/>
      <c r="W318" s="251"/>
      <c r="X318" s="251"/>
      <c r="Y318" s="251"/>
      <c r="Z318" s="251"/>
      <c r="AA318" s="251"/>
      <c r="AB318" s="251"/>
    </row>
    <row r="319" ht="14.25" customHeight="1">
      <c r="A319" s="251"/>
      <c r="B319" s="263"/>
      <c r="C319" s="242" t="s">
        <v>7238</v>
      </c>
      <c r="D319" s="98" t="s">
        <v>271</v>
      </c>
      <c r="E319" s="240" t="s">
        <v>7201</v>
      </c>
      <c r="F319" s="255" t="s">
        <v>7210</v>
      </c>
      <c r="G319" s="240" t="s">
        <v>7239</v>
      </c>
      <c r="H319" s="265" t="s">
        <v>7240</v>
      </c>
      <c r="I319" s="240" t="s">
        <v>317</v>
      </c>
      <c r="J319" s="98" t="s">
        <v>1784</v>
      </c>
      <c r="K319" s="251"/>
      <c r="L319" s="251"/>
      <c r="M319" s="251"/>
      <c r="N319" s="251"/>
      <c r="O319" s="251"/>
      <c r="P319" s="251"/>
      <c r="Q319" s="251"/>
      <c r="R319" s="251"/>
      <c r="S319" s="251"/>
      <c r="T319" s="251"/>
      <c r="U319" s="251"/>
      <c r="V319" s="251"/>
      <c r="W319" s="251"/>
      <c r="X319" s="251"/>
      <c r="Y319" s="251"/>
      <c r="Z319" s="251"/>
      <c r="AA319" s="251"/>
      <c r="AB319" s="251"/>
    </row>
    <row r="320" ht="14.25" customHeight="1">
      <c r="A320" s="251"/>
      <c r="B320" s="263"/>
      <c r="C320" s="242" t="s">
        <v>7241</v>
      </c>
      <c r="D320" s="98" t="s">
        <v>271</v>
      </c>
      <c r="E320" s="240" t="s">
        <v>7201</v>
      </c>
      <c r="F320" s="255" t="s">
        <v>7217</v>
      </c>
      <c r="G320" s="240" t="s">
        <v>7242</v>
      </c>
      <c r="H320" s="240" t="s">
        <v>7243</v>
      </c>
      <c r="I320" s="240" t="s">
        <v>36</v>
      </c>
      <c r="J320" s="98" t="s">
        <v>1784</v>
      </c>
      <c r="K320" s="251"/>
      <c r="L320" s="251"/>
      <c r="M320" s="251"/>
      <c r="N320" s="251"/>
      <c r="O320" s="251"/>
      <c r="P320" s="251"/>
      <c r="Q320" s="251"/>
      <c r="R320" s="251"/>
      <c r="S320" s="251"/>
      <c r="T320" s="251"/>
      <c r="U320" s="251"/>
      <c r="V320" s="251"/>
      <c r="W320" s="251"/>
      <c r="X320" s="251"/>
      <c r="Y320" s="251"/>
      <c r="Z320" s="251"/>
      <c r="AA320" s="251"/>
      <c r="AB320" s="251"/>
    </row>
    <row r="321" ht="14.25" customHeight="1">
      <c r="A321" s="251"/>
      <c r="B321" s="263"/>
      <c r="C321" s="242" t="s">
        <v>7244</v>
      </c>
      <c r="D321" s="98" t="s">
        <v>271</v>
      </c>
      <c r="E321" s="240" t="s">
        <v>7201</v>
      </c>
      <c r="F321" s="255" t="s">
        <v>7217</v>
      </c>
      <c r="G321" s="240" t="s">
        <v>7245</v>
      </c>
      <c r="H321" s="240" t="s">
        <v>7246</v>
      </c>
      <c r="I321" s="240" t="s">
        <v>36</v>
      </c>
      <c r="J321" s="98" t="s">
        <v>1784</v>
      </c>
      <c r="K321" s="251"/>
      <c r="L321" s="251"/>
      <c r="M321" s="251"/>
      <c r="N321" s="251"/>
      <c r="O321" s="251"/>
      <c r="P321" s="251"/>
      <c r="Q321" s="251"/>
      <c r="R321" s="251"/>
      <c r="S321" s="251"/>
      <c r="T321" s="251"/>
      <c r="U321" s="251"/>
      <c r="V321" s="251"/>
      <c r="W321" s="251"/>
      <c r="X321" s="251"/>
      <c r="Y321" s="251"/>
      <c r="Z321" s="251"/>
      <c r="AA321" s="251"/>
      <c r="AB321" s="251"/>
    </row>
    <row r="322" ht="14.25" customHeight="1">
      <c r="A322" s="251"/>
      <c r="B322" s="263"/>
      <c r="C322" s="242" t="s">
        <v>7247</v>
      </c>
      <c r="D322" s="98" t="s">
        <v>271</v>
      </c>
      <c r="E322" s="240" t="s">
        <v>7201</v>
      </c>
      <c r="F322" s="255" t="s">
        <v>7210</v>
      </c>
      <c r="G322" s="240" t="s">
        <v>7248</v>
      </c>
      <c r="H322" s="240" t="s">
        <v>7249</v>
      </c>
      <c r="I322" s="240" t="s">
        <v>36</v>
      </c>
      <c r="J322" s="98" t="s">
        <v>1784</v>
      </c>
      <c r="K322" s="251"/>
      <c r="L322" s="251"/>
      <c r="M322" s="251"/>
      <c r="N322" s="251"/>
      <c r="O322" s="251"/>
      <c r="P322" s="251"/>
      <c r="Q322" s="251"/>
      <c r="R322" s="251"/>
      <c r="S322" s="251"/>
      <c r="T322" s="251"/>
      <c r="U322" s="251"/>
      <c r="V322" s="251"/>
      <c r="W322" s="251"/>
      <c r="X322" s="251"/>
      <c r="Y322" s="251"/>
      <c r="Z322" s="251"/>
      <c r="AA322" s="251"/>
      <c r="AB322" s="251"/>
    </row>
    <row r="323" ht="14.25" customHeight="1">
      <c r="A323" s="251"/>
      <c r="B323" s="263"/>
      <c r="C323" s="242" t="s">
        <v>7250</v>
      </c>
      <c r="D323" s="98" t="s">
        <v>271</v>
      </c>
      <c r="E323" s="240" t="s">
        <v>7201</v>
      </c>
      <c r="F323" s="255" t="s">
        <v>7217</v>
      </c>
      <c r="G323" s="240" t="s">
        <v>7251</v>
      </c>
      <c r="H323" s="240" t="s">
        <v>7252</v>
      </c>
      <c r="I323" s="240" t="s">
        <v>36</v>
      </c>
      <c r="J323" s="98" t="s">
        <v>1784</v>
      </c>
      <c r="K323" s="251"/>
      <c r="L323" s="251"/>
      <c r="M323" s="251"/>
      <c r="N323" s="251"/>
      <c r="O323" s="251"/>
      <c r="P323" s="251"/>
      <c r="Q323" s="251"/>
      <c r="R323" s="251"/>
      <c r="S323" s="251"/>
      <c r="T323" s="251"/>
      <c r="U323" s="251"/>
      <c r="V323" s="251"/>
      <c r="W323" s="251"/>
      <c r="X323" s="251"/>
      <c r="Y323" s="251"/>
      <c r="Z323" s="251"/>
      <c r="AA323" s="251"/>
      <c r="AB323" s="251"/>
    </row>
    <row r="324" ht="14.25" customHeight="1">
      <c r="A324" s="251"/>
      <c r="B324" s="263"/>
      <c r="C324" s="242" t="s">
        <v>7253</v>
      </c>
      <c r="D324" s="98" t="s">
        <v>271</v>
      </c>
      <c r="E324" s="240" t="s">
        <v>7201</v>
      </c>
      <c r="F324" s="240" t="s">
        <v>7217</v>
      </c>
      <c r="G324" s="240" t="s">
        <v>6904</v>
      </c>
      <c r="H324" s="240" t="s">
        <v>6905</v>
      </c>
      <c r="I324" s="240" t="s">
        <v>36</v>
      </c>
      <c r="J324" s="98" t="s">
        <v>1784</v>
      </c>
      <c r="K324" s="251"/>
      <c r="L324" s="251"/>
      <c r="M324" s="251"/>
      <c r="N324" s="251"/>
      <c r="O324" s="251"/>
      <c r="P324" s="251"/>
      <c r="Q324" s="251"/>
      <c r="R324" s="251"/>
      <c r="S324" s="251"/>
      <c r="T324" s="251"/>
      <c r="U324" s="251"/>
      <c r="V324" s="251"/>
      <c r="W324" s="251"/>
      <c r="X324" s="251"/>
      <c r="Y324" s="251"/>
      <c r="Z324" s="251"/>
      <c r="AA324" s="251"/>
      <c r="AB324" s="251"/>
    </row>
    <row r="325" ht="14.25" customHeight="1">
      <c r="A325" s="251"/>
      <c r="B325" s="263"/>
      <c r="C325" s="242" t="s">
        <v>7254</v>
      </c>
      <c r="D325" s="98" t="s">
        <v>271</v>
      </c>
      <c r="E325" s="240" t="s">
        <v>7201</v>
      </c>
      <c r="F325" s="240" t="s">
        <v>7217</v>
      </c>
      <c r="G325" s="240" t="s">
        <v>6907</v>
      </c>
      <c r="H325" s="240" t="s">
        <v>7255</v>
      </c>
      <c r="I325" s="240" t="s">
        <v>36</v>
      </c>
      <c r="J325" s="98" t="s">
        <v>1784</v>
      </c>
      <c r="K325" s="251"/>
      <c r="L325" s="251"/>
      <c r="M325" s="251"/>
      <c r="N325" s="251"/>
      <c r="O325" s="251"/>
      <c r="P325" s="251"/>
      <c r="Q325" s="251"/>
      <c r="R325" s="251"/>
      <c r="S325" s="251"/>
      <c r="T325" s="251"/>
      <c r="U325" s="251"/>
      <c r="V325" s="251"/>
      <c r="W325" s="251"/>
      <c r="X325" s="251"/>
      <c r="Y325" s="251"/>
      <c r="Z325" s="251"/>
      <c r="AA325" s="251"/>
      <c r="AB325" s="251"/>
    </row>
    <row r="326" ht="14.25" customHeight="1">
      <c r="A326" s="251"/>
      <c r="B326" s="263"/>
      <c r="C326" s="242" t="s">
        <v>7256</v>
      </c>
      <c r="D326" s="98" t="s">
        <v>271</v>
      </c>
      <c r="E326" s="240" t="s">
        <v>7201</v>
      </c>
      <c r="F326" s="240" t="s">
        <v>7217</v>
      </c>
      <c r="G326" s="240" t="s">
        <v>6910</v>
      </c>
      <c r="H326" s="240" t="s">
        <v>7257</v>
      </c>
      <c r="I326" s="240" t="s">
        <v>36</v>
      </c>
      <c r="J326" s="98" t="s">
        <v>1784</v>
      </c>
      <c r="K326" s="251"/>
      <c r="L326" s="251"/>
      <c r="M326" s="251"/>
      <c r="N326" s="251"/>
      <c r="O326" s="251"/>
      <c r="P326" s="251"/>
      <c r="Q326" s="251"/>
      <c r="R326" s="251"/>
      <c r="S326" s="251"/>
      <c r="T326" s="251"/>
      <c r="U326" s="251"/>
      <c r="V326" s="251"/>
      <c r="W326" s="251"/>
      <c r="X326" s="251"/>
      <c r="Y326" s="251"/>
      <c r="Z326" s="251"/>
      <c r="AA326" s="251"/>
      <c r="AB326" s="251"/>
    </row>
    <row r="327" ht="14.25" customHeight="1">
      <c r="A327" s="251"/>
      <c r="B327" s="263"/>
      <c r="C327" s="242" t="s">
        <v>7258</v>
      </c>
      <c r="D327" s="98" t="s">
        <v>271</v>
      </c>
      <c r="E327" s="240" t="s">
        <v>7201</v>
      </c>
      <c r="F327" s="240" t="s">
        <v>7217</v>
      </c>
      <c r="G327" s="240" t="s">
        <v>6913</v>
      </c>
      <c r="H327" s="240" t="s">
        <v>6914</v>
      </c>
      <c r="I327" s="240" t="s">
        <v>36</v>
      </c>
      <c r="J327" s="98" t="s">
        <v>1784</v>
      </c>
      <c r="K327" s="251"/>
      <c r="L327" s="251"/>
      <c r="M327" s="251"/>
      <c r="N327" s="251"/>
      <c r="O327" s="251"/>
      <c r="P327" s="251"/>
      <c r="Q327" s="251"/>
      <c r="R327" s="251"/>
      <c r="S327" s="251"/>
      <c r="T327" s="251"/>
      <c r="U327" s="251"/>
      <c r="V327" s="251"/>
      <c r="W327" s="251"/>
      <c r="X327" s="251"/>
      <c r="Y327" s="251"/>
      <c r="Z327" s="251"/>
      <c r="AA327" s="251"/>
      <c r="AB327" s="251"/>
    </row>
    <row r="328" ht="14.25" customHeight="1">
      <c r="A328" s="251"/>
      <c r="B328" s="263"/>
      <c r="C328" s="242" t="s">
        <v>7259</v>
      </c>
      <c r="D328" s="98" t="s">
        <v>271</v>
      </c>
      <c r="E328" s="240" t="s">
        <v>7201</v>
      </c>
      <c r="F328" s="240" t="s">
        <v>7217</v>
      </c>
      <c r="G328" s="240" t="s">
        <v>6916</v>
      </c>
      <c r="H328" s="240" t="s">
        <v>6917</v>
      </c>
      <c r="I328" s="240" t="s">
        <v>36</v>
      </c>
      <c r="J328" s="98" t="s">
        <v>1784</v>
      </c>
      <c r="K328" s="251"/>
      <c r="L328" s="251"/>
      <c r="M328" s="251"/>
      <c r="N328" s="251"/>
      <c r="O328" s="251"/>
      <c r="P328" s="251"/>
      <c r="Q328" s="251"/>
      <c r="R328" s="251"/>
      <c r="S328" s="251"/>
      <c r="T328" s="251"/>
      <c r="U328" s="251"/>
      <c r="V328" s="251"/>
      <c r="W328" s="251"/>
      <c r="X328" s="251"/>
      <c r="Y328" s="251"/>
      <c r="Z328" s="251"/>
      <c r="AA328" s="251"/>
      <c r="AB328" s="251"/>
    </row>
    <row r="329" ht="14.25" customHeight="1">
      <c r="A329" s="251"/>
      <c r="B329" s="263"/>
      <c r="C329" s="242" t="s">
        <v>7260</v>
      </c>
      <c r="D329" s="98" t="s">
        <v>271</v>
      </c>
      <c r="E329" s="240" t="s">
        <v>7201</v>
      </c>
      <c r="F329" s="240" t="s">
        <v>7217</v>
      </c>
      <c r="G329" s="240" t="s">
        <v>7261</v>
      </c>
      <c r="H329" s="240" t="s">
        <v>6921</v>
      </c>
      <c r="I329" s="240" t="s">
        <v>36</v>
      </c>
      <c r="J329" s="98" t="s">
        <v>1784</v>
      </c>
      <c r="K329" s="251"/>
      <c r="L329" s="251"/>
      <c r="M329" s="251"/>
      <c r="N329" s="251"/>
      <c r="O329" s="251"/>
      <c r="P329" s="251"/>
      <c r="Q329" s="251"/>
      <c r="R329" s="251"/>
      <c r="S329" s="251"/>
      <c r="T329" s="251"/>
      <c r="U329" s="251"/>
      <c r="V329" s="251"/>
      <c r="W329" s="251"/>
      <c r="X329" s="251"/>
      <c r="Y329" s="251"/>
      <c r="Z329" s="251"/>
      <c r="AA329" s="251"/>
      <c r="AB329" s="251"/>
    </row>
    <row r="330" ht="14.25" customHeight="1">
      <c r="A330" s="251"/>
      <c r="B330" s="263"/>
      <c r="C330" s="242" t="s">
        <v>7262</v>
      </c>
      <c r="D330" s="98" t="s">
        <v>271</v>
      </c>
      <c r="E330" s="240" t="s">
        <v>7201</v>
      </c>
      <c r="F330" s="240" t="s">
        <v>7217</v>
      </c>
      <c r="G330" s="240" t="s">
        <v>6924</v>
      </c>
      <c r="H330" s="240" t="s">
        <v>6925</v>
      </c>
      <c r="I330" s="240" t="s">
        <v>36</v>
      </c>
      <c r="J330" s="98" t="s">
        <v>1784</v>
      </c>
      <c r="K330" s="251"/>
      <c r="L330" s="251"/>
      <c r="M330" s="251"/>
      <c r="N330" s="251"/>
      <c r="O330" s="251"/>
      <c r="P330" s="251"/>
      <c r="Q330" s="251"/>
      <c r="R330" s="251"/>
      <c r="S330" s="251"/>
      <c r="T330" s="251"/>
      <c r="U330" s="251"/>
      <c r="V330" s="251"/>
      <c r="W330" s="251"/>
      <c r="X330" s="251"/>
      <c r="Y330" s="251"/>
      <c r="Z330" s="251"/>
      <c r="AA330" s="251"/>
      <c r="AB330" s="251"/>
    </row>
    <row r="331" ht="14.25" customHeight="1">
      <c r="A331" s="251"/>
      <c r="B331" s="263"/>
      <c r="C331" s="242" t="s">
        <v>7263</v>
      </c>
      <c r="D331" s="98" t="s">
        <v>271</v>
      </c>
      <c r="E331" s="240" t="s">
        <v>7201</v>
      </c>
      <c r="F331" s="240" t="s">
        <v>7217</v>
      </c>
      <c r="G331" s="240" t="s">
        <v>6927</v>
      </c>
      <c r="H331" s="240" t="s">
        <v>6928</v>
      </c>
      <c r="I331" s="240" t="s">
        <v>36</v>
      </c>
      <c r="J331" s="98" t="s">
        <v>1784</v>
      </c>
      <c r="K331" s="251"/>
      <c r="L331" s="251"/>
      <c r="M331" s="251"/>
      <c r="N331" s="251"/>
      <c r="O331" s="251"/>
      <c r="P331" s="251"/>
      <c r="Q331" s="251"/>
      <c r="R331" s="251"/>
      <c r="S331" s="251"/>
      <c r="T331" s="251"/>
      <c r="U331" s="251"/>
      <c r="V331" s="251"/>
      <c r="W331" s="251"/>
      <c r="X331" s="251"/>
      <c r="Y331" s="251"/>
      <c r="Z331" s="251"/>
      <c r="AA331" s="251"/>
      <c r="AB331" s="251"/>
    </row>
    <row r="332" ht="14.25" customHeight="1">
      <c r="A332" s="251"/>
      <c r="B332" s="263"/>
      <c r="C332" s="242" t="s">
        <v>7264</v>
      </c>
      <c r="D332" s="98" t="s">
        <v>271</v>
      </c>
      <c r="E332" s="240" t="s">
        <v>7201</v>
      </c>
      <c r="F332" s="240" t="s">
        <v>7217</v>
      </c>
      <c r="G332" s="240" t="s">
        <v>6930</v>
      </c>
      <c r="H332" s="240" t="s">
        <v>6931</v>
      </c>
      <c r="I332" s="240" t="s">
        <v>36</v>
      </c>
      <c r="J332" s="98" t="s">
        <v>1784</v>
      </c>
      <c r="K332" s="251"/>
      <c r="L332" s="251"/>
      <c r="M332" s="251"/>
      <c r="N332" s="251"/>
      <c r="O332" s="251"/>
      <c r="P332" s="251"/>
      <c r="Q332" s="251"/>
      <c r="R332" s="251"/>
      <c r="S332" s="251"/>
      <c r="T332" s="251"/>
      <c r="U332" s="251"/>
      <c r="V332" s="251"/>
      <c r="W332" s="251"/>
      <c r="X332" s="251"/>
      <c r="Y332" s="251"/>
      <c r="Z332" s="251"/>
      <c r="AA332" s="251"/>
      <c r="AB332" s="251"/>
    </row>
    <row r="333" ht="14.25" customHeight="1">
      <c r="A333" s="251"/>
      <c r="B333" s="263"/>
      <c r="C333" s="242" t="s">
        <v>7265</v>
      </c>
      <c r="D333" s="98" t="s">
        <v>271</v>
      </c>
      <c r="E333" s="240" t="s">
        <v>7201</v>
      </c>
      <c r="F333" s="240" t="s">
        <v>7217</v>
      </c>
      <c r="G333" s="240" t="s">
        <v>6933</v>
      </c>
      <c r="H333" s="240" t="s">
        <v>6934</v>
      </c>
      <c r="I333" s="240" t="s">
        <v>36</v>
      </c>
      <c r="J333" s="98" t="s">
        <v>1784</v>
      </c>
      <c r="K333" s="251"/>
      <c r="L333" s="251"/>
      <c r="M333" s="251"/>
      <c r="N333" s="251"/>
      <c r="O333" s="251"/>
      <c r="P333" s="251"/>
      <c r="Q333" s="251"/>
      <c r="R333" s="251"/>
      <c r="S333" s="251"/>
      <c r="T333" s="251"/>
      <c r="U333" s="251"/>
      <c r="V333" s="251"/>
      <c r="W333" s="251"/>
      <c r="X333" s="251"/>
      <c r="Y333" s="251"/>
      <c r="Z333" s="251"/>
      <c r="AA333" s="251"/>
      <c r="AB333" s="251"/>
    </row>
    <row r="334" ht="14.25" customHeight="1">
      <c r="A334" s="251"/>
      <c r="B334" s="263"/>
      <c r="C334" s="242" t="s">
        <v>7266</v>
      </c>
      <c r="D334" s="98" t="s">
        <v>271</v>
      </c>
      <c r="E334" s="240" t="s">
        <v>7201</v>
      </c>
      <c r="F334" s="240" t="s">
        <v>7217</v>
      </c>
      <c r="G334" s="240" t="s">
        <v>6939</v>
      </c>
      <c r="H334" s="240" t="s">
        <v>6940</v>
      </c>
      <c r="I334" s="240" t="s">
        <v>36</v>
      </c>
      <c r="J334" s="98" t="s">
        <v>1784</v>
      </c>
      <c r="K334" s="251"/>
      <c r="L334" s="251"/>
      <c r="M334" s="251"/>
      <c r="N334" s="251"/>
      <c r="O334" s="251"/>
      <c r="P334" s="251"/>
      <c r="Q334" s="251"/>
      <c r="R334" s="251"/>
      <c r="S334" s="251"/>
      <c r="T334" s="251"/>
      <c r="U334" s="251"/>
      <c r="V334" s="251"/>
      <c r="W334" s="251"/>
      <c r="X334" s="251"/>
      <c r="Y334" s="251"/>
      <c r="Z334" s="251"/>
      <c r="AA334" s="251"/>
      <c r="AB334" s="251"/>
    </row>
    <row r="335" ht="14.25" customHeight="1">
      <c r="A335" s="251"/>
      <c r="B335" s="263"/>
      <c r="C335" s="242" t="s">
        <v>7267</v>
      </c>
      <c r="D335" s="98" t="s">
        <v>271</v>
      </c>
      <c r="E335" s="240" t="s">
        <v>7268</v>
      </c>
      <c r="F335" s="258" t="s">
        <v>6807</v>
      </c>
      <c r="G335" s="240" t="s">
        <v>7269</v>
      </c>
      <c r="H335" s="240" t="s">
        <v>7270</v>
      </c>
      <c r="I335" s="84" t="s">
        <v>36</v>
      </c>
      <c r="J335" s="252" t="s">
        <v>2034</v>
      </c>
      <c r="K335" s="251"/>
      <c r="L335" s="251"/>
      <c r="M335" s="251"/>
      <c r="N335" s="251"/>
      <c r="O335" s="251"/>
      <c r="P335" s="251"/>
      <c r="Q335" s="251"/>
      <c r="R335" s="251"/>
      <c r="S335" s="251"/>
      <c r="T335" s="251"/>
      <c r="U335" s="251"/>
      <c r="V335" s="251"/>
      <c r="W335" s="251"/>
      <c r="X335" s="251"/>
      <c r="Y335" s="251"/>
      <c r="Z335" s="251"/>
      <c r="AA335" s="251"/>
      <c r="AB335" s="251"/>
    </row>
    <row r="336" ht="14.25" customHeight="1">
      <c r="A336" s="251"/>
      <c r="B336" s="263"/>
      <c r="C336" s="242" t="s">
        <v>7271</v>
      </c>
      <c r="D336" s="98" t="s">
        <v>271</v>
      </c>
      <c r="E336" s="240" t="s">
        <v>7268</v>
      </c>
      <c r="F336" s="258" t="s">
        <v>7272</v>
      </c>
      <c r="G336" s="240" t="s">
        <v>7273</v>
      </c>
      <c r="H336" s="240" t="s">
        <v>7274</v>
      </c>
      <c r="I336" s="84" t="s">
        <v>36</v>
      </c>
      <c r="J336" s="252" t="s">
        <v>2034</v>
      </c>
      <c r="K336" s="251"/>
      <c r="L336" s="251"/>
      <c r="M336" s="251"/>
      <c r="N336" s="251"/>
      <c r="O336" s="251"/>
      <c r="P336" s="251"/>
      <c r="Q336" s="251"/>
      <c r="R336" s="251"/>
      <c r="S336" s="251"/>
      <c r="T336" s="251"/>
      <c r="U336" s="251"/>
      <c r="V336" s="251"/>
      <c r="W336" s="251"/>
      <c r="X336" s="251"/>
      <c r="Y336" s="251"/>
      <c r="Z336" s="251"/>
      <c r="AA336" s="251"/>
      <c r="AB336" s="251"/>
    </row>
    <row r="337" ht="14.25" customHeight="1">
      <c r="A337" s="251"/>
      <c r="B337" s="263"/>
      <c r="C337" s="242" t="s">
        <v>7275</v>
      </c>
      <c r="D337" s="98" t="s">
        <v>271</v>
      </c>
      <c r="E337" s="240" t="s">
        <v>7268</v>
      </c>
      <c r="F337" s="258" t="s">
        <v>7276</v>
      </c>
      <c r="G337" s="240" t="s">
        <v>7277</v>
      </c>
      <c r="H337" s="240" t="s">
        <v>7278</v>
      </c>
      <c r="I337" s="84" t="s">
        <v>36</v>
      </c>
      <c r="J337" s="252" t="s">
        <v>2034</v>
      </c>
      <c r="K337" s="251"/>
      <c r="L337" s="251"/>
      <c r="M337" s="251"/>
      <c r="N337" s="251"/>
      <c r="O337" s="251"/>
      <c r="P337" s="251"/>
      <c r="Q337" s="251"/>
      <c r="R337" s="251"/>
      <c r="S337" s="251"/>
      <c r="T337" s="251"/>
      <c r="U337" s="251"/>
      <c r="V337" s="251"/>
      <c r="W337" s="251"/>
      <c r="X337" s="251"/>
      <c r="Y337" s="251"/>
      <c r="Z337" s="251"/>
      <c r="AA337" s="251"/>
      <c r="AB337" s="251"/>
    </row>
    <row r="338" ht="14.25" customHeight="1">
      <c r="A338" s="251"/>
      <c r="B338" s="263"/>
      <c r="C338" s="242" t="s">
        <v>7279</v>
      </c>
      <c r="D338" s="98" t="s">
        <v>271</v>
      </c>
      <c r="E338" s="240" t="s">
        <v>7268</v>
      </c>
      <c r="F338" s="258" t="s">
        <v>7280</v>
      </c>
      <c r="G338" s="240" t="s">
        <v>7281</v>
      </c>
      <c r="H338" s="240" t="s">
        <v>7282</v>
      </c>
      <c r="I338" s="84" t="s">
        <v>36</v>
      </c>
      <c r="J338" s="252" t="s">
        <v>2034</v>
      </c>
      <c r="K338" s="251"/>
      <c r="L338" s="251"/>
      <c r="M338" s="251"/>
      <c r="N338" s="251"/>
      <c r="O338" s="251"/>
      <c r="P338" s="251"/>
      <c r="Q338" s="251"/>
      <c r="R338" s="251"/>
      <c r="S338" s="251"/>
      <c r="T338" s="251"/>
      <c r="U338" s="251"/>
      <c r="V338" s="251"/>
      <c r="W338" s="251"/>
      <c r="X338" s="251"/>
      <c r="Y338" s="251"/>
      <c r="Z338" s="251"/>
      <c r="AA338" s="251"/>
      <c r="AB338" s="251"/>
    </row>
    <row r="339" ht="14.25" customHeight="1">
      <c r="A339" s="251"/>
      <c r="B339" s="263"/>
      <c r="C339" s="242" t="s">
        <v>7283</v>
      </c>
      <c r="D339" s="98" t="s">
        <v>271</v>
      </c>
      <c r="E339" s="240" t="s">
        <v>7268</v>
      </c>
      <c r="F339" s="258" t="s">
        <v>7284</v>
      </c>
      <c r="G339" s="240" t="s">
        <v>7285</v>
      </c>
      <c r="H339" s="240" t="s">
        <v>7286</v>
      </c>
      <c r="I339" s="84" t="s">
        <v>36</v>
      </c>
      <c r="J339" s="252" t="s">
        <v>2034</v>
      </c>
      <c r="K339" s="251"/>
      <c r="L339" s="251"/>
      <c r="M339" s="251"/>
      <c r="N339" s="251"/>
      <c r="O339" s="251"/>
      <c r="P339" s="251"/>
      <c r="Q339" s="251"/>
      <c r="R339" s="251"/>
      <c r="S339" s="251"/>
      <c r="T339" s="251"/>
      <c r="U339" s="251"/>
      <c r="V339" s="251"/>
      <c r="W339" s="251"/>
      <c r="X339" s="251"/>
      <c r="Y339" s="251"/>
      <c r="Z339" s="251"/>
      <c r="AA339" s="251"/>
      <c r="AB339" s="251"/>
    </row>
    <row r="340" ht="14.25" customHeight="1">
      <c r="A340" s="251"/>
      <c r="B340" s="263"/>
      <c r="C340" s="242" t="s">
        <v>7287</v>
      </c>
      <c r="D340" s="98" t="s">
        <v>271</v>
      </c>
      <c r="E340" s="240" t="s">
        <v>7268</v>
      </c>
      <c r="F340" s="258" t="s">
        <v>7288</v>
      </c>
      <c r="G340" s="240" t="s">
        <v>7289</v>
      </c>
      <c r="H340" s="240" t="s">
        <v>7290</v>
      </c>
      <c r="I340" s="84" t="s">
        <v>36</v>
      </c>
      <c r="J340" s="252" t="s">
        <v>2034</v>
      </c>
      <c r="K340" s="251"/>
      <c r="L340" s="251"/>
      <c r="M340" s="251"/>
      <c r="N340" s="251"/>
      <c r="O340" s="251"/>
      <c r="P340" s="251"/>
      <c r="Q340" s="251"/>
      <c r="R340" s="251"/>
      <c r="S340" s="251"/>
      <c r="T340" s="251"/>
      <c r="U340" s="251"/>
      <c r="V340" s="251"/>
      <c r="W340" s="251"/>
      <c r="X340" s="251"/>
      <c r="Y340" s="251"/>
      <c r="Z340" s="251"/>
      <c r="AA340" s="251"/>
      <c r="AB340" s="251"/>
    </row>
    <row r="341" ht="14.25" customHeight="1">
      <c r="A341" s="251"/>
      <c r="B341" s="263"/>
      <c r="C341" s="242" t="s">
        <v>7291</v>
      </c>
      <c r="D341" s="98" t="s">
        <v>271</v>
      </c>
      <c r="E341" s="240" t="s">
        <v>7268</v>
      </c>
      <c r="F341" s="258" t="s">
        <v>7288</v>
      </c>
      <c r="G341" s="240" t="s">
        <v>6836</v>
      </c>
      <c r="H341" s="240" t="s">
        <v>7292</v>
      </c>
      <c r="I341" s="84" t="s">
        <v>36</v>
      </c>
      <c r="J341" s="252" t="s">
        <v>2034</v>
      </c>
      <c r="K341" s="251"/>
      <c r="L341" s="251"/>
      <c r="M341" s="251"/>
      <c r="N341" s="251"/>
      <c r="O341" s="251"/>
      <c r="P341" s="251"/>
      <c r="Q341" s="251"/>
      <c r="R341" s="251"/>
      <c r="S341" s="251"/>
      <c r="T341" s="251"/>
      <c r="U341" s="251"/>
      <c r="V341" s="251"/>
      <c r="W341" s="251"/>
      <c r="X341" s="251"/>
      <c r="Y341" s="251"/>
      <c r="Z341" s="251"/>
      <c r="AA341" s="251"/>
      <c r="AB341" s="251"/>
    </row>
    <row r="342" ht="14.25" customHeight="1">
      <c r="A342" s="251"/>
      <c r="B342" s="263"/>
      <c r="C342" s="242" t="s">
        <v>7293</v>
      </c>
      <c r="D342" s="98" t="s">
        <v>271</v>
      </c>
      <c r="E342" s="240" t="s">
        <v>7268</v>
      </c>
      <c r="F342" s="258" t="s">
        <v>7288</v>
      </c>
      <c r="G342" s="240" t="s">
        <v>6839</v>
      </c>
      <c r="H342" s="240" t="s">
        <v>6840</v>
      </c>
      <c r="I342" s="84" t="s">
        <v>36</v>
      </c>
      <c r="J342" s="252" t="s">
        <v>2034</v>
      </c>
      <c r="K342" s="251"/>
      <c r="L342" s="251"/>
      <c r="M342" s="251"/>
      <c r="N342" s="251"/>
      <c r="O342" s="251"/>
      <c r="P342" s="251"/>
      <c r="Q342" s="251"/>
      <c r="R342" s="251"/>
      <c r="S342" s="251"/>
      <c r="T342" s="251"/>
      <c r="U342" s="251"/>
      <c r="V342" s="251"/>
      <c r="W342" s="251"/>
      <c r="X342" s="251"/>
      <c r="Y342" s="251"/>
      <c r="Z342" s="251"/>
      <c r="AA342" s="251"/>
      <c r="AB342" s="251"/>
    </row>
    <row r="343" ht="14.25" customHeight="1">
      <c r="A343" s="251"/>
      <c r="B343" s="263"/>
      <c r="C343" s="242" t="s">
        <v>7294</v>
      </c>
      <c r="D343" s="98" t="s">
        <v>271</v>
      </c>
      <c r="E343" s="240" t="s">
        <v>7268</v>
      </c>
      <c r="F343" s="258" t="s">
        <v>7288</v>
      </c>
      <c r="G343" s="240" t="s">
        <v>6846</v>
      </c>
      <c r="H343" s="240" t="s">
        <v>6847</v>
      </c>
      <c r="I343" s="84" t="s">
        <v>36</v>
      </c>
      <c r="J343" s="252" t="s">
        <v>2034</v>
      </c>
      <c r="K343" s="251"/>
      <c r="L343" s="251"/>
      <c r="M343" s="251"/>
      <c r="N343" s="251"/>
      <c r="O343" s="251"/>
      <c r="P343" s="251"/>
      <c r="Q343" s="251"/>
      <c r="R343" s="251"/>
      <c r="S343" s="251"/>
      <c r="T343" s="251"/>
      <c r="U343" s="251"/>
      <c r="V343" s="251"/>
      <c r="W343" s="251"/>
      <c r="X343" s="251"/>
      <c r="Y343" s="251"/>
      <c r="Z343" s="251"/>
      <c r="AA343" s="251"/>
      <c r="AB343" s="251"/>
    </row>
    <row r="344" ht="14.25" customHeight="1">
      <c r="A344" s="251"/>
      <c r="B344" s="263"/>
      <c r="C344" s="242" t="s">
        <v>7295</v>
      </c>
      <c r="D344" s="98" t="s">
        <v>271</v>
      </c>
      <c r="E344" s="240" t="s">
        <v>7268</v>
      </c>
      <c r="F344" s="258" t="s">
        <v>7296</v>
      </c>
      <c r="G344" s="240" t="s">
        <v>7297</v>
      </c>
      <c r="H344" s="240" t="s">
        <v>7298</v>
      </c>
      <c r="I344" s="84" t="s">
        <v>36</v>
      </c>
      <c r="J344" s="252" t="s">
        <v>2034</v>
      </c>
      <c r="K344" s="251"/>
      <c r="L344" s="251"/>
      <c r="M344" s="251"/>
      <c r="N344" s="251"/>
      <c r="O344" s="251"/>
      <c r="P344" s="251"/>
      <c r="Q344" s="251"/>
      <c r="R344" s="251"/>
      <c r="S344" s="251"/>
      <c r="T344" s="251"/>
      <c r="U344" s="251"/>
      <c r="V344" s="251"/>
      <c r="W344" s="251"/>
      <c r="X344" s="251"/>
      <c r="Y344" s="251"/>
      <c r="Z344" s="251"/>
      <c r="AA344" s="251"/>
      <c r="AB344" s="251"/>
    </row>
    <row r="345" ht="14.25" customHeight="1">
      <c r="A345" s="251"/>
      <c r="B345" s="263"/>
      <c r="C345" s="242" t="s">
        <v>7299</v>
      </c>
      <c r="D345" s="98" t="s">
        <v>271</v>
      </c>
      <c r="E345" s="240" t="s">
        <v>7268</v>
      </c>
      <c r="F345" s="258" t="s">
        <v>7296</v>
      </c>
      <c r="G345" s="240" t="s">
        <v>6853</v>
      </c>
      <c r="H345" s="240" t="s">
        <v>7300</v>
      </c>
      <c r="I345" s="84" t="s">
        <v>36</v>
      </c>
      <c r="J345" s="252" t="s">
        <v>2034</v>
      </c>
      <c r="K345" s="251"/>
      <c r="L345" s="251"/>
      <c r="M345" s="251"/>
      <c r="N345" s="251"/>
      <c r="O345" s="251"/>
      <c r="P345" s="251"/>
      <c r="Q345" s="251"/>
      <c r="R345" s="251"/>
      <c r="S345" s="251"/>
      <c r="T345" s="251"/>
      <c r="U345" s="251"/>
      <c r="V345" s="251"/>
      <c r="W345" s="251"/>
      <c r="X345" s="251"/>
      <c r="Y345" s="251"/>
      <c r="Z345" s="251"/>
      <c r="AA345" s="251"/>
      <c r="AB345" s="251"/>
    </row>
    <row r="346" ht="14.25" customHeight="1">
      <c r="A346" s="251"/>
      <c r="B346" s="263"/>
      <c r="C346" s="242" t="s">
        <v>7301</v>
      </c>
      <c r="D346" s="98" t="s">
        <v>271</v>
      </c>
      <c r="E346" s="240" t="s">
        <v>7268</v>
      </c>
      <c r="F346" s="258" t="s">
        <v>7296</v>
      </c>
      <c r="G346" s="240" t="s">
        <v>7302</v>
      </c>
      <c r="H346" s="240" t="s">
        <v>7303</v>
      </c>
      <c r="I346" s="84" t="s">
        <v>36</v>
      </c>
      <c r="J346" s="252" t="s">
        <v>2034</v>
      </c>
      <c r="K346" s="251"/>
      <c r="L346" s="251"/>
      <c r="M346" s="251"/>
      <c r="N346" s="251"/>
      <c r="O346" s="251"/>
      <c r="P346" s="251"/>
      <c r="Q346" s="251"/>
      <c r="R346" s="251"/>
      <c r="S346" s="251"/>
      <c r="T346" s="251"/>
      <c r="U346" s="251"/>
      <c r="V346" s="251"/>
      <c r="W346" s="251"/>
      <c r="X346" s="251"/>
      <c r="Y346" s="251"/>
      <c r="Z346" s="251"/>
      <c r="AA346" s="251"/>
      <c r="AB346" s="251"/>
    </row>
    <row r="347" ht="14.25" customHeight="1">
      <c r="A347" s="251"/>
      <c r="B347" s="263"/>
      <c r="C347" s="242" t="s">
        <v>7304</v>
      </c>
      <c r="D347" s="98" t="s">
        <v>271</v>
      </c>
      <c r="E347" s="240" t="s">
        <v>7268</v>
      </c>
      <c r="F347" s="258" t="s">
        <v>7305</v>
      </c>
      <c r="G347" s="240" t="s">
        <v>7306</v>
      </c>
      <c r="H347" s="240" t="s">
        <v>7307</v>
      </c>
      <c r="I347" s="84" t="s">
        <v>36</v>
      </c>
      <c r="J347" s="252" t="s">
        <v>2034</v>
      </c>
      <c r="K347" s="251"/>
      <c r="L347" s="251"/>
      <c r="M347" s="251"/>
      <c r="N347" s="251"/>
      <c r="O347" s="251"/>
      <c r="P347" s="251"/>
      <c r="Q347" s="251"/>
      <c r="R347" s="251"/>
      <c r="S347" s="251"/>
      <c r="T347" s="251"/>
      <c r="U347" s="251"/>
      <c r="V347" s="251"/>
      <c r="W347" s="251"/>
      <c r="X347" s="251"/>
      <c r="Y347" s="251"/>
      <c r="Z347" s="251"/>
      <c r="AA347" s="251"/>
      <c r="AB347" s="251"/>
    </row>
    <row r="348" ht="14.25" customHeight="1">
      <c r="A348" s="251"/>
      <c r="B348" s="263"/>
      <c r="C348" s="242" t="s">
        <v>7308</v>
      </c>
      <c r="D348" s="98" t="s">
        <v>271</v>
      </c>
      <c r="E348" s="240" t="s">
        <v>7268</v>
      </c>
      <c r="F348" s="258" t="s">
        <v>7305</v>
      </c>
      <c r="G348" s="240" t="s">
        <v>7309</v>
      </c>
      <c r="H348" s="240" t="s">
        <v>7310</v>
      </c>
      <c r="I348" s="84" t="s">
        <v>36</v>
      </c>
      <c r="J348" s="252" t="s">
        <v>2034</v>
      </c>
      <c r="K348" s="251"/>
      <c r="L348" s="251"/>
      <c r="M348" s="251"/>
      <c r="N348" s="251"/>
      <c r="O348" s="251"/>
      <c r="P348" s="251"/>
      <c r="Q348" s="251"/>
      <c r="R348" s="251"/>
      <c r="S348" s="251"/>
      <c r="T348" s="251"/>
      <c r="U348" s="251"/>
      <c r="V348" s="251"/>
      <c r="W348" s="251"/>
      <c r="X348" s="251"/>
      <c r="Y348" s="251"/>
      <c r="Z348" s="251"/>
      <c r="AA348" s="251"/>
      <c r="AB348" s="251"/>
    </row>
    <row r="349" ht="14.25" customHeight="1">
      <c r="A349" s="251"/>
      <c r="B349" s="263"/>
      <c r="C349" s="242" t="s">
        <v>7311</v>
      </c>
      <c r="D349" s="98" t="s">
        <v>271</v>
      </c>
      <c r="E349" s="240" t="s">
        <v>7268</v>
      </c>
      <c r="F349" s="258" t="s">
        <v>7312</v>
      </c>
      <c r="G349" s="240" t="s">
        <v>7313</v>
      </c>
      <c r="H349" s="240" t="s">
        <v>6995</v>
      </c>
      <c r="I349" s="84" t="s">
        <v>36</v>
      </c>
      <c r="J349" s="252" t="s">
        <v>2034</v>
      </c>
      <c r="K349" s="251"/>
      <c r="L349" s="251"/>
      <c r="M349" s="251"/>
      <c r="N349" s="251"/>
      <c r="O349" s="251"/>
      <c r="P349" s="251"/>
      <c r="Q349" s="251"/>
      <c r="R349" s="251"/>
      <c r="S349" s="251"/>
      <c r="T349" s="251"/>
      <c r="U349" s="251"/>
      <c r="V349" s="251"/>
      <c r="W349" s="251"/>
      <c r="X349" s="251"/>
      <c r="Y349" s="251"/>
      <c r="Z349" s="251"/>
      <c r="AA349" s="251"/>
      <c r="AB349" s="251"/>
    </row>
    <row r="350" ht="14.25" customHeight="1">
      <c r="A350" s="251"/>
      <c r="B350" s="263"/>
      <c r="C350" s="242" t="s">
        <v>7314</v>
      </c>
      <c r="D350" s="98" t="s">
        <v>271</v>
      </c>
      <c r="E350" s="240" t="s">
        <v>7268</v>
      </c>
      <c r="F350" s="258" t="s">
        <v>7312</v>
      </c>
      <c r="G350" s="240" t="s">
        <v>7315</v>
      </c>
      <c r="H350" s="240" t="s">
        <v>7316</v>
      </c>
      <c r="I350" s="84" t="s">
        <v>317</v>
      </c>
      <c r="J350" s="252" t="s">
        <v>1784</v>
      </c>
      <c r="K350" s="251"/>
      <c r="L350" s="251"/>
      <c r="M350" s="251"/>
      <c r="N350" s="251"/>
      <c r="O350" s="251"/>
      <c r="P350" s="251"/>
      <c r="Q350" s="251"/>
      <c r="R350" s="251"/>
      <c r="S350" s="251"/>
      <c r="T350" s="251"/>
      <c r="U350" s="251"/>
      <c r="V350" s="251"/>
      <c r="W350" s="251"/>
      <c r="X350" s="251"/>
      <c r="Y350" s="251"/>
      <c r="Z350" s="251"/>
      <c r="AA350" s="251"/>
      <c r="AB350" s="251"/>
    </row>
    <row r="351" ht="14.25" customHeight="1">
      <c r="A351" s="251"/>
      <c r="B351" s="263"/>
      <c r="C351" s="242" t="s">
        <v>7317</v>
      </c>
      <c r="D351" s="98" t="s">
        <v>271</v>
      </c>
      <c r="E351" s="240" t="s">
        <v>7268</v>
      </c>
      <c r="F351" s="258" t="s">
        <v>7312</v>
      </c>
      <c r="G351" s="240" t="s">
        <v>6888</v>
      </c>
      <c r="H351" s="240" t="s">
        <v>6889</v>
      </c>
      <c r="I351" s="84" t="s">
        <v>36</v>
      </c>
      <c r="J351" s="252" t="s">
        <v>2034</v>
      </c>
      <c r="K351" s="251"/>
      <c r="L351" s="251"/>
      <c r="M351" s="251"/>
      <c r="N351" s="251"/>
      <c r="O351" s="251"/>
      <c r="P351" s="251"/>
      <c r="Q351" s="251"/>
      <c r="R351" s="251"/>
      <c r="S351" s="251"/>
      <c r="T351" s="251"/>
      <c r="U351" s="251"/>
      <c r="V351" s="251"/>
      <c r="W351" s="251"/>
      <c r="X351" s="251"/>
      <c r="Y351" s="251"/>
      <c r="Z351" s="251"/>
      <c r="AA351" s="251"/>
      <c r="AB351" s="251"/>
    </row>
    <row r="352" ht="14.25" customHeight="1">
      <c r="A352" s="251"/>
      <c r="B352" s="263"/>
      <c r="C352" s="242" t="s">
        <v>7318</v>
      </c>
      <c r="D352" s="98" t="s">
        <v>271</v>
      </c>
      <c r="E352" s="240" t="s">
        <v>7268</v>
      </c>
      <c r="F352" s="258" t="s">
        <v>7312</v>
      </c>
      <c r="G352" s="240" t="s">
        <v>6891</v>
      </c>
      <c r="H352" s="240" t="s">
        <v>6998</v>
      </c>
      <c r="I352" s="84" t="s">
        <v>36</v>
      </c>
      <c r="J352" s="252" t="s">
        <v>2034</v>
      </c>
      <c r="K352" s="251"/>
      <c r="L352" s="251"/>
      <c r="M352" s="251"/>
      <c r="N352" s="251"/>
      <c r="O352" s="251"/>
      <c r="P352" s="251"/>
      <c r="Q352" s="251"/>
      <c r="R352" s="251"/>
      <c r="S352" s="251"/>
      <c r="T352" s="251"/>
      <c r="U352" s="251"/>
      <c r="V352" s="251"/>
      <c r="W352" s="251"/>
      <c r="X352" s="251"/>
      <c r="Y352" s="251"/>
      <c r="Z352" s="251"/>
      <c r="AA352" s="251"/>
      <c r="AB352" s="251"/>
    </row>
    <row r="353" ht="14.25" customHeight="1">
      <c r="A353" s="251"/>
      <c r="B353" s="263"/>
      <c r="C353" s="242" t="s">
        <v>7319</v>
      </c>
      <c r="D353" s="98" t="s">
        <v>271</v>
      </c>
      <c r="E353" s="240" t="s">
        <v>7268</v>
      </c>
      <c r="F353" s="258" t="s">
        <v>7312</v>
      </c>
      <c r="G353" s="240" t="s">
        <v>6894</v>
      </c>
      <c r="H353" s="240" t="s">
        <v>7320</v>
      </c>
      <c r="I353" s="84" t="s">
        <v>36</v>
      </c>
      <c r="J353" s="252" t="s">
        <v>2034</v>
      </c>
      <c r="K353" s="251"/>
      <c r="L353" s="251"/>
      <c r="M353" s="251"/>
      <c r="N353" s="251"/>
      <c r="O353" s="251"/>
      <c r="P353" s="251"/>
      <c r="Q353" s="251"/>
      <c r="R353" s="251"/>
      <c r="S353" s="251"/>
      <c r="T353" s="251"/>
      <c r="U353" s="251"/>
      <c r="V353" s="251"/>
      <c r="W353" s="251"/>
      <c r="X353" s="251"/>
      <c r="Y353" s="251"/>
      <c r="Z353" s="251"/>
      <c r="AA353" s="251"/>
      <c r="AB353" s="251"/>
    </row>
    <row r="354" ht="14.25" customHeight="1">
      <c r="A354" s="251"/>
      <c r="B354" s="263"/>
      <c r="C354" s="242" t="s">
        <v>7321</v>
      </c>
      <c r="D354" s="98" t="s">
        <v>271</v>
      </c>
      <c r="E354" s="240" t="s">
        <v>7268</v>
      </c>
      <c r="F354" s="258" t="s">
        <v>7312</v>
      </c>
      <c r="G354" s="240" t="s">
        <v>6897</v>
      </c>
      <c r="H354" s="240" t="s">
        <v>6898</v>
      </c>
      <c r="I354" s="84" t="s">
        <v>36</v>
      </c>
      <c r="J354" s="252" t="s">
        <v>2034</v>
      </c>
      <c r="K354" s="251"/>
      <c r="L354" s="251"/>
      <c r="M354" s="251"/>
      <c r="N354" s="251"/>
      <c r="O354" s="251"/>
      <c r="P354" s="251"/>
      <c r="Q354" s="251"/>
      <c r="R354" s="251"/>
      <c r="S354" s="251"/>
      <c r="T354" s="251"/>
      <c r="U354" s="251"/>
      <c r="V354" s="251"/>
      <c r="W354" s="251"/>
      <c r="X354" s="251"/>
      <c r="Y354" s="251"/>
      <c r="Z354" s="251"/>
      <c r="AA354" s="251"/>
      <c r="AB354" s="251"/>
    </row>
    <row r="355" ht="14.25" customHeight="1">
      <c r="A355" s="251"/>
      <c r="B355" s="263"/>
      <c r="C355" s="242" t="s">
        <v>7322</v>
      </c>
      <c r="D355" s="98" t="s">
        <v>271</v>
      </c>
      <c r="E355" s="240" t="s">
        <v>7268</v>
      </c>
      <c r="F355" s="258" t="s">
        <v>7323</v>
      </c>
      <c r="G355" s="240" t="s">
        <v>7324</v>
      </c>
      <c r="H355" s="240" t="s">
        <v>6921</v>
      </c>
      <c r="I355" s="84" t="s">
        <v>36</v>
      </c>
      <c r="J355" s="252" t="s">
        <v>2034</v>
      </c>
      <c r="K355" s="251"/>
      <c r="L355" s="251"/>
      <c r="M355" s="251"/>
      <c r="N355" s="251"/>
      <c r="O355" s="251"/>
      <c r="P355" s="251"/>
      <c r="Q355" s="251"/>
      <c r="R355" s="251"/>
      <c r="S355" s="251"/>
      <c r="T355" s="251"/>
      <c r="U355" s="251"/>
      <c r="V355" s="251"/>
      <c r="W355" s="251"/>
      <c r="X355" s="251"/>
      <c r="Y355" s="251"/>
      <c r="Z355" s="251"/>
      <c r="AA355" s="251"/>
      <c r="AB355" s="251"/>
    </row>
    <row r="356" ht="14.25" customHeight="1">
      <c r="A356" s="251"/>
      <c r="B356" s="263"/>
      <c r="C356" s="242" t="s">
        <v>7325</v>
      </c>
      <c r="D356" s="98" t="s">
        <v>271</v>
      </c>
      <c r="E356" s="240" t="s">
        <v>7268</v>
      </c>
      <c r="F356" s="258" t="s">
        <v>7326</v>
      </c>
      <c r="G356" s="240" t="s">
        <v>6924</v>
      </c>
      <c r="H356" s="240" t="s">
        <v>6925</v>
      </c>
      <c r="I356" s="84" t="s">
        <v>36</v>
      </c>
      <c r="J356" s="252" t="s">
        <v>2034</v>
      </c>
      <c r="K356" s="251"/>
      <c r="L356" s="251"/>
      <c r="M356" s="251"/>
      <c r="N356" s="251"/>
      <c r="O356" s="251"/>
      <c r="P356" s="251"/>
      <c r="Q356" s="251"/>
      <c r="R356" s="251"/>
      <c r="S356" s="251"/>
      <c r="T356" s="251"/>
      <c r="U356" s="251"/>
      <c r="V356" s="251"/>
      <c r="W356" s="251"/>
      <c r="X356" s="251"/>
      <c r="Y356" s="251"/>
      <c r="Z356" s="251"/>
      <c r="AA356" s="251"/>
      <c r="AB356" s="251"/>
    </row>
    <row r="357" ht="14.25" customHeight="1">
      <c r="A357" s="251"/>
      <c r="B357" s="263"/>
      <c r="C357" s="242" t="s">
        <v>7327</v>
      </c>
      <c r="D357" s="98" t="s">
        <v>271</v>
      </c>
      <c r="E357" s="240" t="s">
        <v>7268</v>
      </c>
      <c r="F357" s="258" t="s">
        <v>7323</v>
      </c>
      <c r="G357" s="240" t="s">
        <v>6927</v>
      </c>
      <c r="H357" s="240" t="s">
        <v>6928</v>
      </c>
      <c r="I357" s="84" t="s">
        <v>36</v>
      </c>
      <c r="J357" s="252" t="s">
        <v>2034</v>
      </c>
      <c r="K357" s="251"/>
      <c r="L357" s="251"/>
      <c r="M357" s="251"/>
      <c r="N357" s="251"/>
      <c r="O357" s="251"/>
      <c r="P357" s="251"/>
      <c r="Q357" s="251"/>
      <c r="R357" s="251"/>
      <c r="S357" s="251"/>
      <c r="T357" s="251"/>
      <c r="U357" s="251"/>
      <c r="V357" s="251"/>
      <c r="W357" s="251"/>
      <c r="X357" s="251"/>
      <c r="Y357" s="251"/>
      <c r="Z357" s="251"/>
      <c r="AA357" s="251"/>
      <c r="AB357" s="251"/>
    </row>
    <row r="358" ht="14.25" customHeight="1">
      <c r="A358" s="251"/>
      <c r="B358" s="263"/>
      <c r="C358" s="242" t="s">
        <v>7328</v>
      </c>
      <c r="D358" s="98" t="s">
        <v>271</v>
      </c>
      <c r="E358" s="240" t="s">
        <v>7268</v>
      </c>
      <c r="F358" s="258" t="s">
        <v>7323</v>
      </c>
      <c r="G358" s="240" t="s">
        <v>6930</v>
      </c>
      <c r="H358" s="240" t="s">
        <v>6931</v>
      </c>
      <c r="I358" s="84" t="s">
        <v>36</v>
      </c>
      <c r="J358" s="252" t="s">
        <v>2034</v>
      </c>
      <c r="K358" s="251"/>
      <c r="L358" s="251"/>
      <c r="M358" s="251"/>
      <c r="N358" s="251"/>
      <c r="O358" s="251"/>
      <c r="P358" s="251"/>
      <c r="Q358" s="251"/>
      <c r="R358" s="251"/>
      <c r="S358" s="251"/>
      <c r="T358" s="251"/>
      <c r="U358" s="251"/>
      <c r="V358" s="251"/>
      <c r="W358" s="251"/>
      <c r="X358" s="251"/>
      <c r="Y358" s="251"/>
      <c r="Z358" s="251"/>
      <c r="AA358" s="251"/>
      <c r="AB358" s="251"/>
    </row>
    <row r="359" ht="14.25" customHeight="1">
      <c r="A359" s="251"/>
      <c r="B359" s="263"/>
      <c r="C359" s="242" t="s">
        <v>7329</v>
      </c>
      <c r="D359" s="98" t="s">
        <v>271</v>
      </c>
      <c r="E359" s="240" t="s">
        <v>7268</v>
      </c>
      <c r="F359" s="258" t="s">
        <v>7323</v>
      </c>
      <c r="G359" s="240" t="s">
        <v>6933</v>
      </c>
      <c r="H359" s="240" t="s">
        <v>6934</v>
      </c>
      <c r="I359" s="84" t="s">
        <v>36</v>
      </c>
      <c r="J359" s="252" t="s">
        <v>2034</v>
      </c>
      <c r="K359" s="251"/>
      <c r="L359" s="251"/>
      <c r="M359" s="251"/>
      <c r="N359" s="251"/>
      <c r="O359" s="251"/>
      <c r="P359" s="251"/>
      <c r="Q359" s="251"/>
      <c r="R359" s="251"/>
      <c r="S359" s="251"/>
      <c r="T359" s="251"/>
      <c r="U359" s="251"/>
      <c r="V359" s="251"/>
      <c r="W359" s="251"/>
      <c r="X359" s="251"/>
      <c r="Y359" s="251"/>
      <c r="Z359" s="251"/>
      <c r="AA359" s="251"/>
      <c r="AB359" s="251"/>
    </row>
    <row r="360" ht="14.25" customHeight="1">
      <c r="A360" s="251"/>
      <c r="B360" s="263"/>
      <c r="C360" s="242" t="s">
        <v>7330</v>
      </c>
      <c r="D360" s="98" t="s">
        <v>271</v>
      </c>
      <c r="E360" s="240" t="s">
        <v>7268</v>
      </c>
      <c r="F360" s="258" t="s">
        <v>7326</v>
      </c>
      <c r="G360" s="240" t="s">
        <v>7331</v>
      </c>
      <c r="H360" s="240" t="s">
        <v>7332</v>
      </c>
      <c r="I360" s="84" t="s">
        <v>36</v>
      </c>
      <c r="J360" s="252" t="s">
        <v>2034</v>
      </c>
      <c r="K360" s="251"/>
      <c r="L360" s="251"/>
      <c r="M360" s="251"/>
      <c r="N360" s="251"/>
      <c r="O360" s="251"/>
      <c r="P360" s="251"/>
      <c r="Q360" s="251"/>
      <c r="R360" s="251"/>
      <c r="S360" s="251"/>
      <c r="T360" s="251"/>
      <c r="U360" s="251"/>
      <c r="V360" s="251"/>
      <c r="W360" s="251"/>
      <c r="X360" s="251"/>
      <c r="Y360" s="251"/>
      <c r="Z360" s="251"/>
      <c r="AA360" s="251"/>
      <c r="AB360" s="251"/>
    </row>
    <row r="361" ht="14.25" customHeight="1">
      <c r="A361" s="251"/>
      <c r="B361" s="263"/>
      <c r="C361" s="242" t="s">
        <v>7333</v>
      </c>
      <c r="D361" s="98" t="s">
        <v>271</v>
      </c>
      <c r="E361" s="240" t="s">
        <v>7268</v>
      </c>
      <c r="F361" s="258" t="s">
        <v>7326</v>
      </c>
      <c r="G361" s="240" t="s">
        <v>6939</v>
      </c>
      <c r="H361" s="240" t="s">
        <v>6940</v>
      </c>
      <c r="I361" s="84" t="s">
        <v>36</v>
      </c>
      <c r="J361" s="252" t="s">
        <v>2034</v>
      </c>
      <c r="K361" s="251"/>
      <c r="L361" s="251"/>
      <c r="M361" s="251"/>
      <c r="N361" s="251"/>
      <c r="O361" s="251"/>
      <c r="P361" s="251"/>
      <c r="Q361" s="251"/>
      <c r="R361" s="251"/>
      <c r="S361" s="251"/>
      <c r="T361" s="251"/>
      <c r="U361" s="251"/>
      <c r="V361" s="251"/>
      <c r="W361" s="251"/>
      <c r="X361" s="251"/>
      <c r="Y361" s="251"/>
      <c r="Z361" s="251"/>
      <c r="AA361" s="251"/>
      <c r="AB361" s="251"/>
    </row>
    <row r="362" ht="14.25" customHeight="1">
      <c r="A362" s="251"/>
      <c r="B362" s="263"/>
      <c r="C362" s="242" t="s">
        <v>7334</v>
      </c>
      <c r="D362" s="98" t="s">
        <v>271</v>
      </c>
      <c r="E362" s="240" t="s">
        <v>7268</v>
      </c>
      <c r="F362" s="258" t="s">
        <v>7335</v>
      </c>
      <c r="G362" s="240" t="s">
        <v>7018</v>
      </c>
      <c r="H362" s="240" t="s">
        <v>7019</v>
      </c>
      <c r="I362" s="84" t="s">
        <v>36</v>
      </c>
      <c r="J362" s="252" t="s">
        <v>2034</v>
      </c>
      <c r="K362" s="251"/>
      <c r="L362" s="251"/>
      <c r="M362" s="251"/>
      <c r="N362" s="251"/>
      <c r="O362" s="251"/>
      <c r="P362" s="251"/>
      <c r="Q362" s="251"/>
      <c r="R362" s="251"/>
      <c r="S362" s="251"/>
      <c r="T362" s="251"/>
      <c r="U362" s="251"/>
      <c r="V362" s="251"/>
      <c r="W362" s="251"/>
      <c r="X362" s="251"/>
      <c r="Y362" s="251"/>
      <c r="Z362" s="251"/>
      <c r="AA362" s="251"/>
      <c r="AB362" s="251"/>
    </row>
    <row r="363" ht="14.25" customHeight="1">
      <c r="A363" s="251"/>
      <c r="B363" s="263"/>
      <c r="C363" s="242" t="s">
        <v>7336</v>
      </c>
      <c r="D363" s="98" t="s">
        <v>271</v>
      </c>
      <c r="E363" s="240" t="s">
        <v>7268</v>
      </c>
      <c r="F363" s="258" t="s">
        <v>7335</v>
      </c>
      <c r="G363" s="240" t="s">
        <v>7337</v>
      </c>
      <c r="H363" s="240" t="s">
        <v>7338</v>
      </c>
      <c r="I363" s="84" t="s">
        <v>36</v>
      </c>
      <c r="J363" s="252" t="s">
        <v>2034</v>
      </c>
      <c r="K363" s="251"/>
      <c r="L363" s="251"/>
      <c r="M363" s="251"/>
      <c r="N363" s="251"/>
      <c r="O363" s="251"/>
      <c r="P363" s="251"/>
      <c r="Q363" s="251"/>
      <c r="R363" s="251"/>
      <c r="S363" s="251"/>
      <c r="T363" s="251"/>
      <c r="U363" s="251"/>
      <c r="V363" s="251"/>
      <c r="W363" s="251"/>
      <c r="X363" s="251"/>
      <c r="Y363" s="251"/>
      <c r="Z363" s="251"/>
      <c r="AA363" s="251"/>
      <c r="AB363" s="251"/>
    </row>
    <row r="364" ht="14.25" customHeight="1">
      <c r="A364" s="251"/>
      <c r="B364" s="263"/>
      <c r="C364" s="242" t="s">
        <v>7339</v>
      </c>
      <c r="D364" s="98" t="s">
        <v>271</v>
      </c>
      <c r="E364" s="240" t="s">
        <v>7340</v>
      </c>
      <c r="F364" s="258" t="s">
        <v>7276</v>
      </c>
      <c r="G364" s="240" t="s">
        <v>7341</v>
      </c>
      <c r="H364" s="240" t="s">
        <v>7342</v>
      </c>
      <c r="I364" s="84" t="s">
        <v>36</v>
      </c>
      <c r="J364" s="252" t="s">
        <v>2034</v>
      </c>
      <c r="K364" s="251"/>
      <c r="L364" s="251"/>
      <c r="M364" s="251"/>
      <c r="N364" s="251"/>
      <c r="O364" s="251"/>
      <c r="P364" s="251"/>
      <c r="Q364" s="251"/>
      <c r="R364" s="251"/>
      <c r="S364" s="251"/>
      <c r="T364" s="251"/>
      <c r="U364" s="251"/>
      <c r="V364" s="251"/>
      <c r="W364" s="251"/>
      <c r="X364" s="251"/>
      <c r="Y364" s="251"/>
      <c r="Z364" s="251"/>
      <c r="AA364" s="251"/>
      <c r="AB364" s="251"/>
    </row>
    <row r="365" ht="14.25" customHeight="1">
      <c r="A365" s="251"/>
      <c r="B365" s="263"/>
      <c r="C365" s="242" t="s">
        <v>7343</v>
      </c>
      <c r="D365" s="98" t="s">
        <v>271</v>
      </c>
      <c r="E365" s="240" t="s">
        <v>7344</v>
      </c>
      <c r="F365" s="258" t="s">
        <v>6807</v>
      </c>
      <c r="G365" s="240" t="s">
        <v>7345</v>
      </c>
      <c r="H365" s="240" t="s">
        <v>7346</v>
      </c>
      <c r="I365" s="84" t="s">
        <v>36</v>
      </c>
      <c r="J365" s="98" t="s">
        <v>1784</v>
      </c>
      <c r="K365" s="251"/>
      <c r="L365" s="251"/>
      <c r="M365" s="251"/>
      <c r="N365" s="251"/>
      <c r="O365" s="251"/>
      <c r="P365" s="251"/>
      <c r="Q365" s="251"/>
      <c r="R365" s="251"/>
      <c r="S365" s="251"/>
      <c r="T365" s="251"/>
      <c r="U365" s="251"/>
      <c r="V365" s="251"/>
      <c r="W365" s="251"/>
      <c r="X365" s="251"/>
      <c r="Y365" s="251"/>
      <c r="Z365" s="251"/>
      <c r="AA365" s="251"/>
      <c r="AB365" s="251"/>
    </row>
    <row r="366" ht="14.25" customHeight="1">
      <c r="A366" s="251"/>
      <c r="B366" s="263"/>
      <c r="C366" s="242" t="s">
        <v>7347</v>
      </c>
      <c r="D366" s="98" t="s">
        <v>271</v>
      </c>
      <c r="E366" s="240" t="s">
        <v>7344</v>
      </c>
      <c r="F366" s="258" t="s">
        <v>7348</v>
      </c>
      <c r="G366" s="240" t="s">
        <v>7349</v>
      </c>
      <c r="H366" s="240" t="s">
        <v>7350</v>
      </c>
      <c r="I366" s="84" t="s">
        <v>36</v>
      </c>
      <c r="J366" s="98" t="s">
        <v>1784</v>
      </c>
      <c r="K366" s="251"/>
      <c r="L366" s="251"/>
      <c r="M366" s="251"/>
      <c r="N366" s="251"/>
      <c r="O366" s="251"/>
      <c r="P366" s="251"/>
      <c r="Q366" s="251"/>
      <c r="R366" s="251"/>
      <c r="S366" s="251"/>
      <c r="T366" s="251"/>
      <c r="U366" s="251"/>
      <c r="V366" s="251"/>
      <c r="W366" s="251"/>
      <c r="X366" s="251"/>
      <c r="Y366" s="251"/>
      <c r="Z366" s="251"/>
      <c r="AA366" s="251"/>
      <c r="AB366" s="251"/>
    </row>
    <row r="367" ht="14.25" customHeight="1">
      <c r="A367" s="251"/>
      <c r="B367" s="263"/>
      <c r="C367" s="242" t="s">
        <v>7351</v>
      </c>
      <c r="D367" s="98" t="s">
        <v>271</v>
      </c>
      <c r="E367" s="240" t="s">
        <v>7344</v>
      </c>
      <c r="F367" s="258" t="s">
        <v>7352</v>
      </c>
      <c r="G367" s="240" t="s">
        <v>7353</v>
      </c>
      <c r="H367" s="240" t="s">
        <v>7354</v>
      </c>
      <c r="I367" s="84" t="s">
        <v>36</v>
      </c>
      <c r="J367" s="98" t="s">
        <v>1784</v>
      </c>
      <c r="K367" s="251"/>
      <c r="L367" s="251"/>
      <c r="M367" s="251"/>
      <c r="N367" s="251"/>
      <c r="O367" s="251"/>
      <c r="P367" s="251"/>
      <c r="Q367" s="251"/>
      <c r="R367" s="251"/>
      <c r="S367" s="251"/>
      <c r="T367" s="251"/>
      <c r="U367" s="251"/>
      <c r="V367" s="251"/>
      <c r="W367" s="251"/>
      <c r="X367" s="251"/>
      <c r="Y367" s="251"/>
      <c r="Z367" s="251"/>
      <c r="AA367" s="251"/>
      <c r="AB367" s="251"/>
    </row>
    <row r="368" ht="14.25" customHeight="1">
      <c r="A368" s="251"/>
      <c r="B368" s="263"/>
      <c r="C368" s="242" t="s">
        <v>7355</v>
      </c>
      <c r="D368" s="98" t="s">
        <v>271</v>
      </c>
      <c r="E368" s="240" t="s">
        <v>7344</v>
      </c>
      <c r="F368" s="258" t="s">
        <v>7356</v>
      </c>
      <c r="G368" s="240" t="s">
        <v>7357</v>
      </c>
      <c r="H368" s="240" t="s">
        <v>7358</v>
      </c>
      <c r="I368" s="84" t="s">
        <v>36</v>
      </c>
      <c r="J368" s="98" t="s">
        <v>1784</v>
      </c>
      <c r="K368" s="251"/>
      <c r="L368" s="251"/>
      <c r="M368" s="251"/>
      <c r="N368" s="251"/>
      <c r="O368" s="251"/>
      <c r="P368" s="251"/>
      <c r="Q368" s="251"/>
      <c r="R368" s="251"/>
      <c r="S368" s="251"/>
      <c r="T368" s="251"/>
      <c r="U368" s="251"/>
      <c r="V368" s="251"/>
      <c r="W368" s="251"/>
      <c r="X368" s="251"/>
      <c r="Y368" s="251"/>
      <c r="Z368" s="251"/>
      <c r="AA368" s="251"/>
      <c r="AB368" s="251"/>
    </row>
    <row r="369" ht="14.25" customHeight="1">
      <c r="A369" s="251"/>
      <c r="B369" s="263"/>
      <c r="C369" s="242" t="s">
        <v>7359</v>
      </c>
      <c r="D369" s="98" t="s">
        <v>271</v>
      </c>
      <c r="E369" s="240" t="s">
        <v>7344</v>
      </c>
      <c r="F369" s="258" t="s">
        <v>7360</v>
      </c>
      <c r="G369" s="240" t="s">
        <v>7361</v>
      </c>
      <c r="H369" s="240" t="s">
        <v>7362</v>
      </c>
      <c r="I369" s="84" t="s">
        <v>36</v>
      </c>
      <c r="J369" s="98" t="s">
        <v>1784</v>
      </c>
      <c r="K369" s="251"/>
      <c r="L369" s="251"/>
      <c r="M369" s="251"/>
      <c r="N369" s="251"/>
      <c r="O369" s="251"/>
      <c r="P369" s="251"/>
      <c r="Q369" s="251"/>
      <c r="R369" s="251"/>
      <c r="S369" s="251"/>
      <c r="T369" s="251"/>
      <c r="U369" s="251"/>
      <c r="V369" s="251"/>
      <c r="W369" s="251"/>
      <c r="X369" s="251"/>
      <c r="Y369" s="251"/>
      <c r="Z369" s="251"/>
      <c r="AA369" s="251"/>
      <c r="AB369" s="251"/>
    </row>
    <row r="370" ht="14.25" customHeight="1">
      <c r="A370" s="251"/>
      <c r="B370" s="263"/>
      <c r="C370" s="242" t="s">
        <v>7363</v>
      </c>
      <c r="D370" s="98" t="s">
        <v>271</v>
      </c>
      <c r="E370" s="240" t="s">
        <v>7344</v>
      </c>
      <c r="F370" s="258" t="s">
        <v>7364</v>
      </c>
      <c r="G370" s="240" t="s">
        <v>7365</v>
      </c>
      <c r="H370" s="240" t="s">
        <v>7366</v>
      </c>
      <c r="I370" s="84" t="s">
        <v>36</v>
      </c>
      <c r="J370" s="98" t="s">
        <v>1784</v>
      </c>
      <c r="K370" s="251"/>
      <c r="L370" s="251"/>
      <c r="M370" s="251"/>
      <c r="N370" s="251"/>
      <c r="O370" s="251"/>
      <c r="P370" s="251"/>
      <c r="Q370" s="251"/>
      <c r="R370" s="251"/>
      <c r="S370" s="251"/>
      <c r="T370" s="251"/>
      <c r="U370" s="251"/>
      <c r="V370" s="251"/>
      <c r="W370" s="251"/>
      <c r="X370" s="251"/>
      <c r="Y370" s="251"/>
      <c r="Z370" s="251"/>
      <c r="AA370" s="251"/>
      <c r="AB370" s="251"/>
    </row>
    <row r="371" ht="14.25" customHeight="1">
      <c r="A371" s="251"/>
      <c r="B371" s="263"/>
      <c r="C371" s="242" t="s">
        <v>7367</v>
      </c>
      <c r="D371" s="98" t="s">
        <v>271</v>
      </c>
      <c r="E371" s="240" t="s">
        <v>7344</v>
      </c>
      <c r="F371" s="258" t="s">
        <v>7364</v>
      </c>
      <c r="G371" s="240" t="s">
        <v>6836</v>
      </c>
      <c r="H371" s="240" t="s">
        <v>7368</v>
      </c>
      <c r="I371" s="84" t="s">
        <v>36</v>
      </c>
      <c r="J371" s="98" t="s">
        <v>1784</v>
      </c>
      <c r="K371" s="251"/>
      <c r="L371" s="251"/>
      <c r="M371" s="251"/>
      <c r="N371" s="251"/>
      <c r="O371" s="251"/>
      <c r="P371" s="251"/>
      <c r="Q371" s="251"/>
      <c r="R371" s="251"/>
      <c r="S371" s="251"/>
      <c r="T371" s="251"/>
      <c r="U371" s="251"/>
      <c r="V371" s="251"/>
      <c r="W371" s="251"/>
      <c r="X371" s="251"/>
      <c r="Y371" s="251"/>
      <c r="Z371" s="251"/>
      <c r="AA371" s="251"/>
      <c r="AB371" s="251"/>
    </row>
    <row r="372" ht="14.25" customHeight="1">
      <c r="A372" s="251"/>
      <c r="B372" s="263"/>
      <c r="C372" s="242" t="s">
        <v>7369</v>
      </c>
      <c r="D372" s="98" t="s">
        <v>271</v>
      </c>
      <c r="E372" s="240" t="s">
        <v>7344</v>
      </c>
      <c r="F372" s="258" t="s">
        <v>7364</v>
      </c>
      <c r="G372" s="240" t="s">
        <v>6839</v>
      </c>
      <c r="H372" s="240" t="s">
        <v>6840</v>
      </c>
      <c r="I372" s="84" t="s">
        <v>36</v>
      </c>
      <c r="J372" s="98" t="s">
        <v>1784</v>
      </c>
      <c r="K372" s="251"/>
      <c r="L372" s="251"/>
      <c r="M372" s="251"/>
      <c r="N372" s="251"/>
      <c r="O372" s="251"/>
      <c r="P372" s="251"/>
      <c r="Q372" s="251"/>
      <c r="R372" s="251"/>
      <c r="S372" s="251"/>
      <c r="T372" s="251"/>
      <c r="U372" s="251"/>
      <c r="V372" s="251"/>
      <c r="W372" s="251"/>
      <c r="X372" s="251"/>
      <c r="Y372" s="251"/>
      <c r="Z372" s="251"/>
      <c r="AA372" s="251"/>
      <c r="AB372" s="251"/>
    </row>
    <row r="373" ht="14.25" customHeight="1">
      <c r="A373" s="251"/>
      <c r="B373" s="263"/>
      <c r="C373" s="242" t="s">
        <v>7370</v>
      </c>
      <c r="D373" s="98" t="s">
        <v>271</v>
      </c>
      <c r="E373" s="240" t="s">
        <v>7344</v>
      </c>
      <c r="F373" s="258" t="s">
        <v>7364</v>
      </c>
      <c r="G373" s="240" t="s">
        <v>6846</v>
      </c>
      <c r="H373" s="240" t="s">
        <v>6847</v>
      </c>
      <c r="I373" s="84" t="s">
        <v>36</v>
      </c>
      <c r="J373" s="98" t="s">
        <v>1784</v>
      </c>
      <c r="K373" s="251"/>
      <c r="L373" s="251"/>
      <c r="M373" s="251"/>
      <c r="N373" s="251"/>
      <c r="O373" s="251"/>
      <c r="P373" s="251"/>
      <c r="Q373" s="251"/>
      <c r="R373" s="251"/>
      <c r="S373" s="251"/>
      <c r="T373" s="251"/>
      <c r="U373" s="251"/>
      <c r="V373" s="251"/>
      <c r="W373" s="251"/>
      <c r="X373" s="251"/>
      <c r="Y373" s="251"/>
      <c r="Z373" s="251"/>
      <c r="AA373" s="251"/>
      <c r="AB373" s="251"/>
    </row>
    <row r="374" ht="14.25" customHeight="1">
      <c r="A374" s="251"/>
      <c r="B374" s="263"/>
      <c r="C374" s="242" t="s">
        <v>7371</v>
      </c>
      <c r="D374" s="98" t="s">
        <v>271</v>
      </c>
      <c r="E374" s="240" t="s">
        <v>7344</v>
      </c>
      <c r="F374" s="258" t="s">
        <v>7372</v>
      </c>
      <c r="G374" s="240" t="s">
        <v>7373</v>
      </c>
      <c r="H374" s="240" t="s">
        <v>7374</v>
      </c>
      <c r="I374" s="84" t="s">
        <v>36</v>
      </c>
      <c r="J374" s="98" t="s">
        <v>1784</v>
      </c>
      <c r="K374" s="251"/>
      <c r="L374" s="251"/>
      <c r="M374" s="251"/>
      <c r="N374" s="251"/>
      <c r="O374" s="251"/>
      <c r="P374" s="251"/>
      <c r="Q374" s="251"/>
      <c r="R374" s="251"/>
      <c r="S374" s="251"/>
      <c r="T374" s="251"/>
      <c r="U374" s="251"/>
      <c r="V374" s="251"/>
      <c r="W374" s="251"/>
      <c r="X374" s="251"/>
      <c r="Y374" s="251"/>
      <c r="Z374" s="251"/>
      <c r="AA374" s="251"/>
      <c r="AB374" s="251"/>
    </row>
    <row r="375" ht="14.25" customHeight="1">
      <c r="A375" s="251"/>
      <c r="B375" s="263"/>
      <c r="C375" s="242" t="s">
        <v>7375</v>
      </c>
      <c r="D375" s="98" t="s">
        <v>271</v>
      </c>
      <c r="E375" s="240" t="s">
        <v>7344</v>
      </c>
      <c r="F375" s="258" t="s">
        <v>7372</v>
      </c>
      <c r="G375" s="240" t="s">
        <v>6853</v>
      </c>
      <c r="H375" s="240" t="s">
        <v>7376</v>
      </c>
      <c r="I375" s="84" t="s">
        <v>36</v>
      </c>
      <c r="J375" s="98" t="s">
        <v>1784</v>
      </c>
      <c r="K375" s="251"/>
      <c r="L375" s="251"/>
      <c r="M375" s="251"/>
      <c r="N375" s="251"/>
      <c r="O375" s="251"/>
      <c r="P375" s="251"/>
      <c r="Q375" s="251"/>
      <c r="R375" s="251"/>
      <c r="S375" s="251"/>
      <c r="T375" s="251"/>
      <c r="U375" s="251"/>
      <c r="V375" s="251"/>
      <c r="W375" s="251"/>
      <c r="X375" s="251"/>
      <c r="Y375" s="251"/>
      <c r="Z375" s="251"/>
      <c r="AA375" s="251"/>
      <c r="AB375" s="251"/>
    </row>
    <row r="376" ht="14.25" customHeight="1">
      <c r="A376" s="251"/>
      <c r="B376" s="263"/>
      <c r="C376" s="242" t="s">
        <v>7377</v>
      </c>
      <c r="D376" s="98" t="s">
        <v>271</v>
      </c>
      <c r="E376" s="240" t="s">
        <v>7268</v>
      </c>
      <c r="F376" s="258" t="s">
        <v>7378</v>
      </c>
      <c r="G376" s="240" t="s">
        <v>7302</v>
      </c>
      <c r="H376" s="240" t="s">
        <v>7379</v>
      </c>
      <c r="I376" s="84" t="s">
        <v>36</v>
      </c>
      <c r="J376" s="98" t="s">
        <v>1784</v>
      </c>
      <c r="K376" s="251"/>
      <c r="L376" s="251"/>
      <c r="M376" s="251"/>
      <c r="N376" s="251"/>
      <c r="O376" s="251"/>
      <c r="P376" s="251"/>
      <c r="Q376" s="251"/>
      <c r="R376" s="251"/>
      <c r="S376" s="251"/>
      <c r="T376" s="251"/>
      <c r="U376" s="251"/>
      <c r="V376" s="251"/>
      <c r="W376" s="251"/>
      <c r="X376" s="251"/>
      <c r="Y376" s="251"/>
      <c r="Z376" s="251"/>
      <c r="AA376" s="251"/>
      <c r="AB376" s="251"/>
    </row>
    <row r="377" ht="14.25" customHeight="1">
      <c r="A377" s="251"/>
      <c r="B377" s="263"/>
      <c r="C377" s="242" t="s">
        <v>7380</v>
      </c>
      <c r="D377" s="98" t="s">
        <v>271</v>
      </c>
      <c r="E377" s="240" t="s">
        <v>7344</v>
      </c>
      <c r="F377" s="258" t="s">
        <v>7381</v>
      </c>
      <c r="G377" s="240" t="s">
        <v>7382</v>
      </c>
      <c r="H377" s="240" t="s">
        <v>7383</v>
      </c>
      <c r="I377" s="84" t="s">
        <v>36</v>
      </c>
      <c r="J377" s="98" t="s">
        <v>1784</v>
      </c>
      <c r="K377" s="251"/>
      <c r="L377" s="251"/>
      <c r="M377" s="251"/>
      <c r="N377" s="251"/>
      <c r="O377" s="251"/>
      <c r="P377" s="251"/>
      <c r="Q377" s="251"/>
      <c r="R377" s="251"/>
      <c r="S377" s="251"/>
      <c r="T377" s="251"/>
      <c r="U377" s="251"/>
      <c r="V377" s="251"/>
      <c r="W377" s="251"/>
      <c r="X377" s="251"/>
      <c r="Y377" s="251"/>
      <c r="Z377" s="251"/>
      <c r="AA377" s="251"/>
      <c r="AB377" s="251"/>
    </row>
    <row r="378" ht="14.25" customHeight="1">
      <c r="A378" s="251"/>
      <c r="B378" s="263"/>
      <c r="C378" s="242" t="s">
        <v>7384</v>
      </c>
      <c r="D378" s="98" t="s">
        <v>271</v>
      </c>
      <c r="E378" s="240" t="s">
        <v>7344</v>
      </c>
      <c r="F378" s="258" t="s">
        <v>7381</v>
      </c>
      <c r="G378" s="240" t="s">
        <v>7385</v>
      </c>
      <c r="H378" s="240" t="s">
        <v>7386</v>
      </c>
      <c r="I378" s="84" t="s">
        <v>36</v>
      </c>
      <c r="J378" s="98" t="s">
        <v>1784</v>
      </c>
      <c r="K378" s="251"/>
      <c r="L378" s="251"/>
      <c r="M378" s="251"/>
      <c r="N378" s="251"/>
      <c r="O378" s="251"/>
      <c r="P378" s="251"/>
      <c r="Q378" s="251"/>
      <c r="R378" s="251"/>
      <c r="S378" s="251"/>
      <c r="T378" s="251"/>
      <c r="U378" s="251"/>
      <c r="V378" s="251"/>
      <c r="W378" s="251"/>
      <c r="X378" s="251"/>
      <c r="Y378" s="251"/>
      <c r="Z378" s="251"/>
      <c r="AA378" s="251"/>
      <c r="AB378" s="251"/>
    </row>
    <row r="379" ht="14.25" customHeight="1">
      <c r="A379" s="251"/>
      <c r="B379" s="263"/>
      <c r="C379" s="242" t="s">
        <v>7387</v>
      </c>
      <c r="D379" s="98" t="s">
        <v>271</v>
      </c>
      <c r="E379" s="240" t="s">
        <v>7344</v>
      </c>
      <c r="F379" s="258" t="s">
        <v>7388</v>
      </c>
      <c r="G379" s="240" t="s">
        <v>7389</v>
      </c>
      <c r="H379" s="240" t="s">
        <v>6995</v>
      </c>
      <c r="I379" s="84" t="s">
        <v>36</v>
      </c>
      <c r="J379" s="98" t="s">
        <v>1784</v>
      </c>
      <c r="K379" s="251"/>
      <c r="L379" s="251"/>
      <c r="M379" s="251"/>
      <c r="N379" s="251"/>
      <c r="O379" s="251"/>
      <c r="P379" s="251"/>
      <c r="Q379" s="251"/>
      <c r="R379" s="251"/>
      <c r="S379" s="251"/>
      <c r="T379" s="251"/>
      <c r="U379" s="251"/>
      <c r="V379" s="251"/>
      <c r="W379" s="251"/>
      <c r="X379" s="251"/>
      <c r="Y379" s="251"/>
      <c r="Z379" s="251"/>
      <c r="AA379" s="251"/>
      <c r="AB379" s="251"/>
    </row>
    <row r="380" ht="14.25" customHeight="1">
      <c r="A380" s="251"/>
      <c r="B380" s="263"/>
      <c r="C380" s="242" t="s">
        <v>7390</v>
      </c>
      <c r="D380" s="98" t="s">
        <v>271</v>
      </c>
      <c r="E380" s="240" t="s">
        <v>7344</v>
      </c>
      <c r="F380" s="258" t="s">
        <v>7388</v>
      </c>
      <c r="G380" s="240" t="s">
        <v>6888</v>
      </c>
      <c r="H380" s="240" t="s">
        <v>6889</v>
      </c>
      <c r="I380" s="84" t="s">
        <v>36</v>
      </c>
      <c r="J380" s="98" t="s">
        <v>1784</v>
      </c>
      <c r="K380" s="251"/>
      <c r="L380" s="251"/>
      <c r="M380" s="251"/>
      <c r="N380" s="251"/>
      <c r="O380" s="251"/>
      <c r="P380" s="251"/>
      <c r="Q380" s="251"/>
      <c r="R380" s="251"/>
      <c r="S380" s="251"/>
      <c r="T380" s="251"/>
      <c r="U380" s="251"/>
      <c r="V380" s="251"/>
      <c r="W380" s="251"/>
      <c r="X380" s="251"/>
      <c r="Y380" s="251"/>
      <c r="Z380" s="251"/>
      <c r="AA380" s="251"/>
      <c r="AB380" s="251"/>
    </row>
    <row r="381" ht="14.25" customHeight="1">
      <c r="A381" s="251"/>
      <c r="B381" s="263"/>
      <c r="C381" s="242" t="s">
        <v>7391</v>
      </c>
      <c r="D381" s="98" t="s">
        <v>271</v>
      </c>
      <c r="E381" s="240" t="s">
        <v>7344</v>
      </c>
      <c r="F381" s="258" t="s">
        <v>7388</v>
      </c>
      <c r="G381" s="240" t="s">
        <v>6891</v>
      </c>
      <c r="H381" s="240" t="s">
        <v>6998</v>
      </c>
      <c r="I381" s="84" t="s">
        <v>36</v>
      </c>
      <c r="J381" s="98" t="s">
        <v>1784</v>
      </c>
      <c r="K381" s="251"/>
      <c r="L381" s="251"/>
      <c r="M381" s="251"/>
      <c r="N381" s="251"/>
      <c r="O381" s="251"/>
      <c r="P381" s="251"/>
      <c r="Q381" s="251"/>
      <c r="R381" s="251"/>
      <c r="S381" s="251"/>
      <c r="T381" s="251"/>
      <c r="U381" s="251"/>
      <c r="V381" s="251"/>
      <c r="W381" s="251"/>
      <c r="X381" s="251"/>
      <c r="Y381" s="251"/>
      <c r="Z381" s="251"/>
      <c r="AA381" s="251"/>
      <c r="AB381" s="251"/>
    </row>
    <row r="382" ht="14.25" customHeight="1">
      <c r="A382" s="251"/>
      <c r="B382" s="263"/>
      <c r="C382" s="242" t="s">
        <v>7392</v>
      </c>
      <c r="D382" s="98" t="s">
        <v>271</v>
      </c>
      <c r="E382" s="240" t="s">
        <v>7344</v>
      </c>
      <c r="F382" s="258" t="s">
        <v>7388</v>
      </c>
      <c r="G382" s="240" t="s">
        <v>6894</v>
      </c>
      <c r="H382" s="240" t="s">
        <v>7393</v>
      </c>
      <c r="I382" s="84" t="s">
        <v>36</v>
      </c>
      <c r="J382" s="98" t="s">
        <v>1784</v>
      </c>
      <c r="K382" s="251"/>
      <c r="L382" s="251"/>
      <c r="M382" s="251"/>
      <c r="N382" s="251"/>
      <c r="O382" s="251"/>
      <c r="P382" s="251"/>
      <c r="Q382" s="251"/>
      <c r="R382" s="251"/>
      <c r="S382" s="251"/>
      <c r="T382" s="251"/>
      <c r="U382" s="251"/>
      <c r="V382" s="251"/>
      <c r="W382" s="251"/>
      <c r="X382" s="251"/>
      <c r="Y382" s="251"/>
      <c r="Z382" s="251"/>
      <c r="AA382" s="251"/>
      <c r="AB382" s="251"/>
    </row>
    <row r="383" ht="14.25" customHeight="1">
      <c r="A383" s="251"/>
      <c r="B383" s="263"/>
      <c r="C383" s="242" t="s">
        <v>7394</v>
      </c>
      <c r="D383" s="98" t="s">
        <v>271</v>
      </c>
      <c r="E383" s="240" t="s">
        <v>7344</v>
      </c>
      <c r="F383" s="258" t="s">
        <v>7388</v>
      </c>
      <c r="G383" s="240" t="s">
        <v>6897</v>
      </c>
      <c r="H383" s="240" t="s">
        <v>6898</v>
      </c>
      <c r="I383" s="84" t="s">
        <v>36</v>
      </c>
      <c r="J383" s="98" t="s">
        <v>1784</v>
      </c>
      <c r="K383" s="251"/>
      <c r="L383" s="251"/>
      <c r="M383" s="251"/>
      <c r="N383" s="251"/>
      <c r="O383" s="251"/>
      <c r="P383" s="251"/>
      <c r="Q383" s="251"/>
      <c r="R383" s="251"/>
      <c r="S383" s="251"/>
      <c r="T383" s="251"/>
      <c r="U383" s="251"/>
      <c r="V383" s="251"/>
      <c r="W383" s="251"/>
      <c r="X383" s="251"/>
      <c r="Y383" s="251"/>
      <c r="Z383" s="251"/>
      <c r="AA383" s="251"/>
      <c r="AB383" s="251"/>
    </row>
    <row r="384" ht="14.25" customHeight="1">
      <c r="A384" s="251"/>
      <c r="B384" s="263"/>
      <c r="C384" s="242" t="s">
        <v>7395</v>
      </c>
      <c r="D384" s="98" t="s">
        <v>271</v>
      </c>
      <c r="E384" s="240" t="s">
        <v>7344</v>
      </c>
      <c r="F384" s="258" t="s">
        <v>7396</v>
      </c>
      <c r="G384" s="240" t="s">
        <v>7397</v>
      </c>
      <c r="H384" s="240" t="s">
        <v>6921</v>
      </c>
      <c r="I384" s="84" t="s">
        <v>36</v>
      </c>
      <c r="J384" s="98" t="s">
        <v>1784</v>
      </c>
      <c r="K384" s="251"/>
      <c r="L384" s="251"/>
      <c r="M384" s="251"/>
      <c r="N384" s="251"/>
      <c r="O384" s="251"/>
      <c r="P384" s="251"/>
      <c r="Q384" s="251"/>
      <c r="R384" s="251"/>
      <c r="S384" s="251"/>
      <c r="T384" s="251"/>
      <c r="U384" s="251"/>
      <c r="V384" s="251"/>
      <c r="W384" s="251"/>
      <c r="X384" s="251"/>
      <c r="Y384" s="251"/>
      <c r="Z384" s="251"/>
      <c r="AA384" s="251"/>
      <c r="AB384" s="251"/>
    </row>
    <row r="385" ht="14.25" customHeight="1">
      <c r="A385" s="251"/>
      <c r="B385" s="263"/>
      <c r="C385" s="242" t="s">
        <v>7398</v>
      </c>
      <c r="D385" s="98" t="s">
        <v>271</v>
      </c>
      <c r="E385" s="240" t="s">
        <v>7344</v>
      </c>
      <c r="F385" s="258" t="s">
        <v>7399</v>
      </c>
      <c r="G385" s="240" t="s">
        <v>6924</v>
      </c>
      <c r="H385" s="240" t="s">
        <v>6925</v>
      </c>
      <c r="I385" s="84" t="s">
        <v>36</v>
      </c>
      <c r="J385" s="98" t="s">
        <v>1784</v>
      </c>
      <c r="K385" s="251"/>
      <c r="L385" s="251"/>
      <c r="M385" s="251"/>
      <c r="N385" s="251"/>
      <c r="O385" s="251"/>
      <c r="P385" s="251"/>
      <c r="Q385" s="251"/>
      <c r="R385" s="251"/>
      <c r="S385" s="251"/>
      <c r="T385" s="251"/>
      <c r="U385" s="251"/>
      <c r="V385" s="251"/>
      <c r="W385" s="251"/>
      <c r="X385" s="251"/>
      <c r="Y385" s="251"/>
      <c r="Z385" s="251"/>
      <c r="AA385" s="251"/>
      <c r="AB385" s="251"/>
    </row>
    <row r="386" ht="14.25" customHeight="1">
      <c r="A386" s="251"/>
      <c r="B386" s="263"/>
      <c r="C386" s="242" t="s">
        <v>7400</v>
      </c>
      <c r="D386" s="98" t="s">
        <v>271</v>
      </c>
      <c r="E386" s="240" t="s">
        <v>7344</v>
      </c>
      <c r="F386" s="258" t="s">
        <v>7396</v>
      </c>
      <c r="G386" s="240" t="s">
        <v>6927</v>
      </c>
      <c r="H386" s="240" t="s">
        <v>6928</v>
      </c>
      <c r="I386" s="84" t="s">
        <v>36</v>
      </c>
      <c r="J386" s="98" t="s">
        <v>1784</v>
      </c>
      <c r="K386" s="251"/>
      <c r="L386" s="251"/>
      <c r="M386" s="251"/>
      <c r="N386" s="251"/>
      <c r="O386" s="251"/>
      <c r="P386" s="251"/>
      <c r="Q386" s="251"/>
      <c r="R386" s="251"/>
      <c r="S386" s="251"/>
      <c r="T386" s="251"/>
      <c r="U386" s="251"/>
      <c r="V386" s="251"/>
      <c r="W386" s="251"/>
      <c r="X386" s="251"/>
      <c r="Y386" s="251"/>
      <c r="Z386" s="251"/>
      <c r="AA386" s="251"/>
      <c r="AB386" s="251"/>
    </row>
    <row r="387" ht="14.25" customHeight="1">
      <c r="A387" s="251"/>
      <c r="B387" s="263"/>
      <c r="C387" s="242" t="s">
        <v>7401</v>
      </c>
      <c r="D387" s="98" t="s">
        <v>271</v>
      </c>
      <c r="E387" s="240" t="s">
        <v>7344</v>
      </c>
      <c r="F387" s="258" t="s">
        <v>7396</v>
      </c>
      <c r="G387" s="240" t="s">
        <v>6930</v>
      </c>
      <c r="H387" s="240" t="s">
        <v>6931</v>
      </c>
      <c r="I387" s="84" t="s">
        <v>36</v>
      </c>
      <c r="J387" s="98" t="s">
        <v>1784</v>
      </c>
      <c r="K387" s="251"/>
      <c r="L387" s="251"/>
      <c r="M387" s="251"/>
      <c r="N387" s="251"/>
      <c r="O387" s="251"/>
      <c r="P387" s="251"/>
      <c r="Q387" s="251"/>
      <c r="R387" s="251"/>
      <c r="S387" s="251"/>
      <c r="T387" s="251"/>
      <c r="U387" s="251"/>
      <c r="V387" s="251"/>
      <c r="W387" s="251"/>
      <c r="X387" s="251"/>
      <c r="Y387" s="251"/>
      <c r="Z387" s="251"/>
      <c r="AA387" s="251"/>
      <c r="AB387" s="251"/>
    </row>
    <row r="388" ht="14.25" customHeight="1">
      <c r="A388" s="251"/>
      <c r="B388" s="263"/>
      <c r="C388" s="242" t="s">
        <v>7402</v>
      </c>
      <c r="D388" s="98" t="s">
        <v>271</v>
      </c>
      <c r="E388" s="240" t="s">
        <v>7344</v>
      </c>
      <c r="F388" s="258" t="s">
        <v>7396</v>
      </c>
      <c r="G388" s="240" t="s">
        <v>6933</v>
      </c>
      <c r="H388" s="240" t="s">
        <v>6934</v>
      </c>
      <c r="I388" s="84" t="s">
        <v>36</v>
      </c>
      <c r="J388" s="98" t="s">
        <v>1784</v>
      </c>
      <c r="K388" s="251"/>
      <c r="L388" s="251"/>
      <c r="M388" s="251"/>
      <c r="N388" s="251"/>
      <c r="O388" s="251"/>
      <c r="P388" s="251"/>
      <c r="Q388" s="251"/>
      <c r="R388" s="251"/>
      <c r="S388" s="251"/>
      <c r="T388" s="251"/>
      <c r="U388" s="251"/>
      <c r="V388" s="251"/>
      <c r="W388" s="251"/>
      <c r="X388" s="251"/>
      <c r="Y388" s="251"/>
      <c r="Z388" s="251"/>
      <c r="AA388" s="251"/>
      <c r="AB388" s="251"/>
    </row>
    <row r="389" ht="14.25" customHeight="1">
      <c r="A389" s="251"/>
      <c r="B389" s="263"/>
      <c r="C389" s="242" t="s">
        <v>7403</v>
      </c>
      <c r="D389" s="98" t="s">
        <v>271</v>
      </c>
      <c r="E389" s="240" t="s">
        <v>7344</v>
      </c>
      <c r="F389" s="258" t="s">
        <v>7399</v>
      </c>
      <c r="G389" s="240" t="s">
        <v>7404</v>
      </c>
      <c r="H389" s="240" t="s">
        <v>7405</v>
      </c>
      <c r="I389" s="84" t="s">
        <v>36</v>
      </c>
      <c r="J389" s="98" t="s">
        <v>1784</v>
      </c>
      <c r="K389" s="251"/>
      <c r="L389" s="251"/>
      <c r="M389" s="251"/>
      <c r="N389" s="251"/>
      <c r="O389" s="251"/>
      <c r="P389" s="251"/>
      <c r="Q389" s="251"/>
      <c r="R389" s="251"/>
      <c r="S389" s="251"/>
      <c r="T389" s="251"/>
      <c r="U389" s="251"/>
      <c r="V389" s="251"/>
      <c r="W389" s="251"/>
      <c r="X389" s="251"/>
      <c r="Y389" s="251"/>
      <c r="Z389" s="251"/>
      <c r="AA389" s="251"/>
      <c r="AB389" s="251"/>
    </row>
    <row r="390" ht="14.25" customHeight="1">
      <c r="A390" s="251"/>
      <c r="B390" s="263"/>
      <c r="C390" s="242" t="s">
        <v>7406</v>
      </c>
      <c r="D390" s="98" t="s">
        <v>271</v>
      </c>
      <c r="E390" s="240" t="s">
        <v>7344</v>
      </c>
      <c r="F390" s="258" t="s">
        <v>7399</v>
      </c>
      <c r="G390" s="240" t="s">
        <v>6939</v>
      </c>
      <c r="H390" s="240" t="s">
        <v>6940</v>
      </c>
      <c r="I390" s="84" t="s">
        <v>36</v>
      </c>
      <c r="J390" s="98" t="s">
        <v>1784</v>
      </c>
      <c r="K390" s="251"/>
      <c r="L390" s="251"/>
      <c r="M390" s="251"/>
      <c r="N390" s="251"/>
      <c r="O390" s="251"/>
      <c r="P390" s="251"/>
      <c r="Q390" s="251"/>
      <c r="R390" s="251"/>
      <c r="S390" s="251"/>
      <c r="T390" s="251"/>
      <c r="U390" s="251"/>
      <c r="V390" s="251"/>
      <c r="W390" s="251"/>
      <c r="X390" s="251"/>
      <c r="Y390" s="251"/>
      <c r="Z390" s="251"/>
      <c r="AA390" s="251"/>
      <c r="AB390" s="251"/>
    </row>
    <row r="391" ht="14.25" customHeight="1">
      <c r="A391" s="251"/>
      <c r="B391" s="263"/>
      <c r="C391" s="242" t="s">
        <v>7407</v>
      </c>
      <c r="D391" s="98" t="s">
        <v>271</v>
      </c>
      <c r="E391" s="240" t="s">
        <v>7344</v>
      </c>
      <c r="F391" s="258" t="s">
        <v>7408</v>
      </c>
      <c r="G391" s="240" t="s">
        <v>7018</v>
      </c>
      <c r="H391" s="240" t="s">
        <v>7019</v>
      </c>
      <c r="I391" s="84" t="s">
        <v>36</v>
      </c>
      <c r="J391" s="98" t="s">
        <v>1784</v>
      </c>
      <c r="K391" s="251"/>
      <c r="L391" s="251"/>
      <c r="M391" s="251"/>
      <c r="N391" s="251"/>
      <c r="O391" s="251"/>
      <c r="P391" s="251"/>
      <c r="Q391" s="251"/>
      <c r="R391" s="251"/>
      <c r="S391" s="251"/>
      <c r="T391" s="251"/>
      <c r="U391" s="251"/>
      <c r="V391" s="251"/>
      <c r="W391" s="251"/>
      <c r="X391" s="251"/>
      <c r="Y391" s="251"/>
      <c r="Z391" s="251"/>
      <c r="AA391" s="251"/>
      <c r="AB391" s="251"/>
    </row>
    <row r="392" ht="14.25" customHeight="1">
      <c r="A392" s="251"/>
      <c r="B392" s="263"/>
      <c r="C392" s="242" t="s">
        <v>7409</v>
      </c>
      <c r="D392" s="98" t="s">
        <v>271</v>
      </c>
      <c r="E392" s="240" t="s">
        <v>7344</v>
      </c>
      <c r="F392" s="258" t="s">
        <v>7408</v>
      </c>
      <c r="G392" s="240" t="s">
        <v>7410</v>
      </c>
      <c r="H392" s="240" t="s">
        <v>7411</v>
      </c>
      <c r="I392" s="84" t="s">
        <v>36</v>
      </c>
      <c r="J392" s="98" t="s">
        <v>1784</v>
      </c>
      <c r="K392" s="251"/>
      <c r="L392" s="251"/>
      <c r="M392" s="251"/>
      <c r="N392" s="251"/>
      <c r="O392" s="251"/>
      <c r="P392" s="251"/>
      <c r="Q392" s="251"/>
      <c r="R392" s="251"/>
      <c r="S392" s="251"/>
      <c r="T392" s="251"/>
      <c r="U392" s="251"/>
      <c r="V392" s="251"/>
      <c r="W392" s="251"/>
      <c r="X392" s="251"/>
      <c r="Y392" s="251"/>
      <c r="Z392" s="251"/>
      <c r="AA392" s="251"/>
      <c r="AB392" s="251"/>
    </row>
    <row r="393" ht="14.25" customHeight="1">
      <c r="A393" s="251"/>
      <c r="B393" s="263"/>
      <c r="C393" s="242" t="s">
        <v>7412</v>
      </c>
      <c r="D393" s="98" t="s">
        <v>271</v>
      </c>
      <c r="E393" s="240" t="s">
        <v>7344</v>
      </c>
      <c r="F393" s="258" t="s">
        <v>7413</v>
      </c>
      <c r="G393" s="240" t="s">
        <v>7414</v>
      </c>
      <c r="H393" s="240" t="s">
        <v>7415</v>
      </c>
      <c r="I393" s="84" t="s">
        <v>36</v>
      </c>
      <c r="J393" s="98" t="s">
        <v>1784</v>
      </c>
      <c r="K393" s="251"/>
      <c r="L393" s="251"/>
      <c r="M393" s="251"/>
      <c r="N393" s="251"/>
      <c r="O393" s="251"/>
      <c r="P393" s="251"/>
      <c r="Q393" s="251"/>
      <c r="R393" s="251"/>
      <c r="S393" s="251"/>
      <c r="T393" s="251"/>
      <c r="U393" s="251"/>
      <c r="V393" s="251"/>
      <c r="W393" s="251"/>
      <c r="X393" s="251"/>
      <c r="Y393" s="251"/>
      <c r="Z393" s="251"/>
      <c r="AA393" s="251"/>
      <c r="AB393" s="251"/>
    </row>
    <row r="394" ht="14.25" customHeight="1">
      <c r="A394" s="251"/>
      <c r="B394" s="263"/>
      <c r="C394" s="242" t="s">
        <v>7416</v>
      </c>
      <c r="D394" s="98" t="s">
        <v>271</v>
      </c>
      <c r="E394" s="240" t="s">
        <v>7344</v>
      </c>
      <c r="F394" s="258" t="s">
        <v>7413</v>
      </c>
      <c r="G394" s="240" t="s">
        <v>7417</v>
      </c>
      <c r="H394" s="240" t="s">
        <v>7418</v>
      </c>
      <c r="I394" s="84" t="s">
        <v>36</v>
      </c>
      <c r="J394" s="98" t="s">
        <v>1784</v>
      </c>
      <c r="K394" s="251"/>
      <c r="L394" s="251"/>
      <c r="M394" s="251"/>
      <c r="N394" s="251"/>
      <c r="O394" s="251"/>
      <c r="P394" s="251"/>
      <c r="Q394" s="251"/>
      <c r="R394" s="251"/>
      <c r="S394" s="251"/>
      <c r="T394" s="251"/>
      <c r="U394" s="251"/>
      <c r="V394" s="251"/>
      <c r="W394" s="251"/>
      <c r="X394" s="251"/>
      <c r="Y394" s="251"/>
      <c r="Z394" s="251"/>
      <c r="AA394" s="251"/>
      <c r="AB394" s="251"/>
    </row>
    <row r="395" ht="14.25" customHeight="1">
      <c r="A395" s="251"/>
      <c r="B395" s="263"/>
      <c r="C395" s="242" t="s">
        <v>7419</v>
      </c>
      <c r="D395" s="98" t="s">
        <v>271</v>
      </c>
      <c r="E395" s="240" t="s">
        <v>7344</v>
      </c>
      <c r="F395" s="258" t="s">
        <v>7420</v>
      </c>
      <c r="G395" s="240" t="s">
        <v>7421</v>
      </c>
      <c r="H395" s="240" t="s">
        <v>7422</v>
      </c>
      <c r="I395" s="84" t="s">
        <v>36</v>
      </c>
      <c r="J395" s="98" t="s">
        <v>1784</v>
      </c>
      <c r="K395" s="251"/>
      <c r="L395" s="251"/>
      <c r="M395" s="251"/>
      <c r="N395" s="251"/>
      <c r="O395" s="251"/>
      <c r="P395" s="251"/>
      <c r="Q395" s="251"/>
      <c r="R395" s="251"/>
      <c r="S395" s="251"/>
      <c r="T395" s="251"/>
      <c r="U395" s="251"/>
      <c r="V395" s="251"/>
      <c r="W395" s="251"/>
      <c r="X395" s="251"/>
      <c r="Y395" s="251"/>
      <c r="Z395" s="251"/>
      <c r="AA395" s="251"/>
      <c r="AB395" s="251"/>
    </row>
    <row r="396" ht="14.25" customHeight="1">
      <c r="A396" s="251"/>
      <c r="B396" s="263"/>
      <c r="C396" s="242" t="s">
        <v>7423</v>
      </c>
      <c r="D396" s="98" t="s">
        <v>271</v>
      </c>
      <c r="E396" s="240" t="s">
        <v>7424</v>
      </c>
      <c r="F396" s="258" t="s">
        <v>6807</v>
      </c>
      <c r="G396" s="240" t="s">
        <v>7425</v>
      </c>
      <c r="H396" s="240" t="s">
        <v>7426</v>
      </c>
      <c r="I396" s="84" t="s">
        <v>36</v>
      </c>
      <c r="J396" s="98" t="s">
        <v>1784</v>
      </c>
      <c r="K396" s="251"/>
      <c r="L396" s="251"/>
      <c r="M396" s="251"/>
      <c r="N396" s="251"/>
      <c r="O396" s="251"/>
      <c r="P396" s="251"/>
      <c r="Q396" s="251"/>
      <c r="R396" s="251"/>
      <c r="S396" s="251"/>
      <c r="T396" s="251"/>
      <c r="U396" s="251"/>
      <c r="V396" s="251"/>
      <c r="W396" s="251"/>
      <c r="X396" s="251"/>
      <c r="Y396" s="251"/>
      <c r="Z396" s="251"/>
      <c r="AA396" s="251"/>
      <c r="AB396" s="251"/>
    </row>
    <row r="397" ht="14.25" customHeight="1">
      <c r="A397" s="251"/>
      <c r="B397" s="263"/>
      <c r="C397" s="242" t="s">
        <v>7427</v>
      </c>
      <c r="D397" s="98" t="s">
        <v>271</v>
      </c>
      <c r="E397" s="240" t="s">
        <v>7424</v>
      </c>
      <c r="F397" s="258" t="s">
        <v>7428</v>
      </c>
      <c r="G397" s="240" t="s">
        <v>7429</v>
      </c>
      <c r="H397" s="240" t="s">
        <v>7430</v>
      </c>
      <c r="I397" s="84" t="s">
        <v>36</v>
      </c>
      <c r="J397" s="98" t="s">
        <v>1784</v>
      </c>
      <c r="K397" s="251"/>
      <c r="L397" s="251"/>
      <c r="M397" s="251"/>
      <c r="N397" s="251"/>
      <c r="O397" s="251"/>
      <c r="P397" s="251"/>
      <c r="Q397" s="251"/>
      <c r="R397" s="251"/>
      <c r="S397" s="251"/>
      <c r="T397" s="251"/>
      <c r="U397" s="251"/>
      <c r="V397" s="251"/>
      <c r="W397" s="251"/>
      <c r="X397" s="251"/>
      <c r="Y397" s="251"/>
      <c r="Z397" s="251"/>
      <c r="AA397" s="251"/>
      <c r="AB397" s="251"/>
    </row>
    <row r="398" ht="14.25" customHeight="1">
      <c r="A398" s="251"/>
      <c r="B398" s="263"/>
      <c r="C398" s="242" t="s">
        <v>7431</v>
      </c>
      <c r="D398" s="98" t="s">
        <v>271</v>
      </c>
      <c r="E398" s="240" t="s">
        <v>7424</v>
      </c>
      <c r="F398" s="258" t="s">
        <v>7432</v>
      </c>
      <c r="G398" s="240" t="s">
        <v>7433</v>
      </c>
      <c r="H398" s="240" t="s">
        <v>7434</v>
      </c>
      <c r="I398" s="84" t="s">
        <v>36</v>
      </c>
      <c r="J398" s="98" t="s">
        <v>1784</v>
      </c>
      <c r="K398" s="251"/>
      <c r="L398" s="251"/>
      <c r="M398" s="251"/>
      <c r="N398" s="251"/>
      <c r="O398" s="251"/>
      <c r="P398" s="251"/>
      <c r="Q398" s="251"/>
      <c r="R398" s="251"/>
      <c r="S398" s="251"/>
      <c r="T398" s="251"/>
      <c r="U398" s="251"/>
      <c r="V398" s="251"/>
      <c r="W398" s="251"/>
      <c r="X398" s="251"/>
      <c r="Y398" s="251"/>
      <c r="Z398" s="251"/>
      <c r="AA398" s="251"/>
      <c r="AB398" s="251"/>
    </row>
    <row r="399" ht="14.25" customHeight="1">
      <c r="A399" s="251"/>
      <c r="B399" s="263"/>
      <c r="C399" s="242" t="s">
        <v>7435</v>
      </c>
      <c r="D399" s="98" t="s">
        <v>271</v>
      </c>
      <c r="E399" s="240" t="s">
        <v>7424</v>
      </c>
      <c r="F399" s="258" t="s">
        <v>7436</v>
      </c>
      <c r="G399" s="240" t="s">
        <v>7437</v>
      </c>
      <c r="H399" s="240" t="s">
        <v>7438</v>
      </c>
      <c r="I399" s="84" t="s">
        <v>36</v>
      </c>
      <c r="J399" s="98" t="s">
        <v>1784</v>
      </c>
      <c r="K399" s="251"/>
      <c r="L399" s="251"/>
      <c r="M399" s="251"/>
      <c r="N399" s="251"/>
      <c r="O399" s="251"/>
      <c r="P399" s="251"/>
      <c r="Q399" s="251"/>
      <c r="R399" s="251"/>
      <c r="S399" s="251"/>
      <c r="T399" s="251"/>
      <c r="U399" s="251"/>
      <c r="V399" s="251"/>
      <c r="W399" s="251"/>
      <c r="X399" s="251"/>
      <c r="Y399" s="251"/>
      <c r="Z399" s="251"/>
      <c r="AA399" s="251"/>
      <c r="AB399" s="251"/>
    </row>
    <row r="400" ht="14.25" customHeight="1">
      <c r="A400" s="251"/>
      <c r="B400" s="263"/>
      <c r="C400" s="242" t="s">
        <v>7439</v>
      </c>
      <c r="D400" s="98" t="s">
        <v>271</v>
      </c>
      <c r="E400" s="240" t="s">
        <v>7424</v>
      </c>
      <c r="F400" s="258" t="s">
        <v>7440</v>
      </c>
      <c r="G400" s="240" t="s">
        <v>7441</v>
      </c>
      <c r="H400" s="240" t="s">
        <v>7442</v>
      </c>
      <c r="I400" s="84" t="s">
        <v>36</v>
      </c>
      <c r="J400" s="98" t="s">
        <v>1784</v>
      </c>
      <c r="K400" s="251"/>
      <c r="L400" s="251"/>
      <c r="M400" s="251"/>
      <c r="N400" s="251"/>
      <c r="O400" s="251"/>
      <c r="P400" s="251"/>
      <c r="Q400" s="251"/>
      <c r="R400" s="251"/>
      <c r="S400" s="251"/>
      <c r="T400" s="251"/>
      <c r="U400" s="251"/>
      <c r="V400" s="251"/>
      <c r="W400" s="251"/>
      <c r="X400" s="251"/>
      <c r="Y400" s="251"/>
      <c r="Z400" s="251"/>
      <c r="AA400" s="251"/>
      <c r="AB400" s="251"/>
    </row>
    <row r="401" ht="14.25" customHeight="1">
      <c r="A401" s="251"/>
      <c r="B401" s="263"/>
      <c r="C401" s="242" t="s">
        <v>7443</v>
      </c>
      <c r="D401" s="98" t="s">
        <v>271</v>
      </c>
      <c r="E401" s="240" t="s">
        <v>7424</v>
      </c>
      <c r="F401" s="258" t="s">
        <v>7444</v>
      </c>
      <c r="G401" s="240" t="s">
        <v>7445</v>
      </c>
      <c r="H401" s="240" t="s">
        <v>7446</v>
      </c>
      <c r="I401" s="84" t="s">
        <v>36</v>
      </c>
      <c r="J401" s="98" t="s">
        <v>1784</v>
      </c>
      <c r="K401" s="251"/>
      <c r="L401" s="251"/>
      <c r="M401" s="251"/>
      <c r="N401" s="251"/>
      <c r="O401" s="251"/>
      <c r="P401" s="251"/>
      <c r="Q401" s="251"/>
      <c r="R401" s="251"/>
      <c r="S401" s="251"/>
      <c r="T401" s="251"/>
      <c r="U401" s="251"/>
      <c r="V401" s="251"/>
      <c r="W401" s="251"/>
      <c r="X401" s="251"/>
      <c r="Y401" s="251"/>
      <c r="Z401" s="251"/>
      <c r="AA401" s="251"/>
      <c r="AB401" s="251"/>
    </row>
    <row r="402" ht="14.25" customHeight="1">
      <c r="A402" s="251"/>
      <c r="B402" s="263"/>
      <c r="C402" s="242" t="s">
        <v>7447</v>
      </c>
      <c r="D402" s="98" t="s">
        <v>271</v>
      </c>
      <c r="E402" s="240" t="s">
        <v>7424</v>
      </c>
      <c r="F402" s="258" t="s">
        <v>7444</v>
      </c>
      <c r="G402" s="240" t="s">
        <v>6836</v>
      </c>
      <c r="H402" s="240" t="s">
        <v>7448</v>
      </c>
      <c r="I402" s="84" t="s">
        <v>36</v>
      </c>
      <c r="J402" s="98" t="s">
        <v>1784</v>
      </c>
      <c r="K402" s="251"/>
      <c r="L402" s="251"/>
      <c r="M402" s="251"/>
      <c r="N402" s="251"/>
      <c r="O402" s="251"/>
      <c r="P402" s="251"/>
      <c r="Q402" s="251"/>
      <c r="R402" s="251"/>
      <c r="S402" s="251"/>
      <c r="T402" s="251"/>
      <c r="U402" s="251"/>
      <c r="V402" s="251"/>
      <c r="W402" s="251"/>
      <c r="X402" s="251"/>
      <c r="Y402" s="251"/>
      <c r="Z402" s="251"/>
      <c r="AA402" s="251"/>
      <c r="AB402" s="251"/>
    </row>
    <row r="403" ht="14.25" customHeight="1">
      <c r="A403" s="251"/>
      <c r="B403" s="263"/>
      <c r="C403" s="242" t="s">
        <v>7449</v>
      </c>
      <c r="D403" s="98" t="s">
        <v>271</v>
      </c>
      <c r="E403" s="240" t="s">
        <v>7424</v>
      </c>
      <c r="F403" s="258" t="s">
        <v>7444</v>
      </c>
      <c r="G403" s="240" t="s">
        <v>6839</v>
      </c>
      <c r="H403" s="240" t="s">
        <v>6840</v>
      </c>
      <c r="I403" s="84" t="s">
        <v>36</v>
      </c>
      <c r="J403" s="98" t="s">
        <v>1784</v>
      </c>
      <c r="K403" s="251"/>
      <c r="L403" s="251"/>
      <c r="M403" s="251"/>
      <c r="N403" s="251"/>
      <c r="O403" s="251"/>
      <c r="P403" s="251"/>
      <c r="Q403" s="251"/>
      <c r="R403" s="251"/>
      <c r="S403" s="251"/>
      <c r="T403" s="251"/>
      <c r="U403" s="251"/>
      <c r="V403" s="251"/>
      <c r="W403" s="251"/>
      <c r="X403" s="251"/>
      <c r="Y403" s="251"/>
      <c r="Z403" s="251"/>
      <c r="AA403" s="251"/>
      <c r="AB403" s="251"/>
    </row>
    <row r="404" ht="14.25" customHeight="1">
      <c r="A404" s="251"/>
      <c r="B404" s="263"/>
      <c r="C404" s="242" t="s">
        <v>7450</v>
      </c>
      <c r="D404" s="98" t="s">
        <v>271</v>
      </c>
      <c r="E404" s="240" t="s">
        <v>7424</v>
      </c>
      <c r="F404" s="258" t="s">
        <v>7444</v>
      </c>
      <c r="G404" s="240" t="s">
        <v>6846</v>
      </c>
      <c r="H404" s="240" t="s">
        <v>6847</v>
      </c>
      <c r="I404" s="84" t="s">
        <v>36</v>
      </c>
      <c r="J404" s="98" t="s">
        <v>1784</v>
      </c>
      <c r="K404" s="251"/>
      <c r="L404" s="251"/>
      <c r="M404" s="251"/>
      <c r="N404" s="251"/>
      <c r="O404" s="251"/>
      <c r="P404" s="251"/>
      <c r="Q404" s="251"/>
      <c r="R404" s="251"/>
      <c r="S404" s="251"/>
      <c r="T404" s="251"/>
      <c r="U404" s="251"/>
      <c r="V404" s="251"/>
      <c r="W404" s="251"/>
      <c r="X404" s="251"/>
      <c r="Y404" s="251"/>
      <c r="Z404" s="251"/>
      <c r="AA404" s="251"/>
      <c r="AB404" s="251"/>
    </row>
    <row r="405" ht="14.25" customHeight="1">
      <c r="A405" s="251"/>
      <c r="B405" s="263"/>
      <c r="C405" s="242" t="s">
        <v>7451</v>
      </c>
      <c r="D405" s="98" t="s">
        <v>271</v>
      </c>
      <c r="E405" s="240" t="s">
        <v>7424</v>
      </c>
      <c r="F405" s="258" t="s">
        <v>7452</v>
      </c>
      <c r="G405" s="240" t="s">
        <v>7453</v>
      </c>
      <c r="H405" s="240" t="s">
        <v>7454</v>
      </c>
      <c r="I405" s="84" t="s">
        <v>36</v>
      </c>
      <c r="J405" s="98" t="s">
        <v>1784</v>
      </c>
      <c r="K405" s="251"/>
      <c r="L405" s="251"/>
      <c r="M405" s="251"/>
      <c r="N405" s="251"/>
      <c r="O405" s="251"/>
      <c r="P405" s="251"/>
      <c r="Q405" s="251"/>
      <c r="R405" s="251"/>
      <c r="S405" s="251"/>
      <c r="T405" s="251"/>
      <c r="U405" s="251"/>
      <c r="V405" s="251"/>
      <c r="W405" s="251"/>
      <c r="X405" s="251"/>
      <c r="Y405" s="251"/>
      <c r="Z405" s="251"/>
      <c r="AA405" s="251"/>
      <c r="AB405" s="251"/>
    </row>
    <row r="406" ht="14.25" customHeight="1">
      <c r="A406" s="251"/>
      <c r="B406" s="263"/>
      <c r="C406" s="242" t="s">
        <v>7455</v>
      </c>
      <c r="D406" s="98" t="s">
        <v>271</v>
      </c>
      <c r="E406" s="240" t="s">
        <v>7424</v>
      </c>
      <c r="F406" s="258" t="s">
        <v>7452</v>
      </c>
      <c r="G406" s="240" t="s">
        <v>6853</v>
      </c>
      <c r="H406" s="240" t="s">
        <v>7456</v>
      </c>
      <c r="I406" s="84" t="s">
        <v>36</v>
      </c>
      <c r="J406" s="98" t="s">
        <v>1784</v>
      </c>
      <c r="K406" s="251"/>
      <c r="L406" s="251"/>
      <c r="M406" s="251"/>
      <c r="N406" s="251"/>
      <c r="O406" s="251"/>
      <c r="P406" s="251"/>
      <c r="Q406" s="251"/>
      <c r="R406" s="251"/>
      <c r="S406" s="251"/>
      <c r="T406" s="251"/>
      <c r="U406" s="251"/>
      <c r="V406" s="251"/>
      <c r="W406" s="251"/>
      <c r="X406" s="251"/>
      <c r="Y406" s="251"/>
      <c r="Z406" s="251"/>
      <c r="AA406" s="251"/>
      <c r="AB406" s="251"/>
    </row>
    <row r="407" ht="14.25" customHeight="1">
      <c r="A407" s="251"/>
      <c r="B407" s="263"/>
      <c r="C407" s="242" t="s">
        <v>7457</v>
      </c>
      <c r="D407" s="98" t="s">
        <v>271</v>
      </c>
      <c r="E407" s="240" t="s">
        <v>7424</v>
      </c>
      <c r="F407" s="258" t="s">
        <v>7452</v>
      </c>
      <c r="G407" s="240" t="s">
        <v>7302</v>
      </c>
      <c r="H407" s="240" t="s">
        <v>7458</v>
      </c>
      <c r="I407" s="84" t="s">
        <v>36</v>
      </c>
      <c r="J407" s="98" t="s">
        <v>1784</v>
      </c>
      <c r="K407" s="251"/>
      <c r="L407" s="251"/>
      <c r="M407" s="251"/>
      <c r="N407" s="251"/>
      <c r="O407" s="251"/>
      <c r="P407" s="251"/>
      <c r="Q407" s="251"/>
      <c r="R407" s="251"/>
      <c r="S407" s="251"/>
      <c r="T407" s="251"/>
      <c r="U407" s="251"/>
      <c r="V407" s="251"/>
      <c r="W407" s="251"/>
      <c r="X407" s="251"/>
      <c r="Y407" s="251"/>
      <c r="Z407" s="251"/>
      <c r="AA407" s="251"/>
      <c r="AB407" s="251"/>
    </row>
    <row r="408" ht="14.25" customHeight="1">
      <c r="A408" s="251"/>
      <c r="B408" s="263"/>
      <c r="C408" s="242" t="s">
        <v>7459</v>
      </c>
      <c r="D408" s="98" t="s">
        <v>271</v>
      </c>
      <c r="E408" s="240" t="s">
        <v>7424</v>
      </c>
      <c r="F408" s="258" t="s">
        <v>7460</v>
      </c>
      <c r="G408" s="240" t="s">
        <v>7461</v>
      </c>
      <c r="H408" s="240" t="s">
        <v>7462</v>
      </c>
      <c r="I408" s="84" t="s">
        <v>36</v>
      </c>
      <c r="J408" s="98" t="s">
        <v>1784</v>
      </c>
      <c r="K408" s="251"/>
      <c r="L408" s="251"/>
      <c r="M408" s="251"/>
      <c r="N408" s="251"/>
      <c r="O408" s="251"/>
      <c r="P408" s="251"/>
      <c r="Q408" s="251"/>
      <c r="R408" s="251"/>
      <c r="S408" s="251"/>
      <c r="T408" s="251"/>
      <c r="U408" s="251"/>
      <c r="V408" s="251"/>
      <c r="W408" s="251"/>
      <c r="X408" s="251"/>
      <c r="Y408" s="251"/>
      <c r="Z408" s="251"/>
      <c r="AA408" s="251"/>
      <c r="AB408" s="251"/>
    </row>
    <row r="409" ht="14.25" customHeight="1">
      <c r="A409" s="251"/>
      <c r="B409" s="263"/>
      <c r="C409" s="242" t="s">
        <v>7463</v>
      </c>
      <c r="D409" s="98" t="s">
        <v>271</v>
      </c>
      <c r="E409" s="240" t="s">
        <v>7424</v>
      </c>
      <c r="F409" s="258" t="s">
        <v>7460</v>
      </c>
      <c r="G409" s="240" t="s">
        <v>7464</v>
      </c>
      <c r="H409" s="240" t="s">
        <v>7465</v>
      </c>
      <c r="I409" s="84" t="s">
        <v>36</v>
      </c>
      <c r="J409" s="98" t="s">
        <v>1784</v>
      </c>
      <c r="K409" s="251"/>
      <c r="L409" s="251"/>
      <c r="M409" s="251"/>
      <c r="N409" s="251"/>
      <c r="O409" s="251"/>
      <c r="P409" s="251"/>
      <c r="Q409" s="251"/>
      <c r="R409" s="251"/>
      <c r="S409" s="251"/>
      <c r="T409" s="251"/>
      <c r="U409" s="251"/>
      <c r="V409" s="251"/>
      <c r="W409" s="251"/>
      <c r="X409" s="251"/>
      <c r="Y409" s="251"/>
      <c r="Z409" s="251"/>
      <c r="AA409" s="251"/>
      <c r="AB409" s="251"/>
    </row>
    <row r="410" ht="14.25" customHeight="1">
      <c r="A410" s="251"/>
      <c r="B410" s="263"/>
      <c r="C410" s="242" t="s">
        <v>7466</v>
      </c>
      <c r="D410" s="98" t="s">
        <v>271</v>
      </c>
      <c r="E410" s="240" t="s">
        <v>7424</v>
      </c>
      <c r="F410" s="258" t="s">
        <v>7467</v>
      </c>
      <c r="G410" s="240" t="s">
        <v>7468</v>
      </c>
      <c r="H410" s="240" t="s">
        <v>6995</v>
      </c>
      <c r="I410" s="84" t="s">
        <v>36</v>
      </c>
      <c r="J410" s="98" t="s">
        <v>1784</v>
      </c>
      <c r="K410" s="251"/>
      <c r="L410" s="251"/>
      <c r="M410" s="251"/>
      <c r="N410" s="251"/>
      <c r="O410" s="251"/>
      <c r="P410" s="251"/>
      <c r="Q410" s="251"/>
      <c r="R410" s="251"/>
      <c r="S410" s="251"/>
      <c r="T410" s="251"/>
      <c r="U410" s="251"/>
      <c r="V410" s="251"/>
      <c r="W410" s="251"/>
      <c r="X410" s="251"/>
      <c r="Y410" s="251"/>
      <c r="Z410" s="251"/>
      <c r="AA410" s="251"/>
      <c r="AB410" s="251"/>
    </row>
    <row r="411" ht="14.25" customHeight="1">
      <c r="A411" s="251"/>
      <c r="B411" s="263"/>
      <c r="C411" s="242" t="s">
        <v>7469</v>
      </c>
      <c r="D411" s="98" t="s">
        <v>271</v>
      </c>
      <c r="E411" s="240" t="s">
        <v>7424</v>
      </c>
      <c r="F411" s="258" t="s">
        <v>7467</v>
      </c>
      <c r="G411" s="240" t="s">
        <v>6888</v>
      </c>
      <c r="H411" s="240" t="s">
        <v>6889</v>
      </c>
      <c r="I411" s="84" t="s">
        <v>36</v>
      </c>
      <c r="J411" s="98" t="s">
        <v>1784</v>
      </c>
      <c r="K411" s="251"/>
      <c r="L411" s="251"/>
      <c r="M411" s="251"/>
      <c r="N411" s="251"/>
      <c r="O411" s="251"/>
      <c r="P411" s="251"/>
      <c r="Q411" s="251"/>
      <c r="R411" s="251"/>
      <c r="S411" s="251"/>
      <c r="T411" s="251"/>
      <c r="U411" s="251"/>
      <c r="V411" s="251"/>
      <c r="W411" s="251"/>
      <c r="X411" s="251"/>
      <c r="Y411" s="251"/>
      <c r="Z411" s="251"/>
      <c r="AA411" s="251"/>
      <c r="AB411" s="251"/>
    </row>
    <row r="412" ht="14.25" customHeight="1">
      <c r="A412" s="251"/>
      <c r="B412" s="263"/>
      <c r="C412" s="242" t="s">
        <v>7470</v>
      </c>
      <c r="D412" s="98" t="s">
        <v>271</v>
      </c>
      <c r="E412" s="240" t="s">
        <v>7424</v>
      </c>
      <c r="F412" s="258" t="s">
        <v>7467</v>
      </c>
      <c r="G412" s="240" t="s">
        <v>6891</v>
      </c>
      <c r="H412" s="240" t="s">
        <v>6998</v>
      </c>
      <c r="I412" s="84" t="s">
        <v>36</v>
      </c>
      <c r="J412" s="98" t="s">
        <v>1784</v>
      </c>
      <c r="K412" s="251"/>
      <c r="L412" s="251"/>
      <c r="M412" s="251"/>
      <c r="N412" s="251"/>
      <c r="O412" s="251"/>
      <c r="P412" s="251"/>
      <c r="Q412" s="251"/>
      <c r="R412" s="251"/>
      <c r="S412" s="251"/>
      <c r="T412" s="251"/>
      <c r="U412" s="251"/>
      <c r="V412" s="251"/>
      <c r="W412" s="251"/>
      <c r="X412" s="251"/>
      <c r="Y412" s="251"/>
      <c r="Z412" s="251"/>
      <c r="AA412" s="251"/>
      <c r="AB412" s="251"/>
    </row>
    <row r="413" ht="14.25" customHeight="1">
      <c r="A413" s="251"/>
      <c r="B413" s="263"/>
      <c r="C413" s="242" t="s">
        <v>7471</v>
      </c>
      <c r="D413" s="98" t="s">
        <v>271</v>
      </c>
      <c r="E413" s="240" t="s">
        <v>7424</v>
      </c>
      <c r="F413" s="258" t="s">
        <v>7467</v>
      </c>
      <c r="G413" s="240" t="s">
        <v>6894</v>
      </c>
      <c r="H413" s="240" t="s">
        <v>7472</v>
      </c>
      <c r="I413" s="84" t="s">
        <v>36</v>
      </c>
      <c r="J413" s="98" t="s">
        <v>1784</v>
      </c>
      <c r="K413" s="251"/>
      <c r="L413" s="251"/>
      <c r="M413" s="251"/>
      <c r="N413" s="251"/>
      <c r="O413" s="251"/>
      <c r="P413" s="251"/>
      <c r="Q413" s="251"/>
      <c r="R413" s="251"/>
      <c r="S413" s="251"/>
      <c r="T413" s="251"/>
      <c r="U413" s="251"/>
      <c r="V413" s="251"/>
      <c r="W413" s="251"/>
      <c r="X413" s="251"/>
      <c r="Y413" s="251"/>
      <c r="Z413" s="251"/>
      <c r="AA413" s="251"/>
      <c r="AB413" s="251"/>
    </row>
    <row r="414" ht="14.25" customHeight="1">
      <c r="A414" s="251"/>
      <c r="B414" s="263"/>
      <c r="C414" s="242" t="s">
        <v>7473</v>
      </c>
      <c r="D414" s="98" t="s">
        <v>271</v>
      </c>
      <c r="E414" s="240" t="s">
        <v>7424</v>
      </c>
      <c r="F414" s="258" t="s">
        <v>7467</v>
      </c>
      <c r="G414" s="240" t="s">
        <v>6897</v>
      </c>
      <c r="H414" s="240" t="s">
        <v>6898</v>
      </c>
      <c r="I414" s="84" t="s">
        <v>36</v>
      </c>
      <c r="J414" s="98" t="s">
        <v>1784</v>
      </c>
      <c r="K414" s="251"/>
      <c r="L414" s="251"/>
      <c r="M414" s="251"/>
      <c r="N414" s="251"/>
      <c r="O414" s="251"/>
      <c r="P414" s="251"/>
      <c r="Q414" s="251"/>
      <c r="R414" s="251"/>
      <c r="S414" s="251"/>
      <c r="T414" s="251"/>
      <c r="U414" s="251"/>
      <c r="V414" s="251"/>
      <c r="W414" s="251"/>
      <c r="X414" s="251"/>
      <c r="Y414" s="251"/>
      <c r="Z414" s="251"/>
      <c r="AA414" s="251"/>
      <c r="AB414" s="251"/>
    </row>
    <row r="415" ht="14.25" customHeight="1">
      <c r="A415" s="251"/>
      <c r="B415" s="263"/>
      <c r="C415" s="242" t="s">
        <v>7474</v>
      </c>
      <c r="D415" s="98" t="s">
        <v>271</v>
      </c>
      <c r="E415" s="240" t="s">
        <v>7424</v>
      </c>
      <c r="F415" s="258" t="s">
        <v>7475</v>
      </c>
      <c r="G415" s="240" t="s">
        <v>7476</v>
      </c>
      <c r="H415" s="240" t="s">
        <v>6921</v>
      </c>
      <c r="I415" s="84" t="s">
        <v>36</v>
      </c>
      <c r="J415" s="98" t="s">
        <v>1784</v>
      </c>
      <c r="K415" s="251"/>
      <c r="L415" s="251"/>
      <c r="M415" s="251"/>
      <c r="N415" s="251"/>
      <c r="O415" s="251"/>
      <c r="P415" s="251"/>
      <c r="Q415" s="251"/>
      <c r="R415" s="251"/>
      <c r="S415" s="251"/>
      <c r="T415" s="251"/>
      <c r="U415" s="251"/>
      <c r="V415" s="251"/>
      <c r="W415" s="251"/>
      <c r="X415" s="251"/>
      <c r="Y415" s="251"/>
      <c r="Z415" s="251"/>
      <c r="AA415" s="251"/>
      <c r="AB415" s="251"/>
    </row>
    <row r="416" ht="14.25" customHeight="1">
      <c r="A416" s="251"/>
      <c r="B416" s="263"/>
      <c r="C416" s="242" t="s">
        <v>7477</v>
      </c>
      <c r="D416" s="98" t="s">
        <v>271</v>
      </c>
      <c r="E416" s="240" t="s">
        <v>7424</v>
      </c>
      <c r="F416" s="258" t="s">
        <v>7478</v>
      </c>
      <c r="G416" s="240" t="s">
        <v>6924</v>
      </c>
      <c r="H416" s="240" t="s">
        <v>6925</v>
      </c>
      <c r="I416" s="84" t="s">
        <v>36</v>
      </c>
      <c r="J416" s="98" t="s">
        <v>1784</v>
      </c>
      <c r="K416" s="251"/>
      <c r="L416" s="251"/>
      <c r="M416" s="251"/>
      <c r="N416" s="251"/>
      <c r="O416" s="251"/>
      <c r="P416" s="251"/>
      <c r="Q416" s="251"/>
      <c r="R416" s="251"/>
      <c r="S416" s="251"/>
      <c r="T416" s="251"/>
      <c r="U416" s="251"/>
      <c r="V416" s="251"/>
      <c r="W416" s="251"/>
      <c r="X416" s="251"/>
      <c r="Y416" s="251"/>
      <c r="Z416" s="251"/>
      <c r="AA416" s="251"/>
      <c r="AB416" s="251"/>
    </row>
    <row r="417" ht="14.25" customHeight="1">
      <c r="A417" s="251"/>
      <c r="B417" s="263"/>
      <c r="C417" s="242" t="s">
        <v>7479</v>
      </c>
      <c r="D417" s="98" t="s">
        <v>271</v>
      </c>
      <c r="E417" s="240" t="s">
        <v>7424</v>
      </c>
      <c r="F417" s="258" t="s">
        <v>7475</v>
      </c>
      <c r="G417" s="240" t="s">
        <v>6927</v>
      </c>
      <c r="H417" s="240" t="s">
        <v>6928</v>
      </c>
      <c r="I417" s="84" t="s">
        <v>36</v>
      </c>
      <c r="J417" s="98" t="s">
        <v>1784</v>
      </c>
      <c r="K417" s="251"/>
      <c r="L417" s="251"/>
      <c r="M417" s="251"/>
      <c r="N417" s="251"/>
      <c r="O417" s="251"/>
      <c r="P417" s="251"/>
      <c r="Q417" s="251"/>
      <c r="R417" s="251"/>
      <c r="S417" s="251"/>
      <c r="T417" s="251"/>
      <c r="U417" s="251"/>
      <c r="V417" s="251"/>
      <c r="W417" s="251"/>
      <c r="X417" s="251"/>
      <c r="Y417" s="251"/>
      <c r="Z417" s="251"/>
      <c r="AA417" s="251"/>
      <c r="AB417" s="251"/>
    </row>
    <row r="418" ht="14.25" customHeight="1">
      <c r="A418" s="251"/>
      <c r="B418" s="263"/>
      <c r="C418" s="242" t="s">
        <v>7480</v>
      </c>
      <c r="D418" s="98" t="s">
        <v>271</v>
      </c>
      <c r="E418" s="240" t="s">
        <v>7424</v>
      </c>
      <c r="F418" s="258" t="s">
        <v>7475</v>
      </c>
      <c r="G418" s="240" t="s">
        <v>6930</v>
      </c>
      <c r="H418" s="240" t="s">
        <v>6931</v>
      </c>
      <c r="I418" s="84" t="s">
        <v>36</v>
      </c>
      <c r="J418" s="98" t="s">
        <v>1784</v>
      </c>
      <c r="K418" s="251"/>
      <c r="L418" s="251"/>
      <c r="M418" s="251"/>
      <c r="N418" s="251"/>
      <c r="O418" s="251"/>
      <c r="P418" s="251"/>
      <c r="Q418" s="251"/>
      <c r="R418" s="251"/>
      <c r="S418" s="251"/>
      <c r="T418" s="251"/>
      <c r="U418" s="251"/>
      <c r="V418" s="251"/>
      <c r="W418" s="251"/>
      <c r="X418" s="251"/>
      <c r="Y418" s="251"/>
      <c r="Z418" s="251"/>
      <c r="AA418" s="251"/>
      <c r="AB418" s="251"/>
    </row>
    <row r="419" ht="14.25" customHeight="1">
      <c r="A419" s="251"/>
      <c r="B419" s="263"/>
      <c r="C419" s="242" t="s">
        <v>7481</v>
      </c>
      <c r="D419" s="98" t="s">
        <v>271</v>
      </c>
      <c r="E419" s="240" t="s">
        <v>7424</v>
      </c>
      <c r="F419" s="258" t="s">
        <v>7475</v>
      </c>
      <c r="G419" s="240" t="s">
        <v>6933</v>
      </c>
      <c r="H419" s="240" t="s">
        <v>6934</v>
      </c>
      <c r="I419" s="84" t="s">
        <v>36</v>
      </c>
      <c r="J419" s="98" t="s">
        <v>1784</v>
      </c>
      <c r="K419" s="251"/>
      <c r="L419" s="251"/>
      <c r="M419" s="251"/>
      <c r="N419" s="251"/>
      <c r="O419" s="251"/>
      <c r="P419" s="251"/>
      <c r="Q419" s="251"/>
      <c r="R419" s="251"/>
      <c r="S419" s="251"/>
      <c r="T419" s="251"/>
      <c r="U419" s="251"/>
      <c r="V419" s="251"/>
      <c r="W419" s="251"/>
      <c r="X419" s="251"/>
      <c r="Y419" s="251"/>
      <c r="Z419" s="251"/>
      <c r="AA419" s="251"/>
      <c r="AB419" s="251"/>
    </row>
    <row r="420" ht="14.25" customHeight="1">
      <c r="A420" s="251"/>
      <c r="B420" s="263"/>
      <c r="C420" s="242" t="s">
        <v>7482</v>
      </c>
      <c r="D420" s="98" t="s">
        <v>271</v>
      </c>
      <c r="E420" s="240" t="s">
        <v>7424</v>
      </c>
      <c r="F420" s="258" t="s">
        <v>7478</v>
      </c>
      <c r="G420" s="240" t="s">
        <v>7483</v>
      </c>
      <c r="H420" s="240" t="s">
        <v>7484</v>
      </c>
      <c r="I420" s="84" t="s">
        <v>36</v>
      </c>
      <c r="J420" s="98" t="s">
        <v>1784</v>
      </c>
      <c r="K420" s="251"/>
      <c r="L420" s="251"/>
      <c r="M420" s="251"/>
      <c r="N420" s="251"/>
      <c r="O420" s="251"/>
      <c r="P420" s="251"/>
      <c r="Q420" s="251"/>
      <c r="R420" s="251"/>
      <c r="S420" s="251"/>
      <c r="T420" s="251"/>
      <c r="U420" s="251"/>
      <c r="V420" s="251"/>
      <c r="W420" s="251"/>
      <c r="X420" s="251"/>
      <c r="Y420" s="251"/>
      <c r="Z420" s="251"/>
      <c r="AA420" s="251"/>
      <c r="AB420" s="251"/>
    </row>
    <row r="421" ht="14.25" customHeight="1">
      <c r="A421" s="251"/>
      <c r="B421" s="263"/>
      <c r="C421" s="242" t="s">
        <v>7485</v>
      </c>
      <c r="D421" s="98" t="s">
        <v>271</v>
      </c>
      <c r="E421" s="240" t="s">
        <v>7424</v>
      </c>
      <c r="F421" s="258" t="s">
        <v>7478</v>
      </c>
      <c r="G421" s="240" t="s">
        <v>6939</v>
      </c>
      <c r="H421" s="240" t="s">
        <v>6940</v>
      </c>
      <c r="I421" s="84" t="s">
        <v>36</v>
      </c>
      <c r="J421" s="98" t="s">
        <v>1784</v>
      </c>
      <c r="K421" s="251"/>
      <c r="L421" s="251"/>
      <c r="M421" s="251"/>
      <c r="N421" s="251"/>
      <c r="O421" s="251"/>
      <c r="P421" s="251"/>
      <c r="Q421" s="251"/>
      <c r="R421" s="251"/>
      <c r="S421" s="251"/>
      <c r="T421" s="251"/>
      <c r="U421" s="251"/>
      <c r="V421" s="251"/>
      <c r="W421" s="251"/>
      <c r="X421" s="251"/>
      <c r="Y421" s="251"/>
      <c r="Z421" s="251"/>
      <c r="AA421" s="251"/>
      <c r="AB421" s="251"/>
    </row>
    <row r="422" ht="14.25" customHeight="1">
      <c r="A422" s="251"/>
      <c r="B422" s="263"/>
      <c r="C422" s="242" t="s">
        <v>7486</v>
      </c>
      <c r="D422" s="98" t="s">
        <v>271</v>
      </c>
      <c r="E422" s="240" t="s">
        <v>7424</v>
      </c>
      <c r="F422" s="258" t="s">
        <v>7487</v>
      </c>
      <c r="G422" s="240" t="s">
        <v>7018</v>
      </c>
      <c r="H422" s="240" t="s">
        <v>7019</v>
      </c>
      <c r="I422" s="84" t="s">
        <v>36</v>
      </c>
      <c r="J422" s="98" t="s">
        <v>1784</v>
      </c>
      <c r="K422" s="251"/>
      <c r="L422" s="251"/>
      <c r="M422" s="251"/>
      <c r="N422" s="251"/>
      <c r="O422" s="251"/>
      <c r="P422" s="251"/>
      <c r="Q422" s="251"/>
      <c r="R422" s="251"/>
      <c r="S422" s="251"/>
      <c r="T422" s="251"/>
      <c r="U422" s="251"/>
      <c r="V422" s="251"/>
      <c r="W422" s="251"/>
      <c r="X422" s="251"/>
      <c r="Y422" s="251"/>
      <c r="Z422" s="251"/>
      <c r="AA422" s="251"/>
      <c r="AB422" s="251"/>
    </row>
    <row r="423" ht="14.25" customHeight="1">
      <c r="A423" s="251"/>
      <c r="B423" s="263"/>
      <c r="C423" s="242" t="s">
        <v>7488</v>
      </c>
      <c r="D423" s="98" t="s">
        <v>271</v>
      </c>
      <c r="E423" s="240" t="s">
        <v>7424</v>
      </c>
      <c r="F423" s="258" t="s">
        <v>7487</v>
      </c>
      <c r="G423" s="240" t="s">
        <v>7489</v>
      </c>
      <c r="H423" s="240" t="s">
        <v>7490</v>
      </c>
      <c r="I423" s="84" t="s">
        <v>36</v>
      </c>
      <c r="J423" s="98" t="s">
        <v>1784</v>
      </c>
      <c r="K423" s="251"/>
      <c r="L423" s="251"/>
      <c r="M423" s="251"/>
      <c r="N423" s="251"/>
      <c r="O423" s="251"/>
      <c r="P423" s="251"/>
      <c r="Q423" s="251"/>
      <c r="R423" s="251"/>
      <c r="S423" s="251"/>
      <c r="T423" s="251"/>
      <c r="U423" s="251"/>
      <c r="V423" s="251"/>
      <c r="W423" s="251"/>
      <c r="X423" s="251"/>
      <c r="Y423" s="251"/>
      <c r="Z423" s="251"/>
      <c r="AA423" s="251"/>
      <c r="AB423" s="251"/>
    </row>
    <row r="424" ht="14.25" customHeight="1">
      <c r="A424" s="251"/>
      <c r="B424" s="263"/>
      <c r="C424" s="242" t="s">
        <v>7491</v>
      </c>
      <c r="D424" s="98" t="s">
        <v>271</v>
      </c>
      <c r="E424" s="240" t="s">
        <v>7424</v>
      </c>
      <c r="F424" s="258" t="s">
        <v>7432</v>
      </c>
      <c r="G424" s="240" t="s">
        <v>7492</v>
      </c>
      <c r="H424" s="240" t="s">
        <v>7493</v>
      </c>
      <c r="I424" s="84" t="s">
        <v>36</v>
      </c>
      <c r="J424" s="98" t="s">
        <v>1784</v>
      </c>
      <c r="K424" s="251"/>
      <c r="L424" s="251"/>
      <c r="M424" s="251"/>
      <c r="N424" s="251"/>
      <c r="O424" s="251"/>
      <c r="P424" s="251"/>
      <c r="Q424" s="251"/>
      <c r="R424" s="251"/>
      <c r="S424" s="251"/>
      <c r="T424" s="251"/>
      <c r="U424" s="251"/>
      <c r="V424" s="251"/>
      <c r="W424" s="251"/>
      <c r="X424" s="251"/>
      <c r="Y424" s="251"/>
      <c r="Z424" s="251"/>
      <c r="AA424" s="251"/>
      <c r="AB424" s="251"/>
    </row>
    <row r="425" ht="14.25" customHeight="1">
      <c r="A425" s="251"/>
      <c r="B425" s="263"/>
      <c r="C425" s="242" t="s">
        <v>7494</v>
      </c>
      <c r="D425" s="98" t="s">
        <v>271</v>
      </c>
      <c r="E425" s="240" t="s">
        <v>7495</v>
      </c>
      <c r="F425" s="258" t="s">
        <v>6807</v>
      </c>
      <c r="G425" s="240" t="s">
        <v>7496</v>
      </c>
      <c r="H425" s="240" t="s">
        <v>7497</v>
      </c>
      <c r="I425" s="84" t="s">
        <v>36</v>
      </c>
      <c r="J425" s="252" t="s">
        <v>2062</v>
      </c>
      <c r="K425" s="251"/>
      <c r="L425" s="251"/>
      <c r="M425" s="251"/>
      <c r="N425" s="251"/>
      <c r="O425" s="251"/>
      <c r="P425" s="251"/>
      <c r="Q425" s="251"/>
      <c r="R425" s="251"/>
      <c r="S425" s="251"/>
      <c r="T425" s="251"/>
      <c r="U425" s="251"/>
      <c r="V425" s="251"/>
      <c r="W425" s="251"/>
      <c r="X425" s="251"/>
      <c r="Y425" s="251"/>
      <c r="Z425" s="251"/>
      <c r="AA425" s="251"/>
      <c r="AB425" s="251"/>
    </row>
    <row r="426" ht="14.25" customHeight="1">
      <c r="A426" s="251"/>
      <c r="B426" s="263"/>
      <c r="C426" s="242" t="s">
        <v>7498</v>
      </c>
      <c r="D426" s="98" t="s">
        <v>271</v>
      </c>
      <c r="E426" s="240" t="s">
        <v>7495</v>
      </c>
      <c r="F426" s="258" t="s">
        <v>7499</v>
      </c>
      <c r="G426" s="240" t="s">
        <v>7500</v>
      </c>
      <c r="H426" s="240" t="s">
        <v>7501</v>
      </c>
      <c r="I426" s="84" t="s">
        <v>36</v>
      </c>
      <c r="J426" s="252" t="s">
        <v>2062</v>
      </c>
      <c r="K426" s="251"/>
      <c r="L426" s="251"/>
      <c r="M426" s="251"/>
      <c r="N426" s="251"/>
      <c r="O426" s="251"/>
      <c r="P426" s="251"/>
      <c r="Q426" s="251"/>
      <c r="R426" s="251"/>
      <c r="S426" s="251"/>
      <c r="T426" s="251"/>
      <c r="U426" s="251"/>
      <c r="V426" s="251"/>
      <c r="W426" s="251"/>
      <c r="X426" s="251"/>
      <c r="Y426" s="251"/>
      <c r="Z426" s="251"/>
      <c r="AA426" s="251"/>
      <c r="AB426" s="251"/>
    </row>
    <row r="427" ht="14.25" customHeight="1">
      <c r="A427" s="251"/>
      <c r="B427" s="263"/>
      <c r="C427" s="242" t="s">
        <v>7502</v>
      </c>
      <c r="D427" s="98" t="s">
        <v>271</v>
      </c>
      <c r="E427" s="240" t="s">
        <v>7495</v>
      </c>
      <c r="F427" s="258" t="s">
        <v>7503</v>
      </c>
      <c r="G427" s="240" t="s">
        <v>7504</v>
      </c>
      <c r="H427" s="240" t="s">
        <v>7505</v>
      </c>
      <c r="I427" s="84" t="s">
        <v>36</v>
      </c>
      <c r="J427" s="252" t="s">
        <v>2062</v>
      </c>
      <c r="K427" s="251"/>
      <c r="L427" s="251"/>
      <c r="M427" s="251"/>
      <c r="N427" s="251"/>
      <c r="O427" s="251"/>
      <c r="P427" s="251"/>
      <c r="Q427" s="251"/>
      <c r="R427" s="251"/>
      <c r="S427" s="251"/>
      <c r="T427" s="251"/>
      <c r="U427" s="251"/>
      <c r="V427" s="251"/>
      <c r="W427" s="251"/>
      <c r="X427" s="251"/>
      <c r="Y427" s="251"/>
      <c r="Z427" s="251"/>
      <c r="AA427" s="251"/>
      <c r="AB427" s="251"/>
    </row>
    <row r="428" ht="14.25" customHeight="1">
      <c r="A428" s="251"/>
      <c r="B428" s="263"/>
      <c r="C428" s="242" t="s">
        <v>7506</v>
      </c>
      <c r="D428" s="98" t="s">
        <v>271</v>
      </c>
      <c r="E428" s="240" t="s">
        <v>7495</v>
      </c>
      <c r="F428" s="258" t="s">
        <v>7507</v>
      </c>
      <c r="G428" s="240" t="s">
        <v>7508</v>
      </c>
      <c r="H428" s="240" t="s">
        <v>7509</v>
      </c>
      <c r="I428" s="84" t="s">
        <v>36</v>
      </c>
      <c r="J428" s="252" t="s">
        <v>2062</v>
      </c>
      <c r="K428" s="251"/>
      <c r="L428" s="251"/>
      <c r="M428" s="251"/>
      <c r="N428" s="251"/>
      <c r="O428" s="251"/>
      <c r="P428" s="251"/>
      <c r="Q428" s="251"/>
      <c r="R428" s="251"/>
      <c r="S428" s="251"/>
      <c r="T428" s="251"/>
      <c r="U428" s="251"/>
      <c r="V428" s="251"/>
      <c r="W428" s="251"/>
      <c r="X428" s="251"/>
      <c r="Y428" s="251"/>
      <c r="Z428" s="251"/>
      <c r="AA428" s="251"/>
      <c r="AB428" s="251"/>
    </row>
    <row r="429" ht="14.25" customHeight="1">
      <c r="A429" s="251"/>
      <c r="B429" s="263"/>
      <c r="C429" s="242" t="s">
        <v>7510</v>
      </c>
      <c r="D429" s="98" t="s">
        <v>271</v>
      </c>
      <c r="E429" s="240" t="s">
        <v>7495</v>
      </c>
      <c r="F429" s="258" t="s">
        <v>7511</v>
      </c>
      <c r="G429" s="240" t="s">
        <v>7512</v>
      </c>
      <c r="H429" s="240" t="s">
        <v>7513</v>
      </c>
      <c r="I429" s="84" t="s">
        <v>36</v>
      </c>
      <c r="J429" s="252" t="s">
        <v>2062</v>
      </c>
      <c r="K429" s="251"/>
      <c r="L429" s="251"/>
      <c r="M429" s="251"/>
      <c r="N429" s="251"/>
      <c r="O429" s="251"/>
      <c r="P429" s="251"/>
      <c r="Q429" s="251"/>
      <c r="R429" s="251"/>
      <c r="S429" s="251"/>
      <c r="T429" s="251"/>
      <c r="U429" s="251"/>
      <c r="V429" s="251"/>
      <c r="W429" s="251"/>
      <c r="X429" s="251"/>
      <c r="Y429" s="251"/>
      <c r="Z429" s="251"/>
      <c r="AA429" s="251"/>
      <c r="AB429" s="251"/>
    </row>
    <row r="430" ht="14.25" customHeight="1">
      <c r="A430" s="251"/>
      <c r="B430" s="263"/>
      <c r="C430" s="242" t="s">
        <v>7514</v>
      </c>
      <c r="D430" s="98" t="s">
        <v>271</v>
      </c>
      <c r="E430" s="240" t="s">
        <v>7495</v>
      </c>
      <c r="F430" s="258" t="s">
        <v>7515</v>
      </c>
      <c r="G430" s="240" t="s">
        <v>7516</v>
      </c>
      <c r="H430" s="240" t="s">
        <v>7517</v>
      </c>
      <c r="I430" s="84" t="s">
        <v>36</v>
      </c>
      <c r="J430" s="252" t="s">
        <v>2062</v>
      </c>
      <c r="K430" s="251"/>
      <c r="L430" s="251"/>
      <c r="M430" s="251"/>
      <c r="N430" s="251"/>
      <c r="O430" s="251"/>
      <c r="P430" s="251"/>
      <c r="Q430" s="251"/>
      <c r="R430" s="251"/>
      <c r="S430" s="251"/>
      <c r="T430" s="251"/>
      <c r="U430" s="251"/>
      <c r="V430" s="251"/>
      <c r="W430" s="251"/>
      <c r="X430" s="251"/>
      <c r="Y430" s="251"/>
      <c r="Z430" s="251"/>
      <c r="AA430" s="251"/>
      <c r="AB430" s="251"/>
    </row>
    <row r="431" ht="14.25" customHeight="1">
      <c r="A431" s="251"/>
      <c r="B431" s="263"/>
      <c r="C431" s="242" t="s">
        <v>7518</v>
      </c>
      <c r="D431" s="98" t="s">
        <v>271</v>
      </c>
      <c r="E431" s="240" t="s">
        <v>7495</v>
      </c>
      <c r="F431" s="258" t="s">
        <v>7515</v>
      </c>
      <c r="G431" s="240" t="s">
        <v>6836</v>
      </c>
      <c r="H431" s="240" t="s">
        <v>7519</v>
      </c>
      <c r="I431" s="84" t="s">
        <v>36</v>
      </c>
      <c r="J431" s="252" t="s">
        <v>2062</v>
      </c>
      <c r="K431" s="251"/>
      <c r="L431" s="251"/>
      <c r="M431" s="251"/>
      <c r="N431" s="251"/>
      <c r="O431" s="251"/>
      <c r="P431" s="251"/>
      <c r="Q431" s="251"/>
      <c r="R431" s="251"/>
      <c r="S431" s="251"/>
      <c r="T431" s="251"/>
      <c r="U431" s="251"/>
      <c r="V431" s="251"/>
      <c r="W431" s="251"/>
      <c r="X431" s="251"/>
      <c r="Y431" s="251"/>
      <c r="Z431" s="251"/>
      <c r="AA431" s="251"/>
      <c r="AB431" s="251"/>
    </row>
    <row r="432" ht="14.25" customHeight="1">
      <c r="A432" s="251"/>
      <c r="B432" s="263"/>
      <c r="C432" s="242" t="s">
        <v>7520</v>
      </c>
      <c r="D432" s="98" t="s">
        <v>271</v>
      </c>
      <c r="E432" s="240" t="s">
        <v>7495</v>
      </c>
      <c r="F432" s="258" t="s">
        <v>7515</v>
      </c>
      <c r="G432" s="240" t="s">
        <v>6839</v>
      </c>
      <c r="H432" s="240" t="s">
        <v>6840</v>
      </c>
      <c r="I432" s="84" t="s">
        <v>36</v>
      </c>
      <c r="J432" s="252" t="s">
        <v>2062</v>
      </c>
      <c r="K432" s="251"/>
      <c r="L432" s="251"/>
      <c r="M432" s="251"/>
      <c r="N432" s="251"/>
      <c r="O432" s="251"/>
      <c r="P432" s="251"/>
      <c r="Q432" s="251"/>
      <c r="R432" s="251"/>
      <c r="S432" s="251"/>
      <c r="T432" s="251"/>
      <c r="U432" s="251"/>
      <c r="V432" s="251"/>
      <c r="W432" s="251"/>
      <c r="X432" s="251"/>
      <c r="Y432" s="251"/>
      <c r="Z432" s="251"/>
      <c r="AA432" s="251"/>
      <c r="AB432" s="251"/>
    </row>
    <row r="433" ht="14.25" customHeight="1">
      <c r="A433" s="251"/>
      <c r="B433" s="263"/>
      <c r="C433" s="242" t="s">
        <v>7521</v>
      </c>
      <c r="D433" s="98" t="s">
        <v>271</v>
      </c>
      <c r="E433" s="240" t="s">
        <v>7495</v>
      </c>
      <c r="F433" s="258" t="s">
        <v>7515</v>
      </c>
      <c r="G433" s="240" t="s">
        <v>6846</v>
      </c>
      <c r="H433" s="240" t="s">
        <v>6847</v>
      </c>
      <c r="I433" s="84" t="s">
        <v>36</v>
      </c>
      <c r="J433" s="252" t="s">
        <v>2062</v>
      </c>
      <c r="K433" s="251"/>
      <c r="L433" s="251"/>
      <c r="M433" s="251"/>
      <c r="N433" s="251"/>
      <c r="O433" s="251"/>
      <c r="P433" s="251"/>
      <c r="Q433" s="251"/>
      <c r="R433" s="251"/>
      <c r="S433" s="251"/>
      <c r="T433" s="251"/>
      <c r="U433" s="251"/>
      <c r="V433" s="251"/>
      <c r="W433" s="251"/>
      <c r="X433" s="251"/>
      <c r="Y433" s="251"/>
      <c r="Z433" s="251"/>
      <c r="AA433" s="251"/>
      <c r="AB433" s="251"/>
    </row>
    <row r="434" ht="14.25" customHeight="1">
      <c r="A434" s="251"/>
      <c r="B434" s="263"/>
      <c r="C434" s="242" t="s">
        <v>7522</v>
      </c>
      <c r="D434" s="98" t="s">
        <v>271</v>
      </c>
      <c r="E434" s="240" t="s">
        <v>7495</v>
      </c>
      <c r="F434" s="258" t="s">
        <v>7523</v>
      </c>
      <c r="G434" s="240" t="s">
        <v>7524</v>
      </c>
      <c r="H434" s="240" t="s">
        <v>7525</v>
      </c>
      <c r="I434" s="84" t="s">
        <v>36</v>
      </c>
      <c r="J434" s="252" t="s">
        <v>2062</v>
      </c>
      <c r="K434" s="251"/>
      <c r="L434" s="251"/>
      <c r="M434" s="251"/>
      <c r="N434" s="251"/>
      <c r="O434" s="251"/>
      <c r="P434" s="251"/>
      <c r="Q434" s="251"/>
      <c r="R434" s="251"/>
      <c r="S434" s="251"/>
      <c r="T434" s="251"/>
      <c r="U434" s="251"/>
      <c r="V434" s="251"/>
      <c r="W434" s="251"/>
      <c r="X434" s="251"/>
      <c r="Y434" s="251"/>
      <c r="Z434" s="251"/>
      <c r="AA434" s="251"/>
      <c r="AB434" s="251"/>
    </row>
    <row r="435" ht="14.25" customHeight="1">
      <c r="A435" s="251"/>
      <c r="B435" s="263"/>
      <c r="C435" s="242" t="s">
        <v>7526</v>
      </c>
      <c r="D435" s="98" t="s">
        <v>271</v>
      </c>
      <c r="E435" s="240" t="s">
        <v>7495</v>
      </c>
      <c r="F435" s="258" t="s">
        <v>7523</v>
      </c>
      <c r="G435" s="240" t="s">
        <v>6853</v>
      </c>
      <c r="H435" s="240" t="s">
        <v>7527</v>
      </c>
      <c r="I435" s="84" t="s">
        <v>36</v>
      </c>
      <c r="J435" s="252" t="s">
        <v>2062</v>
      </c>
      <c r="K435" s="251"/>
      <c r="L435" s="251"/>
      <c r="M435" s="251"/>
      <c r="N435" s="251"/>
      <c r="O435" s="251"/>
      <c r="P435" s="251"/>
      <c r="Q435" s="251"/>
      <c r="R435" s="251"/>
      <c r="S435" s="251"/>
      <c r="T435" s="251"/>
      <c r="U435" s="251"/>
      <c r="V435" s="251"/>
      <c r="W435" s="251"/>
      <c r="X435" s="251"/>
      <c r="Y435" s="251"/>
      <c r="Z435" s="251"/>
      <c r="AA435" s="251"/>
      <c r="AB435" s="251"/>
    </row>
    <row r="436" ht="14.25" customHeight="1">
      <c r="A436" s="251"/>
      <c r="B436" s="263"/>
      <c r="C436" s="242" t="s">
        <v>7528</v>
      </c>
      <c r="D436" s="98" t="s">
        <v>271</v>
      </c>
      <c r="E436" s="240" t="s">
        <v>7495</v>
      </c>
      <c r="F436" s="258" t="s">
        <v>7529</v>
      </c>
      <c r="G436" s="240" t="s">
        <v>7302</v>
      </c>
      <c r="H436" s="240" t="s">
        <v>7530</v>
      </c>
      <c r="I436" s="84" t="s">
        <v>36</v>
      </c>
      <c r="J436" s="252" t="s">
        <v>2062</v>
      </c>
      <c r="K436" s="251"/>
      <c r="L436" s="251"/>
      <c r="M436" s="251"/>
      <c r="N436" s="251"/>
      <c r="O436" s="251"/>
      <c r="P436" s="251"/>
      <c r="Q436" s="251"/>
      <c r="R436" s="251"/>
      <c r="S436" s="251"/>
      <c r="T436" s="251"/>
      <c r="U436" s="251"/>
      <c r="V436" s="251"/>
      <c r="W436" s="251"/>
      <c r="X436" s="251"/>
      <c r="Y436" s="251"/>
      <c r="Z436" s="251"/>
      <c r="AA436" s="251"/>
      <c r="AB436" s="251"/>
    </row>
    <row r="437" ht="14.25" customHeight="1">
      <c r="A437" s="251"/>
      <c r="B437" s="263"/>
      <c r="C437" s="242" t="s">
        <v>7531</v>
      </c>
      <c r="D437" s="98" t="s">
        <v>271</v>
      </c>
      <c r="E437" s="240" t="s">
        <v>7495</v>
      </c>
      <c r="F437" s="258" t="s">
        <v>7532</v>
      </c>
      <c r="G437" s="240" t="s">
        <v>7533</v>
      </c>
      <c r="H437" s="240" t="s">
        <v>7534</v>
      </c>
      <c r="I437" s="84" t="s">
        <v>36</v>
      </c>
      <c r="J437" s="252" t="s">
        <v>2062</v>
      </c>
      <c r="K437" s="251"/>
      <c r="L437" s="251"/>
      <c r="M437" s="251"/>
      <c r="N437" s="251"/>
      <c r="O437" s="251"/>
      <c r="P437" s="251"/>
      <c r="Q437" s="251"/>
      <c r="R437" s="251"/>
      <c r="S437" s="251"/>
      <c r="T437" s="251"/>
      <c r="U437" s="251"/>
      <c r="V437" s="251"/>
      <c r="W437" s="251"/>
      <c r="X437" s="251"/>
      <c r="Y437" s="251"/>
      <c r="Z437" s="251"/>
      <c r="AA437" s="251"/>
      <c r="AB437" s="251"/>
    </row>
    <row r="438" ht="14.25" customHeight="1">
      <c r="A438" s="251"/>
      <c r="B438" s="263"/>
      <c r="C438" s="242" t="s">
        <v>7535</v>
      </c>
      <c r="D438" s="98" t="s">
        <v>271</v>
      </c>
      <c r="E438" s="240" t="s">
        <v>7495</v>
      </c>
      <c r="F438" s="258" t="s">
        <v>7532</v>
      </c>
      <c r="G438" s="240" t="s">
        <v>7536</v>
      </c>
      <c r="H438" s="240" t="s">
        <v>7537</v>
      </c>
      <c r="I438" s="84" t="s">
        <v>36</v>
      </c>
      <c r="J438" s="252" t="s">
        <v>2062</v>
      </c>
      <c r="K438" s="251"/>
      <c r="L438" s="251"/>
      <c r="M438" s="251"/>
      <c r="N438" s="251"/>
      <c r="O438" s="251"/>
      <c r="P438" s="251"/>
      <c r="Q438" s="251"/>
      <c r="R438" s="251"/>
      <c r="S438" s="251"/>
      <c r="T438" s="251"/>
      <c r="U438" s="251"/>
      <c r="V438" s="251"/>
      <c r="W438" s="251"/>
      <c r="X438" s="251"/>
      <c r="Y438" s="251"/>
      <c r="Z438" s="251"/>
      <c r="AA438" s="251"/>
      <c r="AB438" s="251"/>
    </row>
    <row r="439" ht="14.25" customHeight="1">
      <c r="A439" s="251"/>
      <c r="B439" s="263"/>
      <c r="C439" s="242" t="s">
        <v>7538</v>
      </c>
      <c r="D439" s="98" t="s">
        <v>271</v>
      </c>
      <c r="E439" s="240" t="s">
        <v>7495</v>
      </c>
      <c r="F439" s="258" t="s">
        <v>7539</v>
      </c>
      <c r="G439" s="240" t="s">
        <v>7540</v>
      </c>
      <c r="H439" s="240" t="s">
        <v>6995</v>
      </c>
      <c r="I439" s="84" t="s">
        <v>36</v>
      </c>
      <c r="J439" s="252" t="s">
        <v>2062</v>
      </c>
      <c r="K439" s="251"/>
      <c r="L439" s="251"/>
      <c r="M439" s="251"/>
      <c r="N439" s="251"/>
      <c r="O439" s="251"/>
      <c r="P439" s="251"/>
      <c r="Q439" s="251"/>
      <c r="R439" s="251"/>
      <c r="S439" s="251"/>
      <c r="T439" s="251"/>
      <c r="U439" s="251"/>
      <c r="V439" s="251"/>
      <c r="W439" s="251"/>
      <c r="X439" s="251"/>
      <c r="Y439" s="251"/>
      <c r="Z439" s="251"/>
      <c r="AA439" s="251"/>
      <c r="AB439" s="251"/>
    </row>
    <row r="440" ht="14.25" customHeight="1">
      <c r="A440" s="251"/>
      <c r="B440" s="263"/>
      <c r="C440" s="242" t="s">
        <v>7541</v>
      </c>
      <c r="D440" s="98" t="s">
        <v>271</v>
      </c>
      <c r="E440" s="240" t="s">
        <v>7495</v>
      </c>
      <c r="F440" s="258" t="s">
        <v>7539</v>
      </c>
      <c r="G440" s="240" t="s">
        <v>6888</v>
      </c>
      <c r="H440" s="240" t="s">
        <v>6889</v>
      </c>
      <c r="I440" s="84" t="s">
        <v>36</v>
      </c>
      <c r="J440" s="252" t="s">
        <v>2062</v>
      </c>
      <c r="K440" s="251"/>
      <c r="L440" s="251"/>
      <c r="M440" s="251"/>
      <c r="N440" s="251"/>
      <c r="O440" s="251"/>
      <c r="P440" s="251"/>
      <c r="Q440" s="251"/>
      <c r="R440" s="251"/>
      <c r="S440" s="251"/>
      <c r="T440" s="251"/>
      <c r="U440" s="251"/>
      <c r="V440" s="251"/>
      <c r="W440" s="251"/>
      <c r="X440" s="251"/>
      <c r="Y440" s="251"/>
      <c r="Z440" s="251"/>
      <c r="AA440" s="251"/>
      <c r="AB440" s="251"/>
    </row>
    <row r="441" ht="14.25" customHeight="1">
      <c r="A441" s="251"/>
      <c r="B441" s="263"/>
      <c r="C441" s="242" t="s">
        <v>7542</v>
      </c>
      <c r="D441" s="98" t="s">
        <v>271</v>
      </c>
      <c r="E441" s="240" t="s">
        <v>7495</v>
      </c>
      <c r="F441" s="258" t="s">
        <v>7539</v>
      </c>
      <c r="G441" s="240" t="s">
        <v>6891</v>
      </c>
      <c r="H441" s="240" t="s">
        <v>6998</v>
      </c>
      <c r="I441" s="84" t="s">
        <v>36</v>
      </c>
      <c r="J441" s="252" t="s">
        <v>2062</v>
      </c>
      <c r="K441" s="251"/>
      <c r="L441" s="251"/>
      <c r="M441" s="251"/>
      <c r="N441" s="251"/>
      <c r="O441" s="251"/>
      <c r="P441" s="251"/>
      <c r="Q441" s="251"/>
      <c r="R441" s="251"/>
      <c r="S441" s="251"/>
      <c r="T441" s="251"/>
      <c r="U441" s="251"/>
      <c r="V441" s="251"/>
      <c r="W441" s="251"/>
      <c r="X441" s="251"/>
      <c r="Y441" s="251"/>
      <c r="Z441" s="251"/>
      <c r="AA441" s="251"/>
      <c r="AB441" s="251"/>
    </row>
    <row r="442" ht="14.25" customHeight="1">
      <c r="A442" s="251"/>
      <c r="B442" s="263"/>
      <c r="C442" s="242" t="s">
        <v>7543</v>
      </c>
      <c r="D442" s="98" t="s">
        <v>271</v>
      </c>
      <c r="E442" s="240" t="s">
        <v>7495</v>
      </c>
      <c r="F442" s="258" t="s">
        <v>7539</v>
      </c>
      <c r="G442" s="240" t="s">
        <v>6894</v>
      </c>
      <c r="H442" s="240" t="s">
        <v>7544</v>
      </c>
      <c r="I442" s="84" t="s">
        <v>36</v>
      </c>
      <c r="J442" s="252" t="s">
        <v>2062</v>
      </c>
      <c r="K442" s="251"/>
      <c r="L442" s="251"/>
      <c r="M442" s="251"/>
      <c r="N442" s="251"/>
      <c r="O442" s="251"/>
      <c r="P442" s="251"/>
      <c r="Q442" s="251"/>
      <c r="R442" s="251"/>
      <c r="S442" s="251"/>
      <c r="T442" s="251"/>
      <c r="U442" s="251"/>
      <c r="V442" s="251"/>
      <c r="W442" s="251"/>
      <c r="X442" s="251"/>
      <c r="Y442" s="251"/>
      <c r="Z442" s="251"/>
      <c r="AA442" s="251"/>
      <c r="AB442" s="251"/>
    </row>
    <row r="443" ht="14.25" customHeight="1">
      <c r="A443" s="251"/>
      <c r="B443" s="263"/>
      <c r="C443" s="242" t="s">
        <v>7545</v>
      </c>
      <c r="D443" s="98" t="s">
        <v>271</v>
      </c>
      <c r="E443" s="240" t="s">
        <v>7495</v>
      </c>
      <c r="F443" s="258" t="s">
        <v>7539</v>
      </c>
      <c r="G443" s="240" t="s">
        <v>6897</v>
      </c>
      <c r="H443" s="240" t="s">
        <v>6898</v>
      </c>
      <c r="I443" s="84" t="s">
        <v>36</v>
      </c>
      <c r="J443" s="252" t="s">
        <v>2062</v>
      </c>
      <c r="K443" s="251"/>
      <c r="L443" s="251"/>
      <c r="M443" s="251"/>
      <c r="N443" s="251"/>
      <c r="O443" s="251"/>
      <c r="P443" s="251"/>
      <c r="Q443" s="251"/>
      <c r="R443" s="251"/>
      <c r="S443" s="251"/>
      <c r="T443" s="251"/>
      <c r="U443" s="251"/>
      <c r="V443" s="251"/>
      <c r="W443" s="251"/>
      <c r="X443" s="251"/>
      <c r="Y443" s="251"/>
      <c r="Z443" s="251"/>
      <c r="AA443" s="251"/>
      <c r="AB443" s="251"/>
    </row>
    <row r="444" ht="14.25" customHeight="1">
      <c r="A444" s="251"/>
      <c r="B444" s="263"/>
      <c r="C444" s="242" t="s">
        <v>7546</v>
      </c>
      <c r="D444" s="98" t="s">
        <v>271</v>
      </c>
      <c r="E444" s="240" t="s">
        <v>7495</v>
      </c>
      <c r="F444" s="258" t="s">
        <v>7547</v>
      </c>
      <c r="G444" s="240" t="s">
        <v>7548</v>
      </c>
      <c r="H444" s="240" t="s">
        <v>6921</v>
      </c>
      <c r="I444" s="84" t="s">
        <v>36</v>
      </c>
      <c r="J444" s="252" t="s">
        <v>2062</v>
      </c>
      <c r="K444" s="251"/>
      <c r="L444" s="251"/>
      <c r="M444" s="251"/>
      <c r="N444" s="251"/>
      <c r="O444" s="251"/>
      <c r="P444" s="251"/>
      <c r="Q444" s="251"/>
      <c r="R444" s="251"/>
      <c r="S444" s="251"/>
      <c r="T444" s="251"/>
      <c r="U444" s="251"/>
      <c r="V444" s="251"/>
      <c r="W444" s="251"/>
      <c r="X444" s="251"/>
      <c r="Y444" s="251"/>
      <c r="Z444" s="251"/>
      <c r="AA444" s="251"/>
      <c r="AB444" s="251"/>
    </row>
    <row r="445" ht="14.25" customHeight="1">
      <c r="A445" s="251"/>
      <c r="B445" s="263"/>
      <c r="C445" s="242" t="s">
        <v>7549</v>
      </c>
      <c r="D445" s="98" t="s">
        <v>271</v>
      </c>
      <c r="E445" s="240" t="s">
        <v>7495</v>
      </c>
      <c r="F445" s="258" t="s">
        <v>7550</v>
      </c>
      <c r="G445" s="240" t="s">
        <v>6924</v>
      </c>
      <c r="H445" s="240" t="s">
        <v>6925</v>
      </c>
      <c r="I445" s="84" t="s">
        <v>36</v>
      </c>
      <c r="J445" s="252" t="s">
        <v>2062</v>
      </c>
      <c r="K445" s="251"/>
      <c r="L445" s="251"/>
      <c r="M445" s="251"/>
      <c r="N445" s="251"/>
      <c r="O445" s="251"/>
      <c r="P445" s="251"/>
      <c r="Q445" s="251"/>
      <c r="R445" s="251"/>
      <c r="S445" s="251"/>
      <c r="T445" s="251"/>
      <c r="U445" s="251"/>
      <c r="V445" s="251"/>
      <c r="W445" s="251"/>
      <c r="X445" s="251"/>
      <c r="Y445" s="251"/>
      <c r="Z445" s="251"/>
      <c r="AA445" s="251"/>
      <c r="AB445" s="251"/>
    </row>
    <row r="446" ht="14.25" customHeight="1">
      <c r="A446" s="251"/>
      <c r="B446" s="263"/>
      <c r="C446" s="242" t="s">
        <v>7551</v>
      </c>
      <c r="D446" s="98" t="s">
        <v>271</v>
      </c>
      <c r="E446" s="240" t="s">
        <v>7495</v>
      </c>
      <c r="F446" s="258" t="s">
        <v>7547</v>
      </c>
      <c r="G446" s="240" t="s">
        <v>6927</v>
      </c>
      <c r="H446" s="240" t="s">
        <v>6928</v>
      </c>
      <c r="I446" s="84" t="s">
        <v>36</v>
      </c>
      <c r="J446" s="252" t="s">
        <v>2062</v>
      </c>
      <c r="K446" s="251"/>
      <c r="L446" s="251"/>
      <c r="M446" s="251"/>
      <c r="N446" s="251"/>
      <c r="O446" s="251"/>
      <c r="P446" s="251"/>
      <c r="Q446" s="251"/>
      <c r="R446" s="251"/>
      <c r="S446" s="251"/>
      <c r="T446" s="251"/>
      <c r="U446" s="251"/>
      <c r="V446" s="251"/>
      <c r="W446" s="251"/>
      <c r="X446" s="251"/>
      <c r="Y446" s="251"/>
      <c r="Z446" s="251"/>
      <c r="AA446" s="251"/>
      <c r="AB446" s="251"/>
    </row>
    <row r="447" ht="14.25" customHeight="1">
      <c r="A447" s="251"/>
      <c r="B447" s="263"/>
      <c r="C447" s="242" t="s">
        <v>7552</v>
      </c>
      <c r="D447" s="98" t="s">
        <v>271</v>
      </c>
      <c r="E447" s="240" t="s">
        <v>7495</v>
      </c>
      <c r="F447" s="258" t="s">
        <v>7547</v>
      </c>
      <c r="G447" s="240" t="s">
        <v>6930</v>
      </c>
      <c r="H447" s="240" t="s">
        <v>6931</v>
      </c>
      <c r="I447" s="84" t="s">
        <v>36</v>
      </c>
      <c r="J447" s="252" t="s">
        <v>2062</v>
      </c>
      <c r="K447" s="251"/>
      <c r="L447" s="251"/>
      <c r="M447" s="251"/>
      <c r="N447" s="251"/>
      <c r="O447" s="251"/>
      <c r="P447" s="251"/>
      <c r="Q447" s="251"/>
      <c r="R447" s="251"/>
      <c r="S447" s="251"/>
      <c r="T447" s="251"/>
      <c r="U447" s="251"/>
      <c r="V447" s="251"/>
      <c r="W447" s="251"/>
      <c r="X447" s="251"/>
      <c r="Y447" s="251"/>
      <c r="Z447" s="251"/>
      <c r="AA447" s="251"/>
      <c r="AB447" s="251"/>
    </row>
    <row r="448" ht="14.25" customHeight="1">
      <c r="A448" s="251"/>
      <c r="B448" s="263"/>
      <c r="C448" s="242" t="s">
        <v>7553</v>
      </c>
      <c r="D448" s="98" t="s">
        <v>271</v>
      </c>
      <c r="E448" s="240" t="s">
        <v>7495</v>
      </c>
      <c r="F448" s="258" t="s">
        <v>7547</v>
      </c>
      <c r="G448" s="240" t="s">
        <v>6933</v>
      </c>
      <c r="H448" s="240" t="s">
        <v>6934</v>
      </c>
      <c r="I448" s="84" t="s">
        <v>36</v>
      </c>
      <c r="J448" s="252" t="s">
        <v>2062</v>
      </c>
      <c r="K448" s="251"/>
      <c r="L448" s="251"/>
      <c r="M448" s="251"/>
      <c r="N448" s="251"/>
      <c r="O448" s="251"/>
      <c r="P448" s="251"/>
      <c r="Q448" s="251"/>
      <c r="R448" s="251"/>
      <c r="S448" s="251"/>
      <c r="T448" s="251"/>
      <c r="U448" s="251"/>
      <c r="V448" s="251"/>
      <c r="W448" s="251"/>
      <c r="X448" s="251"/>
      <c r="Y448" s="251"/>
      <c r="Z448" s="251"/>
      <c r="AA448" s="251"/>
      <c r="AB448" s="251"/>
    </row>
    <row r="449" ht="14.25" customHeight="1">
      <c r="A449" s="251"/>
      <c r="B449" s="263"/>
      <c r="C449" s="242" t="s">
        <v>7554</v>
      </c>
      <c r="D449" s="98" t="s">
        <v>271</v>
      </c>
      <c r="E449" s="240" t="s">
        <v>7495</v>
      </c>
      <c r="F449" s="258" t="s">
        <v>7550</v>
      </c>
      <c r="G449" s="240" t="s">
        <v>7555</v>
      </c>
      <c r="H449" s="240" t="s">
        <v>7556</v>
      </c>
      <c r="I449" s="84" t="s">
        <v>36</v>
      </c>
      <c r="J449" s="252" t="s">
        <v>2062</v>
      </c>
      <c r="K449" s="251"/>
      <c r="L449" s="251"/>
      <c r="M449" s="251"/>
      <c r="N449" s="251"/>
      <c r="O449" s="251"/>
      <c r="P449" s="251"/>
      <c r="Q449" s="251"/>
      <c r="R449" s="251"/>
      <c r="S449" s="251"/>
      <c r="T449" s="251"/>
      <c r="U449" s="251"/>
      <c r="V449" s="251"/>
      <c r="W449" s="251"/>
      <c r="X449" s="251"/>
      <c r="Y449" s="251"/>
      <c r="Z449" s="251"/>
      <c r="AA449" s="251"/>
      <c r="AB449" s="251"/>
    </row>
    <row r="450" ht="14.25" customHeight="1">
      <c r="A450" s="251"/>
      <c r="B450" s="263"/>
      <c r="C450" s="242" t="s">
        <v>7557</v>
      </c>
      <c r="D450" s="98" t="s">
        <v>271</v>
      </c>
      <c r="E450" s="240" t="s">
        <v>7495</v>
      </c>
      <c r="F450" s="258" t="s">
        <v>7550</v>
      </c>
      <c r="G450" s="240" t="s">
        <v>6939</v>
      </c>
      <c r="H450" s="240" t="s">
        <v>6940</v>
      </c>
      <c r="I450" s="84" t="s">
        <v>36</v>
      </c>
      <c r="J450" s="252" t="s">
        <v>2062</v>
      </c>
      <c r="K450" s="251"/>
      <c r="L450" s="251"/>
      <c r="M450" s="251"/>
      <c r="N450" s="251"/>
      <c r="O450" s="251"/>
      <c r="P450" s="251"/>
      <c r="Q450" s="251"/>
      <c r="R450" s="251"/>
      <c r="S450" s="251"/>
      <c r="T450" s="251"/>
      <c r="U450" s="251"/>
      <c r="V450" s="251"/>
      <c r="W450" s="251"/>
      <c r="X450" s="251"/>
      <c r="Y450" s="251"/>
      <c r="Z450" s="251"/>
      <c r="AA450" s="251"/>
      <c r="AB450" s="251"/>
    </row>
    <row r="451" ht="14.25" customHeight="1">
      <c r="A451" s="251"/>
      <c r="B451" s="263"/>
      <c r="C451" s="242" t="s">
        <v>7558</v>
      </c>
      <c r="D451" s="98" t="s">
        <v>271</v>
      </c>
      <c r="E451" s="240" t="s">
        <v>7495</v>
      </c>
      <c r="F451" s="258" t="s">
        <v>7559</v>
      </c>
      <c r="G451" s="240" t="s">
        <v>7018</v>
      </c>
      <c r="H451" s="240" t="s">
        <v>7019</v>
      </c>
      <c r="I451" s="84" t="s">
        <v>36</v>
      </c>
      <c r="J451" s="252" t="s">
        <v>2062</v>
      </c>
      <c r="K451" s="251"/>
      <c r="L451" s="251"/>
      <c r="M451" s="251"/>
      <c r="N451" s="251"/>
      <c r="O451" s="251"/>
      <c r="P451" s="251"/>
      <c r="Q451" s="251"/>
      <c r="R451" s="251"/>
      <c r="S451" s="251"/>
      <c r="T451" s="251"/>
      <c r="U451" s="251"/>
      <c r="V451" s="251"/>
      <c r="W451" s="251"/>
      <c r="X451" s="251"/>
      <c r="Y451" s="251"/>
      <c r="Z451" s="251"/>
      <c r="AA451" s="251"/>
      <c r="AB451" s="251"/>
    </row>
    <row r="452" ht="14.25" customHeight="1">
      <c r="A452" s="251"/>
      <c r="B452" s="263"/>
      <c r="C452" s="242" t="s">
        <v>7560</v>
      </c>
      <c r="D452" s="98" t="s">
        <v>271</v>
      </c>
      <c r="E452" s="240" t="s">
        <v>7495</v>
      </c>
      <c r="F452" s="258" t="s">
        <v>7559</v>
      </c>
      <c r="G452" s="240" t="s">
        <v>7489</v>
      </c>
      <c r="H452" s="240" t="s">
        <v>7561</v>
      </c>
      <c r="I452" s="84" t="s">
        <v>36</v>
      </c>
      <c r="J452" s="252" t="s">
        <v>2062</v>
      </c>
      <c r="K452" s="251"/>
      <c r="L452" s="251"/>
      <c r="M452" s="251"/>
      <c r="N452" s="251"/>
      <c r="O452" s="251"/>
      <c r="P452" s="251"/>
      <c r="Q452" s="251"/>
      <c r="R452" s="251"/>
      <c r="S452" s="251"/>
      <c r="T452" s="251"/>
      <c r="U452" s="251"/>
      <c r="V452" s="251"/>
      <c r="W452" s="251"/>
      <c r="X452" s="251"/>
      <c r="Y452" s="251"/>
      <c r="Z452" s="251"/>
      <c r="AA452" s="251"/>
      <c r="AB452" s="251"/>
    </row>
    <row r="453" ht="14.25" customHeight="1">
      <c r="A453" s="251"/>
      <c r="B453" s="263"/>
      <c r="C453" s="242" t="s">
        <v>7562</v>
      </c>
      <c r="D453" s="98" t="s">
        <v>271</v>
      </c>
      <c r="E453" s="240" t="s">
        <v>7495</v>
      </c>
      <c r="F453" s="258" t="s">
        <v>7563</v>
      </c>
      <c r="G453" s="240" t="s">
        <v>7564</v>
      </c>
      <c r="H453" s="240" t="s">
        <v>7565</v>
      </c>
      <c r="I453" s="84" t="s">
        <v>36</v>
      </c>
      <c r="J453" s="252" t="s">
        <v>2062</v>
      </c>
      <c r="K453" s="251"/>
      <c r="L453" s="251"/>
      <c r="M453" s="251"/>
      <c r="N453" s="251"/>
      <c r="O453" s="251"/>
      <c r="P453" s="251"/>
      <c r="Q453" s="251"/>
      <c r="R453" s="251"/>
      <c r="S453" s="251"/>
      <c r="T453" s="251"/>
      <c r="U453" s="251"/>
      <c r="V453" s="251"/>
      <c r="W453" s="251"/>
      <c r="X453" s="251"/>
      <c r="Y453" s="251"/>
      <c r="Z453" s="251"/>
      <c r="AA453" s="251"/>
      <c r="AB453" s="251"/>
    </row>
    <row r="454" ht="14.25" customHeight="1">
      <c r="A454" s="251"/>
      <c r="B454" s="263"/>
      <c r="C454" s="242" t="s">
        <v>7566</v>
      </c>
      <c r="D454" s="98" t="s">
        <v>271</v>
      </c>
      <c r="E454" s="240" t="s">
        <v>7495</v>
      </c>
      <c r="F454" s="258" t="s">
        <v>7567</v>
      </c>
      <c r="G454" s="240" t="s">
        <v>7568</v>
      </c>
      <c r="H454" s="240" t="s">
        <v>7415</v>
      </c>
      <c r="I454" s="84" t="s">
        <v>36</v>
      </c>
      <c r="J454" s="252" t="s">
        <v>2062</v>
      </c>
      <c r="K454" s="251"/>
      <c r="L454" s="251"/>
      <c r="M454" s="251"/>
      <c r="N454" s="251"/>
      <c r="O454" s="251"/>
      <c r="P454" s="251"/>
      <c r="Q454" s="251"/>
      <c r="R454" s="251"/>
      <c r="S454" s="251"/>
      <c r="T454" s="251"/>
      <c r="U454" s="251"/>
      <c r="V454" s="251"/>
      <c r="W454" s="251"/>
      <c r="X454" s="251"/>
      <c r="Y454" s="251"/>
      <c r="Z454" s="251"/>
      <c r="AA454" s="251"/>
      <c r="AB454" s="251"/>
    </row>
    <row r="455" ht="14.25" customHeight="1">
      <c r="A455" s="251"/>
      <c r="B455" s="263"/>
      <c r="C455" s="242" t="s">
        <v>7569</v>
      </c>
      <c r="D455" s="98" t="s">
        <v>271</v>
      </c>
      <c r="E455" s="240" t="s">
        <v>7495</v>
      </c>
      <c r="F455" s="258" t="s">
        <v>7567</v>
      </c>
      <c r="G455" s="240" t="s">
        <v>7570</v>
      </c>
      <c r="H455" s="240" t="s">
        <v>7571</v>
      </c>
      <c r="I455" s="84" t="s">
        <v>36</v>
      </c>
      <c r="J455" s="252" t="s">
        <v>2062</v>
      </c>
      <c r="K455" s="251"/>
      <c r="L455" s="251"/>
      <c r="M455" s="251"/>
      <c r="N455" s="251"/>
      <c r="O455" s="251"/>
      <c r="P455" s="251"/>
      <c r="Q455" s="251"/>
      <c r="R455" s="251"/>
      <c r="S455" s="251"/>
      <c r="T455" s="251"/>
      <c r="U455" s="251"/>
      <c r="V455" s="251"/>
      <c r="W455" s="251"/>
      <c r="X455" s="251"/>
      <c r="Y455" s="251"/>
      <c r="Z455" s="251"/>
      <c r="AA455" s="251"/>
      <c r="AB455" s="251"/>
    </row>
    <row r="456" ht="14.25" customHeight="1">
      <c r="A456" s="251"/>
      <c r="B456" s="263"/>
      <c r="C456" s="242" t="s">
        <v>7572</v>
      </c>
      <c r="D456" s="98" t="s">
        <v>271</v>
      </c>
      <c r="E456" s="240" t="s">
        <v>7495</v>
      </c>
      <c r="F456" s="258" t="s">
        <v>7573</v>
      </c>
      <c r="G456" s="240" t="s">
        <v>7574</v>
      </c>
      <c r="H456" s="240" t="s">
        <v>7575</v>
      </c>
      <c r="I456" s="84" t="s">
        <v>36</v>
      </c>
      <c r="J456" s="252" t="s">
        <v>2062</v>
      </c>
      <c r="K456" s="251"/>
      <c r="L456" s="251"/>
      <c r="M456" s="251"/>
      <c r="N456" s="251"/>
      <c r="O456" s="251"/>
      <c r="P456" s="251"/>
      <c r="Q456" s="251"/>
      <c r="R456" s="251"/>
      <c r="S456" s="251"/>
      <c r="T456" s="251"/>
      <c r="U456" s="251"/>
      <c r="V456" s="251"/>
      <c r="W456" s="251"/>
      <c r="X456" s="251"/>
      <c r="Y456" s="251"/>
      <c r="Z456" s="251"/>
      <c r="AA456" s="251"/>
      <c r="AB456" s="251"/>
    </row>
    <row r="457" ht="14.25" customHeight="1">
      <c r="A457" s="251"/>
      <c r="B457" s="263"/>
      <c r="C457" s="242" t="s">
        <v>7576</v>
      </c>
      <c r="D457" s="98" t="s">
        <v>271</v>
      </c>
      <c r="E457" s="240" t="s">
        <v>7577</v>
      </c>
      <c r="F457" s="258" t="s">
        <v>6807</v>
      </c>
      <c r="G457" s="240" t="s">
        <v>7578</v>
      </c>
      <c r="H457" s="240" t="s">
        <v>7579</v>
      </c>
      <c r="I457" s="84" t="s">
        <v>36</v>
      </c>
      <c r="J457" s="252" t="s">
        <v>2034</v>
      </c>
      <c r="K457" s="251"/>
      <c r="L457" s="251"/>
      <c r="M457" s="251"/>
      <c r="N457" s="251"/>
      <c r="O457" s="251"/>
      <c r="P457" s="251"/>
      <c r="Q457" s="251"/>
      <c r="R457" s="251"/>
      <c r="S457" s="251"/>
      <c r="T457" s="251"/>
      <c r="U457" s="251"/>
      <c r="V457" s="251"/>
      <c r="W457" s="251"/>
      <c r="X457" s="251"/>
      <c r="Y457" s="251"/>
      <c r="Z457" s="251"/>
      <c r="AA457" s="251"/>
      <c r="AB457" s="251"/>
    </row>
    <row r="458" ht="14.25" customHeight="1">
      <c r="A458" s="251"/>
      <c r="B458" s="263"/>
      <c r="C458" s="242" t="s">
        <v>7580</v>
      </c>
      <c r="D458" s="98" t="s">
        <v>271</v>
      </c>
      <c r="E458" s="240" t="s">
        <v>7577</v>
      </c>
      <c r="F458" s="258" t="s">
        <v>7581</v>
      </c>
      <c r="G458" s="240" t="s">
        <v>7582</v>
      </c>
      <c r="H458" s="240" t="s">
        <v>7583</v>
      </c>
      <c r="I458" s="84" t="s">
        <v>36</v>
      </c>
      <c r="J458" s="252" t="s">
        <v>2034</v>
      </c>
      <c r="K458" s="251"/>
      <c r="L458" s="251"/>
      <c r="M458" s="251"/>
      <c r="N458" s="251"/>
      <c r="O458" s="251"/>
      <c r="P458" s="251"/>
      <c r="Q458" s="251"/>
      <c r="R458" s="251"/>
      <c r="S458" s="251"/>
      <c r="T458" s="251"/>
      <c r="U458" s="251"/>
      <c r="V458" s="251"/>
      <c r="W458" s="251"/>
      <c r="X458" s="251"/>
      <c r="Y458" s="251"/>
      <c r="Z458" s="251"/>
      <c r="AA458" s="251"/>
      <c r="AB458" s="251"/>
    </row>
    <row r="459" ht="14.25" customHeight="1">
      <c r="A459" s="251"/>
      <c r="B459" s="263"/>
      <c r="C459" s="242" t="s">
        <v>7584</v>
      </c>
      <c r="D459" s="98" t="s">
        <v>271</v>
      </c>
      <c r="E459" s="240" t="s">
        <v>7577</v>
      </c>
      <c r="F459" s="258" t="s">
        <v>7585</v>
      </c>
      <c r="G459" s="240" t="s">
        <v>7586</v>
      </c>
      <c r="H459" s="240" t="s">
        <v>7587</v>
      </c>
      <c r="I459" s="84" t="s">
        <v>36</v>
      </c>
      <c r="J459" s="252" t="s">
        <v>2034</v>
      </c>
      <c r="K459" s="251"/>
      <c r="L459" s="251"/>
      <c r="M459" s="251"/>
      <c r="N459" s="251"/>
      <c r="O459" s="251"/>
      <c r="P459" s="251"/>
      <c r="Q459" s="251"/>
      <c r="R459" s="251"/>
      <c r="S459" s="251"/>
      <c r="T459" s="251"/>
      <c r="U459" s="251"/>
      <c r="V459" s="251"/>
      <c r="W459" s="251"/>
      <c r="X459" s="251"/>
      <c r="Y459" s="251"/>
      <c r="Z459" s="251"/>
      <c r="AA459" s="251"/>
      <c r="AB459" s="251"/>
    </row>
    <row r="460" ht="14.25" customHeight="1">
      <c r="A460" s="251"/>
      <c r="B460" s="263"/>
      <c r="C460" s="242" t="s">
        <v>7588</v>
      </c>
      <c r="D460" s="98" t="s">
        <v>271</v>
      </c>
      <c r="E460" s="240" t="s">
        <v>7577</v>
      </c>
      <c r="F460" s="258" t="s">
        <v>7589</v>
      </c>
      <c r="G460" s="240" t="s">
        <v>7590</v>
      </c>
      <c r="H460" s="240" t="s">
        <v>7591</v>
      </c>
      <c r="I460" s="84" t="s">
        <v>317</v>
      </c>
      <c r="J460" s="252" t="s">
        <v>2034</v>
      </c>
      <c r="K460" s="251"/>
      <c r="L460" s="251"/>
      <c r="M460" s="251"/>
      <c r="N460" s="251"/>
      <c r="O460" s="251"/>
      <c r="P460" s="251"/>
      <c r="Q460" s="251"/>
      <c r="R460" s="251"/>
      <c r="S460" s="251"/>
      <c r="T460" s="251"/>
      <c r="U460" s="251"/>
      <c r="V460" s="251"/>
      <c r="W460" s="251"/>
      <c r="X460" s="251"/>
      <c r="Y460" s="251"/>
      <c r="Z460" s="251"/>
      <c r="AA460" s="251"/>
      <c r="AB460" s="251"/>
    </row>
    <row r="461" ht="14.25" customHeight="1">
      <c r="A461" s="251"/>
      <c r="B461" s="263"/>
      <c r="C461" s="242" t="s">
        <v>7592</v>
      </c>
      <c r="D461" s="98" t="s">
        <v>271</v>
      </c>
      <c r="E461" s="240" t="s">
        <v>7577</v>
      </c>
      <c r="F461" s="258" t="s">
        <v>7589</v>
      </c>
      <c r="G461" s="240" t="s">
        <v>6823</v>
      </c>
      <c r="H461" s="240" t="s">
        <v>7593</v>
      </c>
      <c r="I461" s="84" t="s">
        <v>36</v>
      </c>
      <c r="J461" s="252" t="s">
        <v>2034</v>
      </c>
      <c r="K461" s="251"/>
      <c r="L461" s="251"/>
      <c r="M461" s="251"/>
      <c r="N461" s="251"/>
      <c r="O461" s="251"/>
      <c r="P461" s="251"/>
      <c r="Q461" s="251"/>
      <c r="R461" s="251"/>
      <c r="S461" s="251"/>
      <c r="T461" s="251"/>
      <c r="U461" s="251"/>
      <c r="V461" s="251"/>
      <c r="W461" s="251"/>
      <c r="X461" s="251"/>
      <c r="Y461" s="251"/>
      <c r="Z461" s="251"/>
      <c r="AA461" s="251"/>
      <c r="AB461" s="251"/>
    </row>
    <row r="462" ht="14.25" customHeight="1">
      <c r="A462" s="251"/>
      <c r="B462" s="263"/>
      <c r="C462" s="242" t="s">
        <v>7594</v>
      </c>
      <c r="D462" s="98" t="s">
        <v>271</v>
      </c>
      <c r="E462" s="240" t="s">
        <v>7577</v>
      </c>
      <c r="F462" s="258" t="s">
        <v>7589</v>
      </c>
      <c r="G462" s="240" t="s">
        <v>6826</v>
      </c>
      <c r="H462" s="240" t="s">
        <v>6827</v>
      </c>
      <c r="I462" s="84" t="s">
        <v>36</v>
      </c>
      <c r="J462" s="252" t="s">
        <v>2034</v>
      </c>
      <c r="K462" s="251"/>
      <c r="L462" s="251"/>
      <c r="M462" s="251"/>
      <c r="N462" s="251"/>
      <c r="O462" s="251"/>
      <c r="P462" s="251"/>
      <c r="Q462" s="251"/>
      <c r="R462" s="251"/>
      <c r="S462" s="251"/>
      <c r="T462" s="251"/>
      <c r="U462" s="251"/>
      <c r="V462" s="251"/>
      <c r="W462" s="251"/>
      <c r="X462" s="251"/>
      <c r="Y462" s="251"/>
      <c r="Z462" s="251"/>
      <c r="AA462" s="251"/>
      <c r="AB462" s="251"/>
    </row>
    <row r="463" ht="14.25" customHeight="1">
      <c r="A463" s="251"/>
      <c r="B463" s="263"/>
      <c r="C463" s="242" t="s">
        <v>7595</v>
      </c>
      <c r="D463" s="98" t="s">
        <v>271</v>
      </c>
      <c r="E463" s="240" t="s">
        <v>7577</v>
      </c>
      <c r="F463" s="258" t="s">
        <v>7589</v>
      </c>
      <c r="G463" s="240" t="s">
        <v>7596</v>
      </c>
      <c r="H463" s="240" t="s">
        <v>7597</v>
      </c>
      <c r="I463" s="84" t="s">
        <v>36</v>
      </c>
      <c r="J463" s="252" t="s">
        <v>2034</v>
      </c>
      <c r="K463" s="251"/>
      <c r="L463" s="251"/>
      <c r="M463" s="251"/>
      <c r="N463" s="251"/>
      <c r="O463" s="251"/>
      <c r="P463" s="251"/>
      <c r="Q463" s="251"/>
      <c r="R463" s="251"/>
      <c r="S463" s="251"/>
      <c r="T463" s="251"/>
      <c r="U463" s="251"/>
      <c r="V463" s="251"/>
      <c r="W463" s="251"/>
      <c r="X463" s="251"/>
      <c r="Y463" s="251"/>
      <c r="Z463" s="251"/>
      <c r="AA463" s="251"/>
      <c r="AB463" s="251"/>
    </row>
    <row r="464" ht="14.25" customHeight="1">
      <c r="A464" s="251"/>
      <c r="B464" s="263"/>
      <c r="C464" s="242" t="s">
        <v>7598</v>
      </c>
      <c r="D464" s="98" t="s">
        <v>271</v>
      </c>
      <c r="E464" s="240" t="s">
        <v>7577</v>
      </c>
      <c r="F464" s="258" t="s">
        <v>7599</v>
      </c>
      <c r="G464" s="240" t="s">
        <v>7600</v>
      </c>
      <c r="H464" s="240" t="s">
        <v>7601</v>
      </c>
      <c r="I464" s="84" t="s">
        <v>36</v>
      </c>
      <c r="J464" s="252" t="s">
        <v>2034</v>
      </c>
      <c r="K464" s="251"/>
      <c r="L464" s="251"/>
      <c r="M464" s="251"/>
      <c r="N464" s="251"/>
      <c r="O464" s="251"/>
      <c r="P464" s="251"/>
      <c r="Q464" s="251"/>
      <c r="R464" s="251"/>
      <c r="S464" s="251"/>
      <c r="T464" s="251"/>
      <c r="U464" s="251"/>
      <c r="V464" s="251"/>
      <c r="W464" s="251"/>
      <c r="X464" s="251"/>
      <c r="Y464" s="251"/>
      <c r="Z464" s="251"/>
      <c r="AA464" s="251"/>
      <c r="AB464" s="251"/>
    </row>
    <row r="465" ht="14.25" customHeight="1">
      <c r="A465" s="251"/>
      <c r="B465" s="263"/>
      <c r="C465" s="242" t="s">
        <v>7602</v>
      </c>
      <c r="D465" s="98" t="s">
        <v>271</v>
      </c>
      <c r="E465" s="240" t="s">
        <v>7577</v>
      </c>
      <c r="F465" s="258" t="s">
        <v>7599</v>
      </c>
      <c r="G465" s="240" t="s">
        <v>6836</v>
      </c>
      <c r="H465" s="240" t="s">
        <v>7603</v>
      </c>
      <c r="I465" s="84" t="s">
        <v>36</v>
      </c>
      <c r="J465" s="252" t="s">
        <v>2034</v>
      </c>
      <c r="K465" s="251"/>
      <c r="L465" s="251"/>
      <c r="M465" s="251"/>
      <c r="N465" s="251"/>
      <c r="O465" s="251"/>
      <c r="P465" s="251"/>
      <c r="Q465" s="251"/>
      <c r="R465" s="251"/>
      <c r="S465" s="251"/>
      <c r="T465" s="251"/>
      <c r="U465" s="251"/>
      <c r="V465" s="251"/>
      <c r="W465" s="251"/>
      <c r="X465" s="251"/>
      <c r="Y465" s="251"/>
      <c r="Z465" s="251"/>
      <c r="AA465" s="251"/>
      <c r="AB465" s="251"/>
    </row>
    <row r="466" ht="14.25" customHeight="1">
      <c r="A466" s="251"/>
      <c r="B466" s="263"/>
      <c r="C466" s="242" t="s">
        <v>7604</v>
      </c>
      <c r="D466" s="98" t="s">
        <v>271</v>
      </c>
      <c r="E466" s="240" t="s">
        <v>7577</v>
      </c>
      <c r="F466" s="258" t="s">
        <v>7599</v>
      </c>
      <c r="G466" s="240" t="s">
        <v>6839</v>
      </c>
      <c r="H466" s="240" t="s">
        <v>6840</v>
      </c>
      <c r="I466" s="84" t="s">
        <v>36</v>
      </c>
      <c r="J466" s="252" t="s">
        <v>2034</v>
      </c>
      <c r="K466" s="251"/>
      <c r="L466" s="251"/>
      <c r="M466" s="251"/>
      <c r="N466" s="251"/>
      <c r="O466" s="251"/>
      <c r="P466" s="251"/>
      <c r="Q466" s="251"/>
      <c r="R466" s="251"/>
      <c r="S466" s="251"/>
      <c r="T466" s="251"/>
      <c r="U466" s="251"/>
      <c r="V466" s="251"/>
      <c r="W466" s="251"/>
      <c r="X466" s="251"/>
      <c r="Y466" s="251"/>
      <c r="Z466" s="251"/>
      <c r="AA466" s="251"/>
      <c r="AB466" s="251"/>
    </row>
    <row r="467" ht="14.25" customHeight="1">
      <c r="A467" s="251"/>
      <c r="B467" s="263"/>
      <c r="C467" s="242" t="s">
        <v>7605</v>
      </c>
      <c r="D467" s="98" t="s">
        <v>271</v>
      </c>
      <c r="E467" s="240" t="s">
        <v>7577</v>
      </c>
      <c r="F467" s="258" t="s">
        <v>7606</v>
      </c>
      <c r="G467" s="240" t="s">
        <v>7607</v>
      </c>
      <c r="H467" s="240" t="s">
        <v>7608</v>
      </c>
      <c r="I467" s="84" t="s">
        <v>36</v>
      </c>
      <c r="J467" s="252" t="s">
        <v>2034</v>
      </c>
      <c r="K467" s="251"/>
      <c r="L467" s="251"/>
      <c r="M467" s="251"/>
      <c r="N467" s="251"/>
      <c r="O467" s="251"/>
      <c r="P467" s="251"/>
      <c r="Q467" s="251"/>
      <c r="R467" s="251"/>
      <c r="S467" s="251"/>
      <c r="T467" s="251"/>
      <c r="U467" s="251"/>
      <c r="V467" s="251"/>
      <c r="W467" s="251"/>
      <c r="X467" s="251"/>
      <c r="Y467" s="251"/>
      <c r="Z467" s="251"/>
      <c r="AA467" s="251"/>
      <c r="AB467" s="251"/>
    </row>
    <row r="468" ht="14.25" customHeight="1">
      <c r="A468" s="251"/>
      <c r="B468" s="263"/>
      <c r="C468" s="242" t="s">
        <v>7609</v>
      </c>
      <c r="D468" s="98" t="s">
        <v>271</v>
      </c>
      <c r="E468" s="264"/>
      <c r="F468" s="258" t="s">
        <v>7610</v>
      </c>
      <c r="G468" s="240" t="s">
        <v>6846</v>
      </c>
      <c r="H468" s="240" t="s">
        <v>6847</v>
      </c>
      <c r="I468" s="84" t="s">
        <v>36</v>
      </c>
      <c r="J468" s="252" t="s">
        <v>2034</v>
      </c>
      <c r="K468" s="251"/>
      <c r="L468" s="251"/>
      <c r="M468" s="251"/>
      <c r="N468" s="251"/>
      <c r="O468" s="251"/>
      <c r="P468" s="251"/>
      <c r="Q468" s="251"/>
      <c r="R468" s="251"/>
      <c r="S468" s="251"/>
      <c r="T468" s="251"/>
      <c r="U468" s="251"/>
      <c r="V468" s="251"/>
      <c r="W468" s="251"/>
      <c r="X468" s="251"/>
      <c r="Y468" s="251"/>
      <c r="Z468" s="251"/>
      <c r="AA468" s="251"/>
      <c r="AB468" s="251"/>
    </row>
    <row r="469" ht="14.25" customHeight="1">
      <c r="A469" s="251"/>
      <c r="B469" s="263"/>
      <c r="C469" s="242" t="s">
        <v>7611</v>
      </c>
      <c r="D469" s="98" t="s">
        <v>271</v>
      </c>
      <c r="E469" s="240" t="s">
        <v>7577</v>
      </c>
      <c r="F469" s="258" t="s">
        <v>7612</v>
      </c>
      <c r="G469" s="240" t="s">
        <v>7613</v>
      </c>
      <c r="H469" s="240" t="s">
        <v>7614</v>
      </c>
      <c r="I469" s="84" t="s">
        <v>36</v>
      </c>
      <c r="J469" s="252" t="s">
        <v>2034</v>
      </c>
      <c r="K469" s="251"/>
      <c r="L469" s="251"/>
      <c r="M469" s="251"/>
      <c r="N469" s="251"/>
      <c r="O469" s="251"/>
      <c r="P469" s="251"/>
      <c r="Q469" s="251"/>
      <c r="R469" s="251"/>
      <c r="S469" s="251"/>
      <c r="T469" s="251"/>
      <c r="U469" s="251"/>
      <c r="V469" s="251"/>
      <c r="W469" s="251"/>
      <c r="X469" s="251"/>
      <c r="Y469" s="251"/>
      <c r="Z469" s="251"/>
      <c r="AA469" s="251"/>
      <c r="AB469" s="251"/>
    </row>
    <row r="470" ht="14.25" customHeight="1">
      <c r="A470" s="251"/>
      <c r="B470" s="263"/>
      <c r="C470" s="242" t="s">
        <v>7615</v>
      </c>
      <c r="D470" s="98" t="s">
        <v>271</v>
      </c>
      <c r="E470" s="240" t="s">
        <v>7577</v>
      </c>
      <c r="F470" s="258" t="s">
        <v>7612</v>
      </c>
      <c r="G470" s="240" t="s">
        <v>6853</v>
      </c>
      <c r="H470" s="240" t="s">
        <v>7616</v>
      </c>
      <c r="I470" s="84" t="s">
        <v>36</v>
      </c>
      <c r="J470" s="252" t="s">
        <v>2034</v>
      </c>
      <c r="K470" s="251"/>
      <c r="L470" s="251"/>
      <c r="M470" s="251"/>
      <c r="N470" s="251"/>
      <c r="O470" s="251"/>
      <c r="P470" s="251"/>
      <c r="Q470" s="251"/>
      <c r="R470" s="251"/>
      <c r="S470" s="251"/>
      <c r="T470" s="251"/>
      <c r="U470" s="251"/>
      <c r="V470" s="251"/>
      <c r="W470" s="251"/>
      <c r="X470" s="251"/>
      <c r="Y470" s="251"/>
      <c r="Z470" s="251"/>
      <c r="AA470" s="251"/>
      <c r="AB470" s="251"/>
    </row>
    <row r="471" ht="14.25" customHeight="1">
      <c r="A471" s="251"/>
      <c r="B471" s="263"/>
      <c r="C471" s="242" t="s">
        <v>7617</v>
      </c>
      <c r="D471" s="98" t="s">
        <v>271</v>
      </c>
      <c r="E471" s="240" t="s">
        <v>7577</v>
      </c>
      <c r="F471" s="258" t="s">
        <v>7612</v>
      </c>
      <c r="G471" s="240" t="s">
        <v>7618</v>
      </c>
      <c r="H471" s="240" t="s">
        <v>7619</v>
      </c>
      <c r="I471" s="84" t="s">
        <v>36</v>
      </c>
      <c r="J471" s="252" t="s">
        <v>2034</v>
      </c>
      <c r="K471" s="251"/>
      <c r="L471" s="251"/>
      <c r="M471" s="251"/>
      <c r="N471" s="251"/>
      <c r="O471" s="251"/>
      <c r="P471" s="251"/>
      <c r="Q471" s="251"/>
      <c r="R471" s="251"/>
      <c r="S471" s="251"/>
      <c r="T471" s="251"/>
      <c r="U471" s="251"/>
      <c r="V471" s="251"/>
      <c r="W471" s="251"/>
      <c r="X471" s="251"/>
      <c r="Y471" s="251"/>
      <c r="Z471" s="251"/>
      <c r="AA471" s="251"/>
      <c r="AB471" s="251"/>
    </row>
    <row r="472" ht="14.25" customHeight="1">
      <c r="A472" s="251"/>
      <c r="B472" s="263"/>
      <c r="C472" s="242" t="s">
        <v>7620</v>
      </c>
      <c r="D472" s="98" t="s">
        <v>271</v>
      </c>
      <c r="E472" s="240" t="s">
        <v>7577</v>
      </c>
      <c r="F472" s="258" t="s">
        <v>7621</v>
      </c>
      <c r="G472" s="240" t="s">
        <v>7622</v>
      </c>
      <c r="H472" s="240" t="s">
        <v>7623</v>
      </c>
      <c r="I472" s="84" t="s">
        <v>36</v>
      </c>
      <c r="J472" s="252" t="s">
        <v>2034</v>
      </c>
      <c r="K472" s="251"/>
      <c r="L472" s="251"/>
      <c r="M472" s="251"/>
      <c r="N472" s="251"/>
      <c r="O472" s="251"/>
      <c r="P472" s="251"/>
      <c r="Q472" s="251"/>
      <c r="R472" s="251"/>
      <c r="S472" s="251"/>
      <c r="T472" s="251"/>
      <c r="U472" s="251"/>
      <c r="V472" s="251"/>
      <c r="W472" s="251"/>
      <c r="X472" s="251"/>
      <c r="Y472" s="251"/>
      <c r="Z472" s="251"/>
      <c r="AA472" s="251"/>
      <c r="AB472" s="251"/>
    </row>
    <row r="473" ht="14.25" customHeight="1">
      <c r="A473" s="251"/>
      <c r="B473" s="263"/>
      <c r="C473" s="242" t="s">
        <v>7624</v>
      </c>
      <c r="D473" s="98" t="s">
        <v>271</v>
      </c>
      <c r="E473" s="240" t="s">
        <v>7577</v>
      </c>
      <c r="F473" s="258" t="s">
        <v>7621</v>
      </c>
      <c r="G473" s="240" t="s">
        <v>7625</v>
      </c>
      <c r="H473" s="240" t="s">
        <v>7626</v>
      </c>
      <c r="I473" s="84" t="s">
        <v>317</v>
      </c>
      <c r="J473" s="252" t="s">
        <v>2034</v>
      </c>
      <c r="K473" s="251"/>
      <c r="L473" s="251"/>
      <c r="M473" s="251"/>
      <c r="N473" s="251"/>
      <c r="O473" s="251"/>
      <c r="P473" s="251"/>
      <c r="Q473" s="251"/>
      <c r="R473" s="251"/>
      <c r="S473" s="251"/>
      <c r="T473" s="251"/>
      <c r="U473" s="251"/>
      <c r="V473" s="251"/>
      <c r="W473" s="251"/>
      <c r="X473" s="251"/>
      <c r="Y473" s="251"/>
      <c r="Z473" s="251"/>
      <c r="AA473" s="251"/>
      <c r="AB473" s="251"/>
    </row>
    <row r="474" ht="14.25" customHeight="1">
      <c r="A474" s="251"/>
      <c r="B474" s="263"/>
      <c r="C474" s="242" t="s">
        <v>7627</v>
      </c>
      <c r="D474" s="98" t="s">
        <v>271</v>
      </c>
      <c r="E474" s="240" t="s">
        <v>7577</v>
      </c>
      <c r="F474" s="258" t="s">
        <v>7621</v>
      </c>
      <c r="G474" s="240" t="s">
        <v>6866</v>
      </c>
      <c r="H474" s="240" t="s">
        <v>7628</v>
      </c>
      <c r="I474" s="84" t="s">
        <v>36</v>
      </c>
      <c r="J474" s="252" t="s">
        <v>2034</v>
      </c>
      <c r="K474" s="251"/>
      <c r="L474" s="251"/>
      <c r="M474" s="251"/>
      <c r="N474" s="251"/>
      <c r="O474" s="251"/>
      <c r="P474" s="251"/>
      <c r="Q474" s="251"/>
      <c r="R474" s="251"/>
      <c r="S474" s="251"/>
      <c r="T474" s="251"/>
      <c r="U474" s="251"/>
      <c r="V474" s="251"/>
      <c r="W474" s="251"/>
      <c r="X474" s="251"/>
      <c r="Y474" s="251"/>
      <c r="Z474" s="251"/>
      <c r="AA474" s="251"/>
      <c r="AB474" s="251"/>
    </row>
    <row r="475" ht="14.25" customHeight="1">
      <c r="A475" s="251"/>
      <c r="B475" s="263"/>
      <c r="C475" s="242" t="s">
        <v>7629</v>
      </c>
      <c r="D475" s="98" t="s">
        <v>271</v>
      </c>
      <c r="E475" s="240" t="s">
        <v>7577</v>
      </c>
      <c r="F475" s="258" t="s">
        <v>7621</v>
      </c>
      <c r="G475" s="240" t="s">
        <v>6869</v>
      </c>
      <c r="H475" s="240" t="s">
        <v>7630</v>
      </c>
      <c r="I475" s="84" t="s">
        <v>317</v>
      </c>
      <c r="J475" s="252" t="s">
        <v>2034</v>
      </c>
      <c r="K475" s="251"/>
      <c r="L475" s="251"/>
      <c r="M475" s="251"/>
      <c r="N475" s="251"/>
      <c r="O475" s="251"/>
      <c r="P475" s="251"/>
      <c r="Q475" s="251"/>
      <c r="R475" s="251"/>
      <c r="S475" s="251"/>
      <c r="T475" s="251"/>
      <c r="U475" s="251"/>
      <c r="V475" s="251"/>
      <c r="W475" s="251"/>
      <c r="X475" s="251"/>
      <c r="Y475" s="251"/>
      <c r="Z475" s="251"/>
      <c r="AA475" s="251"/>
      <c r="AB475" s="251"/>
    </row>
    <row r="476" ht="14.25" customHeight="1">
      <c r="A476" s="251"/>
      <c r="B476" s="263"/>
      <c r="C476" s="242" t="s">
        <v>7631</v>
      </c>
      <c r="D476" s="98" t="s">
        <v>271</v>
      </c>
      <c r="E476" s="240" t="s">
        <v>7577</v>
      </c>
      <c r="F476" s="258" t="s">
        <v>7589</v>
      </c>
      <c r="G476" s="240" t="s">
        <v>6872</v>
      </c>
      <c r="H476" s="240" t="s">
        <v>6873</v>
      </c>
      <c r="I476" s="84" t="s">
        <v>36</v>
      </c>
      <c r="J476" s="252" t="s">
        <v>2034</v>
      </c>
      <c r="K476" s="251"/>
      <c r="L476" s="251"/>
      <c r="M476" s="251"/>
      <c r="N476" s="251"/>
      <c r="O476" s="251"/>
      <c r="P476" s="251"/>
      <c r="Q476" s="251"/>
      <c r="R476" s="251"/>
      <c r="S476" s="251"/>
      <c r="T476" s="251"/>
      <c r="U476" s="251"/>
      <c r="V476" s="251"/>
      <c r="W476" s="251"/>
      <c r="X476" s="251"/>
      <c r="Y476" s="251"/>
      <c r="Z476" s="251"/>
      <c r="AA476" s="251"/>
      <c r="AB476" s="251"/>
    </row>
    <row r="477" ht="14.25" customHeight="1">
      <c r="A477" s="251"/>
      <c r="B477" s="263"/>
      <c r="C477" s="242" t="s">
        <v>7632</v>
      </c>
      <c r="D477" s="98" t="s">
        <v>271</v>
      </c>
      <c r="E477" s="240" t="s">
        <v>7577</v>
      </c>
      <c r="F477" s="258" t="s">
        <v>7633</v>
      </c>
      <c r="G477" s="240" t="s">
        <v>7634</v>
      </c>
      <c r="H477" s="240" t="s">
        <v>6877</v>
      </c>
      <c r="I477" s="84" t="s">
        <v>317</v>
      </c>
      <c r="J477" s="252" t="s">
        <v>2034</v>
      </c>
      <c r="K477" s="251"/>
      <c r="L477" s="251"/>
      <c r="M477" s="251"/>
      <c r="N477" s="251"/>
      <c r="O477" s="251"/>
      <c r="P477" s="251"/>
      <c r="Q477" s="251"/>
      <c r="R477" s="251"/>
      <c r="S477" s="251"/>
      <c r="T477" s="251"/>
      <c r="U477" s="251"/>
      <c r="V477" s="251"/>
      <c r="W477" s="251"/>
      <c r="X477" s="251"/>
      <c r="Y477" s="251"/>
      <c r="Z477" s="251"/>
      <c r="AA477" s="251"/>
      <c r="AB477" s="251"/>
    </row>
    <row r="478" ht="14.25" customHeight="1">
      <c r="A478" s="251"/>
      <c r="B478" s="263"/>
      <c r="C478" s="242" t="s">
        <v>7635</v>
      </c>
      <c r="D478" s="98" t="s">
        <v>271</v>
      </c>
      <c r="E478" s="240" t="s">
        <v>7577</v>
      </c>
      <c r="F478" s="258" t="s">
        <v>7633</v>
      </c>
      <c r="G478" s="240" t="s">
        <v>6879</v>
      </c>
      <c r="H478" s="240" t="s">
        <v>7636</v>
      </c>
      <c r="I478" s="84" t="s">
        <v>317</v>
      </c>
      <c r="J478" s="252" t="s">
        <v>2034</v>
      </c>
      <c r="K478" s="251"/>
      <c r="L478" s="251"/>
      <c r="M478" s="251"/>
      <c r="N478" s="251"/>
      <c r="O478" s="251"/>
      <c r="P478" s="251"/>
      <c r="Q478" s="251"/>
      <c r="R478" s="251"/>
      <c r="S478" s="251"/>
      <c r="T478" s="251"/>
      <c r="U478" s="251"/>
      <c r="V478" s="251"/>
      <c r="W478" s="251"/>
      <c r="X478" s="251"/>
      <c r="Y478" s="251"/>
      <c r="Z478" s="251"/>
      <c r="AA478" s="251"/>
      <c r="AB478" s="251"/>
    </row>
    <row r="479" ht="14.25" customHeight="1">
      <c r="A479" s="251"/>
      <c r="B479" s="263"/>
      <c r="C479" s="242" t="s">
        <v>7637</v>
      </c>
      <c r="D479" s="98" t="s">
        <v>271</v>
      </c>
      <c r="E479" s="240" t="s">
        <v>7577</v>
      </c>
      <c r="F479" s="258" t="s">
        <v>7633</v>
      </c>
      <c r="G479" s="240" t="s">
        <v>6882</v>
      </c>
      <c r="H479" s="240" t="s">
        <v>6883</v>
      </c>
      <c r="I479" s="84" t="s">
        <v>317</v>
      </c>
      <c r="J479" s="252" t="s">
        <v>2034</v>
      </c>
      <c r="K479" s="251"/>
      <c r="L479" s="251"/>
      <c r="M479" s="251"/>
      <c r="N479" s="251"/>
      <c r="O479" s="251"/>
      <c r="P479" s="251"/>
      <c r="Q479" s="251"/>
      <c r="R479" s="251"/>
      <c r="S479" s="251"/>
      <c r="T479" s="251"/>
      <c r="U479" s="251"/>
      <c r="V479" s="251"/>
      <c r="W479" s="251"/>
      <c r="X479" s="251"/>
      <c r="Y479" s="251"/>
      <c r="Z479" s="251"/>
      <c r="AA479" s="251"/>
      <c r="AB479" s="251"/>
    </row>
    <row r="480" ht="14.25" customHeight="1">
      <c r="A480" s="251"/>
      <c r="B480" s="263"/>
      <c r="C480" s="242" t="s">
        <v>7638</v>
      </c>
      <c r="D480" s="98" t="s">
        <v>271</v>
      </c>
      <c r="E480" s="240" t="s">
        <v>7577</v>
      </c>
      <c r="F480" s="258" t="s">
        <v>7633</v>
      </c>
      <c r="G480" s="240" t="s">
        <v>6885</v>
      </c>
      <c r="H480" s="240" t="s">
        <v>6886</v>
      </c>
      <c r="I480" s="84" t="s">
        <v>36</v>
      </c>
      <c r="J480" s="252" t="s">
        <v>2034</v>
      </c>
      <c r="K480" s="251"/>
      <c r="L480" s="251"/>
      <c r="M480" s="251"/>
      <c r="N480" s="251"/>
      <c r="O480" s="251"/>
      <c r="P480" s="251"/>
      <c r="Q480" s="251"/>
      <c r="R480" s="251"/>
      <c r="S480" s="251"/>
      <c r="T480" s="251"/>
      <c r="U480" s="251"/>
      <c r="V480" s="251"/>
      <c r="W480" s="251"/>
      <c r="X480" s="251"/>
      <c r="Y480" s="251"/>
      <c r="Z480" s="251"/>
      <c r="AA480" s="251"/>
      <c r="AB480" s="251"/>
    </row>
    <row r="481" ht="14.25" customHeight="1">
      <c r="A481" s="251"/>
      <c r="B481" s="263"/>
      <c r="C481" s="242" t="s">
        <v>7639</v>
      </c>
      <c r="D481" s="98" t="s">
        <v>271</v>
      </c>
      <c r="E481" s="240" t="s">
        <v>7577</v>
      </c>
      <c r="F481" s="258" t="s">
        <v>7633</v>
      </c>
      <c r="G481" s="240" t="s">
        <v>6888</v>
      </c>
      <c r="H481" s="240" t="s">
        <v>6889</v>
      </c>
      <c r="I481" s="84" t="s">
        <v>36</v>
      </c>
      <c r="J481" s="252" t="s">
        <v>2034</v>
      </c>
      <c r="K481" s="251"/>
      <c r="L481" s="251"/>
      <c r="M481" s="251"/>
      <c r="N481" s="251"/>
      <c r="O481" s="251"/>
      <c r="P481" s="251"/>
      <c r="Q481" s="251"/>
      <c r="R481" s="251"/>
      <c r="S481" s="251"/>
      <c r="T481" s="251"/>
      <c r="U481" s="251"/>
      <c r="V481" s="251"/>
      <c r="W481" s="251"/>
      <c r="X481" s="251"/>
      <c r="Y481" s="251"/>
      <c r="Z481" s="251"/>
      <c r="AA481" s="251"/>
      <c r="AB481" s="251"/>
    </row>
    <row r="482" ht="14.25" customHeight="1">
      <c r="A482" s="251"/>
      <c r="B482" s="263"/>
      <c r="C482" s="242" t="s">
        <v>7640</v>
      </c>
      <c r="D482" s="98" t="s">
        <v>271</v>
      </c>
      <c r="E482" s="240" t="s">
        <v>7577</v>
      </c>
      <c r="F482" s="258" t="s">
        <v>7633</v>
      </c>
      <c r="G482" s="240" t="s">
        <v>6891</v>
      </c>
      <c r="H482" s="240" t="s">
        <v>7641</v>
      </c>
      <c r="I482" s="84" t="s">
        <v>36</v>
      </c>
      <c r="J482" s="252" t="s">
        <v>2034</v>
      </c>
      <c r="K482" s="251"/>
      <c r="L482" s="251"/>
      <c r="M482" s="251"/>
      <c r="N482" s="251"/>
      <c r="O482" s="251"/>
      <c r="P482" s="251"/>
      <c r="Q482" s="251"/>
      <c r="R482" s="251"/>
      <c r="S482" s="251"/>
      <c r="T482" s="251"/>
      <c r="U482" s="251"/>
      <c r="V482" s="251"/>
      <c r="W482" s="251"/>
      <c r="X482" s="251"/>
      <c r="Y482" s="251"/>
      <c r="Z482" s="251"/>
      <c r="AA482" s="251"/>
      <c r="AB482" s="251"/>
    </row>
    <row r="483" ht="14.25" customHeight="1">
      <c r="A483" s="251"/>
      <c r="B483" s="263"/>
      <c r="C483" s="242" t="s">
        <v>7642</v>
      </c>
      <c r="D483" s="98" t="s">
        <v>271</v>
      </c>
      <c r="E483" s="240" t="s">
        <v>7577</v>
      </c>
      <c r="F483" s="258" t="s">
        <v>7633</v>
      </c>
      <c r="G483" s="240" t="s">
        <v>6894</v>
      </c>
      <c r="H483" s="240" t="s">
        <v>7643</v>
      </c>
      <c r="I483" s="84" t="s">
        <v>36</v>
      </c>
      <c r="J483" s="252" t="s">
        <v>2034</v>
      </c>
      <c r="K483" s="251"/>
      <c r="L483" s="251"/>
      <c r="M483" s="251"/>
      <c r="N483" s="251"/>
      <c r="O483" s="251"/>
      <c r="P483" s="251"/>
      <c r="Q483" s="251"/>
      <c r="R483" s="251"/>
      <c r="S483" s="251"/>
      <c r="T483" s="251"/>
      <c r="U483" s="251"/>
      <c r="V483" s="251"/>
      <c r="W483" s="251"/>
      <c r="X483" s="251"/>
      <c r="Y483" s="251"/>
      <c r="Z483" s="251"/>
      <c r="AA483" s="251"/>
      <c r="AB483" s="251"/>
    </row>
    <row r="484" ht="14.25" customHeight="1">
      <c r="A484" s="251"/>
      <c r="B484" s="263"/>
      <c r="C484" s="242" t="s">
        <v>7644</v>
      </c>
      <c r="D484" s="98" t="s">
        <v>271</v>
      </c>
      <c r="E484" s="240" t="s">
        <v>7577</v>
      </c>
      <c r="F484" s="258" t="s">
        <v>7633</v>
      </c>
      <c r="G484" s="240" t="s">
        <v>6897</v>
      </c>
      <c r="H484" s="240" t="s">
        <v>6898</v>
      </c>
      <c r="I484" s="84" t="s">
        <v>36</v>
      </c>
      <c r="J484" s="252" t="s">
        <v>2034</v>
      </c>
      <c r="K484" s="251"/>
      <c r="L484" s="251"/>
      <c r="M484" s="251"/>
      <c r="N484" s="251"/>
      <c r="O484" s="251"/>
      <c r="P484" s="251"/>
      <c r="Q484" s="251"/>
      <c r="R484" s="251"/>
      <c r="S484" s="251"/>
      <c r="T484" s="251"/>
      <c r="U484" s="251"/>
      <c r="V484" s="251"/>
      <c r="W484" s="251"/>
      <c r="X484" s="251"/>
      <c r="Y484" s="251"/>
      <c r="Z484" s="251"/>
      <c r="AA484" s="251"/>
      <c r="AB484" s="251"/>
    </row>
    <row r="485" ht="14.25" customHeight="1">
      <c r="A485" s="251"/>
      <c r="B485" s="263"/>
      <c r="C485" s="242" t="s">
        <v>7645</v>
      </c>
      <c r="D485" s="98" t="s">
        <v>271</v>
      </c>
      <c r="E485" s="240" t="s">
        <v>7577</v>
      </c>
      <c r="F485" s="258" t="s">
        <v>7646</v>
      </c>
      <c r="G485" s="240" t="s">
        <v>7647</v>
      </c>
      <c r="H485" s="240" t="s">
        <v>7648</v>
      </c>
      <c r="I485" s="84" t="s">
        <v>36</v>
      </c>
      <c r="J485" s="252" t="s">
        <v>2034</v>
      </c>
      <c r="K485" s="251"/>
      <c r="L485" s="251"/>
      <c r="M485" s="251"/>
      <c r="N485" s="251"/>
      <c r="O485" s="251"/>
      <c r="P485" s="251"/>
      <c r="Q485" s="251"/>
      <c r="R485" s="251"/>
      <c r="S485" s="251"/>
      <c r="T485" s="251"/>
      <c r="U485" s="251"/>
      <c r="V485" s="251"/>
      <c r="W485" s="251"/>
      <c r="X485" s="251"/>
      <c r="Y485" s="251"/>
      <c r="Z485" s="251"/>
      <c r="AA485" s="251"/>
      <c r="AB485" s="251"/>
    </row>
    <row r="486" ht="14.25" customHeight="1">
      <c r="A486" s="251"/>
      <c r="B486" s="263"/>
      <c r="C486" s="242" t="s">
        <v>7649</v>
      </c>
      <c r="D486" s="98" t="s">
        <v>271</v>
      </c>
      <c r="E486" s="240" t="s">
        <v>7577</v>
      </c>
      <c r="F486" s="258" t="s">
        <v>7646</v>
      </c>
      <c r="G486" s="240" t="s">
        <v>6904</v>
      </c>
      <c r="H486" s="240" t="s">
        <v>6905</v>
      </c>
      <c r="I486" s="84" t="s">
        <v>36</v>
      </c>
      <c r="J486" s="252" t="s">
        <v>2034</v>
      </c>
      <c r="K486" s="251"/>
      <c r="L486" s="251"/>
      <c r="M486" s="251"/>
      <c r="N486" s="251"/>
      <c r="O486" s="251"/>
      <c r="P486" s="251"/>
      <c r="Q486" s="251"/>
      <c r="R486" s="251"/>
      <c r="S486" s="251"/>
      <c r="T486" s="251"/>
      <c r="U486" s="251"/>
      <c r="V486" s="251"/>
      <c r="W486" s="251"/>
      <c r="X486" s="251"/>
      <c r="Y486" s="251"/>
      <c r="Z486" s="251"/>
      <c r="AA486" s="251"/>
      <c r="AB486" s="251"/>
    </row>
    <row r="487" ht="14.25" customHeight="1">
      <c r="A487" s="251"/>
      <c r="B487" s="263"/>
      <c r="C487" s="242" t="s">
        <v>7650</v>
      </c>
      <c r="D487" s="98" t="s">
        <v>271</v>
      </c>
      <c r="E487" s="240" t="s">
        <v>7577</v>
      </c>
      <c r="F487" s="258" t="s">
        <v>7646</v>
      </c>
      <c r="G487" s="240" t="s">
        <v>6907</v>
      </c>
      <c r="H487" s="240" t="s">
        <v>7651</v>
      </c>
      <c r="I487" s="84" t="s">
        <v>36</v>
      </c>
      <c r="J487" s="252" t="s">
        <v>2034</v>
      </c>
      <c r="K487" s="251"/>
      <c r="L487" s="251"/>
      <c r="M487" s="251"/>
      <c r="N487" s="251"/>
      <c r="O487" s="251"/>
      <c r="P487" s="251"/>
      <c r="Q487" s="251"/>
      <c r="R487" s="251"/>
      <c r="S487" s="251"/>
      <c r="T487" s="251"/>
      <c r="U487" s="251"/>
      <c r="V487" s="251"/>
      <c r="W487" s="251"/>
      <c r="X487" s="251"/>
      <c r="Y487" s="251"/>
      <c r="Z487" s="251"/>
      <c r="AA487" s="251"/>
      <c r="AB487" s="251"/>
    </row>
    <row r="488" ht="14.25" customHeight="1">
      <c r="A488" s="251"/>
      <c r="B488" s="263"/>
      <c r="C488" s="242" t="s">
        <v>7652</v>
      </c>
      <c r="D488" s="98" t="s">
        <v>271</v>
      </c>
      <c r="E488" s="240" t="s">
        <v>7577</v>
      </c>
      <c r="F488" s="258" t="s">
        <v>7646</v>
      </c>
      <c r="G488" s="240" t="s">
        <v>6910</v>
      </c>
      <c r="H488" s="240" t="s">
        <v>7653</v>
      </c>
      <c r="I488" s="84" t="s">
        <v>36</v>
      </c>
      <c r="J488" s="252" t="s">
        <v>2034</v>
      </c>
      <c r="K488" s="251"/>
      <c r="L488" s="251"/>
      <c r="M488" s="251"/>
      <c r="N488" s="251"/>
      <c r="O488" s="251"/>
      <c r="P488" s="251"/>
      <c r="Q488" s="251"/>
      <c r="R488" s="251"/>
      <c r="S488" s="251"/>
      <c r="T488" s="251"/>
      <c r="U488" s="251"/>
      <c r="V488" s="251"/>
      <c r="W488" s="251"/>
      <c r="X488" s="251"/>
      <c r="Y488" s="251"/>
      <c r="Z488" s="251"/>
      <c r="AA488" s="251"/>
      <c r="AB488" s="251"/>
    </row>
    <row r="489" ht="14.25" customHeight="1">
      <c r="A489" s="251"/>
      <c r="B489" s="263"/>
      <c r="C489" s="242" t="s">
        <v>7654</v>
      </c>
      <c r="D489" s="98" t="s">
        <v>271</v>
      </c>
      <c r="E489" s="240" t="s">
        <v>7577</v>
      </c>
      <c r="F489" s="258" t="s">
        <v>7646</v>
      </c>
      <c r="G489" s="240" t="s">
        <v>6913</v>
      </c>
      <c r="H489" s="240" t="s">
        <v>6914</v>
      </c>
      <c r="I489" s="84" t="s">
        <v>36</v>
      </c>
      <c r="J489" s="252" t="s">
        <v>2034</v>
      </c>
      <c r="K489" s="251"/>
      <c r="L489" s="251"/>
      <c r="M489" s="251"/>
      <c r="N489" s="251"/>
      <c r="O489" s="251"/>
      <c r="P489" s="251"/>
      <c r="Q489" s="251"/>
      <c r="R489" s="251"/>
      <c r="S489" s="251"/>
      <c r="T489" s="251"/>
      <c r="U489" s="251"/>
      <c r="V489" s="251"/>
      <c r="W489" s="251"/>
      <c r="X489" s="251"/>
      <c r="Y489" s="251"/>
      <c r="Z489" s="251"/>
      <c r="AA489" s="251"/>
      <c r="AB489" s="251"/>
    </row>
    <row r="490" ht="14.25" customHeight="1">
      <c r="A490" s="251"/>
      <c r="B490" s="263"/>
      <c r="C490" s="242" t="s">
        <v>7655</v>
      </c>
      <c r="D490" s="98" t="s">
        <v>271</v>
      </c>
      <c r="E490" s="264"/>
      <c r="F490" s="258" t="s">
        <v>7646</v>
      </c>
      <c r="G490" s="240" t="s">
        <v>6916</v>
      </c>
      <c r="H490" s="240" t="s">
        <v>6917</v>
      </c>
      <c r="I490" s="84" t="s">
        <v>36</v>
      </c>
      <c r="J490" s="252" t="s">
        <v>2034</v>
      </c>
      <c r="K490" s="251"/>
      <c r="L490" s="251"/>
      <c r="M490" s="251"/>
      <c r="N490" s="251"/>
      <c r="O490" s="251"/>
      <c r="P490" s="251"/>
      <c r="Q490" s="251"/>
      <c r="R490" s="251"/>
      <c r="S490" s="251"/>
      <c r="T490" s="251"/>
      <c r="U490" s="251"/>
      <c r="V490" s="251"/>
      <c r="W490" s="251"/>
      <c r="X490" s="251"/>
      <c r="Y490" s="251"/>
      <c r="Z490" s="251"/>
      <c r="AA490" s="251"/>
      <c r="AB490" s="251"/>
    </row>
    <row r="491" ht="14.25" customHeight="1">
      <c r="A491" s="251"/>
      <c r="B491" s="263"/>
      <c r="C491" s="242" t="s">
        <v>7656</v>
      </c>
      <c r="D491" s="98" t="s">
        <v>271</v>
      </c>
      <c r="E491" s="240" t="s">
        <v>7577</v>
      </c>
      <c r="F491" s="258" t="s">
        <v>7657</v>
      </c>
      <c r="G491" s="240" t="s">
        <v>7658</v>
      </c>
      <c r="H491" s="240" t="s">
        <v>6921</v>
      </c>
      <c r="I491" s="84" t="s">
        <v>36</v>
      </c>
      <c r="J491" s="252" t="s">
        <v>2034</v>
      </c>
      <c r="K491" s="251"/>
      <c r="L491" s="251"/>
      <c r="M491" s="251"/>
      <c r="N491" s="251"/>
      <c r="O491" s="251"/>
      <c r="P491" s="251"/>
      <c r="Q491" s="251"/>
      <c r="R491" s="251"/>
      <c r="S491" s="251"/>
      <c r="T491" s="251"/>
      <c r="U491" s="251"/>
      <c r="V491" s="251"/>
      <c r="W491" s="251"/>
      <c r="X491" s="251"/>
      <c r="Y491" s="251"/>
      <c r="Z491" s="251"/>
      <c r="AA491" s="251"/>
      <c r="AB491" s="251"/>
    </row>
    <row r="492" ht="14.25" customHeight="1">
      <c r="A492" s="251"/>
      <c r="B492" s="263"/>
      <c r="C492" s="242" t="s">
        <v>7659</v>
      </c>
      <c r="D492" s="98" t="s">
        <v>271</v>
      </c>
      <c r="E492" s="240" t="s">
        <v>7577</v>
      </c>
      <c r="F492" s="258" t="s">
        <v>7660</v>
      </c>
      <c r="G492" s="240" t="s">
        <v>6924</v>
      </c>
      <c r="H492" s="240" t="s">
        <v>6925</v>
      </c>
      <c r="I492" s="84" t="s">
        <v>36</v>
      </c>
      <c r="J492" s="252" t="s">
        <v>2034</v>
      </c>
      <c r="K492" s="251"/>
      <c r="L492" s="251"/>
      <c r="M492" s="251"/>
      <c r="N492" s="251"/>
      <c r="O492" s="251"/>
      <c r="P492" s="251"/>
      <c r="Q492" s="251"/>
      <c r="R492" s="251"/>
      <c r="S492" s="251"/>
      <c r="T492" s="251"/>
      <c r="U492" s="251"/>
      <c r="V492" s="251"/>
      <c r="W492" s="251"/>
      <c r="X492" s="251"/>
      <c r="Y492" s="251"/>
      <c r="Z492" s="251"/>
      <c r="AA492" s="251"/>
      <c r="AB492" s="251"/>
    </row>
    <row r="493" ht="14.25" customHeight="1">
      <c r="A493" s="251"/>
      <c r="B493" s="263"/>
      <c r="C493" s="242" t="s">
        <v>7661</v>
      </c>
      <c r="D493" s="98" t="s">
        <v>271</v>
      </c>
      <c r="E493" s="240" t="s">
        <v>7577</v>
      </c>
      <c r="F493" s="258" t="s">
        <v>7657</v>
      </c>
      <c r="G493" s="240" t="s">
        <v>6927</v>
      </c>
      <c r="H493" s="240" t="s">
        <v>6928</v>
      </c>
      <c r="I493" s="84" t="s">
        <v>36</v>
      </c>
      <c r="J493" s="252" t="s">
        <v>2034</v>
      </c>
      <c r="K493" s="251"/>
      <c r="L493" s="251"/>
      <c r="M493" s="251"/>
      <c r="N493" s="251"/>
      <c r="O493" s="251"/>
      <c r="P493" s="251"/>
      <c r="Q493" s="251"/>
      <c r="R493" s="251"/>
      <c r="S493" s="251"/>
      <c r="T493" s="251"/>
      <c r="U493" s="251"/>
      <c r="V493" s="251"/>
      <c r="W493" s="251"/>
      <c r="X493" s="251"/>
      <c r="Y493" s="251"/>
      <c r="Z493" s="251"/>
      <c r="AA493" s="251"/>
      <c r="AB493" s="251"/>
    </row>
    <row r="494" ht="14.25" customHeight="1">
      <c r="A494" s="251"/>
      <c r="B494" s="263"/>
      <c r="C494" s="242" t="s">
        <v>7662</v>
      </c>
      <c r="D494" s="98" t="s">
        <v>271</v>
      </c>
      <c r="E494" s="240" t="s">
        <v>7577</v>
      </c>
      <c r="F494" s="258" t="s">
        <v>7657</v>
      </c>
      <c r="G494" s="240" t="s">
        <v>6930</v>
      </c>
      <c r="H494" s="240" t="s">
        <v>6931</v>
      </c>
      <c r="I494" s="84" t="s">
        <v>36</v>
      </c>
      <c r="J494" s="252" t="s">
        <v>2034</v>
      </c>
      <c r="K494" s="251"/>
      <c r="L494" s="251"/>
      <c r="M494" s="251"/>
      <c r="N494" s="251"/>
      <c r="O494" s="251"/>
      <c r="P494" s="251"/>
      <c r="Q494" s="251"/>
      <c r="R494" s="251"/>
      <c r="S494" s="251"/>
      <c r="T494" s="251"/>
      <c r="U494" s="251"/>
      <c r="V494" s="251"/>
      <c r="W494" s="251"/>
      <c r="X494" s="251"/>
      <c r="Y494" s="251"/>
      <c r="Z494" s="251"/>
      <c r="AA494" s="251"/>
      <c r="AB494" s="251"/>
    </row>
    <row r="495" ht="14.25" customHeight="1">
      <c r="A495" s="251"/>
      <c r="B495" s="263"/>
      <c r="C495" s="242" t="s">
        <v>7663</v>
      </c>
      <c r="D495" s="98" t="s">
        <v>271</v>
      </c>
      <c r="E495" s="240" t="s">
        <v>7577</v>
      </c>
      <c r="F495" s="258" t="s">
        <v>7657</v>
      </c>
      <c r="G495" s="240" t="s">
        <v>6933</v>
      </c>
      <c r="H495" s="240" t="s">
        <v>6934</v>
      </c>
      <c r="I495" s="84" t="s">
        <v>36</v>
      </c>
      <c r="J495" s="252" t="s">
        <v>2034</v>
      </c>
      <c r="K495" s="251"/>
      <c r="L495" s="251"/>
      <c r="M495" s="251"/>
      <c r="N495" s="251"/>
      <c r="O495" s="251"/>
      <c r="P495" s="251"/>
      <c r="Q495" s="251"/>
      <c r="R495" s="251"/>
      <c r="S495" s="251"/>
      <c r="T495" s="251"/>
      <c r="U495" s="251"/>
      <c r="V495" s="251"/>
      <c r="W495" s="251"/>
      <c r="X495" s="251"/>
      <c r="Y495" s="251"/>
      <c r="Z495" s="251"/>
      <c r="AA495" s="251"/>
      <c r="AB495" s="251"/>
    </row>
    <row r="496" ht="14.25" customHeight="1">
      <c r="A496" s="251"/>
      <c r="B496" s="263"/>
      <c r="C496" s="242" t="s">
        <v>7664</v>
      </c>
      <c r="D496" s="98" t="s">
        <v>271</v>
      </c>
      <c r="E496" s="240" t="s">
        <v>7577</v>
      </c>
      <c r="F496" s="258" t="s">
        <v>7660</v>
      </c>
      <c r="G496" s="240" t="s">
        <v>7665</v>
      </c>
      <c r="H496" s="240" t="s">
        <v>7666</v>
      </c>
      <c r="I496" s="84" t="s">
        <v>36</v>
      </c>
      <c r="J496" s="252" t="s">
        <v>2034</v>
      </c>
      <c r="K496" s="251"/>
      <c r="L496" s="251"/>
      <c r="M496" s="251"/>
      <c r="N496" s="251"/>
      <c r="O496" s="251"/>
      <c r="P496" s="251"/>
      <c r="Q496" s="251"/>
      <c r="R496" s="251"/>
      <c r="S496" s="251"/>
      <c r="T496" s="251"/>
      <c r="U496" s="251"/>
      <c r="V496" s="251"/>
      <c r="W496" s="251"/>
      <c r="X496" s="251"/>
      <c r="Y496" s="251"/>
      <c r="Z496" s="251"/>
      <c r="AA496" s="251"/>
      <c r="AB496" s="251"/>
    </row>
    <row r="497" ht="14.25" customHeight="1">
      <c r="A497" s="251"/>
      <c r="B497" s="263"/>
      <c r="C497" s="242" t="s">
        <v>7667</v>
      </c>
      <c r="D497" s="98" t="s">
        <v>271</v>
      </c>
      <c r="E497" s="240" t="s">
        <v>7577</v>
      </c>
      <c r="F497" s="258" t="s">
        <v>7660</v>
      </c>
      <c r="G497" s="240" t="s">
        <v>6939</v>
      </c>
      <c r="H497" s="240" t="s">
        <v>6940</v>
      </c>
      <c r="I497" s="84" t="s">
        <v>36</v>
      </c>
      <c r="J497" s="252" t="s">
        <v>2034</v>
      </c>
      <c r="K497" s="251"/>
      <c r="L497" s="251"/>
      <c r="M497" s="251"/>
      <c r="N497" s="251"/>
      <c r="O497" s="251"/>
      <c r="P497" s="251"/>
      <c r="Q497" s="251"/>
      <c r="R497" s="251"/>
      <c r="S497" s="251"/>
      <c r="T497" s="251"/>
      <c r="U497" s="251"/>
      <c r="V497" s="251"/>
      <c r="W497" s="251"/>
      <c r="X497" s="251"/>
      <c r="Y497" s="251"/>
      <c r="Z497" s="251"/>
      <c r="AA497" s="251"/>
      <c r="AB497" s="251"/>
    </row>
    <row r="498" ht="14.25" customHeight="1">
      <c r="A498" s="251"/>
      <c r="B498" s="263"/>
      <c r="C498" s="242" t="s">
        <v>7668</v>
      </c>
      <c r="D498" s="98" t="s">
        <v>271</v>
      </c>
      <c r="E498" s="240" t="s">
        <v>7577</v>
      </c>
      <c r="F498" s="258" t="s">
        <v>7585</v>
      </c>
      <c r="G498" s="240" t="s">
        <v>7669</v>
      </c>
      <c r="H498" s="240" t="s">
        <v>7670</v>
      </c>
      <c r="I498" s="84" t="s">
        <v>36</v>
      </c>
      <c r="J498" s="252" t="s">
        <v>2034</v>
      </c>
      <c r="K498" s="251"/>
      <c r="L498" s="251"/>
      <c r="M498" s="251"/>
      <c r="N498" s="251"/>
      <c r="O498" s="251"/>
      <c r="P498" s="251"/>
      <c r="Q498" s="251"/>
      <c r="R498" s="251"/>
      <c r="S498" s="251"/>
      <c r="T498" s="251"/>
      <c r="U498" s="251"/>
      <c r="V498" s="251"/>
      <c r="W498" s="251"/>
      <c r="X498" s="251"/>
      <c r="Y498" s="251"/>
      <c r="Z498" s="251"/>
      <c r="AA498" s="251"/>
      <c r="AB498" s="251"/>
    </row>
    <row r="499" ht="14.25" customHeight="1">
      <c r="A499" s="251"/>
      <c r="B499" s="263"/>
      <c r="C499" s="242" t="s">
        <v>7671</v>
      </c>
      <c r="D499" s="98" t="s">
        <v>271</v>
      </c>
      <c r="E499" s="240" t="s">
        <v>7672</v>
      </c>
      <c r="F499" s="258" t="s">
        <v>6807</v>
      </c>
      <c r="G499" s="240" t="s">
        <v>7673</v>
      </c>
      <c r="H499" s="240" t="s">
        <v>7674</v>
      </c>
      <c r="I499" s="84" t="s">
        <v>36</v>
      </c>
      <c r="J499" s="252" t="s">
        <v>2034</v>
      </c>
      <c r="K499" s="251"/>
      <c r="L499" s="251"/>
      <c r="M499" s="251"/>
      <c r="N499" s="251"/>
      <c r="O499" s="251"/>
      <c r="P499" s="251"/>
      <c r="Q499" s="251"/>
      <c r="R499" s="251"/>
      <c r="S499" s="251"/>
      <c r="T499" s="251"/>
      <c r="U499" s="251"/>
      <c r="V499" s="251"/>
      <c r="W499" s="251"/>
      <c r="X499" s="251"/>
      <c r="Y499" s="251"/>
      <c r="Z499" s="251"/>
      <c r="AA499" s="251"/>
      <c r="AB499" s="251"/>
    </row>
    <row r="500" ht="14.25" customHeight="1">
      <c r="A500" s="251"/>
      <c r="B500" s="263"/>
      <c r="C500" s="242" t="s">
        <v>7675</v>
      </c>
      <c r="D500" s="98" t="s">
        <v>271</v>
      </c>
      <c r="E500" s="240" t="s">
        <v>7672</v>
      </c>
      <c r="F500" s="258" t="s">
        <v>7676</v>
      </c>
      <c r="G500" s="240" t="s">
        <v>7677</v>
      </c>
      <c r="H500" s="240" t="s">
        <v>7678</v>
      </c>
      <c r="I500" s="84" t="s">
        <v>36</v>
      </c>
      <c r="J500" s="252" t="s">
        <v>2034</v>
      </c>
      <c r="K500" s="251"/>
      <c r="L500" s="251"/>
      <c r="M500" s="251"/>
      <c r="N500" s="251"/>
      <c r="O500" s="251"/>
      <c r="P500" s="251"/>
      <c r="Q500" s="251"/>
      <c r="R500" s="251"/>
      <c r="S500" s="251"/>
      <c r="T500" s="251"/>
      <c r="U500" s="251"/>
      <c r="V500" s="251"/>
      <c r="W500" s="251"/>
      <c r="X500" s="251"/>
      <c r="Y500" s="251"/>
      <c r="Z500" s="251"/>
      <c r="AA500" s="251"/>
      <c r="AB500" s="251"/>
    </row>
    <row r="501" ht="14.25" customHeight="1">
      <c r="A501" s="251"/>
      <c r="B501" s="263"/>
      <c r="C501" s="242" t="s">
        <v>7679</v>
      </c>
      <c r="D501" s="98" t="s">
        <v>271</v>
      </c>
      <c r="E501" s="240" t="s">
        <v>7672</v>
      </c>
      <c r="F501" s="258" t="s">
        <v>7680</v>
      </c>
      <c r="G501" s="240" t="s">
        <v>7681</v>
      </c>
      <c r="H501" s="240" t="s">
        <v>7682</v>
      </c>
      <c r="I501" s="84" t="s">
        <v>36</v>
      </c>
      <c r="J501" s="252" t="s">
        <v>2034</v>
      </c>
      <c r="K501" s="251"/>
      <c r="L501" s="251"/>
      <c r="M501" s="251"/>
      <c r="N501" s="251"/>
      <c r="O501" s="251"/>
      <c r="P501" s="251"/>
      <c r="Q501" s="251"/>
      <c r="R501" s="251"/>
      <c r="S501" s="251"/>
      <c r="T501" s="251"/>
      <c r="U501" s="251"/>
      <c r="V501" s="251"/>
      <c r="W501" s="251"/>
      <c r="X501" s="251"/>
      <c r="Y501" s="251"/>
      <c r="Z501" s="251"/>
      <c r="AA501" s="251"/>
      <c r="AB501" s="251"/>
    </row>
    <row r="502" ht="14.25" customHeight="1">
      <c r="A502" s="251"/>
      <c r="B502" s="263"/>
      <c r="C502" s="242" t="s">
        <v>7683</v>
      </c>
      <c r="D502" s="98" t="s">
        <v>271</v>
      </c>
      <c r="E502" s="240" t="s">
        <v>7672</v>
      </c>
      <c r="F502" s="258" t="s">
        <v>7684</v>
      </c>
      <c r="G502" s="240" t="s">
        <v>7685</v>
      </c>
      <c r="H502" s="240" t="s">
        <v>7686</v>
      </c>
      <c r="I502" s="84" t="s">
        <v>317</v>
      </c>
      <c r="J502" s="252" t="s">
        <v>2034</v>
      </c>
      <c r="K502" s="251"/>
      <c r="L502" s="251"/>
      <c r="M502" s="251"/>
      <c r="N502" s="251"/>
      <c r="O502" s="251"/>
      <c r="P502" s="251"/>
      <c r="Q502" s="251"/>
      <c r="R502" s="251"/>
      <c r="S502" s="251"/>
      <c r="T502" s="251"/>
      <c r="U502" s="251"/>
      <c r="V502" s="251"/>
      <c r="W502" s="251"/>
      <c r="X502" s="251"/>
      <c r="Y502" s="251"/>
      <c r="Z502" s="251"/>
      <c r="AA502" s="251"/>
      <c r="AB502" s="251"/>
    </row>
    <row r="503" ht="14.25" customHeight="1">
      <c r="A503" s="251"/>
      <c r="B503" s="263"/>
      <c r="C503" s="242" t="s">
        <v>7687</v>
      </c>
      <c r="D503" s="98" t="s">
        <v>271</v>
      </c>
      <c r="E503" s="240" t="s">
        <v>7672</v>
      </c>
      <c r="F503" s="258" t="s">
        <v>7684</v>
      </c>
      <c r="G503" s="240" t="s">
        <v>6823</v>
      </c>
      <c r="H503" s="240" t="s">
        <v>7688</v>
      </c>
      <c r="I503" s="84" t="s">
        <v>36</v>
      </c>
      <c r="J503" s="252" t="s">
        <v>2034</v>
      </c>
      <c r="K503" s="251"/>
      <c r="L503" s="251"/>
      <c r="M503" s="251"/>
      <c r="N503" s="251"/>
      <c r="O503" s="251"/>
      <c r="P503" s="251"/>
      <c r="Q503" s="251"/>
      <c r="R503" s="251"/>
      <c r="S503" s="251"/>
      <c r="T503" s="251"/>
      <c r="U503" s="251"/>
      <c r="V503" s="251"/>
      <c r="W503" s="251"/>
      <c r="X503" s="251"/>
      <c r="Y503" s="251"/>
      <c r="Z503" s="251"/>
      <c r="AA503" s="251"/>
      <c r="AB503" s="251"/>
    </row>
    <row r="504" ht="14.25" customHeight="1">
      <c r="A504" s="251"/>
      <c r="B504" s="263"/>
      <c r="C504" s="242" t="s">
        <v>7689</v>
      </c>
      <c r="D504" s="98" t="s">
        <v>271</v>
      </c>
      <c r="E504" s="240" t="s">
        <v>7672</v>
      </c>
      <c r="F504" s="258" t="s">
        <v>7684</v>
      </c>
      <c r="G504" s="240" t="s">
        <v>6826</v>
      </c>
      <c r="H504" s="240" t="s">
        <v>6827</v>
      </c>
      <c r="I504" s="84" t="s">
        <v>36</v>
      </c>
      <c r="J504" s="252" t="s">
        <v>2034</v>
      </c>
      <c r="K504" s="251"/>
      <c r="L504" s="251"/>
      <c r="M504" s="251"/>
      <c r="N504" s="251"/>
      <c r="O504" s="251"/>
      <c r="P504" s="251"/>
      <c r="Q504" s="251"/>
      <c r="R504" s="251"/>
      <c r="S504" s="251"/>
      <c r="T504" s="251"/>
      <c r="U504" s="251"/>
      <c r="V504" s="251"/>
      <c r="W504" s="251"/>
      <c r="X504" s="251"/>
      <c r="Y504" s="251"/>
      <c r="Z504" s="251"/>
      <c r="AA504" s="251"/>
      <c r="AB504" s="251"/>
    </row>
    <row r="505" ht="14.25" customHeight="1">
      <c r="A505" s="251"/>
      <c r="B505" s="263"/>
      <c r="C505" s="242" t="s">
        <v>7690</v>
      </c>
      <c r="D505" s="98" t="s">
        <v>271</v>
      </c>
      <c r="E505" s="240" t="s">
        <v>7672</v>
      </c>
      <c r="F505" s="258" t="s">
        <v>7684</v>
      </c>
      <c r="G505" s="240" t="s">
        <v>7691</v>
      </c>
      <c r="H505" s="240" t="s">
        <v>7692</v>
      </c>
      <c r="I505" s="84" t="s">
        <v>36</v>
      </c>
      <c r="J505" s="252" t="s">
        <v>2034</v>
      </c>
      <c r="K505" s="251"/>
      <c r="L505" s="251"/>
      <c r="M505" s="251"/>
      <c r="N505" s="251"/>
      <c r="O505" s="251"/>
      <c r="P505" s="251"/>
      <c r="Q505" s="251"/>
      <c r="R505" s="251"/>
      <c r="S505" s="251"/>
      <c r="T505" s="251"/>
      <c r="U505" s="251"/>
      <c r="V505" s="251"/>
      <c r="W505" s="251"/>
      <c r="X505" s="251"/>
      <c r="Y505" s="251"/>
      <c r="Z505" s="251"/>
      <c r="AA505" s="251"/>
      <c r="AB505" s="251"/>
    </row>
    <row r="506" ht="14.25" customHeight="1">
      <c r="A506" s="251"/>
      <c r="B506" s="263"/>
      <c r="C506" s="242" t="s">
        <v>7693</v>
      </c>
      <c r="D506" s="98" t="s">
        <v>271</v>
      </c>
      <c r="E506" s="240" t="s">
        <v>7672</v>
      </c>
      <c r="F506" s="258" t="s">
        <v>7694</v>
      </c>
      <c r="G506" s="240" t="s">
        <v>7695</v>
      </c>
      <c r="H506" s="240" t="s">
        <v>7696</v>
      </c>
      <c r="I506" s="84" t="s">
        <v>36</v>
      </c>
      <c r="J506" s="252" t="s">
        <v>2034</v>
      </c>
      <c r="K506" s="251"/>
      <c r="L506" s="251"/>
      <c r="M506" s="251"/>
      <c r="N506" s="251"/>
      <c r="O506" s="251"/>
      <c r="P506" s="251"/>
      <c r="Q506" s="251"/>
      <c r="R506" s="251"/>
      <c r="S506" s="251"/>
      <c r="T506" s="251"/>
      <c r="U506" s="251"/>
      <c r="V506" s="251"/>
      <c r="W506" s="251"/>
      <c r="X506" s="251"/>
      <c r="Y506" s="251"/>
      <c r="Z506" s="251"/>
      <c r="AA506" s="251"/>
      <c r="AB506" s="251"/>
    </row>
    <row r="507" ht="14.25" customHeight="1">
      <c r="A507" s="251"/>
      <c r="B507" s="263"/>
      <c r="C507" s="242" t="s">
        <v>7697</v>
      </c>
      <c r="D507" s="98" t="s">
        <v>271</v>
      </c>
      <c r="E507" s="240" t="s">
        <v>7672</v>
      </c>
      <c r="F507" s="258" t="s">
        <v>7694</v>
      </c>
      <c r="G507" s="240" t="s">
        <v>6836</v>
      </c>
      <c r="H507" s="240" t="s">
        <v>7698</v>
      </c>
      <c r="I507" s="84" t="s">
        <v>36</v>
      </c>
      <c r="J507" s="252" t="s">
        <v>2034</v>
      </c>
      <c r="K507" s="251"/>
      <c r="L507" s="251"/>
      <c r="M507" s="251"/>
      <c r="N507" s="251"/>
      <c r="O507" s="251"/>
      <c r="P507" s="251"/>
      <c r="Q507" s="251"/>
      <c r="R507" s="251"/>
      <c r="S507" s="251"/>
      <c r="T507" s="251"/>
      <c r="U507" s="251"/>
      <c r="V507" s="251"/>
      <c r="W507" s="251"/>
      <c r="X507" s="251"/>
      <c r="Y507" s="251"/>
      <c r="Z507" s="251"/>
      <c r="AA507" s="251"/>
      <c r="AB507" s="251"/>
    </row>
    <row r="508" ht="14.25" customHeight="1">
      <c r="A508" s="251"/>
      <c r="B508" s="263"/>
      <c r="C508" s="242" t="s">
        <v>7699</v>
      </c>
      <c r="D508" s="98" t="s">
        <v>271</v>
      </c>
      <c r="E508" s="240" t="s">
        <v>7672</v>
      </c>
      <c r="F508" s="258" t="s">
        <v>7694</v>
      </c>
      <c r="G508" s="240" t="s">
        <v>6839</v>
      </c>
      <c r="H508" s="240" t="s">
        <v>6840</v>
      </c>
      <c r="I508" s="84" t="s">
        <v>36</v>
      </c>
      <c r="J508" s="252" t="s">
        <v>2034</v>
      </c>
      <c r="K508" s="251"/>
      <c r="L508" s="251"/>
      <c r="M508" s="251"/>
      <c r="N508" s="251"/>
      <c r="O508" s="251"/>
      <c r="P508" s="251"/>
      <c r="Q508" s="251"/>
      <c r="R508" s="251"/>
      <c r="S508" s="251"/>
      <c r="T508" s="251"/>
      <c r="U508" s="251"/>
      <c r="V508" s="251"/>
      <c r="W508" s="251"/>
      <c r="X508" s="251"/>
      <c r="Y508" s="251"/>
      <c r="Z508" s="251"/>
      <c r="AA508" s="251"/>
      <c r="AB508" s="251"/>
    </row>
    <row r="509" ht="14.25" customHeight="1">
      <c r="A509" s="251"/>
      <c r="B509" s="263"/>
      <c r="C509" s="242" t="s">
        <v>7700</v>
      </c>
      <c r="D509" s="98" t="s">
        <v>271</v>
      </c>
      <c r="E509" s="240" t="s">
        <v>7672</v>
      </c>
      <c r="F509" s="258" t="s">
        <v>7701</v>
      </c>
      <c r="G509" s="240" t="s">
        <v>7702</v>
      </c>
      <c r="H509" s="240" t="s">
        <v>7703</v>
      </c>
      <c r="I509" s="84" t="s">
        <v>36</v>
      </c>
      <c r="J509" s="252" t="s">
        <v>2034</v>
      </c>
      <c r="K509" s="251"/>
      <c r="L509" s="251"/>
      <c r="M509" s="251"/>
      <c r="N509" s="251"/>
      <c r="O509" s="251"/>
      <c r="P509" s="251"/>
      <c r="Q509" s="251"/>
      <c r="R509" s="251"/>
      <c r="S509" s="251"/>
      <c r="T509" s="251"/>
      <c r="U509" s="251"/>
      <c r="V509" s="251"/>
      <c r="W509" s="251"/>
      <c r="X509" s="251"/>
      <c r="Y509" s="251"/>
      <c r="Z509" s="251"/>
      <c r="AA509" s="251"/>
      <c r="AB509" s="251"/>
    </row>
    <row r="510" ht="14.25" customHeight="1">
      <c r="A510" s="251"/>
      <c r="B510" s="263"/>
      <c r="C510" s="242" t="s">
        <v>7704</v>
      </c>
      <c r="D510" s="98" t="s">
        <v>271</v>
      </c>
      <c r="E510" s="264"/>
      <c r="F510" s="258" t="s">
        <v>7705</v>
      </c>
      <c r="G510" s="240" t="s">
        <v>6846</v>
      </c>
      <c r="H510" s="240" t="s">
        <v>6847</v>
      </c>
      <c r="I510" s="84" t="s">
        <v>36</v>
      </c>
      <c r="J510" s="252" t="s">
        <v>2034</v>
      </c>
      <c r="K510" s="251"/>
      <c r="L510" s="251"/>
      <c r="M510" s="251"/>
      <c r="N510" s="251"/>
      <c r="O510" s="251"/>
      <c r="P510" s="251"/>
      <c r="Q510" s="251"/>
      <c r="R510" s="251"/>
      <c r="S510" s="251"/>
      <c r="T510" s="251"/>
      <c r="U510" s="251"/>
      <c r="V510" s="251"/>
      <c r="W510" s="251"/>
      <c r="X510" s="251"/>
      <c r="Y510" s="251"/>
      <c r="Z510" s="251"/>
      <c r="AA510" s="251"/>
      <c r="AB510" s="251"/>
    </row>
    <row r="511" ht="14.25" customHeight="1">
      <c r="A511" s="251"/>
      <c r="B511" s="263"/>
      <c r="C511" s="242" t="s">
        <v>7706</v>
      </c>
      <c r="D511" s="98" t="s">
        <v>271</v>
      </c>
      <c r="E511" s="240" t="s">
        <v>7672</v>
      </c>
      <c r="F511" s="258" t="s">
        <v>7707</v>
      </c>
      <c r="G511" s="240" t="s">
        <v>7708</v>
      </c>
      <c r="H511" s="240" t="s">
        <v>7709</v>
      </c>
      <c r="I511" s="84" t="s">
        <v>36</v>
      </c>
      <c r="J511" s="252" t="s">
        <v>2034</v>
      </c>
      <c r="K511" s="251"/>
      <c r="L511" s="251"/>
      <c r="M511" s="251"/>
      <c r="N511" s="251"/>
      <c r="O511" s="251"/>
      <c r="P511" s="251"/>
      <c r="Q511" s="251"/>
      <c r="R511" s="251"/>
      <c r="S511" s="251"/>
      <c r="T511" s="251"/>
      <c r="U511" s="251"/>
      <c r="V511" s="251"/>
      <c r="W511" s="251"/>
      <c r="X511" s="251"/>
      <c r="Y511" s="251"/>
      <c r="Z511" s="251"/>
      <c r="AA511" s="251"/>
      <c r="AB511" s="251"/>
    </row>
    <row r="512" ht="14.25" customHeight="1">
      <c r="A512" s="251"/>
      <c r="B512" s="263"/>
      <c r="C512" s="242" t="s">
        <v>7710</v>
      </c>
      <c r="D512" s="98" t="s">
        <v>271</v>
      </c>
      <c r="E512" s="240" t="s">
        <v>7672</v>
      </c>
      <c r="F512" s="258" t="s">
        <v>7707</v>
      </c>
      <c r="G512" s="240" t="s">
        <v>6853</v>
      </c>
      <c r="H512" s="240" t="s">
        <v>7711</v>
      </c>
      <c r="I512" s="84" t="s">
        <v>36</v>
      </c>
      <c r="J512" s="252" t="s">
        <v>2034</v>
      </c>
      <c r="K512" s="251"/>
      <c r="L512" s="251"/>
      <c r="M512" s="251"/>
      <c r="N512" s="251"/>
      <c r="O512" s="251"/>
      <c r="P512" s="251"/>
      <c r="Q512" s="251"/>
      <c r="R512" s="251"/>
      <c r="S512" s="251"/>
      <c r="T512" s="251"/>
      <c r="U512" s="251"/>
      <c r="V512" s="251"/>
      <c r="W512" s="251"/>
      <c r="X512" s="251"/>
      <c r="Y512" s="251"/>
      <c r="Z512" s="251"/>
      <c r="AA512" s="251"/>
      <c r="AB512" s="251"/>
    </row>
    <row r="513" ht="14.25" customHeight="1">
      <c r="A513" s="251"/>
      <c r="B513" s="263"/>
      <c r="C513" s="242" t="s">
        <v>7712</v>
      </c>
      <c r="D513" s="98" t="s">
        <v>271</v>
      </c>
      <c r="E513" s="240" t="s">
        <v>7672</v>
      </c>
      <c r="F513" s="258" t="s">
        <v>7707</v>
      </c>
      <c r="G513" s="240" t="s">
        <v>7713</v>
      </c>
      <c r="H513" s="240" t="s">
        <v>7714</v>
      </c>
      <c r="I513" s="84" t="s">
        <v>36</v>
      </c>
      <c r="J513" s="252" t="s">
        <v>2034</v>
      </c>
      <c r="K513" s="251"/>
      <c r="L513" s="251"/>
      <c r="M513" s="251"/>
      <c r="N513" s="251"/>
      <c r="O513" s="251"/>
      <c r="P513" s="251"/>
      <c r="Q513" s="251"/>
      <c r="R513" s="251"/>
      <c r="S513" s="251"/>
      <c r="T513" s="251"/>
      <c r="U513" s="251"/>
      <c r="V513" s="251"/>
      <c r="W513" s="251"/>
      <c r="X513" s="251"/>
      <c r="Y513" s="251"/>
      <c r="Z513" s="251"/>
      <c r="AA513" s="251"/>
      <c r="AB513" s="251"/>
    </row>
    <row r="514" ht="14.25" customHeight="1">
      <c r="A514" s="251"/>
      <c r="B514" s="263"/>
      <c r="C514" s="242" t="s">
        <v>7715</v>
      </c>
      <c r="D514" s="98" t="s">
        <v>271</v>
      </c>
      <c r="E514" s="240" t="s">
        <v>7672</v>
      </c>
      <c r="F514" s="258" t="s">
        <v>7716</v>
      </c>
      <c r="G514" s="240" t="s">
        <v>7717</v>
      </c>
      <c r="H514" s="240" t="s">
        <v>7718</v>
      </c>
      <c r="I514" s="84" t="s">
        <v>36</v>
      </c>
      <c r="J514" s="252" t="s">
        <v>2034</v>
      </c>
      <c r="K514" s="251"/>
      <c r="L514" s="251"/>
      <c r="M514" s="251"/>
      <c r="N514" s="251"/>
      <c r="O514" s="251"/>
      <c r="P514" s="251"/>
      <c r="Q514" s="251"/>
      <c r="R514" s="251"/>
      <c r="S514" s="251"/>
      <c r="T514" s="251"/>
      <c r="U514" s="251"/>
      <c r="V514" s="251"/>
      <c r="W514" s="251"/>
      <c r="X514" s="251"/>
      <c r="Y514" s="251"/>
      <c r="Z514" s="251"/>
      <c r="AA514" s="251"/>
      <c r="AB514" s="251"/>
    </row>
    <row r="515" ht="14.25" customHeight="1">
      <c r="A515" s="251"/>
      <c r="B515" s="263"/>
      <c r="C515" s="242" t="s">
        <v>7719</v>
      </c>
      <c r="D515" s="98" t="s">
        <v>271</v>
      </c>
      <c r="E515" s="240" t="s">
        <v>7672</v>
      </c>
      <c r="F515" s="258" t="s">
        <v>7716</v>
      </c>
      <c r="G515" s="240" t="s">
        <v>7720</v>
      </c>
      <c r="H515" s="240" t="s">
        <v>7721</v>
      </c>
      <c r="I515" s="84" t="s">
        <v>36</v>
      </c>
      <c r="J515" s="252" t="s">
        <v>2034</v>
      </c>
      <c r="K515" s="251"/>
      <c r="L515" s="251"/>
      <c r="M515" s="251"/>
      <c r="N515" s="251"/>
      <c r="O515" s="251"/>
      <c r="P515" s="251"/>
      <c r="Q515" s="251"/>
      <c r="R515" s="251"/>
      <c r="S515" s="251"/>
      <c r="T515" s="251"/>
      <c r="U515" s="251"/>
      <c r="V515" s="251"/>
      <c r="W515" s="251"/>
      <c r="X515" s="251"/>
      <c r="Y515" s="251"/>
      <c r="Z515" s="251"/>
      <c r="AA515" s="251"/>
      <c r="AB515" s="251"/>
    </row>
    <row r="516" ht="14.25" customHeight="1">
      <c r="A516" s="251"/>
      <c r="B516" s="263"/>
      <c r="C516" s="242" t="s">
        <v>7722</v>
      </c>
      <c r="D516" s="98" t="s">
        <v>271</v>
      </c>
      <c r="E516" s="240" t="s">
        <v>7672</v>
      </c>
      <c r="F516" s="258" t="s">
        <v>7716</v>
      </c>
      <c r="G516" s="240" t="s">
        <v>6866</v>
      </c>
      <c r="H516" s="240" t="s">
        <v>7723</v>
      </c>
      <c r="I516" s="84" t="s">
        <v>36</v>
      </c>
      <c r="J516" s="252" t="s">
        <v>2034</v>
      </c>
      <c r="K516" s="251"/>
      <c r="L516" s="251"/>
      <c r="M516" s="251"/>
      <c r="N516" s="251"/>
      <c r="O516" s="251"/>
      <c r="P516" s="251"/>
      <c r="Q516" s="251"/>
      <c r="R516" s="251"/>
      <c r="S516" s="251"/>
      <c r="T516" s="251"/>
      <c r="U516" s="251"/>
      <c r="V516" s="251"/>
      <c r="W516" s="251"/>
      <c r="X516" s="251"/>
      <c r="Y516" s="251"/>
      <c r="Z516" s="251"/>
      <c r="AA516" s="251"/>
      <c r="AB516" s="251"/>
    </row>
    <row r="517" ht="14.25" customHeight="1">
      <c r="A517" s="251"/>
      <c r="B517" s="263"/>
      <c r="C517" s="242" t="s">
        <v>7724</v>
      </c>
      <c r="D517" s="98" t="s">
        <v>271</v>
      </c>
      <c r="E517" s="240" t="s">
        <v>7672</v>
      </c>
      <c r="F517" s="258" t="s">
        <v>7716</v>
      </c>
      <c r="G517" s="240" t="s">
        <v>6869</v>
      </c>
      <c r="H517" s="240" t="s">
        <v>7725</v>
      </c>
      <c r="I517" s="84" t="s">
        <v>36</v>
      </c>
      <c r="J517" s="252" t="s">
        <v>2034</v>
      </c>
      <c r="K517" s="251"/>
      <c r="L517" s="251"/>
      <c r="M517" s="251"/>
      <c r="N517" s="251"/>
      <c r="O517" s="251"/>
      <c r="P517" s="251"/>
      <c r="Q517" s="251"/>
      <c r="R517" s="251"/>
      <c r="S517" s="251"/>
      <c r="T517" s="251"/>
      <c r="U517" s="251"/>
      <c r="V517" s="251"/>
      <c r="W517" s="251"/>
      <c r="X517" s="251"/>
      <c r="Y517" s="251"/>
      <c r="Z517" s="251"/>
      <c r="AA517" s="251"/>
      <c r="AB517" s="251"/>
    </row>
    <row r="518" ht="14.25" customHeight="1">
      <c r="A518" s="251"/>
      <c r="B518" s="263"/>
      <c r="C518" s="242" t="s">
        <v>7726</v>
      </c>
      <c r="D518" s="98" t="s">
        <v>271</v>
      </c>
      <c r="E518" s="240" t="s">
        <v>7672</v>
      </c>
      <c r="F518" s="258" t="s">
        <v>7684</v>
      </c>
      <c r="G518" s="240" t="s">
        <v>6872</v>
      </c>
      <c r="H518" s="240" t="s">
        <v>6873</v>
      </c>
      <c r="I518" s="84" t="s">
        <v>36</v>
      </c>
      <c r="J518" s="252" t="s">
        <v>2034</v>
      </c>
      <c r="K518" s="251"/>
      <c r="L518" s="251"/>
      <c r="M518" s="251"/>
      <c r="N518" s="251"/>
      <c r="O518" s="251"/>
      <c r="P518" s="251"/>
      <c r="Q518" s="251"/>
      <c r="R518" s="251"/>
      <c r="S518" s="251"/>
      <c r="T518" s="251"/>
      <c r="U518" s="251"/>
      <c r="V518" s="251"/>
      <c r="W518" s="251"/>
      <c r="X518" s="251"/>
      <c r="Y518" s="251"/>
      <c r="Z518" s="251"/>
      <c r="AA518" s="251"/>
      <c r="AB518" s="251"/>
    </row>
    <row r="519" ht="14.25" customHeight="1">
      <c r="A519" s="251"/>
      <c r="B519" s="263"/>
      <c r="C519" s="242" t="s">
        <v>7727</v>
      </c>
      <c r="D519" s="98" t="s">
        <v>271</v>
      </c>
      <c r="E519" s="240" t="s">
        <v>7672</v>
      </c>
      <c r="F519" s="258" t="s">
        <v>7728</v>
      </c>
      <c r="G519" s="240" t="s">
        <v>7729</v>
      </c>
      <c r="H519" s="240" t="s">
        <v>6877</v>
      </c>
      <c r="I519" s="84" t="s">
        <v>317</v>
      </c>
      <c r="J519" s="252" t="s">
        <v>2034</v>
      </c>
      <c r="K519" s="251"/>
      <c r="L519" s="251"/>
      <c r="M519" s="251"/>
      <c r="N519" s="251"/>
      <c r="O519" s="251"/>
      <c r="P519" s="251"/>
      <c r="Q519" s="251"/>
      <c r="R519" s="251"/>
      <c r="S519" s="251"/>
      <c r="T519" s="251"/>
      <c r="U519" s="251"/>
      <c r="V519" s="251"/>
      <c r="W519" s="251"/>
      <c r="X519" s="251"/>
      <c r="Y519" s="251"/>
      <c r="Z519" s="251"/>
      <c r="AA519" s="251"/>
      <c r="AB519" s="251"/>
    </row>
    <row r="520" ht="14.25" customHeight="1">
      <c r="A520" s="251"/>
      <c r="B520" s="263"/>
      <c r="C520" s="242" t="s">
        <v>7730</v>
      </c>
      <c r="D520" s="98" t="s">
        <v>271</v>
      </c>
      <c r="E520" s="240" t="s">
        <v>7672</v>
      </c>
      <c r="F520" s="258" t="s">
        <v>7728</v>
      </c>
      <c r="G520" s="240" t="s">
        <v>6879</v>
      </c>
      <c r="H520" s="240" t="s">
        <v>7731</v>
      </c>
      <c r="I520" s="84" t="s">
        <v>317</v>
      </c>
      <c r="J520" s="252" t="s">
        <v>2034</v>
      </c>
      <c r="K520" s="251"/>
      <c r="L520" s="251"/>
      <c r="M520" s="251"/>
      <c r="N520" s="251"/>
      <c r="O520" s="251"/>
      <c r="P520" s="251"/>
      <c r="Q520" s="251"/>
      <c r="R520" s="251"/>
      <c r="S520" s="251"/>
      <c r="T520" s="251"/>
      <c r="U520" s="251"/>
      <c r="V520" s="251"/>
      <c r="W520" s="251"/>
      <c r="X520" s="251"/>
      <c r="Y520" s="251"/>
      <c r="Z520" s="251"/>
      <c r="AA520" s="251"/>
      <c r="AB520" s="251"/>
    </row>
    <row r="521" ht="14.25" customHeight="1">
      <c r="A521" s="251"/>
      <c r="B521" s="263"/>
      <c r="C521" s="242" t="s">
        <v>7732</v>
      </c>
      <c r="D521" s="98" t="s">
        <v>271</v>
      </c>
      <c r="E521" s="240" t="s">
        <v>7672</v>
      </c>
      <c r="F521" s="258" t="s">
        <v>7728</v>
      </c>
      <c r="G521" s="240" t="s">
        <v>6882</v>
      </c>
      <c r="H521" s="240" t="s">
        <v>6883</v>
      </c>
      <c r="I521" s="84" t="s">
        <v>317</v>
      </c>
      <c r="J521" s="252" t="s">
        <v>2034</v>
      </c>
      <c r="K521" s="251"/>
      <c r="L521" s="251"/>
      <c r="M521" s="251"/>
      <c r="N521" s="251"/>
      <c r="O521" s="251"/>
      <c r="P521" s="251"/>
      <c r="Q521" s="251"/>
      <c r="R521" s="251"/>
      <c r="S521" s="251"/>
      <c r="T521" s="251"/>
      <c r="U521" s="251"/>
      <c r="V521" s="251"/>
      <c r="W521" s="251"/>
      <c r="X521" s="251"/>
      <c r="Y521" s="251"/>
      <c r="Z521" s="251"/>
      <c r="AA521" s="251"/>
      <c r="AB521" s="251"/>
    </row>
    <row r="522" ht="14.25" customHeight="1">
      <c r="A522" s="251"/>
      <c r="B522" s="263"/>
      <c r="C522" s="242" t="s">
        <v>7733</v>
      </c>
      <c r="D522" s="98" t="s">
        <v>271</v>
      </c>
      <c r="E522" s="240" t="s">
        <v>7672</v>
      </c>
      <c r="F522" s="258" t="s">
        <v>7728</v>
      </c>
      <c r="G522" s="240" t="s">
        <v>6885</v>
      </c>
      <c r="H522" s="240" t="s">
        <v>6886</v>
      </c>
      <c r="I522" s="84" t="s">
        <v>36</v>
      </c>
      <c r="J522" s="252" t="s">
        <v>2034</v>
      </c>
      <c r="K522" s="251"/>
      <c r="L522" s="251"/>
      <c r="M522" s="251"/>
      <c r="N522" s="251"/>
      <c r="O522" s="251"/>
      <c r="P522" s="251"/>
      <c r="Q522" s="251"/>
      <c r="R522" s="251"/>
      <c r="S522" s="251"/>
      <c r="T522" s="251"/>
      <c r="U522" s="251"/>
      <c r="V522" s="251"/>
      <c r="W522" s="251"/>
      <c r="X522" s="251"/>
      <c r="Y522" s="251"/>
      <c r="Z522" s="251"/>
      <c r="AA522" s="251"/>
      <c r="AB522" s="251"/>
    </row>
    <row r="523" ht="14.25" customHeight="1">
      <c r="A523" s="251"/>
      <c r="B523" s="263"/>
      <c r="C523" s="242" t="s">
        <v>7734</v>
      </c>
      <c r="D523" s="98" t="s">
        <v>271</v>
      </c>
      <c r="E523" s="240" t="s">
        <v>7672</v>
      </c>
      <c r="F523" s="258" t="s">
        <v>7728</v>
      </c>
      <c r="G523" s="240" t="s">
        <v>6888</v>
      </c>
      <c r="H523" s="240" t="s">
        <v>6889</v>
      </c>
      <c r="I523" s="84" t="s">
        <v>36</v>
      </c>
      <c r="J523" s="252" t="s">
        <v>2034</v>
      </c>
      <c r="K523" s="251"/>
      <c r="L523" s="251"/>
      <c r="M523" s="251"/>
      <c r="N523" s="251"/>
      <c r="O523" s="251"/>
      <c r="P523" s="251"/>
      <c r="Q523" s="251"/>
      <c r="R523" s="251"/>
      <c r="S523" s="251"/>
      <c r="T523" s="251"/>
      <c r="U523" s="251"/>
      <c r="V523" s="251"/>
      <c r="W523" s="251"/>
      <c r="X523" s="251"/>
      <c r="Y523" s="251"/>
      <c r="Z523" s="251"/>
      <c r="AA523" s="251"/>
      <c r="AB523" s="251"/>
    </row>
    <row r="524" ht="14.25" customHeight="1">
      <c r="A524" s="251"/>
      <c r="B524" s="263"/>
      <c r="C524" s="242" t="s">
        <v>7735</v>
      </c>
      <c r="D524" s="98" t="s">
        <v>271</v>
      </c>
      <c r="E524" s="240" t="s">
        <v>7672</v>
      </c>
      <c r="F524" s="258" t="s">
        <v>7728</v>
      </c>
      <c r="G524" s="240" t="s">
        <v>6891</v>
      </c>
      <c r="H524" s="240" t="s">
        <v>7736</v>
      </c>
      <c r="I524" s="84" t="s">
        <v>36</v>
      </c>
      <c r="J524" s="252" t="s">
        <v>2034</v>
      </c>
      <c r="K524" s="251"/>
      <c r="L524" s="251"/>
      <c r="M524" s="251"/>
      <c r="N524" s="251"/>
      <c r="O524" s="251"/>
      <c r="P524" s="251"/>
      <c r="Q524" s="251"/>
      <c r="R524" s="251"/>
      <c r="S524" s="251"/>
      <c r="T524" s="251"/>
      <c r="U524" s="251"/>
      <c r="V524" s="251"/>
      <c r="W524" s="251"/>
      <c r="X524" s="251"/>
      <c r="Y524" s="251"/>
      <c r="Z524" s="251"/>
      <c r="AA524" s="251"/>
      <c r="AB524" s="251"/>
    </row>
    <row r="525" ht="14.25" customHeight="1">
      <c r="A525" s="251"/>
      <c r="B525" s="263"/>
      <c r="C525" s="242" t="s">
        <v>7737</v>
      </c>
      <c r="D525" s="98" t="s">
        <v>271</v>
      </c>
      <c r="E525" s="240" t="s">
        <v>7672</v>
      </c>
      <c r="F525" s="258" t="s">
        <v>7728</v>
      </c>
      <c r="G525" s="240" t="s">
        <v>6894</v>
      </c>
      <c r="H525" s="240" t="s">
        <v>7738</v>
      </c>
      <c r="I525" s="84" t="s">
        <v>36</v>
      </c>
      <c r="J525" s="252" t="s">
        <v>2034</v>
      </c>
      <c r="K525" s="251"/>
      <c r="L525" s="251"/>
      <c r="M525" s="251"/>
      <c r="N525" s="251"/>
      <c r="O525" s="251"/>
      <c r="P525" s="251"/>
      <c r="Q525" s="251"/>
      <c r="R525" s="251"/>
      <c r="S525" s="251"/>
      <c r="T525" s="251"/>
      <c r="U525" s="251"/>
      <c r="V525" s="251"/>
      <c r="W525" s="251"/>
      <c r="X525" s="251"/>
      <c r="Y525" s="251"/>
      <c r="Z525" s="251"/>
      <c r="AA525" s="251"/>
      <c r="AB525" s="251"/>
    </row>
    <row r="526" ht="14.25" customHeight="1">
      <c r="A526" s="251"/>
      <c r="B526" s="263"/>
      <c r="C526" s="242" t="s">
        <v>7739</v>
      </c>
      <c r="D526" s="98" t="s">
        <v>271</v>
      </c>
      <c r="E526" s="240" t="s">
        <v>7672</v>
      </c>
      <c r="F526" s="258" t="s">
        <v>7728</v>
      </c>
      <c r="G526" s="240" t="s">
        <v>6897</v>
      </c>
      <c r="H526" s="240" t="s">
        <v>6898</v>
      </c>
      <c r="I526" s="84" t="s">
        <v>36</v>
      </c>
      <c r="J526" s="252" t="s">
        <v>2034</v>
      </c>
      <c r="K526" s="251"/>
      <c r="L526" s="251"/>
      <c r="M526" s="251"/>
      <c r="N526" s="251"/>
      <c r="O526" s="251"/>
      <c r="P526" s="251"/>
      <c r="Q526" s="251"/>
      <c r="R526" s="251"/>
      <c r="S526" s="251"/>
      <c r="T526" s="251"/>
      <c r="U526" s="251"/>
      <c r="V526" s="251"/>
      <c r="W526" s="251"/>
      <c r="X526" s="251"/>
      <c r="Y526" s="251"/>
      <c r="Z526" s="251"/>
      <c r="AA526" s="251"/>
      <c r="AB526" s="251"/>
    </row>
    <row r="527" ht="14.25" customHeight="1">
      <c r="A527" s="251"/>
      <c r="B527" s="263"/>
      <c r="C527" s="242" t="s">
        <v>7740</v>
      </c>
      <c r="D527" s="98" t="s">
        <v>271</v>
      </c>
      <c r="E527" s="240" t="s">
        <v>7672</v>
      </c>
      <c r="F527" s="258" t="s">
        <v>7741</v>
      </c>
      <c r="G527" s="240" t="s">
        <v>7742</v>
      </c>
      <c r="H527" s="240" t="s">
        <v>7743</v>
      </c>
      <c r="I527" s="84" t="s">
        <v>36</v>
      </c>
      <c r="J527" s="252" t="s">
        <v>2034</v>
      </c>
      <c r="K527" s="251"/>
      <c r="L527" s="251"/>
      <c r="M527" s="251"/>
      <c r="N527" s="251"/>
      <c r="O527" s="251"/>
      <c r="P527" s="251"/>
      <c r="Q527" s="251"/>
      <c r="R527" s="251"/>
      <c r="S527" s="251"/>
      <c r="T527" s="251"/>
      <c r="U527" s="251"/>
      <c r="V527" s="251"/>
      <c r="W527" s="251"/>
      <c r="X527" s="251"/>
      <c r="Y527" s="251"/>
      <c r="Z527" s="251"/>
      <c r="AA527" s="251"/>
      <c r="AB527" s="251"/>
    </row>
    <row r="528" ht="14.25" customHeight="1">
      <c r="A528" s="251"/>
      <c r="B528" s="263"/>
      <c r="C528" s="242" t="s">
        <v>7744</v>
      </c>
      <c r="D528" s="98" t="s">
        <v>271</v>
      </c>
      <c r="E528" s="240" t="s">
        <v>7672</v>
      </c>
      <c r="F528" s="258" t="s">
        <v>7741</v>
      </c>
      <c r="G528" s="240" t="s">
        <v>6904</v>
      </c>
      <c r="H528" s="240" t="s">
        <v>6905</v>
      </c>
      <c r="I528" s="84" t="s">
        <v>36</v>
      </c>
      <c r="J528" s="252" t="s">
        <v>2034</v>
      </c>
      <c r="K528" s="251"/>
      <c r="L528" s="251"/>
      <c r="M528" s="251"/>
      <c r="N528" s="251"/>
      <c r="O528" s="251"/>
      <c r="P528" s="251"/>
      <c r="Q528" s="251"/>
      <c r="R528" s="251"/>
      <c r="S528" s="251"/>
      <c r="T528" s="251"/>
      <c r="U528" s="251"/>
      <c r="V528" s="251"/>
      <c r="W528" s="251"/>
      <c r="X528" s="251"/>
      <c r="Y528" s="251"/>
      <c r="Z528" s="251"/>
      <c r="AA528" s="251"/>
      <c r="AB528" s="251"/>
    </row>
    <row r="529" ht="14.25" customHeight="1">
      <c r="A529" s="251"/>
      <c r="B529" s="263"/>
      <c r="C529" s="242" t="s">
        <v>7745</v>
      </c>
      <c r="D529" s="98" t="s">
        <v>271</v>
      </c>
      <c r="E529" s="240" t="s">
        <v>7672</v>
      </c>
      <c r="F529" s="258" t="s">
        <v>7741</v>
      </c>
      <c r="G529" s="240" t="s">
        <v>6907</v>
      </c>
      <c r="H529" s="240" t="s">
        <v>7746</v>
      </c>
      <c r="I529" s="84" t="s">
        <v>36</v>
      </c>
      <c r="J529" s="252" t="s">
        <v>2034</v>
      </c>
      <c r="K529" s="251"/>
      <c r="L529" s="251"/>
      <c r="M529" s="251"/>
      <c r="N529" s="251"/>
      <c r="O529" s="251"/>
      <c r="P529" s="251"/>
      <c r="Q529" s="251"/>
      <c r="R529" s="251"/>
      <c r="S529" s="251"/>
      <c r="T529" s="251"/>
      <c r="U529" s="251"/>
      <c r="V529" s="251"/>
      <c r="W529" s="251"/>
      <c r="X529" s="251"/>
      <c r="Y529" s="251"/>
      <c r="Z529" s="251"/>
      <c r="AA529" s="251"/>
      <c r="AB529" s="251"/>
    </row>
    <row r="530" ht="14.25" customHeight="1">
      <c r="A530" s="251"/>
      <c r="B530" s="263"/>
      <c r="C530" s="242" t="s">
        <v>7747</v>
      </c>
      <c r="D530" s="98" t="s">
        <v>271</v>
      </c>
      <c r="E530" s="240" t="s">
        <v>7672</v>
      </c>
      <c r="F530" s="258" t="s">
        <v>7741</v>
      </c>
      <c r="G530" s="240" t="s">
        <v>6910</v>
      </c>
      <c r="H530" s="240" t="s">
        <v>7748</v>
      </c>
      <c r="I530" s="84" t="s">
        <v>36</v>
      </c>
      <c r="J530" s="252" t="s">
        <v>2034</v>
      </c>
      <c r="K530" s="251"/>
      <c r="L530" s="251"/>
      <c r="M530" s="251"/>
      <c r="N530" s="251"/>
      <c r="O530" s="251"/>
      <c r="P530" s="251"/>
      <c r="Q530" s="251"/>
      <c r="R530" s="251"/>
      <c r="S530" s="251"/>
      <c r="T530" s="251"/>
      <c r="U530" s="251"/>
      <c r="V530" s="251"/>
      <c r="W530" s="251"/>
      <c r="X530" s="251"/>
      <c r="Y530" s="251"/>
      <c r="Z530" s="251"/>
      <c r="AA530" s="251"/>
      <c r="AB530" s="251"/>
    </row>
    <row r="531" ht="14.25" customHeight="1">
      <c r="A531" s="251"/>
      <c r="B531" s="263"/>
      <c r="C531" s="242" t="s">
        <v>7749</v>
      </c>
      <c r="D531" s="98" t="s">
        <v>271</v>
      </c>
      <c r="E531" s="240" t="s">
        <v>7672</v>
      </c>
      <c r="F531" s="258" t="s">
        <v>7741</v>
      </c>
      <c r="G531" s="240" t="s">
        <v>6913</v>
      </c>
      <c r="H531" s="240" t="s">
        <v>6914</v>
      </c>
      <c r="I531" s="84" t="s">
        <v>36</v>
      </c>
      <c r="J531" s="252" t="s">
        <v>2034</v>
      </c>
      <c r="K531" s="251"/>
      <c r="L531" s="251"/>
      <c r="M531" s="251"/>
      <c r="N531" s="251"/>
      <c r="O531" s="251"/>
      <c r="P531" s="251"/>
      <c r="Q531" s="251"/>
      <c r="R531" s="251"/>
      <c r="S531" s="251"/>
      <c r="T531" s="251"/>
      <c r="U531" s="251"/>
      <c r="V531" s="251"/>
      <c r="W531" s="251"/>
      <c r="X531" s="251"/>
      <c r="Y531" s="251"/>
      <c r="Z531" s="251"/>
      <c r="AA531" s="251"/>
      <c r="AB531" s="251"/>
    </row>
    <row r="532" ht="14.25" customHeight="1">
      <c r="A532" s="251"/>
      <c r="B532" s="263"/>
      <c r="C532" s="242" t="s">
        <v>7750</v>
      </c>
      <c r="D532" s="98" t="s">
        <v>271</v>
      </c>
      <c r="E532" s="264"/>
      <c r="F532" s="258" t="s">
        <v>7741</v>
      </c>
      <c r="G532" s="240" t="s">
        <v>6916</v>
      </c>
      <c r="H532" s="240" t="s">
        <v>6917</v>
      </c>
      <c r="I532" s="84" t="s">
        <v>36</v>
      </c>
      <c r="J532" s="252" t="s">
        <v>2034</v>
      </c>
      <c r="K532" s="251"/>
      <c r="L532" s="251"/>
      <c r="M532" s="251"/>
      <c r="N532" s="251"/>
      <c r="O532" s="251"/>
      <c r="P532" s="251"/>
      <c r="Q532" s="251"/>
      <c r="R532" s="251"/>
      <c r="S532" s="251"/>
      <c r="T532" s="251"/>
      <c r="U532" s="251"/>
      <c r="V532" s="251"/>
      <c r="W532" s="251"/>
      <c r="X532" s="251"/>
      <c r="Y532" s="251"/>
      <c r="Z532" s="251"/>
      <c r="AA532" s="251"/>
      <c r="AB532" s="251"/>
    </row>
    <row r="533" ht="14.25" customHeight="1">
      <c r="A533" s="251"/>
      <c r="B533" s="263"/>
      <c r="C533" s="242" t="s">
        <v>7751</v>
      </c>
      <c r="D533" s="98" t="s">
        <v>271</v>
      </c>
      <c r="E533" s="240" t="s">
        <v>7672</v>
      </c>
      <c r="F533" s="258" t="s">
        <v>7752</v>
      </c>
      <c r="G533" s="240" t="s">
        <v>7753</v>
      </c>
      <c r="H533" s="240" t="s">
        <v>6921</v>
      </c>
      <c r="I533" s="84" t="s">
        <v>36</v>
      </c>
      <c r="J533" s="252" t="s">
        <v>2034</v>
      </c>
      <c r="K533" s="251"/>
      <c r="L533" s="251"/>
      <c r="M533" s="251"/>
      <c r="N533" s="251"/>
      <c r="O533" s="251"/>
      <c r="P533" s="251"/>
      <c r="Q533" s="251"/>
      <c r="R533" s="251"/>
      <c r="S533" s="251"/>
      <c r="T533" s="251"/>
      <c r="U533" s="251"/>
      <c r="V533" s="251"/>
      <c r="W533" s="251"/>
      <c r="X533" s="251"/>
      <c r="Y533" s="251"/>
      <c r="Z533" s="251"/>
      <c r="AA533" s="251"/>
      <c r="AB533" s="251"/>
    </row>
    <row r="534" ht="14.25" customHeight="1">
      <c r="A534" s="251"/>
      <c r="B534" s="263"/>
      <c r="C534" s="242" t="s">
        <v>7754</v>
      </c>
      <c r="D534" s="98" t="s">
        <v>271</v>
      </c>
      <c r="E534" s="240" t="s">
        <v>7672</v>
      </c>
      <c r="F534" s="258" t="s">
        <v>7755</v>
      </c>
      <c r="G534" s="240" t="s">
        <v>6924</v>
      </c>
      <c r="H534" s="240" t="s">
        <v>6925</v>
      </c>
      <c r="I534" s="84" t="s">
        <v>36</v>
      </c>
      <c r="J534" s="252" t="s">
        <v>2034</v>
      </c>
      <c r="K534" s="251"/>
      <c r="L534" s="251"/>
      <c r="M534" s="251"/>
      <c r="N534" s="251"/>
      <c r="O534" s="251"/>
      <c r="P534" s="251"/>
      <c r="Q534" s="251"/>
      <c r="R534" s="251"/>
      <c r="S534" s="251"/>
      <c r="T534" s="251"/>
      <c r="U534" s="251"/>
      <c r="V534" s="251"/>
      <c r="W534" s="251"/>
      <c r="X534" s="251"/>
      <c r="Y534" s="251"/>
      <c r="Z534" s="251"/>
      <c r="AA534" s="251"/>
      <c r="AB534" s="251"/>
    </row>
    <row r="535" ht="14.25" customHeight="1">
      <c r="A535" s="251"/>
      <c r="B535" s="263"/>
      <c r="C535" s="242" t="s">
        <v>7756</v>
      </c>
      <c r="D535" s="98" t="s">
        <v>271</v>
      </c>
      <c r="E535" s="240" t="s">
        <v>7672</v>
      </c>
      <c r="F535" s="258" t="s">
        <v>7752</v>
      </c>
      <c r="G535" s="240" t="s">
        <v>6927</v>
      </c>
      <c r="H535" s="240" t="s">
        <v>6928</v>
      </c>
      <c r="I535" s="84" t="s">
        <v>36</v>
      </c>
      <c r="J535" s="252" t="s">
        <v>2034</v>
      </c>
      <c r="K535" s="251"/>
      <c r="L535" s="251"/>
      <c r="M535" s="251"/>
      <c r="N535" s="251"/>
      <c r="O535" s="251"/>
      <c r="P535" s="251"/>
      <c r="Q535" s="251"/>
      <c r="R535" s="251"/>
      <c r="S535" s="251"/>
      <c r="T535" s="251"/>
      <c r="U535" s="251"/>
      <c r="V535" s="251"/>
      <c r="W535" s="251"/>
      <c r="X535" s="251"/>
      <c r="Y535" s="251"/>
      <c r="Z535" s="251"/>
      <c r="AA535" s="251"/>
      <c r="AB535" s="251"/>
    </row>
    <row r="536" ht="14.25" customHeight="1">
      <c r="A536" s="251"/>
      <c r="B536" s="263"/>
      <c r="C536" s="242" t="s">
        <v>7757</v>
      </c>
      <c r="D536" s="98" t="s">
        <v>271</v>
      </c>
      <c r="E536" s="240" t="s">
        <v>7672</v>
      </c>
      <c r="F536" s="258" t="s">
        <v>7752</v>
      </c>
      <c r="G536" s="240" t="s">
        <v>6930</v>
      </c>
      <c r="H536" s="240" t="s">
        <v>6931</v>
      </c>
      <c r="I536" s="84" t="s">
        <v>36</v>
      </c>
      <c r="J536" s="252" t="s">
        <v>2034</v>
      </c>
      <c r="K536" s="251"/>
      <c r="L536" s="251"/>
      <c r="M536" s="251"/>
      <c r="N536" s="251"/>
      <c r="O536" s="251"/>
      <c r="P536" s="251"/>
      <c r="Q536" s="251"/>
      <c r="R536" s="251"/>
      <c r="S536" s="251"/>
      <c r="T536" s="251"/>
      <c r="U536" s="251"/>
      <c r="V536" s="251"/>
      <c r="W536" s="251"/>
      <c r="X536" s="251"/>
      <c r="Y536" s="251"/>
      <c r="Z536" s="251"/>
      <c r="AA536" s="251"/>
      <c r="AB536" s="251"/>
    </row>
    <row r="537" ht="14.25" customHeight="1">
      <c r="A537" s="251"/>
      <c r="B537" s="263"/>
      <c r="C537" s="242" t="s">
        <v>7758</v>
      </c>
      <c r="D537" s="98" t="s">
        <v>271</v>
      </c>
      <c r="E537" s="240" t="s">
        <v>7672</v>
      </c>
      <c r="F537" s="258" t="s">
        <v>7752</v>
      </c>
      <c r="G537" s="240" t="s">
        <v>6933</v>
      </c>
      <c r="H537" s="240" t="s">
        <v>6934</v>
      </c>
      <c r="I537" s="84" t="s">
        <v>36</v>
      </c>
      <c r="J537" s="252" t="s">
        <v>2034</v>
      </c>
      <c r="K537" s="251"/>
      <c r="L537" s="251"/>
      <c r="M537" s="251"/>
      <c r="N537" s="251"/>
      <c r="O537" s="251"/>
      <c r="P537" s="251"/>
      <c r="Q537" s="251"/>
      <c r="R537" s="251"/>
      <c r="S537" s="251"/>
      <c r="T537" s="251"/>
      <c r="U537" s="251"/>
      <c r="V537" s="251"/>
      <c r="W537" s="251"/>
      <c r="X537" s="251"/>
      <c r="Y537" s="251"/>
      <c r="Z537" s="251"/>
      <c r="AA537" s="251"/>
      <c r="AB537" s="251"/>
    </row>
    <row r="538" ht="14.25" customHeight="1">
      <c r="A538" s="251"/>
      <c r="B538" s="263"/>
      <c r="C538" s="242" t="s">
        <v>7759</v>
      </c>
      <c r="D538" s="98" t="s">
        <v>271</v>
      </c>
      <c r="E538" s="240" t="s">
        <v>7672</v>
      </c>
      <c r="F538" s="258" t="s">
        <v>7755</v>
      </c>
      <c r="G538" s="240" t="s">
        <v>7665</v>
      </c>
      <c r="H538" s="240" t="s">
        <v>7760</v>
      </c>
      <c r="I538" s="84" t="s">
        <v>36</v>
      </c>
      <c r="J538" s="252" t="s">
        <v>2034</v>
      </c>
      <c r="K538" s="251"/>
      <c r="L538" s="251"/>
      <c r="M538" s="251"/>
      <c r="N538" s="251"/>
      <c r="O538" s="251"/>
      <c r="P538" s="251"/>
      <c r="Q538" s="251"/>
      <c r="R538" s="251"/>
      <c r="S538" s="251"/>
      <c r="T538" s="251"/>
      <c r="U538" s="251"/>
      <c r="V538" s="251"/>
      <c r="W538" s="251"/>
      <c r="X538" s="251"/>
      <c r="Y538" s="251"/>
      <c r="Z538" s="251"/>
      <c r="AA538" s="251"/>
      <c r="AB538" s="251"/>
    </row>
    <row r="539" ht="14.25" customHeight="1">
      <c r="A539" s="251"/>
      <c r="B539" s="263"/>
      <c r="C539" s="242" t="s">
        <v>7761</v>
      </c>
      <c r="D539" s="98" t="s">
        <v>271</v>
      </c>
      <c r="E539" s="240" t="s">
        <v>7672</v>
      </c>
      <c r="F539" s="258" t="s">
        <v>7755</v>
      </c>
      <c r="G539" s="240" t="s">
        <v>6939</v>
      </c>
      <c r="H539" s="240" t="s">
        <v>6940</v>
      </c>
      <c r="I539" s="84" t="s">
        <v>36</v>
      </c>
      <c r="J539" s="252" t="s">
        <v>2034</v>
      </c>
      <c r="K539" s="251"/>
      <c r="L539" s="251"/>
      <c r="M539" s="251"/>
      <c r="N539" s="251"/>
      <c r="O539" s="251"/>
      <c r="P539" s="251"/>
      <c r="Q539" s="251"/>
      <c r="R539" s="251"/>
      <c r="S539" s="251"/>
      <c r="T539" s="251"/>
      <c r="U539" s="251"/>
      <c r="V539" s="251"/>
      <c r="W539" s="251"/>
      <c r="X539" s="251"/>
      <c r="Y539" s="251"/>
      <c r="Z539" s="251"/>
      <c r="AA539" s="251"/>
      <c r="AB539" s="251"/>
    </row>
    <row r="540" ht="14.25" customHeight="1">
      <c r="A540" s="251"/>
      <c r="B540" s="263"/>
      <c r="C540" s="242" t="s">
        <v>7762</v>
      </c>
      <c r="D540" s="98" t="s">
        <v>271</v>
      </c>
      <c r="E540" s="240" t="s">
        <v>7672</v>
      </c>
      <c r="F540" s="258" t="s">
        <v>7680</v>
      </c>
      <c r="G540" s="240" t="s">
        <v>7763</v>
      </c>
      <c r="H540" s="240" t="s">
        <v>7764</v>
      </c>
      <c r="I540" s="84" t="s">
        <v>36</v>
      </c>
      <c r="J540" s="252" t="s">
        <v>2034</v>
      </c>
      <c r="K540" s="251"/>
      <c r="L540" s="251"/>
      <c r="M540" s="251"/>
      <c r="N540" s="251"/>
      <c r="O540" s="251"/>
      <c r="P540" s="251"/>
      <c r="Q540" s="251"/>
      <c r="R540" s="251"/>
      <c r="S540" s="251"/>
      <c r="T540" s="251"/>
      <c r="U540" s="251"/>
      <c r="V540" s="251"/>
      <c r="W540" s="251"/>
      <c r="X540" s="251"/>
      <c r="Y540" s="251"/>
      <c r="Z540" s="251"/>
      <c r="AA540" s="251"/>
      <c r="AB540" s="251"/>
    </row>
    <row r="541" ht="14.25" customHeight="1">
      <c r="A541" s="251"/>
      <c r="B541" s="263"/>
      <c r="C541" s="242" t="s">
        <v>7765</v>
      </c>
      <c r="D541" s="98" t="s">
        <v>271</v>
      </c>
      <c r="E541" s="240" t="s">
        <v>7766</v>
      </c>
      <c r="F541" s="264"/>
      <c r="G541" s="240" t="s">
        <v>7766</v>
      </c>
      <c r="H541" s="240" t="s">
        <v>7767</v>
      </c>
      <c r="I541" s="84" t="s">
        <v>36</v>
      </c>
      <c r="J541" s="252" t="s">
        <v>2034</v>
      </c>
      <c r="K541" s="251"/>
      <c r="L541" s="251"/>
      <c r="M541" s="251"/>
      <c r="N541" s="251"/>
      <c r="O541" s="251"/>
      <c r="P541" s="251"/>
      <c r="Q541" s="251"/>
      <c r="R541" s="251"/>
      <c r="S541" s="251"/>
      <c r="T541" s="251"/>
      <c r="U541" s="251"/>
      <c r="V541" s="251"/>
      <c r="W541" s="251"/>
      <c r="X541" s="251"/>
      <c r="Y541" s="251"/>
      <c r="Z541" s="251"/>
      <c r="AA541" s="251"/>
      <c r="AB541" s="251"/>
    </row>
    <row r="542" ht="14.25" customHeight="1">
      <c r="A542" s="251"/>
      <c r="B542" s="263"/>
      <c r="C542" s="242" t="s">
        <v>7768</v>
      </c>
      <c r="D542" s="98" t="s">
        <v>271</v>
      </c>
      <c r="E542" s="240" t="s">
        <v>7769</v>
      </c>
      <c r="F542" s="258" t="s">
        <v>7770</v>
      </c>
      <c r="G542" s="240" t="s">
        <v>7771</v>
      </c>
      <c r="H542" s="240" t="s">
        <v>7772</v>
      </c>
      <c r="I542" s="84" t="s">
        <v>36</v>
      </c>
      <c r="J542" s="252" t="s">
        <v>2034</v>
      </c>
      <c r="K542" s="251"/>
      <c r="L542" s="251"/>
      <c r="M542" s="251"/>
      <c r="N542" s="251"/>
      <c r="O542" s="251"/>
      <c r="P542" s="251"/>
      <c r="Q542" s="251"/>
      <c r="R542" s="251"/>
      <c r="S542" s="251"/>
      <c r="T542" s="251"/>
      <c r="U542" s="251"/>
      <c r="V542" s="251"/>
      <c r="W542" s="251"/>
      <c r="X542" s="251"/>
      <c r="Y542" s="251"/>
      <c r="Z542" s="251"/>
      <c r="AA542" s="251"/>
      <c r="AB542" s="251"/>
    </row>
    <row r="543" ht="14.25" customHeight="1">
      <c r="A543" s="251"/>
      <c r="B543" s="263"/>
      <c r="C543" s="242" t="s">
        <v>7773</v>
      </c>
      <c r="D543" s="98" t="s">
        <v>271</v>
      </c>
      <c r="E543" s="240" t="s">
        <v>7769</v>
      </c>
      <c r="F543" s="258" t="s">
        <v>7774</v>
      </c>
      <c r="G543" s="240" t="s">
        <v>7775</v>
      </c>
      <c r="H543" s="240" t="s">
        <v>7776</v>
      </c>
      <c r="I543" s="84" t="s">
        <v>36</v>
      </c>
      <c r="J543" s="252" t="s">
        <v>2034</v>
      </c>
      <c r="K543" s="251"/>
      <c r="L543" s="251"/>
      <c r="M543" s="251"/>
      <c r="N543" s="251"/>
      <c r="O543" s="251"/>
      <c r="P543" s="251"/>
      <c r="Q543" s="251"/>
      <c r="R543" s="251"/>
      <c r="S543" s="251"/>
      <c r="T543" s="251"/>
      <c r="U543" s="251"/>
      <c r="V543" s="251"/>
      <c r="W543" s="251"/>
      <c r="X543" s="251"/>
      <c r="Y543" s="251"/>
      <c r="Z543" s="251"/>
      <c r="AA543" s="251"/>
      <c r="AB543" s="251"/>
    </row>
    <row r="544" ht="14.25" customHeight="1">
      <c r="A544" s="251"/>
      <c r="B544" s="263"/>
      <c r="C544" s="242" t="s">
        <v>7777</v>
      </c>
      <c r="D544" s="98" t="s">
        <v>271</v>
      </c>
      <c r="E544" s="240" t="s">
        <v>7769</v>
      </c>
      <c r="F544" s="258" t="s">
        <v>7778</v>
      </c>
      <c r="G544" s="240" t="s">
        <v>7779</v>
      </c>
      <c r="H544" s="240" t="s">
        <v>7780</v>
      </c>
      <c r="I544" s="84" t="s">
        <v>36</v>
      </c>
      <c r="J544" s="252" t="s">
        <v>2034</v>
      </c>
      <c r="K544" s="251"/>
      <c r="L544" s="251"/>
      <c r="M544" s="251"/>
      <c r="N544" s="251"/>
      <c r="O544" s="251"/>
      <c r="P544" s="251"/>
      <c r="Q544" s="251"/>
      <c r="R544" s="251"/>
      <c r="S544" s="251"/>
      <c r="T544" s="251"/>
      <c r="U544" s="251"/>
      <c r="V544" s="251"/>
      <c r="W544" s="251"/>
      <c r="X544" s="251"/>
      <c r="Y544" s="251"/>
      <c r="Z544" s="251"/>
      <c r="AA544" s="251"/>
      <c r="AB544" s="251"/>
    </row>
    <row r="545" ht="14.25" customHeight="1">
      <c r="A545" s="251"/>
      <c r="B545" s="263"/>
      <c r="C545" s="242" t="s">
        <v>7781</v>
      </c>
      <c r="D545" s="98" t="s">
        <v>271</v>
      </c>
      <c r="E545" s="240" t="s">
        <v>7769</v>
      </c>
      <c r="F545" s="258" t="s">
        <v>7782</v>
      </c>
      <c r="G545" s="240" t="s">
        <v>7783</v>
      </c>
      <c r="H545" s="240" t="s">
        <v>7784</v>
      </c>
      <c r="I545" s="84" t="s">
        <v>36</v>
      </c>
      <c r="J545" s="252" t="s">
        <v>2034</v>
      </c>
      <c r="K545" s="251"/>
      <c r="L545" s="251"/>
      <c r="M545" s="251"/>
      <c r="N545" s="251"/>
      <c r="O545" s="251"/>
      <c r="P545" s="251"/>
      <c r="Q545" s="251"/>
      <c r="R545" s="251"/>
      <c r="S545" s="251"/>
      <c r="T545" s="251"/>
      <c r="U545" s="251"/>
      <c r="V545" s="251"/>
      <c r="W545" s="251"/>
      <c r="X545" s="251"/>
      <c r="Y545" s="251"/>
      <c r="Z545" s="251"/>
      <c r="AA545" s="251"/>
      <c r="AB545" s="251"/>
    </row>
    <row r="546" ht="14.25" customHeight="1">
      <c r="A546" s="251"/>
      <c r="B546" s="263"/>
      <c r="C546" s="242" t="s">
        <v>7785</v>
      </c>
      <c r="D546" s="98" t="s">
        <v>271</v>
      </c>
      <c r="E546" s="240" t="s">
        <v>7769</v>
      </c>
      <c r="F546" s="258" t="s">
        <v>7782</v>
      </c>
      <c r="G546" s="240" t="s">
        <v>7786</v>
      </c>
      <c r="H546" s="240" t="s">
        <v>7787</v>
      </c>
      <c r="I546" s="84" t="s">
        <v>36</v>
      </c>
      <c r="J546" s="252" t="s">
        <v>2034</v>
      </c>
      <c r="K546" s="251"/>
      <c r="L546" s="251"/>
      <c r="M546" s="251"/>
      <c r="N546" s="251"/>
      <c r="O546" s="251"/>
      <c r="P546" s="251"/>
      <c r="Q546" s="251"/>
      <c r="R546" s="251"/>
      <c r="S546" s="251"/>
      <c r="T546" s="251"/>
      <c r="U546" s="251"/>
      <c r="V546" s="251"/>
      <c r="W546" s="251"/>
      <c r="X546" s="251"/>
      <c r="Y546" s="251"/>
      <c r="Z546" s="251"/>
      <c r="AA546" s="251"/>
      <c r="AB546" s="251"/>
    </row>
    <row r="547" ht="14.25" customHeight="1">
      <c r="A547" s="251"/>
      <c r="B547" s="263"/>
      <c r="C547" s="242" t="s">
        <v>7788</v>
      </c>
      <c r="D547" s="98" t="s">
        <v>271</v>
      </c>
      <c r="E547" s="240" t="s">
        <v>7769</v>
      </c>
      <c r="F547" s="258" t="s">
        <v>7782</v>
      </c>
      <c r="G547" s="240" t="s">
        <v>7789</v>
      </c>
      <c r="H547" s="240" t="s">
        <v>6827</v>
      </c>
      <c r="I547" s="84" t="s">
        <v>36</v>
      </c>
      <c r="J547" s="252" t="s">
        <v>2034</v>
      </c>
      <c r="K547" s="251"/>
      <c r="L547" s="251"/>
      <c r="M547" s="251"/>
      <c r="N547" s="251"/>
      <c r="O547" s="251"/>
      <c r="P547" s="251"/>
      <c r="Q547" s="251"/>
      <c r="R547" s="251"/>
      <c r="S547" s="251"/>
      <c r="T547" s="251"/>
      <c r="U547" s="251"/>
      <c r="V547" s="251"/>
      <c r="W547" s="251"/>
      <c r="X547" s="251"/>
      <c r="Y547" s="251"/>
      <c r="Z547" s="251"/>
      <c r="AA547" s="251"/>
      <c r="AB547" s="251"/>
    </row>
    <row r="548" ht="14.25" customHeight="1">
      <c r="A548" s="251"/>
      <c r="B548" s="263"/>
      <c r="C548" s="242" t="s">
        <v>7790</v>
      </c>
      <c r="D548" s="98" t="s">
        <v>271</v>
      </c>
      <c r="E548" s="240" t="s">
        <v>7769</v>
      </c>
      <c r="F548" s="258" t="s">
        <v>7782</v>
      </c>
      <c r="G548" s="240" t="s">
        <v>7791</v>
      </c>
      <c r="H548" s="240" t="s">
        <v>7792</v>
      </c>
      <c r="I548" s="84" t="s">
        <v>36</v>
      </c>
      <c r="J548" s="252" t="s">
        <v>2034</v>
      </c>
      <c r="K548" s="251"/>
      <c r="L548" s="251"/>
      <c r="M548" s="251"/>
      <c r="N548" s="251"/>
      <c r="O548" s="251"/>
      <c r="P548" s="251"/>
      <c r="Q548" s="251"/>
      <c r="R548" s="251"/>
      <c r="S548" s="251"/>
      <c r="T548" s="251"/>
      <c r="U548" s="251"/>
      <c r="V548" s="251"/>
      <c r="W548" s="251"/>
      <c r="X548" s="251"/>
      <c r="Y548" s="251"/>
      <c r="Z548" s="251"/>
      <c r="AA548" s="251"/>
      <c r="AB548" s="251"/>
    </row>
    <row r="549" ht="14.25" customHeight="1">
      <c r="A549" s="251"/>
      <c r="B549" s="263"/>
      <c r="C549" s="242" t="s">
        <v>7793</v>
      </c>
      <c r="D549" s="98" t="s">
        <v>271</v>
      </c>
      <c r="E549" s="240" t="s">
        <v>7769</v>
      </c>
      <c r="F549" s="258" t="s">
        <v>7794</v>
      </c>
      <c r="G549" s="240" t="s">
        <v>7795</v>
      </c>
      <c r="H549" s="240" t="s">
        <v>7796</v>
      </c>
      <c r="I549" s="84" t="s">
        <v>36</v>
      </c>
      <c r="J549" s="252" t="s">
        <v>2034</v>
      </c>
      <c r="K549" s="251"/>
      <c r="L549" s="251"/>
      <c r="M549" s="251"/>
      <c r="N549" s="251"/>
      <c r="O549" s="251"/>
      <c r="P549" s="251"/>
      <c r="Q549" s="251"/>
      <c r="R549" s="251"/>
      <c r="S549" s="251"/>
      <c r="T549" s="251"/>
      <c r="U549" s="251"/>
      <c r="V549" s="251"/>
      <c r="W549" s="251"/>
      <c r="X549" s="251"/>
      <c r="Y549" s="251"/>
      <c r="Z549" s="251"/>
      <c r="AA549" s="251"/>
      <c r="AB549" s="251"/>
    </row>
    <row r="550" ht="14.25" customHeight="1">
      <c r="A550" s="251"/>
      <c r="B550" s="263"/>
      <c r="C550" s="242" t="s">
        <v>7797</v>
      </c>
      <c r="D550" s="98" t="s">
        <v>271</v>
      </c>
      <c r="E550" s="240" t="s">
        <v>7769</v>
      </c>
      <c r="F550" s="258" t="s">
        <v>7794</v>
      </c>
      <c r="G550" s="240" t="s">
        <v>6836</v>
      </c>
      <c r="H550" s="240" t="s">
        <v>7798</v>
      </c>
      <c r="I550" s="84" t="s">
        <v>36</v>
      </c>
      <c r="J550" s="252" t="s">
        <v>2034</v>
      </c>
      <c r="K550" s="251"/>
      <c r="L550" s="251"/>
      <c r="M550" s="251"/>
      <c r="N550" s="251"/>
      <c r="O550" s="251"/>
      <c r="P550" s="251"/>
      <c r="Q550" s="251"/>
      <c r="R550" s="251"/>
      <c r="S550" s="251"/>
      <c r="T550" s="251"/>
      <c r="U550" s="251"/>
      <c r="V550" s="251"/>
      <c r="W550" s="251"/>
      <c r="X550" s="251"/>
      <c r="Y550" s="251"/>
      <c r="Z550" s="251"/>
      <c r="AA550" s="251"/>
      <c r="AB550" s="251"/>
    </row>
    <row r="551" ht="14.25" customHeight="1">
      <c r="A551" s="251"/>
      <c r="B551" s="263"/>
      <c r="C551" s="242" t="s">
        <v>7799</v>
      </c>
      <c r="D551" s="98" t="s">
        <v>271</v>
      </c>
      <c r="E551" s="240" t="s">
        <v>7769</v>
      </c>
      <c r="F551" s="258" t="s">
        <v>7794</v>
      </c>
      <c r="G551" s="240" t="s">
        <v>6839</v>
      </c>
      <c r="H551" s="240" t="s">
        <v>6840</v>
      </c>
      <c r="I551" s="84" t="s">
        <v>36</v>
      </c>
      <c r="J551" s="252" t="s">
        <v>2034</v>
      </c>
      <c r="K551" s="251"/>
      <c r="L551" s="251"/>
      <c r="M551" s="251"/>
      <c r="N551" s="251"/>
      <c r="O551" s="251"/>
      <c r="P551" s="251"/>
      <c r="Q551" s="251"/>
      <c r="R551" s="251"/>
      <c r="S551" s="251"/>
      <c r="T551" s="251"/>
      <c r="U551" s="251"/>
      <c r="V551" s="251"/>
      <c r="W551" s="251"/>
      <c r="X551" s="251"/>
      <c r="Y551" s="251"/>
      <c r="Z551" s="251"/>
      <c r="AA551" s="251"/>
      <c r="AB551" s="251"/>
    </row>
    <row r="552" ht="14.25" customHeight="1">
      <c r="A552" s="251"/>
      <c r="B552" s="263"/>
      <c r="C552" s="242" t="s">
        <v>7800</v>
      </c>
      <c r="D552" s="98" t="s">
        <v>271</v>
      </c>
      <c r="E552" s="240" t="s">
        <v>7769</v>
      </c>
      <c r="F552" s="258" t="s">
        <v>7801</v>
      </c>
      <c r="G552" s="240" t="s">
        <v>6846</v>
      </c>
      <c r="H552" s="240" t="s">
        <v>6847</v>
      </c>
      <c r="I552" s="84" t="s">
        <v>36</v>
      </c>
      <c r="J552" s="252" t="s">
        <v>2034</v>
      </c>
      <c r="K552" s="251"/>
      <c r="L552" s="251"/>
      <c r="M552" s="251"/>
      <c r="N552" s="251"/>
      <c r="O552" s="251"/>
      <c r="P552" s="251"/>
      <c r="Q552" s="251"/>
      <c r="R552" s="251"/>
      <c r="S552" s="251"/>
      <c r="T552" s="251"/>
      <c r="U552" s="251"/>
      <c r="V552" s="251"/>
      <c r="W552" s="251"/>
      <c r="X552" s="251"/>
      <c r="Y552" s="251"/>
      <c r="Z552" s="251"/>
      <c r="AA552" s="251"/>
      <c r="AB552" s="251"/>
    </row>
    <row r="553" ht="14.25" customHeight="1">
      <c r="A553" s="251"/>
      <c r="B553" s="263"/>
      <c r="C553" s="242" t="s">
        <v>7802</v>
      </c>
      <c r="D553" s="98" t="s">
        <v>271</v>
      </c>
      <c r="E553" s="240" t="s">
        <v>7769</v>
      </c>
      <c r="F553" s="258" t="s">
        <v>7803</v>
      </c>
      <c r="G553" s="240" t="s">
        <v>7804</v>
      </c>
      <c r="H553" s="240" t="s">
        <v>7805</v>
      </c>
      <c r="I553" s="84" t="s">
        <v>36</v>
      </c>
      <c r="J553" s="252" t="s">
        <v>2034</v>
      </c>
      <c r="K553" s="251"/>
      <c r="L553" s="251"/>
      <c r="M553" s="251"/>
      <c r="N553" s="251"/>
      <c r="O553" s="251"/>
      <c r="P553" s="251"/>
      <c r="Q553" s="251"/>
      <c r="R553" s="251"/>
      <c r="S553" s="251"/>
      <c r="T553" s="251"/>
      <c r="U553" s="251"/>
      <c r="V553" s="251"/>
      <c r="W553" s="251"/>
      <c r="X553" s="251"/>
      <c r="Y553" s="251"/>
      <c r="Z553" s="251"/>
      <c r="AA553" s="251"/>
      <c r="AB553" s="251"/>
    </row>
    <row r="554" ht="14.25" customHeight="1">
      <c r="A554" s="251"/>
      <c r="B554" s="263"/>
      <c r="C554" s="242" t="s">
        <v>7806</v>
      </c>
      <c r="D554" s="98" t="s">
        <v>271</v>
      </c>
      <c r="E554" s="240" t="s">
        <v>7769</v>
      </c>
      <c r="F554" s="258" t="s">
        <v>7803</v>
      </c>
      <c r="G554" s="240" t="s">
        <v>6853</v>
      </c>
      <c r="H554" s="240" t="s">
        <v>7807</v>
      </c>
      <c r="I554" s="84" t="s">
        <v>36</v>
      </c>
      <c r="J554" s="252" t="s">
        <v>2034</v>
      </c>
      <c r="K554" s="251"/>
      <c r="L554" s="251"/>
      <c r="M554" s="251"/>
      <c r="N554" s="251"/>
      <c r="O554" s="251"/>
      <c r="P554" s="251"/>
      <c r="Q554" s="251"/>
      <c r="R554" s="251"/>
      <c r="S554" s="251"/>
      <c r="T554" s="251"/>
      <c r="U554" s="251"/>
      <c r="V554" s="251"/>
      <c r="W554" s="251"/>
      <c r="X554" s="251"/>
      <c r="Y554" s="251"/>
      <c r="Z554" s="251"/>
      <c r="AA554" s="251"/>
      <c r="AB554" s="251"/>
    </row>
    <row r="555" ht="14.25" customHeight="1">
      <c r="A555" s="251"/>
      <c r="B555" s="263"/>
      <c r="C555" s="242" t="s">
        <v>7808</v>
      </c>
      <c r="D555" s="98" t="s">
        <v>271</v>
      </c>
      <c r="E555" s="240" t="s">
        <v>7769</v>
      </c>
      <c r="F555" s="258" t="s">
        <v>7803</v>
      </c>
      <c r="G555" s="240" t="s">
        <v>7809</v>
      </c>
      <c r="H555" s="240" t="s">
        <v>7810</v>
      </c>
      <c r="I555" s="84" t="s">
        <v>36</v>
      </c>
      <c r="J555" s="252" t="s">
        <v>2034</v>
      </c>
      <c r="K555" s="251"/>
      <c r="L555" s="251"/>
      <c r="M555" s="251"/>
      <c r="N555" s="251"/>
      <c r="O555" s="251"/>
      <c r="P555" s="251"/>
      <c r="Q555" s="251"/>
      <c r="R555" s="251"/>
      <c r="S555" s="251"/>
      <c r="T555" s="251"/>
      <c r="U555" s="251"/>
      <c r="V555" s="251"/>
      <c r="W555" s="251"/>
      <c r="X555" s="251"/>
      <c r="Y555" s="251"/>
      <c r="Z555" s="251"/>
      <c r="AA555" s="251"/>
      <c r="AB555" s="251"/>
    </row>
    <row r="556" ht="14.25" customHeight="1">
      <c r="A556" s="251"/>
      <c r="B556" s="263"/>
      <c r="C556" s="242" t="s">
        <v>7811</v>
      </c>
      <c r="D556" s="98" t="s">
        <v>271</v>
      </c>
      <c r="E556" s="240" t="s">
        <v>7769</v>
      </c>
      <c r="F556" s="258" t="s">
        <v>7812</v>
      </c>
      <c r="G556" s="240" t="s">
        <v>7813</v>
      </c>
      <c r="H556" s="240" t="s">
        <v>7814</v>
      </c>
      <c r="I556" s="84" t="s">
        <v>36</v>
      </c>
      <c r="J556" s="252" t="s">
        <v>2034</v>
      </c>
      <c r="K556" s="251"/>
      <c r="L556" s="251"/>
      <c r="M556" s="251"/>
      <c r="N556" s="251"/>
      <c r="O556" s="251"/>
      <c r="P556" s="251"/>
      <c r="Q556" s="251"/>
      <c r="R556" s="251"/>
      <c r="S556" s="251"/>
      <c r="T556" s="251"/>
      <c r="U556" s="251"/>
      <c r="V556" s="251"/>
      <c r="W556" s="251"/>
      <c r="X556" s="251"/>
      <c r="Y556" s="251"/>
      <c r="Z556" s="251"/>
      <c r="AA556" s="251"/>
      <c r="AB556" s="251"/>
    </row>
    <row r="557" ht="14.25" customHeight="1">
      <c r="A557" s="251"/>
      <c r="B557" s="263"/>
      <c r="C557" s="242" t="s">
        <v>7815</v>
      </c>
      <c r="D557" s="98" t="s">
        <v>271</v>
      </c>
      <c r="E557" s="264"/>
      <c r="F557" s="258" t="s">
        <v>7812</v>
      </c>
      <c r="G557" s="240" t="s">
        <v>7816</v>
      </c>
      <c r="H557" s="240" t="s">
        <v>7817</v>
      </c>
      <c r="I557" s="84" t="s">
        <v>36</v>
      </c>
      <c r="J557" s="252" t="s">
        <v>2034</v>
      </c>
      <c r="K557" s="251"/>
      <c r="L557" s="251"/>
      <c r="M557" s="251"/>
      <c r="N557" s="251"/>
      <c r="O557" s="251"/>
      <c r="P557" s="251"/>
      <c r="Q557" s="251"/>
      <c r="R557" s="251"/>
      <c r="S557" s="251"/>
      <c r="T557" s="251"/>
      <c r="U557" s="251"/>
      <c r="V557" s="251"/>
      <c r="W557" s="251"/>
      <c r="X557" s="251"/>
      <c r="Y557" s="251"/>
      <c r="Z557" s="251"/>
      <c r="AA557" s="251"/>
      <c r="AB557" s="251"/>
    </row>
    <row r="558" ht="14.25" customHeight="1">
      <c r="A558" s="251"/>
      <c r="B558" s="263"/>
      <c r="C558" s="242" t="s">
        <v>7818</v>
      </c>
      <c r="D558" s="98" t="s">
        <v>271</v>
      </c>
      <c r="E558" s="264"/>
      <c r="F558" s="258" t="s">
        <v>7812</v>
      </c>
      <c r="G558" s="240" t="s">
        <v>7819</v>
      </c>
      <c r="H558" s="240" t="s">
        <v>7820</v>
      </c>
      <c r="I558" s="84" t="s">
        <v>36</v>
      </c>
      <c r="J558" s="252" t="s">
        <v>2034</v>
      </c>
      <c r="K558" s="251"/>
      <c r="L558" s="251"/>
      <c r="M558" s="251"/>
      <c r="N558" s="251"/>
      <c r="O558" s="251"/>
      <c r="P558" s="251"/>
      <c r="Q558" s="251"/>
      <c r="R558" s="251"/>
      <c r="S558" s="251"/>
      <c r="T558" s="251"/>
      <c r="U558" s="251"/>
      <c r="V558" s="251"/>
      <c r="W558" s="251"/>
      <c r="X558" s="251"/>
      <c r="Y558" s="251"/>
      <c r="Z558" s="251"/>
      <c r="AA558" s="251"/>
      <c r="AB558" s="251"/>
    </row>
    <row r="559" ht="14.25" customHeight="1">
      <c r="A559" s="251"/>
      <c r="B559" s="263"/>
      <c r="C559" s="242" t="s">
        <v>7821</v>
      </c>
      <c r="D559" s="98" t="s">
        <v>271</v>
      </c>
      <c r="E559" s="264"/>
      <c r="F559" s="258" t="s">
        <v>7812</v>
      </c>
      <c r="G559" s="240" t="s">
        <v>7822</v>
      </c>
      <c r="H559" s="240" t="s">
        <v>7823</v>
      </c>
      <c r="I559" s="84" t="s">
        <v>36</v>
      </c>
      <c r="J559" s="252" t="s">
        <v>2034</v>
      </c>
      <c r="K559" s="251"/>
      <c r="L559" s="251"/>
      <c r="M559" s="251"/>
      <c r="N559" s="251"/>
      <c r="O559" s="251"/>
      <c r="P559" s="251"/>
      <c r="Q559" s="251"/>
      <c r="R559" s="251"/>
      <c r="S559" s="251"/>
      <c r="T559" s="251"/>
      <c r="U559" s="251"/>
      <c r="V559" s="251"/>
      <c r="W559" s="251"/>
      <c r="X559" s="251"/>
      <c r="Y559" s="251"/>
      <c r="Z559" s="251"/>
      <c r="AA559" s="251"/>
      <c r="AB559" s="251"/>
    </row>
    <row r="560" ht="14.25" customHeight="1">
      <c r="A560" s="251"/>
      <c r="B560" s="263"/>
      <c r="C560" s="242" t="s">
        <v>7824</v>
      </c>
      <c r="D560" s="98" t="s">
        <v>271</v>
      </c>
      <c r="E560" s="264"/>
      <c r="F560" s="258" t="s">
        <v>7812</v>
      </c>
      <c r="G560" s="240" t="s">
        <v>7825</v>
      </c>
      <c r="H560" s="240" t="s">
        <v>7826</v>
      </c>
      <c r="I560" s="84" t="s">
        <v>36</v>
      </c>
      <c r="J560" s="252" t="s">
        <v>2034</v>
      </c>
      <c r="K560" s="251"/>
      <c r="L560" s="251"/>
      <c r="M560" s="251"/>
      <c r="N560" s="251"/>
      <c r="O560" s="251"/>
      <c r="P560" s="251"/>
      <c r="Q560" s="251"/>
      <c r="R560" s="251"/>
      <c r="S560" s="251"/>
      <c r="T560" s="251"/>
      <c r="U560" s="251"/>
      <c r="V560" s="251"/>
      <c r="W560" s="251"/>
      <c r="X560" s="251"/>
      <c r="Y560" s="251"/>
      <c r="Z560" s="251"/>
      <c r="AA560" s="251"/>
      <c r="AB560" s="251"/>
    </row>
    <row r="561" ht="14.25" customHeight="1">
      <c r="A561" s="251"/>
      <c r="B561" s="263"/>
      <c r="C561" s="242" t="s">
        <v>7827</v>
      </c>
      <c r="D561" s="98" t="s">
        <v>271</v>
      </c>
      <c r="E561" s="264"/>
      <c r="F561" s="258" t="s">
        <v>7812</v>
      </c>
      <c r="G561" s="240" t="s">
        <v>7828</v>
      </c>
      <c r="H561" s="240" t="s">
        <v>7829</v>
      </c>
      <c r="I561" s="84" t="s">
        <v>36</v>
      </c>
      <c r="J561" s="252" t="s">
        <v>2034</v>
      </c>
      <c r="K561" s="251"/>
      <c r="L561" s="251"/>
      <c r="M561" s="251"/>
      <c r="N561" s="251"/>
      <c r="O561" s="251"/>
      <c r="P561" s="251"/>
      <c r="Q561" s="251"/>
      <c r="R561" s="251"/>
      <c r="S561" s="251"/>
      <c r="T561" s="251"/>
      <c r="U561" s="251"/>
      <c r="V561" s="251"/>
      <c r="W561" s="251"/>
      <c r="X561" s="251"/>
      <c r="Y561" s="251"/>
      <c r="Z561" s="251"/>
      <c r="AA561" s="251"/>
      <c r="AB561" s="251"/>
    </row>
    <row r="562" ht="14.25" customHeight="1">
      <c r="A562" s="251"/>
      <c r="B562" s="263"/>
      <c r="C562" s="242" t="s">
        <v>7830</v>
      </c>
      <c r="D562" s="98" t="s">
        <v>271</v>
      </c>
      <c r="E562" s="240" t="s">
        <v>7769</v>
      </c>
      <c r="F562" s="258" t="s">
        <v>7812</v>
      </c>
      <c r="G562" s="240" t="s">
        <v>7831</v>
      </c>
      <c r="H562" s="240" t="s">
        <v>7832</v>
      </c>
      <c r="I562" s="84" t="s">
        <v>36</v>
      </c>
      <c r="J562" s="252" t="s">
        <v>2034</v>
      </c>
      <c r="K562" s="251"/>
      <c r="L562" s="251"/>
      <c r="M562" s="251"/>
      <c r="N562" s="251"/>
      <c r="O562" s="251"/>
      <c r="P562" s="251"/>
      <c r="Q562" s="251"/>
      <c r="R562" s="251"/>
      <c r="S562" s="251"/>
      <c r="T562" s="251"/>
      <c r="U562" s="251"/>
      <c r="V562" s="251"/>
      <c r="W562" s="251"/>
      <c r="X562" s="251"/>
      <c r="Y562" s="251"/>
      <c r="Z562" s="251"/>
      <c r="AA562" s="251"/>
      <c r="AB562" s="251"/>
    </row>
    <row r="563" ht="14.25" customHeight="1">
      <c r="A563" s="251"/>
      <c r="B563" s="263"/>
      <c r="C563" s="242" t="s">
        <v>7833</v>
      </c>
      <c r="D563" s="98" t="s">
        <v>271</v>
      </c>
      <c r="E563" s="240" t="s">
        <v>7769</v>
      </c>
      <c r="F563" s="258" t="s">
        <v>7834</v>
      </c>
      <c r="G563" s="240" t="s">
        <v>7835</v>
      </c>
      <c r="H563" s="240" t="s">
        <v>6877</v>
      </c>
      <c r="I563" s="84" t="s">
        <v>36</v>
      </c>
      <c r="J563" s="252" t="s">
        <v>2034</v>
      </c>
      <c r="K563" s="251"/>
      <c r="L563" s="251"/>
      <c r="M563" s="251"/>
      <c r="N563" s="251"/>
      <c r="O563" s="251"/>
      <c r="P563" s="251"/>
      <c r="Q563" s="251"/>
      <c r="R563" s="251"/>
      <c r="S563" s="251"/>
      <c r="T563" s="251"/>
      <c r="U563" s="251"/>
      <c r="V563" s="251"/>
      <c r="W563" s="251"/>
      <c r="X563" s="251"/>
      <c r="Y563" s="251"/>
      <c r="Z563" s="251"/>
      <c r="AA563" s="251"/>
      <c r="AB563" s="251"/>
    </row>
    <row r="564" ht="14.25" customHeight="1">
      <c r="A564" s="251"/>
      <c r="B564" s="263"/>
      <c r="C564" s="242" t="s">
        <v>7836</v>
      </c>
      <c r="D564" s="98" t="s">
        <v>271</v>
      </c>
      <c r="E564" s="240" t="s">
        <v>7769</v>
      </c>
      <c r="F564" s="258" t="s">
        <v>7834</v>
      </c>
      <c r="G564" s="240" t="s">
        <v>6879</v>
      </c>
      <c r="H564" s="240" t="s">
        <v>7837</v>
      </c>
      <c r="I564" s="84" t="s">
        <v>36</v>
      </c>
      <c r="J564" s="252" t="s">
        <v>2034</v>
      </c>
      <c r="K564" s="251"/>
      <c r="L564" s="251"/>
      <c r="M564" s="251"/>
      <c r="N564" s="251"/>
      <c r="O564" s="251"/>
      <c r="P564" s="251"/>
      <c r="Q564" s="251"/>
      <c r="R564" s="251"/>
      <c r="S564" s="251"/>
      <c r="T564" s="251"/>
      <c r="U564" s="251"/>
      <c r="V564" s="251"/>
      <c r="W564" s="251"/>
      <c r="X564" s="251"/>
      <c r="Y564" s="251"/>
      <c r="Z564" s="251"/>
      <c r="AA564" s="251"/>
      <c r="AB564" s="251"/>
    </row>
    <row r="565" ht="14.25" customHeight="1">
      <c r="A565" s="251"/>
      <c r="B565" s="263"/>
      <c r="C565" s="242" t="s">
        <v>7838</v>
      </c>
      <c r="D565" s="98" t="s">
        <v>271</v>
      </c>
      <c r="E565" s="240" t="s">
        <v>7769</v>
      </c>
      <c r="F565" s="258" t="s">
        <v>7834</v>
      </c>
      <c r="G565" s="240" t="s">
        <v>6882</v>
      </c>
      <c r="H565" s="240" t="s">
        <v>6883</v>
      </c>
      <c r="I565" s="84" t="s">
        <v>36</v>
      </c>
      <c r="J565" s="252" t="s">
        <v>2034</v>
      </c>
      <c r="K565" s="251"/>
      <c r="L565" s="251"/>
      <c r="M565" s="251"/>
      <c r="N565" s="251"/>
      <c r="O565" s="251"/>
      <c r="P565" s="251"/>
      <c r="Q565" s="251"/>
      <c r="R565" s="251"/>
      <c r="S565" s="251"/>
      <c r="T565" s="251"/>
      <c r="U565" s="251"/>
      <c r="V565" s="251"/>
      <c r="W565" s="251"/>
      <c r="X565" s="251"/>
      <c r="Y565" s="251"/>
      <c r="Z565" s="251"/>
      <c r="AA565" s="251"/>
      <c r="AB565" s="251"/>
    </row>
    <row r="566" ht="14.25" customHeight="1">
      <c r="A566" s="251"/>
      <c r="B566" s="263"/>
      <c r="C566" s="242" t="s">
        <v>7839</v>
      </c>
      <c r="D566" s="98" t="s">
        <v>271</v>
      </c>
      <c r="E566" s="240" t="s">
        <v>7769</v>
      </c>
      <c r="F566" s="258" t="s">
        <v>7834</v>
      </c>
      <c r="G566" s="240" t="s">
        <v>6891</v>
      </c>
      <c r="H566" s="240" t="s">
        <v>7840</v>
      </c>
      <c r="I566" s="84" t="s">
        <v>36</v>
      </c>
      <c r="J566" s="252" t="s">
        <v>2034</v>
      </c>
      <c r="K566" s="251"/>
      <c r="L566" s="251"/>
      <c r="M566" s="251"/>
      <c r="N566" s="251"/>
      <c r="O566" s="251"/>
      <c r="P566" s="251"/>
      <c r="Q566" s="251"/>
      <c r="R566" s="251"/>
      <c r="S566" s="251"/>
      <c r="T566" s="251"/>
      <c r="U566" s="251"/>
      <c r="V566" s="251"/>
      <c r="W566" s="251"/>
      <c r="X566" s="251"/>
      <c r="Y566" s="251"/>
      <c r="Z566" s="251"/>
      <c r="AA566" s="251"/>
      <c r="AB566" s="251"/>
    </row>
    <row r="567" ht="14.25" customHeight="1">
      <c r="A567" s="251"/>
      <c r="B567" s="263"/>
      <c r="C567" s="242" t="s">
        <v>7841</v>
      </c>
      <c r="D567" s="98" t="s">
        <v>271</v>
      </c>
      <c r="E567" s="240" t="s">
        <v>7769</v>
      </c>
      <c r="F567" s="258" t="s">
        <v>7834</v>
      </c>
      <c r="G567" s="240" t="s">
        <v>6894</v>
      </c>
      <c r="H567" s="240" t="s">
        <v>7842</v>
      </c>
      <c r="I567" s="84" t="s">
        <v>36</v>
      </c>
      <c r="J567" s="252" t="s">
        <v>2034</v>
      </c>
      <c r="K567" s="251"/>
      <c r="L567" s="251"/>
      <c r="M567" s="251"/>
      <c r="N567" s="251"/>
      <c r="O567" s="251"/>
      <c r="P567" s="251"/>
      <c r="Q567" s="251"/>
      <c r="R567" s="251"/>
      <c r="S567" s="251"/>
      <c r="T567" s="251"/>
      <c r="U567" s="251"/>
      <c r="V567" s="251"/>
      <c r="W567" s="251"/>
      <c r="X567" s="251"/>
      <c r="Y567" s="251"/>
      <c r="Z567" s="251"/>
      <c r="AA567" s="251"/>
      <c r="AB567" s="251"/>
    </row>
    <row r="568" ht="14.25" customHeight="1">
      <c r="A568" s="251"/>
      <c r="B568" s="263"/>
      <c r="C568" s="242" t="s">
        <v>7843</v>
      </c>
      <c r="D568" s="98" t="s">
        <v>271</v>
      </c>
      <c r="E568" s="240" t="s">
        <v>7769</v>
      </c>
      <c r="F568" s="258" t="s">
        <v>7834</v>
      </c>
      <c r="G568" s="240" t="s">
        <v>6897</v>
      </c>
      <c r="H568" s="240" t="s">
        <v>6898</v>
      </c>
      <c r="I568" s="84" t="s">
        <v>36</v>
      </c>
      <c r="J568" s="252" t="s">
        <v>2034</v>
      </c>
      <c r="K568" s="251"/>
      <c r="L568" s="251"/>
      <c r="M568" s="251"/>
      <c r="N568" s="251"/>
      <c r="O568" s="251"/>
      <c r="P568" s="251"/>
      <c r="Q568" s="251"/>
      <c r="R568" s="251"/>
      <c r="S568" s="251"/>
      <c r="T568" s="251"/>
      <c r="U568" s="251"/>
      <c r="V568" s="251"/>
      <c r="W568" s="251"/>
      <c r="X568" s="251"/>
      <c r="Y568" s="251"/>
      <c r="Z568" s="251"/>
      <c r="AA568" s="251"/>
      <c r="AB568" s="251"/>
    </row>
    <row r="569" ht="14.25" customHeight="1">
      <c r="A569" s="251"/>
      <c r="B569" s="263"/>
      <c r="C569" s="242" t="s">
        <v>7844</v>
      </c>
      <c r="D569" s="98" t="s">
        <v>271</v>
      </c>
      <c r="E569" s="240" t="s">
        <v>7769</v>
      </c>
      <c r="F569" s="258" t="s">
        <v>7845</v>
      </c>
      <c r="G569" s="240" t="s">
        <v>7846</v>
      </c>
      <c r="H569" s="240" t="s">
        <v>7847</v>
      </c>
      <c r="I569" s="84" t="s">
        <v>36</v>
      </c>
      <c r="J569" s="252" t="s">
        <v>2034</v>
      </c>
      <c r="K569" s="251"/>
      <c r="L569" s="251"/>
      <c r="M569" s="251"/>
      <c r="N569" s="251"/>
      <c r="O569" s="251"/>
      <c r="P569" s="251"/>
      <c r="Q569" s="251"/>
      <c r="R569" s="251"/>
      <c r="S569" s="251"/>
      <c r="T569" s="251"/>
      <c r="U569" s="251"/>
      <c r="V569" s="251"/>
      <c r="W569" s="251"/>
      <c r="X569" s="251"/>
      <c r="Y569" s="251"/>
      <c r="Z569" s="251"/>
      <c r="AA569" s="251"/>
      <c r="AB569" s="251"/>
    </row>
    <row r="570" ht="14.25" customHeight="1">
      <c r="A570" s="251"/>
      <c r="B570" s="263"/>
      <c r="C570" s="242" t="s">
        <v>7848</v>
      </c>
      <c r="D570" s="98" t="s">
        <v>271</v>
      </c>
      <c r="E570" s="240" t="s">
        <v>7769</v>
      </c>
      <c r="F570" s="258" t="s">
        <v>7845</v>
      </c>
      <c r="G570" s="240" t="s">
        <v>6904</v>
      </c>
      <c r="H570" s="240" t="s">
        <v>6905</v>
      </c>
      <c r="I570" s="84" t="s">
        <v>36</v>
      </c>
      <c r="J570" s="252" t="s">
        <v>2034</v>
      </c>
      <c r="K570" s="251"/>
      <c r="L570" s="251"/>
      <c r="M570" s="251"/>
      <c r="N570" s="251"/>
      <c r="O570" s="251"/>
      <c r="P570" s="251"/>
      <c r="Q570" s="251"/>
      <c r="R570" s="251"/>
      <c r="S570" s="251"/>
      <c r="T570" s="251"/>
      <c r="U570" s="251"/>
      <c r="V570" s="251"/>
      <c r="W570" s="251"/>
      <c r="X570" s="251"/>
      <c r="Y570" s="251"/>
      <c r="Z570" s="251"/>
      <c r="AA570" s="251"/>
      <c r="AB570" s="251"/>
    </row>
    <row r="571" ht="14.25" customHeight="1">
      <c r="A571" s="251"/>
      <c r="B571" s="263"/>
      <c r="C571" s="242" t="s">
        <v>7849</v>
      </c>
      <c r="D571" s="98" t="s">
        <v>271</v>
      </c>
      <c r="E571" s="240" t="s">
        <v>7769</v>
      </c>
      <c r="F571" s="258" t="s">
        <v>7845</v>
      </c>
      <c r="G571" s="240" t="s">
        <v>6907</v>
      </c>
      <c r="H571" s="240" t="s">
        <v>7850</v>
      </c>
      <c r="I571" s="84" t="s">
        <v>36</v>
      </c>
      <c r="J571" s="252" t="s">
        <v>2034</v>
      </c>
      <c r="K571" s="251"/>
      <c r="L571" s="251"/>
      <c r="M571" s="251"/>
      <c r="N571" s="251"/>
      <c r="O571" s="251"/>
      <c r="P571" s="251"/>
      <c r="Q571" s="251"/>
      <c r="R571" s="251"/>
      <c r="S571" s="251"/>
      <c r="T571" s="251"/>
      <c r="U571" s="251"/>
      <c r="V571" s="251"/>
      <c r="W571" s="251"/>
      <c r="X571" s="251"/>
      <c r="Y571" s="251"/>
      <c r="Z571" s="251"/>
      <c r="AA571" s="251"/>
      <c r="AB571" s="251"/>
    </row>
    <row r="572" ht="14.25" customHeight="1">
      <c r="A572" s="251"/>
      <c r="B572" s="263"/>
      <c r="C572" s="242" t="s">
        <v>7851</v>
      </c>
      <c r="D572" s="98" t="s">
        <v>271</v>
      </c>
      <c r="E572" s="240" t="s">
        <v>7769</v>
      </c>
      <c r="F572" s="258" t="s">
        <v>7845</v>
      </c>
      <c r="G572" s="240" t="s">
        <v>6910</v>
      </c>
      <c r="H572" s="240" t="s">
        <v>7852</v>
      </c>
      <c r="I572" s="84" t="s">
        <v>36</v>
      </c>
      <c r="J572" s="252" t="s">
        <v>2034</v>
      </c>
      <c r="K572" s="251"/>
      <c r="L572" s="251"/>
      <c r="M572" s="251"/>
      <c r="N572" s="251"/>
      <c r="O572" s="251"/>
      <c r="P572" s="251"/>
      <c r="Q572" s="251"/>
      <c r="R572" s="251"/>
      <c r="S572" s="251"/>
      <c r="T572" s="251"/>
      <c r="U572" s="251"/>
      <c r="V572" s="251"/>
      <c r="W572" s="251"/>
      <c r="X572" s="251"/>
      <c r="Y572" s="251"/>
      <c r="Z572" s="251"/>
      <c r="AA572" s="251"/>
      <c r="AB572" s="251"/>
    </row>
    <row r="573" ht="14.25" customHeight="1">
      <c r="A573" s="251"/>
      <c r="B573" s="263"/>
      <c r="C573" s="242" t="s">
        <v>7853</v>
      </c>
      <c r="D573" s="98" t="s">
        <v>271</v>
      </c>
      <c r="E573" s="240" t="s">
        <v>7769</v>
      </c>
      <c r="F573" s="258" t="s">
        <v>7845</v>
      </c>
      <c r="G573" s="240" t="s">
        <v>6913</v>
      </c>
      <c r="H573" s="240" t="s">
        <v>6914</v>
      </c>
      <c r="I573" s="84" t="s">
        <v>36</v>
      </c>
      <c r="J573" s="252" t="s">
        <v>2034</v>
      </c>
      <c r="K573" s="251"/>
      <c r="L573" s="251"/>
      <c r="M573" s="251"/>
      <c r="N573" s="251"/>
      <c r="O573" s="251"/>
      <c r="P573" s="251"/>
      <c r="Q573" s="251"/>
      <c r="R573" s="251"/>
      <c r="S573" s="251"/>
      <c r="T573" s="251"/>
      <c r="U573" s="251"/>
      <c r="V573" s="251"/>
      <c r="W573" s="251"/>
      <c r="X573" s="251"/>
      <c r="Y573" s="251"/>
      <c r="Z573" s="251"/>
      <c r="AA573" s="251"/>
      <c r="AB573" s="251"/>
    </row>
    <row r="574" ht="14.25" customHeight="1">
      <c r="A574" s="251"/>
      <c r="B574" s="263"/>
      <c r="C574" s="242" t="s">
        <v>7854</v>
      </c>
      <c r="D574" s="98" t="s">
        <v>271</v>
      </c>
      <c r="E574" s="264"/>
      <c r="F574" s="258" t="s">
        <v>7845</v>
      </c>
      <c r="G574" s="240" t="s">
        <v>6916</v>
      </c>
      <c r="H574" s="240" t="s">
        <v>6917</v>
      </c>
      <c r="I574" s="84" t="s">
        <v>36</v>
      </c>
      <c r="J574" s="252" t="s">
        <v>2034</v>
      </c>
      <c r="K574" s="251"/>
      <c r="L574" s="251"/>
      <c r="M574" s="251"/>
      <c r="N574" s="251"/>
      <c r="O574" s="251"/>
      <c r="P574" s="251"/>
      <c r="Q574" s="251"/>
      <c r="R574" s="251"/>
      <c r="S574" s="251"/>
      <c r="T574" s="251"/>
      <c r="U574" s="251"/>
      <c r="V574" s="251"/>
      <c r="W574" s="251"/>
      <c r="X574" s="251"/>
      <c r="Y574" s="251"/>
      <c r="Z574" s="251"/>
      <c r="AA574" s="251"/>
      <c r="AB574" s="251"/>
    </row>
    <row r="575" ht="14.25" customHeight="1">
      <c r="A575" s="251"/>
      <c r="B575" s="263"/>
      <c r="C575" s="242" t="s">
        <v>7855</v>
      </c>
      <c r="D575" s="98" t="s">
        <v>271</v>
      </c>
      <c r="E575" s="240" t="s">
        <v>7769</v>
      </c>
      <c r="F575" s="258" t="s">
        <v>7856</v>
      </c>
      <c r="G575" s="240" t="s">
        <v>7857</v>
      </c>
      <c r="H575" s="240" t="s">
        <v>6921</v>
      </c>
      <c r="I575" s="84" t="s">
        <v>36</v>
      </c>
      <c r="J575" s="252" t="s">
        <v>2034</v>
      </c>
      <c r="K575" s="251"/>
      <c r="L575" s="251"/>
      <c r="M575" s="251"/>
      <c r="N575" s="251"/>
      <c r="O575" s="251"/>
      <c r="P575" s="251"/>
      <c r="Q575" s="251"/>
      <c r="R575" s="251"/>
      <c r="S575" s="251"/>
      <c r="T575" s="251"/>
      <c r="U575" s="251"/>
      <c r="V575" s="251"/>
      <c r="W575" s="251"/>
      <c r="X575" s="251"/>
      <c r="Y575" s="251"/>
      <c r="Z575" s="251"/>
      <c r="AA575" s="251"/>
      <c r="AB575" s="251"/>
    </row>
    <row r="576" ht="14.25" customHeight="1">
      <c r="A576" s="251"/>
      <c r="B576" s="263"/>
      <c r="C576" s="242" t="s">
        <v>7858</v>
      </c>
      <c r="D576" s="98" t="s">
        <v>271</v>
      </c>
      <c r="E576" s="240" t="s">
        <v>7769</v>
      </c>
      <c r="F576" s="258" t="s">
        <v>7859</v>
      </c>
      <c r="G576" s="240" t="s">
        <v>6924</v>
      </c>
      <c r="H576" s="240" t="s">
        <v>6925</v>
      </c>
      <c r="I576" s="84" t="s">
        <v>36</v>
      </c>
      <c r="J576" s="252" t="s">
        <v>2034</v>
      </c>
      <c r="K576" s="251"/>
      <c r="L576" s="251"/>
      <c r="M576" s="251"/>
      <c r="N576" s="251"/>
      <c r="O576" s="251"/>
      <c r="P576" s="251"/>
      <c r="Q576" s="251"/>
      <c r="R576" s="251"/>
      <c r="S576" s="251"/>
      <c r="T576" s="251"/>
      <c r="U576" s="251"/>
      <c r="V576" s="251"/>
      <c r="W576" s="251"/>
      <c r="X576" s="251"/>
      <c r="Y576" s="251"/>
      <c r="Z576" s="251"/>
      <c r="AA576" s="251"/>
      <c r="AB576" s="251"/>
    </row>
    <row r="577" ht="14.25" customHeight="1">
      <c r="A577" s="251"/>
      <c r="B577" s="263"/>
      <c r="C577" s="242" t="s">
        <v>7860</v>
      </c>
      <c r="D577" s="98" t="s">
        <v>271</v>
      </c>
      <c r="E577" s="240" t="s">
        <v>7769</v>
      </c>
      <c r="F577" s="258" t="s">
        <v>7856</v>
      </c>
      <c r="G577" s="240" t="s">
        <v>6927</v>
      </c>
      <c r="H577" s="240" t="s">
        <v>6928</v>
      </c>
      <c r="I577" s="84" t="s">
        <v>36</v>
      </c>
      <c r="J577" s="252" t="s">
        <v>2034</v>
      </c>
      <c r="K577" s="251"/>
      <c r="L577" s="251"/>
      <c r="M577" s="251"/>
      <c r="N577" s="251"/>
      <c r="O577" s="251"/>
      <c r="P577" s="251"/>
      <c r="Q577" s="251"/>
      <c r="R577" s="251"/>
      <c r="S577" s="251"/>
      <c r="T577" s="251"/>
      <c r="U577" s="251"/>
      <c r="V577" s="251"/>
      <c r="W577" s="251"/>
      <c r="X577" s="251"/>
      <c r="Y577" s="251"/>
      <c r="Z577" s="251"/>
      <c r="AA577" s="251"/>
      <c r="AB577" s="251"/>
    </row>
    <row r="578" ht="14.25" customHeight="1">
      <c r="A578" s="251"/>
      <c r="B578" s="263"/>
      <c r="C578" s="242" t="s">
        <v>7861</v>
      </c>
      <c r="D578" s="98" t="s">
        <v>271</v>
      </c>
      <c r="E578" s="240" t="s">
        <v>7769</v>
      </c>
      <c r="F578" s="258" t="s">
        <v>7856</v>
      </c>
      <c r="G578" s="240" t="s">
        <v>6930</v>
      </c>
      <c r="H578" s="240" t="s">
        <v>6931</v>
      </c>
      <c r="I578" s="84" t="s">
        <v>36</v>
      </c>
      <c r="J578" s="252" t="s">
        <v>2034</v>
      </c>
      <c r="K578" s="251"/>
      <c r="L578" s="251"/>
      <c r="M578" s="251"/>
      <c r="N578" s="251"/>
      <c r="O578" s="251"/>
      <c r="P578" s="251"/>
      <c r="Q578" s="251"/>
      <c r="R578" s="251"/>
      <c r="S578" s="251"/>
      <c r="T578" s="251"/>
      <c r="U578" s="251"/>
      <c r="V578" s="251"/>
      <c r="W578" s="251"/>
      <c r="X578" s="251"/>
      <c r="Y578" s="251"/>
      <c r="Z578" s="251"/>
      <c r="AA578" s="251"/>
      <c r="AB578" s="251"/>
    </row>
    <row r="579" ht="14.25" customHeight="1">
      <c r="A579" s="251"/>
      <c r="B579" s="263"/>
      <c r="C579" s="242" t="s">
        <v>7862</v>
      </c>
      <c r="D579" s="98" t="s">
        <v>271</v>
      </c>
      <c r="E579" s="240" t="s">
        <v>7769</v>
      </c>
      <c r="F579" s="258" t="s">
        <v>7856</v>
      </c>
      <c r="G579" s="240" t="s">
        <v>6933</v>
      </c>
      <c r="H579" s="240" t="s">
        <v>6934</v>
      </c>
      <c r="I579" s="84" t="s">
        <v>36</v>
      </c>
      <c r="J579" s="252" t="s">
        <v>2034</v>
      </c>
      <c r="K579" s="251"/>
      <c r="L579" s="251"/>
      <c r="M579" s="251"/>
      <c r="N579" s="251"/>
      <c r="O579" s="251"/>
      <c r="P579" s="251"/>
      <c r="Q579" s="251"/>
      <c r="R579" s="251"/>
      <c r="S579" s="251"/>
      <c r="T579" s="251"/>
      <c r="U579" s="251"/>
      <c r="V579" s="251"/>
      <c r="W579" s="251"/>
      <c r="X579" s="251"/>
      <c r="Y579" s="251"/>
      <c r="Z579" s="251"/>
      <c r="AA579" s="251"/>
      <c r="AB579" s="251"/>
    </row>
    <row r="580" ht="14.25" customHeight="1">
      <c r="A580" s="251"/>
      <c r="B580" s="263"/>
      <c r="C580" s="242" t="s">
        <v>7863</v>
      </c>
      <c r="D580" s="98" t="s">
        <v>271</v>
      </c>
      <c r="E580" s="240" t="s">
        <v>7769</v>
      </c>
      <c r="F580" s="258" t="s">
        <v>7859</v>
      </c>
      <c r="G580" s="240" t="s">
        <v>7864</v>
      </c>
      <c r="H580" s="240" t="s">
        <v>7865</v>
      </c>
      <c r="I580" s="84" t="s">
        <v>36</v>
      </c>
      <c r="J580" s="252" t="s">
        <v>2034</v>
      </c>
      <c r="K580" s="251"/>
      <c r="L580" s="251"/>
      <c r="M580" s="251"/>
      <c r="N580" s="251"/>
      <c r="O580" s="251"/>
      <c r="P580" s="251"/>
      <c r="Q580" s="251"/>
      <c r="R580" s="251"/>
      <c r="S580" s="251"/>
      <c r="T580" s="251"/>
      <c r="U580" s="251"/>
      <c r="V580" s="251"/>
      <c r="W580" s="251"/>
      <c r="X580" s="251"/>
      <c r="Y580" s="251"/>
      <c r="Z580" s="251"/>
      <c r="AA580" s="251"/>
      <c r="AB580" s="251"/>
    </row>
    <row r="581" ht="14.25" customHeight="1">
      <c r="A581" s="251"/>
      <c r="B581" s="263"/>
      <c r="C581" s="242" t="s">
        <v>7866</v>
      </c>
      <c r="D581" s="98" t="s">
        <v>271</v>
      </c>
      <c r="E581" s="240" t="s">
        <v>7769</v>
      </c>
      <c r="F581" s="258" t="s">
        <v>7859</v>
      </c>
      <c r="G581" s="240" t="s">
        <v>6939</v>
      </c>
      <c r="H581" s="240" t="s">
        <v>6940</v>
      </c>
      <c r="I581" s="84" t="s">
        <v>36</v>
      </c>
      <c r="J581" s="252" t="s">
        <v>2034</v>
      </c>
      <c r="K581" s="251"/>
      <c r="L581" s="251"/>
      <c r="M581" s="251"/>
      <c r="N581" s="251"/>
      <c r="O581" s="251"/>
      <c r="P581" s="251"/>
      <c r="Q581" s="251"/>
      <c r="R581" s="251"/>
      <c r="S581" s="251"/>
      <c r="T581" s="251"/>
      <c r="U581" s="251"/>
      <c r="V581" s="251"/>
      <c r="W581" s="251"/>
      <c r="X581" s="251"/>
      <c r="Y581" s="251"/>
      <c r="Z581" s="251"/>
      <c r="AA581" s="251"/>
      <c r="AB581" s="251"/>
    </row>
    <row r="582" ht="14.25" customHeight="1">
      <c r="A582" s="251"/>
      <c r="B582" s="263"/>
      <c r="C582" s="242" t="s">
        <v>7867</v>
      </c>
      <c r="D582" s="98" t="s">
        <v>271</v>
      </c>
      <c r="E582" s="240" t="s">
        <v>7769</v>
      </c>
      <c r="F582" s="258" t="s">
        <v>7868</v>
      </c>
      <c r="G582" s="240" t="s">
        <v>6949</v>
      </c>
      <c r="H582" s="240" t="s">
        <v>7869</v>
      </c>
      <c r="I582" s="84" t="s">
        <v>36</v>
      </c>
      <c r="J582" s="252" t="s">
        <v>2034</v>
      </c>
      <c r="K582" s="251"/>
      <c r="L582" s="251"/>
      <c r="M582" s="251"/>
      <c r="N582" s="251"/>
      <c r="O582" s="251"/>
      <c r="P582" s="251"/>
      <c r="Q582" s="251"/>
      <c r="R582" s="251"/>
      <c r="S582" s="251"/>
      <c r="T582" s="251"/>
      <c r="U582" s="251"/>
      <c r="V582" s="251"/>
      <c r="W582" s="251"/>
      <c r="X582" s="251"/>
      <c r="Y582" s="251"/>
      <c r="Z582" s="251"/>
      <c r="AA582" s="251"/>
      <c r="AB582" s="251"/>
    </row>
    <row r="583" ht="14.25" customHeight="1">
      <c r="A583" s="251"/>
      <c r="B583" s="263"/>
      <c r="C583" s="242" t="s">
        <v>7870</v>
      </c>
      <c r="D583" s="98" t="s">
        <v>271</v>
      </c>
      <c r="E583" s="240" t="s">
        <v>7769</v>
      </c>
      <c r="F583" s="258" t="s">
        <v>7871</v>
      </c>
      <c r="G583" s="240" t="s">
        <v>7872</v>
      </c>
      <c r="H583" s="240" t="s">
        <v>7873</v>
      </c>
      <c r="I583" s="84" t="s">
        <v>36</v>
      </c>
      <c r="J583" s="252" t="s">
        <v>2034</v>
      </c>
      <c r="K583" s="251"/>
      <c r="L583" s="251"/>
      <c r="M583" s="251"/>
      <c r="N583" s="251"/>
      <c r="O583" s="251"/>
      <c r="P583" s="251"/>
      <c r="Q583" s="251"/>
      <c r="R583" s="251"/>
      <c r="S583" s="251"/>
      <c r="T583" s="251"/>
      <c r="U583" s="251"/>
      <c r="V583" s="251"/>
      <c r="W583" s="251"/>
      <c r="X583" s="251"/>
      <c r="Y583" s="251"/>
      <c r="Z583" s="251"/>
      <c r="AA583" s="251"/>
      <c r="AB583" s="251"/>
    </row>
    <row r="584" ht="14.25" customHeight="1">
      <c r="A584" s="251"/>
      <c r="B584" s="263"/>
      <c r="C584" s="242" t="s">
        <v>7874</v>
      </c>
      <c r="D584" s="98" t="s">
        <v>271</v>
      </c>
      <c r="E584" s="240" t="s">
        <v>7769</v>
      </c>
      <c r="F584" s="258" t="s">
        <v>7868</v>
      </c>
      <c r="G584" s="240" t="s">
        <v>7875</v>
      </c>
      <c r="H584" s="240" t="s">
        <v>7876</v>
      </c>
      <c r="I584" s="84" t="s">
        <v>317</v>
      </c>
      <c r="J584" s="252" t="s">
        <v>2034</v>
      </c>
      <c r="K584" s="251"/>
      <c r="L584" s="251"/>
      <c r="M584" s="251"/>
      <c r="N584" s="251"/>
      <c r="O584" s="251"/>
      <c r="P584" s="251"/>
      <c r="Q584" s="251"/>
      <c r="R584" s="251"/>
      <c r="S584" s="251"/>
      <c r="T584" s="251"/>
      <c r="U584" s="251"/>
      <c r="V584" s="251"/>
      <c r="W584" s="251"/>
      <c r="X584" s="251"/>
      <c r="Y584" s="251"/>
      <c r="Z584" s="251"/>
      <c r="AA584" s="251"/>
      <c r="AB584" s="251"/>
    </row>
    <row r="585" ht="14.25" customHeight="1">
      <c r="A585" s="98" t="s">
        <v>7877</v>
      </c>
      <c r="B585" s="257" t="s">
        <v>7878</v>
      </c>
      <c r="C585" s="242" t="s">
        <v>7879</v>
      </c>
      <c r="D585" s="98" t="s">
        <v>271</v>
      </c>
      <c r="E585" s="240" t="s">
        <v>7880</v>
      </c>
      <c r="F585" s="240" t="s">
        <v>7881</v>
      </c>
      <c r="G585" s="240" t="s">
        <v>7882</v>
      </c>
      <c r="H585" s="240" t="s">
        <v>7883</v>
      </c>
      <c r="I585" s="84" t="s">
        <v>36</v>
      </c>
      <c r="J585" s="252" t="s">
        <v>2034</v>
      </c>
      <c r="K585" s="251"/>
      <c r="L585" s="251"/>
      <c r="M585" s="251"/>
      <c r="N585" s="251"/>
      <c r="O585" s="251"/>
      <c r="P585" s="251"/>
      <c r="Q585" s="251"/>
      <c r="R585" s="251"/>
      <c r="S585" s="251"/>
      <c r="T585" s="251"/>
      <c r="U585" s="251"/>
      <c r="V585" s="251"/>
      <c r="W585" s="251"/>
      <c r="X585" s="251"/>
      <c r="Y585" s="251"/>
      <c r="Z585" s="251"/>
      <c r="AA585" s="251"/>
      <c r="AB585" s="251"/>
    </row>
    <row r="586" ht="14.25" customHeight="1">
      <c r="A586" s="98" t="s">
        <v>7877</v>
      </c>
      <c r="B586" s="108"/>
      <c r="C586" s="242" t="s">
        <v>7884</v>
      </c>
      <c r="D586" s="98" t="s">
        <v>271</v>
      </c>
      <c r="E586" s="240" t="s">
        <v>7880</v>
      </c>
      <c r="F586" s="240" t="s">
        <v>7881</v>
      </c>
      <c r="G586" s="240" t="s">
        <v>7885</v>
      </c>
      <c r="H586" s="240" t="s">
        <v>7886</v>
      </c>
      <c r="I586" s="84" t="s">
        <v>36</v>
      </c>
      <c r="J586" s="252" t="s">
        <v>2034</v>
      </c>
      <c r="K586" s="251"/>
      <c r="L586" s="251"/>
      <c r="M586" s="251"/>
      <c r="N586" s="251"/>
      <c r="O586" s="251"/>
      <c r="P586" s="251"/>
      <c r="Q586" s="251"/>
      <c r="R586" s="251"/>
      <c r="S586" s="251"/>
      <c r="T586" s="251"/>
      <c r="U586" s="251"/>
      <c r="V586" s="251"/>
      <c r="W586" s="251"/>
      <c r="X586" s="251"/>
      <c r="Y586" s="251"/>
      <c r="Z586" s="251"/>
      <c r="AA586" s="251"/>
      <c r="AB586" s="251"/>
    </row>
    <row r="587" ht="14.25" customHeight="1">
      <c r="A587" s="98" t="s">
        <v>7877</v>
      </c>
      <c r="B587" s="108"/>
      <c r="C587" s="242" t="s">
        <v>7887</v>
      </c>
      <c r="D587" s="98" t="s">
        <v>271</v>
      </c>
      <c r="E587" s="240" t="s">
        <v>7880</v>
      </c>
      <c r="F587" s="240" t="s">
        <v>7881</v>
      </c>
      <c r="G587" s="240" t="s">
        <v>7888</v>
      </c>
      <c r="H587" s="240" t="s">
        <v>7889</v>
      </c>
      <c r="I587" s="84" t="s">
        <v>36</v>
      </c>
      <c r="J587" s="252" t="s">
        <v>2034</v>
      </c>
      <c r="K587" s="251"/>
      <c r="L587" s="251"/>
      <c r="M587" s="251"/>
      <c r="N587" s="251"/>
      <c r="O587" s="251"/>
      <c r="P587" s="251"/>
      <c r="Q587" s="251"/>
      <c r="R587" s="251"/>
      <c r="S587" s="251"/>
      <c r="T587" s="251"/>
      <c r="U587" s="251"/>
      <c r="V587" s="251"/>
      <c r="W587" s="251"/>
      <c r="X587" s="251"/>
      <c r="Y587" s="251"/>
      <c r="Z587" s="251"/>
      <c r="AA587" s="251"/>
      <c r="AB587" s="251"/>
    </row>
    <row r="588" ht="14.25" customHeight="1">
      <c r="A588" s="98" t="s">
        <v>7877</v>
      </c>
      <c r="B588" s="108"/>
      <c r="C588" s="242" t="s">
        <v>7890</v>
      </c>
      <c r="D588" s="98" t="s">
        <v>271</v>
      </c>
      <c r="E588" s="240" t="s">
        <v>7880</v>
      </c>
      <c r="F588" s="240" t="s">
        <v>7891</v>
      </c>
      <c r="G588" s="240" t="s">
        <v>7892</v>
      </c>
      <c r="H588" s="240" t="s">
        <v>7893</v>
      </c>
      <c r="I588" s="84" t="s">
        <v>36</v>
      </c>
      <c r="J588" s="252" t="s">
        <v>2034</v>
      </c>
      <c r="K588" s="251"/>
      <c r="L588" s="251"/>
      <c r="M588" s="251"/>
      <c r="N588" s="251"/>
      <c r="O588" s="251"/>
      <c r="P588" s="251"/>
      <c r="Q588" s="251"/>
      <c r="R588" s="251"/>
      <c r="S588" s="251"/>
      <c r="T588" s="251"/>
      <c r="U588" s="251"/>
      <c r="V588" s="251"/>
      <c r="W588" s="251"/>
      <c r="X588" s="251"/>
      <c r="Y588" s="251"/>
      <c r="Z588" s="251"/>
      <c r="AA588" s="251"/>
      <c r="AB588" s="251"/>
    </row>
    <row r="589" ht="14.25" customHeight="1">
      <c r="A589" s="98" t="s">
        <v>7877</v>
      </c>
      <c r="B589" s="108"/>
      <c r="C589" s="242" t="s">
        <v>7894</v>
      </c>
      <c r="D589" s="98" t="s">
        <v>271</v>
      </c>
      <c r="E589" s="240" t="s">
        <v>7880</v>
      </c>
      <c r="F589" s="240" t="s">
        <v>7891</v>
      </c>
      <c r="G589" s="240" t="s">
        <v>7895</v>
      </c>
      <c r="H589" s="240" t="s">
        <v>7896</v>
      </c>
      <c r="I589" s="84" t="s">
        <v>36</v>
      </c>
      <c r="J589" s="252" t="s">
        <v>2034</v>
      </c>
      <c r="K589" s="251"/>
      <c r="L589" s="251"/>
      <c r="M589" s="251"/>
      <c r="N589" s="251"/>
      <c r="O589" s="251"/>
      <c r="P589" s="251"/>
      <c r="Q589" s="251"/>
      <c r="R589" s="251"/>
      <c r="S589" s="251"/>
      <c r="T589" s="251"/>
      <c r="U589" s="251"/>
      <c r="V589" s="251"/>
      <c r="W589" s="251"/>
      <c r="X589" s="251"/>
      <c r="Y589" s="251"/>
      <c r="Z589" s="251"/>
      <c r="AA589" s="251"/>
      <c r="AB589" s="251"/>
    </row>
    <row r="590" ht="14.25" customHeight="1">
      <c r="A590" s="98" t="s">
        <v>7877</v>
      </c>
      <c r="B590" s="108"/>
      <c r="C590" s="242" t="s">
        <v>7897</v>
      </c>
      <c r="D590" s="98" t="s">
        <v>271</v>
      </c>
      <c r="E590" s="240" t="s">
        <v>7880</v>
      </c>
      <c r="F590" s="240" t="s">
        <v>7898</v>
      </c>
      <c r="G590" s="240" t="s">
        <v>7899</v>
      </c>
      <c r="H590" s="240" t="s">
        <v>7900</v>
      </c>
      <c r="I590" s="84" t="s">
        <v>36</v>
      </c>
      <c r="J590" s="252" t="s">
        <v>2034</v>
      </c>
      <c r="K590" s="251"/>
      <c r="L590" s="251"/>
      <c r="M590" s="251"/>
      <c r="N590" s="251"/>
      <c r="O590" s="251"/>
      <c r="P590" s="251"/>
      <c r="Q590" s="251"/>
      <c r="R590" s="251"/>
      <c r="S590" s="251"/>
      <c r="T590" s="251"/>
      <c r="U590" s="251"/>
      <c r="V590" s="251"/>
      <c r="W590" s="251"/>
      <c r="X590" s="251"/>
      <c r="Y590" s="251"/>
      <c r="Z590" s="251"/>
      <c r="AA590" s="251"/>
      <c r="AB590" s="251"/>
    </row>
    <row r="591" ht="14.25" customHeight="1">
      <c r="A591" s="98" t="s">
        <v>7877</v>
      </c>
      <c r="B591" s="109"/>
      <c r="C591" s="242" t="s">
        <v>7901</v>
      </c>
      <c r="D591" s="98" t="s">
        <v>271</v>
      </c>
      <c r="E591" s="240" t="s">
        <v>7880</v>
      </c>
      <c r="F591" s="240" t="s">
        <v>7898</v>
      </c>
      <c r="G591" s="240" t="s">
        <v>7902</v>
      </c>
      <c r="H591" s="240" t="s">
        <v>7900</v>
      </c>
      <c r="I591" s="84" t="s">
        <v>36</v>
      </c>
      <c r="J591" s="252" t="s">
        <v>2034</v>
      </c>
      <c r="K591" s="251"/>
      <c r="L591" s="251"/>
      <c r="M591" s="251"/>
      <c r="N591" s="251"/>
      <c r="O591" s="251"/>
      <c r="P591" s="251"/>
      <c r="Q591" s="251"/>
      <c r="R591" s="251"/>
      <c r="S591" s="251"/>
      <c r="T591" s="251"/>
      <c r="U591" s="251"/>
      <c r="V591" s="251"/>
      <c r="W591" s="251"/>
      <c r="X591" s="251"/>
      <c r="Y591" s="251"/>
      <c r="Z591" s="251"/>
      <c r="AA591" s="251"/>
      <c r="AB591" s="251"/>
    </row>
    <row r="592" ht="14.25" customHeight="1">
      <c r="A592" s="251"/>
      <c r="B592" s="263"/>
      <c r="C592" s="242" t="s">
        <v>7903</v>
      </c>
      <c r="D592" s="98" t="s">
        <v>271</v>
      </c>
      <c r="E592" s="240" t="s">
        <v>7904</v>
      </c>
      <c r="F592" s="266" t="s">
        <v>7905</v>
      </c>
      <c r="G592" s="240" t="s">
        <v>7906</v>
      </c>
      <c r="H592" s="240" t="s">
        <v>7907</v>
      </c>
      <c r="I592" s="84" t="s">
        <v>36</v>
      </c>
      <c r="J592" s="252" t="s">
        <v>2034</v>
      </c>
      <c r="K592" s="251"/>
      <c r="L592" s="251"/>
      <c r="M592" s="251"/>
      <c r="N592" s="251"/>
      <c r="O592" s="251"/>
      <c r="P592" s="251"/>
      <c r="Q592" s="251"/>
      <c r="R592" s="251"/>
      <c r="S592" s="251"/>
      <c r="T592" s="251"/>
      <c r="U592" s="251"/>
      <c r="V592" s="251"/>
      <c r="W592" s="251"/>
      <c r="X592" s="251"/>
      <c r="Y592" s="251"/>
      <c r="Z592" s="251"/>
      <c r="AA592" s="251"/>
      <c r="AB592" s="251"/>
    </row>
    <row r="593" ht="14.25" customHeight="1">
      <c r="A593" s="251"/>
      <c r="B593" s="263"/>
      <c r="C593" s="242" t="s">
        <v>7908</v>
      </c>
      <c r="D593" s="98" t="s">
        <v>271</v>
      </c>
      <c r="E593" s="240" t="s">
        <v>7904</v>
      </c>
      <c r="F593" s="266" t="s">
        <v>7905</v>
      </c>
      <c r="G593" s="240" t="s">
        <v>7909</v>
      </c>
      <c r="H593" s="240" t="s">
        <v>7907</v>
      </c>
      <c r="I593" s="84" t="s">
        <v>36</v>
      </c>
      <c r="J593" s="252" t="s">
        <v>2034</v>
      </c>
      <c r="K593" s="251"/>
      <c r="L593" s="251"/>
      <c r="M593" s="251"/>
      <c r="N593" s="251"/>
      <c r="O593" s="251"/>
      <c r="P593" s="251"/>
      <c r="Q593" s="251"/>
      <c r="R593" s="251"/>
      <c r="S593" s="251"/>
      <c r="T593" s="251"/>
      <c r="U593" s="251"/>
      <c r="V593" s="251"/>
      <c r="W593" s="251"/>
      <c r="X593" s="251"/>
      <c r="Y593" s="251"/>
      <c r="Z593" s="251"/>
      <c r="AA593" s="251"/>
      <c r="AB593" s="251"/>
    </row>
    <row r="594" ht="14.25" customHeight="1">
      <c r="A594" s="251"/>
      <c r="B594" s="263"/>
      <c r="C594" s="242" t="s">
        <v>7910</v>
      </c>
      <c r="D594" s="98" t="s">
        <v>271</v>
      </c>
      <c r="E594" s="240" t="s">
        <v>7911</v>
      </c>
      <c r="F594" s="258" t="s">
        <v>7770</v>
      </c>
      <c r="G594" s="240" t="s">
        <v>7912</v>
      </c>
      <c r="H594" s="240" t="s">
        <v>7913</v>
      </c>
      <c r="I594" s="84" t="s">
        <v>36</v>
      </c>
      <c r="J594" s="98" t="s">
        <v>1784</v>
      </c>
      <c r="K594" s="251"/>
      <c r="L594" s="251"/>
      <c r="M594" s="251"/>
      <c r="N594" s="251"/>
      <c r="O594" s="251"/>
      <c r="P594" s="251"/>
      <c r="Q594" s="251"/>
      <c r="R594" s="251"/>
      <c r="S594" s="251"/>
      <c r="T594" s="251"/>
      <c r="U594" s="251"/>
      <c r="V594" s="251"/>
      <c r="W594" s="251"/>
      <c r="X594" s="251"/>
      <c r="Y594" s="251"/>
      <c r="Z594" s="251"/>
      <c r="AA594" s="251"/>
      <c r="AB594" s="251"/>
    </row>
    <row r="595" ht="14.25" customHeight="1">
      <c r="A595" s="251"/>
      <c r="B595" s="263"/>
      <c r="C595" s="242" t="s">
        <v>7914</v>
      </c>
      <c r="D595" s="98" t="s">
        <v>271</v>
      </c>
      <c r="E595" s="240" t="s">
        <v>7911</v>
      </c>
      <c r="F595" s="258" t="s">
        <v>7915</v>
      </c>
      <c r="G595" s="240" t="s">
        <v>7916</v>
      </c>
      <c r="H595" s="240" t="s">
        <v>7917</v>
      </c>
      <c r="I595" s="84" t="s">
        <v>36</v>
      </c>
      <c r="J595" s="98" t="s">
        <v>1784</v>
      </c>
      <c r="K595" s="251"/>
      <c r="L595" s="251"/>
      <c r="M595" s="251"/>
      <c r="N595" s="251"/>
      <c r="O595" s="251"/>
      <c r="P595" s="251"/>
      <c r="Q595" s="251"/>
      <c r="R595" s="251"/>
      <c r="S595" s="251"/>
      <c r="T595" s="251"/>
      <c r="U595" s="251"/>
      <c r="V595" s="251"/>
      <c r="W595" s="251"/>
      <c r="X595" s="251"/>
      <c r="Y595" s="251"/>
      <c r="Z595" s="251"/>
      <c r="AA595" s="251"/>
      <c r="AB595" s="251"/>
    </row>
    <row r="596" ht="14.25" customHeight="1">
      <c r="A596" s="251"/>
      <c r="B596" s="263"/>
      <c r="C596" s="242" t="s">
        <v>7918</v>
      </c>
      <c r="D596" s="98" t="s">
        <v>271</v>
      </c>
      <c r="E596" s="240" t="s">
        <v>7911</v>
      </c>
      <c r="F596" s="258" t="s">
        <v>7919</v>
      </c>
      <c r="G596" s="240" t="s">
        <v>7920</v>
      </c>
      <c r="H596" s="240" t="s">
        <v>7921</v>
      </c>
      <c r="I596" s="84" t="s">
        <v>36</v>
      </c>
      <c r="J596" s="98" t="s">
        <v>1784</v>
      </c>
      <c r="K596" s="251"/>
      <c r="L596" s="251"/>
      <c r="M596" s="251"/>
      <c r="N596" s="251"/>
      <c r="O596" s="251"/>
      <c r="P596" s="251"/>
      <c r="Q596" s="251"/>
      <c r="R596" s="251"/>
      <c r="S596" s="251"/>
      <c r="T596" s="251"/>
      <c r="U596" s="251"/>
      <c r="V596" s="251"/>
      <c r="W596" s="251"/>
      <c r="X596" s="251"/>
      <c r="Y596" s="251"/>
      <c r="Z596" s="251"/>
      <c r="AA596" s="251"/>
      <c r="AB596" s="251"/>
    </row>
    <row r="597" ht="14.25" customHeight="1">
      <c r="A597" s="251"/>
      <c r="B597" s="263"/>
      <c r="C597" s="242" t="s">
        <v>7922</v>
      </c>
      <c r="D597" s="98" t="s">
        <v>271</v>
      </c>
      <c r="E597" s="240" t="s">
        <v>7911</v>
      </c>
      <c r="F597" s="258" t="s">
        <v>7923</v>
      </c>
      <c r="G597" s="240" t="s">
        <v>7924</v>
      </c>
      <c r="H597" s="240" t="s">
        <v>7925</v>
      </c>
      <c r="I597" s="84" t="s">
        <v>36</v>
      </c>
      <c r="J597" s="98" t="s">
        <v>1784</v>
      </c>
      <c r="K597" s="251"/>
      <c r="L597" s="251"/>
      <c r="M597" s="251"/>
      <c r="N597" s="251"/>
      <c r="O597" s="251"/>
      <c r="P597" s="251"/>
      <c r="Q597" s="251"/>
      <c r="R597" s="251"/>
      <c r="S597" s="251"/>
      <c r="T597" s="251"/>
      <c r="U597" s="251"/>
      <c r="V597" s="251"/>
      <c r="W597" s="251"/>
      <c r="X597" s="251"/>
      <c r="Y597" s="251"/>
      <c r="Z597" s="251"/>
      <c r="AA597" s="251"/>
      <c r="AB597" s="251"/>
    </row>
    <row r="598" ht="14.25" customHeight="1">
      <c r="A598" s="251"/>
      <c r="B598" s="263"/>
      <c r="C598" s="242" t="s">
        <v>7926</v>
      </c>
      <c r="D598" s="98" t="s">
        <v>271</v>
      </c>
      <c r="E598" s="240" t="s">
        <v>7911</v>
      </c>
      <c r="F598" s="258" t="s">
        <v>7927</v>
      </c>
      <c r="G598" s="240" t="s">
        <v>7928</v>
      </c>
      <c r="H598" s="240" t="s">
        <v>7929</v>
      </c>
      <c r="I598" s="84" t="s">
        <v>36</v>
      </c>
      <c r="J598" s="98" t="s">
        <v>1784</v>
      </c>
      <c r="K598" s="251"/>
      <c r="L598" s="251"/>
      <c r="M598" s="251"/>
      <c r="N598" s="251"/>
      <c r="O598" s="251"/>
      <c r="P598" s="251"/>
      <c r="Q598" s="251"/>
      <c r="R598" s="251"/>
      <c r="S598" s="251"/>
      <c r="T598" s="251"/>
      <c r="U598" s="251"/>
      <c r="V598" s="251"/>
      <c r="W598" s="251"/>
      <c r="X598" s="251"/>
      <c r="Y598" s="251"/>
      <c r="Z598" s="251"/>
      <c r="AA598" s="251"/>
      <c r="AB598" s="251"/>
    </row>
    <row r="599" ht="14.25" customHeight="1">
      <c r="A599" s="251"/>
      <c r="B599" s="263"/>
      <c r="C599" s="242" t="s">
        <v>7930</v>
      </c>
      <c r="D599" s="98" t="s">
        <v>271</v>
      </c>
      <c r="E599" s="240" t="s">
        <v>7911</v>
      </c>
      <c r="F599" s="258" t="s">
        <v>7931</v>
      </c>
      <c r="G599" s="240" t="s">
        <v>7932</v>
      </c>
      <c r="H599" s="240" t="s">
        <v>7933</v>
      </c>
      <c r="I599" s="84" t="s">
        <v>36</v>
      </c>
      <c r="J599" s="98" t="s">
        <v>1784</v>
      </c>
      <c r="K599" s="251"/>
      <c r="L599" s="251"/>
      <c r="M599" s="251"/>
      <c r="N599" s="251"/>
      <c r="O599" s="251"/>
      <c r="P599" s="251"/>
      <c r="Q599" s="251"/>
      <c r="R599" s="251"/>
      <c r="S599" s="251"/>
      <c r="T599" s="251"/>
      <c r="U599" s="251"/>
      <c r="V599" s="251"/>
      <c r="W599" s="251"/>
      <c r="X599" s="251"/>
      <c r="Y599" s="251"/>
      <c r="Z599" s="251"/>
      <c r="AA599" s="251"/>
      <c r="AB599" s="251"/>
    </row>
    <row r="600" ht="14.25" customHeight="1">
      <c r="A600" s="251"/>
      <c r="B600" s="263"/>
      <c r="C600" s="242" t="s">
        <v>7934</v>
      </c>
      <c r="D600" s="98" t="s">
        <v>271</v>
      </c>
      <c r="E600" s="240" t="s">
        <v>7911</v>
      </c>
      <c r="F600" s="258" t="s">
        <v>7931</v>
      </c>
      <c r="G600" s="240" t="s">
        <v>6836</v>
      </c>
      <c r="H600" s="240" t="s">
        <v>7935</v>
      </c>
      <c r="I600" s="84" t="s">
        <v>36</v>
      </c>
      <c r="J600" s="98" t="s">
        <v>1784</v>
      </c>
      <c r="K600" s="251"/>
      <c r="L600" s="251"/>
      <c r="M600" s="251"/>
      <c r="N600" s="251"/>
      <c r="O600" s="251"/>
      <c r="P600" s="251"/>
      <c r="Q600" s="251"/>
      <c r="R600" s="251"/>
      <c r="S600" s="251"/>
      <c r="T600" s="251"/>
      <c r="U600" s="251"/>
      <c r="V600" s="251"/>
      <c r="W600" s="251"/>
      <c r="X600" s="251"/>
      <c r="Y600" s="251"/>
      <c r="Z600" s="251"/>
      <c r="AA600" s="251"/>
      <c r="AB600" s="251"/>
    </row>
    <row r="601" ht="14.25" customHeight="1">
      <c r="A601" s="251"/>
      <c r="B601" s="263"/>
      <c r="C601" s="242" t="s">
        <v>7936</v>
      </c>
      <c r="D601" s="98" t="s">
        <v>271</v>
      </c>
      <c r="E601" s="240" t="s">
        <v>7911</v>
      </c>
      <c r="F601" s="258" t="s">
        <v>7931</v>
      </c>
      <c r="G601" s="240" t="s">
        <v>6839</v>
      </c>
      <c r="H601" s="240" t="s">
        <v>6840</v>
      </c>
      <c r="I601" s="84" t="s">
        <v>36</v>
      </c>
      <c r="J601" s="98" t="s">
        <v>1784</v>
      </c>
      <c r="K601" s="251"/>
      <c r="L601" s="251"/>
      <c r="M601" s="251"/>
      <c r="N601" s="251"/>
      <c r="O601" s="251"/>
      <c r="P601" s="251"/>
      <c r="Q601" s="251"/>
      <c r="R601" s="251"/>
      <c r="S601" s="251"/>
      <c r="T601" s="251"/>
      <c r="U601" s="251"/>
      <c r="V601" s="251"/>
      <c r="W601" s="251"/>
      <c r="X601" s="251"/>
      <c r="Y601" s="251"/>
      <c r="Z601" s="251"/>
      <c r="AA601" s="251"/>
      <c r="AB601" s="251"/>
    </row>
    <row r="602" ht="14.25" customHeight="1">
      <c r="A602" s="251"/>
      <c r="B602" s="263"/>
      <c r="C602" s="242" t="s">
        <v>7937</v>
      </c>
      <c r="D602" s="98" t="s">
        <v>271</v>
      </c>
      <c r="E602" s="240" t="s">
        <v>7911</v>
      </c>
      <c r="F602" s="258" t="s">
        <v>7931</v>
      </c>
      <c r="G602" s="240" t="s">
        <v>6846</v>
      </c>
      <c r="H602" s="240" t="s">
        <v>6847</v>
      </c>
      <c r="I602" s="84" t="s">
        <v>36</v>
      </c>
      <c r="J602" s="98" t="s">
        <v>1784</v>
      </c>
      <c r="K602" s="251"/>
      <c r="L602" s="251"/>
      <c r="M602" s="251"/>
      <c r="N602" s="251"/>
      <c r="O602" s="251"/>
      <c r="P602" s="251"/>
      <c r="Q602" s="251"/>
      <c r="R602" s="251"/>
      <c r="S602" s="251"/>
      <c r="T602" s="251"/>
      <c r="U602" s="251"/>
      <c r="V602" s="251"/>
      <c r="W602" s="251"/>
      <c r="X602" s="251"/>
      <c r="Y602" s="251"/>
      <c r="Z602" s="251"/>
      <c r="AA602" s="251"/>
      <c r="AB602" s="251"/>
    </row>
    <row r="603" ht="14.25" customHeight="1">
      <c r="A603" s="251"/>
      <c r="B603" s="263"/>
      <c r="C603" s="242" t="s">
        <v>7938</v>
      </c>
      <c r="D603" s="98" t="s">
        <v>271</v>
      </c>
      <c r="E603" s="240" t="s">
        <v>7911</v>
      </c>
      <c r="F603" s="258" t="s">
        <v>7939</v>
      </c>
      <c r="G603" s="240" t="s">
        <v>7940</v>
      </c>
      <c r="H603" s="240" t="s">
        <v>7941</v>
      </c>
      <c r="I603" s="84" t="s">
        <v>36</v>
      </c>
      <c r="J603" s="98" t="s">
        <v>1784</v>
      </c>
      <c r="K603" s="251"/>
      <c r="L603" s="251"/>
      <c r="M603" s="251"/>
      <c r="N603" s="251"/>
      <c r="O603" s="251"/>
      <c r="P603" s="251"/>
      <c r="Q603" s="251"/>
      <c r="R603" s="251"/>
      <c r="S603" s="251"/>
      <c r="T603" s="251"/>
      <c r="U603" s="251"/>
      <c r="V603" s="251"/>
      <c r="W603" s="251"/>
      <c r="X603" s="251"/>
      <c r="Y603" s="251"/>
      <c r="Z603" s="251"/>
      <c r="AA603" s="251"/>
      <c r="AB603" s="251"/>
    </row>
    <row r="604" ht="14.25" customHeight="1">
      <c r="A604" s="251"/>
      <c r="B604" s="263"/>
      <c r="C604" s="242" t="s">
        <v>7942</v>
      </c>
      <c r="D604" s="98" t="s">
        <v>271</v>
      </c>
      <c r="E604" s="240" t="s">
        <v>7911</v>
      </c>
      <c r="F604" s="258" t="s">
        <v>7939</v>
      </c>
      <c r="G604" s="240" t="s">
        <v>7943</v>
      </c>
      <c r="H604" s="240" t="s">
        <v>7944</v>
      </c>
      <c r="I604" s="84" t="s">
        <v>36</v>
      </c>
      <c r="J604" s="98" t="s">
        <v>1784</v>
      </c>
      <c r="K604" s="251"/>
      <c r="L604" s="251"/>
      <c r="M604" s="251"/>
      <c r="N604" s="251"/>
      <c r="O604" s="251"/>
      <c r="P604" s="251"/>
      <c r="Q604" s="251"/>
      <c r="R604" s="251"/>
      <c r="S604" s="251"/>
      <c r="T604" s="251"/>
      <c r="U604" s="251"/>
      <c r="V604" s="251"/>
      <c r="W604" s="251"/>
      <c r="X604" s="251"/>
      <c r="Y604" s="251"/>
      <c r="Z604" s="251"/>
      <c r="AA604" s="251"/>
      <c r="AB604" s="251"/>
    </row>
    <row r="605" ht="14.25" customHeight="1">
      <c r="A605" s="251"/>
      <c r="B605" s="263"/>
      <c r="C605" s="242" t="s">
        <v>7945</v>
      </c>
      <c r="D605" s="98" t="s">
        <v>271</v>
      </c>
      <c r="E605" s="240" t="s">
        <v>7911</v>
      </c>
      <c r="F605" s="258" t="s">
        <v>7946</v>
      </c>
      <c r="G605" s="240" t="s">
        <v>7947</v>
      </c>
      <c r="H605" s="240" t="s">
        <v>7948</v>
      </c>
      <c r="I605" s="84" t="s">
        <v>36</v>
      </c>
      <c r="J605" s="98" t="s">
        <v>1784</v>
      </c>
      <c r="K605" s="251"/>
      <c r="L605" s="251"/>
      <c r="M605" s="251"/>
      <c r="N605" s="251"/>
      <c r="O605" s="251"/>
      <c r="P605" s="251"/>
      <c r="Q605" s="251"/>
      <c r="R605" s="251"/>
      <c r="S605" s="251"/>
      <c r="T605" s="251"/>
      <c r="U605" s="251"/>
      <c r="V605" s="251"/>
      <c r="W605" s="251"/>
      <c r="X605" s="251"/>
      <c r="Y605" s="251"/>
      <c r="Z605" s="251"/>
      <c r="AA605" s="251"/>
      <c r="AB605" s="251"/>
    </row>
    <row r="606" ht="14.25" customHeight="1">
      <c r="A606" s="251"/>
      <c r="B606" s="263"/>
      <c r="C606" s="242" t="s">
        <v>7949</v>
      </c>
      <c r="D606" s="98" t="s">
        <v>271</v>
      </c>
      <c r="E606" s="240" t="s">
        <v>6806</v>
      </c>
      <c r="F606" s="258" t="s">
        <v>6859</v>
      </c>
      <c r="G606" s="240" t="s">
        <v>7950</v>
      </c>
      <c r="H606" s="240" t="s">
        <v>7951</v>
      </c>
      <c r="I606" s="84" t="s">
        <v>36</v>
      </c>
      <c r="J606" s="98" t="s">
        <v>1784</v>
      </c>
      <c r="K606" s="251"/>
      <c r="L606" s="251"/>
      <c r="M606" s="251"/>
      <c r="N606" s="251"/>
      <c r="O606" s="251"/>
      <c r="P606" s="251"/>
      <c r="Q606" s="251"/>
      <c r="R606" s="251"/>
      <c r="S606" s="251"/>
      <c r="T606" s="251"/>
      <c r="U606" s="251"/>
      <c r="V606" s="251"/>
      <c r="W606" s="251"/>
      <c r="X606" s="251"/>
      <c r="Y606" s="251"/>
      <c r="Z606" s="251"/>
      <c r="AA606" s="251"/>
      <c r="AB606" s="251"/>
    </row>
    <row r="607" ht="14.25" customHeight="1">
      <c r="A607" s="251"/>
      <c r="B607" s="263"/>
      <c r="C607" s="242" t="s">
        <v>7952</v>
      </c>
      <c r="D607" s="98" t="s">
        <v>271</v>
      </c>
      <c r="E607" s="240" t="s">
        <v>6806</v>
      </c>
      <c r="F607" s="258" t="s">
        <v>6859</v>
      </c>
      <c r="G607" s="240" t="s">
        <v>6866</v>
      </c>
      <c r="H607" s="240" t="s">
        <v>7953</v>
      </c>
      <c r="I607" s="84" t="s">
        <v>36</v>
      </c>
      <c r="J607" s="98" t="s">
        <v>1784</v>
      </c>
      <c r="K607" s="251"/>
      <c r="L607" s="251"/>
      <c r="M607" s="251"/>
      <c r="N607" s="251"/>
      <c r="O607" s="251"/>
      <c r="P607" s="251"/>
      <c r="Q607" s="251"/>
      <c r="R607" s="251"/>
      <c r="S607" s="251"/>
      <c r="T607" s="251"/>
      <c r="U607" s="251"/>
      <c r="V607" s="251"/>
      <c r="W607" s="251"/>
      <c r="X607" s="251"/>
      <c r="Y607" s="251"/>
      <c r="Z607" s="251"/>
      <c r="AA607" s="251"/>
      <c r="AB607" s="251"/>
    </row>
    <row r="608" ht="14.25" customHeight="1">
      <c r="A608" s="251"/>
      <c r="B608" s="263"/>
      <c r="C608" s="242" t="s">
        <v>7954</v>
      </c>
      <c r="D608" s="98" t="s">
        <v>271</v>
      </c>
      <c r="E608" s="240" t="s">
        <v>6806</v>
      </c>
      <c r="F608" s="258" t="s">
        <v>6859</v>
      </c>
      <c r="G608" s="240" t="s">
        <v>6869</v>
      </c>
      <c r="H608" s="240" t="s">
        <v>7955</v>
      </c>
      <c r="I608" s="84" t="s">
        <v>36</v>
      </c>
      <c r="J608" s="98" t="s">
        <v>1784</v>
      </c>
      <c r="K608" s="251"/>
      <c r="L608" s="251"/>
      <c r="M608" s="251"/>
      <c r="N608" s="251"/>
      <c r="O608" s="251"/>
      <c r="P608" s="251"/>
      <c r="Q608" s="251"/>
      <c r="R608" s="251"/>
      <c r="S608" s="251"/>
      <c r="T608" s="251"/>
      <c r="U608" s="251"/>
      <c r="V608" s="251"/>
      <c r="W608" s="251"/>
      <c r="X608" s="251"/>
      <c r="Y608" s="251"/>
      <c r="Z608" s="251"/>
      <c r="AA608" s="251"/>
      <c r="AB608" s="251"/>
    </row>
    <row r="609" ht="14.25" customHeight="1">
      <c r="A609" s="251"/>
      <c r="B609" s="263"/>
      <c r="C609" s="242" t="s">
        <v>7956</v>
      </c>
      <c r="D609" s="98" t="s">
        <v>271</v>
      </c>
      <c r="E609" s="240" t="s">
        <v>7911</v>
      </c>
      <c r="F609" s="258" t="s">
        <v>7957</v>
      </c>
      <c r="G609" s="240" t="s">
        <v>6891</v>
      </c>
      <c r="H609" s="240" t="s">
        <v>6998</v>
      </c>
      <c r="I609" s="84" t="s">
        <v>36</v>
      </c>
      <c r="J609" s="98" t="s">
        <v>1784</v>
      </c>
      <c r="K609" s="251"/>
      <c r="L609" s="251"/>
      <c r="M609" s="251"/>
      <c r="N609" s="251"/>
      <c r="O609" s="251"/>
      <c r="P609" s="251"/>
      <c r="Q609" s="251"/>
      <c r="R609" s="251"/>
      <c r="S609" s="251"/>
      <c r="T609" s="251"/>
      <c r="U609" s="251"/>
      <c r="V609" s="251"/>
      <c r="W609" s="251"/>
      <c r="X609" s="251"/>
      <c r="Y609" s="251"/>
      <c r="Z609" s="251"/>
      <c r="AA609" s="251"/>
      <c r="AB609" s="251"/>
    </row>
    <row r="610" ht="14.25" customHeight="1">
      <c r="A610" s="251"/>
      <c r="B610" s="263"/>
      <c r="C610" s="242" t="s">
        <v>7958</v>
      </c>
      <c r="D610" s="98" t="s">
        <v>271</v>
      </c>
      <c r="E610" s="240" t="s">
        <v>7911</v>
      </c>
      <c r="F610" s="258" t="s">
        <v>7957</v>
      </c>
      <c r="G610" s="240" t="s">
        <v>6894</v>
      </c>
      <c r="H610" s="240" t="s">
        <v>7959</v>
      </c>
      <c r="I610" s="84" t="s">
        <v>36</v>
      </c>
      <c r="J610" s="98" t="s">
        <v>1784</v>
      </c>
      <c r="K610" s="251"/>
      <c r="L610" s="251"/>
      <c r="M610" s="251"/>
      <c r="N610" s="251"/>
      <c r="O610" s="251"/>
      <c r="P610" s="251"/>
      <c r="Q610" s="251"/>
      <c r="R610" s="251"/>
      <c r="S610" s="251"/>
      <c r="T610" s="251"/>
      <c r="U610" s="251"/>
      <c r="V610" s="251"/>
      <c r="W610" s="251"/>
      <c r="X610" s="251"/>
      <c r="Y610" s="251"/>
      <c r="Z610" s="251"/>
      <c r="AA610" s="251"/>
      <c r="AB610" s="251"/>
    </row>
    <row r="611" ht="14.25" customHeight="1">
      <c r="A611" s="251"/>
      <c r="B611" s="263"/>
      <c r="C611" s="242" t="s">
        <v>7960</v>
      </c>
      <c r="D611" s="98" t="s">
        <v>271</v>
      </c>
      <c r="E611" s="240" t="s">
        <v>7911</v>
      </c>
      <c r="F611" s="258" t="s">
        <v>7957</v>
      </c>
      <c r="G611" s="240" t="s">
        <v>6897</v>
      </c>
      <c r="H611" s="240" t="s">
        <v>6898</v>
      </c>
      <c r="I611" s="84" t="s">
        <v>36</v>
      </c>
      <c r="J611" s="98" t="s">
        <v>1784</v>
      </c>
      <c r="K611" s="251"/>
      <c r="L611" s="251"/>
      <c r="M611" s="251"/>
      <c r="N611" s="251"/>
      <c r="O611" s="251"/>
      <c r="P611" s="251"/>
      <c r="Q611" s="251"/>
      <c r="R611" s="251"/>
      <c r="S611" s="251"/>
      <c r="T611" s="251"/>
      <c r="U611" s="251"/>
      <c r="V611" s="251"/>
      <c r="W611" s="251"/>
      <c r="X611" s="251"/>
      <c r="Y611" s="251"/>
      <c r="Z611" s="251"/>
      <c r="AA611" s="251"/>
      <c r="AB611" s="251"/>
    </row>
    <row r="612" ht="14.25" customHeight="1">
      <c r="A612" s="251"/>
      <c r="B612" s="263"/>
      <c r="C612" s="242" t="s">
        <v>7961</v>
      </c>
      <c r="D612" s="98" t="s">
        <v>271</v>
      </c>
      <c r="E612" s="240" t="s">
        <v>7911</v>
      </c>
      <c r="F612" s="258" t="s">
        <v>7962</v>
      </c>
      <c r="G612" s="240" t="s">
        <v>7963</v>
      </c>
      <c r="H612" s="240" t="s">
        <v>6921</v>
      </c>
      <c r="I612" s="84" t="s">
        <v>36</v>
      </c>
      <c r="J612" s="98" t="s">
        <v>1784</v>
      </c>
      <c r="K612" s="251"/>
      <c r="L612" s="251"/>
      <c r="M612" s="251"/>
      <c r="N612" s="251"/>
      <c r="O612" s="251"/>
      <c r="P612" s="251"/>
      <c r="Q612" s="251"/>
      <c r="R612" s="251"/>
      <c r="S612" s="251"/>
      <c r="T612" s="251"/>
      <c r="U612" s="251"/>
      <c r="V612" s="251"/>
      <c r="W612" s="251"/>
      <c r="X612" s="251"/>
      <c r="Y612" s="251"/>
      <c r="Z612" s="251"/>
      <c r="AA612" s="251"/>
      <c r="AB612" s="251"/>
    </row>
    <row r="613" ht="14.25" customHeight="1">
      <c r="A613" s="251"/>
      <c r="B613" s="263"/>
      <c r="C613" s="242" t="s">
        <v>7964</v>
      </c>
      <c r="D613" s="98" t="s">
        <v>271</v>
      </c>
      <c r="E613" s="240" t="s">
        <v>7911</v>
      </c>
      <c r="F613" s="258" t="s">
        <v>7965</v>
      </c>
      <c r="G613" s="240" t="s">
        <v>6924</v>
      </c>
      <c r="H613" s="240" t="s">
        <v>6925</v>
      </c>
      <c r="I613" s="84" t="s">
        <v>36</v>
      </c>
      <c r="J613" s="98" t="s">
        <v>1784</v>
      </c>
      <c r="K613" s="251"/>
      <c r="L613" s="251"/>
      <c r="M613" s="251"/>
      <c r="N613" s="251"/>
      <c r="O613" s="251"/>
      <c r="P613" s="251"/>
      <c r="Q613" s="251"/>
      <c r="R613" s="251"/>
      <c r="S613" s="251"/>
      <c r="T613" s="251"/>
      <c r="U613" s="251"/>
      <c r="V613" s="251"/>
      <c r="W613" s="251"/>
      <c r="X613" s="251"/>
      <c r="Y613" s="251"/>
      <c r="Z613" s="251"/>
      <c r="AA613" s="251"/>
      <c r="AB613" s="251"/>
    </row>
    <row r="614" ht="14.25" customHeight="1">
      <c r="A614" s="251"/>
      <c r="B614" s="263"/>
      <c r="C614" s="242" t="s">
        <v>7966</v>
      </c>
      <c r="D614" s="98" t="s">
        <v>271</v>
      </c>
      <c r="E614" s="240" t="s">
        <v>7911</v>
      </c>
      <c r="F614" s="258" t="s">
        <v>7962</v>
      </c>
      <c r="G614" s="240" t="s">
        <v>6927</v>
      </c>
      <c r="H614" s="240" t="s">
        <v>6928</v>
      </c>
      <c r="I614" s="84" t="s">
        <v>36</v>
      </c>
      <c r="J614" s="98" t="s">
        <v>1784</v>
      </c>
      <c r="K614" s="251"/>
      <c r="L614" s="251"/>
      <c r="M614" s="251"/>
      <c r="N614" s="251"/>
      <c r="O614" s="251"/>
      <c r="P614" s="251"/>
      <c r="Q614" s="251"/>
      <c r="R614" s="251"/>
      <c r="S614" s="251"/>
      <c r="T614" s="251"/>
      <c r="U614" s="251"/>
      <c r="V614" s="251"/>
      <c r="W614" s="251"/>
      <c r="X614" s="251"/>
      <c r="Y614" s="251"/>
      <c r="Z614" s="251"/>
      <c r="AA614" s="251"/>
      <c r="AB614" s="251"/>
    </row>
    <row r="615" ht="14.25" customHeight="1">
      <c r="A615" s="251"/>
      <c r="B615" s="263"/>
      <c r="C615" s="242" t="s">
        <v>7967</v>
      </c>
      <c r="D615" s="98" t="s">
        <v>271</v>
      </c>
      <c r="E615" s="240" t="s">
        <v>7911</v>
      </c>
      <c r="F615" s="258" t="s">
        <v>7962</v>
      </c>
      <c r="G615" s="240" t="s">
        <v>6930</v>
      </c>
      <c r="H615" s="240" t="s">
        <v>6931</v>
      </c>
      <c r="I615" s="84" t="s">
        <v>36</v>
      </c>
      <c r="J615" s="98" t="s">
        <v>1784</v>
      </c>
      <c r="K615" s="251"/>
      <c r="L615" s="251"/>
      <c r="M615" s="251"/>
      <c r="N615" s="251"/>
      <c r="O615" s="251"/>
      <c r="P615" s="251"/>
      <c r="Q615" s="251"/>
      <c r="R615" s="251"/>
      <c r="S615" s="251"/>
      <c r="T615" s="251"/>
      <c r="U615" s="251"/>
      <c r="V615" s="251"/>
      <c r="W615" s="251"/>
      <c r="X615" s="251"/>
      <c r="Y615" s="251"/>
      <c r="Z615" s="251"/>
      <c r="AA615" s="251"/>
      <c r="AB615" s="251"/>
    </row>
    <row r="616" ht="14.25" customHeight="1">
      <c r="A616" s="251"/>
      <c r="B616" s="263"/>
      <c r="C616" s="242" t="s">
        <v>7968</v>
      </c>
      <c r="D616" s="98" t="s">
        <v>271</v>
      </c>
      <c r="E616" s="240" t="s">
        <v>7911</v>
      </c>
      <c r="F616" s="258" t="s">
        <v>7962</v>
      </c>
      <c r="G616" s="240" t="s">
        <v>6933</v>
      </c>
      <c r="H616" s="240" t="s">
        <v>6934</v>
      </c>
      <c r="I616" s="84" t="s">
        <v>36</v>
      </c>
      <c r="J616" s="98" t="s">
        <v>1784</v>
      </c>
      <c r="K616" s="251"/>
      <c r="L616" s="251"/>
      <c r="M616" s="251"/>
      <c r="N616" s="251"/>
      <c r="O616" s="251"/>
      <c r="P616" s="251"/>
      <c r="Q616" s="251"/>
      <c r="R616" s="251"/>
      <c r="S616" s="251"/>
      <c r="T616" s="251"/>
      <c r="U616" s="251"/>
      <c r="V616" s="251"/>
      <c r="W616" s="251"/>
      <c r="X616" s="251"/>
      <c r="Y616" s="251"/>
      <c r="Z616" s="251"/>
      <c r="AA616" s="251"/>
      <c r="AB616" s="251"/>
    </row>
    <row r="617" ht="14.25" customHeight="1">
      <c r="A617" s="251"/>
      <c r="B617" s="263"/>
      <c r="C617" s="242" t="s">
        <v>7969</v>
      </c>
      <c r="D617" s="98" t="s">
        <v>271</v>
      </c>
      <c r="E617" s="240" t="s">
        <v>7911</v>
      </c>
      <c r="F617" s="258" t="s">
        <v>7965</v>
      </c>
      <c r="G617" s="240" t="s">
        <v>7970</v>
      </c>
      <c r="H617" s="240" t="s">
        <v>7971</v>
      </c>
      <c r="I617" s="84" t="s">
        <v>36</v>
      </c>
      <c r="J617" s="98" t="s">
        <v>1784</v>
      </c>
      <c r="K617" s="251"/>
      <c r="L617" s="251"/>
      <c r="M617" s="251"/>
      <c r="N617" s="251"/>
      <c r="O617" s="251"/>
      <c r="P617" s="251"/>
      <c r="Q617" s="251"/>
      <c r="R617" s="251"/>
      <c r="S617" s="251"/>
      <c r="T617" s="251"/>
      <c r="U617" s="251"/>
      <c r="V617" s="251"/>
      <c r="W617" s="251"/>
      <c r="X617" s="251"/>
      <c r="Y617" s="251"/>
      <c r="Z617" s="251"/>
      <c r="AA617" s="251"/>
      <c r="AB617" s="251"/>
    </row>
    <row r="618" ht="14.25" customHeight="1">
      <c r="A618" s="251"/>
      <c r="B618" s="263"/>
      <c r="C618" s="242" t="s">
        <v>7972</v>
      </c>
      <c r="D618" s="98" t="s">
        <v>271</v>
      </c>
      <c r="E618" s="240" t="s">
        <v>7911</v>
      </c>
      <c r="F618" s="258" t="s">
        <v>7965</v>
      </c>
      <c r="G618" s="240" t="s">
        <v>6939</v>
      </c>
      <c r="H618" s="240" t="s">
        <v>6940</v>
      </c>
      <c r="I618" s="84" t="s">
        <v>36</v>
      </c>
      <c r="J618" s="98" t="s">
        <v>1784</v>
      </c>
      <c r="K618" s="251"/>
      <c r="L618" s="251"/>
      <c r="M618" s="251"/>
      <c r="N618" s="251"/>
      <c r="O618" s="251"/>
      <c r="P618" s="251"/>
      <c r="Q618" s="251"/>
      <c r="R618" s="251"/>
      <c r="S618" s="251"/>
      <c r="T618" s="251"/>
      <c r="U618" s="251"/>
      <c r="V618" s="251"/>
      <c r="W618" s="251"/>
      <c r="X618" s="251"/>
      <c r="Y618" s="251"/>
      <c r="Z618" s="251"/>
      <c r="AA618" s="251"/>
      <c r="AB618" s="251"/>
    </row>
    <row r="619" ht="14.25" customHeight="1">
      <c r="A619" s="251"/>
      <c r="B619" s="263"/>
      <c r="C619" s="242" t="s">
        <v>7973</v>
      </c>
      <c r="D619" s="98" t="s">
        <v>271</v>
      </c>
      <c r="E619" s="240" t="s">
        <v>7911</v>
      </c>
      <c r="F619" s="258" t="s">
        <v>7974</v>
      </c>
      <c r="G619" s="240" t="s">
        <v>6949</v>
      </c>
      <c r="H619" s="240" t="s">
        <v>7975</v>
      </c>
      <c r="I619" s="84" t="s">
        <v>36</v>
      </c>
      <c r="J619" s="98" t="s">
        <v>1784</v>
      </c>
      <c r="K619" s="251"/>
      <c r="L619" s="251"/>
      <c r="M619" s="251"/>
      <c r="N619" s="251"/>
      <c r="O619" s="251"/>
      <c r="P619" s="251"/>
      <c r="Q619" s="251"/>
      <c r="R619" s="251"/>
      <c r="S619" s="251"/>
      <c r="T619" s="251"/>
      <c r="U619" s="251"/>
      <c r="V619" s="251"/>
      <c r="W619" s="251"/>
      <c r="X619" s="251"/>
      <c r="Y619" s="251"/>
      <c r="Z619" s="251"/>
      <c r="AA619" s="251"/>
      <c r="AB619" s="251"/>
    </row>
    <row r="620" ht="14.25" customHeight="1">
      <c r="A620" s="251"/>
      <c r="B620" s="263"/>
      <c r="C620" s="242" t="s">
        <v>7976</v>
      </c>
      <c r="D620" s="98" t="s">
        <v>271</v>
      </c>
      <c r="E620" s="240" t="s">
        <v>7911</v>
      </c>
      <c r="F620" s="258" t="s">
        <v>7974</v>
      </c>
      <c r="G620" s="240" t="s">
        <v>7018</v>
      </c>
      <c r="H620" s="240" t="s">
        <v>7019</v>
      </c>
      <c r="I620" s="84" t="s">
        <v>36</v>
      </c>
      <c r="J620" s="98" t="s">
        <v>1784</v>
      </c>
      <c r="K620" s="251"/>
      <c r="L620" s="251"/>
      <c r="M620" s="251"/>
      <c r="N620" s="251"/>
      <c r="O620" s="251"/>
      <c r="P620" s="251"/>
      <c r="Q620" s="251"/>
      <c r="R620" s="251"/>
      <c r="S620" s="251"/>
      <c r="T620" s="251"/>
      <c r="U620" s="251"/>
      <c r="V620" s="251"/>
      <c r="W620" s="251"/>
      <c r="X620" s="251"/>
      <c r="Y620" s="251"/>
      <c r="Z620" s="251"/>
      <c r="AA620" s="251"/>
      <c r="AB620" s="251"/>
    </row>
    <row r="621" ht="14.25" customHeight="1">
      <c r="A621" s="251"/>
      <c r="B621" s="263"/>
      <c r="C621" s="242" t="s">
        <v>7977</v>
      </c>
      <c r="D621" s="98" t="s">
        <v>271</v>
      </c>
      <c r="E621" s="240" t="s">
        <v>7911</v>
      </c>
      <c r="F621" s="258" t="s">
        <v>7974</v>
      </c>
      <c r="G621" s="240" t="s">
        <v>7978</v>
      </c>
      <c r="H621" s="240" t="s">
        <v>7979</v>
      </c>
      <c r="I621" s="84" t="s">
        <v>36</v>
      </c>
      <c r="J621" s="98" t="s">
        <v>1784</v>
      </c>
      <c r="K621" s="251"/>
      <c r="L621" s="251"/>
      <c r="M621" s="251"/>
      <c r="N621" s="251"/>
      <c r="O621" s="251"/>
      <c r="P621" s="251"/>
      <c r="Q621" s="251"/>
      <c r="R621" s="251"/>
      <c r="S621" s="251"/>
      <c r="T621" s="251"/>
      <c r="U621" s="251"/>
      <c r="V621" s="251"/>
      <c r="W621" s="251"/>
      <c r="X621" s="251"/>
      <c r="Y621" s="251"/>
      <c r="Z621" s="251"/>
      <c r="AA621" s="251"/>
      <c r="AB621" s="251"/>
    </row>
    <row r="622" ht="14.25" customHeight="1">
      <c r="A622" s="251"/>
      <c r="B622" s="263"/>
      <c r="C622" s="242" t="s">
        <v>7980</v>
      </c>
      <c r="D622" s="98" t="s">
        <v>271</v>
      </c>
      <c r="E622" s="240" t="s">
        <v>7911</v>
      </c>
      <c r="F622" s="258" t="s">
        <v>7974</v>
      </c>
      <c r="G622" s="240" t="s">
        <v>7981</v>
      </c>
      <c r="H622" s="240" t="s">
        <v>7982</v>
      </c>
      <c r="I622" s="84" t="s">
        <v>317</v>
      </c>
      <c r="J622" s="98" t="s">
        <v>1784</v>
      </c>
      <c r="K622" s="251"/>
      <c r="L622" s="251"/>
      <c r="M622" s="251"/>
      <c r="N622" s="251"/>
      <c r="O622" s="251"/>
      <c r="P622" s="251"/>
      <c r="Q622" s="251"/>
      <c r="R622" s="251"/>
      <c r="S622" s="251"/>
      <c r="T622" s="251"/>
      <c r="U622" s="251"/>
      <c r="V622" s="251"/>
      <c r="W622" s="251"/>
      <c r="X622" s="251"/>
      <c r="Y622" s="251"/>
      <c r="Z622" s="251"/>
      <c r="AA622" s="251"/>
      <c r="AB622" s="251"/>
    </row>
    <row r="623" ht="14.25" customHeight="1">
      <c r="A623" s="98" t="s">
        <v>7983</v>
      </c>
      <c r="B623" s="257" t="s">
        <v>7984</v>
      </c>
      <c r="C623" s="242" t="s">
        <v>7985</v>
      </c>
      <c r="D623" s="98" t="s">
        <v>271</v>
      </c>
      <c r="E623" s="240" t="s">
        <v>7986</v>
      </c>
      <c r="F623" s="258" t="s">
        <v>7957</v>
      </c>
      <c r="G623" s="240" t="s">
        <v>7987</v>
      </c>
      <c r="H623" s="240" t="s">
        <v>7988</v>
      </c>
      <c r="I623" s="84" t="s">
        <v>36</v>
      </c>
      <c r="J623" s="98" t="s">
        <v>1784</v>
      </c>
      <c r="K623" s="251"/>
      <c r="L623" s="251"/>
      <c r="M623" s="251"/>
      <c r="N623" s="251"/>
      <c r="O623" s="251"/>
      <c r="P623" s="251"/>
      <c r="Q623" s="251"/>
      <c r="R623" s="251"/>
      <c r="S623" s="251"/>
      <c r="T623" s="251"/>
      <c r="U623" s="251"/>
      <c r="V623" s="251"/>
      <c r="W623" s="251"/>
      <c r="X623" s="251"/>
      <c r="Y623" s="251"/>
      <c r="Z623" s="251"/>
      <c r="AA623" s="251"/>
      <c r="AB623" s="251"/>
    </row>
    <row r="624" ht="14.25" customHeight="1">
      <c r="A624" s="98" t="s">
        <v>7983</v>
      </c>
      <c r="B624" s="108"/>
      <c r="C624" s="242" t="s">
        <v>7989</v>
      </c>
      <c r="D624" s="98" t="s">
        <v>271</v>
      </c>
      <c r="E624" s="240" t="s">
        <v>7986</v>
      </c>
      <c r="F624" s="258" t="s">
        <v>7957</v>
      </c>
      <c r="G624" s="240" t="s">
        <v>7990</v>
      </c>
      <c r="H624" s="240" t="s">
        <v>7991</v>
      </c>
      <c r="I624" s="84" t="s">
        <v>36</v>
      </c>
      <c r="J624" s="98" t="s">
        <v>1784</v>
      </c>
      <c r="K624" s="251"/>
      <c r="L624" s="251"/>
      <c r="M624" s="251"/>
      <c r="N624" s="251"/>
      <c r="O624" s="251"/>
      <c r="P624" s="251"/>
      <c r="Q624" s="251"/>
      <c r="R624" s="251"/>
      <c r="S624" s="251"/>
      <c r="T624" s="251"/>
      <c r="U624" s="251"/>
      <c r="V624" s="251"/>
      <c r="W624" s="251"/>
      <c r="X624" s="251"/>
      <c r="Y624" s="251"/>
      <c r="Z624" s="251"/>
      <c r="AA624" s="251"/>
      <c r="AB624" s="251"/>
    </row>
    <row r="625" ht="14.25" customHeight="1">
      <c r="A625" s="98" t="s">
        <v>7983</v>
      </c>
      <c r="B625" s="108"/>
      <c r="C625" s="242" t="s">
        <v>7992</v>
      </c>
      <c r="D625" s="98" t="s">
        <v>271</v>
      </c>
      <c r="E625" s="240" t="s">
        <v>7986</v>
      </c>
      <c r="F625" s="258" t="s">
        <v>7957</v>
      </c>
      <c r="G625" s="240" t="s">
        <v>7993</v>
      </c>
      <c r="H625" s="240" t="s">
        <v>7994</v>
      </c>
      <c r="I625" s="84" t="s">
        <v>36</v>
      </c>
      <c r="J625" s="98" t="s">
        <v>1784</v>
      </c>
      <c r="K625" s="251"/>
      <c r="L625" s="251"/>
      <c r="M625" s="251"/>
      <c r="N625" s="251"/>
      <c r="O625" s="251"/>
      <c r="P625" s="251"/>
      <c r="Q625" s="251"/>
      <c r="R625" s="251"/>
      <c r="S625" s="251"/>
      <c r="T625" s="251"/>
      <c r="U625" s="251"/>
      <c r="V625" s="251"/>
      <c r="W625" s="251"/>
      <c r="X625" s="251"/>
      <c r="Y625" s="251"/>
      <c r="Z625" s="251"/>
      <c r="AA625" s="251"/>
      <c r="AB625" s="251"/>
    </row>
    <row r="626" ht="14.25" customHeight="1">
      <c r="A626" s="98" t="s">
        <v>7983</v>
      </c>
      <c r="B626" s="108"/>
      <c r="C626" s="242" t="s">
        <v>7995</v>
      </c>
      <c r="D626" s="98" t="s">
        <v>271</v>
      </c>
      <c r="E626" s="240" t="s">
        <v>7986</v>
      </c>
      <c r="F626" s="258" t="s">
        <v>7957</v>
      </c>
      <c r="G626" s="240" t="s">
        <v>7996</v>
      </c>
      <c r="H626" s="240" t="s">
        <v>7997</v>
      </c>
      <c r="I626" s="84" t="s">
        <v>36</v>
      </c>
      <c r="J626" s="98" t="s">
        <v>1784</v>
      </c>
      <c r="K626" s="251"/>
      <c r="L626" s="251"/>
      <c r="M626" s="251"/>
      <c r="N626" s="251"/>
      <c r="O626" s="251"/>
      <c r="P626" s="251"/>
      <c r="Q626" s="251"/>
      <c r="R626" s="251"/>
      <c r="S626" s="251"/>
      <c r="T626" s="251"/>
      <c r="U626" s="251"/>
      <c r="V626" s="251"/>
      <c r="W626" s="251"/>
      <c r="X626" s="251"/>
      <c r="Y626" s="251"/>
      <c r="Z626" s="251"/>
      <c r="AA626" s="251"/>
      <c r="AB626" s="251"/>
    </row>
    <row r="627" ht="14.25" customHeight="1">
      <c r="A627" s="98" t="s">
        <v>7983</v>
      </c>
      <c r="B627" s="108"/>
      <c r="C627" s="242" t="s">
        <v>7998</v>
      </c>
      <c r="D627" s="98" t="s">
        <v>271</v>
      </c>
      <c r="E627" s="240" t="s">
        <v>7986</v>
      </c>
      <c r="F627" s="258" t="s">
        <v>7957</v>
      </c>
      <c r="G627" s="240" t="s">
        <v>7999</v>
      </c>
      <c r="H627" s="240" t="s">
        <v>8000</v>
      </c>
      <c r="I627" s="84" t="s">
        <v>36</v>
      </c>
      <c r="J627" s="98" t="s">
        <v>1784</v>
      </c>
      <c r="K627" s="251"/>
      <c r="L627" s="251"/>
      <c r="M627" s="251"/>
      <c r="N627" s="251"/>
      <c r="O627" s="251"/>
      <c r="P627" s="251"/>
      <c r="Q627" s="251"/>
      <c r="R627" s="251"/>
      <c r="S627" s="251"/>
      <c r="T627" s="251"/>
      <c r="U627" s="251"/>
      <c r="V627" s="251"/>
      <c r="W627" s="251"/>
      <c r="X627" s="251"/>
      <c r="Y627" s="251"/>
      <c r="Z627" s="251"/>
      <c r="AA627" s="251"/>
      <c r="AB627" s="251"/>
    </row>
    <row r="628" ht="14.25" customHeight="1">
      <c r="A628" s="98" t="s">
        <v>7983</v>
      </c>
      <c r="B628" s="108"/>
      <c r="C628" s="242" t="s">
        <v>8001</v>
      </c>
      <c r="D628" s="98" t="s">
        <v>271</v>
      </c>
      <c r="E628" s="240" t="s">
        <v>7986</v>
      </c>
      <c r="F628" s="258" t="s">
        <v>7957</v>
      </c>
      <c r="G628" s="240" t="s">
        <v>8002</v>
      </c>
      <c r="H628" s="240" t="s">
        <v>8003</v>
      </c>
      <c r="I628" s="84" t="s">
        <v>36</v>
      </c>
      <c r="J628" s="98" t="s">
        <v>1784</v>
      </c>
      <c r="K628" s="251"/>
      <c r="L628" s="251"/>
      <c r="M628" s="251"/>
      <c r="N628" s="251"/>
      <c r="O628" s="251"/>
      <c r="P628" s="251"/>
      <c r="Q628" s="251"/>
      <c r="R628" s="251"/>
      <c r="S628" s="251"/>
      <c r="T628" s="251"/>
      <c r="U628" s="251"/>
      <c r="V628" s="251"/>
      <c r="W628" s="251"/>
      <c r="X628" s="251"/>
      <c r="Y628" s="251"/>
      <c r="Z628" s="251"/>
      <c r="AA628" s="251"/>
      <c r="AB628" s="251"/>
    </row>
    <row r="629" ht="14.25" customHeight="1">
      <c r="A629" s="98" t="s">
        <v>7983</v>
      </c>
      <c r="B629" s="108"/>
      <c r="C629" s="242" t="s">
        <v>8004</v>
      </c>
      <c r="D629" s="98" t="s">
        <v>271</v>
      </c>
      <c r="E629" s="240" t="s">
        <v>7986</v>
      </c>
      <c r="F629" s="258" t="s">
        <v>7957</v>
      </c>
      <c r="G629" s="240" t="s">
        <v>8005</v>
      </c>
      <c r="H629" s="240" t="s">
        <v>8006</v>
      </c>
      <c r="I629" s="84" t="s">
        <v>36</v>
      </c>
      <c r="J629" s="98" t="s">
        <v>1784</v>
      </c>
      <c r="K629" s="251"/>
      <c r="L629" s="251"/>
      <c r="M629" s="251"/>
      <c r="N629" s="251"/>
      <c r="O629" s="251"/>
      <c r="P629" s="251"/>
      <c r="Q629" s="251"/>
      <c r="R629" s="251"/>
      <c r="S629" s="251"/>
      <c r="T629" s="251"/>
      <c r="U629" s="251"/>
      <c r="V629" s="251"/>
      <c r="W629" s="251"/>
      <c r="X629" s="251"/>
      <c r="Y629" s="251"/>
      <c r="Z629" s="251"/>
      <c r="AA629" s="251"/>
      <c r="AB629" s="251"/>
    </row>
    <row r="630" ht="14.25" customHeight="1">
      <c r="A630" s="98" t="s">
        <v>7983</v>
      </c>
      <c r="B630" s="108"/>
      <c r="C630" s="242" t="s">
        <v>8007</v>
      </c>
      <c r="D630" s="98" t="s">
        <v>271</v>
      </c>
      <c r="E630" s="240" t="s">
        <v>7986</v>
      </c>
      <c r="F630" s="258" t="s">
        <v>7957</v>
      </c>
      <c r="G630" s="240" t="s">
        <v>8008</v>
      </c>
      <c r="H630" s="240" t="s">
        <v>8009</v>
      </c>
      <c r="I630" s="84" t="s">
        <v>36</v>
      </c>
      <c r="J630" s="98" t="s">
        <v>1784</v>
      </c>
      <c r="K630" s="251"/>
      <c r="L630" s="251"/>
      <c r="M630" s="251"/>
      <c r="N630" s="251"/>
      <c r="O630" s="251"/>
      <c r="P630" s="251"/>
      <c r="Q630" s="251"/>
      <c r="R630" s="251"/>
      <c r="S630" s="251"/>
      <c r="T630" s="251"/>
      <c r="U630" s="251"/>
      <c r="V630" s="251"/>
      <c r="W630" s="251"/>
      <c r="X630" s="251"/>
      <c r="Y630" s="251"/>
      <c r="Z630" s="251"/>
      <c r="AA630" s="251"/>
      <c r="AB630" s="251"/>
    </row>
    <row r="631" ht="14.25" customHeight="1">
      <c r="A631" s="98" t="s">
        <v>7983</v>
      </c>
      <c r="B631" s="109"/>
      <c r="C631" s="242" t="s">
        <v>8010</v>
      </c>
      <c r="D631" s="98" t="s">
        <v>271</v>
      </c>
      <c r="E631" s="240" t="s">
        <v>7986</v>
      </c>
      <c r="F631" s="258" t="s">
        <v>7957</v>
      </c>
      <c r="G631" s="240" t="s">
        <v>8011</v>
      </c>
      <c r="H631" s="240" t="s">
        <v>8009</v>
      </c>
      <c r="I631" s="84" t="s">
        <v>36</v>
      </c>
      <c r="J631" s="98" t="s">
        <v>1784</v>
      </c>
      <c r="K631" s="251"/>
      <c r="L631" s="251"/>
      <c r="M631" s="251"/>
      <c r="N631" s="251"/>
      <c r="O631" s="251"/>
      <c r="P631" s="251"/>
      <c r="Q631" s="251"/>
      <c r="R631" s="251"/>
      <c r="S631" s="251"/>
      <c r="T631" s="251"/>
      <c r="U631" s="251"/>
      <c r="V631" s="251"/>
      <c r="W631" s="251"/>
      <c r="X631" s="251"/>
      <c r="Y631" s="251"/>
      <c r="Z631" s="251"/>
      <c r="AA631" s="251"/>
      <c r="AB631" s="251"/>
    </row>
    <row r="632" ht="14.25" customHeight="1">
      <c r="A632" s="251"/>
      <c r="B632" s="263"/>
      <c r="C632" s="242" t="s">
        <v>8012</v>
      </c>
      <c r="D632" s="98" t="s">
        <v>271</v>
      </c>
      <c r="E632" s="240" t="s">
        <v>8013</v>
      </c>
      <c r="F632" s="258" t="s">
        <v>7770</v>
      </c>
      <c r="G632" s="240" t="s">
        <v>8014</v>
      </c>
      <c r="H632" s="240" t="s">
        <v>8015</v>
      </c>
      <c r="I632" s="84" t="s">
        <v>36</v>
      </c>
      <c r="J632" s="252" t="s">
        <v>2034</v>
      </c>
      <c r="K632" s="251"/>
      <c r="L632" s="251"/>
      <c r="M632" s="251"/>
      <c r="N632" s="251"/>
      <c r="O632" s="251"/>
      <c r="P632" s="251"/>
      <c r="Q632" s="251"/>
      <c r="R632" s="251"/>
      <c r="S632" s="251"/>
      <c r="T632" s="251"/>
      <c r="U632" s="251"/>
      <c r="V632" s="251"/>
      <c r="W632" s="251"/>
      <c r="X632" s="251"/>
      <c r="Y632" s="251"/>
      <c r="Z632" s="251"/>
      <c r="AA632" s="251"/>
      <c r="AB632" s="251"/>
    </row>
    <row r="633" ht="14.25" customHeight="1">
      <c r="A633" s="251"/>
      <c r="B633" s="263"/>
      <c r="C633" s="242" t="s">
        <v>8016</v>
      </c>
      <c r="D633" s="98" t="s">
        <v>271</v>
      </c>
      <c r="E633" s="240" t="s">
        <v>8013</v>
      </c>
      <c r="F633" s="258" t="s">
        <v>8017</v>
      </c>
      <c r="G633" s="240" t="s">
        <v>8018</v>
      </c>
      <c r="H633" s="240" t="s">
        <v>8019</v>
      </c>
      <c r="I633" s="84" t="s">
        <v>36</v>
      </c>
      <c r="J633" s="252" t="s">
        <v>2034</v>
      </c>
      <c r="K633" s="251"/>
      <c r="L633" s="251"/>
      <c r="M633" s="251"/>
      <c r="N633" s="251"/>
      <c r="O633" s="251"/>
      <c r="P633" s="251"/>
      <c r="Q633" s="251"/>
      <c r="R633" s="251"/>
      <c r="S633" s="251"/>
      <c r="T633" s="251"/>
      <c r="U633" s="251"/>
      <c r="V633" s="251"/>
      <c r="W633" s="251"/>
      <c r="X633" s="251"/>
      <c r="Y633" s="251"/>
      <c r="Z633" s="251"/>
      <c r="AA633" s="251"/>
      <c r="AB633" s="251"/>
    </row>
    <row r="634" ht="14.25" customHeight="1">
      <c r="A634" s="251"/>
      <c r="B634" s="263"/>
      <c r="C634" s="242" t="s">
        <v>8020</v>
      </c>
      <c r="D634" s="98" t="s">
        <v>271</v>
      </c>
      <c r="E634" s="240" t="s">
        <v>8013</v>
      </c>
      <c r="F634" s="258" t="s">
        <v>8021</v>
      </c>
      <c r="G634" s="240" t="s">
        <v>8022</v>
      </c>
      <c r="H634" s="240" t="s">
        <v>8023</v>
      </c>
      <c r="I634" s="84" t="s">
        <v>36</v>
      </c>
      <c r="J634" s="252" t="s">
        <v>2034</v>
      </c>
      <c r="K634" s="251"/>
      <c r="L634" s="251"/>
      <c r="M634" s="251"/>
      <c r="N634" s="251"/>
      <c r="O634" s="251"/>
      <c r="P634" s="251"/>
      <c r="Q634" s="251"/>
      <c r="R634" s="251"/>
      <c r="S634" s="251"/>
      <c r="T634" s="251"/>
      <c r="U634" s="251"/>
      <c r="V634" s="251"/>
      <c r="W634" s="251"/>
      <c r="X634" s="251"/>
      <c r="Y634" s="251"/>
      <c r="Z634" s="251"/>
      <c r="AA634" s="251"/>
      <c r="AB634" s="251"/>
    </row>
    <row r="635" ht="14.25" customHeight="1">
      <c r="A635" s="251"/>
      <c r="B635" s="263"/>
      <c r="C635" s="242" t="s">
        <v>8024</v>
      </c>
      <c r="D635" s="98" t="s">
        <v>271</v>
      </c>
      <c r="E635" s="240" t="s">
        <v>8013</v>
      </c>
      <c r="F635" s="258" t="s">
        <v>8025</v>
      </c>
      <c r="G635" s="240" t="s">
        <v>8026</v>
      </c>
      <c r="H635" s="240" t="s">
        <v>8027</v>
      </c>
      <c r="I635" s="84" t="s">
        <v>36</v>
      </c>
      <c r="J635" s="252" t="s">
        <v>2034</v>
      </c>
      <c r="K635" s="251"/>
      <c r="L635" s="251"/>
      <c r="M635" s="251"/>
      <c r="N635" s="251"/>
      <c r="O635" s="251"/>
      <c r="P635" s="251"/>
      <c r="Q635" s="251"/>
      <c r="R635" s="251"/>
      <c r="S635" s="251"/>
      <c r="T635" s="251"/>
      <c r="U635" s="251"/>
      <c r="V635" s="251"/>
      <c r="W635" s="251"/>
      <c r="X635" s="251"/>
      <c r="Y635" s="251"/>
      <c r="Z635" s="251"/>
      <c r="AA635" s="251"/>
      <c r="AB635" s="251"/>
    </row>
    <row r="636" ht="14.25" customHeight="1">
      <c r="A636" s="251"/>
      <c r="B636" s="263"/>
      <c r="C636" s="242" t="s">
        <v>8028</v>
      </c>
      <c r="D636" s="98" t="s">
        <v>271</v>
      </c>
      <c r="E636" s="240" t="s">
        <v>8013</v>
      </c>
      <c r="F636" s="258" t="s">
        <v>8029</v>
      </c>
      <c r="G636" s="240" t="s">
        <v>8030</v>
      </c>
      <c r="H636" s="240" t="s">
        <v>8031</v>
      </c>
      <c r="I636" s="84" t="s">
        <v>36</v>
      </c>
      <c r="J636" s="252" t="s">
        <v>2034</v>
      </c>
      <c r="K636" s="251"/>
      <c r="L636" s="251"/>
      <c r="M636" s="251"/>
      <c r="N636" s="251"/>
      <c r="O636" s="251"/>
      <c r="P636" s="251"/>
      <c r="Q636" s="251"/>
      <c r="R636" s="251"/>
      <c r="S636" s="251"/>
      <c r="T636" s="251"/>
      <c r="U636" s="251"/>
      <c r="V636" s="251"/>
      <c r="W636" s="251"/>
      <c r="X636" s="251"/>
      <c r="Y636" s="251"/>
      <c r="Z636" s="251"/>
      <c r="AA636" s="251"/>
      <c r="AB636" s="251"/>
    </row>
    <row r="637" ht="14.25" customHeight="1">
      <c r="A637" s="251"/>
      <c r="B637" s="263"/>
      <c r="C637" s="242" t="s">
        <v>8032</v>
      </c>
      <c r="D637" s="98" t="s">
        <v>271</v>
      </c>
      <c r="E637" s="240" t="s">
        <v>8013</v>
      </c>
      <c r="F637" s="258" t="s">
        <v>8033</v>
      </c>
      <c r="G637" s="240" t="s">
        <v>8034</v>
      </c>
      <c r="H637" s="240" t="s">
        <v>8035</v>
      </c>
      <c r="I637" s="84" t="s">
        <v>36</v>
      </c>
      <c r="J637" s="252" t="s">
        <v>2034</v>
      </c>
      <c r="K637" s="251"/>
      <c r="L637" s="251"/>
      <c r="M637" s="251"/>
      <c r="N637" s="251"/>
      <c r="O637" s="251"/>
      <c r="P637" s="251"/>
      <c r="Q637" s="251"/>
      <c r="R637" s="251"/>
      <c r="S637" s="251"/>
      <c r="T637" s="251"/>
      <c r="U637" s="251"/>
      <c r="V637" s="251"/>
      <c r="W637" s="251"/>
      <c r="X637" s="251"/>
      <c r="Y637" s="251"/>
      <c r="Z637" s="251"/>
      <c r="AA637" s="251"/>
      <c r="AB637" s="251"/>
    </row>
    <row r="638" ht="14.25" customHeight="1">
      <c r="A638" s="251"/>
      <c r="B638" s="263"/>
      <c r="C638" s="242" t="s">
        <v>8036</v>
      </c>
      <c r="D638" s="98" t="s">
        <v>271</v>
      </c>
      <c r="E638" s="240" t="s">
        <v>8013</v>
      </c>
      <c r="F638" s="258" t="s">
        <v>8033</v>
      </c>
      <c r="G638" s="240" t="s">
        <v>6836</v>
      </c>
      <c r="H638" s="240" t="s">
        <v>8037</v>
      </c>
      <c r="I638" s="84" t="s">
        <v>36</v>
      </c>
      <c r="J638" s="252" t="s">
        <v>2034</v>
      </c>
      <c r="K638" s="251"/>
      <c r="L638" s="251"/>
      <c r="M638" s="251"/>
      <c r="N638" s="251"/>
      <c r="O638" s="251"/>
      <c r="P638" s="251"/>
      <c r="Q638" s="251"/>
      <c r="R638" s="251"/>
      <c r="S638" s="251"/>
      <c r="T638" s="251"/>
      <c r="U638" s="251"/>
      <c r="V638" s="251"/>
      <c r="W638" s="251"/>
      <c r="X638" s="251"/>
      <c r="Y638" s="251"/>
      <c r="Z638" s="251"/>
      <c r="AA638" s="251"/>
      <c r="AB638" s="251"/>
    </row>
    <row r="639" ht="14.25" customHeight="1">
      <c r="A639" s="251"/>
      <c r="B639" s="263"/>
      <c r="C639" s="242" t="s">
        <v>8038</v>
      </c>
      <c r="D639" s="98" t="s">
        <v>271</v>
      </c>
      <c r="E639" s="240" t="s">
        <v>8013</v>
      </c>
      <c r="F639" s="258" t="s">
        <v>8033</v>
      </c>
      <c r="G639" s="240" t="s">
        <v>6839</v>
      </c>
      <c r="H639" s="240" t="s">
        <v>6840</v>
      </c>
      <c r="I639" s="84" t="s">
        <v>36</v>
      </c>
      <c r="J639" s="252" t="s">
        <v>2034</v>
      </c>
      <c r="K639" s="251"/>
      <c r="L639" s="251"/>
      <c r="M639" s="251"/>
      <c r="N639" s="251"/>
      <c r="O639" s="251"/>
      <c r="P639" s="251"/>
      <c r="Q639" s="251"/>
      <c r="R639" s="251"/>
      <c r="S639" s="251"/>
      <c r="T639" s="251"/>
      <c r="U639" s="251"/>
      <c r="V639" s="251"/>
      <c r="W639" s="251"/>
      <c r="X639" s="251"/>
      <c r="Y639" s="251"/>
      <c r="Z639" s="251"/>
      <c r="AA639" s="251"/>
      <c r="AB639" s="251"/>
    </row>
    <row r="640" ht="14.25" customHeight="1">
      <c r="A640" s="251"/>
      <c r="B640" s="263"/>
      <c r="C640" s="242" t="s">
        <v>8039</v>
      </c>
      <c r="D640" s="98" t="s">
        <v>271</v>
      </c>
      <c r="E640" s="240" t="s">
        <v>8013</v>
      </c>
      <c r="F640" s="258" t="s">
        <v>8033</v>
      </c>
      <c r="G640" s="240" t="s">
        <v>6846</v>
      </c>
      <c r="H640" s="240" t="s">
        <v>6847</v>
      </c>
      <c r="I640" s="84" t="s">
        <v>36</v>
      </c>
      <c r="J640" s="252" t="s">
        <v>2034</v>
      </c>
      <c r="K640" s="251"/>
      <c r="L640" s="251"/>
      <c r="M640" s="251"/>
      <c r="N640" s="251"/>
      <c r="O640" s="251"/>
      <c r="P640" s="251"/>
      <c r="Q640" s="251"/>
      <c r="R640" s="251"/>
      <c r="S640" s="251"/>
      <c r="T640" s="251"/>
      <c r="U640" s="251"/>
      <c r="V640" s="251"/>
      <c r="W640" s="251"/>
      <c r="X640" s="251"/>
      <c r="Y640" s="251"/>
      <c r="Z640" s="251"/>
      <c r="AA640" s="251"/>
      <c r="AB640" s="251"/>
    </row>
    <row r="641" ht="14.25" customHeight="1">
      <c r="A641" s="251"/>
      <c r="B641" s="263"/>
      <c r="C641" s="242" t="s">
        <v>8040</v>
      </c>
      <c r="D641" s="98" t="s">
        <v>271</v>
      </c>
      <c r="E641" s="240" t="s">
        <v>8013</v>
      </c>
      <c r="F641" s="258" t="s">
        <v>8041</v>
      </c>
      <c r="G641" s="240" t="s">
        <v>8042</v>
      </c>
      <c r="H641" s="240" t="s">
        <v>8043</v>
      </c>
      <c r="I641" s="84" t="s">
        <v>36</v>
      </c>
      <c r="J641" s="252" t="s">
        <v>2034</v>
      </c>
      <c r="K641" s="251"/>
      <c r="L641" s="251"/>
      <c r="M641" s="251"/>
      <c r="N641" s="251"/>
      <c r="O641" s="251"/>
      <c r="P641" s="251"/>
      <c r="Q641" s="251"/>
      <c r="R641" s="251"/>
      <c r="S641" s="251"/>
      <c r="T641" s="251"/>
      <c r="U641" s="251"/>
      <c r="V641" s="251"/>
      <c r="W641" s="251"/>
      <c r="X641" s="251"/>
      <c r="Y641" s="251"/>
      <c r="Z641" s="251"/>
      <c r="AA641" s="251"/>
      <c r="AB641" s="251"/>
    </row>
    <row r="642" ht="14.25" customHeight="1">
      <c r="A642" s="251"/>
      <c r="B642" s="263"/>
      <c r="C642" s="242" t="s">
        <v>8044</v>
      </c>
      <c r="D642" s="98" t="s">
        <v>271</v>
      </c>
      <c r="E642" s="240" t="s">
        <v>8013</v>
      </c>
      <c r="F642" s="258" t="s">
        <v>8041</v>
      </c>
      <c r="G642" s="240" t="s">
        <v>7943</v>
      </c>
      <c r="H642" s="240" t="s">
        <v>8045</v>
      </c>
      <c r="I642" s="84" t="s">
        <v>36</v>
      </c>
      <c r="J642" s="252" t="s">
        <v>2034</v>
      </c>
      <c r="K642" s="251"/>
      <c r="L642" s="251"/>
      <c r="M642" s="251"/>
      <c r="N642" s="251"/>
      <c r="O642" s="251"/>
      <c r="P642" s="251"/>
      <c r="Q642" s="251"/>
      <c r="R642" s="251"/>
      <c r="S642" s="251"/>
      <c r="T642" s="251"/>
      <c r="U642" s="251"/>
      <c r="V642" s="251"/>
      <c r="W642" s="251"/>
      <c r="X642" s="251"/>
      <c r="Y642" s="251"/>
      <c r="Z642" s="251"/>
      <c r="AA642" s="251"/>
      <c r="AB642" s="251"/>
    </row>
    <row r="643" ht="14.25" customHeight="1">
      <c r="A643" s="251"/>
      <c r="B643" s="263"/>
      <c r="C643" s="242" t="s">
        <v>8046</v>
      </c>
      <c r="D643" s="98" t="s">
        <v>271</v>
      </c>
      <c r="E643" s="240" t="s">
        <v>8013</v>
      </c>
      <c r="F643" s="258" t="s">
        <v>8047</v>
      </c>
      <c r="G643" s="240" t="s">
        <v>8048</v>
      </c>
      <c r="H643" s="240" t="s">
        <v>8049</v>
      </c>
      <c r="I643" s="84" t="s">
        <v>36</v>
      </c>
      <c r="J643" s="252" t="s">
        <v>2034</v>
      </c>
      <c r="K643" s="251"/>
      <c r="L643" s="251"/>
      <c r="M643" s="251"/>
      <c r="N643" s="251"/>
      <c r="O643" s="251"/>
      <c r="P643" s="251"/>
      <c r="Q643" s="251"/>
      <c r="R643" s="251"/>
      <c r="S643" s="251"/>
      <c r="T643" s="251"/>
      <c r="U643" s="251"/>
      <c r="V643" s="251"/>
      <c r="W643" s="251"/>
      <c r="X643" s="251"/>
      <c r="Y643" s="251"/>
      <c r="Z643" s="251"/>
      <c r="AA643" s="251"/>
      <c r="AB643" s="251"/>
    </row>
    <row r="644" ht="14.25" customHeight="1">
      <c r="A644" s="251"/>
      <c r="B644" s="263"/>
      <c r="C644" s="242" t="s">
        <v>8050</v>
      </c>
      <c r="D644" s="98" t="s">
        <v>271</v>
      </c>
      <c r="E644" s="240" t="s">
        <v>6806</v>
      </c>
      <c r="F644" s="258" t="s">
        <v>6859</v>
      </c>
      <c r="G644" s="240" t="s">
        <v>8051</v>
      </c>
      <c r="H644" s="240" t="s">
        <v>8052</v>
      </c>
      <c r="I644" s="84" t="s">
        <v>36</v>
      </c>
      <c r="J644" s="252" t="s">
        <v>2034</v>
      </c>
      <c r="K644" s="251"/>
      <c r="L644" s="251"/>
      <c r="M644" s="251"/>
      <c r="N644" s="251"/>
      <c r="O644" s="251"/>
      <c r="P644" s="251"/>
      <c r="Q644" s="251"/>
      <c r="R644" s="251"/>
      <c r="S644" s="251"/>
      <c r="T644" s="251"/>
      <c r="U644" s="251"/>
      <c r="V644" s="251"/>
      <c r="W644" s="251"/>
      <c r="X644" s="251"/>
      <c r="Y644" s="251"/>
      <c r="Z644" s="251"/>
      <c r="AA644" s="251"/>
      <c r="AB644" s="251"/>
    </row>
    <row r="645" ht="14.25" customHeight="1">
      <c r="A645" s="251"/>
      <c r="B645" s="263"/>
      <c r="C645" s="242" t="s">
        <v>8053</v>
      </c>
      <c r="D645" s="98" t="s">
        <v>271</v>
      </c>
      <c r="E645" s="240" t="s">
        <v>6806</v>
      </c>
      <c r="F645" s="258" t="s">
        <v>6859</v>
      </c>
      <c r="G645" s="240" t="s">
        <v>6866</v>
      </c>
      <c r="H645" s="240" t="s">
        <v>8054</v>
      </c>
      <c r="I645" s="84" t="s">
        <v>36</v>
      </c>
      <c r="J645" s="252" t="s">
        <v>2034</v>
      </c>
      <c r="K645" s="251"/>
      <c r="L645" s="251"/>
      <c r="M645" s="251"/>
      <c r="N645" s="251"/>
      <c r="O645" s="251"/>
      <c r="P645" s="251"/>
      <c r="Q645" s="251"/>
      <c r="R645" s="251"/>
      <c r="S645" s="251"/>
      <c r="T645" s="251"/>
      <c r="U645" s="251"/>
      <c r="V645" s="251"/>
      <c r="W645" s="251"/>
      <c r="X645" s="251"/>
      <c r="Y645" s="251"/>
      <c r="Z645" s="251"/>
      <c r="AA645" s="251"/>
      <c r="AB645" s="251"/>
    </row>
    <row r="646" ht="14.25" customHeight="1">
      <c r="A646" s="251"/>
      <c r="B646" s="263"/>
      <c r="C646" s="242" t="s">
        <v>8055</v>
      </c>
      <c r="D646" s="98" t="s">
        <v>271</v>
      </c>
      <c r="E646" s="240" t="s">
        <v>6806</v>
      </c>
      <c r="F646" s="258" t="s">
        <v>6859</v>
      </c>
      <c r="G646" s="240" t="s">
        <v>6869</v>
      </c>
      <c r="H646" s="240" t="s">
        <v>8056</v>
      </c>
      <c r="I646" s="84" t="s">
        <v>36</v>
      </c>
      <c r="J646" s="252" t="s">
        <v>2034</v>
      </c>
      <c r="K646" s="251"/>
      <c r="L646" s="251"/>
      <c r="M646" s="251"/>
      <c r="N646" s="251"/>
      <c r="O646" s="251"/>
      <c r="P646" s="251"/>
      <c r="Q646" s="251"/>
      <c r="R646" s="251"/>
      <c r="S646" s="251"/>
      <c r="T646" s="251"/>
      <c r="U646" s="251"/>
      <c r="V646" s="251"/>
      <c r="W646" s="251"/>
      <c r="X646" s="251"/>
      <c r="Y646" s="251"/>
      <c r="Z646" s="251"/>
      <c r="AA646" s="251"/>
      <c r="AB646" s="251"/>
    </row>
    <row r="647" ht="14.25" customHeight="1">
      <c r="A647" s="251"/>
      <c r="B647" s="263"/>
      <c r="C647" s="242" t="s">
        <v>8057</v>
      </c>
      <c r="D647" s="98" t="s">
        <v>271</v>
      </c>
      <c r="E647" s="240" t="s">
        <v>8013</v>
      </c>
      <c r="F647" s="258" t="s">
        <v>8058</v>
      </c>
      <c r="G647" s="240" t="s">
        <v>6891</v>
      </c>
      <c r="H647" s="240" t="s">
        <v>6998</v>
      </c>
      <c r="I647" s="84" t="s">
        <v>36</v>
      </c>
      <c r="J647" s="252" t="s">
        <v>2034</v>
      </c>
      <c r="K647" s="251"/>
      <c r="L647" s="251"/>
      <c r="M647" s="251"/>
      <c r="N647" s="251"/>
      <c r="O647" s="251"/>
      <c r="P647" s="251"/>
      <c r="Q647" s="251"/>
      <c r="R647" s="251"/>
      <c r="S647" s="251"/>
      <c r="T647" s="251"/>
      <c r="U647" s="251"/>
      <c r="V647" s="251"/>
      <c r="W647" s="251"/>
      <c r="X647" s="251"/>
      <c r="Y647" s="251"/>
      <c r="Z647" s="251"/>
      <c r="AA647" s="251"/>
      <c r="AB647" s="251"/>
    </row>
    <row r="648" ht="14.25" customHeight="1">
      <c r="A648" s="251"/>
      <c r="B648" s="263"/>
      <c r="C648" s="242" t="s">
        <v>8059</v>
      </c>
      <c r="D648" s="98" t="s">
        <v>271</v>
      </c>
      <c r="E648" s="240" t="s">
        <v>8013</v>
      </c>
      <c r="F648" s="258" t="s">
        <v>8058</v>
      </c>
      <c r="G648" s="240" t="s">
        <v>6894</v>
      </c>
      <c r="H648" s="240" t="s">
        <v>8060</v>
      </c>
      <c r="I648" s="84" t="s">
        <v>36</v>
      </c>
      <c r="J648" s="252" t="s">
        <v>2034</v>
      </c>
      <c r="K648" s="251"/>
      <c r="L648" s="251"/>
      <c r="M648" s="251"/>
      <c r="N648" s="251"/>
      <c r="O648" s="251"/>
      <c r="P648" s="251"/>
      <c r="Q648" s="251"/>
      <c r="R648" s="251"/>
      <c r="S648" s="251"/>
      <c r="T648" s="251"/>
      <c r="U648" s="251"/>
      <c r="V648" s="251"/>
      <c r="W648" s="251"/>
      <c r="X648" s="251"/>
      <c r="Y648" s="251"/>
      <c r="Z648" s="251"/>
      <c r="AA648" s="251"/>
      <c r="AB648" s="251"/>
    </row>
    <row r="649" ht="14.25" customHeight="1">
      <c r="A649" s="251"/>
      <c r="B649" s="263"/>
      <c r="C649" s="242" t="s">
        <v>8061</v>
      </c>
      <c r="D649" s="98" t="s">
        <v>271</v>
      </c>
      <c r="E649" s="240" t="s">
        <v>8013</v>
      </c>
      <c r="F649" s="258" t="s">
        <v>8058</v>
      </c>
      <c r="G649" s="240" t="s">
        <v>6897</v>
      </c>
      <c r="H649" s="240" t="s">
        <v>6898</v>
      </c>
      <c r="I649" s="84" t="s">
        <v>36</v>
      </c>
      <c r="J649" s="252" t="s">
        <v>2034</v>
      </c>
      <c r="K649" s="251"/>
      <c r="L649" s="251"/>
      <c r="M649" s="251"/>
      <c r="N649" s="251"/>
      <c r="O649" s="251"/>
      <c r="P649" s="251"/>
      <c r="Q649" s="251"/>
      <c r="R649" s="251"/>
      <c r="S649" s="251"/>
      <c r="T649" s="251"/>
      <c r="U649" s="251"/>
      <c r="V649" s="251"/>
      <c r="W649" s="251"/>
      <c r="X649" s="251"/>
      <c r="Y649" s="251"/>
      <c r="Z649" s="251"/>
      <c r="AA649" s="251"/>
      <c r="AB649" s="251"/>
    </row>
    <row r="650" ht="14.25" customHeight="1">
      <c r="A650" s="251"/>
      <c r="B650" s="263"/>
      <c r="C650" s="242" t="s">
        <v>8062</v>
      </c>
      <c r="D650" s="98" t="s">
        <v>271</v>
      </c>
      <c r="E650" s="240" t="s">
        <v>8013</v>
      </c>
      <c r="F650" s="258" t="s">
        <v>8063</v>
      </c>
      <c r="G650" s="240" t="s">
        <v>8064</v>
      </c>
      <c r="H650" s="240" t="s">
        <v>6921</v>
      </c>
      <c r="I650" s="84" t="s">
        <v>36</v>
      </c>
      <c r="J650" s="252" t="s">
        <v>2034</v>
      </c>
      <c r="K650" s="251"/>
      <c r="L650" s="251"/>
      <c r="M650" s="251"/>
      <c r="N650" s="251"/>
      <c r="O650" s="251"/>
      <c r="P650" s="251"/>
      <c r="Q650" s="251"/>
      <c r="R650" s="251"/>
      <c r="S650" s="251"/>
      <c r="T650" s="251"/>
      <c r="U650" s="251"/>
      <c r="V650" s="251"/>
      <c r="W650" s="251"/>
      <c r="X650" s="251"/>
      <c r="Y650" s="251"/>
      <c r="Z650" s="251"/>
      <c r="AA650" s="251"/>
      <c r="AB650" s="251"/>
    </row>
    <row r="651" ht="14.25" customHeight="1">
      <c r="A651" s="251"/>
      <c r="B651" s="263"/>
      <c r="C651" s="242" t="s">
        <v>8065</v>
      </c>
      <c r="D651" s="98" t="s">
        <v>271</v>
      </c>
      <c r="E651" s="240" t="s">
        <v>8013</v>
      </c>
      <c r="F651" s="258" t="s">
        <v>8066</v>
      </c>
      <c r="G651" s="240" t="s">
        <v>6924</v>
      </c>
      <c r="H651" s="240" t="s">
        <v>6925</v>
      </c>
      <c r="I651" s="84" t="s">
        <v>36</v>
      </c>
      <c r="J651" s="252" t="s">
        <v>2034</v>
      </c>
      <c r="K651" s="251"/>
      <c r="L651" s="251"/>
      <c r="M651" s="251"/>
      <c r="N651" s="251"/>
      <c r="O651" s="251"/>
      <c r="P651" s="251"/>
      <c r="Q651" s="251"/>
      <c r="R651" s="251"/>
      <c r="S651" s="251"/>
      <c r="T651" s="251"/>
      <c r="U651" s="251"/>
      <c r="V651" s="251"/>
      <c r="W651" s="251"/>
      <c r="X651" s="251"/>
      <c r="Y651" s="251"/>
      <c r="Z651" s="251"/>
      <c r="AA651" s="251"/>
      <c r="AB651" s="251"/>
    </row>
    <row r="652" ht="14.25" customHeight="1">
      <c r="A652" s="251"/>
      <c r="B652" s="263"/>
      <c r="C652" s="242" t="s">
        <v>8067</v>
      </c>
      <c r="D652" s="98" t="s">
        <v>271</v>
      </c>
      <c r="E652" s="240" t="s">
        <v>8013</v>
      </c>
      <c r="F652" s="258" t="s">
        <v>8063</v>
      </c>
      <c r="G652" s="240" t="s">
        <v>6927</v>
      </c>
      <c r="H652" s="240" t="s">
        <v>6928</v>
      </c>
      <c r="I652" s="84" t="s">
        <v>36</v>
      </c>
      <c r="J652" s="252" t="s">
        <v>2034</v>
      </c>
      <c r="K652" s="251"/>
      <c r="L652" s="251"/>
      <c r="M652" s="251"/>
      <c r="N652" s="251"/>
      <c r="O652" s="251"/>
      <c r="P652" s="251"/>
      <c r="Q652" s="251"/>
      <c r="R652" s="251"/>
      <c r="S652" s="251"/>
      <c r="T652" s="251"/>
      <c r="U652" s="251"/>
      <c r="V652" s="251"/>
      <c r="W652" s="251"/>
      <c r="X652" s="251"/>
      <c r="Y652" s="251"/>
      <c r="Z652" s="251"/>
      <c r="AA652" s="251"/>
      <c r="AB652" s="251"/>
    </row>
    <row r="653" ht="14.25" customHeight="1">
      <c r="A653" s="251"/>
      <c r="B653" s="263"/>
      <c r="C653" s="242" t="s">
        <v>8068</v>
      </c>
      <c r="D653" s="98" t="s">
        <v>271</v>
      </c>
      <c r="E653" s="240" t="s">
        <v>8013</v>
      </c>
      <c r="F653" s="258" t="s">
        <v>8063</v>
      </c>
      <c r="G653" s="240" t="s">
        <v>6930</v>
      </c>
      <c r="H653" s="240" t="s">
        <v>6931</v>
      </c>
      <c r="I653" s="84" t="s">
        <v>36</v>
      </c>
      <c r="J653" s="252" t="s">
        <v>2034</v>
      </c>
      <c r="K653" s="251"/>
      <c r="L653" s="251"/>
      <c r="M653" s="251"/>
      <c r="N653" s="251"/>
      <c r="O653" s="251"/>
      <c r="P653" s="251"/>
      <c r="Q653" s="251"/>
      <c r="R653" s="251"/>
      <c r="S653" s="251"/>
      <c r="T653" s="251"/>
      <c r="U653" s="251"/>
      <c r="V653" s="251"/>
      <c r="W653" s="251"/>
      <c r="X653" s="251"/>
      <c r="Y653" s="251"/>
      <c r="Z653" s="251"/>
      <c r="AA653" s="251"/>
      <c r="AB653" s="251"/>
    </row>
    <row r="654" ht="14.25" customHeight="1">
      <c r="A654" s="251"/>
      <c r="B654" s="263"/>
      <c r="C654" s="242" t="s">
        <v>8069</v>
      </c>
      <c r="D654" s="98" t="s">
        <v>271</v>
      </c>
      <c r="E654" s="240" t="s">
        <v>8013</v>
      </c>
      <c r="F654" s="258" t="s">
        <v>8063</v>
      </c>
      <c r="G654" s="240" t="s">
        <v>6933</v>
      </c>
      <c r="H654" s="240" t="s">
        <v>6934</v>
      </c>
      <c r="I654" s="84" t="s">
        <v>36</v>
      </c>
      <c r="J654" s="252" t="s">
        <v>2034</v>
      </c>
      <c r="K654" s="251"/>
      <c r="L654" s="251"/>
      <c r="M654" s="251"/>
      <c r="N654" s="251"/>
      <c r="O654" s="251"/>
      <c r="P654" s="251"/>
      <c r="Q654" s="251"/>
      <c r="R654" s="251"/>
      <c r="S654" s="251"/>
      <c r="T654" s="251"/>
      <c r="U654" s="251"/>
      <c r="V654" s="251"/>
      <c r="W654" s="251"/>
      <c r="X654" s="251"/>
      <c r="Y654" s="251"/>
      <c r="Z654" s="251"/>
      <c r="AA654" s="251"/>
      <c r="AB654" s="251"/>
    </row>
    <row r="655" ht="14.25" customHeight="1">
      <c r="A655" s="251"/>
      <c r="B655" s="263"/>
      <c r="C655" s="242" t="s">
        <v>8070</v>
      </c>
      <c r="D655" s="98" t="s">
        <v>271</v>
      </c>
      <c r="E655" s="240" t="s">
        <v>8013</v>
      </c>
      <c r="F655" s="258" t="s">
        <v>8066</v>
      </c>
      <c r="G655" s="240" t="s">
        <v>8071</v>
      </c>
      <c r="H655" s="240" t="s">
        <v>8072</v>
      </c>
      <c r="I655" s="84" t="s">
        <v>36</v>
      </c>
      <c r="J655" s="252" t="s">
        <v>2034</v>
      </c>
      <c r="K655" s="251"/>
      <c r="L655" s="251"/>
      <c r="M655" s="251"/>
      <c r="N655" s="251"/>
      <c r="O655" s="251"/>
      <c r="P655" s="251"/>
      <c r="Q655" s="251"/>
      <c r="R655" s="251"/>
      <c r="S655" s="251"/>
      <c r="T655" s="251"/>
      <c r="U655" s="251"/>
      <c r="V655" s="251"/>
      <c r="W655" s="251"/>
      <c r="X655" s="251"/>
      <c r="Y655" s="251"/>
      <c r="Z655" s="251"/>
      <c r="AA655" s="251"/>
      <c r="AB655" s="251"/>
    </row>
    <row r="656" ht="14.25" customHeight="1">
      <c r="A656" s="251"/>
      <c r="B656" s="263"/>
      <c r="C656" s="242" t="s">
        <v>8073</v>
      </c>
      <c r="D656" s="98" t="s">
        <v>271</v>
      </c>
      <c r="E656" s="240" t="s">
        <v>8013</v>
      </c>
      <c r="F656" s="258" t="s">
        <v>8066</v>
      </c>
      <c r="G656" s="240" t="s">
        <v>6939</v>
      </c>
      <c r="H656" s="240" t="s">
        <v>6940</v>
      </c>
      <c r="I656" s="84" t="s">
        <v>36</v>
      </c>
      <c r="J656" s="252" t="s">
        <v>2034</v>
      </c>
      <c r="K656" s="251"/>
      <c r="L656" s="251"/>
      <c r="M656" s="251"/>
      <c r="N656" s="251"/>
      <c r="O656" s="251"/>
      <c r="P656" s="251"/>
      <c r="Q656" s="251"/>
      <c r="R656" s="251"/>
      <c r="S656" s="251"/>
      <c r="T656" s="251"/>
      <c r="U656" s="251"/>
      <c r="V656" s="251"/>
      <c r="W656" s="251"/>
      <c r="X656" s="251"/>
      <c r="Y656" s="251"/>
      <c r="Z656" s="251"/>
      <c r="AA656" s="251"/>
      <c r="AB656" s="251"/>
    </row>
    <row r="657" ht="14.25" customHeight="1">
      <c r="A657" s="251"/>
      <c r="B657" s="263"/>
      <c r="C657" s="242" t="s">
        <v>8074</v>
      </c>
      <c r="D657" s="98" t="s">
        <v>271</v>
      </c>
      <c r="E657" s="240" t="s">
        <v>8013</v>
      </c>
      <c r="F657" s="258" t="s">
        <v>8075</v>
      </c>
      <c r="G657" s="240" t="s">
        <v>6949</v>
      </c>
      <c r="H657" s="240" t="s">
        <v>8076</v>
      </c>
      <c r="I657" s="84" t="s">
        <v>36</v>
      </c>
      <c r="J657" s="252" t="s">
        <v>2034</v>
      </c>
      <c r="K657" s="251"/>
      <c r="L657" s="251"/>
      <c r="M657" s="251"/>
      <c r="N657" s="251"/>
      <c r="O657" s="251"/>
      <c r="P657" s="251"/>
      <c r="Q657" s="251"/>
      <c r="R657" s="251"/>
      <c r="S657" s="251"/>
      <c r="T657" s="251"/>
      <c r="U657" s="251"/>
      <c r="V657" s="251"/>
      <c r="W657" s="251"/>
      <c r="X657" s="251"/>
      <c r="Y657" s="251"/>
      <c r="Z657" s="251"/>
      <c r="AA657" s="251"/>
      <c r="AB657" s="251"/>
    </row>
    <row r="658" ht="14.25" customHeight="1">
      <c r="A658" s="251"/>
      <c r="B658" s="263"/>
      <c r="C658" s="242" t="s">
        <v>8077</v>
      </c>
      <c r="D658" s="98" t="s">
        <v>271</v>
      </c>
      <c r="E658" s="240" t="s">
        <v>8013</v>
      </c>
      <c r="F658" s="258" t="s">
        <v>8075</v>
      </c>
      <c r="G658" s="240" t="s">
        <v>7018</v>
      </c>
      <c r="H658" s="240" t="s">
        <v>7019</v>
      </c>
      <c r="I658" s="84" t="s">
        <v>36</v>
      </c>
      <c r="J658" s="252" t="s">
        <v>2034</v>
      </c>
      <c r="K658" s="251"/>
      <c r="L658" s="251"/>
      <c r="M658" s="251"/>
      <c r="N658" s="251"/>
      <c r="O658" s="251"/>
      <c r="P658" s="251"/>
      <c r="Q658" s="251"/>
      <c r="R658" s="251"/>
      <c r="S658" s="251"/>
      <c r="T658" s="251"/>
      <c r="U658" s="251"/>
      <c r="V658" s="251"/>
      <c r="W658" s="251"/>
      <c r="X658" s="251"/>
      <c r="Y658" s="251"/>
      <c r="Z658" s="251"/>
      <c r="AA658" s="251"/>
      <c r="AB658" s="251"/>
    </row>
    <row r="659" ht="14.25" customHeight="1">
      <c r="A659" s="251"/>
      <c r="B659" s="263"/>
      <c r="C659" s="242" t="s">
        <v>8078</v>
      </c>
      <c r="D659" s="98" t="s">
        <v>271</v>
      </c>
      <c r="E659" s="240" t="s">
        <v>8013</v>
      </c>
      <c r="F659" s="258" t="s">
        <v>8075</v>
      </c>
      <c r="G659" s="240" t="s">
        <v>8079</v>
      </c>
      <c r="H659" s="240" t="s">
        <v>8080</v>
      </c>
      <c r="I659" s="84" t="s">
        <v>36</v>
      </c>
      <c r="J659" s="252" t="s">
        <v>2034</v>
      </c>
      <c r="K659" s="251"/>
      <c r="L659" s="251"/>
      <c r="M659" s="251"/>
      <c r="N659" s="251"/>
      <c r="O659" s="251"/>
      <c r="P659" s="251"/>
      <c r="Q659" s="251"/>
      <c r="R659" s="251"/>
      <c r="S659" s="251"/>
      <c r="T659" s="251"/>
      <c r="U659" s="251"/>
      <c r="V659" s="251"/>
      <c r="W659" s="251"/>
      <c r="X659" s="251"/>
      <c r="Y659" s="251"/>
      <c r="Z659" s="251"/>
      <c r="AA659" s="251"/>
      <c r="AB659" s="251"/>
    </row>
    <row r="660" ht="14.25" customHeight="1">
      <c r="A660" s="251"/>
      <c r="B660" s="263"/>
      <c r="C660" s="242" t="s">
        <v>8081</v>
      </c>
      <c r="D660" s="98" t="s">
        <v>271</v>
      </c>
      <c r="E660" s="240" t="s">
        <v>8013</v>
      </c>
      <c r="F660" s="258" t="s">
        <v>8075</v>
      </c>
      <c r="G660" s="240" t="s">
        <v>8082</v>
      </c>
      <c r="H660" s="240" t="s">
        <v>8083</v>
      </c>
      <c r="I660" s="84" t="s">
        <v>36</v>
      </c>
      <c r="J660" s="252" t="s">
        <v>2034</v>
      </c>
      <c r="K660" s="251"/>
      <c r="L660" s="251"/>
      <c r="M660" s="251"/>
      <c r="N660" s="251"/>
      <c r="O660" s="251"/>
      <c r="P660" s="251"/>
      <c r="Q660" s="251"/>
      <c r="R660" s="251"/>
      <c r="S660" s="251"/>
      <c r="T660" s="251"/>
      <c r="U660" s="251"/>
      <c r="V660" s="251"/>
      <c r="W660" s="251"/>
      <c r="X660" s="251"/>
      <c r="Y660" s="251"/>
      <c r="Z660" s="251"/>
      <c r="AA660" s="251"/>
      <c r="AB660" s="251"/>
    </row>
    <row r="661" ht="14.25" customHeight="1">
      <c r="A661" s="251"/>
      <c r="B661" s="263"/>
      <c r="C661" s="242" t="s">
        <v>8084</v>
      </c>
      <c r="D661" s="98" t="s">
        <v>271</v>
      </c>
      <c r="E661" s="240" t="s">
        <v>8013</v>
      </c>
      <c r="F661" s="258" t="s">
        <v>8075</v>
      </c>
      <c r="G661" s="240" t="s">
        <v>8085</v>
      </c>
      <c r="H661" s="240" t="s">
        <v>7982</v>
      </c>
      <c r="I661" s="84" t="s">
        <v>36</v>
      </c>
      <c r="J661" s="252" t="s">
        <v>2034</v>
      </c>
      <c r="K661" s="251"/>
      <c r="L661" s="251"/>
      <c r="M661" s="251"/>
      <c r="N661" s="251"/>
      <c r="O661" s="251"/>
      <c r="P661" s="251"/>
      <c r="Q661" s="251"/>
      <c r="R661" s="251"/>
      <c r="S661" s="251"/>
      <c r="T661" s="251"/>
      <c r="U661" s="251"/>
      <c r="V661" s="251"/>
      <c r="W661" s="251"/>
      <c r="X661" s="251"/>
      <c r="Y661" s="251"/>
      <c r="Z661" s="251"/>
      <c r="AA661" s="251"/>
      <c r="AB661" s="251"/>
    </row>
    <row r="662" ht="14.25" customHeight="1">
      <c r="A662" s="251"/>
      <c r="B662" s="263"/>
      <c r="C662" s="242" t="s">
        <v>8086</v>
      </c>
      <c r="D662" s="98" t="s">
        <v>271</v>
      </c>
      <c r="E662" s="240" t="s">
        <v>8013</v>
      </c>
      <c r="F662" s="258" t="s">
        <v>8075</v>
      </c>
      <c r="G662" s="240" t="s">
        <v>8087</v>
      </c>
      <c r="H662" s="240" t="s">
        <v>8088</v>
      </c>
      <c r="I662" s="84" t="s">
        <v>36</v>
      </c>
      <c r="J662" s="252" t="s">
        <v>2034</v>
      </c>
      <c r="K662" s="251"/>
      <c r="L662" s="251"/>
      <c r="M662" s="251"/>
      <c r="N662" s="251"/>
      <c r="O662" s="251"/>
      <c r="P662" s="251"/>
      <c r="Q662" s="251"/>
      <c r="R662" s="251"/>
      <c r="S662" s="251"/>
      <c r="T662" s="251"/>
      <c r="U662" s="251"/>
      <c r="V662" s="251"/>
      <c r="W662" s="251"/>
      <c r="X662" s="251"/>
      <c r="Y662" s="251"/>
      <c r="Z662" s="251"/>
      <c r="AA662" s="251"/>
      <c r="AB662" s="251"/>
    </row>
    <row r="663" ht="14.25" customHeight="1">
      <c r="A663" s="98" t="s">
        <v>8089</v>
      </c>
      <c r="B663" s="257" t="s">
        <v>8090</v>
      </c>
      <c r="C663" s="242" t="s">
        <v>8091</v>
      </c>
      <c r="D663" s="98" t="s">
        <v>271</v>
      </c>
      <c r="E663" s="240" t="s">
        <v>8092</v>
      </c>
      <c r="F663" s="258" t="s">
        <v>8058</v>
      </c>
      <c r="G663" s="240" t="s">
        <v>8093</v>
      </c>
      <c r="H663" s="240" t="s">
        <v>8094</v>
      </c>
      <c r="I663" s="84" t="s">
        <v>36</v>
      </c>
      <c r="J663" s="252" t="s">
        <v>2034</v>
      </c>
      <c r="K663" s="251"/>
      <c r="L663" s="251"/>
      <c r="M663" s="251"/>
      <c r="N663" s="251"/>
      <c r="O663" s="251"/>
      <c r="P663" s="251"/>
      <c r="Q663" s="251"/>
      <c r="R663" s="251"/>
      <c r="S663" s="251"/>
      <c r="T663" s="251"/>
      <c r="U663" s="251"/>
      <c r="V663" s="251"/>
      <c r="W663" s="251"/>
      <c r="X663" s="251"/>
      <c r="Y663" s="251"/>
      <c r="Z663" s="251"/>
      <c r="AA663" s="251"/>
      <c r="AB663" s="251"/>
    </row>
    <row r="664" ht="14.25" customHeight="1">
      <c r="A664" s="98" t="s">
        <v>8089</v>
      </c>
      <c r="B664" s="108"/>
      <c r="C664" s="242" t="s">
        <v>8095</v>
      </c>
      <c r="D664" s="98" t="s">
        <v>271</v>
      </c>
      <c r="E664" s="240" t="s">
        <v>8092</v>
      </c>
      <c r="F664" s="258" t="s">
        <v>8058</v>
      </c>
      <c r="G664" s="240" t="s">
        <v>7990</v>
      </c>
      <c r="H664" s="240" t="s">
        <v>7991</v>
      </c>
      <c r="I664" s="84" t="s">
        <v>36</v>
      </c>
      <c r="J664" s="252" t="s">
        <v>2034</v>
      </c>
      <c r="K664" s="251"/>
      <c r="L664" s="251"/>
      <c r="M664" s="251"/>
      <c r="N664" s="251"/>
      <c r="O664" s="251"/>
      <c r="P664" s="251"/>
      <c r="Q664" s="251"/>
      <c r="R664" s="251"/>
      <c r="S664" s="251"/>
      <c r="T664" s="251"/>
      <c r="U664" s="251"/>
      <c r="V664" s="251"/>
      <c r="W664" s="251"/>
      <c r="X664" s="251"/>
      <c r="Y664" s="251"/>
      <c r="Z664" s="251"/>
      <c r="AA664" s="251"/>
      <c r="AB664" s="251"/>
    </row>
    <row r="665" ht="14.25" customHeight="1">
      <c r="A665" s="98" t="s">
        <v>8089</v>
      </c>
      <c r="B665" s="108"/>
      <c r="C665" s="242" t="s">
        <v>8096</v>
      </c>
      <c r="D665" s="98" t="s">
        <v>271</v>
      </c>
      <c r="E665" s="240" t="s">
        <v>8092</v>
      </c>
      <c r="F665" s="258" t="s">
        <v>8058</v>
      </c>
      <c r="G665" s="240" t="s">
        <v>8097</v>
      </c>
      <c r="H665" s="240" t="s">
        <v>8098</v>
      </c>
      <c r="I665" s="84" t="s">
        <v>36</v>
      </c>
      <c r="J665" s="252" t="s">
        <v>2034</v>
      </c>
      <c r="K665" s="251"/>
      <c r="L665" s="251"/>
      <c r="M665" s="251"/>
      <c r="N665" s="251"/>
      <c r="O665" s="251"/>
      <c r="P665" s="251"/>
      <c r="Q665" s="251"/>
      <c r="R665" s="251"/>
      <c r="S665" s="251"/>
      <c r="T665" s="251"/>
      <c r="U665" s="251"/>
      <c r="V665" s="251"/>
      <c r="W665" s="251"/>
      <c r="X665" s="251"/>
      <c r="Y665" s="251"/>
      <c r="Z665" s="251"/>
      <c r="AA665" s="251"/>
      <c r="AB665" s="251"/>
    </row>
    <row r="666" ht="14.25" customHeight="1">
      <c r="A666" s="98" t="s">
        <v>8089</v>
      </c>
      <c r="B666" s="108"/>
      <c r="C666" s="242" t="s">
        <v>8099</v>
      </c>
      <c r="D666" s="98" t="s">
        <v>271</v>
      </c>
      <c r="E666" s="240" t="s">
        <v>8092</v>
      </c>
      <c r="F666" s="258" t="s">
        <v>8058</v>
      </c>
      <c r="G666" s="240" t="s">
        <v>8100</v>
      </c>
      <c r="H666" s="240" t="s">
        <v>7997</v>
      </c>
      <c r="I666" s="84" t="s">
        <v>36</v>
      </c>
      <c r="J666" s="252" t="s">
        <v>2034</v>
      </c>
      <c r="K666" s="251"/>
      <c r="L666" s="251"/>
      <c r="M666" s="251"/>
      <c r="N666" s="251"/>
      <c r="O666" s="251"/>
      <c r="P666" s="251"/>
      <c r="Q666" s="251"/>
      <c r="R666" s="251"/>
      <c r="S666" s="251"/>
      <c r="T666" s="251"/>
      <c r="U666" s="251"/>
      <c r="V666" s="251"/>
      <c r="W666" s="251"/>
      <c r="X666" s="251"/>
      <c r="Y666" s="251"/>
      <c r="Z666" s="251"/>
      <c r="AA666" s="251"/>
      <c r="AB666" s="251"/>
    </row>
    <row r="667" ht="14.25" customHeight="1">
      <c r="A667" s="98" t="s">
        <v>8089</v>
      </c>
      <c r="B667" s="108"/>
      <c r="C667" s="242" t="s">
        <v>8101</v>
      </c>
      <c r="D667" s="98" t="s">
        <v>271</v>
      </c>
      <c r="E667" s="240" t="s">
        <v>8092</v>
      </c>
      <c r="F667" s="258" t="s">
        <v>8058</v>
      </c>
      <c r="G667" s="240" t="s">
        <v>7999</v>
      </c>
      <c r="H667" s="240" t="s">
        <v>8102</v>
      </c>
      <c r="I667" s="84" t="s">
        <v>36</v>
      </c>
      <c r="J667" s="252" t="s">
        <v>2034</v>
      </c>
      <c r="K667" s="251"/>
      <c r="L667" s="251"/>
      <c r="M667" s="251"/>
      <c r="N667" s="251"/>
      <c r="O667" s="251"/>
      <c r="P667" s="251"/>
      <c r="Q667" s="251"/>
      <c r="R667" s="251"/>
      <c r="S667" s="251"/>
      <c r="T667" s="251"/>
      <c r="U667" s="251"/>
      <c r="V667" s="251"/>
      <c r="W667" s="251"/>
      <c r="X667" s="251"/>
      <c r="Y667" s="251"/>
      <c r="Z667" s="251"/>
      <c r="AA667" s="251"/>
      <c r="AB667" s="251"/>
    </row>
    <row r="668" ht="14.25" customHeight="1">
      <c r="A668" s="98" t="s">
        <v>8089</v>
      </c>
      <c r="B668" s="108"/>
      <c r="C668" s="242" t="s">
        <v>8103</v>
      </c>
      <c r="D668" s="98" t="s">
        <v>271</v>
      </c>
      <c r="E668" s="240" t="s">
        <v>8092</v>
      </c>
      <c r="F668" s="258" t="s">
        <v>8058</v>
      </c>
      <c r="G668" s="240" t="s">
        <v>8002</v>
      </c>
      <c r="H668" s="240" t="s">
        <v>8003</v>
      </c>
      <c r="I668" s="84" t="s">
        <v>36</v>
      </c>
      <c r="J668" s="252" t="s">
        <v>2034</v>
      </c>
      <c r="K668" s="251"/>
      <c r="L668" s="251"/>
      <c r="M668" s="251"/>
      <c r="N668" s="251"/>
      <c r="O668" s="251"/>
      <c r="P668" s="251"/>
      <c r="Q668" s="251"/>
      <c r="R668" s="251"/>
      <c r="S668" s="251"/>
      <c r="T668" s="251"/>
      <c r="U668" s="251"/>
      <c r="V668" s="251"/>
      <c r="W668" s="251"/>
      <c r="X668" s="251"/>
      <c r="Y668" s="251"/>
      <c r="Z668" s="251"/>
      <c r="AA668" s="251"/>
      <c r="AB668" s="251"/>
    </row>
    <row r="669" ht="14.25" customHeight="1">
      <c r="A669" s="98" t="s">
        <v>8089</v>
      </c>
      <c r="B669" s="108"/>
      <c r="C669" s="242" t="s">
        <v>8104</v>
      </c>
      <c r="D669" s="98" t="s">
        <v>271</v>
      </c>
      <c r="E669" s="240" t="s">
        <v>8092</v>
      </c>
      <c r="F669" s="258" t="s">
        <v>8058</v>
      </c>
      <c r="G669" s="240" t="s">
        <v>8105</v>
      </c>
      <c r="H669" s="240" t="s">
        <v>8006</v>
      </c>
      <c r="I669" s="84" t="s">
        <v>36</v>
      </c>
      <c r="J669" s="252" t="s">
        <v>2034</v>
      </c>
      <c r="K669" s="251"/>
      <c r="L669" s="251"/>
      <c r="M669" s="251"/>
      <c r="N669" s="251"/>
      <c r="O669" s="251"/>
      <c r="P669" s="251"/>
      <c r="Q669" s="251"/>
      <c r="R669" s="251"/>
      <c r="S669" s="251"/>
      <c r="T669" s="251"/>
      <c r="U669" s="251"/>
      <c r="V669" s="251"/>
      <c r="W669" s="251"/>
      <c r="X669" s="251"/>
      <c r="Y669" s="251"/>
      <c r="Z669" s="251"/>
      <c r="AA669" s="251"/>
      <c r="AB669" s="251"/>
    </row>
    <row r="670" ht="14.25" customHeight="1">
      <c r="A670" s="98" t="s">
        <v>8089</v>
      </c>
      <c r="B670" s="108"/>
      <c r="C670" s="242" t="s">
        <v>8106</v>
      </c>
      <c r="D670" s="98" t="s">
        <v>271</v>
      </c>
      <c r="E670" s="240" t="s">
        <v>8092</v>
      </c>
      <c r="F670" s="258" t="s">
        <v>8058</v>
      </c>
      <c r="G670" s="240" t="s">
        <v>8008</v>
      </c>
      <c r="H670" s="240" t="s">
        <v>8009</v>
      </c>
      <c r="I670" s="84" t="s">
        <v>36</v>
      </c>
      <c r="J670" s="252" t="s">
        <v>2034</v>
      </c>
      <c r="K670" s="251"/>
      <c r="L670" s="251"/>
      <c r="M670" s="251"/>
      <c r="N670" s="251"/>
      <c r="O670" s="251"/>
      <c r="P670" s="251"/>
      <c r="Q670" s="251"/>
      <c r="R670" s="251"/>
      <c r="S670" s="251"/>
      <c r="T670" s="251"/>
      <c r="U670" s="251"/>
      <c r="V670" s="251"/>
      <c r="W670" s="251"/>
      <c r="X670" s="251"/>
      <c r="Y670" s="251"/>
      <c r="Z670" s="251"/>
      <c r="AA670" s="251"/>
      <c r="AB670" s="251"/>
    </row>
    <row r="671" ht="14.25" customHeight="1">
      <c r="A671" s="98" t="s">
        <v>8089</v>
      </c>
      <c r="B671" s="109"/>
      <c r="C671" s="242" t="s">
        <v>8107</v>
      </c>
      <c r="D671" s="98" t="s">
        <v>271</v>
      </c>
      <c r="E671" s="240" t="s">
        <v>8092</v>
      </c>
      <c r="F671" s="258" t="s">
        <v>8058</v>
      </c>
      <c r="G671" s="240" t="s">
        <v>8011</v>
      </c>
      <c r="H671" s="240" t="s">
        <v>8009</v>
      </c>
      <c r="I671" s="84" t="s">
        <v>36</v>
      </c>
      <c r="J671" s="252" t="s">
        <v>2034</v>
      </c>
      <c r="K671" s="251"/>
      <c r="L671" s="251"/>
      <c r="M671" s="251"/>
      <c r="N671" s="251"/>
      <c r="O671" s="251"/>
      <c r="P671" s="251"/>
      <c r="Q671" s="251"/>
      <c r="R671" s="251"/>
      <c r="S671" s="251"/>
      <c r="T671" s="251"/>
      <c r="U671" s="251"/>
      <c r="V671" s="251"/>
      <c r="W671" s="251"/>
      <c r="X671" s="251"/>
      <c r="Y671" s="251"/>
      <c r="Z671" s="251"/>
      <c r="AA671" s="251"/>
      <c r="AB671" s="251"/>
    </row>
    <row r="672" ht="14.25" customHeight="1">
      <c r="A672" s="98" t="s">
        <v>8108</v>
      </c>
      <c r="B672" s="257" t="s">
        <v>8109</v>
      </c>
      <c r="C672" s="242" t="s">
        <v>8110</v>
      </c>
      <c r="D672" s="98" t="s">
        <v>271</v>
      </c>
      <c r="E672" s="240" t="s">
        <v>8111</v>
      </c>
      <c r="F672" s="258" t="s">
        <v>8058</v>
      </c>
      <c r="G672" s="240" t="s">
        <v>8112</v>
      </c>
      <c r="H672" s="240" t="s">
        <v>8113</v>
      </c>
      <c r="I672" s="84" t="s">
        <v>36</v>
      </c>
      <c r="J672" s="252" t="s">
        <v>2034</v>
      </c>
      <c r="K672" s="251"/>
      <c r="L672" s="251"/>
      <c r="M672" s="251"/>
      <c r="N672" s="251"/>
      <c r="O672" s="251"/>
      <c r="P672" s="251"/>
      <c r="Q672" s="251"/>
      <c r="R672" s="251"/>
      <c r="S672" s="251"/>
      <c r="T672" s="251"/>
      <c r="U672" s="251"/>
      <c r="V672" s="251"/>
      <c r="W672" s="251"/>
      <c r="X672" s="251"/>
      <c r="Y672" s="251"/>
      <c r="Z672" s="251"/>
      <c r="AA672" s="251"/>
      <c r="AB672" s="251"/>
    </row>
    <row r="673" ht="14.25" customHeight="1">
      <c r="A673" s="98" t="s">
        <v>8108</v>
      </c>
      <c r="B673" s="108"/>
      <c r="C673" s="242" t="s">
        <v>8114</v>
      </c>
      <c r="D673" s="98" t="s">
        <v>271</v>
      </c>
      <c r="E673" s="240" t="s">
        <v>8111</v>
      </c>
      <c r="F673" s="258" t="s">
        <v>8058</v>
      </c>
      <c r="G673" s="240" t="s">
        <v>8115</v>
      </c>
      <c r="H673" s="240" t="s">
        <v>8116</v>
      </c>
      <c r="I673" s="84" t="s">
        <v>36</v>
      </c>
      <c r="J673" s="252" t="s">
        <v>2034</v>
      </c>
      <c r="K673" s="251"/>
      <c r="L673" s="251"/>
      <c r="M673" s="251"/>
      <c r="N673" s="251"/>
      <c r="O673" s="251"/>
      <c r="P673" s="251"/>
      <c r="Q673" s="251"/>
      <c r="R673" s="251"/>
      <c r="S673" s="251"/>
      <c r="T673" s="251"/>
      <c r="U673" s="251"/>
      <c r="V673" s="251"/>
      <c r="W673" s="251"/>
      <c r="X673" s="251"/>
      <c r="Y673" s="251"/>
      <c r="Z673" s="251"/>
      <c r="AA673" s="251"/>
      <c r="AB673" s="251"/>
    </row>
    <row r="674" ht="14.25" customHeight="1">
      <c r="A674" s="98" t="s">
        <v>8108</v>
      </c>
      <c r="B674" s="108"/>
      <c r="C674" s="242" t="s">
        <v>8117</v>
      </c>
      <c r="D674" s="98" t="s">
        <v>271</v>
      </c>
      <c r="E674" s="240" t="s">
        <v>8111</v>
      </c>
      <c r="F674" s="258" t="s">
        <v>8058</v>
      </c>
      <c r="G674" s="240" t="s">
        <v>8118</v>
      </c>
      <c r="H674" s="240" t="s">
        <v>8119</v>
      </c>
      <c r="I674" s="84" t="s">
        <v>36</v>
      </c>
      <c r="J674" s="252" t="s">
        <v>2034</v>
      </c>
      <c r="K674" s="251"/>
      <c r="L674" s="251"/>
      <c r="M674" s="251"/>
      <c r="N674" s="251"/>
      <c r="O674" s="251"/>
      <c r="P674" s="251"/>
      <c r="Q674" s="251"/>
      <c r="R674" s="251"/>
      <c r="S674" s="251"/>
      <c r="T674" s="251"/>
      <c r="U674" s="251"/>
      <c r="V674" s="251"/>
      <c r="W674" s="251"/>
      <c r="X674" s="251"/>
      <c r="Y674" s="251"/>
      <c r="Z674" s="251"/>
      <c r="AA674" s="251"/>
      <c r="AB674" s="251"/>
    </row>
    <row r="675" ht="14.25" customHeight="1">
      <c r="A675" s="98" t="s">
        <v>8108</v>
      </c>
      <c r="B675" s="108"/>
      <c r="C675" s="242" t="s">
        <v>8120</v>
      </c>
      <c r="D675" s="98" t="s">
        <v>271</v>
      </c>
      <c r="E675" s="240" t="s">
        <v>8111</v>
      </c>
      <c r="F675" s="258" t="s">
        <v>8058</v>
      </c>
      <c r="G675" s="240" t="s">
        <v>8121</v>
      </c>
      <c r="H675" s="240" t="s">
        <v>8122</v>
      </c>
      <c r="I675" s="84" t="s">
        <v>36</v>
      </c>
      <c r="J675" s="252" t="s">
        <v>2034</v>
      </c>
      <c r="K675" s="251"/>
      <c r="L675" s="251"/>
      <c r="M675" s="251"/>
      <c r="N675" s="251"/>
      <c r="O675" s="251"/>
      <c r="P675" s="251"/>
      <c r="Q675" s="251"/>
      <c r="R675" s="251"/>
      <c r="S675" s="251"/>
      <c r="T675" s="251"/>
      <c r="U675" s="251"/>
      <c r="V675" s="251"/>
      <c r="W675" s="251"/>
      <c r="X675" s="251"/>
      <c r="Y675" s="251"/>
      <c r="Z675" s="251"/>
      <c r="AA675" s="251"/>
      <c r="AB675" s="251"/>
    </row>
    <row r="676" ht="14.25" customHeight="1">
      <c r="A676" s="98" t="s">
        <v>8108</v>
      </c>
      <c r="B676" s="108"/>
      <c r="C676" s="242" t="s">
        <v>8123</v>
      </c>
      <c r="D676" s="98" t="s">
        <v>271</v>
      </c>
      <c r="E676" s="240" t="s">
        <v>8111</v>
      </c>
      <c r="F676" s="258" t="s">
        <v>8058</v>
      </c>
      <c r="G676" s="240" t="s">
        <v>8124</v>
      </c>
      <c r="H676" s="240" t="s">
        <v>8125</v>
      </c>
      <c r="I676" s="84" t="s">
        <v>36</v>
      </c>
      <c r="J676" s="252" t="s">
        <v>2034</v>
      </c>
      <c r="K676" s="251"/>
      <c r="L676" s="251"/>
      <c r="M676" s="251"/>
      <c r="N676" s="251"/>
      <c r="O676" s="251"/>
      <c r="P676" s="251"/>
      <c r="Q676" s="251"/>
      <c r="R676" s="251"/>
      <c r="S676" s="251"/>
      <c r="T676" s="251"/>
      <c r="U676" s="251"/>
      <c r="V676" s="251"/>
      <c r="W676" s="251"/>
      <c r="X676" s="251"/>
      <c r="Y676" s="251"/>
      <c r="Z676" s="251"/>
      <c r="AA676" s="251"/>
      <c r="AB676" s="251"/>
    </row>
    <row r="677" ht="14.25" customHeight="1">
      <c r="A677" s="98" t="s">
        <v>8108</v>
      </c>
      <c r="B677" s="108"/>
      <c r="C677" s="242" t="s">
        <v>8126</v>
      </c>
      <c r="D677" s="98" t="s">
        <v>271</v>
      </c>
      <c r="E677" s="240" t="s">
        <v>8111</v>
      </c>
      <c r="F677" s="258" t="s">
        <v>8058</v>
      </c>
      <c r="G677" s="240" t="s">
        <v>8127</v>
      </c>
      <c r="H677" s="240" t="s">
        <v>8128</v>
      </c>
      <c r="I677" s="84" t="s">
        <v>36</v>
      </c>
      <c r="J677" s="252" t="s">
        <v>2034</v>
      </c>
      <c r="K677" s="251"/>
      <c r="L677" s="251"/>
      <c r="M677" s="251"/>
      <c r="N677" s="251"/>
      <c r="O677" s="251"/>
      <c r="P677" s="251"/>
      <c r="Q677" s="251"/>
      <c r="R677" s="251"/>
      <c r="S677" s="251"/>
      <c r="T677" s="251"/>
      <c r="U677" s="251"/>
      <c r="V677" s="251"/>
      <c r="W677" s="251"/>
      <c r="X677" s="251"/>
      <c r="Y677" s="251"/>
      <c r="Z677" s="251"/>
      <c r="AA677" s="251"/>
      <c r="AB677" s="251"/>
    </row>
    <row r="678" ht="14.25" customHeight="1">
      <c r="A678" s="98" t="s">
        <v>8108</v>
      </c>
      <c r="B678" s="108"/>
      <c r="C678" s="242" t="s">
        <v>8129</v>
      </c>
      <c r="D678" s="98" t="s">
        <v>271</v>
      </c>
      <c r="E678" s="240" t="s">
        <v>8111</v>
      </c>
      <c r="F678" s="258" t="s">
        <v>8058</v>
      </c>
      <c r="G678" s="240" t="s">
        <v>8130</v>
      </c>
      <c r="H678" s="240" t="s">
        <v>8131</v>
      </c>
      <c r="I678" s="84" t="s">
        <v>36</v>
      </c>
      <c r="J678" s="252" t="s">
        <v>2034</v>
      </c>
      <c r="K678" s="251"/>
      <c r="L678" s="251"/>
      <c r="M678" s="251"/>
      <c r="N678" s="251"/>
      <c r="O678" s="251"/>
      <c r="P678" s="251"/>
      <c r="Q678" s="251"/>
      <c r="R678" s="251"/>
      <c r="S678" s="251"/>
      <c r="T678" s="251"/>
      <c r="U678" s="251"/>
      <c r="V678" s="251"/>
      <c r="W678" s="251"/>
      <c r="X678" s="251"/>
      <c r="Y678" s="251"/>
      <c r="Z678" s="251"/>
      <c r="AA678" s="251"/>
      <c r="AB678" s="251"/>
    </row>
    <row r="679" ht="14.25" customHeight="1">
      <c r="A679" s="98" t="s">
        <v>8108</v>
      </c>
      <c r="B679" s="109"/>
      <c r="C679" s="242" t="s">
        <v>8132</v>
      </c>
      <c r="D679" s="98" t="s">
        <v>271</v>
      </c>
      <c r="E679" s="240" t="s">
        <v>8111</v>
      </c>
      <c r="F679" s="258" t="s">
        <v>8058</v>
      </c>
      <c r="G679" s="240" t="s">
        <v>8133</v>
      </c>
      <c r="H679" s="240" t="s">
        <v>8134</v>
      </c>
      <c r="I679" s="84" t="s">
        <v>36</v>
      </c>
      <c r="J679" s="252" t="s">
        <v>2034</v>
      </c>
      <c r="K679" s="251"/>
      <c r="L679" s="251"/>
      <c r="M679" s="251"/>
      <c r="N679" s="251"/>
      <c r="O679" s="251"/>
      <c r="P679" s="251"/>
      <c r="Q679" s="251"/>
      <c r="R679" s="251"/>
      <c r="S679" s="251"/>
      <c r="T679" s="251"/>
      <c r="U679" s="251"/>
      <c r="V679" s="251"/>
      <c r="W679" s="251"/>
      <c r="X679" s="251"/>
      <c r="Y679" s="251"/>
      <c r="Z679" s="251"/>
      <c r="AA679" s="251"/>
      <c r="AB679" s="251"/>
    </row>
    <row r="680" ht="14.25" customHeight="1">
      <c r="A680" s="267" t="s">
        <v>8135</v>
      </c>
      <c r="B680" s="257" t="s">
        <v>8136</v>
      </c>
      <c r="C680" s="242" t="s">
        <v>8137</v>
      </c>
      <c r="D680" s="98" t="s">
        <v>271</v>
      </c>
      <c r="E680" s="240" t="s">
        <v>8138</v>
      </c>
      <c r="F680" s="240" t="s">
        <v>8139</v>
      </c>
      <c r="G680" s="240" t="s">
        <v>8140</v>
      </c>
      <c r="H680" s="240" t="s">
        <v>8141</v>
      </c>
      <c r="I680" s="84" t="s">
        <v>36</v>
      </c>
      <c r="J680" s="252" t="s">
        <v>2034</v>
      </c>
      <c r="K680" s="251"/>
      <c r="L680" s="251"/>
      <c r="M680" s="251"/>
      <c r="N680" s="251"/>
      <c r="O680" s="251"/>
      <c r="P680" s="251"/>
      <c r="Q680" s="251"/>
      <c r="R680" s="251"/>
      <c r="S680" s="251"/>
      <c r="T680" s="251"/>
      <c r="U680" s="251"/>
      <c r="V680" s="251"/>
      <c r="W680" s="251"/>
      <c r="X680" s="251"/>
      <c r="Y680" s="251"/>
      <c r="Z680" s="251"/>
      <c r="AA680" s="251"/>
      <c r="AB680" s="251"/>
    </row>
    <row r="681" ht="14.25" customHeight="1">
      <c r="A681" s="267" t="s">
        <v>8135</v>
      </c>
      <c r="B681" s="108"/>
      <c r="C681" s="242" t="s">
        <v>8142</v>
      </c>
      <c r="D681" s="98" t="s">
        <v>271</v>
      </c>
      <c r="E681" s="240" t="s">
        <v>8138</v>
      </c>
      <c r="F681" s="240" t="s">
        <v>8139</v>
      </c>
      <c r="G681" s="240" t="s">
        <v>8143</v>
      </c>
      <c r="H681" s="240" t="s">
        <v>8144</v>
      </c>
      <c r="I681" s="84" t="s">
        <v>36</v>
      </c>
      <c r="J681" s="252" t="s">
        <v>2034</v>
      </c>
      <c r="K681" s="251"/>
      <c r="L681" s="251"/>
      <c r="M681" s="251"/>
      <c r="N681" s="251"/>
      <c r="O681" s="251"/>
      <c r="P681" s="251"/>
      <c r="Q681" s="251"/>
      <c r="R681" s="251"/>
      <c r="S681" s="251"/>
      <c r="T681" s="251"/>
      <c r="U681" s="251"/>
      <c r="V681" s="251"/>
      <c r="W681" s="251"/>
      <c r="X681" s="251"/>
      <c r="Y681" s="251"/>
      <c r="Z681" s="251"/>
      <c r="AA681" s="251"/>
      <c r="AB681" s="251"/>
    </row>
    <row r="682" ht="14.25" customHeight="1">
      <c r="A682" s="267" t="s">
        <v>8135</v>
      </c>
      <c r="B682" s="108"/>
      <c r="C682" s="242" t="s">
        <v>8145</v>
      </c>
      <c r="D682" s="98" t="s">
        <v>271</v>
      </c>
      <c r="E682" s="240" t="s">
        <v>8138</v>
      </c>
      <c r="F682" s="240" t="s">
        <v>8139</v>
      </c>
      <c r="G682" s="240" t="s">
        <v>8146</v>
      </c>
      <c r="H682" s="240" t="s">
        <v>8147</v>
      </c>
      <c r="I682" s="84" t="s">
        <v>36</v>
      </c>
      <c r="J682" s="252" t="s">
        <v>2034</v>
      </c>
      <c r="K682" s="251"/>
      <c r="L682" s="251"/>
      <c r="M682" s="251"/>
      <c r="N682" s="251"/>
      <c r="O682" s="251"/>
      <c r="P682" s="251"/>
      <c r="Q682" s="251"/>
      <c r="R682" s="251"/>
      <c r="S682" s="251"/>
      <c r="T682" s="251"/>
      <c r="U682" s="251"/>
      <c r="V682" s="251"/>
      <c r="W682" s="251"/>
      <c r="X682" s="251"/>
      <c r="Y682" s="251"/>
      <c r="Z682" s="251"/>
      <c r="AA682" s="251"/>
      <c r="AB682" s="251"/>
    </row>
    <row r="683" ht="14.25" customHeight="1">
      <c r="A683" s="267" t="s">
        <v>8135</v>
      </c>
      <c r="B683" s="108"/>
      <c r="C683" s="242" t="s">
        <v>8148</v>
      </c>
      <c r="D683" s="98" t="s">
        <v>271</v>
      </c>
      <c r="E683" s="240" t="s">
        <v>8138</v>
      </c>
      <c r="F683" s="240" t="s">
        <v>8139</v>
      </c>
      <c r="G683" s="240" t="s">
        <v>8149</v>
      </c>
      <c r="H683" s="240" t="s">
        <v>8150</v>
      </c>
      <c r="I683" s="84" t="s">
        <v>36</v>
      </c>
      <c r="J683" s="252" t="s">
        <v>2034</v>
      </c>
      <c r="K683" s="251"/>
      <c r="L683" s="251"/>
      <c r="M683" s="251"/>
      <c r="N683" s="251"/>
      <c r="O683" s="251"/>
      <c r="P683" s="251"/>
      <c r="Q683" s="251"/>
      <c r="R683" s="251"/>
      <c r="S683" s="251"/>
      <c r="T683" s="251"/>
      <c r="U683" s="251"/>
      <c r="V683" s="251"/>
      <c r="W683" s="251"/>
      <c r="X683" s="251"/>
      <c r="Y683" s="251"/>
      <c r="Z683" s="251"/>
      <c r="AA683" s="251"/>
      <c r="AB683" s="251"/>
    </row>
    <row r="684" ht="14.25" customHeight="1">
      <c r="A684" s="267" t="s">
        <v>8135</v>
      </c>
      <c r="B684" s="108"/>
      <c r="C684" s="242" t="s">
        <v>8151</v>
      </c>
      <c r="D684" s="98" t="s">
        <v>271</v>
      </c>
      <c r="E684" s="240" t="s">
        <v>8138</v>
      </c>
      <c r="F684" s="240" t="s">
        <v>8139</v>
      </c>
      <c r="G684" s="240" t="s">
        <v>8152</v>
      </c>
      <c r="H684" s="240" t="s">
        <v>8153</v>
      </c>
      <c r="I684" s="84" t="s">
        <v>36</v>
      </c>
      <c r="J684" s="252" t="s">
        <v>2034</v>
      </c>
      <c r="K684" s="251"/>
      <c r="L684" s="251"/>
      <c r="M684" s="251"/>
      <c r="N684" s="251"/>
      <c r="O684" s="251"/>
      <c r="P684" s="251"/>
      <c r="Q684" s="251"/>
      <c r="R684" s="251"/>
      <c r="S684" s="251"/>
      <c r="T684" s="251"/>
      <c r="U684" s="251"/>
      <c r="V684" s="251"/>
      <c r="W684" s="251"/>
      <c r="X684" s="251"/>
      <c r="Y684" s="251"/>
      <c r="Z684" s="251"/>
      <c r="AA684" s="251"/>
      <c r="AB684" s="251"/>
    </row>
    <row r="685" ht="14.25" customHeight="1">
      <c r="A685" s="267" t="s">
        <v>8135</v>
      </c>
      <c r="B685" s="108"/>
      <c r="C685" s="242" t="s">
        <v>8154</v>
      </c>
      <c r="D685" s="98" t="s">
        <v>271</v>
      </c>
      <c r="E685" s="240" t="s">
        <v>8138</v>
      </c>
      <c r="F685" s="240" t="s">
        <v>8139</v>
      </c>
      <c r="G685" s="240" t="s">
        <v>8155</v>
      </c>
      <c r="H685" s="240" t="s">
        <v>8156</v>
      </c>
      <c r="I685" s="84" t="s">
        <v>36</v>
      </c>
      <c r="J685" s="252" t="s">
        <v>2034</v>
      </c>
      <c r="K685" s="251"/>
      <c r="L685" s="251"/>
      <c r="M685" s="251"/>
      <c r="N685" s="251"/>
      <c r="O685" s="251"/>
      <c r="P685" s="251"/>
      <c r="Q685" s="251"/>
      <c r="R685" s="251"/>
      <c r="S685" s="251"/>
      <c r="T685" s="251"/>
      <c r="U685" s="251"/>
      <c r="V685" s="251"/>
      <c r="W685" s="251"/>
      <c r="X685" s="251"/>
      <c r="Y685" s="251"/>
      <c r="Z685" s="251"/>
      <c r="AA685" s="251"/>
      <c r="AB685" s="251"/>
    </row>
    <row r="686" ht="14.25" customHeight="1">
      <c r="A686" s="267" t="s">
        <v>8135</v>
      </c>
      <c r="B686" s="108"/>
      <c r="C686" s="242" t="s">
        <v>8157</v>
      </c>
      <c r="D686" s="98" t="s">
        <v>271</v>
      </c>
      <c r="E686" s="240" t="s">
        <v>8138</v>
      </c>
      <c r="F686" s="240" t="s">
        <v>8139</v>
      </c>
      <c r="G686" s="240" t="s">
        <v>8158</v>
      </c>
      <c r="H686" s="240" t="s">
        <v>8159</v>
      </c>
      <c r="I686" s="84" t="s">
        <v>36</v>
      </c>
      <c r="J686" s="252" t="s">
        <v>2034</v>
      </c>
      <c r="K686" s="251"/>
      <c r="L686" s="251"/>
      <c r="M686" s="251"/>
      <c r="N686" s="251"/>
      <c r="O686" s="251"/>
      <c r="P686" s="251"/>
      <c r="Q686" s="251"/>
      <c r="R686" s="251"/>
      <c r="S686" s="251"/>
      <c r="T686" s="251"/>
      <c r="U686" s="251"/>
      <c r="V686" s="251"/>
      <c r="W686" s="251"/>
      <c r="X686" s="251"/>
      <c r="Y686" s="251"/>
      <c r="Z686" s="251"/>
      <c r="AA686" s="251"/>
      <c r="AB686" s="251"/>
    </row>
    <row r="687" ht="14.25" customHeight="1">
      <c r="A687" s="267" t="s">
        <v>8135</v>
      </c>
      <c r="B687" s="108"/>
      <c r="C687" s="242" t="s">
        <v>8160</v>
      </c>
      <c r="D687" s="98" t="s">
        <v>271</v>
      </c>
      <c r="E687" s="240" t="s">
        <v>8138</v>
      </c>
      <c r="F687" s="240" t="s">
        <v>8139</v>
      </c>
      <c r="G687" s="240" t="s">
        <v>8161</v>
      </c>
      <c r="H687" s="268" t="s">
        <v>8162</v>
      </c>
      <c r="I687" s="84" t="s">
        <v>36</v>
      </c>
      <c r="J687" s="252" t="s">
        <v>2034</v>
      </c>
      <c r="K687" s="251"/>
      <c r="L687" s="251"/>
      <c r="M687" s="251"/>
      <c r="N687" s="251"/>
      <c r="O687" s="251"/>
      <c r="P687" s="251"/>
      <c r="Q687" s="251"/>
      <c r="R687" s="251"/>
      <c r="S687" s="251"/>
      <c r="T687" s="251"/>
      <c r="U687" s="251"/>
      <c r="V687" s="251"/>
      <c r="W687" s="251"/>
      <c r="X687" s="251"/>
      <c r="Y687" s="251"/>
      <c r="Z687" s="251"/>
      <c r="AA687" s="251"/>
      <c r="AB687" s="251"/>
    </row>
    <row r="688" ht="14.25" customHeight="1">
      <c r="A688" s="267" t="s">
        <v>8135</v>
      </c>
      <c r="B688" s="108"/>
      <c r="C688" s="242" t="s">
        <v>8163</v>
      </c>
      <c r="D688" s="98" t="s">
        <v>271</v>
      </c>
      <c r="E688" s="240" t="s">
        <v>8138</v>
      </c>
      <c r="F688" s="240" t="s">
        <v>8139</v>
      </c>
      <c r="G688" s="240" t="s">
        <v>8164</v>
      </c>
      <c r="H688" s="240" t="s">
        <v>8165</v>
      </c>
      <c r="I688" s="84" t="s">
        <v>317</v>
      </c>
      <c r="J688" s="252" t="s">
        <v>2034</v>
      </c>
      <c r="K688" s="251"/>
      <c r="L688" s="251"/>
      <c r="M688" s="251"/>
      <c r="N688" s="251"/>
      <c r="O688" s="251"/>
      <c r="P688" s="251"/>
      <c r="Q688" s="251"/>
      <c r="R688" s="251"/>
      <c r="S688" s="251"/>
      <c r="T688" s="251"/>
      <c r="U688" s="251"/>
      <c r="V688" s="251"/>
      <c r="W688" s="251"/>
      <c r="X688" s="251"/>
      <c r="Y688" s="251"/>
      <c r="Z688" s="251"/>
      <c r="AA688" s="251"/>
      <c r="AB688" s="251"/>
    </row>
    <row r="689" ht="14.25" customHeight="1">
      <c r="A689" s="267" t="s">
        <v>8135</v>
      </c>
      <c r="B689" s="108"/>
      <c r="C689" s="242" t="s">
        <v>8166</v>
      </c>
      <c r="D689" s="98" t="s">
        <v>271</v>
      </c>
      <c r="E689" s="240" t="s">
        <v>8138</v>
      </c>
      <c r="F689" s="240" t="s">
        <v>8139</v>
      </c>
      <c r="G689" s="240" t="s">
        <v>8167</v>
      </c>
      <c r="H689" s="240" t="s">
        <v>8168</v>
      </c>
      <c r="I689" s="84" t="s">
        <v>36</v>
      </c>
      <c r="J689" s="252" t="s">
        <v>2034</v>
      </c>
      <c r="K689" s="251"/>
      <c r="L689" s="251"/>
      <c r="M689" s="251"/>
      <c r="N689" s="251"/>
      <c r="O689" s="251"/>
      <c r="P689" s="251"/>
      <c r="Q689" s="251"/>
      <c r="R689" s="251"/>
      <c r="S689" s="251"/>
      <c r="T689" s="251"/>
      <c r="U689" s="251"/>
      <c r="V689" s="251"/>
      <c r="W689" s="251"/>
      <c r="X689" s="251"/>
      <c r="Y689" s="251"/>
      <c r="Z689" s="251"/>
      <c r="AA689" s="251"/>
      <c r="AB689" s="251"/>
    </row>
    <row r="690" ht="14.25" customHeight="1">
      <c r="A690" s="267" t="s">
        <v>8135</v>
      </c>
      <c r="B690" s="108"/>
      <c r="C690" s="242" t="s">
        <v>8169</v>
      </c>
      <c r="D690" s="98" t="s">
        <v>271</v>
      </c>
      <c r="E690" s="240" t="s">
        <v>8138</v>
      </c>
      <c r="F690" s="240" t="s">
        <v>8139</v>
      </c>
      <c r="G690" s="240" t="s">
        <v>8170</v>
      </c>
      <c r="H690" s="240" t="s">
        <v>8171</v>
      </c>
      <c r="I690" s="84" t="s">
        <v>36</v>
      </c>
      <c r="J690" s="252" t="s">
        <v>2034</v>
      </c>
      <c r="K690" s="251"/>
      <c r="L690" s="251"/>
      <c r="M690" s="251"/>
      <c r="N690" s="251"/>
      <c r="O690" s="251"/>
      <c r="P690" s="251"/>
      <c r="Q690" s="251"/>
      <c r="R690" s="251"/>
      <c r="S690" s="251"/>
      <c r="T690" s="251"/>
      <c r="U690" s="251"/>
      <c r="V690" s="251"/>
      <c r="W690" s="251"/>
      <c r="X690" s="251"/>
      <c r="Y690" s="251"/>
      <c r="Z690" s="251"/>
      <c r="AA690" s="251"/>
      <c r="AB690" s="251"/>
    </row>
    <row r="691" ht="14.25" customHeight="1">
      <c r="A691" s="267" t="s">
        <v>8135</v>
      </c>
      <c r="B691" s="108"/>
      <c r="C691" s="242" t="s">
        <v>8172</v>
      </c>
      <c r="D691" s="98" t="s">
        <v>271</v>
      </c>
      <c r="E691" s="240" t="s">
        <v>8138</v>
      </c>
      <c r="F691" s="240" t="s">
        <v>8139</v>
      </c>
      <c r="G691" s="240" t="s">
        <v>8173</v>
      </c>
      <c r="H691" s="240" t="s">
        <v>8156</v>
      </c>
      <c r="I691" s="84" t="s">
        <v>36</v>
      </c>
      <c r="J691" s="252" t="s">
        <v>2034</v>
      </c>
      <c r="K691" s="251"/>
      <c r="L691" s="251"/>
      <c r="M691" s="251"/>
      <c r="N691" s="251"/>
      <c r="O691" s="251"/>
      <c r="P691" s="251"/>
      <c r="Q691" s="251"/>
      <c r="R691" s="251"/>
      <c r="S691" s="251"/>
      <c r="T691" s="251"/>
      <c r="U691" s="251"/>
      <c r="V691" s="251"/>
      <c r="W691" s="251"/>
      <c r="X691" s="251"/>
      <c r="Y691" s="251"/>
      <c r="Z691" s="251"/>
      <c r="AA691" s="251"/>
      <c r="AB691" s="251"/>
    </row>
    <row r="692" ht="14.25" customHeight="1">
      <c r="A692" s="267" t="s">
        <v>8135</v>
      </c>
      <c r="B692" s="108"/>
      <c r="C692" s="242" t="s">
        <v>8174</v>
      </c>
      <c r="D692" s="98" t="s">
        <v>271</v>
      </c>
      <c r="E692" s="240" t="s">
        <v>8138</v>
      </c>
      <c r="F692" s="240" t="s">
        <v>8139</v>
      </c>
      <c r="G692" s="240" t="s">
        <v>8158</v>
      </c>
      <c r="H692" s="240" t="s">
        <v>8159</v>
      </c>
      <c r="I692" s="84" t="s">
        <v>36</v>
      </c>
      <c r="J692" s="252" t="s">
        <v>2034</v>
      </c>
      <c r="K692" s="251"/>
      <c r="L692" s="251"/>
      <c r="M692" s="251"/>
      <c r="N692" s="251"/>
      <c r="O692" s="251"/>
      <c r="P692" s="251"/>
      <c r="Q692" s="251"/>
      <c r="R692" s="251"/>
      <c r="S692" s="251"/>
      <c r="T692" s="251"/>
      <c r="U692" s="251"/>
      <c r="V692" s="251"/>
      <c r="W692" s="251"/>
      <c r="X692" s="251"/>
      <c r="Y692" s="251"/>
      <c r="Z692" s="251"/>
      <c r="AA692" s="251"/>
      <c r="AB692" s="251"/>
    </row>
    <row r="693" ht="14.25" customHeight="1">
      <c r="A693" s="267" t="s">
        <v>8135</v>
      </c>
      <c r="B693" s="108"/>
      <c r="C693" s="242" t="s">
        <v>8175</v>
      </c>
      <c r="D693" s="98" t="s">
        <v>271</v>
      </c>
      <c r="E693" s="240" t="s">
        <v>8138</v>
      </c>
      <c r="F693" s="240" t="s">
        <v>8139</v>
      </c>
      <c r="G693" s="240" t="s">
        <v>8161</v>
      </c>
      <c r="H693" s="268" t="s">
        <v>8162</v>
      </c>
      <c r="I693" s="84" t="s">
        <v>36</v>
      </c>
      <c r="J693" s="252" t="s">
        <v>2034</v>
      </c>
      <c r="K693" s="251"/>
      <c r="L693" s="251"/>
      <c r="M693" s="251"/>
      <c r="N693" s="251"/>
      <c r="O693" s="251"/>
      <c r="P693" s="251"/>
      <c r="Q693" s="251"/>
      <c r="R693" s="251"/>
      <c r="S693" s="251"/>
      <c r="T693" s="251"/>
      <c r="U693" s="251"/>
      <c r="V693" s="251"/>
      <c r="W693" s="251"/>
      <c r="X693" s="251"/>
      <c r="Y693" s="251"/>
      <c r="Z693" s="251"/>
      <c r="AA693" s="251"/>
      <c r="AB693" s="251"/>
    </row>
    <row r="694" ht="14.25" customHeight="1">
      <c r="A694" s="267" t="s">
        <v>8135</v>
      </c>
      <c r="B694" s="108"/>
      <c r="C694" s="242" t="s">
        <v>8176</v>
      </c>
      <c r="D694" s="98" t="s">
        <v>271</v>
      </c>
      <c r="E694" s="240" t="s">
        <v>8138</v>
      </c>
      <c r="F694" s="240" t="s">
        <v>8139</v>
      </c>
      <c r="G694" s="240" t="s">
        <v>8177</v>
      </c>
      <c r="H694" s="240" t="s">
        <v>8156</v>
      </c>
      <c r="I694" s="84" t="s">
        <v>36</v>
      </c>
      <c r="J694" s="252" t="s">
        <v>2034</v>
      </c>
      <c r="K694" s="251"/>
      <c r="L694" s="251"/>
      <c r="M694" s="251"/>
      <c r="N694" s="251"/>
      <c r="O694" s="251"/>
      <c r="P694" s="251"/>
      <c r="Q694" s="251"/>
      <c r="R694" s="251"/>
      <c r="S694" s="251"/>
      <c r="T694" s="251"/>
      <c r="U694" s="251"/>
      <c r="V694" s="251"/>
      <c r="W694" s="251"/>
      <c r="X694" s="251"/>
      <c r="Y694" s="251"/>
      <c r="Z694" s="251"/>
      <c r="AA694" s="251"/>
      <c r="AB694" s="251"/>
    </row>
    <row r="695" ht="14.25" customHeight="1">
      <c r="A695" s="267" t="s">
        <v>8135</v>
      </c>
      <c r="B695" s="108"/>
      <c r="C695" s="242" t="s">
        <v>8178</v>
      </c>
      <c r="D695" s="98" t="s">
        <v>271</v>
      </c>
      <c r="E695" s="240" t="s">
        <v>8138</v>
      </c>
      <c r="F695" s="240" t="s">
        <v>8139</v>
      </c>
      <c r="G695" s="240" t="s">
        <v>8158</v>
      </c>
      <c r="H695" s="240" t="s">
        <v>8159</v>
      </c>
      <c r="I695" s="84" t="s">
        <v>36</v>
      </c>
      <c r="J695" s="252" t="s">
        <v>2034</v>
      </c>
      <c r="K695" s="251"/>
      <c r="L695" s="251"/>
      <c r="M695" s="251"/>
      <c r="N695" s="251"/>
      <c r="O695" s="251"/>
      <c r="P695" s="251"/>
      <c r="Q695" s="251"/>
      <c r="R695" s="251"/>
      <c r="S695" s="251"/>
      <c r="T695" s="251"/>
      <c r="U695" s="251"/>
      <c r="V695" s="251"/>
      <c r="W695" s="251"/>
      <c r="X695" s="251"/>
      <c r="Y695" s="251"/>
      <c r="Z695" s="251"/>
      <c r="AA695" s="251"/>
      <c r="AB695" s="251"/>
    </row>
    <row r="696" ht="14.25" customHeight="1">
      <c r="A696" s="267" t="s">
        <v>8135</v>
      </c>
      <c r="B696" s="108"/>
      <c r="C696" s="242" t="s">
        <v>8179</v>
      </c>
      <c r="D696" s="98" t="s">
        <v>271</v>
      </c>
      <c r="E696" s="240" t="s">
        <v>8138</v>
      </c>
      <c r="F696" s="240" t="s">
        <v>8139</v>
      </c>
      <c r="G696" s="240" t="s">
        <v>8161</v>
      </c>
      <c r="H696" s="268" t="s">
        <v>8162</v>
      </c>
      <c r="I696" s="84" t="s">
        <v>36</v>
      </c>
      <c r="J696" s="252" t="s">
        <v>2034</v>
      </c>
      <c r="K696" s="251"/>
      <c r="L696" s="251"/>
      <c r="M696" s="251"/>
      <c r="N696" s="251"/>
      <c r="O696" s="251"/>
      <c r="P696" s="251"/>
      <c r="Q696" s="251"/>
      <c r="R696" s="251"/>
      <c r="S696" s="251"/>
      <c r="T696" s="251"/>
      <c r="U696" s="251"/>
      <c r="V696" s="251"/>
      <c r="W696" s="251"/>
      <c r="X696" s="251"/>
      <c r="Y696" s="251"/>
      <c r="Z696" s="251"/>
      <c r="AA696" s="251"/>
      <c r="AB696" s="251"/>
    </row>
    <row r="697" ht="14.25" customHeight="1">
      <c r="A697" s="267" t="s">
        <v>8135</v>
      </c>
      <c r="B697" s="108"/>
      <c r="C697" s="242" t="s">
        <v>8180</v>
      </c>
      <c r="D697" s="98" t="s">
        <v>271</v>
      </c>
      <c r="E697" s="240" t="s">
        <v>8138</v>
      </c>
      <c r="F697" s="240" t="s">
        <v>8139</v>
      </c>
      <c r="G697" s="240" t="s">
        <v>8181</v>
      </c>
      <c r="H697" s="268" t="s">
        <v>8182</v>
      </c>
      <c r="I697" s="84" t="s">
        <v>36</v>
      </c>
      <c r="J697" s="252" t="s">
        <v>2034</v>
      </c>
      <c r="K697" s="251"/>
      <c r="L697" s="251"/>
      <c r="M697" s="251"/>
      <c r="N697" s="251"/>
      <c r="O697" s="251"/>
      <c r="P697" s="251"/>
      <c r="Q697" s="251"/>
      <c r="R697" s="251"/>
      <c r="S697" s="251"/>
      <c r="T697" s="251"/>
      <c r="U697" s="251"/>
      <c r="V697" s="251"/>
      <c r="W697" s="251"/>
      <c r="X697" s="251"/>
      <c r="Y697" s="251"/>
      <c r="Z697" s="251"/>
      <c r="AA697" s="251"/>
      <c r="AB697" s="251"/>
    </row>
    <row r="698" ht="14.25" customHeight="1">
      <c r="A698" s="267" t="s">
        <v>8135</v>
      </c>
      <c r="B698" s="108"/>
      <c r="C698" s="242" t="s">
        <v>8183</v>
      </c>
      <c r="D698" s="98" t="s">
        <v>271</v>
      </c>
      <c r="E698" s="240" t="s">
        <v>8138</v>
      </c>
      <c r="F698" s="240" t="s">
        <v>8139</v>
      </c>
      <c r="G698" s="240" t="s">
        <v>8184</v>
      </c>
      <c r="H698" s="240" t="s">
        <v>8185</v>
      </c>
      <c r="I698" s="84" t="s">
        <v>317</v>
      </c>
      <c r="J698" s="252" t="s">
        <v>2034</v>
      </c>
      <c r="K698" s="251"/>
      <c r="L698" s="251"/>
      <c r="M698" s="251"/>
      <c r="N698" s="251"/>
      <c r="O698" s="251"/>
      <c r="P698" s="251"/>
      <c r="Q698" s="251"/>
      <c r="R698" s="251"/>
      <c r="S698" s="251"/>
      <c r="T698" s="251"/>
      <c r="U698" s="251"/>
      <c r="V698" s="251"/>
      <c r="W698" s="251"/>
      <c r="X698" s="251"/>
      <c r="Y698" s="251"/>
      <c r="Z698" s="251"/>
      <c r="AA698" s="251"/>
      <c r="AB698" s="251"/>
    </row>
    <row r="699" ht="14.25" customHeight="1">
      <c r="A699" s="267" t="s">
        <v>8135</v>
      </c>
      <c r="B699" s="108"/>
      <c r="C699" s="242" t="s">
        <v>8186</v>
      </c>
      <c r="D699" s="98" t="s">
        <v>271</v>
      </c>
      <c r="E699" s="240" t="s">
        <v>8138</v>
      </c>
      <c r="F699" s="240" t="s">
        <v>8139</v>
      </c>
      <c r="G699" s="240" t="s">
        <v>8187</v>
      </c>
      <c r="H699" s="240" t="s">
        <v>8188</v>
      </c>
      <c r="I699" s="84" t="s">
        <v>317</v>
      </c>
      <c r="J699" s="252" t="s">
        <v>2034</v>
      </c>
      <c r="K699" s="251"/>
      <c r="L699" s="251"/>
      <c r="M699" s="251"/>
      <c r="N699" s="251"/>
      <c r="O699" s="251"/>
      <c r="P699" s="251"/>
      <c r="Q699" s="251"/>
      <c r="R699" s="251"/>
      <c r="S699" s="251"/>
      <c r="T699" s="251"/>
      <c r="U699" s="251"/>
      <c r="V699" s="251"/>
      <c r="W699" s="251"/>
      <c r="X699" s="251"/>
      <c r="Y699" s="251"/>
      <c r="Z699" s="251"/>
      <c r="AA699" s="251"/>
      <c r="AB699" s="251"/>
    </row>
    <row r="700" ht="14.25" customHeight="1">
      <c r="A700" s="267" t="s">
        <v>8135</v>
      </c>
      <c r="B700" s="108"/>
      <c r="C700" s="242" t="s">
        <v>8189</v>
      </c>
      <c r="D700" s="98" t="s">
        <v>271</v>
      </c>
      <c r="E700" s="240" t="s">
        <v>8138</v>
      </c>
      <c r="F700" s="240" t="s">
        <v>8139</v>
      </c>
      <c r="G700" s="240" t="s">
        <v>8190</v>
      </c>
      <c r="H700" s="240" t="s">
        <v>8191</v>
      </c>
      <c r="I700" s="84" t="s">
        <v>317</v>
      </c>
      <c r="J700" s="252" t="s">
        <v>2034</v>
      </c>
      <c r="K700" s="251"/>
      <c r="L700" s="251"/>
      <c r="M700" s="251"/>
      <c r="N700" s="251"/>
      <c r="O700" s="251"/>
      <c r="P700" s="251"/>
      <c r="Q700" s="251"/>
      <c r="R700" s="251"/>
      <c r="S700" s="251"/>
      <c r="T700" s="251"/>
      <c r="U700" s="251"/>
      <c r="V700" s="251"/>
      <c r="W700" s="251"/>
      <c r="X700" s="251"/>
      <c r="Y700" s="251"/>
      <c r="Z700" s="251"/>
      <c r="AA700" s="251"/>
      <c r="AB700" s="251"/>
    </row>
    <row r="701" ht="14.25" customHeight="1">
      <c r="A701" s="267" t="s">
        <v>8135</v>
      </c>
      <c r="B701" s="108"/>
      <c r="C701" s="242" t="s">
        <v>8192</v>
      </c>
      <c r="D701" s="98" t="s">
        <v>271</v>
      </c>
      <c r="E701" s="240" t="s">
        <v>8138</v>
      </c>
      <c r="F701" s="240" t="s">
        <v>8139</v>
      </c>
      <c r="G701" s="240" t="s">
        <v>8193</v>
      </c>
      <c r="H701" s="240" t="s">
        <v>8194</v>
      </c>
      <c r="I701" s="84" t="s">
        <v>317</v>
      </c>
      <c r="J701" s="252" t="s">
        <v>2034</v>
      </c>
      <c r="K701" s="251"/>
      <c r="L701" s="251"/>
      <c r="M701" s="251"/>
      <c r="N701" s="251"/>
      <c r="O701" s="251"/>
      <c r="P701" s="251"/>
      <c r="Q701" s="251"/>
      <c r="R701" s="251"/>
      <c r="S701" s="251"/>
      <c r="T701" s="251"/>
      <c r="U701" s="251"/>
      <c r="V701" s="251"/>
      <c r="W701" s="251"/>
      <c r="X701" s="251"/>
      <c r="Y701" s="251"/>
      <c r="Z701" s="251"/>
      <c r="AA701" s="251"/>
      <c r="AB701" s="251"/>
    </row>
    <row r="702" ht="14.25" customHeight="1">
      <c r="A702" s="267" t="s">
        <v>8135</v>
      </c>
      <c r="B702" s="108"/>
      <c r="C702" s="242" t="s">
        <v>8195</v>
      </c>
      <c r="D702" s="98" t="s">
        <v>271</v>
      </c>
      <c r="E702" s="240" t="s">
        <v>8138</v>
      </c>
      <c r="F702" s="240" t="s">
        <v>8139</v>
      </c>
      <c r="G702" s="240" t="s">
        <v>8196</v>
      </c>
      <c r="H702" s="240" t="s">
        <v>8197</v>
      </c>
      <c r="I702" s="84" t="s">
        <v>317</v>
      </c>
      <c r="J702" s="252" t="s">
        <v>2034</v>
      </c>
      <c r="K702" s="251"/>
      <c r="L702" s="251"/>
      <c r="M702" s="251"/>
      <c r="N702" s="251"/>
      <c r="O702" s="251"/>
      <c r="P702" s="251"/>
      <c r="Q702" s="251"/>
      <c r="R702" s="251"/>
      <c r="S702" s="251"/>
      <c r="T702" s="251"/>
      <c r="U702" s="251"/>
      <c r="V702" s="251"/>
      <c r="W702" s="251"/>
      <c r="X702" s="251"/>
      <c r="Y702" s="251"/>
      <c r="Z702" s="251"/>
      <c r="AA702" s="251"/>
      <c r="AB702" s="251"/>
    </row>
    <row r="703" ht="14.25" customHeight="1">
      <c r="A703" s="267" t="s">
        <v>8135</v>
      </c>
      <c r="B703" s="108"/>
      <c r="C703" s="242" t="s">
        <v>8198</v>
      </c>
      <c r="D703" s="98" t="s">
        <v>271</v>
      </c>
      <c r="E703" s="240" t="s">
        <v>8138</v>
      </c>
      <c r="F703" s="240" t="s">
        <v>8139</v>
      </c>
      <c r="G703" s="258" t="s">
        <v>8199</v>
      </c>
      <c r="H703" s="240" t="s">
        <v>8200</v>
      </c>
      <c r="I703" s="84" t="s">
        <v>317</v>
      </c>
      <c r="J703" s="252" t="s">
        <v>2034</v>
      </c>
      <c r="K703" s="251"/>
      <c r="L703" s="251"/>
      <c r="M703" s="251"/>
      <c r="N703" s="251"/>
      <c r="O703" s="251"/>
      <c r="P703" s="251"/>
      <c r="Q703" s="251"/>
      <c r="R703" s="251"/>
      <c r="S703" s="251"/>
      <c r="T703" s="251"/>
      <c r="U703" s="251"/>
      <c r="V703" s="251"/>
      <c r="W703" s="251"/>
      <c r="X703" s="251"/>
      <c r="Y703" s="251"/>
      <c r="Z703" s="251"/>
      <c r="AA703" s="251"/>
      <c r="AB703" s="251"/>
    </row>
    <row r="704" ht="14.25" customHeight="1">
      <c r="A704" s="267" t="s">
        <v>8135</v>
      </c>
      <c r="B704" s="108"/>
      <c r="C704" s="242" t="s">
        <v>8201</v>
      </c>
      <c r="D704" s="98" t="s">
        <v>271</v>
      </c>
      <c r="E704" s="240" t="s">
        <v>8138</v>
      </c>
      <c r="F704" s="240" t="s">
        <v>8139</v>
      </c>
      <c r="G704" s="269" t="s">
        <v>8202</v>
      </c>
      <c r="H704" s="240" t="s">
        <v>8203</v>
      </c>
      <c r="I704" s="84" t="s">
        <v>317</v>
      </c>
      <c r="J704" s="252" t="s">
        <v>2034</v>
      </c>
      <c r="K704" s="251"/>
      <c r="L704" s="251"/>
      <c r="M704" s="251"/>
      <c r="N704" s="251"/>
      <c r="O704" s="251"/>
      <c r="P704" s="251"/>
      <c r="Q704" s="251"/>
      <c r="R704" s="251"/>
      <c r="S704" s="251"/>
      <c r="T704" s="251"/>
      <c r="U704" s="251"/>
      <c r="V704" s="251"/>
      <c r="W704" s="251"/>
      <c r="X704" s="251"/>
      <c r="Y704" s="251"/>
      <c r="Z704" s="251"/>
      <c r="AA704" s="251"/>
      <c r="AB704" s="251"/>
    </row>
    <row r="705" ht="14.25" customHeight="1">
      <c r="A705" s="267" t="s">
        <v>8135</v>
      </c>
      <c r="B705" s="109"/>
      <c r="C705" s="242" t="s">
        <v>8204</v>
      </c>
      <c r="D705" s="98" t="s">
        <v>271</v>
      </c>
      <c r="E705" s="240" t="s">
        <v>8138</v>
      </c>
      <c r="F705" s="240" t="s">
        <v>8139</v>
      </c>
      <c r="G705" s="240" t="s">
        <v>8205</v>
      </c>
      <c r="H705" s="240" t="s">
        <v>8206</v>
      </c>
      <c r="I705" s="84" t="s">
        <v>317</v>
      </c>
      <c r="J705" s="252" t="s">
        <v>2034</v>
      </c>
      <c r="K705" s="251"/>
      <c r="L705" s="251"/>
      <c r="M705" s="251"/>
      <c r="N705" s="251"/>
      <c r="O705" s="251"/>
      <c r="P705" s="251"/>
      <c r="Q705" s="251"/>
      <c r="R705" s="251"/>
      <c r="S705" s="251"/>
      <c r="T705" s="251"/>
      <c r="U705" s="251"/>
      <c r="V705" s="251"/>
      <c r="W705" s="251"/>
      <c r="X705" s="251"/>
      <c r="Y705" s="251"/>
      <c r="Z705" s="251"/>
      <c r="AA705" s="251"/>
      <c r="AB705" s="251"/>
    </row>
    <row r="706" ht="14.25" customHeight="1">
      <c r="A706" s="98" t="s">
        <v>8207</v>
      </c>
      <c r="B706" s="257" t="s">
        <v>8208</v>
      </c>
      <c r="C706" s="242" t="s">
        <v>8209</v>
      </c>
      <c r="D706" s="98" t="s">
        <v>271</v>
      </c>
      <c r="E706" s="240" t="s">
        <v>8210</v>
      </c>
      <c r="F706" s="240" t="s">
        <v>8139</v>
      </c>
      <c r="G706" s="240" t="s">
        <v>8211</v>
      </c>
      <c r="H706" s="240" t="s">
        <v>8212</v>
      </c>
      <c r="I706" s="84" t="s">
        <v>36</v>
      </c>
      <c r="J706" s="252" t="s">
        <v>2034</v>
      </c>
      <c r="K706" s="251"/>
      <c r="L706" s="251"/>
      <c r="M706" s="251"/>
      <c r="N706" s="251"/>
      <c r="O706" s="251"/>
      <c r="P706" s="251"/>
      <c r="Q706" s="251"/>
      <c r="R706" s="251"/>
      <c r="S706" s="251"/>
      <c r="T706" s="251"/>
      <c r="U706" s="251"/>
      <c r="V706" s="251"/>
      <c r="W706" s="251"/>
      <c r="X706" s="251"/>
      <c r="Y706" s="251"/>
      <c r="Z706" s="251"/>
      <c r="AA706" s="251"/>
      <c r="AB706" s="251"/>
    </row>
    <row r="707" ht="14.25" customHeight="1">
      <c r="A707" s="98" t="s">
        <v>8207</v>
      </c>
      <c r="B707" s="108"/>
      <c r="C707" s="242" t="s">
        <v>8213</v>
      </c>
      <c r="D707" s="98" t="s">
        <v>271</v>
      </c>
      <c r="E707" s="240" t="s">
        <v>8210</v>
      </c>
      <c r="F707" s="240" t="s">
        <v>8139</v>
      </c>
      <c r="G707" s="240" t="s">
        <v>8214</v>
      </c>
      <c r="H707" s="240" t="s">
        <v>8215</v>
      </c>
      <c r="I707" s="84" t="s">
        <v>36</v>
      </c>
      <c r="J707" s="252" t="s">
        <v>2034</v>
      </c>
      <c r="K707" s="251"/>
      <c r="L707" s="251"/>
      <c r="M707" s="251"/>
      <c r="N707" s="251"/>
      <c r="O707" s="251"/>
      <c r="P707" s="251"/>
      <c r="Q707" s="251"/>
      <c r="R707" s="251"/>
      <c r="S707" s="251"/>
      <c r="T707" s="251"/>
      <c r="U707" s="251"/>
      <c r="V707" s="251"/>
      <c r="W707" s="251"/>
      <c r="X707" s="251"/>
      <c r="Y707" s="251"/>
      <c r="Z707" s="251"/>
      <c r="AA707" s="251"/>
      <c r="AB707" s="251"/>
    </row>
    <row r="708" ht="14.25" customHeight="1">
      <c r="A708" s="98" t="s">
        <v>8207</v>
      </c>
      <c r="B708" s="108"/>
      <c r="C708" s="242" t="s">
        <v>8216</v>
      </c>
      <c r="D708" s="98" t="s">
        <v>271</v>
      </c>
      <c r="E708" s="240" t="s">
        <v>8210</v>
      </c>
      <c r="F708" s="240" t="s">
        <v>8139</v>
      </c>
      <c r="G708" s="240" t="s">
        <v>8217</v>
      </c>
      <c r="H708" s="240" t="s">
        <v>8218</v>
      </c>
      <c r="I708" s="84" t="s">
        <v>36</v>
      </c>
      <c r="J708" s="252" t="s">
        <v>2034</v>
      </c>
      <c r="K708" s="251"/>
      <c r="L708" s="251"/>
      <c r="M708" s="251"/>
      <c r="N708" s="251"/>
      <c r="O708" s="251"/>
      <c r="P708" s="251"/>
      <c r="Q708" s="251"/>
      <c r="R708" s="251"/>
      <c r="S708" s="251"/>
      <c r="T708" s="251"/>
      <c r="U708" s="251"/>
      <c r="V708" s="251"/>
      <c r="W708" s="251"/>
      <c r="X708" s="251"/>
      <c r="Y708" s="251"/>
      <c r="Z708" s="251"/>
      <c r="AA708" s="251"/>
      <c r="AB708" s="251"/>
    </row>
    <row r="709" ht="14.25" customHeight="1">
      <c r="A709" s="98" t="s">
        <v>8207</v>
      </c>
      <c r="B709" s="108"/>
      <c r="C709" s="242" t="s">
        <v>8219</v>
      </c>
      <c r="D709" s="98" t="s">
        <v>271</v>
      </c>
      <c r="E709" s="240" t="s">
        <v>8210</v>
      </c>
      <c r="F709" s="240" t="s">
        <v>8139</v>
      </c>
      <c r="G709" s="240" t="s">
        <v>8220</v>
      </c>
      <c r="H709" s="240" t="s">
        <v>8221</v>
      </c>
      <c r="I709" s="84" t="s">
        <v>36</v>
      </c>
      <c r="J709" s="252" t="s">
        <v>2034</v>
      </c>
      <c r="K709" s="251"/>
      <c r="L709" s="251"/>
      <c r="M709" s="251"/>
      <c r="N709" s="251"/>
      <c r="O709" s="251"/>
      <c r="P709" s="251"/>
      <c r="Q709" s="251"/>
      <c r="R709" s="251"/>
      <c r="S709" s="251"/>
      <c r="T709" s="251"/>
      <c r="U709" s="251"/>
      <c r="V709" s="251"/>
      <c r="W709" s="251"/>
      <c r="X709" s="251"/>
      <c r="Y709" s="251"/>
      <c r="Z709" s="251"/>
      <c r="AA709" s="251"/>
      <c r="AB709" s="251"/>
    </row>
    <row r="710" ht="14.25" customHeight="1">
      <c r="A710" s="98" t="s">
        <v>8207</v>
      </c>
      <c r="B710" s="108"/>
      <c r="C710" s="242" t="s">
        <v>8222</v>
      </c>
      <c r="D710" s="98" t="s">
        <v>271</v>
      </c>
      <c r="E710" s="240" t="s">
        <v>8210</v>
      </c>
      <c r="F710" s="240" t="s">
        <v>8139</v>
      </c>
      <c r="G710" s="240" t="s">
        <v>8223</v>
      </c>
      <c r="H710" s="240" t="s">
        <v>8224</v>
      </c>
      <c r="I710" s="84" t="s">
        <v>36</v>
      </c>
      <c r="J710" s="252" t="s">
        <v>2034</v>
      </c>
      <c r="K710" s="251"/>
      <c r="L710" s="251"/>
      <c r="M710" s="251"/>
      <c r="N710" s="251"/>
      <c r="O710" s="251"/>
      <c r="P710" s="251"/>
      <c r="Q710" s="251"/>
      <c r="R710" s="251"/>
      <c r="S710" s="251"/>
      <c r="T710" s="251"/>
      <c r="U710" s="251"/>
      <c r="V710" s="251"/>
      <c r="W710" s="251"/>
      <c r="X710" s="251"/>
      <c r="Y710" s="251"/>
      <c r="Z710" s="251"/>
      <c r="AA710" s="251"/>
      <c r="AB710" s="251"/>
    </row>
    <row r="711" ht="14.25" customHeight="1">
      <c r="A711" s="98" t="s">
        <v>8207</v>
      </c>
      <c r="B711" s="108"/>
      <c r="C711" s="242" t="s">
        <v>8225</v>
      </c>
      <c r="D711" s="98" t="s">
        <v>271</v>
      </c>
      <c r="E711" s="240" t="s">
        <v>8210</v>
      </c>
      <c r="F711" s="240" t="s">
        <v>8139</v>
      </c>
      <c r="G711" s="240" t="s">
        <v>8226</v>
      </c>
      <c r="H711" s="240" t="s">
        <v>8227</v>
      </c>
      <c r="I711" s="84" t="s">
        <v>36</v>
      </c>
      <c r="J711" s="252" t="s">
        <v>2034</v>
      </c>
      <c r="K711" s="251"/>
      <c r="L711" s="251"/>
      <c r="M711" s="251"/>
      <c r="N711" s="251"/>
      <c r="O711" s="251"/>
      <c r="P711" s="251"/>
      <c r="Q711" s="251"/>
      <c r="R711" s="251"/>
      <c r="S711" s="251"/>
      <c r="T711" s="251"/>
      <c r="U711" s="251"/>
      <c r="V711" s="251"/>
      <c r="W711" s="251"/>
      <c r="X711" s="251"/>
      <c r="Y711" s="251"/>
      <c r="Z711" s="251"/>
      <c r="AA711" s="251"/>
      <c r="AB711" s="251"/>
    </row>
    <row r="712" ht="14.25" customHeight="1">
      <c r="A712" s="98" t="s">
        <v>8207</v>
      </c>
      <c r="B712" s="108"/>
      <c r="C712" s="242" t="s">
        <v>8228</v>
      </c>
      <c r="D712" s="98" t="s">
        <v>271</v>
      </c>
      <c r="E712" s="240" t="s">
        <v>8210</v>
      </c>
      <c r="F712" s="240" t="s">
        <v>8139</v>
      </c>
      <c r="G712" s="240" t="s">
        <v>8229</v>
      </c>
      <c r="H712" s="240" t="s">
        <v>8230</v>
      </c>
      <c r="I712" s="84" t="s">
        <v>36</v>
      </c>
      <c r="J712" s="252" t="s">
        <v>2034</v>
      </c>
      <c r="K712" s="251"/>
      <c r="L712" s="251"/>
      <c r="M712" s="251"/>
      <c r="N712" s="251"/>
      <c r="O712" s="251"/>
      <c r="P712" s="251"/>
      <c r="Q712" s="251"/>
      <c r="R712" s="251"/>
      <c r="S712" s="251"/>
      <c r="T712" s="251"/>
      <c r="U712" s="251"/>
      <c r="V712" s="251"/>
      <c r="W712" s="251"/>
      <c r="X712" s="251"/>
      <c r="Y712" s="251"/>
      <c r="Z712" s="251"/>
      <c r="AA712" s="251"/>
      <c r="AB712" s="251"/>
    </row>
    <row r="713" ht="14.25" customHeight="1">
      <c r="A713" s="98" t="s">
        <v>8207</v>
      </c>
      <c r="B713" s="109"/>
      <c r="C713" s="242" t="s">
        <v>8231</v>
      </c>
      <c r="D713" s="98" t="s">
        <v>271</v>
      </c>
      <c r="E713" s="240" t="s">
        <v>8210</v>
      </c>
      <c r="F713" s="240" t="s">
        <v>8139</v>
      </c>
      <c r="G713" s="240" t="s">
        <v>8232</v>
      </c>
      <c r="H713" s="240" t="s">
        <v>8233</v>
      </c>
      <c r="I713" s="84" t="s">
        <v>36</v>
      </c>
      <c r="J713" s="252" t="s">
        <v>2034</v>
      </c>
      <c r="K713" s="251"/>
      <c r="L713" s="251"/>
      <c r="M713" s="251"/>
      <c r="N713" s="251"/>
      <c r="O713" s="251"/>
      <c r="P713" s="251"/>
      <c r="Q713" s="251"/>
      <c r="R713" s="251"/>
      <c r="S713" s="251"/>
      <c r="T713" s="251"/>
      <c r="U713" s="251"/>
      <c r="V713" s="251"/>
      <c r="W713" s="251"/>
      <c r="X713" s="251"/>
      <c r="Y713" s="251"/>
      <c r="Z713" s="251"/>
      <c r="AA713" s="251"/>
      <c r="AB713" s="251"/>
    </row>
    <row r="714" ht="14.25" customHeight="1">
      <c r="A714" s="98"/>
      <c r="B714" s="254"/>
      <c r="C714" s="242" t="s">
        <v>8234</v>
      </c>
      <c r="D714" s="98" t="s">
        <v>271</v>
      </c>
      <c r="E714" s="240" t="s">
        <v>8235</v>
      </c>
      <c r="F714" s="240" t="s">
        <v>8139</v>
      </c>
      <c r="G714" s="240" t="s">
        <v>8236</v>
      </c>
      <c r="H714" s="240" t="s">
        <v>8237</v>
      </c>
      <c r="I714" s="84" t="s">
        <v>317</v>
      </c>
      <c r="J714" s="252" t="s">
        <v>2034</v>
      </c>
      <c r="K714" s="251"/>
      <c r="L714" s="251"/>
      <c r="M714" s="251"/>
      <c r="N714" s="251"/>
      <c r="O714" s="251"/>
      <c r="P714" s="251"/>
      <c r="Q714" s="251"/>
      <c r="R714" s="251"/>
      <c r="S714" s="251"/>
      <c r="T714" s="251"/>
      <c r="U714" s="251"/>
      <c r="V714" s="251"/>
      <c r="W714" s="251"/>
      <c r="X714" s="251"/>
      <c r="Y714" s="251"/>
      <c r="Z714" s="251"/>
      <c r="AA714" s="251"/>
      <c r="AB714" s="251"/>
    </row>
    <row r="715" ht="14.25" customHeight="1">
      <c r="A715" s="98" t="s">
        <v>8238</v>
      </c>
      <c r="B715" s="257" t="s">
        <v>8239</v>
      </c>
      <c r="C715" s="242" t="s">
        <v>8240</v>
      </c>
      <c r="D715" s="98" t="s">
        <v>271</v>
      </c>
      <c r="E715" s="240" t="s">
        <v>8241</v>
      </c>
      <c r="F715" s="240" t="s">
        <v>8242</v>
      </c>
      <c r="G715" s="240" t="s">
        <v>8243</v>
      </c>
      <c r="H715" s="240" t="s">
        <v>8244</v>
      </c>
      <c r="I715" s="84" t="s">
        <v>36</v>
      </c>
      <c r="J715" s="252" t="s">
        <v>2034</v>
      </c>
      <c r="K715" s="251"/>
      <c r="L715" s="251"/>
      <c r="M715" s="251"/>
      <c r="N715" s="251"/>
      <c r="O715" s="251"/>
      <c r="P715" s="251"/>
      <c r="Q715" s="251"/>
      <c r="R715" s="251"/>
      <c r="S715" s="251"/>
      <c r="T715" s="251"/>
      <c r="U715" s="251"/>
      <c r="V715" s="251"/>
      <c r="W715" s="251"/>
      <c r="X715" s="251"/>
      <c r="Y715" s="251"/>
      <c r="Z715" s="251"/>
      <c r="AA715" s="251"/>
      <c r="AB715" s="251"/>
    </row>
    <row r="716" ht="14.25" customHeight="1">
      <c r="A716" s="98" t="s">
        <v>8238</v>
      </c>
      <c r="B716" s="108"/>
      <c r="C716" s="242" t="s">
        <v>8245</v>
      </c>
      <c r="D716" s="98" t="s">
        <v>271</v>
      </c>
      <c r="E716" s="240" t="s">
        <v>8241</v>
      </c>
      <c r="F716" s="240" t="s">
        <v>8242</v>
      </c>
      <c r="G716" s="240" t="s">
        <v>8246</v>
      </c>
      <c r="H716" s="240" t="s">
        <v>8247</v>
      </c>
      <c r="I716" s="84" t="s">
        <v>36</v>
      </c>
      <c r="J716" s="252" t="s">
        <v>2034</v>
      </c>
      <c r="K716" s="251"/>
      <c r="L716" s="251"/>
      <c r="M716" s="251"/>
      <c r="N716" s="251"/>
      <c r="O716" s="251"/>
      <c r="P716" s="251"/>
      <c r="Q716" s="251"/>
      <c r="R716" s="251"/>
      <c r="S716" s="251"/>
      <c r="T716" s="251"/>
      <c r="U716" s="251"/>
      <c r="V716" s="251"/>
      <c r="W716" s="251"/>
      <c r="X716" s="251"/>
      <c r="Y716" s="251"/>
      <c r="Z716" s="251"/>
      <c r="AA716" s="251"/>
      <c r="AB716" s="251"/>
    </row>
    <row r="717" ht="14.25" customHeight="1">
      <c r="A717" s="98" t="s">
        <v>8238</v>
      </c>
      <c r="B717" s="108"/>
      <c r="C717" s="242" t="s">
        <v>8248</v>
      </c>
      <c r="D717" s="98" t="s">
        <v>271</v>
      </c>
      <c r="E717" s="240" t="s">
        <v>8241</v>
      </c>
      <c r="F717" s="240" t="s">
        <v>8249</v>
      </c>
      <c r="G717" s="240" t="s">
        <v>8152</v>
      </c>
      <c r="H717" s="240" t="s">
        <v>8250</v>
      </c>
      <c r="I717" s="84" t="s">
        <v>36</v>
      </c>
      <c r="J717" s="252" t="s">
        <v>2034</v>
      </c>
      <c r="K717" s="251"/>
      <c r="L717" s="251"/>
      <c r="M717" s="251"/>
      <c r="N717" s="251"/>
      <c r="O717" s="251"/>
      <c r="P717" s="251"/>
      <c r="Q717" s="251"/>
      <c r="R717" s="251"/>
      <c r="S717" s="251"/>
      <c r="T717" s="251"/>
      <c r="U717" s="251"/>
      <c r="V717" s="251"/>
      <c r="W717" s="251"/>
      <c r="X717" s="251"/>
      <c r="Y717" s="251"/>
      <c r="Z717" s="251"/>
      <c r="AA717" s="251"/>
      <c r="AB717" s="251"/>
    </row>
    <row r="718" ht="14.25" customHeight="1">
      <c r="A718" s="98" t="s">
        <v>8238</v>
      </c>
      <c r="B718" s="108"/>
      <c r="C718" s="242" t="s">
        <v>8251</v>
      </c>
      <c r="D718" s="98" t="s">
        <v>271</v>
      </c>
      <c r="E718" s="240" t="s">
        <v>8241</v>
      </c>
      <c r="F718" s="240" t="s">
        <v>8249</v>
      </c>
      <c r="G718" s="240" t="s">
        <v>8252</v>
      </c>
      <c r="H718" s="240" t="s">
        <v>8253</v>
      </c>
      <c r="I718" s="84" t="s">
        <v>36</v>
      </c>
      <c r="J718" s="252" t="s">
        <v>2034</v>
      </c>
      <c r="K718" s="251"/>
      <c r="L718" s="251"/>
      <c r="M718" s="251"/>
      <c r="N718" s="251"/>
      <c r="O718" s="251"/>
      <c r="P718" s="251"/>
      <c r="Q718" s="251"/>
      <c r="R718" s="251"/>
      <c r="S718" s="251"/>
      <c r="T718" s="251"/>
      <c r="U718" s="251"/>
      <c r="V718" s="251"/>
      <c r="W718" s="251"/>
      <c r="X718" s="251"/>
      <c r="Y718" s="251"/>
      <c r="Z718" s="251"/>
      <c r="AA718" s="251"/>
      <c r="AB718" s="251"/>
    </row>
    <row r="719" ht="14.25" customHeight="1">
      <c r="A719" s="98" t="s">
        <v>8238</v>
      </c>
      <c r="B719" s="108"/>
      <c r="C719" s="242" t="s">
        <v>8254</v>
      </c>
      <c r="D719" s="98" t="s">
        <v>271</v>
      </c>
      <c r="E719" s="240" t="s">
        <v>8241</v>
      </c>
      <c r="F719" s="240" t="s">
        <v>8249</v>
      </c>
      <c r="G719" s="240" t="s">
        <v>8255</v>
      </c>
      <c r="H719" s="240" t="s">
        <v>8256</v>
      </c>
      <c r="I719" s="84" t="s">
        <v>36</v>
      </c>
      <c r="J719" s="252" t="s">
        <v>2034</v>
      </c>
      <c r="K719" s="251"/>
      <c r="L719" s="251"/>
      <c r="M719" s="251"/>
      <c r="N719" s="251"/>
      <c r="O719" s="251"/>
      <c r="P719" s="251"/>
      <c r="Q719" s="251"/>
      <c r="R719" s="251"/>
      <c r="S719" s="251"/>
      <c r="T719" s="251"/>
      <c r="U719" s="251"/>
      <c r="V719" s="251"/>
      <c r="W719" s="251"/>
      <c r="X719" s="251"/>
      <c r="Y719" s="251"/>
      <c r="Z719" s="251"/>
      <c r="AA719" s="251"/>
      <c r="AB719" s="251"/>
    </row>
    <row r="720" ht="14.25" customHeight="1">
      <c r="A720" s="98" t="s">
        <v>8238</v>
      </c>
      <c r="B720" s="108"/>
      <c r="C720" s="242" t="s">
        <v>8257</v>
      </c>
      <c r="D720" s="98" t="s">
        <v>271</v>
      </c>
      <c r="E720" s="240" t="s">
        <v>8241</v>
      </c>
      <c r="F720" s="240" t="s">
        <v>8249</v>
      </c>
      <c r="G720" s="240" t="s">
        <v>8161</v>
      </c>
      <c r="H720" s="240" t="s">
        <v>8258</v>
      </c>
      <c r="I720" s="84" t="s">
        <v>36</v>
      </c>
      <c r="J720" s="252" t="s">
        <v>2034</v>
      </c>
      <c r="K720" s="251"/>
      <c r="L720" s="251"/>
      <c r="M720" s="251"/>
      <c r="N720" s="251"/>
      <c r="O720" s="251"/>
      <c r="P720" s="251"/>
      <c r="Q720" s="251"/>
      <c r="R720" s="251"/>
      <c r="S720" s="251"/>
      <c r="T720" s="251"/>
      <c r="U720" s="251"/>
      <c r="V720" s="251"/>
      <c r="W720" s="251"/>
      <c r="X720" s="251"/>
      <c r="Y720" s="251"/>
      <c r="Z720" s="251"/>
      <c r="AA720" s="251"/>
      <c r="AB720" s="251"/>
    </row>
    <row r="721" ht="14.25" customHeight="1">
      <c r="A721" s="98" t="s">
        <v>8238</v>
      </c>
      <c r="B721" s="108"/>
      <c r="C721" s="242" t="s">
        <v>8259</v>
      </c>
      <c r="D721" s="98" t="s">
        <v>271</v>
      </c>
      <c r="E721" s="240" t="s">
        <v>8241</v>
      </c>
      <c r="F721" s="240" t="s">
        <v>8249</v>
      </c>
      <c r="G721" s="240" t="s">
        <v>8260</v>
      </c>
      <c r="H721" s="240" t="s">
        <v>8261</v>
      </c>
      <c r="I721" s="84" t="s">
        <v>36</v>
      </c>
      <c r="J721" s="252" t="s">
        <v>2034</v>
      </c>
      <c r="K721" s="251"/>
      <c r="L721" s="251"/>
      <c r="M721" s="251"/>
      <c r="N721" s="251"/>
      <c r="O721" s="251"/>
      <c r="P721" s="251"/>
      <c r="Q721" s="251"/>
      <c r="R721" s="251"/>
      <c r="S721" s="251"/>
      <c r="T721" s="251"/>
      <c r="U721" s="251"/>
      <c r="V721" s="251"/>
      <c r="W721" s="251"/>
      <c r="X721" s="251"/>
      <c r="Y721" s="251"/>
      <c r="Z721" s="251"/>
      <c r="AA721" s="251"/>
      <c r="AB721" s="251"/>
    </row>
    <row r="722" ht="14.25" customHeight="1">
      <c r="A722" s="98" t="s">
        <v>8238</v>
      </c>
      <c r="B722" s="108"/>
      <c r="C722" s="242" t="s">
        <v>8262</v>
      </c>
      <c r="D722" s="98" t="s">
        <v>271</v>
      </c>
      <c r="E722" s="240" t="s">
        <v>8241</v>
      </c>
      <c r="F722" s="240" t="s">
        <v>8249</v>
      </c>
      <c r="G722" s="240" t="s">
        <v>8263</v>
      </c>
      <c r="H722" s="240" t="s">
        <v>8264</v>
      </c>
      <c r="I722" s="84" t="s">
        <v>36</v>
      </c>
      <c r="J722" s="252" t="s">
        <v>2034</v>
      </c>
      <c r="K722" s="251"/>
      <c r="L722" s="251"/>
      <c r="M722" s="251"/>
      <c r="N722" s="251"/>
      <c r="O722" s="251"/>
      <c r="P722" s="251"/>
      <c r="Q722" s="251"/>
      <c r="R722" s="251"/>
      <c r="S722" s="251"/>
      <c r="T722" s="251"/>
      <c r="U722" s="251"/>
      <c r="V722" s="251"/>
      <c r="W722" s="251"/>
      <c r="X722" s="251"/>
      <c r="Y722" s="251"/>
      <c r="Z722" s="251"/>
      <c r="AA722" s="251"/>
      <c r="AB722" s="251"/>
    </row>
    <row r="723" ht="14.25" customHeight="1">
      <c r="A723" s="98" t="s">
        <v>8238</v>
      </c>
      <c r="B723" s="108"/>
      <c r="C723" s="242" t="s">
        <v>8265</v>
      </c>
      <c r="D723" s="98" t="s">
        <v>271</v>
      </c>
      <c r="E723" s="240" t="s">
        <v>8241</v>
      </c>
      <c r="F723" s="240" t="s">
        <v>8249</v>
      </c>
      <c r="G723" s="240" t="s">
        <v>8266</v>
      </c>
      <c r="H723" s="240" t="s">
        <v>8267</v>
      </c>
      <c r="I723" s="84" t="s">
        <v>317</v>
      </c>
      <c r="J723" s="252" t="s">
        <v>2034</v>
      </c>
      <c r="K723" s="251"/>
      <c r="L723" s="251"/>
      <c r="M723" s="251"/>
      <c r="N723" s="251"/>
      <c r="O723" s="251"/>
      <c r="P723" s="251"/>
      <c r="Q723" s="251"/>
      <c r="R723" s="251"/>
      <c r="S723" s="251"/>
      <c r="T723" s="251"/>
      <c r="U723" s="251"/>
      <c r="V723" s="251"/>
      <c r="W723" s="251"/>
      <c r="X723" s="251"/>
      <c r="Y723" s="251"/>
      <c r="Z723" s="251"/>
      <c r="AA723" s="251"/>
      <c r="AB723" s="251"/>
    </row>
    <row r="724" ht="14.25" customHeight="1">
      <c r="A724" s="98" t="s">
        <v>8238</v>
      </c>
      <c r="B724" s="108"/>
      <c r="C724" s="242" t="s">
        <v>8268</v>
      </c>
      <c r="D724" s="98" t="s">
        <v>271</v>
      </c>
      <c r="E724" s="240" t="s">
        <v>8241</v>
      </c>
      <c r="F724" s="240" t="s">
        <v>8269</v>
      </c>
      <c r="G724" s="240" t="s">
        <v>8270</v>
      </c>
      <c r="H724" s="240" t="s">
        <v>8271</v>
      </c>
      <c r="I724" s="84" t="s">
        <v>36</v>
      </c>
      <c r="J724" s="252" t="s">
        <v>2034</v>
      </c>
      <c r="K724" s="251"/>
      <c r="L724" s="251"/>
      <c r="M724" s="251"/>
      <c r="N724" s="251"/>
      <c r="O724" s="251"/>
      <c r="P724" s="251"/>
      <c r="Q724" s="251"/>
      <c r="R724" s="251"/>
      <c r="S724" s="251"/>
      <c r="T724" s="251"/>
      <c r="U724" s="251"/>
      <c r="V724" s="251"/>
      <c r="W724" s="251"/>
      <c r="X724" s="251"/>
      <c r="Y724" s="251"/>
      <c r="Z724" s="251"/>
      <c r="AA724" s="251"/>
      <c r="AB724" s="251"/>
    </row>
    <row r="725" ht="14.25" customHeight="1">
      <c r="A725" s="98" t="s">
        <v>8238</v>
      </c>
      <c r="B725" s="108"/>
      <c r="C725" s="242" t="s">
        <v>8272</v>
      </c>
      <c r="D725" s="98" t="s">
        <v>271</v>
      </c>
      <c r="E725" s="240" t="s">
        <v>8241</v>
      </c>
      <c r="F725" s="240" t="s">
        <v>8273</v>
      </c>
      <c r="G725" s="240" t="s">
        <v>8274</v>
      </c>
      <c r="H725" s="240" t="s">
        <v>8275</v>
      </c>
      <c r="I725" s="84" t="s">
        <v>36</v>
      </c>
      <c r="J725" s="252" t="s">
        <v>2034</v>
      </c>
      <c r="K725" s="251"/>
      <c r="L725" s="251"/>
      <c r="M725" s="251"/>
      <c r="N725" s="251"/>
      <c r="O725" s="251"/>
      <c r="P725" s="251"/>
      <c r="Q725" s="251"/>
      <c r="R725" s="251"/>
      <c r="S725" s="251"/>
      <c r="T725" s="251"/>
      <c r="U725" s="251"/>
      <c r="V725" s="251"/>
      <c r="W725" s="251"/>
      <c r="X725" s="251"/>
      <c r="Y725" s="251"/>
      <c r="Z725" s="251"/>
      <c r="AA725" s="251"/>
      <c r="AB725" s="251"/>
    </row>
    <row r="726" ht="14.25" customHeight="1">
      <c r="A726" s="98" t="s">
        <v>8238</v>
      </c>
      <c r="B726" s="108"/>
      <c r="C726" s="242" t="s">
        <v>8276</v>
      </c>
      <c r="D726" s="98" t="s">
        <v>271</v>
      </c>
      <c r="E726" s="240" t="s">
        <v>8241</v>
      </c>
      <c r="F726" s="240" t="s">
        <v>8273</v>
      </c>
      <c r="G726" s="240" t="s">
        <v>8170</v>
      </c>
      <c r="H726" s="240" t="s">
        <v>8277</v>
      </c>
      <c r="I726" s="84" t="s">
        <v>36</v>
      </c>
      <c r="J726" s="252" t="s">
        <v>2034</v>
      </c>
      <c r="K726" s="251"/>
      <c r="L726" s="251"/>
      <c r="M726" s="251"/>
      <c r="N726" s="251"/>
      <c r="O726" s="251"/>
      <c r="P726" s="251"/>
      <c r="Q726" s="251"/>
      <c r="R726" s="251"/>
      <c r="S726" s="251"/>
      <c r="T726" s="251"/>
      <c r="U726" s="251"/>
      <c r="V726" s="251"/>
      <c r="W726" s="251"/>
      <c r="X726" s="251"/>
      <c r="Y726" s="251"/>
      <c r="Z726" s="251"/>
      <c r="AA726" s="251"/>
      <c r="AB726" s="251"/>
    </row>
    <row r="727" ht="14.25" customHeight="1">
      <c r="A727" s="98" t="s">
        <v>8238</v>
      </c>
      <c r="B727" s="108"/>
      <c r="C727" s="242" t="s">
        <v>8278</v>
      </c>
      <c r="D727" s="98" t="s">
        <v>271</v>
      </c>
      <c r="E727" s="240" t="s">
        <v>8241</v>
      </c>
      <c r="F727" s="240" t="s">
        <v>8279</v>
      </c>
      <c r="G727" s="240" t="s">
        <v>8280</v>
      </c>
      <c r="H727" s="240" t="s">
        <v>8281</v>
      </c>
      <c r="I727" s="84" t="s">
        <v>317</v>
      </c>
      <c r="J727" s="252" t="s">
        <v>2034</v>
      </c>
      <c r="K727" s="251"/>
      <c r="L727" s="251"/>
      <c r="M727" s="251"/>
      <c r="N727" s="251"/>
      <c r="O727" s="251"/>
      <c r="P727" s="251"/>
      <c r="Q727" s="251"/>
      <c r="R727" s="251"/>
      <c r="S727" s="251"/>
      <c r="T727" s="251"/>
      <c r="U727" s="251"/>
      <c r="V727" s="251"/>
      <c r="W727" s="251"/>
      <c r="X727" s="251"/>
      <c r="Y727" s="251"/>
      <c r="Z727" s="251"/>
      <c r="AA727" s="251"/>
      <c r="AB727" s="251"/>
    </row>
    <row r="728" ht="14.25" customHeight="1">
      <c r="A728" s="98" t="s">
        <v>8238</v>
      </c>
      <c r="B728" s="108"/>
      <c r="C728" s="242" t="s">
        <v>8282</v>
      </c>
      <c r="D728" s="98" t="s">
        <v>271</v>
      </c>
      <c r="E728" s="240" t="s">
        <v>8241</v>
      </c>
      <c r="F728" s="240" t="s">
        <v>8279</v>
      </c>
      <c r="G728" s="240" t="s">
        <v>8187</v>
      </c>
      <c r="H728" s="240" t="s">
        <v>8283</v>
      </c>
      <c r="I728" s="84" t="s">
        <v>317</v>
      </c>
      <c r="J728" s="252" t="s">
        <v>2034</v>
      </c>
      <c r="K728" s="251"/>
      <c r="L728" s="251"/>
      <c r="M728" s="251"/>
      <c r="N728" s="251"/>
      <c r="O728" s="251"/>
      <c r="P728" s="251"/>
      <c r="Q728" s="251"/>
      <c r="R728" s="251"/>
      <c r="S728" s="251"/>
      <c r="T728" s="251"/>
      <c r="U728" s="251"/>
      <c r="V728" s="251"/>
      <c r="W728" s="251"/>
      <c r="X728" s="251"/>
      <c r="Y728" s="251"/>
      <c r="Z728" s="251"/>
      <c r="AA728" s="251"/>
      <c r="AB728" s="251"/>
    </row>
    <row r="729" ht="14.25" customHeight="1">
      <c r="A729" s="98" t="s">
        <v>8238</v>
      </c>
      <c r="B729" s="108"/>
      <c r="C729" s="242" t="s">
        <v>8284</v>
      </c>
      <c r="D729" s="98" t="s">
        <v>271</v>
      </c>
      <c r="E729" s="240" t="s">
        <v>8241</v>
      </c>
      <c r="F729" s="240" t="s">
        <v>8279</v>
      </c>
      <c r="G729" s="240" t="s">
        <v>8190</v>
      </c>
      <c r="H729" s="240" t="s">
        <v>8285</v>
      </c>
      <c r="I729" s="84" t="s">
        <v>317</v>
      </c>
      <c r="J729" s="252" t="s">
        <v>2034</v>
      </c>
      <c r="K729" s="251"/>
      <c r="L729" s="251"/>
      <c r="M729" s="251"/>
      <c r="N729" s="251"/>
      <c r="O729" s="251"/>
      <c r="P729" s="251"/>
      <c r="Q729" s="251"/>
      <c r="R729" s="251"/>
      <c r="S729" s="251"/>
      <c r="T729" s="251"/>
      <c r="U729" s="251"/>
      <c r="V729" s="251"/>
      <c r="W729" s="251"/>
      <c r="X729" s="251"/>
      <c r="Y729" s="251"/>
      <c r="Z729" s="251"/>
      <c r="AA729" s="251"/>
      <c r="AB729" s="251"/>
    </row>
    <row r="730" ht="14.25" customHeight="1">
      <c r="A730" s="98" t="s">
        <v>8238</v>
      </c>
      <c r="B730" s="108"/>
      <c r="C730" s="242" t="s">
        <v>8286</v>
      </c>
      <c r="D730" s="98" t="s">
        <v>271</v>
      </c>
      <c r="E730" s="240" t="s">
        <v>8241</v>
      </c>
      <c r="F730" s="240" t="s">
        <v>8279</v>
      </c>
      <c r="G730" s="240" t="s">
        <v>8193</v>
      </c>
      <c r="H730" s="240" t="s">
        <v>8287</v>
      </c>
      <c r="I730" s="84" t="s">
        <v>317</v>
      </c>
      <c r="J730" s="252" t="s">
        <v>2034</v>
      </c>
      <c r="K730" s="251"/>
      <c r="L730" s="251"/>
      <c r="M730" s="251"/>
      <c r="N730" s="251"/>
      <c r="O730" s="251"/>
      <c r="P730" s="251"/>
      <c r="Q730" s="251"/>
      <c r="R730" s="251"/>
      <c r="S730" s="251"/>
      <c r="T730" s="251"/>
      <c r="U730" s="251"/>
      <c r="V730" s="251"/>
      <c r="W730" s="251"/>
      <c r="X730" s="251"/>
      <c r="Y730" s="251"/>
      <c r="Z730" s="251"/>
      <c r="AA730" s="251"/>
      <c r="AB730" s="251"/>
    </row>
    <row r="731" ht="14.25" customHeight="1">
      <c r="A731" s="98" t="s">
        <v>8238</v>
      </c>
      <c r="B731" s="108"/>
      <c r="C731" s="242" t="s">
        <v>8288</v>
      </c>
      <c r="D731" s="98" t="s">
        <v>271</v>
      </c>
      <c r="E731" s="240" t="s">
        <v>8241</v>
      </c>
      <c r="F731" s="240" t="s">
        <v>8279</v>
      </c>
      <c r="G731" s="240" t="s">
        <v>8196</v>
      </c>
      <c r="H731" s="240" t="s">
        <v>8289</v>
      </c>
      <c r="I731" s="84" t="s">
        <v>317</v>
      </c>
      <c r="J731" s="252" t="s">
        <v>2034</v>
      </c>
      <c r="K731" s="251"/>
      <c r="L731" s="251"/>
      <c r="M731" s="251"/>
      <c r="N731" s="251"/>
      <c r="O731" s="251"/>
      <c r="P731" s="251"/>
      <c r="Q731" s="251"/>
      <c r="R731" s="251"/>
      <c r="S731" s="251"/>
      <c r="T731" s="251"/>
      <c r="U731" s="251"/>
      <c r="V731" s="251"/>
      <c r="W731" s="251"/>
      <c r="X731" s="251"/>
      <c r="Y731" s="251"/>
      <c r="Z731" s="251"/>
      <c r="AA731" s="251"/>
      <c r="AB731" s="251"/>
    </row>
    <row r="732" ht="14.25" customHeight="1">
      <c r="A732" s="98" t="s">
        <v>8238</v>
      </c>
      <c r="B732" s="108"/>
      <c r="C732" s="242" t="s">
        <v>8290</v>
      </c>
      <c r="D732" s="98" t="s">
        <v>271</v>
      </c>
      <c r="E732" s="240" t="s">
        <v>8241</v>
      </c>
      <c r="F732" s="240" t="s">
        <v>8279</v>
      </c>
      <c r="G732" s="240" t="s">
        <v>8199</v>
      </c>
      <c r="H732" s="240" t="s">
        <v>8291</v>
      </c>
      <c r="I732" s="84" t="s">
        <v>317</v>
      </c>
      <c r="J732" s="252" t="s">
        <v>2034</v>
      </c>
      <c r="K732" s="251"/>
      <c r="L732" s="251"/>
      <c r="M732" s="251"/>
      <c r="N732" s="251"/>
      <c r="O732" s="251"/>
      <c r="P732" s="251"/>
      <c r="Q732" s="251"/>
      <c r="R732" s="251"/>
      <c r="S732" s="251"/>
      <c r="T732" s="251"/>
      <c r="U732" s="251"/>
      <c r="V732" s="251"/>
      <c r="W732" s="251"/>
      <c r="X732" s="251"/>
      <c r="Y732" s="251"/>
      <c r="Z732" s="251"/>
      <c r="AA732" s="251"/>
      <c r="AB732" s="251"/>
    </row>
    <row r="733" ht="14.25" customHeight="1">
      <c r="A733" s="98" t="s">
        <v>8238</v>
      </c>
      <c r="B733" s="108"/>
      <c r="C733" s="242" t="s">
        <v>8292</v>
      </c>
      <c r="D733" s="98" t="s">
        <v>271</v>
      </c>
      <c r="E733" s="240" t="s">
        <v>8241</v>
      </c>
      <c r="F733" s="240" t="s">
        <v>8279</v>
      </c>
      <c r="G733" s="240" t="s">
        <v>8202</v>
      </c>
      <c r="H733" s="240" t="s">
        <v>8293</v>
      </c>
      <c r="I733" s="84" t="s">
        <v>317</v>
      </c>
      <c r="J733" s="252" t="s">
        <v>2034</v>
      </c>
      <c r="K733" s="251"/>
      <c r="L733" s="251"/>
      <c r="M733" s="251"/>
      <c r="N733" s="251"/>
      <c r="O733" s="251"/>
      <c r="P733" s="251"/>
      <c r="Q733" s="251"/>
      <c r="R733" s="251"/>
      <c r="S733" s="251"/>
      <c r="T733" s="251"/>
      <c r="U733" s="251"/>
      <c r="V733" s="251"/>
      <c r="W733" s="251"/>
      <c r="X733" s="251"/>
      <c r="Y733" s="251"/>
      <c r="Z733" s="251"/>
      <c r="AA733" s="251"/>
      <c r="AB733" s="251"/>
    </row>
    <row r="734" ht="14.25" customHeight="1">
      <c r="A734" s="98" t="s">
        <v>8238</v>
      </c>
      <c r="B734" s="109"/>
      <c r="C734" s="242" t="s">
        <v>8294</v>
      </c>
      <c r="D734" s="98" t="s">
        <v>271</v>
      </c>
      <c r="E734" s="240" t="s">
        <v>8241</v>
      </c>
      <c r="F734" s="240" t="s">
        <v>8279</v>
      </c>
      <c r="G734" s="240" t="s">
        <v>8205</v>
      </c>
      <c r="H734" s="240" t="s">
        <v>8295</v>
      </c>
      <c r="I734" s="84" t="s">
        <v>317</v>
      </c>
      <c r="J734" s="252" t="s">
        <v>2034</v>
      </c>
      <c r="K734" s="251"/>
      <c r="L734" s="251"/>
      <c r="M734" s="251"/>
      <c r="N734" s="251"/>
      <c r="O734" s="251"/>
      <c r="P734" s="251"/>
      <c r="Q734" s="251"/>
      <c r="R734" s="251"/>
      <c r="S734" s="251"/>
      <c r="T734" s="251"/>
      <c r="U734" s="251"/>
      <c r="V734" s="251"/>
      <c r="W734" s="251"/>
      <c r="X734" s="251"/>
      <c r="Y734" s="251"/>
      <c r="Z734" s="251"/>
      <c r="AA734" s="251"/>
      <c r="AB734" s="251"/>
    </row>
    <row r="735" ht="14.25" customHeight="1">
      <c r="A735" s="251"/>
      <c r="B735" s="263"/>
      <c r="C735" s="242" t="s">
        <v>8296</v>
      </c>
      <c r="D735" s="98" t="s">
        <v>271</v>
      </c>
      <c r="E735" s="240" t="s">
        <v>8241</v>
      </c>
      <c r="F735" s="240" t="s">
        <v>8249</v>
      </c>
      <c r="G735" s="240" t="s">
        <v>8297</v>
      </c>
      <c r="H735" s="240" t="s">
        <v>8298</v>
      </c>
      <c r="I735" s="84" t="s">
        <v>317</v>
      </c>
      <c r="J735" s="98" t="s">
        <v>1784</v>
      </c>
      <c r="K735" s="251"/>
      <c r="L735" s="251"/>
      <c r="M735" s="251"/>
      <c r="N735" s="251"/>
      <c r="O735" s="251"/>
      <c r="P735" s="251"/>
      <c r="Q735" s="251"/>
      <c r="R735" s="251"/>
      <c r="S735" s="251"/>
      <c r="T735" s="251"/>
      <c r="U735" s="251"/>
      <c r="V735" s="251"/>
      <c r="W735" s="251"/>
      <c r="X735" s="251"/>
      <c r="Y735" s="251"/>
      <c r="Z735" s="251"/>
      <c r="AA735" s="251"/>
      <c r="AB735" s="251"/>
    </row>
    <row r="736" ht="14.25" customHeight="1">
      <c r="A736" s="251"/>
      <c r="B736" s="263"/>
      <c r="C736" s="242" t="s">
        <v>8299</v>
      </c>
      <c r="D736" s="98" t="s">
        <v>271</v>
      </c>
      <c r="E736" s="240" t="s">
        <v>8241</v>
      </c>
      <c r="F736" s="240" t="s">
        <v>8249</v>
      </c>
      <c r="G736" s="240" t="s">
        <v>8300</v>
      </c>
      <c r="H736" s="240" t="s">
        <v>8301</v>
      </c>
      <c r="I736" s="84" t="s">
        <v>317</v>
      </c>
      <c r="J736" s="98" t="s">
        <v>1784</v>
      </c>
      <c r="K736" s="251"/>
      <c r="L736" s="251"/>
      <c r="M736" s="251"/>
      <c r="N736" s="251"/>
      <c r="O736" s="251"/>
      <c r="P736" s="251"/>
      <c r="Q736" s="251"/>
      <c r="R736" s="251"/>
      <c r="S736" s="251"/>
      <c r="T736" s="251"/>
      <c r="U736" s="251"/>
      <c r="V736" s="251"/>
      <c r="W736" s="251"/>
      <c r="X736" s="251"/>
      <c r="Y736" s="251"/>
      <c r="Z736" s="251"/>
      <c r="AA736" s="251"/>
      <c r="AB736" s="251"/>
    </row>
    <row r="737" ht="14.25" customHeight="1">
      <c r="A737" s="251"/>
      <c r="B737" s="263"/>
      <c r="C737" s="242" t="s">
        <v>8302</v>
      </c>
      <c r="D737" s="98" t="s">
        <v>271</v>
      </c>
      <c r="E737" s="240" t="s">
        <v>8241</v>
      </c>
      <c r="F737" s="240" t="s">
        <v>8249</v>
      </c>
      <c r="G737" s="240" t="s">
        <v>8303</v>
      </c>
      <c r="H737" s="240" t="s">
        <v>8304</v>
      </c>
      <c r="I737" s="84" t="s">
        <v>317</v>
      </c>
      <c r="J737" s="98" t="s">
        <v>1784</v>
      </c>
      <c r="K737" s="251"/>
      <c r="L737" s="251"/>
      <c r="M737" s="251"/>
      <c r="N737" s="251"/>
      <c r="O737" s="251"/>
      <c r="P737" s="251"/>
      <c r="Q737" s="251"/>
      <c r="R737" s="251"/>
      <c r="S737" s="251"/>
      <c r="T737" s="251"/>
      <c r="U737" s="251"/>
      <c r="V737" s="251"/>
      <c r="W737" s="251"/>
      <c r="X737" s="251"/>
      <c r="Y737" s="251"/>
      <c r="Z737" s="251"/>
      <c r="AA737" s="251"/>
      <c r="AB737" s="251"/>
    </row>
    <row r="738" ht="14.25" customHeight="1">
      <c r="A738" s="98" t="s">
        <v>8305</v>
      </c>
      <c r="B738" s="250" t="s">
        <v>8306</v>
      </c>
      <c r="C738" s="242" t="s">
        <v>8307</v>
      </c>
      <c r="D738" s="98" t="s">
        <v>271</v>
      </c>
      <c r="E738" s="240" t="s">
        <v>8308</v>
      </c>
      <c r="F738" s="270" t="s">
        <v>8309</v>
      </c>
      <c r="G738" s="271" t="s">
        <v>8310</v>
      </c>
      <c r="H738" s="270" t="s">
        <v>8311</v>
      </c>
      <c r="I738" s="267" t="s">
        <v>317</v>
      </c>
      <c r="J738" s="98" t="s">
        <v>1784</v>
      </c>
      <c r="K738" s="251"/>
      <c r="L738" s="251"/>
      <c r="M738" s="251"/>
      <c r="N738" s="251"/>
      <c r="O738" s="251"/>
      <c r="P738" s="251"/>
      <c r="Q738" s="251"/>
      <c r="R738" s="251"/>
      <c r="S738" s="251"/>
      <c r="T738" s="251"/>
      <c r="U738" s="251"/>
      <c r="V738" s="251"/>
      <c r="W738" s="251"/>
      <c r="X738" s="251"/>
      <c r="Y738" s="251"/>
      <c r="Z738" s="251"/>
      <c r="AA738" s="251"/>
      <c r="AB738" s="251"/>
    </row>
    <row r="739" ht="14.25" customHeight="1">
      <c r="A739" s="98" t="s">
        <v>8305</v>
      </c>
      <c r="B739" s="109"/>
      <c r="C739" s="242" t="s">
        <v>8312</v>
      </c>
      <c r="D739" s="98" t="s">
        <v>271</v>
      </c>
      <c r="E739" s="240" t="s">
        <v>8308</v>
      </c>
      <c r="F739" s="270" t="s">
        <v>8309</v>
      </c>
      <c r="G739" s="255" t="s">
        <v>8313</v>
      </c>
      <c r="H739" s="270" t="s">
        <v>8314</v>
      </c>
      <c r="I739" s="267" t="s">
        <v>317</v>
      </c>
      <c r="J739" s="98" t="s">
        <v>1784</v>
      </c>
      <c r="K739" s="251"/>
      <c r="L739" s="251"/>
      <c r="M739" s="251"/>
      <c r="N739" s="251"/>
      <c r="O739" s="251"/>
      <c r="P739" s="251"/>
      <c r="Q739" s="251"/>
      <c r="R739" s="251"/>
      <c r="S739" s="251"/>
      <c r="T739" s="251"/>
      <c r="U739" s="251"/>
      <c r="V739" s="251"/>
      <c r="W739" s="251"/>
      <c r="X739" s="251"/>
      <c r="Y739" s="251"/>
      <c r="Z739" s="251"/>
      <c r="AA739" s="251"/>
      <c r="AB739" s="251"/>
    </row>
    <row r="740" ht="14.25" customHeight="1">
      <c r="A740" s="251"/>
      <c r="B740" s="263"/>
      <c r="C740" s="242" t="s">
        <v>8315</v>
      </c>
      <c r="D740" s="98" t="s">
        <v>271</v>
      </c>
      <c r="E740" s="240" t="s">
        <v>8316</v>
      </c>
      <c r="F740" s="240" t="s">
        <v>8317</v>
      </c>
      <c r="G740" s="240" t="s">
        <v>8318</v>
      </c>
      <c r="H740" s="240" t="s">
        <v>8319</v>
      </c>
      <c r="I740" s="84" t="s">
        <v>317</v>
      </c>
      <c r="J740" s="98" t="s">
        <v>1784</v>
      </c>
      <c r="K740" s="251"/>
      <c r="L740" s="251"/>
      <c r="M740" s="251"/>
      <c r="N740" s="251"/>
      <c r="O740" s="251"/>
      <c r="P740" s="251"/>
      <c r="Q740" s="251"/>
      <c r="R740" s="251"/>
      <c r="S740" s="251"/>
      <c r="T740" s="251"/>
      <c r="U740" s="251"/>
      <c r="V740" s="251"/>
      <c r="W740" s="251"/>
      <c r="X740" s="251"/>
      <c r="Y740" s="251"/>
      <c r="Z740" s="251"/>
      <c r="AA740" s="251"/>
      <c r="AB740" s="251"/>
    </row>
    <row r="741" ht="14.25" customHeight="1">
      <c r="A741" s="251"/>
      <c r="B741" s="263"/>
      <c r="C741" s="242" t="s">
        <v>8320</v>
      </c>
      <c r="D741" s="98" t="s">
        <v>271</v>
      </c>
      <c r="E741" s="240" t="s">
        <v>8316</v>
      </c>
      <c r="F741" s="240" t="s">
        <v>8317</v>
      </c>
      <c r="G741" s="240" t="s">
        <v>8321</v>
      </c>
      <c r="H741" s="240" t="s">
        <v>8322</v>
      </c>
      <c r="I741" s="84" t="s">
        <v>317</v>
      </c>
      <c r="J741" s="98" t="s">
        <v>1784</v>
      </c>
      <c r="K741" s="251"/>
      <c r="L741" s="251"/>
      <c r="M741" s="251"/>
      <c r="N741" s="251"/>
      <c r="O741" s="251"/>
      <c r="P741" s="251"/>
      <c r="Q741" s="251"/>
      <c r="R741" s="251"/>
      <c r="S741" s="251"/>
      <c r="T741" s="251"/>
      <c r="U741" s="251"/>
      <c r="V741" s="251"/>
      <c r="W741" s="251"/>
      <c r="X741" s="251"/>
      <c r="Y741" s="251"/>
      <c r="Z741" s="251"/>
      <c r="AA741" s="251"/>
      <c r="AB741" s="251"/>
    </row>
    <row r="742" ht="14.25" customHeight="1">
      <c r="A742" s="251"/>
      <c r="B742" s="263"/>
      <c r="C742" s="242" t="s">
        <v>8323</v>
      </c>
      <c r="D742" s="98" t="s">
        <v>271</v>
      </c>
      <c r="E742" s="240" t="s">
        <v>8316</v>
      </c>
      <c r="F742" s="240" t="s">
        <v>8317</v>
      </c>
      <c r="G742" s="240" t="s">
        <v>8324</v>
      </c>
      <c r="H742" s="240" t="s">
        <v>8322</v>
      </c>
      <c r="I742" s="84" t="s">
        <v>317</v>
      </c>
      <c r="J742" s="98" t="s">
        <v>1784</v>
      </c>
      <c r="K742" s="251"/>
      <c r="L742" s="251"/>
      <c r="M742" s="251"/>
      <c r="N742" s="251"/>
      <c r="O742" s="251"/>
      <c r="P742" s="251"/>
      <c r="Q742" s="251"/>
      <c r="R742" s="251"/>
      <c r="S742" s="251"/>
      <c r="T742" s="251"/>
      <c r="U742" s="251"/>
      <c r="V742" s="251"/>
      <c r="W742" s="251"/>
      <c r="X742" s="251"/>
      <c r="Y742" s="251"/>
      <c r="Z742" s="251"/>
      <c r="AA742" s="251"/>
      <c r="AB742" s="251"/>
    </row>
    <row r="743" ht="14.25" customHeight="1">
      <c r="A743" s="98"/>
      <c r="B743" s="254"/>
      <c r="C743" s="242" t="s">
        <v>8325</v>
      </c>
      <c r="D743" s="98" t="s">
        <v>271</v>
      </c>
      <c r="E743" s="240" t="s">
        <v>8316</v>
      </c>
      <c r="F743" s="240" t="s">
        <v>8317</v>
      </c>
      <c r="G743" s="240" t="s">
        <v>8326</v>
      </c>
      <c r="H743" s="240" t="s">
        <v>8327</v>
      </c>
      <c r="I743" s="84" t="s">
        <v>317</v>
      </c>
      <c r="J743" s="98" t="s">
        <v>1784</v>
      </c>
      <c r="K743" s="251"/>
      <c r="L743" s="251"/>
      <c r="M743" s="251"/>
      <c r="N743" s="251"/>
      <c r="O743" s="251"/>
      <c r="P743" s="251"/>
      <c r="Q743" s="251"/>
      <c r="R743" s="251"/>
      <c r="S743" s="251"/>
      <c r="T743" s="251"/>
      <c r="U743" s="251"/>
      <c r="V743" s="251"/>
      <c r="W743" s="251"/>
      <c r="X743" s="251"/>
      <c r="Y743" s="251"/>
      <c r="Z743" s="251"/>
      <c r="AA743" s="251"/>
      <c r="AB743" s="251"/>
    </row>
    <row r="744" ht="14.25" customHeight="1">
      <c r="A744" s="98" t="s">
        <v>8328</v>
      </c>
      <c r="B744" s="257" t="s">
        <v>8329</v>
      </c>
      <c r="C744" s="242" t="s">
        <v>8330</v>
      </c>
      <c r="D744" s="98" t="s">
        <v>271</v>
      </c>
      <c r="E744" s="240" t="s">
        <v>8331</v>
      </c>
      <c r="F744" s="240" t="s">
        <v>8332</v>
      </c>
      <c r="G744" s="240" t="s">
        <v>8333</v>
      </c>
      <c r="H744" s="240" t="s">
        <v>8334</v>
      </c>
      <c r="I744" s="84" t="s">
        <v>36</v>
      </c>
      <c r="J744" s="98" t="s">
        <v>1784</v>
      </c>
      <c r="K744" s="251"/>
      <c r="L744" s="251"/>
      <c r="M744" s="251"/>
      <c r="N744" s="251"/>
      <c r="O744" s="251"/>
      <c r="P744" s="251"/>
      <c r="Q744" s="251"/>
      <c r="R744" s="251"/>
      <c r="S744" s="251"/>
      <c r="T744" s="251"/>
      <c r="U744" s="251"/>
      <c r="V744" s="251"/>
      <c r="W744" s="251"/>
      <c r="X744" s="251"/>
      <c r="Y744" s="251"/>
      <c r="Z744" s="251"/>
      <c r="AA744" s="251"/>
      <c r="AB744" s="251"/>
    </row>
    <row r="745" ht="14.25" customHeight="1">
      <c r="A745" s="98" t="s">
        <v>8328</v>
      </c>
      <c r="B745" s="108"/>
      <c r="C745" s="242" t="s">
        <v>8335</v>
      </c>
      <c r="D745" s="98" t="s">
        <v>271</v>
      </c>
      <c r="E745" s="240" t="s">
        <v>8331</v>
      </c>
      <c r="F745" s="240" t="s">
        <v>8332</v>
      </c>
      <c r="G745" s="240" t="s">
        <v>8336</v>
      </c>
      <c r="H745" s="240" t="s">
        <v>8337</v>
      </c>
      <c r="I745" s="84" t="s">
        <v>36</v>
      </c>
      <c r="J745" s="98" t="s">
        <v>1784</v>
      </c>
      <c r="K745" s="251"/>
      <c r="L745" s="251"/>
      <c r="M745" s="251"/>
      <c r="N745" s="251"/>
      <c r="O745" s="251"/>
      <c r="P745" s="251"/>
      <c r="Q745" s="251"/>
      <c r="R745" s="251"/>
      <c r="S745" s="251"/>
      <c r="T745" s="251"/>
      <c r="U745" s="251"/>
      <c r="V745" s="251"/>
      <c r="W745" s="251"/>
      <c r="X745" s="251"/>
      <c r="Y745" s="251"/>
      <c r="Z745" s="251"/>
      <c r="AA745" s="251"/>
      <c r="AB745" s="251"/>
    </row>
    <row r="746" ht="14.25" customHeight="1">
      <c r="A746" s="98" t="s">
        <v>8328</v>
      </c>
      <c r="B746" s="108"/>
      <c r="C746" s="242" t="s">
        <v>8338</v>
      </c>
      <c r="D746" s="98" t="s">
        <v>271</v>
      </c>
      <c r="E746" s="240" t="s">
        <v>8331</v>
      </c>
      <c r="F746" s="240" t="s">
        <v>8332</v>
      </c>
      <c r="G746" s="240" t="s">
        <v>8339</v>
      </c>
      <c r="H746" s="240" t="s">
        <v>8340</v>
      </c>
      <c r="I746" s="84" t="s">
        <v>36</v>
      </c>
      <c r="J746" s="98" t="s">
        <v>1784</v>
      </c>
      <c r="K746" s="251"/>
      <c r="L746" s="251"/>
      <c r="M746" s="251"/>
      <c r="N746" s="251"/>
      <c r="O746" s="251"/>
      <c r="P746" s="251"/>
      <c r="Q746" s="251"/>
      <c r="R746" s="251"/>
      <c r="S746" s="251"/>
      <c r="T746" s="251"/>
      <c r="U746" s="251"/>
      <c r="V746" s="251"/>
      <c r="W746" s="251"/>
      <c r="X746" s="251"/>
      <c r="Y746" s="251"/>
      <c r="Z746" s="251"/>
      <c r="AA746" s="251"/>
      <c r="AB746" s="251"/>
    </row>
    <row r="747" ht="14.25" customHeight="1">
      <c r="A747" s="98" t="s">
        <v>8328</v>
      </c>
      <c r="B747" s="108"/>
      <c r="C747" s="242" t="s">
        <v>8341</v>
      </c>
      <c r="D747" s="98" t="s">
        <v>271</v>
      </c>
      <c r="E747" s="240" t="s">
        <v>8331</v>
      </c>
      <c r="F747" s="240" t="s">
        <v>8332</v>
      </c>
      <c r="G747" s="240" t="s">
        <v>8342</v>
      </c>
      <c r="H747" s="240" t="s">
        <v>8343</v>
      </c>
      <c r="I747" s="84" t="s">
        <v>36</v>
      </c>
      <c r="J747" s="98" t="s">
        <v>1784</v>
      </c>
      <c r="K747" s="251"/>
      <c r="L747" s="251"/>
      <c r="M747" s="251"/>
      <c r="N747" s="251"/>
      <c r="O747" s="251"/>
      <c r="P747" s="251"/>
      <c r="Q747" s="251"/>
      <c r="R747" s="251"/>
      <c r="S747" s="251"/>
      <c r="T747" s="251"/>
      <c r="U747" s="251"/>
      <c r="V747" s="251"/>
      <c r="W747" s="251"/>
      <c r="X747" s="251"/>
      <c r="Y747" s="251"/>
      <c r="Z747" s="251"/>
      <c r="AA747" s="251"/>
      <c r="AB747" s="251"/>
    </row>
    <row r="748" ht="14.25" customHeight="1">
      <c r="A748" s="98" t="s">
        <v>8328</v>
      </c>
      <c r="B748" s="109"/>
      <c r="C748" s="242" t="s">
        <v>8344</v>
      </c>
      <c r="D748" s="98" t="s">
        <v>271</v>
      </c>
      <c r="E748" s="240" t="s">
        <v>8331</v>
      </c>
      <c r="F748" s="240" t="s">
        <v>8332</v>
      </c>
      <c r="G748" s="240" t="s">
        <v>8345</v>
      </c>
      <c r="H748" s="240" t="s">
        <v>8346</v>
      </c>
      <c r="I748" s="84" t="s">
        <v>36</v>
      </c>
      <c r="J748" s="98" t="s">
        <v>1784</v>
      </c>
      <c r="K748" s="251"/>
      <c r="L748" s="251"/>
      <c r="M748" s="251"/>
      <c r="N748" s="251"/>
      <c r="O748" s="251"/>
      <c r="P748" s="251"/>
      <c r="Q748" s="251"/>
      <c r="R748" s="251"/>
      <c r="S748" s="251"/>
      <c r="T748" s="251"/>
      <c r="U748" s="251"/>
      <c r="V748" s="251"/>
      <c r="W748" s="251"/>
      <c r="X748" s="251"/>
      <c r="Y748" s="251"/>
      <c r="Z748" s="251"/>
      <c r="AA748" s="251"/>
      <c r="AB748" s="251"/>
    </row>
    <row r="749" ht="14.25" customHeight="1">
      <c r="A749" s="98" t="s">
        <v>8347</v>
      </c>
      <c r="B749" s="257" t="s">
        <v>8348</v>
      </c>
      <c r="C749" s="242" t="s">
        <v>8349</v>
      </c>
      <c r="D749" s="98" t="s">
        <v>271</v>
      </c>
      <c r="E749" s="240" t="s">
        <v>8350</v>
      </c>
      <c r="F749" s="240" t="s">
        <v>8351</v>
      </c>
      <c r="G749" s="240" t="s">
        <v>8352</v>
      </c>
      <c r="H749" s="240" t="s">
        <v>8353</v>
      </c>
      <c r="I749" s="84" t="s">
        <v>36</v>
      </c>
      <c r="J749" s="98" t="s">
        <v>1784</v>
      </c>
      <c r="K749" s="251"/>
      <c r="L749" s="251"/>
      <c r="M749" s="251"/>
      <c r="N749" s="251"/>
      <c r="O749" s="251"/>
      <c r="P749" s="251"/>
      <c r="Q749" s="251"/>
      <c r="R749" s="251"/>
      <c r="S749" s="251"/>
      <c r="T749" s="251"/>
      <c r="U749" s="251"/>
      <c r="V749" s="251"/>
      <c r="W749" s="251"/>
      <c r="X749" s="251"/>
      <c r="Y749" s="251"/>
      <c r="Z749" s="251"/>
      <c r="AA749" s="251"/>
      <c r="AB749" s="251"/>
    </row>
    <row r="750" ht="14.25" customHeight="1">
      <c r="A750" s="98" t="s">
        <v>8347</v>
      </c>
      <c r="B750" s="108"/>
      <c r="C750" s="242" t="s">
        <v>8354</v>
      </c>
      <c r="D750" s="98" t="s">
        <v>271</v>
      </c>
      <c r="E750" s="240" t="s">
        <v>8350</v>
      </c>
      <c r="F750" s="240" t="s">
        <v>8351</v>
      </c>
      <c r="G750" s="240" t="s">
        <v>8355</v>
      </c>
      <c r="H750" s="240" t="s">
        <v>8356</v>
      </c>
      <c r="I750" s="84" t="s">
        <v>36</v>
      </c>
      <c r="J750" s="98" t="s">
        <v>1784</v>
      </c>
      <c r="K750" s="251"/>
      <c r="L750" s="251"/>
      <c r="M750" s="251"/>
      <c r="N750" s="251"/>
      <c r="O750" s="251"/>
      <c r="P750" s="251"/>
      <c r="Q750" s="251"/>
      <c r="R750" s="251"/>
      <c r="S750" s="251"/>
      <c r="T750" s="251"/>
      <c r="U750" s="251"/>
      <c r="V750" s="251"/>
      <c r="W750" s="251"/>
      <c r="X750" s="251"/>
      <c r="Y750" s="251"/>
      <c r="Z750" s="251"/>
      <c r="AA750" s="251"/>
      <c r="AB750" s="251"/>
    </row>
    <row r="751" ht="14.25" customHeight="1">
      <c r="A751" s="98" t="s">
        <v>8347</v>
      </c>
      <c r="B751" s="109"/>
      <c r="C751" s="242" t="s">
        <v>8357</v>
      </c>
      <c r="D751" s="98" t="s">
        <v>271</v>
      </c>
      <c r="E751" s="240" t="s">
        <v>8350</v>
      </c>
      <c r="F751" s="240" t="s">
        <v>8351</v>
      </c>
      <c r="G751" s="240" t="s">
        <v>8358</v>
      </c>
      <c r="H751" s="240" t="s">
        <v>8359</v>
      </c>
      <c r="I751" s="84" t="s">
        <v>36</v>
      </c>
      <c r="J751" s="98" t="s">
        <v>1784</v>
      </c>
      <c r="K751" s="251"/>
      <c r="L751" s="251"/>
      <c r="M751" s="251"/>
      <c r="N751" s="251"/>
      <c r="O751" s="251"/>
      <c r="P751" s="251"/>
      <c r="Q751" s="251"/>
      <c r="R751" s="251"/>
      <c r="S751" s="251"/>
      <c r="T751" s="251"/>
      <c r="U751" s="251"/>
      <c r="V751" s="251"/>
      <c r="W751" s="251"/>
      <c r="X751" s="251"/>
      <c r="Y751" s="251"/>
      <c r="Z751" s="251"/>
      <c r="AA751" s="251"/>
      <c r="AB751" s="251"/>
    </row>
    <row r="752" ht="14.25" customHeight="1">
      <c r="A752" s="98" t="s">
        <v>8360</v>
      </c>
      <c r="B752" s="257" t="s">
        <v>8361</v>
      </c>
      <c r="C752" s="242" t="s">
        <v>8362</v>
      </c>
      <c r="D752" s="98" t="s">
        <v>271</v>
      </c>
      <c r="E752" s="240" t="s">
        <v>8363</v>
      </c>
      <c r="F752" s="240" t="s">
        <v>8364</v>
      </c>
      <c r="G752" s="240" t="s">
        <v>8365</v>
      </c>
      <c r="H752" s="240" t="s">
        <v>8366</v>
      </c>
      <c r="I752" s="84" t="s">
        <v>36</v>
      </c>
      <c r="J752" s="98" t="s">
        <v>1784</v>
      </c>
      <c r="K752" s="251"/>
      <c r="L752" s="251"/>
      <c r="M752" s="251"/>
      <c r="N752" s="251"/>
      <c r="O752" s="251"/>
      <c r="P752" s="251"/>
      <c r="Q752" s="251"/>
      <c r="R752" s="251"/>
      <c r="S752" s="251"/>
      <c r="T752" s="251"/>
      <c r="U752" s="251"/>
      <c r="V752" s="251"/>
      <c r="W752" s="251"/>
      <c r="X752" s="251"/>
      <c r="Y752" s="251"/>
      <c r="Z752" s="251"/>
      <c r="AA752" s="251"/>
      <c r="AB752" s="251"/>
    </row>
    <row r="753" ht="14.25" customHeight="1">
      <c r="A753" s="98" t="s">
        <v>8360</v>
      </c>
      <c r="B753" s="109"/>
      <c r="C753" s="242" t="s">
        <v>8367</v>
      </c>
      <c r="D753" s="98" t="s">
        <v>271</v>
      </c>
      <c r="E753" s="240" t="s">
        <v>8363</v>
      </c>
      <c r="F753" s="240" t="s">
        <v>8364</v>
      </c>
      <c r="G753" s="240" t="s">
        <v>8368</v>
      </c>
      <c r="H753" s="240" t="s">
        <v>8369</v>
      </c>
      <c r="I753" s="84" t="s">
        <v>36</v>
      </c>
      <c r="J753" s="98" t="s">
        <v>1784</v>
      </c>
      <c r="K753" s="251"/>
      <c r="L753" s="251"/>
      <c r="M753" s="251"/>
      <c r="N753" s="251"/>
      <c r="O753" s="251"/>
      <c r="P753" s="251"/>
      <c r="Q753" s="251"/>
      <c r="R753" s="251"/>
      <c r="S753" s="251"/>
      <c r="T753" s="251"/>
      <c r="U753" s="251"/>
      <c r="V753" s="251"/>
      <c r="W753" s="251"/>
      <c r="X753" s="251"/>
      <c r="Y753" s="251"/>
      <c r="Z753" s="251"/>
      <c r="AA753" s="251"/>
      <c r="AB753" s="251"/>
    </row>
    <row r="754" ht="14.25" customHeight="1">
      <c r="A754" s="98" t="s">
        <v>8370</v>
      </c>
      <c r="B754" s="257" t="s">
        <v>8371</v>
      </c>
      <c r="C754" s="242" t="s">
        <v>8372</v>
      </c>
      <c r="D754" s="98" t="s">
        <v>271</v>
      </c>
      <c r="E754" s="240" t="s">
        <v>8351</v>
      </c>
      <c r="F754" s="240" t="s">
        <v>8373</v>
      </c>
      <c r="G754" s="240" t="s">
        <v>8374</v>
      </c>
      <c r="H754" s="240" t="s">
        <v>8375</v>
      </c>
      <c r="I754" s="272" t="s">
        <v>36</v>
      </c>
      <c r="J754" s="98" t="s">
        <v>1784</v>
      </c>
      <c r="K754" s="251"/>
      <c r="L754" s="251"/>
      <c r="M754" s="251"/>
      <c r="N754" s="251"/>
      <c r="O754" s="251"/>
      <c r="P754" s="251"/>
      <c r="Q754" s="251"/>
      <c r="R754" s="251"/>
      <c r="S754" s="251"/>
      <c r="T754" s="251"/>
      <c r="U754" s="251"/>
      <c r="V754" s="251"/>
      <c r="W754" s="251"/>
      <c r="X754" s="251"/>
      <c r="Y754" s="251"/>
      <c r="Z754" s="251"/>
      <c r="AA754" s="251"/>
      <c r="AB754" s="251"/>
    </row>
    <row r="755" ht="14.25" customHeight="1">
      <c r="A755" s="98" t="s">
        <v>8370</v>
      </c>
      <c r="B755" s="108"/>
      <c r="C755" s="242" t="s">
        <v>8376</v>
      </c>
      <c r="D755" s="98" t="s">
        <v>271</v>
      </c>
      <c r="E755" s="240" t="s">
        <v>8351</v>
      </c>
      <c r="F755" s="240" t="s">
        <v>8373</v>
      </c>
      <c r="G755" s="240" t="s">
        <v>8377</v>
      </c>
      <c r="H755" s="240" t="s">
        <v>8378</v>
      </c>
      <c r="I755" s="272" t="s">
        <v>36</v>
      </c>
      <c r="J755" s="98" t="s">
        <v>1784</v>
      </c>
      <c r="K755" s="251"/>
      <c r="L755" s="251"/>
      <c r="M755" s="251"/>
      <c r="N755" s="251"/>
      <c r="O755" s="251"/>
      <c r="P755" s="251"/>
      <c r="Q755" s="251"/>
      <c r="R755" s="251"/>
      <c r="S755" s="251"/>
      <c r="T755" s="251"/>
      <c r="U755" s="251"/>
      <c r="V755" s="251"/>
      <c r="W755" s="251"/>
      <c r="X755" s="251"/>
      <c r="Y755" s="251"/>
      <c r="Z755" s="251"/>
      <c r="AA755" s="251"/>
      <c r="AB755" s="251"/>
    </row>
    <row r="756" ht="14.25" customHeight="1">
      <c r="A756" s="98" t="s">
        <v>8370</v>
      </c>
      <c r="B756" s="108"/>
      <c r="C756" s="242" t="s">
        <v>8379</v>
      </c>
      <c r="D756" s="98" t="s">
        <v>271</v>
      </c>
      <c r="E756" s="240" t="s">
        <v>8351</v>
      </c>
      <c r="F756" s="240" t="s">
        <v>8373</v>
      </c>
      <c r="G756" s="240" t="s">
        <v>8380</v>
      </c>
      <c r="H756" s="240" t="s">
        <v>8381</v>
      </c>
      <c r="I756" s="272" t="s">
        <v>36</v>
      </c>
      <c r="J756" s="98" t="s">
        <v>1784</v>
      </c>
      <c r="K756" s="251"/>
      <c r="L756" s="251"/>
      <c r="M756" s="251"/>
      <c r="N756" s="251"/>
      <c r="O756" s="251"/>
      <c r="P756" s="251"/>
      <c r="Q756" s="251"/>
      <c r="R756" s="251"/>
      <c r="S756" s="251"/>
      <c r="T756" s="251"/>
      <c r="U756" s="251"/>
      <c r="V756" s="251"/>
      <c r="W756" s="251"/>
      <c r="X756" s="251"/>
      <c r="Y756" s="251"/>
      <c r="Z756" s="251"/>
      <c r="AA756" s="251"/>
      <c r="AB756" s="251"/>
    </row>
    <row r="757" ht="14.25" customHeight="1">
      <c r="A757" s="98" t="s">
        <v>8370</v>
      </c>
      <c r="B757" s="108"/>
      <c r="C757" s="242" t="s">
        <v>8382</v>
      </c>
      <c r="D757" s="98" t="s">
        <v>271</v>
      </c>
      <c r="E757" s="240" t="s">
        <v>8351</v>
      </c>
      <c r="F757" s="240" t="s">
        <v>8373</v>
      </c>
      <c r="G757" s="240" t="s">
        <v>8383</v>
      </c>
      <c r="H757" s="240" t="s">
        <v>8384</v>
      </c>
      <c r="I757" s="272" t="s">
        <v>36</v>
      </c>
      <c r="J757" s="98" t="s">
        <v>1784</v>
      </c>
      <c r="K757" s="251"/>
      <c r="L757" s="251"/>
      <c r="M757" s="251"/>
      <c r="N757" s="251"/>
      <c r="O757" s="251"/>
      <c r="P757" s="251"/>
      <c r="Q757" s="251"/>
      <c r="R757" s="251"/>
      <c r="S757" s="251"/>
      <c r="T757" s="251"/>
      <c r="U757" s="251"/>
      <c r="V757" s="251"/>
      <c r="W757" s="251"/>
      <c r="X757" s="251"/>
      <c r="Y757" s="251"/>
      <c r="Z757" s="251"/>
      <c r="AA757" s="251"/>
      <c r="AB757" s="251"/>
    </row>
    <row r="758" ht="14.25" customHeight="1">
      <c r="A758" s="98" t="s">
        <v>8370</v>
      </c>
      <c r="B758" s="108"/>
      <c r="C758" s="242" t="s">
        <v>8385</v>
      </c>
      <c r="D758" s="98" t="s">
        <v>271</v>
      </c>
      <c r="E758" s="240" t="s">
        <v>8351</v>
      </c>
      <c r="F758" s="240" t="s">
        <v>8373</v>
      </c>
      <c r="G758" s="240" t="s">
        <v>8386</v>
      </c>
      <c r="H758" s="240" t="s">
        <v>8387</v>
      </c>
      <c r="I758" s="272" t="s">
        <v>36</v>
      </c>
      <c r="J758" s="98" t="s">
        <v>1784</v>
      </c>
      <c r="K758" s="251"/>
      <c r="L758" s="251"/>
      <c r="M758" s="251"/>
      <c r="N758" s="251"/>
      <c r="O758" s="251"/>
      <c r="P758" s="251"/>
      <c r="Q758" s="251"/>
      <c r="R758" s="251"/>
      <c r="S758" s="251"/>
      <c r="T758" s="251"/>
      <c r="U758" s="251"/>
      <c r="V758" s="251"/>
      <c r="W758" s="251"/>
      <c r="X758" s="251"/>
      <c r="Y758" s="251"/>
      <c r="Z758" s="251"/>
      <c r="AA758" s="251"/>
      <c r="AB758" s="251"/>
    </row>
    <row r="759" ht="14.25" customHeight="1">
      <c r="A759" s="98" t="s">
        <v>8370</v>
      </c>
      <c r="B759" s="108"/>
      <c r="C759" s="242" t="s">
        <v>8388</v>
      </c>
      <c r="D759" s="98" t="s">
        <v>271</v>
      </c>
      <c r="E759" s="240" t="s">
        <v>8351</v>
      </c>
      <c r="F759" s="240" t="s">
        <v>8373</v>
      </c>
      <c r="G759" s="240" t="s">
        <v>8389</v>
      </c>
      <c r="H759" s="240" t="s">
        <v>8390</v>
      </c>
      <c r="I759" s="272" t="s">
        <v>317</v>
      </c>
      <c r="J759" s="98" t="s">
        <v>1784</v>
      </c>
      <c r="K759" s="251"/>
      <c r="L759" s="251"/>
      <c r="M759" s="251"/>
      <c r="N759" s="251"/>
      <c r="O759" s="251"/>
      <c r="P759" s="251"/>
      <c r="Q759" s="251"/>
      <c r="R759" s="251"/>
      <c r="S759" s="251"/>
      <c r="T759" s="251"/>
      <c r="U759" s="251"/>
      <c r="V759" s="251"/>
      <c r="W759" s="251"/>
      <c r="X759" s="251"/>
      <c r="Y759" s="251"/>
      <c r="Z759" s="251"/>
      <c r="AA759" s="251"/>
      <c r="AB759" s="251"/>
    </row>
    <row r="760" ht="14.25" customHeight="1">
      <c r="A760" s="98" t="s">
        <v>8370</v>
      </c>
      <c r="B760" s="108"/>
      <c r="C760" s="242" t="s">
        <v>8391</v>
      </c>
      <c r="D760" s="98" t="s">
        <v>271</v>
      </c>
      <c r="E760" s="240" t="s">
        <v>8351</v>
      </c>
      <c r="F760" s="240" t="s">
        <v>8373</v>
      </c>
      <c r="G760" s="240" t="s">
        <v>8392</v>
      </c>
      <c r="H760" s="240" t="s">
        <v>8393</v>
      </c>
      <c r="I760" s="272" t="s">
        <v>36</v>
      </c>
      <c r="J760" s="98" t="s">
        <v>1784</v>
      </c>
      <c r="K760" s="251"/>
      <c r="L760" s="251"/>
      <c r="M760" s="251"/>
      <c r="N760" s="251"/>
      <c r="O760" s="251"/>
      <c r="P760" s="251"/>
      <c r="Q760" s="251"/>
      <c r="R760" s="251"/>
      <c r="S760" s="251"/>
      <c r="T760" s="251"/>
      <c r="U760" s="251"/>
      <c r="V760" s="251"/>
      <c r="W760" s="251"/>
      <c r="X760" s="251"/>
      <c r="Y760" s="251"/>
      <c r="Z760" s="251"/>
      <c r="AA760" s="251"/>
      <c r="AB760" s="251"/>
    </row>
    <row r="761" ht="14.25" customHeight="1">
      <c r="A761" s="98" t="s">
        <v>8370</v>
      </c>
      <c r="B761" s="108"/>
      <c r="C761" s="242" t="s">
        <v>8394</v>
      </c>
      <c r="D761" s="98" t="s">
        <v>271</v>
      </c>
      <c r="E761" s="240" t="s">
        <v>8351</v>
      </c>
      <c r="F761" s="240" t="s">
        <v>8373</v>
      </c>
      <c r="G761" s="240" t="s">
        <v>8395</v>
      </c>
      <c r="H761" s="240" t="s">
        <v>8393</v>
      </c>
      <c r="I761" s="272" t="s">
        <v>36</v>
      </c>
      <c r="J761" s="98" t="s">
        <v>1784</v>
      </c>
      <c r="K761" s="251"/>
      <c r="L761" s="251"/>
      <c r="M761" s="251"/>
      <c r="N761" s="251"/>
      <c r="O761" s="251"/>
      <c r="P761" s="251"/>
      <c r="Q761" s="251"/>
      <c r="R761" s="251"/>
      <c r="S761" s="251"/>
      <c r="T761" s="251"/>
      <c r="U761" s="251"/>
      <c r="V761" s="251"/>
      <c r="W761" s="251"/>
      <c r="X761" s="251"/>
      <c r="Y761" s="251"/>
      <c r="Z761" s="251"/>
      <c r="AA761" s="251"/>
      <c r="AB761" s="251"/>
    </row>
    <row r="762" ht="14.25" customHeight="1">
      <c r="A762" s="98" t="s">
        <v>8370</v>
      </c>
      <c r="B762" s="108"/>
      <c r="C762" s="242" t="s">
        <v>8396</v>
      </c>
      <c r="D762" s="98" t="s">
        <v>271</v>
      </c>
      <c r="E762" s="240" t="s">
        <v>8351</v>
      </c>
      <c r="F762" s="240" t="s">
        <v>8397</v>
      </c>
      <c r="G762" s="240" t="s">
        <v>8398</v>
      </c>
      <c r="H762" s="240" t="s">
        <v>8399</v>
      </c>
      <c r="I762" s="272" t="s">
        <v>36</v>
      </c>
      <c r="J762" s="98" t="s">
        <v>1784</v>
      </c>
      <c r="K762" s="251"/>
      <c r="L762" s="251"/>
      <c r="M762" s="251"/>
      <c r="N762" s="251"/>
      <c r="O762" s="251"/>
      <c r="P762" s="251"/>
      <c r="Q762" s="251"/>
      <c r="R762" s="251"/>
      <c r="S762" s="251"/>
      <c r="T762" s="251"/>
      <c r="U762" s="251"/>
      <c r="V762" s="251"/>
      <c r="W762" s="251"/>
      <c r="X762" s="251"/>
      <c r="Y762" s="251"/>
      <c r="Z762" s="251"/>
      <c r="AA762" s="251"/>
      <c r="AB762" s="251"/>
    </row>
    <row r="763" ht="14.25" customHeight="1">
      <c r="A763" s="98" t="s">
        <v>8370</v>
      </c>
      <c r="B763" s="108"/>
      <c r="C763" s="242" t="s">
        <v>8400</v>
      </c>
      <c r="D763" s="98" t="s">
        <v>271</v>
      </c>
      <c r="E763" s="240" t="s">
        <v>8351</v>
      </c>
      <c r="F763" s="240" t="s">
        <v>8397</v>
      </c>
      <c r="G763" s="240" t="s">
        <v>8401</v>
      </c>
      <c r="H763" s="240" t="s">
        <v>8378</v>
      </c>
      <c r="I763" s="272" t="s">
        <v>36</v>
      </c>
      <c r="J763" s="98" t="s">
        <v>1784</v>
      </c>
      <c r="K763" s="251"/>
      <c r="L763" s="251"/>
      <c r="M763" s="251"/>
      <c r="N763" s="251"/>
      <c r="O763" s="251"/>
      <c r="P763" s="251"/>
      <c r="Q763" s="251"/>
      <c r="R763" s="251"/>
      <c r="S763" s="251"/>
      <c r="T763" s="251"/>
      <c r="U763" s="251"/>
      <c r="V763" s="251"/>
      <c r="W763" s="251"/>
      <c r="X763" s="251"/>
      <c r="Y763" s="251"/>
      <c r="Z763" s="251"/>
      <c r="AA763" s="251"/>
      <c r="AB763" s="251"/>
    </row>
    <row r="764" ht="14.25" customHeight="1">
      <c r="A764" s="98" t="s">
        <v>8370</v>
      </c>
      <c r="B764" s="108"/>
      <c r="C764" s="242" t="s">
        <v>8402</v>
      </c>
      <c r="D764" s="98" t="s">
        <v>271</v>
      </c>
      <c r="E764" s="240" t="s">
        <v>8351</v>
      </c>
      <c r="F764" s="240" t="s">
        <v>8397</v>
      </c>
      <c r="G764" s="240" t="s">
        <v>8403</v>
      </c>
      <c r="H764" s="240" t="s">
        <v>8390</v>
      </c>
      <c r="I764" s="272" t="s">
        <v>36</v>
      </c>
      <c r="J764" s="98" t="s">
        <v>1784</v>
      </c>
      <c r="K764" s="251"/>
      <c r="L764" s="251"/>
      <c r="M764" s="251"/>
      <c r="N764" s="251"/>
      <c r="O764" s="251"/>
      <c r="P764" s="251"/>
      <c r="Q764" s="251"/>
      <c r="R764" s="251"/>
      <c r="S764" s="251"/>
      <c r="T764" s="251"/>
      <c r="U764" s="251"/>
      <c r="V764" s="251"/>
      <c r="W764" s="251"/>
      <c r="X764" s="251"/>
      <c r="Y764" s="251"/>
      <c r="Z764" s="251"/>
      <c r="AA764" s="251"/>
      <c r="AB764" s="251"/>
    </row>
    <row r="765" ht="14.25" customHeight="1">
      <c r="A765" s="98" t="s">
        <v>8370</v>
      </c>
      <c r="B765" s="108"/>
      <c r="C765" s="242" t="s">
        <v>8404</v>
      </c>
      <c r="D765" s="98" t="s">
        <v>271</v>
      </c>
      <c r="E765" s="240" t="s">
        <v>8351</v>
      </c>
      <c r="F765" s="240" t="s">
        <v>8397</v>
      </c>
      <c r="G765" s="240" t="s">
        <v>8405</v>
      </c>
      <c r="H765" s="240" t="s">
        <v>8384</v>
      </c>
      <c r="I765" s="272" t="s">
        <v>36</v>
      </c>
      <c r="J765" s="98" t="s">
        <v>1784</v>
      </c>
      <c r="K765" s="251"/>
      <c r="L765" s="251"/>
      <c r="M765" s="251"/>
      <c r="N765" s="251"/>
      <c r="O765" s="251"/>
      <c r="P765" s="251"/>
      <c r="Q765" s="251"/>
      <c r="R765" s="251"/>
      <c r="S765" s="251"/>
      <c r="T765" s="251"/>
      <c r="U765" s="251"/>
      <c r="V765" s="251"/>
      <c r="W765" s="251"/>
      <c r="X765" s="251"/>
      <c r="Y765" s="251"/>
      <c r="Z765" s="251"/>
      <c r="AA765" s="251"/>
      <c r="AB765" s="251"/>
    </row>
    <row r="766" ht="14.25" customHeight="1">
      <c r="A766" s="98" t="s">
        <v>8370</v>
      </c>
      <c r="B766" s="108"/>
      <c r="C766" s="242" t="s">
        <v>8406</v>
      </c>
      <c r="D766" s="98" t="s">
        <v>271</v>
      </c>
      <c r="E766" s="240" t="s">
        <v>8351</v>
      </c>
      <c r="F766" s="240" t="s">
        <v>8397</v>
      </c>
      <c r="G766" s="240" t="s">
        <v>8407</v>
      </c>
      <c r="H766" s="240" t="s">
        <v>8387</v>
      </c>
      <c r="I766" s="272" t="s">
        <v>36</v>
      </c>
      <c r="J766" s="98" t="s">
        <v>1784</v>
      </c>
      <c r="K766" s="251"/>
      <c r="L766" s="251"/>
      <c r="M766" s="251"/>
      <c r="N766" s="251"/>
      <c r="O766" s="251"/>
      <c r="P766" s="251"/>
      <c r="Q766" s="251"/>
      <c r="R766" s="251"/>
      <c r="S766" s="251"/>
      <c r="T766" s="251"/>
      <c r="U766" s="251"/>
      <c r="V766" s="251"/>
      <c r="W766" s="251"/>
      <c r="X766" s="251"/>
      <c r="Y766" s="251"/>
      <c r="Z766" s="251"/>
      <c r="AA766" s="251"/>
      <c r="AB766" s="251"/>
    </row>
    <row r="767" ht="14.25" customHeight="1">
      <c r="A767" s="98" t="s">
        <v>8370</v>
      </c>
      <c r="B767" s="108"/>
      <c r="C767" s="242" t="s">
        <v>8408</v>
      </c>
      <c r="D767" s="98" t="s">
        <v>271</v>
      </c>
      <c r="E767" s="240" t="s">
        <v>8351</v>
      </c>
      <c r="F767" s="240" t="s">
        <v>8397</v>
      </c>
      <c r="G767" s="240" t="s">
        <v>8409</v>
      </c>
      <c r="H767" s="240" t="s">
        <v>8390</v>
      </c>
      <c r="I767" s="272" t="s">
        <v>317</v>
      </c>
      <c r="J767" s="98" t="s">
        <v>1784</v>
      </c>
      <c r="K767" s="251"/>
      <c r="L767" s="251"/>
      <c r="M767" s="251"/>
      <c r="N767" s="251"/>
      <c r="O767" s="251"/>
      <c r="P767" s="251"/>
      <c r="Q767" s="251"/>
      <c r="R767" s="251"/>
      <c r="S767" s="251"/>
      <c r="T767" s="251"/>
      <c r="U767" s="251"/>
      <c r="V767" s="251"/>
      <c r="W767" s="251"/>
      <c r="X767" s="251"/>
      <c r="Y767" s="251"/>
      <c r="Z767" s="251"/>
      <c r="AA767" s="251"/>
      <c r="AB767" s="251"/>
    </row>
    <row r="768" ht="14.25" customHeight="1">
      <c r="A768" s="98" t="s">
        <v>8370</v>
      </c>
      <c r="B768" s="108"/>
      <c r="C768" s="242" t="s">
        <v>8410</v>
      </c>
      <c r="D768" s="98" t="s">
        <v>271</v>
      </c>
      <c r="E768" s="240" t="s">
        <v>8351</v>
      </c>
      <c r="F768" s="240" t="s">
        <v>8397</v>
      </c>
      <c r="G768" s="240" t="s">
        <v>8411</v>
      </c>
      <c r="H768" s="240" t="s">
        <v>8393</v>
      </c>
      <c r="I768" s="272" t="s">
        <v>317</v>
      </c>
      <c r="J768" s="98" t="s">
        <v>1784</v>
      </c>
      <c r="K768" s="251"/>
      <c r="L768" s="251"/>
      <c r="M768" s="251"/>
      <c r="N768" s="251"/>
      <c r="O768" s="251"/>
      <c r="P768" s="251"/>
      <c r="Q768" s="251"/>
      <c r="R768" s="251"/>
      <c r="S768" s="251"/>
      <c r="T768" s="251"/>
      <c r="U768" s="251"/>
      <c r="V768" s="251"/>
      <c r="W768" s="251"/>
      <c r="X768" s="251"/>
      <c r="Y768" s="251"/>
      <c r="Z768" s="251"/>
      <c r="AA768" s="251"/>
      <c r="AB768" s="251"/>
    </row>
    <row r="769" ht="14.25" customHeight="1">
      <c r="A769" s="98" t="s">
        <v>8370</v>
      </c>
      <c r="B769" s="108"/>
      <c r="C769" s="242" t="s">
        <v>8412</v>
      </c>
      <c r="D769" s="98" t="s">
        <v>271</v>
      </c>
      <c r="E769" s="240" t="s">
        <v>8351</v>
      </c>
      <c r="F769" s="240" t="s">
        <v>8397</v>
      </c>
      <c r="G769" s="240" t="s">
        <v>8413</v>
      </c>
      <c r="H769" s="240" t="s">
        <v>8393</v>
      </c>
      <c r="I769" s="272" t="s">
        <v>317</v>
      </c>
      <c r="J769" s="98" t="s">
        <v>1784</v>
      </c>
      <c r="K769" s="251"/>
      <c r="L769" s="251"/>
      <c r="M769" s="251"/>
      <c r="N769" s="251"/>
      <c r="O769" s="251"/>
      <c r="P769" s="251"/>
      <c r="Q769" s="251"/>
      <c r="R769" s="251"/>
      <c r="S769" s="251"/>
      <c r="T769" s="251"/>
      <c r="U769" s="251"/>
      <c r="V769" s="251"/>
      <c r="W769" s="251"/>
      <c r="X769" s="251"/>
      <c r="Y769" s="251"/>
      <c r="Z769" s="251"/>
      <c r="AA769" s="251"/>
      <c r="AB769" s="251"/>
    </row>
    <row r="770" ht="14.25" customHeight="1">
      <c r="A770" s="98" t="s">
        <v>8370</v>
      </c>
      <c r="B770" s="108"/>
      <c r="C770" s="242" t="s">
        <v>8414</v>
      </c>
      <c r="D770" s="98" t="s">
        <v>271</v>
      </c>
      <c r="E770" s="240" t="s">
        <v>8415</v>
      </c>
      <c r="F770" s="240" t="s">
        <v>8364</v>
      </c>
      <c r="G770" s="240" t="s">
        <v>8416</v>
      </c>
      <c r="H770" s="240" t="s">
        <v>8417</v>
      </c>
      <c r="I770" s="272" t="s">
        <v>36</v>
      </c>
      <c r="J770" s="98" t="s">
        <v>1784</v>
      </c>
      <c r="K770" s="251"/>
      <c r="L770" s="251"/>
      <c r="M770" s="251"/>
      <c r="N770" s="251"/>
      <c r="O770" s="251"/>
      <c r="P770" s="251"/>
      <c r="Q770" s="251"/>
      <c r="R770" s="251"/>
      <c r="S770" s="251"/>
      <c r="T770" s="251"/>
      <c r="U770" s="251"/>
      <c r="V770" s="251"/>
      <c r="W770" s="251"/>
      <c r="X770" s="251"/>
      <c r="Y770" s="251"/>
      <c r="Z770" s="251"/>
      <c r="AA770" s="251"/>
      <c r="AB770" s="251"/>
    </row>
    <row r="771" ht="14.25" customHeight="1">
      <c r="A771" s="98" t="s">
        <v>8370</v>
      </c>
      <c r="B771" s="108"/>
      <c r="C771" s="242" t="s">
        <v>8418</v>
      </c>
      <c r="D771" s="98" t="s">
        <v>271</v>
      </c>
      <c r="E771" s="240" t="s">
        <v>8415</v>
      </c>
      <c r="F771" s="240" t="s">
        <v>8364</v>
      </c>
      <c r="G771" s="240" t="s">
        <v>8419</v>
      </c>
      <c r="H771" s="240" t="s">
        <v>8420</v>
      </c>
      <c r="I771" s="272" t="s">
        <v>36</v>
      </c>
      <c r="J771" s="98" t="s">
        <v>1784</v>
      </c>
      <c r="K771" s="251"/>
      <c r="L771" s="251"/>
      <c r="M771" s="251"/>
      <c r="N771" s="251"/>
      <c r="O771" s="251"/>
      <c r="P771" s="251"/>
      <c r="Q771" s="251"/>
      <c r="R771" s="251"/>
      <c r="S771" s="251"/>
      <c r="T771" s="251"/>
      <c r="U771" s="251"/>
      <c r="V771" s="251"/>
      <c r="W771" s="251"/>
      <c r="X771" s="251"/>
      <c r="Y771" s="251"/>
      <c r="Z771" s="251"/>
      <c r="AA771" s="251"/>
      <c r="AB771" s="251"/>
    </row>
    <row r="772" ht="14.25" customHeight="1">
      <c r="A772" s="98" t="s">
        <v>8370</v>
      </c>
      <c r="B772" s="108"/>
      <c r="C772" s="242" t="s">
        <v>8421</v>
      </c>
      <c r="D772" s="98" t="s">
        <v>271</v>
      </c>
      <c r="E772" s="240" t="s">
        <v>8415</v>
      </c>
      <c r="F772" s="240" t="s">
        <v>8364</v>
      </c>
      <c r="G772" s="240" t="s">
        <v>8422</v>
      </c>
      <c r="H772" s="240" t="s">
        <v>8423</v>
      </c>
      <c r="I772" s="272" t="s">
        <v>36</v>
      </c>
      <c r="J772" s="98" t="s">
        <v>1784</v>
      </c>
      <c r="K772" s="251"/>
      <c r="L772" s="251"/>
      <c r="M772" s="251"/>
      <c r="N772" s="251"/>
      <c r="O772" s="251"/>
      <c r="P772" s="251"/>
      <c r="Q772" s="251"/>
      <c r="R772" s="251"/>
      <c r="S772" s="251"/>
      <c r="T772" s="251"/>
      <c r="U772" s="251"/>
      <c r="V772" s="251"/>
      <c r="W772" s="251"/>
      <c r="X772" s="251"/>
      <c r="Y772" s="251"/>
      <c r="Z772" s="251"/>
      <c r="AA772" s="251"/>
      <c r="AB772" s="251"/>
    </row>
    <row r="773" ht="14.25" customHeight="1">
      <c r="A773" s="98" t="s">
        <v>8370</v>
      </c>
      <c r="B773" s="108"/>
      <c r="C773" s="242" t="s">
        <v>8424</v>
      </c>
      <c r="D773" s="98" t="s">
        <v>271</v>
      </c>
      <c r="E773" s="240" t="s">
        <v>8415</v>
      </c>
      <c r="F773" s="240" t="s">
        <v>8364</v>
      </c>
      <c r="G773" s="240" t="s">
        <v>8425</v>
      </c>
      <c r="H773" s="240" t="s">
        <v>8426</v>
      </c>
      <c r="I773" s="272" t="s">
        <v>36</v>
      </c>
      <c r="J773" s="98" t="s">
        <v>1784</v>
      </c>
      <c r="K773" s="251"/>
      <c r="L773" s="251"/>
      <c r="M773" s="251"/>
      <c r="N773" s="251"/>
      <c r="O773" s="251"/>
      <c r="P773" s="251"/>
      <c r="Q773" s="251"/>
      <c r="R773" s="251"/>
      <c r="S773" s="251"/>
      <c r="T773" s="251"/>
      <c r="U773" s="251"/>
      <c r="V773" s="251"/>
      <c r="W773" s="251"/>
      <c r="X773" s="251"/>
      <c r="Y773" s="251"/>
      <c r="Z773" s="251"/>
      <c r="AA773" s="251"/>
      <c r="AB773" s="251"/>
    </row>
    <row r="774" ht="14.25" customHeight="1">
      <c r="A774" s="98" t="s">
        <v>8370</v>
      </c>
      <c r="B774" s="108"/>
      <c r="C774" s="242" t="s">
        <v>8427</v>
      </c>
      <c r="D774" s="98" t="s">
        <v>271</v>
      </c>
      <c r="E774" s="240" t="s">
        <v>8415</v>
      </c>
      <c r="F774" s="240" t="s">
        <v>8364</v>
      </c>
      <c r="G774" s="240" t="s">
        <v>8428</v>
      </c>
      <c r="H774" s="240" t="s">
        <v>8429</v>
      </c>
      <c r="I774" s="272" t="s">
        <v>36</v>
      </c>
      <c r="J774" s="98" t="s">
        <v>1784</v>
      </c>
      <c r="K774" s="251"/>
      <c r="L774" s="251"/>
      <c r="M774" s="251"/>
      <c r="N774" s="251"/>
      <c r="O774" s="251"/>
      <c r="P774" s="251"/>
      <c r="Q774" s="251"/>
      <c r="R774" s="251"/>
      <c r="S774" s="251"/>
      <c r="T774" s="251"/>
      <c r="U774" s="251"/>
      <c r="V774" s="251"/>
      <c r="W774" s="251"/>
      <c r="X774" s="251"/>
      <c r="Y774" s="251"/>
      <c r="Z774" s="251"/>
      <c r="AA774" s="251"/>
      <c r="AB774" s="251"/>
    </row>
    <row r="775" ht="14.25" customHeight="1">
      <c r="A775" s="98" t="s">
        <v>8370</v>
      </c>
      <c r="B775" s="108"/>
      <c r="C775" s="242" t="s">
        <v>8430</v>
      </c>
      <c r="D775" s="98" t="s">
        <v>271</v>
      </c>
      <c r="E775" s="240" t="s">
        <v>8415</v>
      </c>
      <c r="F775" s="240" t="s">
        <v>8364</v>
      </c>
      <c r="G775" s="240" t="s">
        <v>8431</v>
      </c>
      <c r="H775" s="240" t="s">
        <v>8432</v>
      </c>
      <c r="I775" s="272" t="s">
        <v>317</v>
      </c>
      <c r="J775" s="98" t="s">
        <v>1784</v>
      </c>
      <c r="K775" s="251"/>
      <c r="L775" s="251"/>
      <c r="M775" s="251"/>
      <c r="N775" s="251"/>
      <c r="O775" s="251"/>
      <c r="P775" s="251"/>
      <c r="Q775" s="251"/>
      <c r="R775" s="251"/>
      <c r="S775" s="251"/>
      <c r="T775" s="251"/>
      <c r="U775" s="251"/>
      <c r="V775" s="251"/>
      <c r="W775" s="251"/>
      <c r="X775" s="251"/>
      <c r="Y775" s="251"/>
      <c r="Z775" s="251"/>
      <c r="AA775" s="251"/>
      <c r="AB775" s="251"/>
    </row>
    <row r="776" ht="14.25" customHeight="1">
      <c r="A776" s="98" t="s">
        <v>8370</v>
      </c>
      <c r="B776" s="108"/>
      <c r="C776" s="242" t="s">
        <v>8433</v>
      </c>
      <c r="D776" s="98" t="s">
        <v>271</v>
      </c>
      <c r="E776" s="240" t="s">
        <v>8415</v>
      </c>
      <c r="F776" s="240" t="s">
        <v>8364</v>
      </c>
      <c r="G776" s="240" t="s">
        <v>8434</v>
      </c>
      <c r="H776" s="240" t="s">
        <v>8435</v>
      </c>
      <c r="I776" s="272" t="s">
        <v>36</v>
      </c>
      <c r="J776" s="98" t="s">
        <v>1784</v>
      </c>
      <c r="K776" s="251"/>
      <c r="L776" s="251"/>
      <c r="M776" s="251"/>
      <c r="N776" s="251"/>
      <c r="O776" s="251"/>
      <c r="P776" s="251"/>
      <c r="Q776" s="251"/>
      <c r="R776" s="251"/>
      <c r="S776" s="251"/>
      <c r="T776" s="251"/>
      <c r="U776" s="251"/>
      <c r="V776" s="251"/>
      <c r="W776" s="251"/>
      <c r="X776" s="251"/>
      <c r="Y776" s="251"/>
      <c r="Z776" s="251"/>
      <c r="AA776" s="251"/>
      <c r="AB776" s="251"/>
    </row>
    <row r="777" ht="14.25" customHeight="1">
      <c r="A777" s="98" t="s">
        <v>8370</v>
      </c>
      <c r="B777" s="108"/>
      <c r="C777" s="242" t="s">
        <v>8436</v>
      </c>
      <c r="D777" s="98" t="s">
        <v>271</v>
      </c>
      <c r="E777" s="240" t="s">
        <v>8415</v>
      </c>
      <c r="F777" s="240" t="s">
        <v>8364</v>
      </c>
      <c r="G777" s="240" t="s">
        <v>8437</v>
      </c>
      <c r="H777" s="240" t="s">
        <v>8438</v>
      </c>
      <c r="I777" s="272" t="s">
        <v>36</v>
      </c>
      <c r="J777" s="98" t="s">
        <v>1784</v>
      </c>
      <c r="K777" s="251"/>
      <c r="L777" s="251"/>
      <c r="M777" s="251"/>
      <c r="N777" s="251"/>
      <c r="O777" s="251"/>
      <c r="P777" s="251"/>
      <c r="Q777" s="251"/>
      <c r="R777" s="251"/>
      <c r="S777" s="251"/>
      <c r="T777" s="251"/>
      <c r="U777" s="251"/>
      <c r="V777" s="251"/>
      <c r="W777" s="251"/>
      <c r="X777" s="251"/>
      <c r="Y777" s="251"/>
      <c r="Z777" s="251"/>
      <c r="AA777" s="251"/>
      <c r="AB777" s="251"/>
    </row>
    <row r="778" ht="14.25" customHeight="1">
      <c r="A778" s="98" t="s">
        <v>8370</v>
      </c>
      <c r="B778" s="108"/>
      <c r="C778" s="242" t="s">
        <v>8439</v>
      </c>
      <c r="D778" s="98" t="s">
        <v>271</v>
      </c>
      <c r="E778" s="240" t="s">
        <v>8415</v>
      </c>
      <c r="F778" s="240" t="s">
        <v>8364</v>
      </c>
      <c r="G778" s="240" t="s">
        <v>8440</v>
      </c>
      <c r="H778" s="240" t="s">
        <v>8441</v>
      </c>
      <c r="I778" s="272" t="s">
        <v>36</v>
      </c>
      <c r="J778" s="98" t="s">
        <v>1784</v>
      </c>
      <c r="K778" s="251"/>
      <c r="L778" s="251"/>
      <c r="M778" s="251"/>
      <c r="N778" s="251"/>
      <c r="O778" s="251"/>
      <c r="P778" s="251"/>
      <c r="Q778" s="251"/>
      <c r="R778" s="251"/>
      <c r="S778" s="251"/>
      <c r="T778" s="251"/>
      <c r="U778" s="251"/>
      <c r="V778" s="251"/>
      <c r="W778" s="251"/>
      <c r="X778" s="251"/>
      <c r="Y778" s="251"/>
      <c r="Z778" s="251"/>
      <c r="AA778" s="251"/>
      <c r="AB778" s="251"/>
    </row>
    <row r="779" ht="14.25" customHeight="1">
      <c r="A779" s="98" t="s">
        <v>8370</v>
      </c>
      <c r="B779" s="108"/>
      <c r="C779" s="242" t="s">
        <v>8442</v>
      </c>
      <c r="D779" s="98" t="s">
        <v>271</v>
      </c>
      <c r="E779" s="240" t="s">
        <v>8415</v>
      </c>
      <c r="F779" s="240" t="s">
        <v>8364</v>
      </c>
      <c r="G779" s="240" t="s">
        <v>8443</v>
      </c>
      <c r="H779" s="240" t="s">
        <v>8444</v>
      </c>
      <c r="I779" s="272" t="s">
        <v>36</v>
      </c>
      <c r="J779" s="98" t="s">
        <v>1784</v>
      </c>
      <c r="K779" s="251"/>
      <c r="L779" s="251"/>
      <c r="M779" s="251"/>
      <c r="N779" s="251"/>
      <c r="O779" s="251"/>
      <c r="P779" s="251"/>
      <c r="Q779" s="251"/>
      <c r="R779" s="251"/>
      <c r="S779" s="251"/>
      <c r="T779" s="251"/>
      <c r="U779" s="251"/>
      <c r="V779" s="251"/>
      <c r="W779" s="251"/>
      <c r="X779" s="251"/>
      <c r="Y779" s="251"/>
      <c r="Z779" s="251"/>
      <c r="AA779" s="251"/>
      <c r="AB779" s="251"/>
    </row>
    <row r="780" ht="14.25" customHeight="1">
      <c r="A780" s="98" t="s">
        <v>8370</v>
      </c>
      <c r="B780" s="108"/>
      <c r="C780" s="242" t="s">
        <v>8445</v>
      </c>
      <c r="D780" s="98" t="s">
        <v>271</v>
      </c>
      <c r="E780" s="240" t="s">
        <v>8415</v>
      </c>
      <c r="F780" s="240" t="s">
        <v>8364</v>
      </c>
      <c r="G780" s="240" t="s">
        <v>8446</v>
      </c>
      <c r="H780" s="240" t="s">
        <v>8417</v>
      </c>
      <c r="I780" s="272" t="s">
        <v>36</v>
      </c>
      <c r="J780" s="98" t="s">
        <v>1784</v>
      </c>
      <c r="K780" s="251"/>
      <c r="L780" s="251"/>
      <c r="M780" s="251"/>
      <c r="N780" s="251"/>
      <c r="O780" s="251"/>
      <c r="P780" s="251"/>
      <c r="Q780" s="251"/>
      <c r="R780" s="251"/>
      <c r="S780" s="251"/>
      <c r="T780" s="251"/>
      <c r="U780" s="251"/>
      <c r="V780" s="251"/>
      <c r="W780" s="251"/>
      <c r="X780" s="251"/>
      <c r="Y780" s="251"/>
      <c r="Z780" s="251"/>
      <c r="AA780" s="251"/>
      <c r="AB780" s="251"/>
    </row>
    <row r="781" ht="223.5" customHeight="1">
      <c r="A781" s="98" t="s">
        <v>8370</v>
      </c>
      <c r="B781" s="109"/>
      <c r="C781" s="242" t="s">
        <v>8447</v>
      </c>
      <c r="D781" s="98" t="s">
        <v>271</v>
      </c>
      <c r="E781" s="240" t="s">
        <v>8415</v>
      </c>
      <c r="F781" s="240" t="s">
        <v>8364</v>
      </c>
      <c r="G781" s="240" t="s">
        <v>8448</v>
      </c>
      <c r="H781" s="240" t="s">
        <v>8449</v>
      </c>
      <c r="I781" s="272" t="s">
        <v>36</v>
      </c>
      <c r="J781" s="98" t="s">
        <v>1784</v>
      </c>
      <c r="K781" s="251"/>
      <c r="L781" s="251"/>
      <c r="M781" s="251"/>
      <c r="N781" s="251"/>
      <c r="O781" s="251"/>
      <c r="P781" s="251"/>
      <c r="Q781" s="251"/>
      <c r="R781" s="251"/>
      <c r="S781" s="251"/>
      <c r="T781" s="251"/>
      <c r="U781" s="251"/>
      <c r="V781" s="251"/>
      <c r="W781" s="251"/>
      <c r="X781" s="251"/>
      <c r="Y781" s="251"/>
      <c r="Z781" s="251"/>
      <c r="AA781" s="251"/>
      <c r="AB781" s="251"/>
    </row>
    <row r="782" ht="14.25" customHeight="1">
      <c r="A782" s="251"/>
      <c r="B782" s="263"/>
      <c r="C782" s="242" t="s">
        <v>8450</v>
      </c>
      <c r="D782" s="98" t="s">
        <v>271</v>
      </c>
      <c r="E782" s="240" t="s">
        <v>8451</v>
      </c>
      <c r="F782" s="240" t="s">
        <v>8452</v>
      </c>
      <c r="G782" s="240" t="s">
        <v>8453</v>
      </c>
      <c r="H782" s="240" t="s">
        <v>8454</v>
      </c>
      <c r="I782" s="272" t="s">
        <v>36</v>
      </c>
      <c r="J782" s="98" t="s">
        <v>1784</v>
      </c>
      <c r="K782" s="251"/>
      <c r="L782" s="251"/>
      <c r="M782" s="251"/>
      <c r="N782" s="251"/>
      <c r="O782" s="251"/>
      <c r="P782" s="251"/>
      <c r="Q782" s="251"/>
      <c r="R782" s="251"/>
      <c r="S782" s="251"/>
      <c r="T782" s="251"/>
      <c r="U782" s="251"/>
      <c r="V782" s="251"/>
      <c r="W782" s="251"/>
      <c r="X782" s="251"/>
      <c r="Y782" s="251"/>
      <c r="Z782" s="251"/>
      <c r="AA782" s="251"/>
      <c r="AB782" s="251"/>
    </row>
    <row r="783" ht="14.25" customHeight="1">
      <c r="A783" s="251"/>
      <c r="B783" s="263"/>
      <c r="C783" s="242" t="s">
        <v>8455</v>
      </c>
      <c r="D783" s="98" t="s">
        <v>271</v>
      </c>
      <c r="E783" s="240" t="s">
        <v>8451</v>
      </c>
      <c r="F783" s="240" t="s">
        <v>8456</v>
      </c>
      <c r="G783" s="240" t="s">
        <v>8457</v>
      </c>
      <c r="H783" s="240" t="s">
        <v>8458</v>
      </c>
      <c r="I783" s="272" t="s">
        <v>36</v>
      </c>
      <c r="J783" s="98" t="s">
        <v>1784</v>
      </c>
      <c r="K783" s="251"/>
      <c r="L783" s="251"/>
      <c r="M783" s="251"/>
      <c r="N783" s="251"/>
      <c r="O783" s="251"/>
      <c r="P783" s="251"/>
      <c r="Q783" s="251"/>
      <c r="R783" s="251"/>
      <c r="S783" s="251"/>
      <c r="T783" s="251"/>
      <c r="U783" s="251"/>
      <c r="V783" s="251"/>
      <c r="W783" s="251"/>
      <c r="X783" s="251"/>
      <c r="Y783" s="251"/>
      <c r="Z783" s="251"/>
      <c r="AA783" s="251"/>
      <c r="AB783" s="251"/>
    </row>
    <row r="784" ht="14.25" customHeight="1">
      <c r="A784" s="98" t="s">
        <v>8459</v>
      </c>
      <c r="B784" s="257" t="s">
        <v>8460</v>
      </c>
      <c r="C784" s="242" t="s">
        <v>8461</v>
      </c>
      <c r="D784" s="98" t="s">
        <v>271</v>
      </c>
      <c r="E784" s="240" t="s">
        <v>8462</v>
      </c>
      <c r="F784" s="240" t="s">
        <v>8463</v>
      </c>
      <c r="G784" s="240" t="s">
        <v>8464</v>
      </c>
      <c r="H784" s="240" t="s">
        <v>8465</v>
      </c>
      <c r="I784" s="240" t="s">
        <v>36</v>
      </c>
      <c r="J784" s="98" t="s">
        <v>1784</v>
      </c>
      <c r="K784" s="251"/>
      <c r="L784" s="251"/>
      <c r="M784" s="251"/>
      <c r="N784" s="251"/>
      <c r="O784" s="251"/>
      <c r="P784" s="251"/>
      <c r="Q784" s="251"/>
      <c r="R784" s="251"/>
      <c r="S784" s="251"/>
      <c r="T784" s="251"/>
      <c r="U784" s="251"/>
      <c r="V784" s="251"/>
      <c r="W784" s="251"/>
      <c r="X784" s="251"/>
      <c r="Y784" s="251"/>
      <c r="Z784" s="251"/>
      <c r="AA784" s="251"/>
      <c r="AB784" s="251"/>
    </row>
    <row r="785" ht="14.25" customHeight="1">
      <c r="A785" s="98" t="s">
        <v>8459</v>
      </c>
      <c r="B785" s="108"/>
      <c r="C785" s="242" t="s">
        <v>8466</v>
      </c>
      <c r="D785" s="98" t="s">
        <v>271</v>
      </c>
      <c r="E785" s="240" t="s">
        <v>8462</v>
      </c>
      <c r="F785" s="240" t="s">
        <v>8467</v>
      </c>
      <c r="G785" s="240" t="s">
        <v>8468</v>
      </c>
      <c r="H785" s="240" t="s">
        <v>8469</v>
      </c>
      <c r="I785" s="240" t="s">
        <v>36</v>
      </c>
      <c r="J785" s="98" t="s">
        <v>1784</v>
      </c>
      <c r="K785" s="251"/>
      <c r="L785" s="251"/>
      <c r="M785" s="251"/>
      <c r="N785" s="251"/>
      <c r="O785" s="251"/>
      <c r="P785" s="251"/>
      <c r="Q785" s="251"/>
      <c r="R785" s="251"/>
      <c r="S785" s="251"/>
      <c r="T785" s="251"/>
      <c r="U785" s="251"/>
      <c r="V785" s="251"/>
      <c r="W785" s="251"/>
      <c r="X785" s="251"/>
      <c r="Y785" s="251"/>
      <c r="Z785" s="251"/>
      <c r="AA785" s="251"/>
      <c r="AB785" s="251"/>
    </row>
    <row r="786" ht="14.25" customHeight="1">
      <c r="A786" s="98" t="s">
        <v>8459</v>
      </c>
      <c r="B786" s="108"/>
      <c r="C786" s="242" t="s">
        <v>8470</v>
      </c>
      <c r="D786" s="98" t="s">
        <v>271</v>
      </c>
      <c r="E786" s="240" t="s">
        <v>8462</v>
      </c>
      <c r="F786" s="240" t="s">
        <v>8467</v>
      </c>
      <c r="G786" s="240" t="s">
        <v>8471</v>
      </c>
      <c r="H786" s="240" t="s">
        <v>8472</v>
      </c>
      <c r="I786" s="240" t="s">
        <v>36</v>
      </c>
      <c r="J786" s="98" t="s">
        <v>1784</v>
      </c>
      <c r="K786" s="251"/>
      <c r="L786" s="251"/>
      <c r="M786" s="251"/>
      <c r="N786" s="251"/>
      <c r="O786" s="251"/>
      <c r="P786" s="251"/>
      <c r="Q786" s="251"/>
      <c r="R786" s="251"/>
      <c r="S786" s="251"/>
      <c r="T786" s="251"/>
      <c r="U786" s="251"/>
      <c r="V786" s="251"/>
      <c r="W786" s="251"/>
      <c r="X786" s="251"/>
      <c r="Y786" s="251"/>
      <c r="Z786" s="251"/>
      <c r="AA786" s="251"/>
      <c r="AB786" s="251"/>
    </row>
    <row r="787" ht="14.25" customHeight="1">
      <c r="A787" s="98" t="s">
        <v>8459</v>
      </c>
      <c r="B787" s="108"/>
      <c r="C787" s="242" t="s">
        <v>8473</v>
      </c>
      <c r="D787" s="98" t="s">
        <v>271</v>
      </c>
      <c r="E787" s="240" t="s">
        <v>8462</v>
      </c>
      <c r="F787" s="240" t="s">
        <v>8467</v>
      </c>
      <c r="G787" s="240" t="s">
        <v>8474</v>
      </c>
      <c r="H787" s="240" t="s">
        <v>8475</v>
      </c>
      <c r="I787" s="240" t="s">
        <v>36</v>
      </c>
      <c r="J787" s="98" t="s">
        <v>1784</v>
      </c>
      <c r="K787" s="251"/>
      <c r="L787" s="251"/>
      <c r="M787" s="251"/>
      <c r="N787" s="251"/>
      <c r="O787" s="251"/>
      <c r="P787" s="251"/>
      <c r="Q787" s="251"/>
      <c r="R787" s="251"/>
      <c r="S787" s="251"/>
      <c r="T787" s="251"/>
      <c r="U787" s="251"/>
      <c r="V787" s="251"/>
      <c r="W787" s="251"/>
      <c r="X787" s="251"/>
      <c r="Y787" s="251"/>
      <c r="Z787" s="251"/>
      <c r="AA787" s="251"/>
      <c r="AB787" s="251"/>
    </row>
    <row r="788" ht="14.25" customHeight="1">
      <c r="A788" s="98" t="s">
        <v>8459</v>
      </c>
      <c r="B788" s="108"/>
      <c r="C788" s="242" t="s">
        <v>8476</v>
      </c>
      <c r="D788" s="98" t="s">
        <v>271</v>
      </c>
      <c r="E788" s="240" t="s">
        <v>8462</v>
      </c>
      <c r="F788" s="240" t="s">
        <v>8467</v>
      </c>
      <c r="G788" s="240" t="s">
        <v>8477</v>
      </c>
      <c r="H788" s="240" t="s">
        <v>8478</v>
      </c>
      <c r="I788" s="240" t="s">
        <v>36</v>
      </c>
      <c r="J788" s="98" t="s">
        <v>1784</v>
      </c>
      <c r="K788" s="251"/>
      <c r="L788" s="251"/>
      <c r="M788" s="251"/>
      <c r="N788" s="251"/>
      <c r="O788" s="251"/>
      <c r="P788" s="251"/>
      <c r="Q788" s="251"/>
      <c r="R788" s="251"/>
      <c r="S788" s="251"/>
      <c r="T788" s="251"/>
      <c r="U788" s="251"/>
      <c r="V788" s="251"/>
      <c r="W788" s="251"/>
      <c r="X788" s="251"/>
      <c r="Y788" s="251"/>
      <c r="Z788" s="251"/>
      <c r="AA788" s="251"/>
      <c r="AB788" s="251"/>
    </row>
    <row r="789" ht="14.25" customHeight="1">
      <c r="A789" s="98" t="s">
        <v>8459</v>
      </c>
      <c r="B789" s="108"/>
      <c r="C789" s="242" t="s">
        <v>8479</v>
      </c>
      <c r="D789" s="98" t="s">
        <v>271</v>
      </c>
      <c r="E789" s="240" t="s">
        <v>8462</v>
      </c>
      <c r="F789" s="240" t="s">
        <v>8467</v>
      </c>
      <c r="G789" s="240" t="s">
        <v>8480</v>
      </c>
      <c r="H789" s="240" t="s">
        <v>8481</v>
      </c>
      <c r="I789" s="240" t="s">
        <v>36</v>
      </c>
      <c r="J789" s="98" t="s">
        <v>1784</v>
      </c>
      <c r="K789" s="251"/>
      <c r="L789" s="251"/>
      <c r="M789" s="251"/>
      <c r="N789" s="251"/>
      <c r="O789" s="251"/>
      <c r="P789" s="251"/>
      <c r="Q789" s="251"/>
      <c r="R789" s="251"/>
      <c r="S789" s="251"/>
      <c r="T789" s="251"/>
      <c r="U789" s="251"/>
      <c r="V789" s="251"/>
      <c r="W789" s="251"/>
      <c r="X789" s="251"/>
      <c r="Y789" s="251"/>
      <c r="Z789" s="251"/>
      <c r="AA789" s="251"/>
      <c r="AB789" s="251"/>
    </row>
    <row r="790" ht="14.25" customHeight="1">
      <c r="A790" s="98" t="s">
        <v>8459</v>
      </c>
      <c r="B790" s="108"/>
      <c r="C790" s="242" t="s">
        <v>8482</v>
      </c>
      <c r="D790" s="98" t="s">
        <v>271</v>
      </c>
      <c r="E790" s="240" t="s">
        <v>8462</v>
      </c>
      <c r="F790" s="240" t="s">
        <v>8467</v>
      </c>
      <c r="G790" s="240" t="s">
        <v>8483</v>
      </c>
      <c r="H790" s="240" t="s">
        <v>8484</v>
      </c>
      <c r="I790" s="240" t="s">
        <v>36</v>
      </c>
      <c r="J790" s="98" t="s">
        <v>1784</v>
      </c>
      <c r="K790" s="251"/>
      <c r="L790" s="251"/>
      <c r="M790" s="251"/>
      <c r="N790" s="251"/>
      <c r="O790" s="251"/>
      <c r="P790" s="251"/>
      <c r="Q790" s="251"/>
      <c r="R790" s="251"/>
      <c r="S790" s="251"/>
      <c r="T790" s="251"/>
      <c r="U790" s="251"/>
      <c r="V790" s="251"/>
      <c r="W790" s="251"/>
      <c r="X790" s="251"/>
      <c r="Y790" s="251"/>
      <c r="Z790" s="251"/>
      <c r="AA790" s="251"/>
      <c r="AB790" s="251"/>
    </row>
    <row r="791" ht="14.25" customHeight="1">
      <c r="A791" s="98" t="s">
        <v>8459</v>
      </c>
      <c r="B791" s="108"/>
      <c r="C791" s="242" t="s">
        <v>8485</v>
      </c>
      <c r="D791" s="98" t="s">
        <v>271</v>
      </c>
      <c r="E791" s="240" t="s">
        <v>8462</v>
      </c>
      <c r="F791" s="240" t="s">
        <v>8467</v>
      </c>
      <c r="G791" s="240" t="s">
        <v>8486</v>
      </c>
      <c r="H791" s="240" t="s">
        <v>8487</v>
      </c>
      <c r="I791" s="240" t="s">
        <v>36</v>
      </c>
      <c r="J791" s="98" t="s">
        <v>1784</v>
      </c>
      <c r="K791" s="251"/>
      <c r="L791" s="251"/>
      <c r="M791" s="251"/>
      <c r="N791" s="251"/>
      <c r="O791" s="251"/>
      <c r="P791" s="251"/>
      <c r="Q791" s="251"/>
      <c r="R791" s="251"/>
      <c r="S791" s="251"/>
      <c r="T791" s="251"/>
      <c r="U791" s="251"/>
      <c r="V791" s="251"/>
      <c r="W791" s="251"/>
      <c r="X791" s="251"/>
      <c r="Y791" s="251"/>
      <c r="Z791" s="251"/>
      <c r="AA791" s="251"/>
      <c r="AB791" s="251"/>
    </row>
    <row r="792" ht="14.25" customHeight="1">
      <c r="A792" s="98" t="s">
        <v>8459</v>
      </c>
      <c r="B792" s="108"/>
      <c r="C792" s="242" t="s">
        <v>8488</v>
      </c>
      <c r="D792" s="98" t="s">
        <v>271</v>
      </c>
      <c r="E792" s="240" t="s">
        <v>8462</v>
      </c>
      <c r="F792" s="240" t="s">
        <v>8467</v>
      </c>
      <c r="G792" s="240" t="s">
        <v>8489</v>
      </c>
      <c r="H792" s="240" t="s">
        <v>8490</v>
      </c>
      <c r="I792" s="240" t="s">
        <v>36</v>
      </c>
      <c r="J792" s="98" t="s">
        <v>1784</v>
      </c>
      <c r="K792" s="251"/>
      <c r="L792" s="251"/>
      <c r="M792" s="251"/>
      <c r="N792" s="251"/>
      <c r="O792" s="251"/>
      <c r="P792" s="251"/>
      <c r="Q792" s="251"/>
      <c r="R792" s="251"/>
      <c r="S792" s="251"/>
      <c r="T792" s="251"/>
      <c r="U792" s="251"/>
      <c r="V792" s="251"/>
      <c r="W792" s="251"/>
      <c r="X792" s="251"/>
      <c r="Y792" s="251"/>
      <c r="Z792" s="251"/>
      <c r="AA792" s="251"/>
      <c r="AB792" s="251"/>
    </row>
    <row r="793" ht="14.25" customHeight="1">
      <c r="A793" s="98" t="s">
        <v>8459</v>
      </c>
      <c r="B793" s="108"/>
      <c r="C793" s="242" t="s">
        <v>8491</v>
      </c>
      <c r="D793" s="98" t="s">
        <v>271</v>
      </c>
      <c r="E793" s="240" t="s">
        <v>8462</v>
      </c>
      <c r="F793" s="240" t="s">
        <v>8467</v>
      </c>
      <c r="G793" s="240" t="s">
        <v>8492</v>
      </c>
      <c r="H793" s="240" t="s">
        <v>8493</v>
      </c>
      <c r="I793" s="240" t="s">
        <v>317</v>
      </c>
      <c r="J793" s="98" t="s">
        <v>1784</v>
      </c>
      <c r="K793" s="251"/>
      <c r="L793" s="251"/>
      <c r="M793" s="251"/>
      <c r="N793" s="251"/>
      <c r="O793" s="251"/>
      <c r="P793" s="251"/>
      <c r="Q793" s="251"/>
      <c r="R793" s="251"/>
      <c r="S793" s="251"/>
      <c r="T793" s="251"/>
      <c r="U793" s="251"/>
      <c r="V793" s="251"/>
      <c r="W793" s="251"/>
      <c r="X793" s="251"/>
      <c r="Y793" s="251"/>
      <c r="Z793" s="251"/>
      <c r="AA793" s="251"/>
      <c r="AB793" s="251"/>
    </row>
    <row r="794" ht="14.25" customHeight="1">
      <c r="A794" s="98" t="s">
        <v>8459</v>
      </c>
      <c r="B794" s="108"/>
      <c r="C794" s="242" t="s">
        <v>8494</v>
      </c>
      <c r="D794" s="98" t="s">
        <v>271</v>
      </c>
      <c r="E794" s="240" t="s">
        <v>8462</v>
      </c>
      <c r="F794" s="240" t="s">
        <v>8467</v>
      </c>
      <c r="G794" s="240" t="s">
        <v>8495</v>
      </c>
      <c r="H794" s="240" t="s">
        <v>8496</v>
      </c>
      <c r="I794" s="240" t="s">
        <v>36</v>
      </c>
      <c r="J794" s="98" t="s">
        <v>1784</v>
      </c>
      <c r="K794" s="251"/>
      <c r="L794" s="251"/>
      <c r="M794" s="251"/>
      <c r="N794" s="251"/>
      <c r="O794" s="251"/>
      <c r="P794" s="251"/>
      <c r="Q794" s="251"/>
      <c r="R794" s="251"/>
      <c r="S794" s="251"/>
      <c r="T794" s="251"/>
      <c r="U794" s="251"/>
      <c r="V794" s="251"/>
      <c r="W794" s="251"/>
      <c r="X794" s="251"/>
      <c r="Y794" s="251"/>
      <c r="Z794" s="251"/>
      <c r="AA794" s="251"/>
      <c r="AB794" s="251"/>
    </row>
    <row r="795" ht="14.25" customHeight="1">
      <c r="A795" s="98" t="s">
        <v>8459</v>
      </c>
      <c r="B795" s="108"/>
      <c r="C795" s="242" t="s">
        <v>8497</v>
      </c>
      <c r="D795" s="98" t="s">
        <v>271</v>
      </c>
      <c r="E795" s="240" t="s">
        <v>8462</v>
      </c>
      <c r="F795" s="240" t="s">
        <v>8467</v>
      </c>
      <c r="G795" s="240" t="s">
        <v>8498</v>
      </c>
      <c r="H795" s="240" t="s">
        <v>8499</v>
      </c>
      <c r="I795" s="240" t="s">
        <v>36</v>
      </c>
      <c r="J795" s="98" t="s">
        <v>1784</v>
      </c>
      <c r="K795" s="251"/>
      <c r="L795" s="251"/>
      <c r="M795" s="251"/>
      <c r="N795" s="251"/>
      <c r="O795" s="251"/>
      <c r="P795" s="251"/>
      <c r="Q795" s="251"/>
      <c r="R795" s="251"/>
      <c r="S795" s="251"/>
      <c r="T795" s="251"/>
      <c r="U795" s="251"/>
      <c r="V795" s="251"/>
      <c r="W795" s="251"/>
      <c r="X795" s="251"/>
      <c r="Y795" s="251"/>
      <c r="Z795" s="251"/>
      <c r="AA795" s="251"/>
      <c r="AB795" s="251"/>
    </row>
    <row r="796" ht="14.25" customHeight="1">
      <c r="A796" s="98" t="s">
        <v>8459</v>
      </c>
      <c r="B796" s="109"/>
      <c r="C796" s="242" t="s">
        <v>8500</v>
      </c>
      <c r="D796" s="98" t="s">
        <v>271</v>
      </c>
      <c r="E796" s="240" t="s">
        <v>8462</v>
      </c>
      <c r="F796" s="240" t="s">
        <v>8467</v>
      </c>
      <c r="G796" s="240" t="s">
        <v>8501</v>
      </c>
      <c r="H796" s="240" t="s">
        <v>8502</v>
      </c>
      <c r="I796" s="240" t="s">
        <v>317</v>
      </c>
      <c r="J796" s="98" t="s">
        <v>1784</v>
      </c>
      <c r="K796" s="251"/>
      <c r="L796" s="251"/>
      <c r="M796" s="251"/>
      <c r="N796" s="251"/>
      <c r="O796" s="251"/>
      <c r="P796" s="251"/>
      <c r="Q796" s="251"/>
      <c r="R796" s="251"/>
      <c r="S796" s="251"/>
      <c r="T796" s="251"/>
      <c r="U796" s="251"/>
      <c r="V796" s="251"/>
      <c r="W796" s="251"/>
      <c r="X796" s="251"/>
      <c r="Y796" s="251"/>
      <c r="Z796" s="251"/>
      <c r="AA796" s="251"/>
      <c r="AB796" s="251"/>
    </row>
    <row r="797">
      <c r="A797" s="138"/>
      <c r="B797" s="138"/>
      <c r="C797" s="242" t="s">
        <v>8503</v>
      </c>
      <c r="D797" s="98" t="s">
        <v>271</v>
      </c>
      <c r="E797" s="273" t="s">
        <v>3637</v>
      </c>
      <c r="F797" s="273" t="s">
        <v>8504</v>
      </c>
      <c r="G797" s="273" t="s">
        <v>8505</v>
      </c>
      <c r="H797" s="274" t="s">
        <v>8506</v>
      </c>
      <c r="I797" s="240" t="s">
        <v>36</v>
      </c>
      <c r="J797" s="98" t="s">
        <v>1784</v>
      </c>
      <c r="K797" s="138"/>
      <c r="L797" s="138"/>
      <c r="M797" s="138"/>
      <c r="N797" s="138"/>
      <c r="O797" s="138"/>
      <c r="P797" s="138"/>
      <c r="Q797" s="138"/>
      <c r="R797" s="138"/>
      <c r="S797" s="138"/>
      <c r="T797" s="138"/>
      <c r="U797" s="138"/>
      <c r="V797" s="138"/>
      <c r="W797" s="138"/>
      <c r="X797" s="138"/>
      <c r="Y797" s="138"/>
      <c r="Z797" s="138"/>
      <c r="AA797" s="138"/>
      <c r="AB797" s="138"/>
    </row>
    <row r="798">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c r="AA798" s="138"/>
      <c r="AB798" s="138"/>
    </row>
    <row r="799" ht="14.25" customHeight="1">
      <c r="A799" s="251"/>
      <c r="B799" s="263"/>
      <c r="C799" s="275"/>
      <c r="D799" s="98"/>
      <c r="E799" s="240"/>
      <c r="F799" s="240"/>
      <c r="G799" s="240"/>
      <c r="H799" s="240"/>
      <c r="I799" s="276"/>
      <c r="J799" s="251"/>
      <c r="K799" s="251"/>
      <c r="L799" s="251"/>
      <c r="M799" s="251"/>
      <c r="N799" s="251"/>
      <c r="O799" s="251"/>
      <c r="P799" s="251"/>
      <c r="Q799" s="251"/>
      <c r="R799" s="251"/>
      <c r="S799" s="251"/>
      <c r="T799" s="251"/>
      <c r="U799" s="251"/>
      <c r="V799" s="251"/>
      <c r="W799" s="251"/>
      <c r="X799" s="251"/>
      <c r="Y799" s="251"/>
      <c r="Z799" s="251"/>
      <c r="AA799" s="251"/>
      <c r="AB799" s="251"/>
    </row>
    <row r="800" ht="14.25" customHeight="1">
      <c r="A800" s="251"/>
      <c r="B800" s="263"/>
      <c r="C800" s="275"/>
      <c r="D800" s="98"/>
      <c r="E800" s="240"/>
      <c r="F800" s="240"/>
      <c r="G800" s="240"/>
      <c r="H800" s="240"/>
      <c r="I800" s="276"/>
      <c r="J800" s="251"/>
      <c r="K800" s="251"/>
      <c r="L800" s="251"/>
      <c r="M800" s="251"/>
      <c r="N800" s="251"/>
      <c r="O800" s="251"/>
      <c r="P800" s="251"/>
      <c r="Q800" s="251"/>
      <c r="R800" s="251"/>
      <c r="S800" s="251"/>
      <c r="T800" s="251"/>
      <c r="U800" s="251"/>
      <c r="V800" s="251"/>
      <c r="W800" s="251"/>
      <c r="X800" s="251"/>
      <c r="Y800" s="251"/>
      <c r="Z800" s="251"/>
      <c r="AA800" s="251"/>
      <c r="AB800" s="251"/>
    </row>
    <row r="801" ht="14.25" customHeight="1">
      <c r="A801" s="251"/>
      <c r="B801" s="263"/>
      <c r="C801" s="275"/>
      <c r="D801" s="98"/>
      <c r="E801" s="240"/>
      <c r="F801" s="240"/>
      <c r="G801" s="240"/>
      <c r="H801" s="240"/>
      <c r="I801" s="276"/>
      <c r="J801" s="251"/>
      <c r="K801" s="251"/>
      <c r="L801" s="251"/>
      <c r="M801" s="251"/>
      <c r="N801" s="251"/>
      <c r="O801" s="251"/>
      <c r="P801" s="251"/>
      <c r="Q801" s="251"/>
      <c r="R801" s="251"/>
      <c r="S801" s="251"/>
      <c r="T801" s="251"/>
      <c r="U801" s="251"/>
      <c r="V801" s="251"/>
      <c r="W801" s="251"/>
      <c r="X801" s="251"/>
      <c r="Y801" s="251"/>
      <c r="Z801" s="251"/>
      <c r="AA801" s="251"/>
      <c r="AB801" s="251"/>
    </row>
    <row r="802" ht="14.25" customHeight="1">
      <c r="A802" s="251"/>
      <c r="B802" s="263"/>
      <c r="C802" s="275"/>
      <c r="D802" s="98"/>
      <c r="E802" s="240"/>
      <c r="F802" s="240"/>
      <c r="G802" s="240"/>
      <c r="H802" s="240"/>
      <c r="I802" s="276"/>
      <c r="J802" s="251"/>
      <c r="K802" s="251"/>
      <c r="L802" s="251"/>
      <c r="M802" s="251"/>
      <c r="N802" s="251"/>
      <c r="O802" s="251"/>
      <c r="P802" s="251"/>
      <c r="Q802" s="251"/>
      <c r="R802" s="251"/>
      <c r="S802" s="251"/>
      <c r="T802" s="251"/>
      <c r="U802" s="251"/>
      <c r="V802" s="251"/>
      <c r="W802" s="251"/>
      <c r="X802" s="251"/>
      <c r="Y802" s="251"/>
      <c r="Z802" s="251"/>
      <c r="AA802" s="251"/>
      <c r="AB802" s="251"/>
    </row>
    <row r="803" ht="14.25" customHeight="1">
      <c r="A803" s="251"/>
      <c r="B803" s="263"/>
      <c r="C803" s="275"/>
      <c r="D803" s="98"/>
      <c r="E803" s="240"/>
      <c r="F803" s="240"/>
      <c r="G803" s="240"/>
      <c r="H803" s="240"/>
      <c r="I803" s="276"/>
      <c r="J803" s="251"/>
      <c r="K803" s="251"/>
      <c r="L803" s="251"/>
      <c r="M803" s="251"/>
      <c r="N803" s="251"/>
      <c r="O803" s="251"/>
      <c r="P803" s="251"/>
      <c r="Q803" s="251"/>
      <c r="R803" s="251"/>
      <c r="S803" s="251"/>
      <c r="T803" s="251"/>
      <c r="U803" s="251"/>
      <c r="V803" s="251"/>
      <c r="W803" s="251"/>
      <c r="X803" s="251"/>
      <c r="Y803" s="251"/>
      <c r="Z803" s="251"/>
      <c r="AA803" s="251"/>
      <c r="AB803" s="251"/>
    </row>
    <row r="804" ht="14.25" customHeight="1">
      <c r="A804" s="251"/>
      <c r="B804" s="263"/>
      <c r="C804" s="275"/>
      <c r="D804" s="98"/>
      <c r="E804" s="240"/>
      <c r="F804" s="240"/>
      <c r="G804" s="240"/>
      <c r="H804" s="240"/>
      <c r="I804" s="276"/>
      <c r="J804" s="251"/>
      <c r="K804" s="251"/>
      <c r="L804" s="251"/>
      <c r="M804" s="251"/>
      <c r="N804" s="251"/>
      <c r="O804" s="251"/>
      <c r="P804" s="251"/>
      <c r="Q804" s="251"/>
      <c r="R804" s="251"/>
      <c r="S804" s="251"/>
      <c r="T804" s="251"/>
      <c r="U804" s="251"/>
      <c r="V804" s="251"/>
      <c r="W804" s="251"/>
      <c r="X804" s="251"/>
      <c r="Y804" s="251"/>
      <c r="Z804" s="251"/>
      <c r="AA804" s="251"/>
      <c r="AB804" s="251"/>
    </row>
    <row r="805" ht="14.25" customHeight="1">
      <c r="A805" s="251"/>
      <c r="B805" s="263"/>
      <c r="C805" s="275"/>
      <c r="D805" s="98"/>
      <c r="E805" s="240"/>
      <c r="F805" s="240"/>
      <c r="G805" s="240"/>
      <c r="H805" s="240"/>
      <c r="I805" s="276"/>
      <c r="J805" s="251"/>
      <c r="K805" s="251"/>
      <c r="L805" s="251"/>
      <c r="M805" s="251"/>
      <c r="N805" s="251"/>
      <c r="O805" s="251"/>
      <c r="P805" s="251"/>
      <c r="Q805" s="251"/>
      <c r="R805" s="251"/>
      <c r="S805" s="251"/>
      <c r="T805" s="251"/>
      <c r="U805" s="251"/>
      <c r="V805" s="251"/>
      <c r="W805" s="251"/>
      <c r="X805" s="251"/>
      <c r="Y805" s="251"/>
      <c r="Z805" s="251"/>
      <c r="AA805" s="251"/>
      <c r="AB805" s="251"/>
    </row>
    <row r="806" ht="14.25" customHeight="1">
      <c r="A806" s="251"/>
      <c r="B806" s="263"/>
      <c r="C806" s="275"/>
      <c r="D806" s="98"/>
      <c r="E806" s="240"/>
      <c r="F806" s="240"/>
      <c r="G806" s="240"/>
      <c r="H806" s="240"/>
      <c r="I806" s="276"/>
      <c r="J806" s="251"/>
      <c r="K806" s="251"/>
      <c r="L806" s="251"/>
      <c r="M806" s="251"/>
      <c r="N806" s="251"/>
      <c r="O806" s="251"/>
      <c r="P806" s="251"/>
      <c r="Q806" s="251"/>
      <c r="R806" s="251"/>
      <c r="S806" s="251"/>
      <c r="T806" s="251"/>
      <c r="U806" s="251"/>
      <c r="V806" s="251"/>
      <c r="W806" s="251"/>
      <c r="X806" s="251"/>
      <c r="Y806" s="251"/>
      <c r="Z806" s="251"/>
      <c r="AA806" s="251"/>
      <c r="AB806" s="251"/>
    </row>
    <row r="807" ht="14.25" customHeight="1">
      <c r="A807" s="251"/>
      <c r="B807" s="263"/>
      <c r="C807" s="275"/>
      <c r="D807" s="98"/>
      <c r="E807" s="240"/>
      <c r="F807" s="240"/>
      <c r="G807" s="240"/>
      <c r="H807" s="240"/>
      <c r="I807" s="276"/>
      <c r="J807" s="251"/>
      <c r="K807" s="251"/>
      <c r="L807" s="251"/>
      <c r="M807" s="251"/>
      <c r="N807" s="251"/>
      <c r="O807" s="251"/>
      <c r="P807" s="251"/>
      <c r="Q807" s="251"/>
      <c r="R807" s="251"/>
      <c r="S807" s="251"/>
      <c r="T807" s="251"/>
      <c r="U807" s="251"/>
      <c r="V807" s="251"/>
      <c r="W807" s="251"/>
      <c r="X807" s="251"/>
      <c r="Y807" s="251"/>
      <c r="Z807" s="251"/>
      <c r="AA807" s="251"/>
      <c r="AB807" s="251"/>
    </row>
    <row r="808" ht="14.25" customHeight="1">
      <c r="A808" s="251"/>
      <c r="B808" s="263"/>
      <c r="C808" s="275"/>
      <c r="D808" s="98"/>
      <c r="E808" s="240"/>
      <c r="F808" s="240"/>
      <c r="G808" s="240"/>
      <c r="H808" s="240"/>
      <c r="I808" s="276"/>
      <c r="J808" s="251"/>
      <c r="K808" s="251"/>
      <c r="L808" s="251"/>
      <c r="M808" s="251"/>
      <c r="N808" s="251"/>
      <c r="O808" s="251"/>
      <c r="P808" s="251"/>
      <c r="Q808" s="251"/>
      <c r="R808" s="251"/>
      <c r="S808" s="251"/>
      <c r="T808" s="251"/>
      <c r="U808" s="251"/>
      <c r="V808" s="251"/>
      <c r="W808" s="251"/>
      <c r="X808" s="251"/>
      <c r="Y808" s="251"/>
      <c r="Z808" s="251"/>
      <c r="AA808" s="251"/>
      <c r="AB808" s="251"/>
    </row>
    <row r="809" ht="14.25" customHeight="1">
      <c r="A809" s="251"/>
      <c r="B809" s="263"/>
      <c r="C809" s="275"/>
      <c r="D809" s="98"/>
      <c r="E809" s="240"/>
      <c r="F809" s="240"/>
      <c r="G809" s="240"/>
      <c r="H809" s="240"/>
      <c r="I809" s="276"/>
      <c r="J809" s="251"/>
      <c r="K809" s="251"/>
      <c r="L809" s="251"/>
      <c r="M809" s="251"/>
      <c r="N809" s="251"/>
      <c r="O809" s="251"/>
      <c r="P809" s="251"/>
      <c r="Q809" s="251"/>
      <c r="R809" s="251"/>
      <c r="S809" s="251"/>
      <c r="T809" s="251"/>
      <c r="U809" s="251"/>
      <c r="V809" s="251"/>
      <c r="W809" s="251"/>
      <c r="X809" s="251"/>
      <c r="Y809" s="251"/>
      <c r="Z809" s="251"/>
      <c r="AA809" s="251"/>
      <c r="AB809" s="251"/>
    </row>
    <row r="810" ht="14.25" customHeight="1">
      <c r="A810" s="251"/>
      <c r="B810" s="263"/>
      <c r="C810" s="275"/>
      <c r="D810" s="98"/>
      <c r="E810" s="240"/>
      <c r="F810" s="240"/>
      <c r="G810" s="240"/>
      <c r="H810" s="240"/>
      <c r="I810" s="276"/>
      <c r="J810" s="251"/>
      <c r="K810" s="251"/>
      <c r="L810" s="251"/>
      <c r="M810" s="251"/>
      <c r="N810" s="251"/>
      <c r="O810" s="251"/>
      <c r="P810" s="251"/>
      <c r="Q810" s="251"/>
      <c r="R810" s="251"/>
      <c r="S810" s="251"/>
      <c r="T810" s="251"/>
      <c r="U810" s="251"/>
      <c r="V810" s="251"/>
      <c r="W810" s="251"/>
      <c r="X810" s="251"/>
      <c r="Y810" s="251"/>
      <c r="Z810" s="251"/>
      <c r="AA810" s="251"/>
      <c r="AB810" s="251"/>
    </row>
    <row r="811" ht="14.25" customHeight="1">
      <c r="A811" s="251"/>
      <c r="B811" s="263"/>
      <c r="C811" s="275"/>
      <c r="D811" s="98"/>
      <c r="E811" s="240"/>
      <c r="F811" s="240"/>
      <c r="G811" s="240"/>
      <c r="H811" s="240"/>
      <c r="I811" s="276"/>
      <c r="J811" s="251"/>
      <c r="K811" s="251"/>
      <c r="L811" s="251"/>
      <c r="M811" s="251"/>
      <c r="N811" s="251"/>
      <c r="O811" s="251"/>
      <c r="P811" s="251"/>
      <c r="Q811" s="251"/>
      <c r="R811" s="251"/>
      <c r="S811" s="251"/>
      <c r="T811" s="251"/>
      <c r="U811" s="251"/>
      <c r="V811" s="251"/>
      <c r="W811" s="251"/>
      <c r="X811" s="251"/>
      <c r="Y811" s="251"/>
      <c r="Z811" s="251"/>
      <c r="AA811" s="251"/>
      <c r="AB811" s="251"/>
    </row>
    <row r="812" ht="14.25" customHeight="1">
      <c r="A812" s="251"/>
      <c r="B812" s="263"/>
      <c r="C812" s="275"/>
      <c r="D812" s="98"/>
      <c r="E812" s="240"/>
      <c r="F812" s="240"/>
      <c r="G812" s="240"/>
      <c r="H812" s="240"/>
      <c r="I812" s="276"/>
      <c r="J812" s="251"/>
      <c r="K812" s="251"/>
      <c r="L812" s="251"/>
      <c r="M812" s="251"/>
      <c r="N812" s="251"/>
      <c r="O812" s="251"/>
      <c r="P812" s="251"/>
      <c r="Q812" s="251"/>
      <c r="R812" s="251"/>
      <c r="S812" s="251"/>
      <c r="T812" s="251"/>
      <c r="U812" s="251"/>
      <c r="V812" s="251"/>
      <c r="W812" s="251"/>
      <c r="X812" s="251"/>
      <c r="Y812" s="251"/>
      <c r="Z812" s="251"/>
      <c r="AA812" s="251"/>
      <c r="AB812" s="251"/>
    </row>
    <row r="813" ht="14.25" customHeight="1">
      <c r="A813" s="251"/>
      <c r="B813" s="263"/>
      <c r="C813" s="275"/>
      <c r="D813" s="98"/>
      <c r="E813" s="240"/>
      <c r="F813" s="240"/>
      <c r="G813" s="240"/>
      <c r="H813" s="240"/>
      <c r="I813" s="276"/>
      <c r="J813" s="251"/>
      <c r="K813" s="251"/>
      <c r="L813" s="251"/>
      <c r="M813" s="251"/>
      <c r="N813" s="251"/>
      <c r="O813" s="251"/>
      <c r="P813" s="251"/>
      <c r="Q813" s="251"/>
      <c r="R813" s="251"/>
      <c r="S813" s="251"/>
      <c r="T813" s="251"/>
      <c r="U813" s="251"/>
      <c r="V813" s="251"/>
      <c r="W813" s="251"/>
      <c r="X813" s="251"/>
      <c r="Y813" s="251"/>
      <c r="Z813" s="251"/>
      <c r="AA813" s="251"/>
      <c r="AB813" s="251"/>
    </row>
    <row r="814" ht="14.25" customHeight="1">
      <c r="A814" s="251"/>
      <c r="B814" s="263"/>
      <c r="C814" s="275"/>
      <c r="D814" s="98"/>
      <c r="E814" s="240"/>
      <c r="F814" s="240"/>
      <c r="G814" s="240"/>
      <c r="H814" s="240"/>
      <c r="I814" s="276"/>
      <c r="J814" s="251"/>
      <c r="K814" s="251"/>
      <c r="L814" s="251"/>
      <c r="M814" s="251"/>
      <c r="N814" s="251"/>
      <c r="O814" s="251"/>
      <c r="P814" s="251"/>
      <c r="Q814" s="251"/>
      <c r="R814" s="251"/>
      <c r="S814" s="251"/>
      <c r="T814" s="251"/>
      <c r="U814" s="251"/>
      <c r="V814" s="251"/>
      <c r="W814" s="251"/>
      <c r="X814" s="251"/>
      <c r="Y814" s="251"/>
      <c r="Z814" s="251"/>
      <c r="AA814" s="251"/>
      <c r="AB814" s="251"/>
    </row>
    <row r="815" ht="14.25" customHeight="1">
      <c r="A815" s="251"/>
      <c r="B815" s="263"/>
      <c r="C815" s="275"/>
      <c r="D815" s="98"/>
      <c r="E815" s="240"/>
      <c r="F815" s="240"/>
      <c r="G815" s="240"/>
      <c r="H815" s="240"/>
      <c r="I815" s="276"/>
      <c r="J815" s="251"/>
      <c r="K815" s="251"/>
      <c r="L815" s="251"/>
      <c r="M815" s="251"/>
      <c r="N815" s="251"/>
      <c r="O815" s="251"/>
      <c r="P815" s="251"/>
      <c r="Q815" s="251"/>
      <c r="R815" s="251"/>
      <c r="S815" s="251"/>
      <c r="T815" s="251"/>
      <c r="U815" s="251"/>
      <c r="V815" s="251"/>
      <c r="W815" s="251"/>
      <c r="X815" s="251"/>
      <c r="Y815" s="251"/>
      <c r="Z815" s="251"/>
      <c r="AA815" s="251"/>
      <c r="AB815" s="251"/>
    </row>
    <row r="816" ht="14.25" customHeight="1">
      <c r="A816" s="251"/>
      <c r="B816" s="263"/>
      <c r="C816" s="275"/>
      <c r="D816" s="98"/>
      <c r="E816" s="240"/>
      <c r="F816" s="240"/>
      <c r="G816" s="240"/>
      <c r="H816" s="240"/>
      <c r="I816" s="276"/>
      <c r="J816" s="251"/>
      <c r="K816" s="251"/>
      <c r="L816" s="251"/>
      <c r="M816" s="251"/>
      <c r="N816" s="251"/>
      <c r="O816" s="251"/>
      <c r="P816" s="251"/>
      <c r="Q816" s="251"/>
      <c r="R816" s="251"/>
      <c r="S816" s="251"/>
      <c r="T816" s="251"/>
      <c r="U816" s="251"/>
      <c r="V816" s="251"/>
      <c r="W816" s="251"/>
      <c r="X816" s="251"/>
      <c r="Y816" s="251"/>
      <c r="Z816" s="251"/>
      <c r="AA816" s="251"/>
      <c r="AB816" s="251"/>
    </row>
    <row r="817" ht="14.25" customHeight="1">
      <c r="A817" s="251"/>
      <c r="B817" s="263"/>
      <c r="C817" s="275"/>
      <c r="D817" s="98"/>
      <c r="E817" s="240"/>
      <c r="F817" s="240"/>
      <c r="G817" s="240"/>
      <c r="H817" s="240"/>
      <c r="I817" s="276"/>
      <c r="J817" s="251"/>
      <c r="K817" s="251"/>
      <c r="L817" s="251"/>
      <c r="M817" s="251"/>
      <c r="N817" s="251"/>
      <c r="O817" s="251"/>
      <c r="P817" s="251"/>
      <c r="Q817" s="251"/>
      <c r="R817" s="251"/>
      <c r="S817" s="251"/>
      <c r="T817" s="251"/>
      <c r="U817" s="251"/>
      <c r="V817" s="251"/>
      <c r="W817" s="251"/>
      <c r="X817" s="251"/>
      <c r="Y817" s="251"/>
      <c r="Z817" s="251"/>
      <c r="AA817" s="251"/>
      <c r="AB817" s="251"/>
    </row>
    <row r="818" ht="14.25" customHeight="1">
      <c r="A818" s="251"/>
      <c r="B818" s="263"/>
      <c r="C818" s="275"/>
      <c r="D818" s="98"/>
      <c r="E818" s="240"/>
      <c r="F818" s="240"/>
      <c r="G818" s="240"/>
      <c r="H818" s="240"/>
      <c r="I818" s="276"/>
      <c r="J818" s="251"/>
      <c r="K818" s="251"/>
      <c r="L818" s="251"/>
      <c r="M818" s="251"/>
      <c r="N818" s="251"/>
      <c r="O818" s="251"/>
      <c r="P818" s="251"/>
      <c r="Q818" s="251"/>
      <c r="R818" s="251"/>
      <c r="S818" s="251"/>
      <c r="T818" s="251"/>
      <c r="U818" s="251"/>
      <c r="V818" s="251"/>
      <c r="W818" s="251"/>
      <c r="X818" s="251"/>
      <c r="Y818" s="251"/>
      <c r="Z818" s="251"/>
      <c r="AA818" s="251"/>
      <c r="AB818" s="251"/>
    </row>
    <row r="819" ht="14.25" customHeight="1">
      <c r="A819" s="251"/>
      <c r="B819" s="263"/>
      <c r="C819" s="275"/>
      <c r="D819" s="98"/>
      <c r="E819" s="240"/>
      <c r="F819" s="240"/>
      <c r="G819" s="240"/>
      <c r="H819" s="240"/>
      <c r="I819" s="276"/>
      <c r="J819" s="251"/>
      <c r="K819" s="251"/>
      <c r="L819" s="251"/>
      <c r="M819" s="251"/>
      <c r="N819" s="251"/>
      <c r="O819" s="251"/>
      <c r="P819" s="251"/>
      <c r="Q819" s="251"/>
      <c r="R819" s="251"/>
      <c r="S819" s="251"/>
      <c r="T819" s="251"/>
      <c r="U819" s="251"/>
      <c r="V819" s="251"/>
      <c r="W819" s="251"/>
      <c r="X819" s="251"/>
      <c r="Y819" s="251"/>
      <c r="Z819" s="251"/>
      <c r="AA819" s="251"/>
      <c r="AB819" s="251"/>
    </row>
    <row r="820" ht="14.25" customHeight="1">
      <c r="A820" s="251"/>
      <c r="B820" s="263"/>
      <c r="C820" s="275"/>
      <c r="D820" s="98"/>
      <c r="E820" s="240"/>
      <c r="F820" s="240"/>
      <c r="G820" s="240"/>
      <c r="H820" s="240"/>
      <c r="I820" s="276"/>
      <c r="J820" s="251"/>
      <c r="K820" s="251"/>
      <c r="L820" s="251"/>
      <c r="M820" s="251"/>
      <c r="N820" s="251"/>
      <c r="O820" s="251"/>
      <c r="P820" s="251"/>
      <c r="Q820" s="251"/>
      <c r="R820" s="251"/>
      <c r="S820" s="251"/>
      <c r="T820" s="251"/>
      <c r="U820" s="251"/>
      <c r="V820" s="251"/>
      <c r="W820" s="251"/>
      <c r="X820" s="251"/>
      <c r="Y820" s="251"/>
      <c r="Z820" s="251"/>
      <c r="AA820" s="251"/>
      <c r="AB820" s="251"/>
    </row>
    <row r="821" ht="14.25" customHeight="1">
      <c r="A821" s="251"/>
      <c r="B821" s="263"/>
      <c r="C821" s="275"/>
      <c r="D821" s="98"/>
      <c r="E821" s="240"/>
      <c r="F821" s="240"/>
      <c r="G821" s="240"/>
      <c r="H821" s="240"/>
      <c r="I821" s="276"/>
      <c r="J821" s="251"/>
      <c r="K821" s="251"/>
      <c r="L821" s="251"/>
      <c r="M821" s="251"/>
      <c r="N821" s="251"/>
      <c r="O821" s="251"/>
      <c r="P821" s="251"/>
      <c r="Q821" s="251"/>
      <c r="R821" s="251"/>
      <c r="S821" s="251"/>
      <c r="T821" s="251"/>
      <c r="U821" s="251"/>
      <c r="V821" s="251"/>
      <c r="W821" s="251"/>
      <c r="X821" s="251"/>
      <c r="Y821" s="251"/>
      <c r="Z821" s="251"/>
      <c r="AA821" s="251"/>
      <c r="AB821" s="251"/>
    </row>
    <row r="822" ht="14.25" customHeight="1">
      <c r="A822" s="251"/>
      <c r="B822" s="263"/>
      <c r="C822" s="275"/>
      <c r="D822" s="98"/>
      <c r="E822" s="240"/>
      <c r="F822" s="240"/>
      <c r="G822" s="240"/>
      <c r="H822" s="240"/>
      <c r="I822" s="276"/>
      <c r="J822" s="251"/>
      <c r="K822" s="251"/>
      <c r="L822" s="251"/>
      <c r="M822" s="251"/>
      <c r="N822" s="251"/>
      <c r="O822" s="251"/>
      <c r="P822" s="251"/>
      <c r="Q822" s="251"/>
      <c r="R822" s="251"/>
      <c r="S822" s="251"/>
      <c r="T822" s="251"/>
      <c r="U822" s="251"/>
      <c r="V822" s="251"/>
      <c r="W822" s="251"/>
      <c r="X822" s="251"/>
      <c r="Y822" s="251"/>
      <c r="Z822" s="251"/>
      <c r="AA822" s="251"/>
      <c r="AB822" s="251"/>
    </row>
    <row r="823" ht="14.25" customHeight="1">
      <c r="A823" s="251"/>
      <c r="B823" s="263"/>
      <c r="C823" s="275"/>
      <c r="D823" s="98"/>
      <c r="E823" s="240"/>
      <c r="F823" s="240"/>
      <c r="G823" s="240"/>
      <c r="H823" s="240"/>
      <c r="I823" s="276"/>
      <c r="J823" s="251"/>
      <c r="K823" s="251"/>
      <c r="L823" s="251"/>
      <c r="M823" s="251"/>
      <c r="N823" s="251"/>
      <c r="O823" s="251"/>
      <c r="P823" s="251"/>
      <c r="Q823" s="251"/>
      <c r="R823" s="251"/>
      <c r="S823" s="251"/>
      <c r="T823" s="251"/>
      <c r="U823" s="251"/>
      <c r="V823" s="251"/>
      <c r="W823" s="251"/>
      <c r="X823" s="251"/>
      <c r="Y823" s="251"/>
      <c r="Z823" s="251"/>
      <c r="AA823" s="251"/>
      <c r="AB823" s="251"/>
    </row>
    <row r="824" ht="14.25" customHeight="1">
      <c r="A824" s="251"/>
      <c r="B824" s="263"/>
      <c r="C824" s="275"/>
      <c r="D824" s="98"/>
      <c r="E824" s="240"/>
      <c r="F824" s="240"/>
      <c r="G824" s="240"/>
      <c r="H824" s="240"/>
      <c r="I824" s="276"/>
      <c r="J824" s="251"/>
      <c r="K824" s="251"/>
      <c r="L824" s="251"/>
      <c r="M824" s="251"/>
      <c r="N824" s="251"/>
      <c r="O824" s="251"/>
      <c r="P824" s="251"/>
      <c r="Q824" s="251"/>
      <c r="R824" s="251"/>
      <c r="S824" s="251"/>
      <c r="T824" s="251"/>
      <c r="U824" s="251"/>
      <c r="V824" s="251"/>
      <c r="W824" s="251"/>
      <c r="X824" s="251"/>
      <c r="Y824" s="251"/>
      <c r="Z824" s="251"/>
      <c r="AA824" s="251"/>
      <c r="AB824" s="251"/>
    </row>
    <row r="825" ht="14.25" customHeight="1">
      <c r="A825" s="251"/>
      <c r="B825" s="263"/>
      <c r="C825" s="275"/>
      <c r="D825" s="98"/>
      <c r="E825" s="240"/>
      <c r="F825" s="240"/>
      <c r="G825" s="240"/>
      <c r="H825" s="240"/>
      <c r="I825" s="276"/>
      <c r="J825" s="251"/>
      <c r="K825" s="251"/>
      <c r="L825" s="251"/>
      <c r="M825" s="251"/>
      <c r="N825" s="251"/>
      <c r="O825" s="251"/>
      <c r="P825" s="251"/>
      <c r="Q825" s="251"/>
      <c r="R825" s="251"/>
      <c r="S825" s="251"/>
      <c r="T825" s="251"/>
      <c r="U825" s="251"/>
      <c r="V825" s="251"/>
      <c r="W825" s="251"/>
      <c r="X825" s="251"/>
      <c r="Y825" s="251"/>
      <c r="Z825" s="251"/>
      <c r="AA825" s="251"/>
      <c r="AB825" s="251"/>
    </row>
    <row r="826" ht="14.25" customHeight="1">
      <c r="A826" s="251"/>
      <c r="B826" s="263"/>
      <c r="C826" s="275"/>
      <c r="D826" s="98"/>
      <c r="E826" s="240"/>
      <c r="F826" s="240"/>
      <c r="G826" s="240"/>
      <c r="H826" s="240"/>
      <c r="I826" s="276"/>
      <c r="J826" s="251"/>
      <c r="K826" s="251"/>
      <c r="L826" s="251"/>
      <c r="M826" s="251"/>
      <c r="N826" s="251"/>
      <c r="O826" s="251"/>
      <c r="P826" s="251"/>
      <c r="Q826" s="251"/>
      <c r="R826" s="251"/>
      <c r="S826" s="251"/>
      <c r="T826" s="251"/>
      <c r="U826" s="251"/>
      <c r="V826" s="251"/>
      <c r="W826" s="251"/>
      <c r="X826" s="251"/>
      <c r="Y826" s="251"/>
      <c r="Z826" s="251"/>
      <c r="AA826" s="251"/>
      <c r="AB826" s="251"/>
    </row>
    <row r="827" ht="14.25" customHeight="1">
      <c r="A827" s="251"/>
      <c r="B827" s="263"/>
      <c r="C827" s="275"/>
      <c r="D827" s="98"/>
      <c r="E827" s="240"/>
      <c r="F827" s="240"/>
      <c r="G827" s="240"/>
      <c r="H827" s="240"/>
      <c r="I827" s="276"/>
      <c r="J827" s="251"/>
      <c r="K827" s="251"/>
      <c r="L827" s="251"/>
      <c r="M827" s="251"/>
      <c r="N827" s="251"/>
      <c r="O827" s="251"/>
      <c r="P827" s="251"/>
      <c r="Q827" s="251"/>
      <c r="R827" s="251"/>
      <c r="S827" s="251"/>
      <c r="T827" s="251"/>
      <c r="U827" s="251"/>
      <c r="V827" s="251"/>
      <c r="W827" s="251"/>
      <c r="X827" s="251"/>
      <c r="Y827" s="251"/>
      <c r="Z827" s="251"/>
      <c r="AA827" s="251"/>
      <c r="AB827" s="251"/>
    </row>
    <row r="828" ht="14.25" customHeight="1">
      <c r="A828" s="251"/>
      <c r="B828" s="263"/>
      <c r="C828" s="275"/>
      <c r="D828" s="98"/>
      <c r="E828" s="240"/>
      <c r="F828" s="240"/>
      <c r="G828" s="240"/>
      <c r="H828" s="240"/>
      <c r="I828" s="276"/>
      <c r="J828" s="251"/>
      <c r="K828" s="251"/>
      <c r="L828" s="251"/>
      <c r="M828" s="251"/>
      <c r="N828" s="251"/>
      <c r="O828" s="251"/>
      <c r="P828" s="251"/>
      <c r="Q828" s="251"/>
      <c r="R828" s="251"/>
      <c r="S828" s="251"/>
      <c r="T828" s="251"/>
      <c r="U828" s="251"/>
      <c r="V828" s="251"/>
      <c r="W828" s="251"/>
      <c r="X828" s="251"/>
      <c r="Y828" s="251"/>
      <c r="Z828" s="251"/>
      <c r="AA828" s="251"/>
      <c r="AB828" s="251"/>
    </row>
    <row r="829" ht="14.25" customHeight="1">
      <c r="A829" s="251"/>
      <c r="B829" s="263"/>
      <c r="C829" s="275"/>
      <c r="D829" s="98"/>
      <c r="E829" s="240"/>
      <c r="F829" s="240"/>
      <c r="G829" s="240"/>
      <c r="H829" s="240"/>
      <c r="I829" s="276"/>
      <c r="J829" s="251"/>
      <c r="K829" s="251"/>
      <c r="L829" s="251"/>
      <c r="M829" s="251"/>
      <c r="N829" s="251"/>
      <c r="O829" s="251"/>
      <c r="P829" s="251"/>
      <c r="Q829" s="251"/>
      <c r="R829" s="251"/>
      <c r="S829" s="251"/>
      <c r="T829" s="251"/>
      <c r="U829" s="251"/>
      <c r="V829" s="251"/>
      <c r="W829" s="251"/>
      <c r="X829" s="251"/>
      <c r="Y829" s="251"/>
      <c r="Z829" s="251"/>
      <c r="AA829" s="251"/>
      <c r="AB829" s="251"/>
    </row>
    <row r="830" ht="14.25" customHeight="1">
      <c r="A830" s="251"/>
      <c r="B830" s="263"/>
      <c r="C830" s="275"/>
      <c r="D830" s="98"/>
      <c r="E830" s="240"/>
      <c r="F830" s="240"/>
      <c r="G830" s="240"/>
      <c r="H830" s="240"/>
      <c r="I830" s="276"/>
      <c r="J830" s="251"/>
      <c r="K830" s="251"/>
      <c r="L830" s="251"/>
      <c r="M830" s="251"/>
      <c r="N830" s="251"/>
      <c r="O830" s="251"/>
      <c r="P830" s="251"/>
      <c r="Q830" s="251"/>
      <c r="R830" s="251"/>
      <c r="S830" s="251"/>
      <c r="T830" s="251"/>
      <c r="U830" s="251"/>
      <c r="V830" s="251"/>
      <c r="W830" s="251"/>
      <c r="X830" s="251"/>
      <c r="Y830" s="251"/>
      <c r="Z830" s="251"/>
      <c r="AA830" s="251"/>
      <c r="AB830" s="251"/>
    </row>
    <row r="831" ht="14.25" customHeight="1">
      <c r="A831" s="251"/>
      <c r="B831" s="263"/>
      <c r="C831" s="275"/>
      <c r="D831" s="98"/>
      <c r="E831" s="240"/>
      <c r="F831" s="240"/>
      <c r="G831" s="240"/>
      <c r="H831" s="240"/>
      <c r="I831" s="276"/>
      <c r="J831" s="251"/>
      <c r="K831" s="251"/>
      <c r="L831" s="251"/>
      <c r="M831" s="251"/>
      <c r="N831" s="251"/>
      <c r="O831" s="251"/>
      <c r="P831" s="251"/>
      <c r="Q831" s="251"/>
      <c r="R831" s="251"/>
      <c r="S831" s="251"/>
      <c r="T831" s="251"/>
      <c r="U831" s="251"/>
      <c r="V831" s="251"/>
      <c r="W831" s="251"/>
      <c r="X831" s="251"/>
      <c r="Y831" s="251"/>
      <c r="Z831" s="251"/>
      <c r="AA831" s="251"/>
      <c r="AB831" s="251"/>
    </row>
    <row r="832" ht="14.25" customHeight="1">
      <c r="A832" s="251"/>
      <c r="B832" s="263"/>
      <c r="C832" s="275"/>
      <c r="D832" s="98"/>
      <c r="E832" s="240"/>
      <c r="F832" s="240"/>
      <c r="G832" s="240"/>
      <c r="H832" s="240"/>
      <c r="I832" s="276"/>
      <c r="J832" s="251"/>
      <c r="K832" s="251"/>
      <c r="L832" s="251"/>
      <c r="M832" s="251"/>
      <c r="N832" s="251"/>
      <c r="O832" s="251"/>
      <c r="P832" s="251"/>
      <c r="Q832" s="251"/>
      <c r="R832" s="251"/>
      <c r="S832" s="251"/>
      <c r="T832" s="251"/>
      <c r="U832" s="251"/>
      <c r="V832" s="251"/>
      <c r="W832" s="251"/>
      <c r="X832" s="251"/>
      <c r="Y832" s="251"/>
      <c r="Z832" s="251"/>
      <c r="AA832" s="251"/>
      <c r="AB832" s="251"/>
    </row>
    <row r="833" ht="14.25" customHeight="1">
      <c r="A833" s="251"/>
      <c r="B833" s="263"/>
      <c r="C833" s="275"/>
      <c r="D833" s="98"/>
      <c r="E833" s="240"/>
      <c r="F833" s="240"/>
      <c r="G833" s="240"/>
      <c r="H833" s="240"/>
      <c r="I833" s="276"/>
      <c r="J833" s="251"/>
      <c r="K833" s="251"/>
      <c r="L833" s="251"/>
      <c r="M833" s="251"/>
      <c r="N833" s="251"/>
      <c r="O833" s="251"/>
      <c r="P833" s="251"/>
      <c r="Q833" s="251"/>
      <c r="R833" s="251"/>
      <c r="S833" s="251"/>
      <c r="T833" s="251"/>
      <c r="U833" s="251"/>
      <c r="V833" s="251"/>
      <c r="W833" s="251"/>
      <c r="X833" s="251"/>
      <c r="Y833" s="251"/>
      <c r="Z833" s="251"/>
      <c r="AA833" s="251"/>
      <c r="AB833" s="251"/>
    </row>
    <row r="834" ht="14.25" customHeight="1">
      <c r="A834" s="251"/>
      <c r="B834" s="263"/>
      <c r="C834" s="275"/>
      <c r="D834" s="98"/>
      <c r="E834" s="240"/>
      <c r="F834" s="240"/>
      <c r="G834" s="240"/>
      <c r="H834" s="240"/>
      <c r="I834" s="276"/>
      <c r="J834" s="251"/>
      <c r="K834" s="251"/>
      <c r="L834" s="251"/>
      <c r="M834" s="251"/>
      <c r="N834" s="251"/>
      <c r="O834" s="251"/>
      <c r="P834" s="251"/>
      <c r="Q834" s="251"/>
      <c r="R834" s="251"/>
      <c r="S834" s="251"/>
      <c r="T834" s="251"/>
      <c r="U834" s="251"/>
      <c r="V834" s="251"/>
      <c r="W834" s="251"/>
      <c r="X834" s="251"/>
      <c r="Y834" s="251"/>
      <c r="Z834" s="251"/>
      <c r="AA834" s="251"/>
      <c r="AB834" s="251"/>
    </row>
    <row r="835" ht="14.25" customHeight="1">
      <c r="A835" s="251"/>
      <c r="B835" s="263"/>
      <c r="C835" s="275"/>
      <c r="D835" s="98"/>
      <c r="E835" s="240"/>
      <c r="F835" s="240"/>
      <c r="G835" s="240"/>
      <c r="H835" s="240"/>
      <c r="I835" s="276"/>
      <c r="J835" s="251"/>
      <c r="K835" s="251"/>
      <c r="L835" s="251"/>
      <c r="M835" s="251"/>
      <c r="N835" s="251"/>
      <c r="O835" s="251"/>
      <c r="P835" s="251"/>
      <c r="Q835" s="251"/>
      <c r="R835" s="251"/>
      <c r="S835" s="251"/>
      <c r="T835" s="251"/>
      <c r="U835" s="251"/>
      <c r="V835" s="251"/>
      <c r="W835" s="251"/>
      <c r="X835" s="251"/>
      <c r="Y835" s="251"/>
      <c r="Z835" s="251"/>
      <c r="AA835" s="251"/>
      <c r="AB835" s="251"/>
    </row>
    <row r="836" ht="14.25" customHeight="1">
      <c r="A836" s="251"/>
      <c r="B836" s="263"/>
      <c r="C836" s="275"/>
      <c r="D836" s="98"/>
      <c r="E836" s="240"/>
      <c r="F836" s="240"/>
      <c r="G836" s="240"/>
      <c r="H836" s="240"/>
      <c r="I836" s="276"/>
      <c r="J836" s="251"/>
      <c r="K836" s="251"/>
      <c r="L836" s="251"/>
      <c r="M836" s="251"/>
      <c r="N836" s="251"/>
      <c r="O836" s="251"/>
      <c r="P836" s="251"/>
      <c r="Q836" s="251"/>
      <c r="R836" s="251"/>
      <c r="S836" s="251"/>
      <c r="T836" s="251"/>
      <c r="U836" s="251"/>
      <c r="V836" s="251"/>
      <c r="W836" s="251"/>
      <c r="X836" s="251"/>
      <c r="Y836" s="251"/>
      <c r="Z836" s="251"/>
      <c r="AA836" s="251"/>
      <c r="AB836" s="251"/>
    </row>
    <row r="837" ht="14.25" customHeight="1">
      <c r="A837" s="251"/>
      <c r="B837" s="263"/>
      <c r="C837" s="275"/>
      <c r="D837" s="98"/>
      <c r="E837" s="240"/>
      <c r="F837" s="240"/>
      <c r="G837" s="240"/>
      <c r="H837" s="240"/>
      <c r="I837" s="276"/>
      <c r="J837" s="251"/>
      <c r="K837" s="251"/>
      <c r="L837" s="251"/>
      <c r="M837" s="251"/>
      <c r="N837" s="251"/>
      <c r="O837" s="251"/>
      <c r="P837" s="251"/>
      <c r="Q837" s="251"/>
      <c r="R837" s="251"/>
      <c r="S837" s="251"/>
      <c r="T837" s="251"/>
      <c r="U837" s="251"/>
      <c r="V837" s="251"/>
      <c r="W837" s="251"/>
      <c r="X837" s="251"/>
      <c r="Y837" s="251"/>
      <c r="Z837" s="251"/>
      <c r="AA837" s="251"/>
      <c r="AB837" s="251"/>
    </row>
    <row r="838" ht="14.25" customHeight="1">
      <c r="A838" s="251"/>
      <c r="B838" s="263"/>
      <c r="C838" s="275"/>
      <c r="D838" s="98"/>
      <c r="E838" s="240"/>
      <c r="F838" s="240"/>
      <c r="G838" s="240"/>
      <c r="H838" s="240"/>
      <c r="I838" s="276"/>
      <c r="J838" s="251"/>
      <c r="K838" s="251"/>
      <c r="L838" s="251"/>
      <c r="M838" s="251"/>
      <c r="N838" s="251"/>
      <c r="O838" s="251"/>
      <c r="P838" s="251"/>
      <c r="Q838" s="251"/>
      <c r="R838" s="251"/>
      <c r="S838" s="251"/>
      <c r="T838" s="251"/>
      <c r="U838" s="251"/>
      <c r="V838" s="251"/>
      <c r="W838" s="251"/>
      <c r="X838" s="251"/>
      <c r="Y838" s="251"/>
      <c r="Z838" s="251"/>
      <c r="AA838" s="251"/>
      <c r="AB838" s="251"/>
    </row>
    <row r="839" ht="14.25" customHeight="1">
      <c r="A839" s="251"/>
      <c r="B839" s="263"/>
      <c r="C839" s="275"/>
      <c r="D839" s="98"/>
      <c r="E839" s="240"/>
      <c r="F839" s="240"/>
      <c r="G839" s="240"/>
      <c r="H839" s="240"/>
      <c r="I839" s="276"/>
      <c r="J839" s="251"/>
      <c r="K839" s="251"/>
      <c r="L839" s="251"/>
      <c r="M839" s="251"/>
      <c r="N839" s="251"/>
      <c r="O839" s="251"/>
      <c r="P839" s="251"/>
      <c r="Q839" s="251"/>
      <c r="R839" s="251"/>
      <c r="S839" s="251"/>
      <c r="T839" s="251"/>
      <c r="U839" s="251"/>
      <c r="V839" s="251"/>
      <c r="W839" s="251"/>
      <c r="X839" s="251"/>
      <c r="Y839" s="251"/>
      <c r="Z839" s="251"/>
      <c r="AA839" s="251"/>
      <c r="AB839" s="251"/>
    </row>
    <row r="840" ht="14.25" customHeight="1">
      <c r="A840" s="251"/>
      <c r="B840" s="263"/>
      <c r="C840" s="275"/>
      <c r="D840" s="98"/>
      <c r="E840" s="240"/>
      <c r="F840" s="240"/>
      <c r="G840" s="240"/>
      <c r="H840" s="240"/>
      <c r="I840" s="276"/>
      <c r="J840" s="251"/>
      <c r="K840" s="251"/>
      <c r="L840" s="251"/>
      <c r="M840" s="251"/>
      <c r="N840" s="251"/>
      <c r="O840" s="251"/>
      <c r="P840" s="251"/>
      <c r="Q840" s="251"/>
      <c r="R840" s="251"/>
      <c r="S840" s="251"/>
      <c r="T840" s="251"/>
      <c r="U840" s="251"/>
      <c r="V840" s="251"/>
      <c r="W840" s="251"/>
      <c r="X840" s="251"/>
      <c r="Y840" s="251"/>
      <c r="Z840" s="251"/>
      <c r="AA840" s="251"/>
      <c r="AB840" s="251"/>
    </row>
    <row r="841" ht="14.25" customHeight="1">
      <c r="A841" s="251"/>
      <c r="B841" s="263"/>
      <c r="C841" s="275"/>
      <c r="D841" s="98"/>
      <c r="E841" s="240"/>
      <c r="F841" s="240"/>
      <c r="G841" s="240"/>
      <c r="H841" s="240"/>
      <c r="I841" s="276"/>
      <c r="J841" s="251"/>
      <c r="K841" s="251"/>
      <c r="L841" s="251"/>
      <c r="M841" s="251"/>
      <c r="N841" s="251"/>
      <c r="O841" s="251"/>
      <c r="P841" s="251"/>
      <c r="Q841" s="251"/>
      <c r="R841" s="251"/>
      <c r="S841" s="251"/>
      <c r="T841" s="251"/>
      <c r="U841" s="251"/>
      <c r="V841" s="251"/>
      <c r="W841" s="251"/>
      <c r="X841" s="251"/>
      <c r="Y841" s="251"/>
      <c r="Z841" s="251"/>
      <c r="AA841" s="251"/>
      <c r="AB841" s="251"/>
    </row>
    <row r="842" ht="14.25" customHeight="1">
      <c r="A842" s="251"/>
      <c r="B842" s="263"/>
      <c r="C842" s="275"/>
      <c r="D842" s="98"/>
      <c r="E842" s="240"/>
      <c r="F842" s="240"/>
      <c r="G842" s="240"/>
      <c r="H842" s="240"/>
      <c r="I842" s="276"/>
      <c r="J842" s="251"/>
      <c r="K842" s="251"/>
      <c r="L842" s="251"/>
      <c r="M842" s="251"/>
      <c r="N842" s="251"/>
      <c r="O842" s="251"/>
      <c r="P842" s="251"/>
      <c r="Q842" s="251"/>
      <c r="R842" s="251"/>
      <c r="S842" s="251"/>
      <c r="T842" s="251"/>
      <c r="U842" s="251"/>
      <c r="V842" s="251"/>
      <c r="W842" s="251"/>
      <c r="X842" s="251"/>
      <c r="Y842" s="251"/>
      <c r="Z842" s="251"/>
      <c r="AA842" s="251"/>
      <c r="AB842" s="251"/>
    </row>
    <row r="843" ht="14.25" customHeight="1">
      <c r="A843" s="251"/>
      <c r="B843" s="263"/>
      <c r="C843" s="275"/>
      <c r="D843" s="98"/>
      <c r="E843" s="240"/>
      <c r="F843" s="240"/>
      <c r="G843" s="240"/>
      <c r="H843" s="240"/>
      <c r="I843" s="276"/>
      <c r="J843" s="251"/>
      <c r="K843" s="251"/>
      <c r="L843" s="251"/>
      <c r="M843" s="251"/>
      <c r="N843" s="251"/>
      <c r="O843" s="251"/>
      <c r="P843" s="251"/>
      <c r="Q843" s="251"/>
      <c r="R843" s="251"/>
      <c r="S843" s="251"/>
      <c r="T843" s="251"/>
      <c r="U843" s="251"/>
      <c r="V843" s="251"/>
      <c r="W843" s="251"/>
      <c r="X843" s="251"/>
      <c r="Y843" s="251"/>
      <c r="Z843" s="251"/>
      <c r="AA843" s="251"/>
      <c r="AB843" s="251"/>
    </row>
    <row r="844" ht="14.25" customHeight="1">
      <c r="A844" s="251"/>
      <c r="B844" s="263"/>
      <c r="C844" s="275"/>
      <c r="D844" s="98"/>
      <c r="E844" s="240"/>
      <c r="F844" s="240"/>
      <c r="G844" s="240"/>
      <c r="H844" s="240"/>
      <c r="I844" s="276"/>
      <c r="J844" s="251"/>
      <c r="K844" s="251"/>
      <c r="L844" s="251"/>
      <c r="M844" s="251"/>
      <c r="N844" s="251"/>
      <c r="O844" s="251"/>
      <c r="P844" s="251"/>
      <c r="Q844" s="251"/>
      <c r="R844" s="251"/>
      <c r="S844" s="251"/>
      <c r="T844" s="251"/>
      <c r="U844" s="251"/>
      <c r="V844" s="251"/>
      <c r="W844" s="251"/>
      <c r="X844" s="251"/>
      <c r="Y844" s="251"/>
      <c r="Z844" s="251"/>
      <c r="AA844" s="251"/>
      <c r="AB844" s="251"/>
    </row>
    <row r="845" ht="14.25" customHeight="1">
      <c r="A845" s="251"/>
      <c r="B845" s="263"/>
      <c r="C845" s="275"/>
      <c r="D845" s="98"/>
      <c r="E845" s="240"/>
      <c r="F845" s="240"/>
      <c r="G845" s="240"/>
      <c r="H845" s="240"/>
      <c r="I845" s="276"/>
      <c r="J845" s="251"/>
      <c r="K845" s="251"/>
      <c r="L845" s="251"/>
      <c r="M845" s="251"/>
      <c r="N845" s="251"/>
      <c r="O845" s="251"/>
      <c r="P845" s="251"/>
      <c r="Q845" s="251"/>
      <c r="R845" s="251"/>
      <c r="S845" s="251"/>
      <c r="T845" s="251"/>
      <c r="U845" s="251"/>
      <c r="V845" s="251"/>
      <c r="W845" s="251"/>
      <c r="X845" s="251"/>
      <c r="Y845" s="251"/>
      <c r="Z845" s="251"/>
      <c r="AA845" s="251"/>
      <c r="AB845" s="251"/>
    </row>
    <row r="846" ht="14.25" customHeight="1">
      <c r="A846" s="251"/>
      <c r="B846" s="263"/>
      <c r="C846" s="275"/>
      <c r="D846" s="98"/>
      <c r="E846" s="240"/>
      <c r="F846" s="240"/>
      <c r="G846" s="240"/>
      <c r="H846" s="240"/>
      <c r="I846" s="276"/>
      <c r="J846" s="251"/>
      <c r="K846" s="251"/>
      <c r="L846" s="251"/>
      <c r="M846" s="251"/>
      <c r="N846" s="251"/>
      <c r="O846" s="251"/>
      <c r="P846" s="251"/>
      <c r="Q846" s="251"/>
      <c r="R846" s="251"/>
      <c r="S846" s="251"/>
      <c r="T846" s="251"/>
      <c r="U846" s="251"/>
      <c r="V846" s="251"/>
      <c r="W846" s="251"/>
      <c r="X846" s="251"/>
      <c r="Y846" s="251"/>
      <c r="Z846" s="251"/>
      <c r="AA846" s="251"/>
      <c r="AB846" s="251"/>
    </row>
    <row r="847" ht="14.25" customHeight="1">
      <c r="A847" s="251"/>
      <c r="B847" s="263"/>
      <c r="C847" s="275"/>
      <c r="D847" s="98"/>
      <c r="E847" s="240"/>
      <c r="F847" s="240"/>
      <c r="G847" s="240"/>
      <c r="H847" s="240"/>
      <c r="I847" s="276"/>
      <c r="J847" s="251"/>
      <c r="K847" s="251"/>
      <c r="L847" s="251"/>
      <c r="M847" s="251"/>
      <c r="N847" s="251"/>
      <c r="O847" s="251"/>
      <c r="P847" s="251"/>
      <c r="Q847" s="251"/>
      <c r="R847" s="251"/>
      <c r="S847" s="251"/>
      <c r="T847" s="251"/>
      <c r="U847" s="251"/>
      <c r="V847" s="251"/>
      <c r="W847" s="251"/>
      <c r="X847" s="251"/>
      <c r="Y847" s="251"/>
      <c r="Z847" s="251"/>
      <c r="AA847" s="251"/>
      <c r="AB847" s="251"/>
    </row>
    <row r="848" ht="14.25" customHeight="1">
      <c r="A848" s="251"/>
      <c r="B848" s="263"/>
      <c r="C848" s="275"/>
      <c r="D848" s="98"/>
      <c r="E848" s="240"/>
      <c r="F848" s="240"/>
      <c r="G848" s="240"/>
      <c r="H848" s="240"/>
      <c r="I848" s="276"/>
      <c r="J848" s="251"/>
      <c r="K848" s="251"/>
      <c r="L848" s="251"/>
      <c r="M848" s="251"/>
      <c r="N848" s="251"/>
      <c r="O848" s="251"/>
      <c r="P848" s="251"/>
      <c r="Q848" s="251"/>
      <c r="R848" s="251"/>
      <c r="S848" s="251"/>
      <c r="T848" s="251"/>
      <c r="U848" s="251"/>
      <c r="V848" s="251"/>
      <c r="W848" s="251"/>
      <c r="X848" s="251"/>
      <c r="Y848" s="251"/>
      <c r="Z848" s="251"/>
      <c r="AA848" s="251"/>
      <c r="AB848" s="251"/>
    </row>
    <row r="849" ht="14.25" customHeight="1">
      <c r="A849" s="251"/>
      <c r="B849" s="263"/>
      <c r="C849" s="275"/>
      <c r="D849" s="98"/>
      <c r="E849" s="240"/>
      <c r="F849" s="240"/>
      <c r="G849" s="240"/>
      <c r="H849" s="240"/>
      <c r="I849" s="276"/>
      <c r="J849" s="251"/>
      <c r="K849" s="251"/>
      <c r="L849" s="251"/>
      <c r="M849" s="251"/>
      <c r="N849" s="251"/>
      <c r="O849" s="251"/>
      <c r="P849" s="251"/>
      <c r="Q849" s="251"/>
      <c r="R849" s="251"/>
      <c r="S849" s="251"/>
      <c r="T849" s="251"/>
      <c r="U849" s="251"/>
      <c r="V849" s="251"/>
      <c r="W849" s="251"/>
      <c r="X849" s="251"/>
      <c r="Y849" s="251"/>
      <c r="Z849" s="251"/>
      <c r="AA849" s="251"/>
      <c r="AB849" s="251"/>
    </row>
    <row r="850" ht="14.25" customHeight="1">
      <c r="A850" s="251"/>
      <c r="B850" s="263"/>
      <c r="C850" s="275"/>
      <c r="D850" s="98"/>
      <c r="E850" s="240"/>
      <c r="F850" s="240"/>
      <c r="G850" s="240"/>
      <c r="H850" s="240"/>
      <c r="I850" s="276"/>
      <c r="J850" s="251"/>
      <c r="K850" s="251"/>
      <c r="L850" s="251"/>
      <c r="M850" s="251"/>
      <c r="N850" s="251"/>
      <c r="O850" s="251"/>
      <c r="P850" s="251"/>
      <c r="Q850" s="251"/>
      <c r="R850" s="251"/>
      <c r="S850" s="251"/>
      <c r="T850" s="251"/>
      <c r="U850" s="251"/>
      <c r="V850" s="251"/>
      <c r="W850" s="251"/>
      <c r="X850" s="251"/>
      <c r="Y850" s="251"/>
      <c r="Z850" s="251"/>
      <c r="AA850" s="251"/>
      <c r="AB850" s="251"/>
    </row>
    <row r="851" ht="14.25" customHeight="1">
      <c r="A851" s="251"/>
      <c r="B851" s="263"/>
      <c r="C851" s="275"/>
      <c r="D851" s="98"/>
      <c r="E851" s="240"/>
      <c r="F851" s="240"/>
      <c r="G851" s="240"/>
      <c r="H851" s="240"/>
      <c r="I851" s="276"/>
      <c r="J851" s="251"/>
      <c r="K851" s="251"/>
      <c r="L851" s="251"/>
      <c r="M851" s="251"/>
      <c r="N851" s="251"/>
      <c r="O851" s="251"/>
      <c r="P851" s="251"/>
      <c r="Q851" s="251"/>
      <c r="R851" s="251"/>
      <c r="S851" s="251"/>
      <c r="T851" s="251"/>
      <c r="U851" s="251"/>
      <c r="V851" s="251"/>
      <c r="W851" s="251"/>
      <c r="X851" s="251"/>
      <c r="Y851" s="251"/>
      <c r="Z851" s="251"/>
      <c r="AA851" s="251"/>
      <c r="AB851" s="251"/>
    </row>
    <row r="852" ht="14.25" customHeight="1">
      <c r="A852" s="251"/>
      <c r="B852" s="263"/>
      <c r="C852" s="275"/>
      <c r="D852" s="98"/>
      <c r="E852" s="240"/>
      <c r="F852" s="240"/>
      <c r="G852" s="240"/>
      <c r="H852" s="240"/>
      <c r="I852" s="276"/>
      <c r="J852" s="251"/>
      <c r="K852" s="251"/>
      <c r="L852" s="251"/>
      <c r="M852" s="251"/>
      <c r="N852" s="251"/>
      <c r="O852" s="251"/>
      <c r="P852" s="251"/>
      <c r="Q852" s="251"/>
      <c r="R852" s="251"/>
      <c r="S852" s="251"/>
      <c r="T852" s="251"/>
      <c r="U852" s="251"/>
      <c r="V852" s="251"/>
      <c r="W852" s="251"/>
      <c r="X852" s="251"/>
      <c r="Y852" s="251"/>
      <c r="Z852" s="251"/>
      <c r="AA852" s="251"/>
      <c r="AB852" s="251"/>
    </row>
    <row r="853" ht="14.25" customHeight="1">
      <c r="A853" s="251"/>
      <c r="B853" s="263"/>
      <c r="C853" s="275"/>
      <c r="D853" s="98"/>
      <c r="E853" s="240"/>
      <c r="F853" s="240"/>
      <c r="G853" s="240"/>
      <c r="H853" s="240"/>
      <c r="I853" s="276"/>
      <c r="J853" s="251"/>
      <c r="K853" s="251"/>
      <c r="L853" s="251"/>
      <c r="M853" s="251"/>
      <c r="N853" s="251"/>
      <c r="O853" s="251"/>
      <c r="P853" s="251"/>
      <c r="Q853" s="251"/>
      <c r="R853" s="251"/>
      <c r="S853" s="251"/>
      <c r="T853" s="251"/>
      <c r="U853" s="251"/>
      <c r="V853" s="251"/>
      <c r="W853" s="251"/>
      <c r="X853" s="251"/>
      <c r="Y853" s="251"/>
      <c r="Z853" s="251"/>
      <c r="AA853" s="251"/>
      <c r="AB853" s="251"/>
    </row>
    <row r="854" ht="14.25" customHeight="1">
      <c r="A854" s="251"/>
      <c r="B854" s="263"/>
      <c r="C854" s="275"/>
      <c r="D854" s="98"/>
      <c r="E854" s="240"/>
      <c r="F854" s="240"/>
      <c r="G854" s="240"/>
      <c r="H854" s="240"/>
      <c r="I854" s="276"/>
      <c r="J854" s="251"/>
      <c r="K854" s="251"/>
      <c r="L854" s="251"/>
      <c r="M854" s="251"/>
      <c r="N854" s="251"/>
      <c r="O854" s="251"/>
      <c r="P854" s="251"/>
      <c r="Q854" s="251"/>
      <c r="R854" s="251"/>
      <c r="S854" s="251"/>
      <c r="T854" s="251"/>
      <c r="U854" s="251"/>
      <c r="V854" s="251"/>
      <c r="W854" s="251"/>
      <c r="X854" s="251"/>
      <c r="Y854" s="251"/>
      <c r="Z854" s="251"/>
      <c r="AA854" s="251"/>
      <c r="AB854" s="251"/>
    </row>
    <row r="855" ht="14.25" customHeight="1">
      <c r="A855" s="251"/>
      <c r="B855" s="263"/>
      <c r="C855" s="275"/>
      <c r="D855" s="98"/>
      <c r="E855" s="240"/>
      <c r="F855" s="240"/>
      <c r="G855" s="240"/>
      <c r="H855" s="240"/>
      <c r="I855" s="276"/>
      <c r="J855" s="251"/>
      <c r="K855" s="251"/>
      <c r="L855" s="251"/>
      <c r="M855" s="251"/>
      <c r="N855" s="251"/>
      <c r="O855" s="251"/>
      <c r="P855" s="251"/>
      <c r="Q855" s="251"/>
      <c r="R855" s="251"/>
      <c r="S855" s="251"/>
      <c r="T855" s="251"/>
      <c r="U855" s="251"/>
      <c r="V855" s="251"/>
      <c r="W855" s="251"/>
      <c r="X855" s="251"/>
      <c r="Y855" s="251"/>
      <c r="Z855" s="251"/>
      <c r="AA855" s="251"/>
      <c r="AB855" s="251"/>
    </row>
    <row r="856" ht="14.25" customHeight="1">
      <c r="A856" s="251"/>
      <c r="B856" s="263"/>
      <c r="C856" s="275"/>
      <c r="D856" s="98"/>
      <c r="E856" s="240"/>
      <c r="F856" s="240"/>
      <c r="G856" s="240"/>
      <c r="H856" s="240"/>
      <c r="I856" s="276"/>
      <c r="J856" s="251"/>
      <c r="K856" s="251"/>
      <c r="L856" s="251"/>
      <c r="M856" s="251"/>
      <c r="N856" s="251"/>
      <c r="O856" s="251"/>
      <c r="P856" s="251"/>
      <c r="Q856" s="251"/>
      <c r="R856" s="251"/>
      <c r="S856" s="251"/>
      <c r="T856" s="251"/>
      <c r="U856" s="251"/>
      <c r="V856" s="251"/>
      <c r="W856" s="251"/>
      <c r="X856" s="251"/>
      <c r="Y856" s="251"/>
      <c r="Z856" s="251"/>
      <c r="AA856" s="251"/>
      <c r="AB856" s="251"/>
    </row>
    <row r="857" ht="14.25" customHeight="1">
      <c r="A857" s="251"/>
      <c r="B857" s="263"/>
      <c r="C857" s="275"/>
      <c r="D857" s="98"/>
      <c r="E857" s="240"/>
      <c r="F857" s="240"/>
      <c r="G857" s="240"/>
      <c r="H857" s="240"/>
      <c r="I857" s="276"/>
      <c r="J857" s="251"/>
      <c r="K857" s="251"/>
      <c r="L857" s="251"/>
      <c r="M857" s="251"/>
      <c r="N857" s="251"/>
      <c r="O857" s="251"/>
      <c r="P857" s="251"/>
      <c r="Q857" s="251"/>
      <c r="R857" s="251"/>
      <c r="S857" s="251"/>
      <c r="T857" s="251"/>
      <c r="U857" s="251"/>
      <c r="V857" s="251"/>
      <c r="W857" s="251"/>
      <c r="X857" s="251"/>
      <c r="Y857" s="251"/>
      <c r="Z857" s="251"/>
      <c r="AA857" s="251"/>
      <c r="AB857" s="251"/>
    </row>
    <row r="858" ht="14.25" customHeight="1">
      <c r="A858" s="251"/>
      <c r="B858" s="263"/>
      <c r="C858" s="275"/>
      <c r="D858" s="98"/>
      <c r="E858" s="240"/>
      <c r="F858" s="240"/>
      <c r="G858" s="240"/>
      <c r="H858" s="240"/>
      <c r="I858" s="276"/>
      <c r="J858" s="251"/>
      <c r="K858" s="251"/>
      <c r="L858" s="251"/>
      <c r="M858" s="251"/>
      <c r="N858" s="251"/>
      <c r="O858" s="251"/>
      <c r="P858" s="251"/>
      <c r="Q858" s="251"/>
      <c r="R858" s="251"/>
      <c r="S858" s="251"/>
      <c r="T858" s="251"/>
      <c r="U858" s="251"/>
      <c r="V858" s="251"/>
      <c r="W858" s="251"/>
      <c r="X858" s="251"/>
      <c r="Y858" s="251"/>
      <c r="Z858" s="251"/>
      <c r="AA858" s="251"/>
      <c r="AB858" s="251"/>
    </row>
    <row r="859" ht="14.25" customHeight="1">
      <c r="A859" s="251"/>
      <c r="B859" s="263"/>
      <c r="C859" s="275"/>
      <c r="D859" s="98"/>
      <c r="E859" s="240"/>
      <c r="F859" s="240"/>
      <c r="G859" s="240"/>
      <c r="H859" s="240"/>
      <c r="I859" s="276"/>
      <c r="J859" s="251"/>
      <c r="K859" s="251"/>
      <c r="L859" s="251"/>
      <c r="M859" s="251"/>
      <c r="N859" s="251"/>
      <c r="O859" s="251"/>
      <c r="P859" s="251"/>
      <c r="Q859" s="251"/>
      <c r="R859" s="251"/>
      <c r="S859" s="251"/>
      <c r="T859" s="251"/>
      <c r="U859" s="251"/>
      <c r="V859" s="251"/>
      <c r="W859" s="251"/>
      <c r="X859" s="251"/>
      <c r="Y859" s="251"/>
      <c r="Z859" s="251"/>
      <c r="AA859" s="251"/>
      <c r="AB859" s="251"/>
    </row>
    <row r="860" ht="14.25" customHeight="1">
      <c r="A860" s="251"/>
      <c r="B860" s="263"/>
      <c r="C860" s="275"/>
      <c r="D860" s="98"/>
      <c r="E860" s="240"/>
      <c r="F860" s="240"/>
      <c r="G860" s="240"/>
      <c r="H860" s="240"/>
      <c r="I860" s="276"/>
      <c r="J860" s="251"/>
      <c r="K860" s="251"/>
      <c r="L860" s="251"/>
      <c r="M860" s="251"/>
      <c r="N860" s="251"/>
      <c r="O860" s="251"/>
      <c r="P860" s="251"/>
      <c r="Q860" s="251"/>
      <c r="R860" s="251"/>
      <c r="S860" s="251"/>
      <c r="T860" s="251"/>
      <c r="U860" s="251"/>
      <c r="V860" s="251"/>
      <c r="W860" s="251"/>
      <c r="X860" s="251"/>
      <c r="Y860" s="251"/>
      <c r="Z860" s="251"/>
      <c r="AA860" s="251"/>
      <c r="AB860" s="251"/>
    </row>
    <row r="861" ht="14.25" customHeight="1">
      <c r="A861" s="251"/>
      <c r="B861" s="263"/>
      <c r="C861" s="275"/>
      <c r="D861" s="98"/>
      <c r="E861" s="240"/>
      <c r="F861" s="240"/>
      <c r="G861" s="240"/>
      <c r="H861" s="240"/>
      <c r="I861" s="276"/>
      <c r="J861" s="251"/>
      <c r="K861" s="251"/>
      <c r="L861" s="251"/>
      <c r="M861" s="251"/>
      <c r="N861" s="251"/>
      <c r="O861" s="251"/>
      <c r="P861" s="251"/>
      <c r="Q861" s="251"/>
      <c r="R861" s="251"/>
      <c r="S861" s="251"/>
      <c r="T861" s="251"/>
      <c r="U861" s="251"/>
      <c r="V861" s="251"/>
      <c r="W861" s="251"/>
      <c r="X861" s="251"/>
      <c r="Y861" s="251"/>
      <c r="Z861" s="251"/>
      <c r="AA861" s="251"/>
      <c r="AB861" s="251"/>
    </row>
    <row r="862" ht="14.25" customHeight="1">
      <c r="A862" s="251"/>
      <c r="B862" s="263"/>
      <c r="C862" s="275"/>
      <c r="D862" s="98"/>
      <c r="E862" s="240"/>
      <c r="F862" s="240"/>
      <c r="G862" s="240"/>
      <c r="H862" s="240"/>
      <c r="I862" s="276"/>
      <c r="J862" s="251"/>
      <c r="K862" s="251"/>
      <c r="L862" s="251"/>
      <c r="M862" s="251"/>
      <c r="N862" s="251"/>
      <c r="O862" s="251"/>
      <c r="P862" s="251"/>
      <c r="Q862" s="251"/>
      <c r="R862" s="251"/>
      <c r="S862" s="251"/>
      <c r="T862" s="251"/>
      <c r="U862" s="251"/>
      <c r="V862" s="251"/>
      <c r="W862" s="251"/>
      <c r="X862" s="251"/>
      <c r="Y862" s="251"/>
      <c r="Z862" s="251"/>
      <c r="AA862" s="251"/>
      <c r="AB862" s="251"/>
    </row>
    <row r="863" ht="14.25" customHeight="1">
      <c r="A863" s="251"/>
      <c r="B863" s="263"/>
      <c r="C863" s="275"/>
      <c r="D863" s="98"/>
      <c r="E863" s="240"/>
      <c r="F863" s="240"/>
      <c r="G863" s="240"/>
      <c r="H863" s="240"/>
      <c r="I863" s="276"/>
      <c r="J863" s="251"/>
      <c r="K863" s="251"/>
      <c r="L863" s="251"/>
      <c r="M863" s="251"/>
      <c r="N863" s="251"/>
      <c r="O863" s="251"/>
      <c r="P863" s="251"/>
      <c r="Q863" s="251"/>
      <c r="R863" s="251"/>
      <c r="S863" s="251"/>
      <c r="T863" s="251"/>
      <c r="U863" s="251"/>
      <c r="V863" s="251"/>
      <c r="W863" s="251"/>
      <c r="X863" s="251"/>
      <c r="Y863" s="251"/>
      <c r="Z863" s="251"/>
      <c r="AA863" s="251"/>
      <c r="AB863" s="251"/>
    </row>
    <row r="864" ht="14.25" customHeight="1">
      <c r="A864" s="251"/>
      <c r="B864" s="263"/>
      <c r="C864" s="275"/>
      <c r="D864" s="98"/>
      <c r="E864" s="240"/>
      <c r="F864" s="240"/>
      <c r="G864" s="240"/>
      <c r="H864" s="240"/>
      <c r="I864" s="276"/>
      <c r="J864" s="251"/>
      <c r="K864" s="251"/>
      <c r="L864" s="251"/>
      <c r="M864" s="251"/>
      <c r="N864" s="251"/>
      <c r="O864" s="251"/>
      <c r="P864" s="251"/>
      <c r="Q864" s="251"/>
      <c r="R864" s="251"/>
      <c r="S864" s="251"/>
      <c r="T864" s="251"/>
      <c r="U864" s="251"/>
      <c r="V864" s="251"/>
      <c r="W864" s="251"/>
      <c r="X864" s="251"/>
      <c r="Y864" s="251"/>
      <c r="Z864" s="251"/>
      <c r="AA864" s="251"/>
      <c r="AB864" s="251"/>
    </row>
    <row r="865" ht="14.25" customHeight="1">
      <c r="A865" s="251"/>
      <c r="B865" s="263"/>
      <c r="C865" s="275"/>
      <c r="D865" s="98"/>
      <c r="E865" s="240"/>
      <c r="F865" s="240"/>
      <c r="G865" s="240"/>
      <c r="H865" s="240"/>
      <c r="I865" s="276"/>
      <c r="J865" s="251"/>
      <c r="K865" s="251"/>
      <c r="L865" s="251"/>
      <c r="M865" s="251"/>
      <c r="N865" s="251"/>
      <c r="O865" s="251"/>
      <c r="P865" s="251"/>
      <c r="Q865" s="251"/>
      <c r="R865" s="251"/>
      <c r="S865" s="251"/>
      <c r="T865" s="251"/>
      <c r="U865" s="251"/>
      <c r="V865" s="251"/>
      <c r="W865" s="251"/>
      <c r="X865" s="251"/>
      <c r="Y865" s="251"/>
      <c r="Z865" s="251"/>
      <c r="AA865" s="251"/>
      <c r="AB865" s="251"/>
    </row>
    <row r="866" ht="14.25" customHeight="1">
      <c r="A866" s="251"/>
      <c r="B866" s="263"/>
      <c r="C866" s="275"/>
      <c r="D866" s="98"/>
      <c r="E866" s="240"/>
      <c r="F866" s="240"/>
      <c r="G866" s="240"/>
      <c r="H866" s="240"/>
      <c r="I866" s="276"/>
      <c r="J866" s="251"/>
      <c r="K866" s="251"/>
      <c r="L866" s="251"/>
      <c r="M866" s="251"/>
      <c r="N866" s="251"/>
      <c r="O866" s="251"/>
      <c r="P866" s="251"/>
      <c r="Q866" s="251"/>
      <c r="R866" s="251"/>
      <c r="S866" s="251"/>
      <c r="T866" s="251"/>
      <c r="U866" s="251"/>
      <c r="V866" s="251"/>
      <c r="W866" s="251"/>
      <c r="X866" s="251"/>
      <c r="Y866" s="251"/>
      <c r="Z866" s="251"/>
      <c r="AA866" s="251"/>
      <c r="AB866" s="251"/>
    </row>
    <row r="867" ht="14.25" customHeight="1">
      <c r="A867" s="251"/>
      <c r="B867" s="263"/>
      <c r="C867" s="275"/>
      <c r="D867" s="98"/>
      <c r="E867" s="240"/>
      <c r="F867" s="240"/>
      <c r="G867" s="240"/>
      <c r="H867" s="240"/>
      <c r="I867" s="276"/>
      <c r="J867" s="251"/>
      <c r="K867" s="251"/>
      <c r="L867" s="251"/>
      <c r="M867" s="251"/>
      <c r="N867" s="251"/>
      <c r="O867" s="251"/>
      <c r="P867" s="251"/>
      <c r="Q867" s="251"/>
      <c r="R867" s="251"/>
      <c r="S867" s="251"/>
      <c r="T867" s="251"/>
      <c r="U867" s="251"/>
      <c r="V867" s="251"/>
      <c r="W867" s="251"/>
      <c r="X867" s="251"/>
      <c r="Y867" s="251"/>
      <c r="Z867" s="251"/>
      <c r="AA867" s="251"/>
      <c r="AB867" s="251"/>
    </row>
    <row r="868" ht="14.25" customHeight="1">
      <c r="A868" s="251"/>
      <c r="B868" s="263"/>
      <c r="C868" s="275"/>
      <c r="D868" s="98"/>
      <c r="E868" s="240"/>
      <c r="F868" s="240"/>
      <c r="G868" s="240"/>
      <c r="H868" s="240"/>
      <c r="I868" s="276"/>
      <c r="J868" s="251"/>
      <c r="K868" s="251"/>
      <c r="L868" s="251"/>
      <c r="M868" s="251"/>
      <c r="N868" s="251"/>
      <c r="O868" s="251"/>
      <c r="P868" s="251"/>
      <c r="Q868" s="251"/>
      <c r="R868" s="251"/>
      <c r="S868" s="251"/>
      <c r="T868" s="251"/>
      <c r="U868" s="251"/>
      <c r="V868" s="251"/>
      <c r="W868" s="251"/>
      <c r="X868" s="251"/>
      <c r="Y868" s="251"/>
      <c r="Z868" s="251"/>
      <c r="AA868" s="251"/>
      <c r="AB868" s="251"/>
    </row>
    <row r="869" ht="14.25" customHeight="1">
      <c r="A869" s="251"/>
      <c r="B869" s="263"/>
      <c r="C869" s="275"/>
      <c r="D869" s="98"/>
      <c r="E869" s="240"/>
      <c r="F869" s="240"/>
      <c r="G869" s="240"/>
      <c r="H869" s="240"/>
      <c r="I869" s="276"/>
      <c r="J869" s="251"/>
      <c r="K869" s="251"/>
      <c r="L869" s="251"/>
      <c r="M869" s="251"/>
      <c r="N869" s="251"/>
      <c r="O869" s="251"/>
      <c r="P869" s="251"/>
      <c r="Q869" s="251"/>
      <c r="R869" s="251"/>
      <c r="S869" s="251"/>
      <c r="T869" s="251"/>
      <c r="U869" s="251"/>
      <c r="V869" s="251"/>
      <c r="W869" s="251"/>
      <c r="X869" s="251"/>
      <c r="Y869" s="251"/>
      <c r="Z869" s="251"/>
      <c r="AA869" s="251"/>
      <c r="AB869" s="251"/>
    </row>
    <row r="870" ht="14.25" customHeight="1">
      <c r="A870" s="251"/>
      <c r="B870" s="263"/>
      <c r="C870" s="275"/>
      <c r="D870" s="98"/>
      <c r="E870" s="240"/>
      <c r="F870" s="240"/>
      <c r="G870" s="240"/>
      <c r="H870" s="240"/>
      <c r="I870" s="276"/>
      <c r="J870" s="251"/>
      <c r="K870" s="251"/>
      <c r="L870" s="251"/>
      <c r="M870" s="251"/>
      <c r="N870" s="251"/>
      <c r="O870" s="251"/>
      <c r="P870" s="251"/>
      <c r="Q870" s="251"/>
      <c r="R870" s="251"/>
      <c r="S870" s="251"/>
      <c r="T870" s="251"/>
      <c r="U870" s="251"/>
      <c r="V870" s="251"/>
      <c r="W870" s="251"/>
      <c r="X870" s="251"/>
      <c r="Y870" s="251"/>
      <c r="Z870" s="251"/>
      <c r="AA870" s="251"/>
      <c r="AB870" s="251"/>
    </row>
    <row r="871" ht="14.25" customHeight="1">
      <c r="A871" s="251"/>
      <c r="B871" s="263"/>
      <c r="C871" s="275"/>
      <c r="D871" s="98"/>
      <c r="E871" s="240"/>
      <c r="F871" s="240"/>
      <c r="G871" s="240"/>
      <c r="H871" s="240"/>
      <c r="I871" s="276"/>
      <c r="J871" s="251"/>
      <c r="K871" s="251"/>
      <c r="L871" s="251"/>
      <c r="M871" s="251"/>
      <c r="N871" s="251"/>
      <c r="O871" s="251"/>
      <c r="P871" s="251"/>
      <c r="Q871" s="251"/>
      <c r="R871" s="251"/>
      <c r="S871" s="251"/>
      <c r="T871" s="251"/>
      <c r="U871" s="251"/>
      <c r="V871" s="251"/>
      <c r="W871" s="251"/>
      <c r="X871" s="251"/>
      <c r="Y871" s="251"/>
      <c r="Z871" s="251"/>
      <c r="AA871" s="251"/>
      <c r="AB871" s="251"/>
    </row>
    <row r="872" ht="14.25" customHeight="1">
      <c r="A872" s="251"/>
      <c r="B872" s="263"/>
      <c r="C872" s="275"/>
      <c r="D872" s="98"/>
      <c r="E872" s="240"/>
      <c r="F872" s="240"/>
      <c r="G872" s="240"/>
      <c r="H872" s="240"/>
      <c r="I872" s="276"/>
      <c r="J872" s="251"/>
      <c r="K872" s="251"/>
      <c r="L872" s="251"/>
      <c r="M872" s="251"/>
      <c r="N872" s="251"/>
      <c r="O872" s="251"/>
      <c r="P872" s="251"/>
      <c r="Q872" s="251"/>
      <c r="R872" s="251"/>
      <c r="S872" s="251"/>
      <c r="T872" s="251"/>
      <c r="U872" s="251"/>
      <c r="V872" s="251"/>
      <c r="W872" s="251"/>
      <c r="X872" s="251"/>
      <c r="Y872" s="251"/>
      <c r="Z872" s="251"/>
      <c r="AA872" s="251"/>
      <c r="AB872" s="251"/>
    </row>
    <row r="873" ht="14.25" customHeight="1">
      <c r="A873" s="251"/>
      <c r="B873" s="263"/>
      <c r="C873" s="275"/>
      <c r="D873" s="98"/>
      <c r="E873" s="240"/>
      <c r="F873" s="240"/>
      <c r="G873" s="240"/>
      <c r="H873" s="240"/>
      <c r="I873" s="276"/>
      <c r="J873" s="251"/>
      <c r="K873" s="251"/>
      <c r="L873" s="251"/>
      <c r="M873" s="251"/>
      <c r="N873" s="251"/>
      <c r="O873" s="251"/>
      <c r="P873" s="251"/>
      <c r="Q873" s="251"/>
      <c r="R873" s="251"/>
      <c r="S873" s="251"/>
      <c r="T873" s="251"/>
      <c r="U873" s="251"/>
      <c r="V873" s="251"/>
      <c r="W873" s="251"/>
      <c r="X873" s="251"/>
      <c r="Y873" s="251"/>
      <c r="Z873" s="251"/>
      <c r="AA873" s="251"/>
      <c r="AB873" s="251"/>
    </row>
    <row r="874" ht="14.25" customHeight="1">
      <c r="A874" s="251"/>
      <c r="B874" s="263"/>
      <c r="C874" s="275"/>
      <c r="D874" s="98"/>
      <c r="E874" s="240"/>
      <c r="F874" s="240"/>
      <c r="G874" s="240"/>
      <c r="H874" s="240"/>
      <c r="I874" s="276"/>
      <c r="J874" s="251"/>
      <c r="K874" s="251"/>
      <c r="L874" s="251"/>
      <c r="M874" s="251"/>
      <c r="N874" s="251"/>
      <c r="O874" s="251"/>
      <c r="P874" s="251"/>
      <c r="Q874" s="251"/>
      <c r="R874" s="251"/>
      <c r="S874" s="251"/>
      <c r="T874" s="251"/>
      <c r="U874" s="251"/>
      <c r="V874" s="251"/>
      <c r="W874" s="251"/>
      <c r="X874" s="251"/>
      <c r="Y874" s="251"/>
      <c r="Z874" s="251"/>
      <c r="AA874" s="251"/>
      <c r="AB874" s="251"/>
    </row>
    <row r="875" ht="14.25" customHeight="1">
      <c r="A875" s="251"/>
      <c r="B875" s="263"/>
      <c r="C875" s="275"/>
      <c r="D875" s="98"/>
      <c r="E875" s="240"/>
      <c r="F875" s="240"/>
      <c r="G875" s="240"/>
      <c r="H875" s="240"/>
      <c r="I875" s="276"/>
      <c r="J875" s="251"/>
      <c r="K875" s="251"/>
      <c r="L875" s="251"/>
      <c r="M875" s="251"/>
      <c r="N875" s="251"/>
      <c r="O875" s="251"/>
      <c r="P875" s="251"/>
      <c r="Q875" s="251"/>
      <c r="R875" s="251"/>
      <c r="S875" s="251"/>
      <c r="T875" s="251"/>
      <c r="U875" s="251"/>
      <c r="V875" s="251"/>
      <c r="W875" s="251"/>
      <c r="X875" s="251"/>
      <c r="Y875" s="251"/>
      <c r="Z875" s="251"/>
      <c r="AA875" s="251"/>
      <c r="AB875" s="251"/>
    </row>
    <row r="876" ht="14.25" customHeight="1">
      <c r="A876" s="251"/>
      <c r="B876" s="263"/>
      <c r="C876" s="275"/>
      <c r="D876" s="98"/>
      <c r="E876" s="240"/>
      <c r="F876" s="240"/>
      <c r="G876" s="240"/>
      <c r="H876" s="240"/>
      <c r="I876" s="276"/>
      <c r="J876" s="251"/>
      <c r="K876" s="251"/>
      <c r="L876" s="251"/>
      <c r="M876" s="251"/>
      <c r="N876" s="251"/>
      <c r="O876" s="251"/>
      <c r="P876" s="251"/>
      <c r="Q876" s="251"/>
      <c r="R876" s="251"/>
      <c r="S876" s="251"/>
      <c r="T876" s="251"/>
      <c r="U876" s="251"/>
      <c r="V876" s="251"/>
      <c r="W876" s="251"/>
      <c r="X876" s="251"/>
      <c r="Y876" s="251"/>
      <c r="Z876" s="251"/>
      <c r="AA876" s="251"/>
      <c r="AB876" s="251"/>
    </row>
    <row r="877" ht="14.25" customHeight="1">
      <c r="A877" s="251"/>
      <c r="B877" s="263"/>
      <c r="C877" s="275"/>
      <c r="D877" s="98"/>
      <c r="E877" s="240"/>
      <c r="F877" s="240"/>
      <c r="G877" s="240"/>
      <c r="H877" s="240"/>
      <c r="I877" s="276"/>
      <c r="J877" s="251"/>
      <c r="K877" s="251"/>
      <c r="L877" s="251"/>
      <c r="M877" s="251"/>
      <c r="N877" s="251"/>
      <c r="O877" s="251"/>
      <c r="P877" s="251"/>
      <c r="Q877" s="251"/>
      <c r="R877" s="251"/>
      <c r="S877" s="251"/>
      <c r="T877" s="251"/>
      <c r="U877" s="251"/>
      <c r="V877" s="251"/>
      <c r="W877" s="251"/>
      <c r="X877" s="251"/>
      <c r="Y877" s="251"/>
      <c r="Z877" s="251"/>
      <c r="AA877" s="251"/>
      <c r="AB877" s="251"/>
    </row>
    <row r="878" ht="14.25" customHeight="1">
      <c r="A878" s="251"/>
      <c r="B878" s="263"/>
      <c r="C878" s="275"/>
      <c r="D878" s="98"/>
      <c r="E878" s="240"/>
      <c r="F878" s="240"/>
      <c r="G878" s="240"/>
      <c r="H878" s="240"/>
      <c r="I878" s="276"/>
      <c r="J878" s="251"/>
      <c r="K878" s="251"/>
      <c r="L878" s="251"/>
      <c r="M878" s="251"/>
      <c r="N878" s="251"/>
      <c r="O878" s="251"/>
      <c r="P878" s="251"/>
      <c r="Q878" s="251"/>
      <c r="R878" s="251"/>
      <c r="S878" s="251"/>
      <c r="T878" s="251"/>
      <c r="U878" s="251"/>
      <c r="V878" s="251"/>
      <c r="W878" s="251"/>
      <c r="X878" s="251"/>
      <c r="Y878" s="251"/>
      <c r="Z878" s="251"/>
      <c r="AA878" s="251"/>
      <c r="AB878" s="251"/>
    </row>
    <row r="879" ht="14.25" customHeight="1">
      <c r="A879" s="251"/>
      <c r="B879" s="263"/>
      <c r="C879" s="275"/>
      <c r="D879" s="98"/>
      <c r="E879" s="240"/>
      <c r="F879" s="240"/>
      <c r="G879" s="240"/>
      <c r="H879" s="240"/>
      <c r="I879" s="276"/>
      <c r="J879" s="251"/>
      <c r="K879" s="251"/>
      <c r="L879" s="251"/>
      <c r="M879" s="251"/>
      <c r="N879" s="251"/>
      <c r="O879" s="251"/>
      <c r="P879" s="251"/>
      <c r="Q879" s="251"/>
      <c r="R879" s="251"/>
      <c r="S879" s="251"/>
      <c r="T879" s="251"/>
      <c r="U879" s="251"/>
      <c r="V879" s="251"/>
      <c r="W879" s="251"/>
      <c r="X879" s="251"/>
      <c r="Y879" s="251"/>
      <c r="Z879" s="251"/>
      <c r="AA879" s="251"/>
      <c r="AB879" s="251"/>
    </row>
    <row r="880" ht="14.25" customHeight="1">
      <c r="A880" s="251"/>
      <c r="B880" s="263"/>
      <c r="C880" s="275"/>
      <c r="D880" s="98"/>
      <c r="E880" s="240"/>
      <c r="F880" s="240"/>
      <c r="G880" s="240"/>
      <c r="H880" s="240"/>
      <c r="I880" s="276"/>
      <c r="J880" s="251"/>
      <c r="K880" s="251"/>
      <c r="L880" s="251"/>
      <c r="M880" s="251"/>
      <c r="N880" s="251"/>
      <c r="O880" s="251"/>
      <c r="P880" s="251"/>
      <c r="Q880" s="251"/>
      <c r="R880" s="251"/>
      <c r="S880" s="251"/>
      <c r="T880" s="251"/>
      <c r="U880" s="251"/>
      <c r="V880" s="251"/>
      <c r="W880" s="251"/>
      <c r="X880" s="251"/>
      <c r="Y880" s="251"/>
      <c r="Z880" s="251"/>
      <c r="AA880" s="251"/>
      <c r="AB880" s="251"/>
    </row>
    <row r="881" ht="14.25" customHeight="1">
      <c r="A881" s="251"/>
      <c r="B881" s="263"/>
      <c r="C881" s="275"/>
      <c r="D881" s="98"/>
      <c r="E881" s="240"/>
      <c r="F881" s="240"/>
      <c r="G881" s="240"/>
      <c r="H881" s="240"/>
      <c r="I881" s="276"/>
      <c r="J881" s="251"/>
      <c r="K881" s="251"/>
      <c r="L881" s="251"/>
      <c r="M881" s="251"/>
      <c r="N881" s="251"/>
      <c r="O881" s="251"/>
      <c r="P881" s="251"/>
      <c r="Q881" s="251"/>
      <c r="R881" s="251"/>
      <c r="S881" s="251"/>
      <c r="T881" s="251"/>
      <c r="U881" s="251"/>
      <c r="V881" s="251"/>
      <c r="W881" s="251"/>
      <c r="X881" s="251"/>
      <c r="Y881" s="251"/>
      <c r="Z881" s="251"/>
      <c r="AA881" s="251"/>
      <c r="AB881" s="251"/>
    </row>
    <row r="882" ht="14.25" customHeight="1">
      <c r="A882" s="251"/>
      <c r="B882" s="263"/>
      <c r="C882" s="275"/>
      <c r="D882" s="98"/>
      <c r="E882" s="240"/>
      <c r="F882" s="240"/>
      <c r="G882" s="240"/>
      <c r="H882" s="240"/>
      <c r="I882" s="276"/>
      <c r="J882" s="251"/>
      <c r="K882" s="251"/>
      <c r="L882" s="251"/>
      <c r="M882" s="251"/>
      <c r="N882" s="251"/>
      <c r="O882" s="251"/>
      <c r="P882" s="251"/>
      <c r="Q882" s="251"/>
      <c r="R882" s="251"/>
      <c r="S882" s="251"/>
      <c r="T882" s="251"/>
      <c r="U882" s="251"/>
      <c r="V882" s="251"/>
      <c r="W882" s="251"/>
      <c r="X882" s="251"/>
      <c r="Y882" s="251"/>
      <c r="Z882" s="251"/>
      <c r="AA882" s="251"/>
      <c r="AB882" s="251"/>
    </row>
    <row r="883" ht="14.25" customHeight="1">
      <c r="A883" s="251"/>
      <c r="B883" s="263"/>
      <c r="C883" s="275"/>
      <c r="D883" s="98"/>
      <c r="E883" s="240"/>
      <c r="F883" s="240"/>
      <c r="G883" s="240"/>
      <c r="H883" s="240"/>
      <c r="I883" s="276"/>
      <c r="J883" s="251"/>
      <c r="K883" s="251"/>
      <c r="L883" s="251"/>
      <c r="M883" s="251"/>
      <c r="N883" s="251"/>
      <c r="O883" s="251"/>
      <c r="P883" s="251"/>
      <c r="Q883" s="251"/>
      <c r="R883" s="251"/>
      <c r="S883" s="251"/>
      <c r="T883" s="251"/>
      <c r="U883" s="251"/>
      <c r="V883" s="251"/>
      <c r="W883" s="251"/>
      <c r="X883" s="251"/>
      <c r="Y883" s="251"/>
      <c r="Z883" s="251"/>
      <c r="AA883" s="251"/>
      <c r="AB883" s="251"/>
    </row>
    <row r="884" ht="14.25" customHeight="1">
      <c r="A884" s="251"/>
      <c r="B884" s="263"/>
      <c r="C884" s="275"/>
      <c r="D884" s="98"/>
      <c r="E884" s="240"/>
      <c r="F884" s="240"/>
      <c r="G884" s="240"/>
      <c r="H884" s="240"/>
      <c r="I884" s="276"/>
      <c r="J884" s="251"/>
      <c r="K884" s="251"/>
      <c r="L884" s="251"/>
      <c r="M884" s="251"/>
      <c r="N884" s="251"/>
      <c r="O884" s="251"/>
      <c r="P884" s="251"/>
      <c r="Q884" s="251"/>
      <c r="R884" s="251"/>
      <c r="S884" s="251"/>
      <c r="T884" s="251"/>
      <c r="U884" s="251"/>
      <c r="V884" s="251"/>
      <c r="W884" s="251"/>
      <c r="X884" s="251"/>
      <c r="Y884" s="251"/>
      <c r="Z884" s="251"/>
      <c r="AA884" s="251"/>
      <c r="AB884" s="251"/>
    </row>
    <row r="885" ht="14.25" customHeight="1">
      <c r="A885" s="251"/>
      <c r="B885" s="263"/>
      <c r="C885" s="275"/>
      <c r="D885" s="98"/>
      <c r="E885" s="240"/>
      <c r="F885" s="240"/>
      <c r="G885" s="240"/>
      <c r="H885" s="240"/>
      <c r="I885" s="276"/>
      <c r="J885" s="251"/>
      <c r="K885" s="251"/>
      <c r="L885" s="251"/>
      <c r="M885" s="251"/>
      <c r="N885" s="251"/>
      <c r="O885" s="251"/>
      <c r="P885" s="251"/>
      <c r="Q885" s="251"/>
      <c r="R885" s="251"/>
      <c r="S885" s="251"/>
      <c r="T885" s="251"/>
      <c r="U885" s="251"/>
      <c r="V885" s="251"/>
      <c r="W885" s="251"/>
      <c r="X885" s="251"/>
      <c r="Y885" s="251"/>
      <c r="Z885" s="251"/>
      <c r="AA885" s="251"/>
      <c r="AB885" s="251"/>
    </row>
    <row r="886" ht="14.25" customHeight="1">
      <c r="A886" s="251"/>
      <c r="B886" s="263"/>
      <c r="C886" s="275"/>
      <c r="D886" s="98"/>
      <c r="E886" s="240"/>
      <c r="F886" s="240"/>
      <c r="G886" s="240"/>
      <c r="H886" s="240"/>
      <c r="I886" s="276"/>
      <c r="J886" s="251"/>
      <c r="K886" s="251"/>
      <c r="L886" s="251"/>
      <c r="M886" s="251"/>
      <c r="N886" s="251"/>
      <c r="O886" s="251"/>
      <c r="P886" s="251"/>
      <c r="Q886" s="251"/>
      <c r="R886" s="251"/>
      <c r="S886" s="251"/>
      <c r="T886" s="251"/>
      <c r="U886" s="251"/>
      <c r="V886" s="251"/>
      <c r="W886" s="251"/>
      <c r="X886" s="251"/>
      <c r="Y886" s="251"/>
      <c r="Z886" s="251"/>
      <c r="AA886" s="251"/>
      <c r="AB886" s="251"/>
    </row>
    <row r="887" ht="14.25" customHeight="1">
      <c r="A887" s="251"/>
      <c r="B887" s="263"/>
      <c r="C887" s="275"/>
      <c r="D887" s="98"/>
      <c r="E887" s="240"/>
      <c r="F887" s="240"/>
      <c r="G887" s="240"/>
      <c r="H887" s="240"/>
      <c r="I887" s="276"/>
      <c r="J887" s="251"/>
      <c r="K887" s="251"/>
      <c r="L887" s="251"/>
      <c r="M887" s="251"/>
      <c r="N887" s="251"/>
      <c r="O887" s="251"/>
      <c r="P887" s="251"/>
      <c r="Q887" s="251"/>
      <c r="R887" s="251"/>
      <c r="S887" s="251"/>
      <c r="T887" s="251"/>
      <c r="U887" s="251"/>
      <c r="V887" s="251"/>
      <c r="W887" s="251"/>
      <c r="X887" s="251"/>
      <c r="Y887" s="251"/>
      <c r="Z887" s="251"/>
      <c r="AA887" s="251"/>
      <c r="AB887" s="251"/>
    </row>
    <row r="888" ht="14.25" customHeight="1">
      <c r="A888" s="251"/>
      <c r="B888" s="263"/>
      <c r="C888" s="275"/>
      <c r="D888" s="98"/>
      <c r="E888" s="240"/>
      <c r="F888" s="240"/>
      <c r="G888" s="240"/>
      <c r="H888" s="240"/>
      <c r="I888" s="276"/>
      <c r="J888" s="251"/>
      <c r="K888" s="251"/>
      <c r="L888" s="251"/>
      <c r="M888" s="251"/>
      <c r="N888" s="251"/>
      <c r="O888" s="251"/>
      <c r="P888" s="251"/>
      <c r="Q888" s="251"/>
      <c r="R888" s="251"/>
      <c r="S888" s="251"/>
      <c r="T888" s="251"/>
      <c r="U888" s="251"/>
      <c r="V888" s="251"/>
      <c r="W888" s="251"/>
      <c r="X888" s="251"/>
      <c r="Y888" s="251"/>
      <c r="Z888" s="251"/>
      <c r="AA888" s="251"/>
      <c r="AB888" s="251"/>
    </row>
    <row r="889" ht="14.25" customHeight="1">
      <c r="A889" s="251"/>
      <c r="B889" s="263"/>
      <c r="C889" s="275"/>
      <c r="D889" s="98"/>
      <c r="E889" s="240"/>
      <c r="F889" s="240"/>
      <c r="G889" s="240"/>
      <c r="H889" s="240"/>
      <c r="I889" s="276"/>
      <c r="J889" s="251"/>
      <c r="K889" s="251"/>
      <c r="L889" s="251"/>
      <c r="M889" s="251"/>
      <c r="N889" s="251"/>
      <c r="O889" s="251"/>
      <c r="P889" s="251"/>
      <c r="Q889" s="251"/>
      <c r="R889" s="251"/>
      <c r="S889" s="251"/>
      <c r="T889" s="251"/>
      <c r="U889" s="251"/>
      <c r="V889" s="251"/>
      <c r="W889" s="251"/>
      <c r="X889" s="251"/>
      <c r="Y889" s="251"/>
      <c r="Z889" s="251"/>
      <c r="AA889" s="251"/>
      <c r="AB889" s="251"/>
    </row>
    <row r="890" ht="14.25" customHeight="1">
      <c r="A890" s="251"/>
      <c r="B890" s="263"/>
      <c r="C890" s="275"/>
      <c r="D890" s="98"/>
      <c r="E890" s="240"/>
      <c r="F890" s="240"/>
      <c r="G890" s="240"/>
      <c r="H890" s="240"/>
      <c r="I890" s="276"/>
      <c r="J890" s="251"/>
      <c r="K890" s="251"/>
      <c r="L890" s="251"/>
      <c r="M890" s="251"/>
      <c r="N890" s="251"/>
      <c r="O890" s="251"/>
      <c r="P890" s="251"/>
      <c r="Q890" s="251"/>
      <c r="R890" s="251"/>
      <c r="S890" s="251"/>
      <c r="T890" s="251"/>
      <c r="U890" s="251"/>
      <c r="V890" s="251"/>
      <c r="W890" s="251"/>
      <c r="X890" s="251"/>
      <c r="Y890" s="251"/>
      <c r="Z890" s="251"/>
      <c r="AA890" s="251"/>
      <c r="AB890" s="251"/>
    </row>
    <row r="891" ht="14.25" customHeight="1">
      <c r="A891" s="251"/>
      <c r="B891" s="263"/>
      <c r="C891" s="275"/>
      <c r="D891" s="98"/>
      <c r="E891" s="240"/>
      <c r="F891" s="240"/>
      <c r="G891" s="240"/>
      <c r="H891" s="240"/>
      <c r="I891" s="276"/>
      <c r="J891" s="251"/>
      <c r="K891" s="251"/>
      <c r="L891" s="251"/>
      <c r="M891" s="251"/>
      <c r="N891" s="251"/>
      <c r="O891" s="251"/>
      <c r="P891" s="251"/>
      <c r="Q891" s="251"/>
      <c r="R891" s="251"/>
      <c r="S891" s="251"/>
      <c r="T891" s="251"/>
      <c r="U891" s="251"/>
      <c r="V891" s="251"/>
      <c r="W891" s="251"/>
      <c r="X891" s="251"/>
      <c r="Y891" s="251"/>
      <c r="Z891" s="251"/>
      <c r="AA891" s="251"/>
      <c r="AB891" s="251"/>
    </row>
    <row r="892" ht="14.25" customHeight="1">
      <c r="A892" s="251"/>
      <c r="B892" s="263"/>
      <c r="C892" s="275"/>
      <c r="D892" s="98"/>
      <c r="E892" s="240"/>
      <c r="F892" s="240"/>
      <c r="G892" s="240"/>
      <c r="H892" s="240"/>
      <c r="I892" s="276"/>
      <c r="J892" s="251"/>
      <c r="K892" s="251"/>
      <c r="L892" s="251"/>
      <c r="M892" s="251"/>
      <c r="N892" s="251"/>
      <c r="O892" s="251"/>
      <c r="P892" s="251"/>
      <c r="Q892" s="251"/>
      <c r="R892" s="251"/>
      <c r="S892" s="251"/>
      <c r="T892" s="251"/>
      <c r="U892" s="251"/>
      <c r="V892" s="251"/>
      <c r="W892" s="251"/>
      <c r="X892" s="251"/>
      <c r="Y892" s="251"/>
      <c r="Z892" s="251"/>
      <c r="AA892" s="251"/>
      <c r="AB892" s="251"/>
    </row>
    <row r="893" ht="14.25" customHeight="1">
      <c r="A893" s="251"/>
      <c r="B893" s="263"/>
      <c r="C893" s="275"/>
      <c r="D893" s="98"/>
      <c r="E893" s="240"/>
      <c r="F893" s="240"/>
      <c r="G893" s="240"/>
      <c r="H893" s="240"/>
      <c r="I893" s="276"/>
      <c r="J893" s="251"/>
      <c r="K893" s="251"/>
      <c r="L893" s="251"/>
      <c r="M893" s="251"/>
      <c r="N893" s="251"/>
      <c r="O893" s="251"/>
      <c r="P893" s="251"/>
      <c r="Q893" s="251"/>
      <c r="R893" s="251"/>
      <c r="S893" s="251"/>
      <c r="T893" s="251"/>
      <c r="U893" s="251"/>
      <c r="V893" s="251"/>
      <c r="W893" s="251"/>
      <c r="X893" s="251"/>
      <c r="Y893" s="251"/>
      <c r="Z893" s="251"/>
      <c r="AA893" s="251"/>
      <c r="AB893" s="251"/>
    </row>
    <row r="894" ht="14.25" customHeight="1">
      <c r="A894" s="251"/>
      <c r="B894" s="263"/>
      <c r="C894" s="275"/>
      <c r="D894" s="98"/>
      <c r="E894" s="240"/>
      <c r="F894" s="240"/>
      <c r="G894" s="240"/>
      <c r="H894" s="240"/>
      <c r="I894" s="276"/>
      <c r="J894" s="251"/>
      <c r="K894" s="251"/>
      <c r="L894" s="251"/>
      <c r="M894" s="251"/>
      <c r="N894" s="251"/>
      <c r="O894" s="251"/>
      <c r="P894" s="251"/>
      <c r="Q894" s="251"/>
      <c r="R894" s="251"/>
      <c r="S894" s="251"/>
      <c r="T894" s="251"/>
      <c r="U894" s="251"/>
      <c r="V894" s="251"/>
      <c r="W894" s="251"/>
      <c r="X894" s="251"/>
      <c r="Y894" s="251"/>
      <c r="Z894" s="251"/>
      <c r="AA894" s="251"/>
      <c r="AB894" s="251"/>
    </row>
    <row r="895" ht="14.25" customHeight="1">
      <c r="A895" s="251"/>
      <c r="B895" s="263"/>
      <c r="C895" s="275"/>
      <c r="D895" s="98"/>
      <c r="E895" s="240"/>
      <c r="F895" s="240"/>
      <c r="G895" s="240"/>
      <c r="H895" s="240"/>
      <c r="I895" s="276"/>
      <c r="J895" s="251"/>
      <c r="K895" s="251"/>
      <c r="L895" s="251"/>
      <c r="M895" s="251"/>
      <c r="N895" s="251"/>
      <c r="O895" s="251"/>
      <c r="P895" s="251"/>
      <c r="Q895" s="251"/>
      <c r="R895" s="251"/>
      <c r="S895" s="251"/>
      <c r="T895" s="251"/>
      <c r="U895" s="251"/>
      <c r="V895" s="251"/>
      <c r="W895" s="251"/>
      <c r="X895" s="251"/>
      <c r="Y895" s="251"/>
      <c r="Z895" s="251"/>
      <c r="AA895" s="251"/>
      <c r="AB895" s="251"/>
    </row>
    <row r="896" ht="14.25" customHeight="1">
      <c r="A896" s="251"/>
      <c r="B896" s="263"/>
      <c r="C896" s="275"/>
      <c r="D896" s="98"/>
      <c r="E896" s="240"/>
      <c r="F896" s="240"/>
      <c r="G896" s="240"/>
      <c r="H896" s="240"/>
      <c r="I896" s="276"/>
      <c r="J896" s="251"/>
      <c r="K896" s="251"/>
      <c r="L896" s="251"/>
      <c r="M896" s="251"/>
      <c r="N896" s="251"/>
      <c r="O896" s="251"/>
      <c r="P896" s="251"/>
      <c r="Q896" s="251"/>
      <c r="R896" s="251"/>
      <c r="S896" s="251"/>
      <c r="T896" s="251"/>
      <c r="U896" s="251"/>
      <c r="V896" s="251"/>
      <c r="W896" s="251"/>
      <c r="X896" s="251"/>
      <c r="Y896" s="251"/>
      <c r="Z896" s="251"/>
      <c r="AA896" s="251"/>
      <c r="AB896" s="251"/>
    </row>
    <row r="897" ht="14.25" customHeight="1">
      <c r="A897" s="251"/>
      <c r="B897" s="263"/>
      <c r="C897" s="275"/>
      <c r="D897" s="98"/>
      <c r="E897" s="240"/>
      <c r="F897" s="240"/>
      <c r="G897" s="240"/>
      <c r="H897" s="240"/>
      <c r="I897" s="276"/>
      <c r="J897" s="251"/>
      <c r="K897" s="251"/>
      <c r="L897" s="251"/>
      <c r="M897" s="251"/>
      <c r="N897" s="251"/>
      <c r="O897" s="251"/>
      <c r="P897" s="251"/>
      <c r="Q897" s="251"/>
      <c r="R897" s="251"/>
      <c r="S897" s="251"/>
      <c r="T897" s="251"/>
      <c r="U897" s="251"/>
      <c r="V897" s="251"/>
      <c r="W897" s="251"/>
      <c r="X897" s="251"/>
      <c r="Y897" s="251"/>
      <c r="Z897" s="251"/>
      <c r="AA897" s="251"/>
      <c r="AB897" s="251"/>
    </row>
    <row r="898" ht="14.25" customHeight="1">
      <c r="A898" s="251"/>
      <c r="B898" s="263"/>
      <c r="C898" s="275"/>
      <c r="D898" s="98"/>
      <c r="E898" s="240"/>
      <c r="F898" s="240"/>
      <c r="G898" s="240"/>
      <c r="H898" s="240"/>
      <c r="I898" s="276"/>
      <c r="J898" s="251"/>
      <c r="K898" s="251"/>
      <c r="L898" s="251"/>
      <c r="M898" s="251"/>
      <c r="N898" s="251"/>
      <c r="O898" s="251"/>
      <c r="P898" s="251"/>
      <c r="Q898" s="251"/>
      <c r="R898" s="251"/>
      <c r="S898" s="251"/>
      <c r="T898" s="251"/>
      <c r="U898" s="251"/>
      <c r="V898" s="251"/>
      <c r="W898" s="251"/>
      <c r="X898" s="251"/>
      <c r="Y898" s="251"/>
      <c r="Z898" s="251"/>
      <c r="AA898" s="251"/>
      <c r="AB898" s="251"/>
    </row>
    <row r="899" ht="14.25" customHeight="1">
      <c r="A899" s="251"/>
      <c r="B899" s="263"/>
      <c r="C899" s="275"/>
      <c r="D899" s="98"/>
      <c r="E899" s="240"/>
      <c r="F899" s="240"/>
      <c r="G899" s="240"/>
      <c r="H899" s="240"/>
      <c r="I899" s="276"/>
      <c r="J899" s="251"/>
      <c r="K899" s="251"/>
      <c r="L899" s="251"/>
      <c r="M899" s="251"/>
      <c r="N899" s="251"/>
      <c r="O899" s="251"/>
      <c r="P899" s="251"/>
      <c r="Q899" s="251"/>
      <c r="R899" s="251"/>
      <c r="S899" s="251"/>
      <c r="T899" s="251"/>
      <c r="U899" s="251"/>
      <c r="V899" s="251"/>
      <c r="W899" s="251"/>
      <c r="X899" s="251"/>
      <c r="Y899" s="251"/>
      <c r="Z899" s="251"/>
      <c r="AA899" s="251"/>
      <c r="AB899" s="251"/>
    </row>
    <row r="900" ht="14.25" customHeight="1">
      <c r="A900" s="251"/>
      <c r="B900" s="263"/>
      <c r="C900" s="275"/>
      <c r="D900" s="98"/>
      <c r="E900" s="240"/>
      <c r="F900" s="240"/>
      <c r="G900" s="240"/>
      <c r="H900" s="240"/>
      <c r="I900" s="276"/>
      <c r="J900" s="251"/>
      <c r="K900" s="251"/>
      <c r="L900" s="251"/>
      <c r="M900" s="251"/>
      <c r="N900" s="251"/>
      <c r="O900" s="251"/>
      <c r="P900" s="251"/>
      <c r="Q900" s="251"/>
      <c r="R900" s="251"/>
      <c r="S900" s="251"/>
      <c r="T900" s="251"/>
      <c r="U900" s="251"/>
      <c r="V900" s="251"/>
      <c r="W900" s="251"/>
      <c r="X900" s="251"/>
      <c r="Y900" s="251"/>
      <c r="Z900" s="251"/>
      <c r="AA900" s="251"/>
      <c r="AB900" s="251"/>
    </row>
    <row r="901" ht="14.25" customHeight="1">
      <c r="A901" s="251"/>
      <c r="B901" s="263"/>
      <c r="C901" s="275"/>
      <c r="D901" s="98"/>
      <c r="E901" s="240"/>
      <c r="F901" s="240"/>
      <c r="G901" s="240"/>
      <c r="H901" s="240"/>
      <c r="I901" s="276"/>
      <c r="J901" s="251"/>
      <c r="K901" s="251"/>
      <c r="L901" s="251"/>
      <c r="M901" s="251"/>
      <c r="N901" s="251"/>
      <c r="O901" s="251"/>
      <c r="P901" s="251"/>
      <c r="Q901" s="251"/>
      <c r="R901" s="251"/>
      <c r="S901" s="251"/>
      <c r="T901" s="251"/>
      <c r="U901" s="251"/>
      <c r="V901" s="251"/>
      <c r="W901" s="251"/>
      <c r="X901" s="251"/>
      <c r="Y901" s="251"/>
      <c r="Z901" s="251"/>
      <c r="AA901" s="251"/>
      <c r="AB901" s="251"/>
    </row>
    <row r="902" ht="14.25" customHeight="1">
      <c r="A902" s="251"/>
      <c r="B902" s="263"/>
      <c r="C902" s="275"/>
      <c r="D902" s="98"/>
      <c r="E902" s="240"/>
      <c r="F902" s="240"/>
      <c r="G902" s="240"/>
      <c r="H902" s="240"/>
      <c r="I902" s="276"/>
      <c r="J902" s="251"/>
      <c r="K902" s="251"/>
      <c r="L902" s="251"/>
      <c r="M902" s="251"/>
      <c r="N902" s="251"/>
      <c r="O902" s="251"/>
      <c r="P902" s="251"/>
      <c r="Q902" s="251"/>
      <c r="R902" s="251"/>
      <c r="S902" s="251"/>
      <c r="T902" s="251"/>
      <c r="U902" s="251"/>
      <c r="V902" s="251"/>
      <c r="W902" s="251"/>
      <c r="X902" s="251"/>
      <c r="Y902" s="251"/>
      <c r="Z902" s="251"/>
      <c r="AA902" s="251"/>
      <c r="AB902" s="251"/>
    </row>
    <row r="903" ht="14.25" customHeight="1">
      <c r="A903" s="251"/>
      <c r="B903" s="263"/>
      <c r="C903" s="275"/>
      <c r="D903" s="98"/>
      <c r="E903" s="240"/>
      <c r="F903" s="240"/>
      <c r="G903" s="240"/>
      <c r="H903" s="240"/>
      <c r="I903" s="276"/>
      <c r="J903" s="251"/>
      <c r="K903" s="251"/>
      <c r="L903" s="251"/>
      <c r="M903" s="251"/>
      <c r="N903" s="251"/>
      <c r="O903" s="251"/>
      <c r="P903" s="251"/>
      <c r="Q903" s="251"/>
      <c r="R903" s="251"/>
      <c r="S903" s="251"/>
      <c r="T903" s="251"/>
      <c r="U903" s="251"/>
      <c r="V903" s="251"/>
      <c r="W903" s="251"/>
      <c r="X903" s="251"/>
      <c r="Y903" s="251"/>
      <c r="Z903" s="251"/>
      <c r="AA903" s="251"/>
      <c r="AB903" s="251"/>
    </row>
    <row r="904" ht="14.25" customHeight="1">
      <c r="A904" s="251"/>
      <c r="B904" s="263"/>
      <c r="C904" s="275"/>
      <c r="D904" s="98"/>
      <c r="E904" s="240"/>
      <c r="F904" s="240"/>
      <c r="G904" s="240"/>
      <c r="H904" s="240"/>
      <c r="I904" s="276"/>
      <c r="J904" s="251"/>
      <c r="K904" s="251"/>
      <c r="L904" s="251"/>
      <c r="M904" s="251"/>
      <c r="N904" s="251"/>
      <c r="O904" s="251"/>
      <c r="P904" s="251"/>
      <c r="Q904" s="251"/>
      <c r="R904" s="251"/>
      <c r="S904" s="251"/>
      <c r="T904" s="251"/>
      <c r="U904" s="251"/>
      <c r="V904" s="251"/>
      <c r="W904" s="251"/>
      <c r="X904" s="251"/>
      <c r="Y904" s="251"/>
      <c r="Z904" s="251"/>
      <c r="AA904" s="251"/>
      <c r="AB904" s="251"/>
    </row>
    <row r="905" ht="14.25" customHeight="1">
      <c r="A905" s="251"/>
      <c r="B905" s="263"/>
      <c r="C905" s="275"/>
      <c r="D905" s="98"/>
      <c r="E905" s="240"/>
      <c r="F905" s="240"/>
      <c r="G905" s="240"/>
      <c r="H905" s="240"/>
      <c r="I905" s="276"/>
      <c r="J905" s="251"/>
      <c r="K905" s="251"/>
      <c r="L905" s="251"/>
      <c r="M905" s="251"/>
      <c r="N905" s="251"/>
      <c r="O905" s="251"/>
      <c r="P905" s="251"/>
      <c r="Q905" s="251"/>
      <c r="R905" s="251"/>
      <c r="S905" s="251"/>
      <c r="T905" s="251"/>
      <c r="U905" s="251"/>
      <c r="V905" s="251"/>
      <c r="W905" s="251"/>
      <c r="X905" s="251"/>
      <c r="Y905" s="251"/>
      <c r="Z905" s="251"/>
      <c r="AA905" s="251"/>
      <c r="AB905" s="251"/>
    </row>
    <row r="906" ht="14.25" customHeight="1">
      <c r="A906" s="251"/>
      <c r="B906" s="263"/>
      <c r="C906" s="275"/>
      <c r="D906" s="98"/>
      <c r="E906" s="240"/>
      <c r="F906" s="240"/>
      <c r="G906" s="240"/>
      <c r="H906" s="240"/>
      <c r="I906" s="276"/>
      <c r="J906" s="251"/>
      <c r="K906" s="251"/>
      <c r="L906" s="251"/>
      <c r="M906" s="251"/>
      <c r="N906" s="251"/>
      <c r="O906" s="251"/>
      <c r="P906" s="251"/>
      <c r="Q906" s="251"/>
      <c r="R906" s="251"/>
      <c r="S906" s="251"/>
      <c r="T906" s="251"/>
      <c r="U906" s="251"/>
      <c r="V906" s="251"/>
      <c r="W906" s="251"/>
      <c r="X906" s="251"/>
      <c r="Y906" s="251"/>
      <c r="Z906" s="251"/>
      <c r="AA906" s="251"/>
      <c r="AB906" s="251"/>
    </row>
    <row r="907" ht="14.25" customHeight="1">
      <c r="A907" s="251"/>
      <c r="B907" s="263"/>
      <c r="C907" s="275"/>
      <c r="D907" s="98"/>
      <c r="E907" s="240"/>
      <c r="F907" s="240"/>
      <c r="G907" s="240"/>
      <c r="H907" s="240"/>
      <c r="I907" s="276"/>
      <c r="J907" s="251"/>
      <c r="K907" s="251"/>
      <c r="L907" s="251"/>
      <c r="M907" s="251"/>
      <c r="N907" s="251"/>
      <c r="O907" s="251"/>
      <c r="P907" s="251"/>
      <c r="Q907" s="251"/>
      <c r="R907" s="251"/>
      <c r="S907" s="251"/>
      <c r="T907" s="251"/>
      <c r="U907" s="251"/>
      <c r="V907" s="251"/>
      <c r="W907" s="251"/>
      <c r="X907" s="251"/>
      <c r="Y907" s="251"/>
      <c r="Z907" s="251"/>
      <c r="AA907" s="251"/>
      <c r="AB907" s="251"/>
    </row>
    <row r="908" ht="14.25" customHeight="1">
      <c r="A908" s="251"/>
      <c r="B908" s="263"/>
      <c r="C908" s="275"/>
      <c r="D908" s="98"/>
      <c r="E908" s="240"/>
      <c r="F908" s="240"/>
      <c r="G908" s="240"/>
      <c r="H908" s="240"/>
      <c r="I908" s="276"/>
      <c r="J908" s="251"/>
      <c r="K908" s="251"/>
      <c r="L908" s="251"/>
      <c r="M908" s="251"/>
      <c r="N908" s="251"/>
      <c r="O908" s="251"/>
      <c r="P908" s="251"/>
      <c r="Q908" s="251"/>
      <c r="R908" s="251"/>
      <c r="S908" s="251"/>
      <c r="T908" s="251"/>
      <c r="U908" s="251"/>
      <c r="V908" s="251"/>
      <c r="W908" s="251"/>
      <c r="X908" s="251"/>
      <c r="Y908" s="251"/>
      <c r="Z908" s="251"/>
      <c r="AA908" s="251"/>
      <c r="AB908" s="251"/>
    </row>
    <row r="909" ht="14.25" customHeight="1">
      <c r="A909" s="251"/>
      <c r="B909" s="263"/>
      <c r="C909" s="275"/>
      <c r="D909" s="98"/>
      <c r="E909" s="240"/>
      <c r="F909" s="240"/>
      <c r="G909" s="240"/>
      <c r="H909" s="240"/>
      <c r="I909" s="276"/>
      <c r="J909" s="251"/>
      <c r="K909" s="251"/>
      <c r="L909" s="251"/>
      <c r="M909" s="251"/>
      <c r="N909" s="251"/>
      <c r="O909" s="251"/>
      <c r="P909" s="251"/>
      <c r="Q909" s="251"/>
      <c r="R909" s="251"/>
      <c r="S909" s="251"/>
      <c r="T909" s="251"/>
      <c r="U909" s="251"/>
      <c r="V909" s="251"/>
      <c r="W909" s="251"/>
      <c r="X909" s="251"/>
      <c r="Y909" s="251"/>
      <c r="Z909" s="251"/>
      <c r="AA909" s="251"/>
      <c r="AB909" s="251"/>
    </row>
    <row r="910" ht="14.25" customHeight="1">
      <c r="A910" s="251"/>
      <c r="B910" s="263"/>
      <c r="C910" s="275"/>
      <c r="D910" s="98"/>
      <c r="E910" s="240"/>
      <c r="F910" s="240"/>
      <c r="G910" s="240"/>
      <c r="H910" s="240"/>
      <c r="I910" s="276"/>
      <c r="J910" s="251"/>
      <c r="K910" s="251"/>
      <c r="L910" s="251"/>
      <c r="M910" s="251"/>
      <c r="N910" s="251"/>
      <c r="O910" s="251"/>
      <c r="P910" s="251"/>
      <c r="Q910" s="251"/>
      <c r="R910" s="251"/>
      <c r="S910" s="251"/>
      <c r="T910" s="251"/>
      <c r="U910" s="251"/>
      <c r="V910" s="251"/>
      <c r="W910" s="251"/>
      <c r="X910" s="251"/>
      <c r="Y910" s="251"/>
      <c r="Z910" s="251"/>
      <c r="AA910" s="251"/>
      <c r="AB910" s="251"/>
    </row>
    <row r="911" ht="14.25" customHeight="1">
      <c r="A911" s="251"/>
      <c r="B911" s="263"/>
      <c r="C911" s="275"/>
      <c r="D911" s="98"/>
      <c r="E911" s="240"/>
      <c r="F911" s="240"/>
      <c r="G911" s="240"/>
      <c r="H911" s="240"/>
      <c r="I911" s="276"/>
      <c r="J911" s="251"/>
      <c r="K911" s="251"/>
      <c r="L911" s="251"/>
      <c r="M911" s="251"/>
      <c r="N911" s="251"/>
      <c r="O911" s="251"/>
      <c r="P911" s="251"/>
      <c r="Q911" s="251"/>
      <c r="R911" s="251"/>
      <c r="S911" s="251"/>
      <c r="T911" s="251"/>
      <c r="U911" s="251"/>
      <c r="V911" s="251"/>
      <c r="W911" s="251"/>
      <c r="X911" s="251"/>
      <c r="Y911" s="251"/>
      <c r="Z911" s="251"/>
      <c r="AA911" s="251"/>
      <c r="AB911" s="251"/>
    </row>
    <row r="912" ht="14.25" customHeight="1">
      <c r="A912" s="251"/>
      <c r="B912" s="263"/>
      <c r="C912" s="275"/>
      <c r="D912" s="98"/>
      <c r="E912" s="240"/>
      <c r="F912" s="240"/>
      <c r="G912" s="240"/>
      <c r="H912" s="240"/>
      <c r="I912" s="276"/>
      <c r="J912" s="251"/>
      <c r="K912" s="251"/>
      <c r="L912" s="251"/>
      <c r="M912" s="251"/>
      <c r="N912" s="251"/>
      <c r="O912" s="251"/>
      <c r="P912" s="251"/>
      <c r="Q912" s="251"/>
      <c r="R912" s="251"/>
      <c r="S912" s="251"/>
      <c r="T912" s="251"/>
      <c r="U912" s="251"/>
      <c r="V912" s="251"/>
      <c r="W912" s="251"/>
      <c r="X912" s="251"/>
      <c r="Y912" s="251"/>
      <c r="Z912" s="251"/>
      <c r="AA912" s="251"/>
      <c r="AB912" s="251"/>
    </row>
    <row r="913" ht="14.25" customHeight="1">
      <c r="A913" s="251"/>
      <c r="B913" s="263"/>
      <c r="C913" s="275"/>
      <c r="D913" s="98"/>
      <c r="E913" s="240"/>
      <c r="F913" s="240"/>
      <c r="G913" s="240"/>
      <c r="H913" s="240"/>
      <c r="I913" s="276"/>
      <c r="J913" s="251"/>
      <c r="K913" s="251"/>
      <c r="L913" s="251"/>
      <c r="M913" s="251"/>
      <c r="N913" s="251"/>
      <c r="O913" s="251"/>
      <c r="P913" s="251"/>
      <c r="Q913" s="251"/>
      <c r="R913" s="251"/>
      <c r="S913" s="251"/>
      <c r="T913" s="251"/>
      <c r="U913" s="251"/>
      <c r="V913" s="251"/>
      <c r="W913" s="251"/>
      <c r="X913" s="251"/>
      <c r="Y913" s="251"/>
      <c r="Z913" s="251"/>
      <c r="AA913" s="251"/>
      <c r="AB913" s="251"/>
    </row>
    <row r="914" ht="14.25" customHeight="1">
      <c r="A914" s="251"/>
      <c r="B914" s="263"/>
      <c r="C914" s="275"/>
      <c r="D914" s="98"/>
      <c r="E914" s="240"/>
      <c r="F914" s="240"/>
      <c r="G914" s="240"/>
      <c r="H914" s="240"/>
      <c r="I914" s="276"/>
      <c r="J914" s="251"/>
      <c r="K914" s="251"/>
      <c r="L914" s="251"/>
      <c r="M914" s="251"/>
      <c r="N914" s="251"/>
      <c r="O914" s="251"/>
      <c r="P914" s="251"/>
      <c r="Q914" s="251"/>
      <c r="R914" s="251"/>
      <c r="S914" s="251"/>
      <c r="T914" s="251"/>
      <c r="U914" s="251"/>
      <c r="V914" s="251"/>
      <c r="W914" s="251"/>
      <c r="X914" s="251"/>
      <c r="Y914" s="251"/>
      <c r="Z914" s="251"/>
      <c r="AA914" s="251"/>
      <c r="AB914" s="251"/>
    </row>
    <row r="915" ht="14.25" customHeight="1">
      <c r="A915" s="251"/>
      <c r="B915" s="263"/>
      <c r="C915" s="275"/>
      <c r="D915" s="98"/>
      <c r="E915" s="240"/>
      <c r="F915" s="240"/>
      <c r="G915" s="240"/>
      <c r="H915" s="240"/>
      <c r="I915" s="276"/>
      <c r="J915" s="251"/>
      <c r="K915" s="251"/>
      <c r="L915" s="251"/>
      <c r="M915" s="251"/>
      <c r="N915" s="251"/>
      <c r="O915" s="251"/>
      <c r="P915" s="251"/>
      <c r="Q915" s="251"/>
      <c r="R915" s="251"/>
      <c r="S915" s="251"/>
      <c r="T915" s="251"/>
      <c r="U915" s="251"/>
      <c r="V915" s="251"/>
      <c r="W915" s="251"/>
      <c r="X915" s="251"/>
      <c r="Y915" s="251"/>
      <c r="Z915" s="251"/>
      <c r="AA915" s="251"/>
      <c r="AB915" s="251"/>
    </row>
    <row r="916" ht="14.25" customHeight="1">
      <c r="A916" s="251"/>
      <c r="B916" s="263"/>
      <c r="C916" s="275"/>
      <c r="D916" s="98"/>
      <c r="E916" s="240"/>
      <c r="F916" s="240"/>
      <c r="G916" s="240"/>
      <c r="H916" s="240"/>
      <c r="I916" s="276"/>
      <c r="J916" s="251"/>
      <c r="K916" s="251"/>
      <c r="L916" s="251"/>
      <c r="M916" s="251"/>
      <c r="N916" s="251"/>
      <c r="O916" s="251"/>
      <c r="P916" s="251"/>
      <c r="Q916" s="251"/>
      <c r="R916" s="251"/>
      <c r="S916" s="251"/>
      <c r="T916" s="251"/>
      <c r="U916" s="251"/>
      <c r="V916" s="251"/>
      <c r="W916" s="251"/>
      <c r="X916" s="251"/>
      <c r="Y916" s="251"/>
      <c r="Z916" s="251"/>
      <c r="AA916" s="251"/>
      <c r="AB916" s="251"/>
    </row>
    <row r="917" ht="14.25" customHeight="1">
      <c r="A917" s="251"/>
      <c r="B917" s="263"/>
      <c r="C917" s="275"/>
      <c r="D917" s="98"/>
      <c r="E917" s="240"/>
      <c r="F917" s="240"/>
      <c r="G917" s="240"/>
      <c r="H917" s="240"/>
      <c r="I917" s="276"/>
      <c r="J917" s="251"/>
      <c r="K917" s="251"/>
      <c r="L917" s="251"/>
      <c r="M917" s="251"/>
      <c r="N917" s="251"/>
      <c r="O917" s="251"/>
      <c r="P917" s="251"/>
      <c r="Q917" s="251"/>
      <c r="R917" s="251"/>
      <c r="S917" s="251"/>
      <c r="T917" s="251"/>
      <c r="U917" s="251"/>
      <c r="V917" s="251"/>
      <c r="W917" s="251"/>
      <c r="X917" s="251"/>
      <c r="Y917" s="251"/>
      <c r="Z917" s="251"/>
      <c r="AA917" s="251"/>
      <c r="AB917" s="251"/>
    </row>
    <row r="918" ht="14.25" customHeight="1">
      <c r="A918" s="251"/>
      <c r="B918" s="263"/>
      <c r="C918" s="275"/>
      <c r="D918" s="98"/>
      <c r="E918" s="240"/>
      <c r="F918" s="240"/>
      <c r="G918" s="240"/>
      <c r="H918" s="240"/>
      <c r="I918" s="276"/>
      <c r="J918" s="251"/>
      <c r="K918" s="251"/>
      <c r="L918" s="251"/>
      <c r="M918" s="251"/>
      <c r="N918" s="251"/>
      <c r="O918" s="251"/>
      <c r="P918" s="251"/>
      <c r="Q918" s="251"/>
      <c r="R918" s="251"/>
      <c r="S918" s="251"/>
      <c r="T918" s="251"/>
      <c r="U918" s="251"/>
      <c r="V918" s="251"/>
      <c r="W918" s="251"/>
      <c r="X918" s="251"/>
      <c r="Y918" s="251"/>
      <c r="Z918" s="251"/>
      <c r="AA918" s="251"/>
      <c r="AB918" s="251"/>
    </row>
    <row r="919" ht="14.25" customHeight="1">
      <c r="A919" s="251"/>
      <c r="B919" s="263"/>
      <c r="C919" s="275"/>
      <c r="D919" s="98"/>
      <c r="E919" s="240"/>
      <c r="F919" s="240"/>
      <c r="G919" s="240"/>
      <c r="H919" s="240"/>
      <c r="I919" s="276"/>
      <c r="J919" s="251"/>
      <c r="K919" s="251"/>
      <c r="L919" s="251"/>
      <c r="M919" s="251"/>
      <c r="N919" s="251"/>
      <c r="O919" s="251"/>
      <c r="P919" s="251"/>
      <c r="Q919" s="251"/>
      <c r="R919" s="251"/>
      <c r="S919" s="251"/>
      <c r="T919" s="251"/>
      <c r="U919" s="251"/>
      <c r="V919" s="251"/>
      <c r="W919" s="251"/>
      <c r="X919" s="251"/>
      <c r="Y919" s="251"/>
      <c r="Z919" s="251"/>
      <c r="AA919" s="251"/>
      <c r="AB919" s="251"/>
    </row>
    <row r="920" ht="14.25" customHeight="1">
      <c r="A920" s="251"/>
      <c r="B920" s="263"/>
      <c r="C920" s="275"/>
      <c r="D920" s="98"/>
      <c r="E920" s="240"/>
      <c r="F920" s="240"/>
      <c r="G920" s="240"/>
      <c r="H920" s="240"/>
      <c r="I920" s="276"/>
      <c r="J920" s="251"/>
      <c r="K920" s="251"/>
      <c r="L920" s="251"/>
      <c r="M920" s="251"/>
      <c r="N920" s="251"/>
      <c r="O920" s="251"/>
      <c r="P920" s="251"/>
      <c r="Q920" s="251"/>
      <c r="R920" s="251"/>
      <c r="S920" s="251"/>
      <c r="T920" s="251"/>
      <c r="U920" s="251"/>
      <c r="V920" s="251"/>
      <c r="W920" s="251"/>
      <c r="X920" s="251"/>
      <c r="Y920" s="251"/>
      <c r="Z920" s="251"/>
      <c r="AA920" s="251"/>
      <c r="AB920" s="251"/>
    </row>
    <row r="921" ht="14.25" customHeight="1">
      <c r="A921" s="251"/>
      <c r="B921" s="263"/>
      <c r="C921" s="275"/>
      <c r="D921" s="98"/>
      <c r="E921" s="240"/>
      <c r="F921" s="240"/>
      <c r="G921" s="240"/>
      <c r="H921" s="240"/>
      <c r="I921" s="276"/>
      <c r="J921" s="251"/>
      <c r="K921" s="251"/>
      <c r="L921" s="251"/>
      <c r="M921" s="251"/>
      <c r="N921" s="251"/>
      <c r="O921" s="251"/>
      <c r="P921" s="251"/>
      <c r="Q921" s="251"/>
      <c r="R921" s="251"/>
      <c r="S921" s="251"/>
      <c r="T921" s="251"/>
      <c r="U921" s="251"/>
      <c r="V921" s="251"/>
      <c r="W921" s="251"/>
      <c r="X921" s="251"/>
      <c r="Y921" s="251"/>
      <c r="Z921" s="251"/>
      <c r="AA921" s="251"/>
      <c r="AB921" s="251"/>
    </row>
    <row r="922" ht="14.25" customHeight="1">
      <c r="A922" s="251"/>
      <c r="B922" s="263"/>
      <c r="C922" s="275"/>
      <c r="D922" s="98"/>
      <c r="E922" s="240"/>
      <c r="F922" s="240"/>
      <c r="G922" s="240"/>
      <c r="H922" s="240"/>
      <c r="I922" s="276"/>
      <c r="J922" s="251"/>
      <c r="K922" s="251"/>
      <c r="L922" s="251"/>
      <c r="M922" s="251"/>
      <c r="N922" s="251"/>
      <c r="O922" s="251"/>
      <c r="P922" s="251"/>
      <c r="Q922" s="251"/>
      <c r="R922" s="251"/>
      <c r="S922" s="251"/>
      <c r="T922" s="251"/>
      <c r="U922" s="251"/>
      <c r="V922" s="251"/>
      <c r="W922" s="251"/>
      <c r="X922" s="251"/>
      <c r="Y922" s="251"/>
      <c r="Z922" s="251"/>
      <c r="AA922" s="251"/>
      <c r="AB922" s="251"/>
    </row>
    <row r="923" ht="14.25" customHeight="1">
      <c r="A923" s="251"/>
      <c r="B923" s="263"/>
      <c r="C923" s="275"/>
      <c r="D923" s="98"/>
      <c r="E923" s="240"/>
      <c r="F923" s="240"/>
      <c r="G923" s="240"/>
      <c r="H923" s="240"/>
      <c r="I923" s="276"/>
      <c r="J923" s="251"/>
      <c r="K923" s="251"/>
      <c r="L923" s="251"/>
      <c r="M923" s="251"/>
      <c r="N923" s="251"/>
      <c r="O923" s="251"/>
      <c r="P923" s="251"/>
      <c r="Q923" s="251"/>
      <c r="R923" s="251"/>
      <c r="S923" s="251"/>
      <c r="T923" s="251"/>
      <c r="U923" s="251"/>
      <c r="V923" s="251"/>
      <c r="W923" s="251"/>
      <c r="X923" s="251"/>
      <c r="Y923" s="251"/>
      <c r="Z923" s="251"/>
      <c r="AA923" s="251"/>
      <c r="AB923" s="251"/>
    </row>
    <row r="924" ht="14.25" customHeight="1">
      <c r="A924" s="251"/>
      <c r="B924" s="263"/>
      <c r="C924" s="275"/>
      <c r="D924" s="98"/>
      <c r="E924" s="240"/>
      <c r="F924" s="240"/>
      <c r="G924" s="240"/>
      <c r="H924" s="240"/>
      <c r="I924" s="276"/>
      <c r="J924" s="251"/>
      <c r="K924" s="251"/>
      <c r="L924" s="251"/>
      <c r="M924" s="251"/>
      <c r="N924" s="251"/>
      <c r="O924" s="251"/>
      <c r="P924" s="251"/>
      <c r="Q924" s="251"/>
      <c r="R924" s="251"/>
      <c r="S924" s="251"/>
      <c r="T924" s="251"/>
      <c r="U924" s="251"/>
      <c r="V924" s="251"/>
      <c r="W924" s="251"/>
      <c r="X924" s="251"/>
      <c r="Y924" s="251"/>
      <c r="Z924" s="251"/>
      <c r="AA924" s="251"/>
      <c r="AB924" s="251"/>
    </row>
    <row r="925" ht="14.25" customHeight="1">
      <c r="A925" s="251"/>
      <c r="B925" s="263"/>
      <c r="C925" s="275"/>
      <c r="D925" s="98"/>
      <c r="E925" s="240"/>
      <c r="F925" s="240"/>
      <c r="G925" s="240"/>
      <c r="H925" s="240"/>
      <c r="I925" s="276"/>
      <c r="J925" s="251"/>
      <c r="K925" s="251"/>
      <c r="L925" s="251"/>
      <c r="M925" s="251"/>
      <c r="N925" s="251"/>
      <c r="O925" s="251"/>
      <c r="P925" s="251"/>
      <c r="Q925" s="251"/>
      <c r="R925" s="251"/>
      <c r="S925" s="251"/>
      <c r="T925" s="251"/>
      <c r="U925" s="251"/>
      <c r="V925" s="251"/>
      <c r="W925" s="251"/>
      <c r="X925" s="251"/>
      <c r="Y925" s="251"/>
      <c r="Z925" s="251"/>
      <c r="AA925" s="251"/>
      <c r="AB925" s="251"/>
    </row>
    <row r="926" ht="14.25" customHeight="1">
      <c r="A926" s="251"/>
      <c r="B926" s="263"/>
      <c r="C926" s="275"/>
      <c r="D926" s="98"/>
      <c r="E926" s="240"/>
      <c r="F926" s="240"/>
      <c r="G926" s="240"/>
      <c r="H926" s="240"/>
      <c r="I926" s="276"/>
      <c r="J926" s="251"/>
      <c r="K926" s="251"/>
      <c r="L926" s="251"/>
      <c r="M926" s="251"/>
      <c r="N926" s="251"/>
      <c r="O926" s="251"/>
      <c r="P926" s="251"/>
      <c r="Q926" s="251"/>
      <c r="R926" s="251"/>
      <c r="S926" s="251"/>
      <c r="T926" s="251"/>
      <c r="U926" s="251"/>
      <c r="V926" s="251"/>
      <c r="W926" s="251"/>
      <c r="X926" s="251"/>
      <c r="Y926" s="251"/>
      <c r="Z926" s="251"/>
      <c r="AA926" s="251"/>
      <c r="AB926" s="251"/>
    </row>
    <row r="927" ht="14.25" customHeight="1">
      <c r="A927" s="251"/>
      <c r="B927" s="263"/>
      <c r="C927" s="275"/>
      <c r="D927" s="98"/>
      <c r="E927" s="240"/>
      <c r="F927" s="240"/>
      <c r="G927" s="240"/>
      <c r="H927" s="240"/>
      <c r="I927" s="276"/>
      <c r="J927" s="251"/>
      <c r="K927" s="251"/>
      <c r="L927" s="251"/>
      <c r="M927" s="251"/>
      <c r="N927" s="251"/>
      <c r="O927" s="251"/>
      <c r="P927" s="251"/>
      <c r="Q927" s="251"/>
      <c r="R927" s="251"/>
      <c r="S927" s="251"/>
      <c r="T927" s="251"/>
      <c r="U927" s="251"/>
      <c r="V927" s="251"/>
      <c r="W927" s="251"/>
      <c r="X927" s="251"/>
      <c r="Y927" s="251"/>
      <c r="Z927" s="251"/>
      <c r="AA927" s="251"/>
      <c r="AB927" s="251"/>
    </row>
    <row r="928" ht="14.25" customHeight="1">
      <c r="A928" s="251"/>
      <c r="B928" s="263"/>
      <c r="C928" s="275"/>
      <c r="D928" s="98"/>
      <c r="E928" s="240"/>
      <c r="F928" s="240"/>
      <c r="G928" s="240"/>
      <c r="H928" s="240"/>
      <c r="I928" s="276"/>
      <c r="J928" s="251"/>
      <c r="K928" s="251"/>
      <c r="L928" s="251"/>
      <c r="M928" s="251"/>
      <c r="N928" s="251"/>
      <c r="O928" s="251"/>
      <c r="P928" s="251"/>
      <c r="Q928" s="251"/>
      <c r="R928" s="251"/>
      <c r="S928" s="251"/>
      <c r="T928" s="251"/>
      <c r="U928" s="251"/>
      <c r="V928" s="251"/>
      <c r="W928" s="251"/>
      <c r="X928" s="251"/>
      <c r="Y928" s="251"/>
      <c r="Z928" s="251"/>
      <c r="AA928" s="251"/>
      <c r="AB928" s="251"/>
    </row>
    <row r="929" ht="14.25" customHeight="1">
      <c r="A929" s="251"/>
      <c r="B929" s="263"/>
      <c r="C929" s="275"/>
      <c r="D929" s="98"/>
      <c r="E929" s="240"/>
      <c r="F929" s="240"/>
      <c r="G929" s="240"/>
      <c r="H929" s="240"/>
      <c r="I929" s="276"/>
      <c r="J929" s="251"/>
      <c r="K929" s="251"/>
      <c r="L929" s="251"/>
      <c r="M929" s="251"/>
      <c r="N929" s="251"/>
      <c r="O929" s="251"/>
      <c r="P929" s="251"/>
      <c r="Q929" s="251"/>
      <c r="R929" s="251"/>
      <c r="S929" s="251"/>
      <c r="T929" s="251"/>
      <c r="U929" s="251"/>
      <c r="V929" s="251"/>
      <c r="W929" s="251"/>
      <c r="X929" s="251"/>
      <c r="Y929" s="251"/>
      <c r="Z929" s="251"/>
      <c r="AA929" s="251"/>
      <c r="AB929" s="251"/>
    </row>
    <row r="930" ht="14.25" customHeight="1">
      <c r="A930" s="251"/>
      <c r="B930" s="263"/>
      <c r="C930" s="275"/>
      <c r="D930" s="98"/>
      <c r="E930" s="240"/>
      <c r="F930" s="240"/>
      <c r="G930" s="240"/>
      <c r="H930" s="240"/>
      <c r="I930" s="276"/>
      <c r="J930" s="251"/>
      <c r="K930" s="251"/>
      <c r="L930" s="251"/>
      <c r="M930" s="251"/>
      <c r="N930" s="251"/>
      <c r="O930" s="251"/>
      <c r="P930" s="251"/>
      <c r="Q930" s="251"/>
      <c r="R930" s="251"/>
      <c r="S930" s="251"/>
      <c r="T930" s="251"/>
      <c r="U930" s="251"/>
      <c r="V930" s="251"/>
      <c r="W930" s="251"/>
      <c r="X930" s="251"/>
      <c r="Y930" s="251"/>
      <c r="Z930" s="251"/>
      <c r="AA930" s="251"/>
      <c r="AB930" s="251"/>
    </row>
    <row r="931" ht="14.25" customHeight="1">
      <c r="A931" s="251"/>
      <c r="B931" s="263"/>
      <c r="C931" s="275"/>
      <c r="D931" s="98"/>
      <c r="E931" s="240"/>
      <c r="F931" s="240"/>
      <c r="G931" s="240"/>
      <c r="H931" s="240"/>
      <c r="I931" s="276"/>
      <c r="J931" s="251"/>
      <c r="K931" s="251"/>
      <c r="L931" s="251"/>
      <c r="M931" s="251"/>
      <c r="N931" s="251"/>
      <c r="O931" s="251"/>
      <c r="P931" s="251"/>
      <c r="Q931" s="251"/>
      <c r="R931" s="251"/>
      <c r="S931" s="251"/>
      <c r="T931" s="251"/>
      <c r="U931" s="251"/>
      <c r="V931" s="251"/>
      <c r="W931" s="251"/>
      <c r="X931" s="251"/>
      <c r="Y931" s="251"/>
      <c r="Z931" s="251"/>
      <c r="AA931" s="251"/>
      <c r="AB931" s="251"/>
    </row>
    <row r="932" ht="14.25" customHeight="1">
      <c r="A932" s="251"/>
      <c r="B932" s="263"/>
      <c r="C932" s="275"/>
      <c r="D932" s="98"/>
      <c r="E932" s="240"/>
      <c r="F932" s="240"/>
      <c r="G932" s="240"/>
      <c r="H932" s="240"/>
      <c r="I932" s="276"/>
      <c r="J932" s="251"/>
      <c r="K932" s="251"/>
      <c r="L932" s="251"/>
      <c r="M932" s="251"/>
      <c r="N932" s="251"/>
      <c r="O932" s="251"/>
      <c r="P932" s="251"/>
      <c r="Q932" s="251"/>
      <c r="R932" s="251"/>
      <c r="S932" s="251"/>
      <c r="T932" s="251"/>
      <c r="U932" s="251"/>
      <c r="V932" s="251"/>
      <c r="W932" s="251"/>
      <c r="X932" s="251"/>
      <c r="Y932" s="251"/>
      <c r="Z932" s="251"/>
      <c r="AA932" s="251"/>
      <c r="AB932" s="251"/>
    </row>
    <row r="933" ht="14.25" customHeight="1">
      <c r="A933" s="251"/>
      <c r="B933" s="263"/>
      <c r="C933" s="275"/>
      <c r="D933" s="98"/>
      <c r="E933" s="240"/>
      <c r="F933" s="240"/>
      <c r="G933" s="240"/>
      <c r="H933" s="240"/>
      <c r="I933" s="276"/>
      <c r="J933" s="251"/>
      <c r="K933" s="251"/>
      <c r="L933" s="251"/>
      <c r="M933" s="251"/>
      <c r="N933" s="251"/>
      <c r="O933" s="251"/>
      <c r="P933" s="251"/>
      <c r="Q933" s="251"/>
      <c r="R933" s="251"/>
      <c r="S933" s="251"/>
      <c r="T933" s="251"/>
      <c r="U933" s="251"/>
      <c r="V933" s="251"/>
      <c r="W933" s="251"/>
      <c r="X933" s="251"/>
      <c r="Y933" s="251"/>
      <c r="Z933" s="251"/>
      <c r="AA933" s="251"/>
      <c r="AB933" s="251"/>
    </row>
    <row r="934" ht="14.25" customHeight="1">
      <c r="A934" s="251"/>
      <c r="B934" s="263"/>
      <c r="C934" s="275"/>
      <c r="D934" s="98"/>
      <c r="E934" s="240"/>
      <c r="F934" s="240"/>
      <c r="G934" s="240"/>
      <c r="H934" s="240"/>
      <c r="I934" s="276"/>
      <c r="J934" s="251"/>
      <c r="K934" s="251"/>
      <c r="L934" s="251"/>
      <c r="M934" s="251"/>
      <c r="N934" s="251"/>
      <c r="O934" s="251"/>
      <c r="P934" s="251"/>
      <c r="Q934" s="251"/>
      <c r="R934" s="251"/>
      <c r="S934" s="251"/>
      <c r="T934" s="251"/>
      <c r="U934" s="251"/>
      <c r="V934" s="251"/>
      <c r="W934" s="251"/>
      <c r="X934" s="251"/>
      <c r="Y934" s="251"/>
      <c r="Z934" s="251"/>
      <c r="AA934" s="251"/>
      <c r="AB934" s="251"/>
    </row>
    <row r="935" ht="14.25" customHeight="1">
      <c r="A935" s="251"/>
      <c r="B935" s="263"/>
      <c r="C935" s="275"/>
      <c r="D935" s="98"/>
      <c r="E935" s="240"/>
      <c r="F935" s="240"/>
      <c r="G935" s="240"/>
      <c r="H935" s="240"/>
      <c r="I935" s="276"/>
      <c r="J935" s="251"/>
      <c r="K935" s="251"/>
      <c r="L935" s="251"/>
      <c r="M935" s="251"/>
      <c r="N935" s="251"/>
      <c r="O935" s="251"/>
      <c r="P935" s="251"/>
      <c r="Q935" s="251"/>
      <c r="R935" s="251"/>
      <c r="S935" s="251"/>
      <c r="T935" s="251"/>
      <c r="U935" s="251"/>
      <c r="V935" s="251"/>
      <c r="W935" s="251"/>
      <c r="X935" s="251"/>
      <c r="Y935" s="251"/>
      <c r="Z935" s="251"/>
      <c r="AA935" s="251"/>
      <c r="AB935" s="251"/>
    </row>
    <row r="936" ht="14.25" customHeight="1">
      <c r="A936" s="251"/>
      <c r="B936" s="263"/>
      <c r="C936" s="275"/>
      <c r="D936" s="98"/>
      <c r="E936" s="240"/>
      <c r="F936" s="240"/>
      <c r="G936" s="240"/>
      <c r="H936" s="240"/>
      <c r="I936" s="276"/>
      <c r="J936" s="251"/>
      <c r="K936" s="251"/>
      <c r="L936" s="251"/>
      <c r="M936" s="251"/>
      <c r="N936" s="251"/>
      <c r="O936" s="251"/>
      <c r="P936" s="251"/>
      <c r="Q936" s="251"/>
      <c r="R936" s="251"/>
      <c r="S936" s="251"/>
      <c r="T936" s="251"/>
      <c r="U936" s="251"/>
      <c r="V936" s="251"/>
      <c r="W936" s="251"/>
      <c r="X936" s="251"/>
      <c r="Y936" s="251"/>
      <c r="Z936" s="251"/>
      <c r="AA936" s="251"/>
      <c r="AB936" s="251"/>
    </row>
    <row r="937" ht="14.25" customHeight="1">
      <c r="A937" s="251"/>
      <c r="B937" s="263"/>
      <c r="C937" s="275"/>
      <c r="D937" s="98"/>
      <c r="E937" s="240"/>
      <c r="F937" s="240"/>
      <c r="G937" s="240"/>
      <c r="H937" s="240"/>
      <c r="I937" s="276"/>
      <c r="J937" s="251"/>
      <c r="K937" s="251"/>
      <c r="L937" s="251"/>
      <c r="M937" s="251"/>
      <c r="N937" s="251"/>
      <c r="O937" s="251"/>
      <c r="P937" s="251"/>
      <c r="Q937" s="251"/>
      <c r="R937" s="251"/>
      <c r="S937" s="251"/>
      <c r="T937" s="251"/>
      <c r="U937" s="251"/>
      <c r="V937" s="251"/>
      <c r="W937" s="251"/>
      <c r="X937" s="251"/>
      <c r="Y937" s="251"/>
      <c r="Z937" s="251"/>
      <c r="AA937" s="251"/>
      <c r="AB937" s="251"/>
    </row>
    <row r="938" ht="14.25" customHeight="1">
      <c r="A938" s="251"/>
      <c r="B938" s="263"/>
      <c r="C938" s="275"/>
      <c r="D938" s="98"/>
      <c r="E938" s="240"/>
      <c r="F938" s="240"/>
      <c r="G938" s="240"/>
      <c r="H938" s="240"/>
      <c r="I938" s="276"/>
      <c r="J938" s="251"/>
      <c r="K938" s="251"/>
      <c r="L938" s="251"/>
      <c r="M938" s="251"/>
      <c r="N938" s="251"/>
      <c r="O938" s="251"/>
      <c r="P938" s="251"/>
      <c r="Q938" s="251"/>
      <c r="R938" s="251"/>
      <c r="S938" s="251"/>
      <c r="T938" s="251"/>
      <c r="U938" s="251"/>
      <c r="V938" s="251"/>
      <c r="W938" s="251"/>
      <c r="X938" s="251"/>
      <c r="Y938" s="251"/>
      <c r="Z938" s="251"/>
      <c r="AA938" s="251"/>
      <c r="AB938" s="251"/>
    </row>
    <row r="939" ht="14.25" customHeight="1">
      <c r="A939" s="251"/>
      <c r="B939" s="263"/>
      <c r="C939" s="275"/>
      <c r="D939" s="98"/>
      <c r="E939" s="240"/>
      <c r="F939" s="240"/>
      <c r="G939" s="240"/>
      <c r="H939" s="240"/>
      <c r="I939" s="276"/>
      <c r="J939" s="251"/>
      <c r="K939" s="251"/>
      <c r="L939" s="251"/>
      <c r="M939" s="251"/>
      <c r="N939" s="251"/>
      <c r="O939" s="251"/>
      <c r="P939" s="251"/>
      <c r="Q939" s="251"/>
      <c r="R939" s="251"/>
      <c r="S939" s="251"/>
      <c r="T939" s="251"/>
      <c r="U939" s="251"/>
      <c r="V939" s="251"/>
      <c r="W939" s="251"/>
      <c r="X939" s="251"/>
      <c r="Y939" s="251"/>
      <c r="Z939" s="251"/>
      <c r="AA939" s="251"/>
      <c r="AB939" s="251"/>
    </row>
    <row r="940" ht="14.25" customHeight="1">
      <c r="A940" s="251"/>
      <c r="B940" s="263"/>
      <c r="C940" s="275"/>
      <c r="D940" s="98"/>
      <c r="E940" s="240"/>
      <c r="F940" s="240"/>
      <c r="G940" s="240"/>
      <c r="H940" s="240"/>
      <c r="I940" s="276"/>
      <c r="J940" s="251"/>
      <c r="K940" s="251"/>
      <c r="L940" s="251"/>
      <c r="M940" s="251"/>
      <c r="N940" s="251"/>
      <c r="O940" s="251"/>
      <c r="P940" s="251"/>
      <c r="Q940" s="251"/>
      <c r="R940" s="251"/>
      <c r="S940" s="251"/>
      <c r="T940" s="251"/>
      <c r="U940" s="251"/>
      <c r="V940" s="251"/>
      <c r="W940" s="251"/>
      <c r="X940" s="251"/>
      <c r="Y940" s="251"/>
      <c r="Z940" s="251"/>
      <c r="AA940" s="251"/>
      <c r="AB940" s="251"/>
    </row>
    <row r="941" ht="14.25" customHeight="1">
      <c r="A941" s="251"/>
      <c r="B941" s="263"/>
      <c r="C941" s="275"/>
      <c r="D941" s="98"/>
      <c r="E941" s="240"/>
      <c r="F941" s="240"/>
      <c r="G941" s="240"/>
      <c r="H941" s="240"/>
      <c r="I941" s="276"/>
      <c r="J941" s="251"/>
      <c r="K941" s="251"/>
      <c r="L941" s="251"/>
      <c r="M941" s="251"/>
      <c r="N941" s="251"/>
      <c r="O941" s="251"/>
      <c r="P941" s="251"/>
      <c r="Q941" s="251"/>
      <c r="R941" s="251"/>
      <c r="S941" s="251"/>
      <c r="T941" s="251"/>
      <c r="U941" s="251"/>
      <c r="V941" s="251"/>
      <c r="W941" s="251"/>
      <c r="X941" s="251"/>
      <c r="Y941" s="251"/>
      <c r="Z941" s="251"/>
      <c r="AA941" s="251"/>
      <c r="AB941" s="251"/>
    </row>
    <row r="942" ht="14.25" customHeight="1">
      <c r="A942" s="251"/>
      <c r="B942" s="263"/>
      <c r="C942" s="275"/>
      <c r="D942" s="98"/>
      <c r="E942" s="240"/>
      <c r="F942" s="240"/>
      <c r="G942" s="240"/>
      <c r="H942" s="240"/>
      <c r="I942" s="276"/>
      <c r="J942" s="251"/>
      <c r="K942" s="251"/>
      <c r="L942" s="251"/>
      <c r="M942" s="251"/>
      <c r="N942" s="251"/>
      <c r="O942" s="251"/>
      <c r="P942" s="251"/>
      <c r="Q942" s="251"/>
      <c r="R942" s="251"/>
      <c r="S942" s="251"/>
      <c r="T942" s="251"/>
      <c r="U942" s="251"/>
      <c r="V942" s="251"/>
      <c r="W942" s="251"/>
      <c r="X942" s="251"/>
      <c r="Y942" s="251"/>
      <c r="Z942" s="251"/>
      <c r="AA942" s="251"/>
      <c r="AB942" s="251"/>
    </row>
    <row r="943" ht="14.25" customHeight="1">
      <c r="A943" s="251"/>
      <c r="B943" s="263"/>
      <c r="C943" s="275"/>
      <c r="D943" s="98"/>
      <c r="E943" s="240"/>
      <c r="F943" s="240"/>
      <c r="G943" s="240"/>
      <c r="H943" s="240"/>
      <c r="I943" s="276"/>
      <c r="J943" s="251"/>
      <c r="K943" s="251"/>
      <c r="L943" s="251"/>
      <c r="M943" s="251"/>
      <c r="N943" s="251"/>
      <c r="O943" s="251"/>
      <c r="P943" s="251"/>
      <c r="Q943" s="251"/>
      <c r="R943" s="251"/>
      <c r="S943" s="251"/>
      <c r="T943" s="251"/>
      <c r="U943" s="251"/>
      <c r="V943" s="251"/>
      <c r="W943" s="251"/>
      <c r="X943" s="251"/>
      <c r="Y943" s="251"/>
      <c r="Z943" s="251"/>
      <c r="AA943" s="251"/>
      <c r="AB943" s="251"/>
    </row>
    <row r="944" ht="14.25" customHeight="1">
      <c r="A944" s="251"/>
      <c r="B944" s="263"/>
      <c r="C944" s="275"/>
      <c r="D944" s="98"/>
      <c r="E944" s="240"/>
      <c r="F944" s="240"/>
      <c r="G944" s="240"/>
      <c r="H944" s="240"/>
      <c r="I944" s="276"/>
      <c r="J944" s="251"/>
      <c r="K944" s="251"/>
      <c r="L944" s="251"/>
      <c r="M944" s="251"/>
      <c r="N944" s="251"/>
      <c r="O944" s="251"/>
      <c r="P944" s="251"/>
      <c r="Q944" s="251"/>
      <c r="R944" s="251"/>
      <c r="S944" s="251"/>
      <c r="T944" s="251"/>
      <c r="U944" s="251"/>
      <c r="V944" s="251"/>
      <c r="W944" s="251"/>
      <c r="X944" s="251"/>
      <c r="Y944" s="251"/>
      <c r="Z944" s="251"/>
      <c r="AA944" s="251"/>
      <c r="AB944" s="251"/>
    </row>
    <row r="945" ht="14.25" customHeight="1">
      <c r="A945" s="251"/>
      <c r="B945" s="263"/>
      <c r="C945" s="275"/>
      <c r="D945" s="98"/>
      <c r="E945" s="240"/>
      <c r="F945" s="240"/>
      <c r="G945" s="240"/>
      <c r="H945" s="240"/>
      <c r="I945" s="276"/>
      <c r="J945" s="251"/>
      <c r="K945" s="251"/>
      <c r="L945" s="251"/>
      <c r="M945" s="251"/>
      <c r="N945" s="251"/>
      <c r="O945" s="251"/>
      <c r="P945" s="251"/>
      <c r="Q945" s="251"/>
      <c r="R945" s="251"/>
      <c r="S945" s="251"/>
      <c r="T945" s="251"/>
      <c r="U945" s="251"/>
      <c r="V945" s="251"/>
      <c r="W945" s="251"/>
      <c r="X945" s="251"/>
      <c r="Y945" s="251"/>
      <c r="Z945" s="251"/>
      <c r="AA945" s="251"/>
      <c r="AB945" s="251"/>
    </row>
    <row r="946" ht="14.25" customHeight="1">
      <c r="A946" s="251"/>
      <c r="B946" s="263"/>
      <c r="C946" s="275"/>
      <c r="D946" s="98"/>
      <c r="E946" s="240"/>
      <c r="F946" s="240"/>
      <c r="G946" s="240"/>
      <c r="H946" s="240"/>
      <c r="I946" s="276"/>
      <c r="J946" s="251"/>
      <c r="K946" s="251"/>
      <c r="L946" s="251"/>
      <c r="M946" s="251"/>
      <c r="N946" s="251"/>
      <c r="O946" s="251"/>
      <c r="P946" s="251"/>
      <c r="Q946" s="251"/>
      <c r="R946" s="251"/>
      <c r="S946" s="251"/>
      <c r="T946" s="251"/>
      <c r="U946" s="251"/>
      <c r="V946" s="251"/>
      <c r="W946" s="251"/>
      <c r="X946" s="251"/>
      <c r="Y946" s="251"/>
      <c r="Z946" s="251"/>
      <c r="AA946" s="251"/>
      <c r="AB946" s="251"/>
    </row>
    <row r="947" ht="14.25" customHeight="1">
      <c r="A947" s="251"/>
      <c r="B947" s="263"/>
      <c r="C947" s="275"/>
      <c r="D947" s="98"/>
      <c r="E947" s="240"/>
      <c r="F947" s="240"/>
      <c r="G947" s="240"/>
      <c r="H947" s="240"/>
      <c r="I947" s="276"/>
      <c r="J947" s="251"/>
      <c r="K947" s="251"/>
      <c r="L947" s="251"/>
      <c r="M947" s="251"/>
      <c r="N947" s="251"/>
      <c r="O947" s="251"/>
      <c r="P947" s="251"/>
      <c r="Q947" s="251"/>
      <c r="R947" s="251"/>
      <c r="S947" s="251"/>
      <c r="T947" s="251"/>
      <c r="U947" s="251"/>
      <c r="V947" s="251"/>
      <c r="W947" s="251"/>
      <c r="X947" s="251"/>
      <c r="Y947" s="251"/>
      <c r="Z947" s="251"/>
      <c r="AA947" s="251"/>
      <c r="AB947" s="251"/>
    </row>
    <row r="948" ht="14.25" customHeight="1">
      <c r="A948" s="251"/>
      <c r="B948" s="263"/>
      <c r="C948" s="275"/>
      <c r="D948" s="98"/>
      <c r="E948" s="240"/>
      <c r="F948" s="240"/>
      <c r="G948" s="240"/>
      <c r="H948" s="240"/>
      <c r="I948" s="276"/>
      <c r="J948" s="251"/>
      <c r="K948" s="251"/>
      <c r="L948" s="251"/>
      <c r="M948" s="251"/>
      <c r="N948" s="251"/>
      <c r="O948" s="251"/>
      <c r="P948" s="251"/>
      <c r="Q948" s="251"/>
      <c r="R948" s="251"/>
      <c r="S948" s="251"/>
      <c r="T948" s="251"/>
      <c r="U948" s="251"/>
      <c r="V948" s="251"/>
      <c r="W948" s="251"/>
      <c r="X948" s="251"/>
      <c r="Y948" s="251"/>
      <c r="Z948" s="251"/>
      <c r="AA948" s="251"/>
      <c r="AB948" s="251"/>
    </row>
    <row r="949" ht="14.25" customHeight="1">
      <c r="A949" s="251"/>
      <c r="B949" s="263"/>
      <c r="C949" s="275"/>
      <c r="D949" s="98"/>
      <c r="E949" s="240"/>
      <c r="F949" s="240"/>
      <c r="G949" s="240"/>
      <c r="H949" s="240"/>
      <c r="I949" s="276"/>
      <c r="J949" s="251"/>
      <c r="K949" s="251"/>
      <c r="L949" s="251"/>
      <c r="M949" s="251"/>
      <c r="N949" s="251"/>
      <c r="O949" s="251"/>
      <c r="P949" s="251"/>
      <c r="Q949" s="251"/>
      <c r="R949" s="251"/>
      <c r="S949" s="251"/>
      <c r="T949" s="251"/>
      <c r="U949" s="251"/>
      <c r="V949" s="251"/>
      <c r="W949" s="251"/>
      <c r="X949" s="251"/>
      <c r="Y949" s="251"/>
      <c r="Z949" s="251"/>
      <c r="AA949" s="251"/>
      <c r="AB949" s="251"/>
    </row>
    <row r="950" ht="14.25" customHeight="1">
      <c r="A950" s="251"/>
      <c r="B950" s="263"/>
      <c r="C950" s="275"/>
      <c r="D950" s="98"/>
      <c r="E950" s="240"/>
      <c r="F950" s="240"/>
      <c r="G950" s="240"/>
      <c r="H950" s="240"/>
      <c r="I950" s="276"/>
      <c r="J950" s="251"/>
      <c r="K950" s="251"/>
      <c r="L950" s="251"/>
      <c r="M950" s="251"/>
      <c r="N950" s="251"/>
      <c r="O950" s="251"/>
      <c r="P950" s="251"/>
      <c r="Q950" s="251"/>
      <c r="R950" s="251"/>
      <c r="S950" s="251"/>
      <c r="T950" s="251"/>
      <c r="U950" s="251"/>
      <c r="V950" s="251"/>
      <c r="W950" s="251"/>
      <c r="X950" s="251"/>
      <c r="Y950" s="251"/>
      <c r="Z950" s="251"/>
      <c r="AA950" s="251"/>
      <c r="AB950" s="251"/>
    </row>
    <row r="951" ht="14.25" customHeight="1">
      <c r="A951" s="251"/>
      <c r="B951" s="263"/>
      <c r="C951" s="275"/>
      <c r="D951" s="98"/>
      <c r="E951" s="240"/>
      <c r="F951" s="240"/>
      <c r="G951" s="240"/>
      <c r="H951" s="240"/>
      <c r="I951" s="276"/>
      <c r="J951" s="251"/>
      <c r="K951" s="251"/>
      <c r="L951" s="251"/>
      <c r="M951" s="251"/>
      <c r="N951" s="251"/>
      <c r="O951" s="251"/>
      <c r="P951" s="251"/>
      <c r="Q951" s="251"/>
      <c r="R951" s="251"/>
      <c r="S951" s="251"/>
      <c r="T951" s="251"/>
      <c r="U951" s="251"/>
      <c r="V951" s="251"/>
      <c r="W951" s="251"/>
      <c r="X951" s="251"/>
      <c r="Y951" s="251"/>
      <c r="Z951" s="251"/>
      <c r="AA951" s="251"/>
      <c r="AB951" s="251"/>
    </row>
    <row r="952" ht="14.25" customHeight="1">
      <c r="A952" s="251"/>
      <c r="B952" s="263"/>
      <c r="C952" s="275"/>
      <c r="D952" s="98"/>
      <c r="E952" s="240"/>
      <c r="F952" s="240"/>
      <c r="G952" s="240"/>
      <c r="H952" s="240"/>
      <c r="I952" s="276"/>
      <c r="J952" s="251"/>
      <c r="K952" s="251"/>
      <c r="L952" s="251"/>
      <c r="M952" s="251"/>
      <c r="N952" s="251"/>
      <c r="O952" s="251"/>
      <c r="P952" s="251"/>
      <c r="Q952" s="251"/>
      <c r="R952" s="251"/>
      <c r="S952" s="251"/>
      <c r="T952" s="251"/>
      <c r="U952" s="251"/>
      <c r="V952" s="251"/>
      <c r="W952" s="251"/>
      <c r="X952" s="251"/>
      <c r="Y952" s="251"/>
      <c r="Z952" s="251"/>
      <c r="AA952" s="251"/>
      <c r="AB952" s="251"/>
    </row>
    <row r="953" ht="14.25" customHeight="1">
      <c r="A953" s="251"/>
      <c r="B953" s="263"/>
      <c r="C953" s="275"/>
      <c r="D953" s="98"/>
      <c r="E953" s="240"/>
      <c r="F953" s="240"/>
      <c r="G953" s="240"/>
      <c r="H953" s="240"/>
      <c r="I953" s="276"/>
      <c r="J953" s="251"/>
      <c r="K953" s="251"/>
      <c r="L953" s="251"/>
      <c r="M953" s="251"/>
      <c r="N953" s="251"/>
      <c r="O953" s="251"/>
      <c r="P953" s="251"/>
      <c r="Q953" s="251"/>
      <c r="R953" s="251"/>
      <c r="S953" s="251"/>
      <c r="T953" s="251"/>
      <c r="U953" s="251"/>
      <c r="V953" s="251"/>
      <c r="W953" s="251"/>
      <c r="X953" s="251"/>
      <c r="Y953" s="251"/>
      <c r="Z953" s="251"/>
      <c r="AA953" s="251"/>
      <c r="AB953" s="251"/>
    </row>
    <row r="954" ht="14.25" customHeight="1">
      <c r="A954" s="251"/>
      <c r="B954" s="263"/>
      <c r="C954" s="275"/>
      <c r="D954" s="98"/>
      <c r="E954" s="240"/>
      <c r="F954" s="240"/>
      <c r="G954" s="240"/>
      <c r="H954" s="240"/>
      <c r="I954" s="276"/>
      <c r="J954" s="251"/>
      <c r="K954" s="251"/>
      <c r="L954" s="251"/>
      <c r="M954" s="251"/>
      <c r="N954" s="251"/>
      <c r="O954" s="251"/>
      <c r="P954" s="251"/>
      <c r="Q954" s="251"/>
      <c r="R954" s="251"/>
      <c r="S954" s="251"/>
      <c r="T954" s="251"/>
      <c r="U954" s="251"/>
      <c r="V954" s="251"/>
      <c r="W954" s="251"/>
      <c r="X954" s="251"/>
      <c r="Y954" s="251"/>
      <c r="Z954" s="251"/>
      <c r="AA954" s="251"/>
      <c r="AB954" s="251"/>
    </row>
    <row r="955" ht="14.25" customHeight="1">
      <c r="A955" s="251"/>
      <c r="B955" s="263"/>
      <c r="C955" s="275"/>
      <c r="D955" s="98"/>
      <c r="E955" s="240"/>
      <c r="F955" s="240"/>
      <c r="G955" s="240"/>
      <c r="H955" s="240"/>
      <c r="I955" s="276"/>
      <c r="J955" s="251"/>
      <c r="K955" s="251"/>
      <c r="L955" s="251"/>
      <c r="M955" s="251"/>
      <c r="N955" s="251"/>
      <c r="O955" s="251"/>
      <c r="P955" s="251"/>
      <c r="Q955" s="251"/>
      <c r="R955" s="251"/>
      <c r="S955" s="251"/>
      <c r="T955" s="251"/>
      <c r="U955" s="251"/>
      <c r="V955" s="251"/>
      <c r="W955" s="251"/>
      <c r="X955" s="251"/>
      <c r="Y955" s="251"/>
      <c r="Z955" s="251"/>
      <c r="AA955" s="251"/>
      <c r="AB955" s="251"/>
    </row>
    <row r="956" ht="14.25" customHeight="1">
      <c r="A956" s="251"/>
      <c r="B956" s="263"/>
      <c r="C956" s="275"/>
      <c r="D956" s="98"/>
      <c r="E956" s="240"/>
      <c r="F956" s="240"/>
      <c r="G956" s="240"/>
      <c r="H956" s="240"/>
      <c r="I956" s="276"/>
      <c r="J956" s="251"/>
      <c r="K956" s="251"/>
      <c r="L956" s="251"/>
      <c r="M956" s="251"/>
      <c r="N956" s="251"/>
      <c r="O956" s="251"/>
      <c r="P956" s="251"/>
      <c r="Q956" s="251"/>
      <c r="R956" s="251"/>
      <c r="S956" s="251"/>
      <c r="T956" s="251"/>
      <c r="U956" s="251"/>
      <c r="V956" s="251"/>
      <c r="W956" s="251"/>
      <c r="X956" s="251"/>
      <c r="Y956" s="251"/>
      <c r="Z956" s="251"/>
      <c r="AA956" s="251"/>
      <c r="AB956" s="251"/>
    </row>
    <row r="957" ht="14.25" customHeight="1">
      <c r="A957" s="251"/>
      <c r="B957" s="263"/>
      <c r="C957" s="275"/>
      <c r="D957" s="98"/>
      <c r="E957" s="240"/>
      <c r="F957" s="240"/>
      <c r="G957" s="240"/>
      <c r="H957" s="240"/>
      <c r="I957" s="276"/>
      <c r="J957" s="251"/>
      <c r="K957" s="251"/>
      <c r="L957" s="251"/>
      <c r="M957" s="251"/>
      <c r="N957" s="251"/>
      <c r="O957" s="251"/>
      <c r="P957" s="251"/>
      <c r="Q957" s="251"/>
      <c r="R957" s="251"/>
      <c r="S957" s="251"/>
      <c r="T957" s="251"/>
      <c r="U957" s="251"/>
      <c r="V957" s="251"/>
      <c r="W957" s="251"/>
      <c r="X957" s="251"/>
      <c r="Y957" s="251"/>
      <c r="Z957" s="251"/>
      <c r="AA957" s="251"/>
      <c r="AB957" s="251"/>
    </row>
    <row r="958" ht="14.25" customHeight="1">
      <c r="A958" s="251"/>
      <c r="B958" s="263"/>
      <c r="C958" s="275"/>
      <c r="D958" s="98"/>
      <c r="E958" s="240"/>
      <c r="F958" s="240"/>
      <c r="G958" s="240"/>
      <c r="H958" s="240"/>
      <c r="I958" s="276"/>
      <c r="J958" s="251"/>
      <c r="K958" s="251"/>
      <c r="L958" s="251"/>
      <c r="M958" s="251"/>
      <c r="N958" s="251"/>
      <c r="O958" s="251"/>
      <c r="P958" s="251"/>
      <c r="Q958" s="251"/>
      <c r="R958" s="251"/>
      <c r="S958" s="251"/>
      <c r="T958" s="251"/>
      <c r="U958" s="251"/>
      <c r="V958" s="251"/>
      <c r="W958" s="251"/>
      <c r="X958" s="251"/>
      <c r="Y958" s="251"/>
      <c r="Z958" s="251"/>
      <c r="AA958" s="251"/>
      <c r="AB958" s="251"/>
    </row>
    <row r="959" ht="14.25" customHeight="1">
      <c r="A959" s="251"/>
      <c r="B959" s="263"/>
      <c r="C959" s="275"/>
      <c r="D959" s="98"/>
      <c r="E959" s="240"/>
      <c r="F959" s="240"/>
      <c r="G959" s="240"/>
      <c r="H959" s="240"/>
      <c r="I959" s="276"/>
      <c r="J959" s="251"/>
      <c r="K959" s="251"/>
      <c r="L959" s="251"/>
      <c r="M959" s="251"/>
      <c r="N959" s="251"/>
      <c r="O959" s="251"/>
      <c r="P959" s="251"/>
      <c r="Q959" s="251"/>
      <c r="R959" s="251"/>
      <c r="S959" s="251"/>
      <c r="T959" s="251"/>
      <c r="U959" s="251"/>
      <c r="V959" s="251"/>
      <c r="W959" s="251"/>
      <c r="X959" s="251"/>
      <c r="Y959" s="251"/>
      <c r="Z959" s="251"/>
      <c r="AA959" s="251"/>
      <c r="AB959" s="251"/>
    </row>
    <row r="960" ht="14.25" customHeight="1">
      <c r="A960" s="251"/>
      <c r="B960" s="263"/>
      <c r="C960" s="275"/>
      <c r="D960" s="98"/>
      <c r="E960" s="240"/>
      <c r="F960" s="240"/>
      <c r="G960" s="240"/>
      <c r="H960" s="240"/>
      <c r="I960" s="276"/>
      <c r="J960" s="251"/>
      <c r="K960" s="251"/>
      <c r="L960" s="251"/>
      <c r="M960" s="251"/>
      <c r="N960" s="251"/>
      <c r="O960" s="251"/>
      <c r="P960" s="251"/>
      <c r="Q960" s="251"/>
      <c r="R960" s="251"/>
      <c r="S960" s="251"/>
      <c r="T960" s="251"/>
      <c r="U960" s="251"/>
      <c r="V960" s="251"/>
      <c r="W960" s="251"/>
      <c r="X960" s="251"/>
      <c r="Y960" s="251"/>
      <c r="Z960" s="251"/>
      <c r="AA960" s="251"/>
      <c r="AB960" s="251"/>
    </row>
    <row r="961" ht="14.25" customHeight="1">
      <c r="A961" s="251"/>
      <c r="B961" s="263"/>
      <c r="C961" s="275"/>
      <c r="D961" s="98"/>
      <c r="E961" s="240"/>
      <c r="F961" s="240"/>
      <c r="G961" s="240"/>
      <c r="H961" s="240"/>
      <c r="I961" s="276"/>
      <c r="J961" s="251"/>
      <c r="K961" s="251"/>
      <c r="L961" s="251"/>
      <c r="M961" s="251"/>
      <c r="N961" s="251"/>
      <c r="O961" s="251"/>
      <c r="P961" s="251"/>
      <c r="Q961" s="251"/>
      <c r="R961" s="251"/>
      <c r="S961" s="251"/>
      <c r="T961" s="251"/>
      <c r="U961" s="251"/>
      <c r="V961" s="251"/>
      <c r="W961" s="251"/>
      <c r="X961" s="251"/>
      <c r="Y961" s="251"/>
      <c r="Z961" s="251"/>
      <c r="AA961" s="251"/>
      <c r="AB961" s="251"/>
    </row>
    <row r="962" ht="14.25" customHeight="1">
      <c r="A962" s="251"/>
      <c r="B962" s="263"/>
      <c r="C962" s="275"/>
      <c r="D962" s="98"/>
      <c r="E962" s="240"/>
      <c r="F962" s="240"/>
      <c r="G962" s="240"/>
      <c r="H962" s="240"/>
      <c r="I962" s="276"/>
      <c r="J962" s="251"/>
      <c r="K962" s="251"/>
      <c r="L962" s="251"/>
      <c r="M962" s="251"/>
      <c r="N962" s="251"/>
      <c r="O962" s="251"/>
      <c r="P962" s="251"/>
      <c r="Q962" s="251"/>
      <c r="R962" s="251"/>
      <c r="S962" s="251"/>
      <c r="T962" s="251"/>
      <c r="U962" s="251"/>
      <c r="V962" s="251"/>
      <c r="W962" s="251"/>
      <c r="X962" s="251"/>
      <c r="Y962" s="251"/>
      <c r="Z962" s="251"/>
      <c r="AA962" s="251"/>
      <c r="AB962" s="251"/>
    </row>
    <row r="963" ht="14.25" customHeight="1">
      <c r="A963" s="251"/>
      <c r="B963" s="263"/>
      <c r="C963" s="275"/>
      <c r="D963" s="98"/>
      <c r="E963" s="240"/>
      <c r="F963" s="240"/>
      <c r="G963" s="240"/>
      <c r="H963" s="240"/>
      <c r="I963" s="276"/>
      <c r="J963" s="251"/>
      <c r="K963" s="251"/>
      <c r="L963" s="251"/>
      <c r="M963" s="251"/>
      <c r="N963" s="251"/>
      <c r="O963" s="251"/>
      <c r="P963" s="251"/>
      <c r="Q963" s="251"/>
      <c r="R963" s="251"/>
      <c r="S963" s="251"/>
      <c r="T963" s="251"/>
      <c r="U963" s="251"/>
      <c r="V963" s="251"/>
      <c r="W963" s="251"/>
      <c r="X963" s="251"/>
      <c r="Y963" s="251"/>
      <c r="Z963" s="251"/>
      <c r="AA963" s="251"/>
      <c r="AB963" s="251"/>
    </row>
    <row r="964" ht="14.25" customHeight="1">
      <c r="A964" s="251"/>
      <c r="B964" s="263"/>
      <c r="C964" s="275"/>
      <c r="D964" s="98"/>
      <c r="E964" s="240"/>
      <c r="F964" s="240"/>
      <c r="G964" s="240"/>
      <c r="H964" s="240"/>
      <c r="I964" s="276"/>
      <c r="J964" s="251"/>
      <c r="K964" s="251"/>
      <c r="L964" s="251"/>
      <c r="M964" s="251"/>
      <c r="N964" s="251"/>
      <c r="O964" s="251"/>
      <c r="P964" s="251"/>
      <c r="Q964" s="251"/>
      <c r="R964" s="251"/>
      <c r="S964" s="251"/>
      <c r="T964" s="251"/>
      <c r="U964" s="251"/>
      <c r="V964" s="251"/>
      <c r="W964" s="251"/>
      <c r="X964" s="251"/>
      <c r="Y964" s="251"/>
      <c r="Z964" s="251"/>
      <c r="AA964" s="251"/>
      <c r="AB964" s="251"/>
    </row>
    <row r="965" ht="14.25" customHeight="1">
      <c r="A965" s="251"/>
      <c r="B965" s="263"/>
      <c r="C965" s="275"/>
      <c r="D965" s="98"/>
      <c r="E965" s="240"/>
      <c r="F965" s="240"/>
      <c r="G965" s="240"/>
      <c r="H965" s="240"/>
      <c r="I965" s="276"/>
      <c r="J965" s="251"/>
      <c r="K965" s="251"/>
      <c r="L965" s="251"/>
      <c r="M965" s="251"/>
      <c r="N965" s="251"/>
      <c r="O965" s="251"/>
      <c r="P965" s="251"/>
      <c r="Q965" s="251"/>
      <c r="R965" s="251"/>
      <c r="S965" s="251"/>
      <c r="T965" s="251"/>
      <c r="U965" s="251"/>
      <c r="V965" s="251"/>
      <c r="W965" s="251"/>
      <c r="X965" s="251"/>
      <c r="Y965" s="251"/>
      <c r="Z965" s="251"/>
      <c r="AA965" s="251"/>
      <c r="AB965" s="251"/>
    </row>
    <row r="966" ht="14.25" customHeight="1">
      <c r="A966" s="251"/>
      <c r="B966" s="263"/>
      <c r="C966" s="275"/>
      <c r="D966" s="98"/>
      <c r="E966" s="240"/>
      <c r="F966" s="240"/>
      <c r="G966" s="240"/>
      <c r="H966" s="240"/>
      <c r="I966" s="276"/>
      <c r="J966" s="251"/>
      <c r="K966" s="251"/>
      <c r="L966" s="251"/>
      <c r="M966" s="251"/>
      <c r="N966" s="251"/>
      <c r="O966" s="251"/>
      <c r="P966" s="251"/>
      <c r="Q966" s="251"/>
      <c r="R966" s="251"/>
      <c r="S966" s="251"/>
      <c r="T966" s="251"/>
      <c r="U966" s="251"/>
      <c r="V966" s="251"/>
      <c r="W966" s="251"/>
      <c r="X966" s="251"/>
      <c r="Y966" s="251"/>
      <c r="Z966" s="251"/>
      <c r="AA966" s="251"/>
      <c r="AB966" s="251"/>
    </row>
    <row r="967" ht="14.25" customHeight="1">
      <c r="A967" s="251"/>
      <c r="B967" s="263"/>
      <c r="C967" s="275"/>
      <c r="D967" s="98"/>
      <c r="E967" s="240"/>
      <c r="F967" s="240"/>
      <c r="G967" s="240"/>
      <c r="H967" s="240"/>
      <c r="I967" s="276"/>
      <c r="J967" s="251"/>
      <c r="K967" s="251"/>
      <c r="L967" s="251"/>
      <c r="M967" s="251"/>
      <c r="N967" s="251"/>
      <c r="O967" s="251"/>
      <c r="P967" s="251"/>
      <c r="Q967" s="251"/>
      <c r="R967" s="251"/>
      <c r="S967" s="251"/>
      <c r="T967" s="251"/>
      <c r="U967" s="251"/>
      <c r="V967" s="251"/>
      <c r="W967" s="251"/>
      <c r="X967" s="251"/>
      <c r="Y967" s="251"/>
      <c r="Z967" s="251"/>
      <c r="AA967" s="251"/>
      <c r="AB967" s="251"/>
    </row>
    <row r="968" ht="14.25" customHeight="1">
      <c r="A968" s="251"/>
      <c r="B968" s="263"/>
      <c r="C968" s="275"/>
      <c r="D968" s="98"/>
      <c r="E968" s="240"/>
      <c r="F968" s="240"/>
      <c r="G968" s="240"/>
      <c r="H968" s="240"/>
      <c r="I968" s="276"/>
      <c r="J968" s="251"/>
      <c r="K968" s="251"/>
      <c r="L968" s="251"/>
      <c r="M968" s="251"/>
      <c r="N968" s="251"/>
      <c r="O968" s="251"/>
      <c r="P968" s="251"/>
      <c r="Q968" s="251"/>
      <c r="R968" s="251"/>
      <c r="S968" s="251"/>
      <c r="T968" s="251"/>
      <c r="U968" s="251"/>
      <c r="V968" s="251"/>
      <c r="W968" s="251"/>
      <c r="X968" s="251"/>
      <c r="Y968" s="251"/>
      <c r="Z968" s="251"/>
      <c r="AA968" s="251"/>
      <c r="AB968" s="251"/>
    </row>
    <row r="969" ht="14.25" customHeight="1">
      <c r="A969" s="251"/>
      <c r="B969" s="263"/>
      <c r="C969" s="275"/>
      <c r="D969" s="98"/>
      <c r="E969" s="240"/>
      <c r="F969" s="240"/>
      <c r="G969" s="240"/>
      <c r="H969" s="240"/>
      <c r="I969" s="276"/>
      <c r="J969" s="251"/>
      <c r="K969" s="251"/>
      <c r="L969" s="251"/>
      <c r="M969" s="251"/>
      <c r="N969" s="251"/>
      <c r="O969" s="251"/>
      <c r="P969" s="251"/>
      <c r="Q969" s="251"/>
      <c r="R969" s="251"/>
      <c r="S969" s="251"/>
      <c r="T969" s="251"/>
      <c r="U969" s="251"/>
      <c r="V969" s="251"/>
      <c r="W969" s="251"/>
      <c r="X969" s="251"/>
      <c r="Y969" s="251"/>
      <c r="Z969" s="251"/>
      <c r="AA969" s="251"/>
      <c r="AB969" s="251"/>
    </row>
    <row r="970" ht="14.25" customHeight="1">
      <c r="A970" s="251"/>
      <c r="B970" s="263"/>
      <c r="C970" s="275"/>
      <c r="D970" s="98"/>
      <c r="E970" s="240"/>
      <c r="F970" s="240"/>
      <c r="G970" s="240"/>
      <c r="H970" s="240"/>
      <c r="I970" s="276"/>
      <c r="J970" s="251"/>
      <c r="K970" s="251"/>
      <c r="L970" s="251"/>
      <c r="M970" s="251"/>
      <c r="N970" s="251"/>
      <c r="O970" s="251"/>
      <c r="P970" s="251"/>
      <c r="Q970" s="251"/>
      <c r="R970" s="251"/>
      <c r="S970" s="251"/>
      <c r="T970" s="251"/>
      <c r="U970" s="251"/>
      <c r="V970" s="251"/>
      <c r="W970" s="251"/>
      <c r="X970" s="251"/>
      <c r="Y970" s="251"/>
      <c r="Z970" s="251"/>
      <c r="AA970" s="251"/>
      <c r="AB970" s="251"/>
    </row>
    <row r="971" ht="14.25" customHeight="1">
      <c r="A971" s="251"/>
      <c r="B971" s="263"/>
      <c r="C971" s="275"/>
      <c r="D971" s="98"/>
      <c r="E971" s="240"/>
      <c r="F971" s="240"/>
      <c r="G971" s="240"/>
      <c r="H971" s="240"/>
      <c r="I971" s="276"/>
      <c r="J971" s="251"/>
      <c r="K971" s="251"/>
      <c r="L971" s="251"/>
      <c r="M971" s="251"/>
      <c r="N971" s="251"/>
      <c r="O971" s="251"/>
      <c r="P971" s="251"/>
      <c r="Q971" s="251"/>
      <c r="R971" s="251"/>
      <c r="S971" s="251"/>
      <c r="T971" s="251"/>
      <c r="U971" s="251"/>
      <c r="V971" s="251"/>
      <c r="W971" s="251"/>
      <c r="X971" s="251"/>
      <c r="Y971" s="251"/>
      <c r="Z971" s="251"/>
      <c r="AA971" s="251"/>
      <c r="AB971" s="251"/>
    </row>
    <row r="972" ht="14.25" customHeight="1">
      <c r="A972" s="251"/>
      <c r="B972" s="263"/>
      <c r="C972" s="275"/>
      <c r="D972" s="98"/>
      <c r="E972" s="240"/>
      <c r="F972" s="240"/>
      <c r="G972" s="240"/>
      <c r="H972" s="240"/>
      <c r="I972" s="276"/>
      <c r="J972" s="251"/>
      <c r="K972" s="251"/>
      <c r="L972" s="251"/>
      <c r="M972" s="251"/>
      <c r="N972" s="251"/>
      <c r="O972" s="251"/>
      <c r="P972" s="251"/>
      <c r="Q972" s="251"/>
      <c r="R972" s="251"/>
      <c r="S972" s="251"/>
      <c r="T972" s="251"/>
      <c r="U972" s="251"/>
      <c r="V972" s="251"/>
      <c r="W972" s="251"/>
      <c r="X972" s="251"/>
      <c r="Y972" s="251"/>
      <c r="Z972" s="251"/>
      <c r="AA972" s="251"/>
      <c r="AB972" s="251"/>
    </row>
    <row r="973" ht="14.25" customHeight="1">
      <c r="A973" s="251"/>
      <c r="B973" s="263"/>
      <c r="C973" s="275"/>
      <c r="D973" s="98"/>
      <c r="E973" s="240"/>
      <c r="F973" s="240"/>
      <c r="G973" s="240"/>
      <c r="H973" s="240"/>
      <c r="I973" s="276"/>
      <c r="J973" s="251"/>
      <c r="K973" s="251"/>
      <c r="L973" s="251"/>
      <c r="M973" s="251"/>
      <c r="N973" s="251"/>
      <c r="O973" s="251"/>
      <c r="P973" s="251"/>
      <c r="Q973" s="251"/>
      <c r="R973" s="251"/>
      <c r="S973" s="251"/>
      <c r="T973" s="251"/>
      <c r="U973" s="251"/>
      <c r="V973" s="251"/>
      <c r="W973" s="251"/>
      <c r="X973" s="251"/>
      <c r="Y973" s="251"/>
      <c r="Z973" s="251"/>
      <c r="AA973" s="251"/>
      <c r="AB973" s="251"/>
    </row>
    <row r="974" ht="14.25" customHeight="1">
      <c r="A974" s="251"/>
      <c r="B974" s="263"/>
      <c r="C974" s="275"/>
      <c r="D974" s="98"/>
      <c r="E974" s="240"/>
      <c r="F974" s="240"/>
      <c r="G974" s="240"/>
      <c r="H974" s="240"/>
      <c r="I974" s="276"/>
      <c r="J974" s="251"/>
      <c r="K974" s="251"/>
      <c r="L974" s="251"/>
      <c r="M974" s="251"/>
      <c r="N974" s="251"/>
      <c r="O974" s="251"/>
      <c r="P974" s="251"/>
      <c r="Q974" s="251"/>
      <c r="R974" s="251"/>
      <c r="S974" s="251"/>
      <c r="T974" s="251"/>
      <c r="U974" s="251"/>
      <c r="V974" s="251"/>
      <c r="W974" s="251"/>
      <c r="X974" s="251"/>
      <c r="Y974" s="251"/>
      <c r="Z974" s="251"/>
      <c r="AA974" s="251"/>
      <c r="AB974" s="251"/>
    </row>
    <row r="975" ht="14.25" customHeight="1">
      <c r="A975" s="251"/>
      <c r="B975" s="263"/>
      <c r="C975" s="275"/>
      <c r="D975" s="98"/>
      <c r="E975" s="240"/>
      <c r="F975" s="240"/>
      <c r="G975" s="240"/>
      <c r="H975" s="240"/>
      <c r="I975" s="276"/>
      <c r="J975" s="251"/>
      <c r="K975" s="251"/>
      <c r="L975" s="251"/>
      <c r="M975" s="251"/>
      <c r="N975" s="251"/>
      <c r="O975" s="251"/>
      <c r="P975" s="251"/>
      <c r="Q975" s="251"/>
      <c r="R975" s="251"/>
      <c r="S975" s="251"/>
      <c r="T975" s="251"/>
      <c r="U975" s="251"/>
      <c r="V975" s="251"/>
      <c r="W975" s="251"/>
      <c r="X975" s="251"/>
      <c r="Y975" s="251"/>
      <c r="Z975" s="251"/>
      <c r="AA975" s="251"/>
      <c r="AB975" s="251"/>
    </row>
    <row r="976" ht="14.25" customHeight="1">
      <c r="A976" s="251"/>
      <c r="B976" s="263"/>
      <c r="C976" s="275"/>
      <c r="D976" s="98"/>
      <c r="E976" s="240"/>
      <c r="F976" s="240"/>
      <c r="G976" s="240"/>
      <c r="H976" s="240"/>
      <c r="I976" s="276"/>
      <c r="J976" s="251"/>
      <c r="K976" s="251"/>
      <c r="L976" s="251"/>
      <c r="M976" s="251"/>
      <c r="N976" s="251"/>
      <c r="O976" s="251"/>
      <c r="P976" s="251"/>
      <c r="Q976" s="251"/>
      <c r="R976" s="251"/>
      <c r="S976" s="251"/>
      <c r="T976" s="251"/>
      <c r="U976" s="251"/>
      <c r="V976" s="251"/>
      <c r="W976" s="251"/>
      <c r="X976" s="251"/>
      <c r="Y976" s="251"/>
      <c r="Z976" s="251"/>
      <c r="AA976" s="251"/>
      <c r="AB976" s="251"/>
    </row>
    <row r="977" ht="14.25" customHeight="1">
      <c r="A977" s="251"/>
      <c r="B977" s="263"/>
      <c r="C977" s="275"/>
      <c r="D977" s="98"/>
      <c r="E977" s="240"/>
      <c r="F977" s="240"/>
      <c r="G977" s="240"/>
      <c r="H977" s="240"/>
      <c r="I977" s="276"/>
      <c r="J977" s="251"/>
      <c r="K977" s="251"/>
      <c r="L977" s="251"/>
      <c r="M977" s="251"/>
      <c r="N977" s="251"/>
      <c r="O977" s="251"/>
      <c r="P977" s="251"/>
      <c r="Q977" s="251"/>
      <c r="R977" s="251"/>
      <c r="S977" s="251"/>
      <c r="T977" s="251"/>
      <c r="U977" s="251"/>
      <c r="V977" s="251"/>
      <c r="W977" s="251"/>
      <c r="X977" s="251"/>
      <c r="Y977" s="251"/>
      <c r="Z977" s="251"/>
      <c r="AA977" s="251"/>
      <c r="AB977" s="251"/>
    </row>
    <row r="978" ht="14.25" customHeight="1">
      <c r="A978" s="251"/>
      <c r="B978" s="263"/>
      <c r="C978" s="275"/>
      <c r="D978" s="98"/>
      <c r="E978" s="240"/>
      <c r="F978" s="240"/>
      <c r="G978" s="240"/>
      <c r="H978" s="240"/>
      <c r="I978" s="276"/>
      <c r="J978" s="251"/>
      <c r="K978" s="251"/>
      <c r="L978" s="251"/>
      <c r="M978" s="251"/>
      <c r="N978" s="251"/>
      <c r="O978" s="251"/>
      <c r="P978" s="251"/>
      <c r="Q978" s="251"/>
      <c r="R978" s="251"/>
      <c r="S978" s="251"/>
      <c r="T978" s="251"/>
      <c r="U978" s="251"/>
      <c r="V978" s="251"/>
      <c r="W978" s="251"/>
      <c r="X978" s="251"/>
      <c r="Y978" s="251"/>
      <c r="Z978" s="251"/>
      <c r="AA978" s="251"/>
      <c r="AB978" s="251"/>
    </row>
    <row r="979" ht="14.25" customHeight="1">
      <c r="A979" s="251"/>
      <c r="B979" s="263"/>
      <c r="C979" s="275"/>
      <c r="D979" s="98"/>
      <c r="E979" s="240"/>
      <c r="F979" s="240"/>
      <c r="G979" s="240"/>
      <c r="H979" s="240"/>
      <c r="I979" s="276"/>
      <c r="J979" s="251"/>
      <c r="K979" s="251"/>
      <c r="L979" s="251"/>
      <c r="M979" s="251"/>
      <c r="N979" s="251"/>
      <c r="O979" s="251"/>
      <c r="P979" s="251"/>
      <c r="Q979" s="251"/>
      <c r="R979" s="251"/>
      <c r="S979" s="251"/>
      <c r="T979" s="251"/>
      <c r="U979" s="251"/>
      <c r="V979" s="251"/>
      <c r="W979" s="251"/>
      <c r="X979" s="251"/>
      <c r="Y979" s="251"/>
      <c r="Z979" s="251"/>
      <c r="AA979" s="251"/>
      <c r="AB979" s="251"/>
    </row>
    <row r="980" ht="14.25" customHeight="1">
      <c r="A980" s="251"/>
      <c r="B980" s="263"/>
      <c r="C980" s="275"/>
      <c r="D980" s="98"/>
      <c r="E980" s="240"/>
      <c r="F980" s="240"/>
      <c r="G980" s="240"/>
      <c r="H980" s="240"/>
      <c r="I980" s="276"/>
      <c r="J980" s="251"/>
      <c r="K980" s="251"/>
      <c r="L980" s="251"/>
      <c r="M980" s="251"/>
      <c r="N980" s="251"/>
      <c r="O980" s="251"/>
      <c r="P980" s="251"/>
      <c r="Q980" s="251"/>
      <c r="R980" s="251"/>
      <c r="S980" s="251"/>
      <c r="T980" s="251"/>
      <c r="U980" s="251"/>
      <c r="V980" s="251"/>
      <c r="W980" s="251"/>
      <c r="X980" s="251"/>
      <c r="Y980" s="251"/>
      <c r="Z980" s="251"/>
      <c r="AA980" s="251"/>
      <c r="AB980" s="251"/>
    </row>
    <row r="981" ht="14.25" customHeight="1">
      <c r="A981" s="251"/>
      <c r="B981" s="263"/>
      <c r="C981" s="275"/>
      <c r="D981" s="98"/>
      <c r="E981" s="240"/>
      <c r="F981" s="240"/>
      <c r="G981" s="240"/>
      <c r="H981" s="240"/>
      <c r="I981" s="276"/>
      <c r="J981" s="251"/>
      <c r="K981" s="251"/>
      <c r="L981" s="251"/>
      <c r="M981" s="251"/>
      <c r="N981" s="251"/>
      <c r="O981" s="251"/>
      <c r="P981" s="251"/>
      <c r="Q981" s="251"/>
      <c r="R981" s="251"/>
      <c r="S981" s="251"/>
      <c r="T981" s="251"/>
      <c r="U981" s="251"/>
      <c r="V981" s="251"/>
      <c r="W981" s="251"/>
      <c r="X981" s="251"/>
      <c r="Y981" s="251"/>
      <c r="Z981" s="251"/>
      <c r="AA981" s="251"/>
      <c r="AB981" s="251"/>
    </row>
    <row r="982" ht="14.25" customHeight="1">
      <c r="A982" s="251"/>
      <c r="B982" s="263"/>
      <c r="C982" s="275"/>
      <c r="D982" s="98"/>
      <c r="E982" s="240"/>
      <c r="F982" s="240"/>
      <c r="G982" s="240"/>
      <c r="H982" s="240"/>
      <c r="I982" s="276"/>
      <c r="J982" s="251"/>
      <c r="K982" s="251"/>
      <c r="L982" s="251"/>
      <c r="M982" s="251"/>
      <c r="N982" s="251"/>
      <c r="O982" s="251"/>
      <c r="P982" s="251"/>
      <c r="Q982" s="251"/>
      <c r="R982" s="251"/>
      <c r="S982" s="251"/>
      <c r="T982" s="251"/>
      <c r="U982" s="251"/>
      <c r="V982" s="251"/>
      <c r="W982" s="251"/>
      <c r="X982" s="251"/>
      <c r="Y982" s="251"/>
      <c r="Z982" s="251"/>
      <c r="AA982" s="251"/>
      <c r="AB982" s="251"/>
    </row>
    <row r="983" ht="14.25" customHeight="1">
      <c r="A983" s="251"/>
      <c r="B983" s="263"/>
      <c r="C983" s="275"/>
      <c r="D983" s="98"/>
      <c r="E983" s="240"/>
      <c r="F983" s="240"/>
      <c r="G983" s="240"/>
      <c r="H983" s="240"/>
      <c r="I983" s="276"/>
      <c r="J983" s="251"/>
      <c r="K983" s="251"/>
      <c r="L983" s="251"/>
      <c r="M983" s="251"/>
      <c r="N983" s="251"/>
      <c r="O983" s="251"/>
      <c r="P983" s="251"/>
      <c r="Q983" s="251"/>
      <c r="R983" s="251"/>
      <c r="S983" s="251"/>
      <c r="T983" s="251"/>
      <c r="U983" s="251"/>
      <c r="V983" s="251"/>
      <c r="W983" s="251"/>
      <c r="X983" s="251"/>
      <c r="Y983" s="251"/>
      <c r="Z983" s="251"/>
      <c r="AA983" s="251"/>
      <c r="AB983" s="251"/>
    </row>
    <row r="984" ht="14.25" customHeight="1">
      <c r="A984" s="251"/>
      <c r="B984" s="263"/>
      <c r="C984" s="275"/>
      <c r="D984" s="98"/>
      <c r="E984" s="240"/>
      <c r="F984" s="240"/>
      <c r="G984" s="240"/>
      <c r="H984" s="240"/>
      <c r="I984" s="276"/>
      <c r="J984" s="251"/>
      <c r="K984" s="251"/>
      <c r="L984" s="251"/>
      <c r="M984" s="251"/>
      <c r="N984" s="251"/>
      <c r="O984" s="251"/>
      <c r="P984" s="251"/>
      <c r="Q984" s="251"/>
      <c r="R984" s="251"/>
      <c r="S984" s="251"/>
      <c r="T984" s="251"/>
      <c r="U984" s="251"/>
      <c r="V984" s="251"/>
      <c r="W984" s="251"/>
      <c r="X984" s="251"/>
      <c r="Y984" s="251"/>
      <c r="Z984" s="251"/>
      <c r="AA984" s="251"/>
      <c r="AB984" s="251"/>
    </row>
    <row r="985" ht="14.25" customHeight="1">
      <c r="A985" s="251"/>
      <c r="B985" s="263"/>
      <c r="C985" s="275"/>
      <c r="D985" s="98"/>
      <c r="E985" s="240"/>
      <c r="F985" s="240"/>
      <c r="G985" s="240"/>
      <c r="H985" s="240"/>
      <c r="I985" s="276"/>
      <c r="J985" s="251"/>
      <c r="K985" s="251"/>
      <c r="L985" s="251"/>
      <c r="M985" s="251"/>
      <c r="N985" s="251"/>
      <c r="O985" s="251"/>
      <c r="P985" s="251"/>
      <c r="Q985" s="251"/>
      <c r="R985" s="251"/>
      <c r="S985" s="251"/>
      <c r="T985" s="251"/>
      <c r="U985" s="251"/>
      <c r="V985" s="251"/>
      <c r="W985" s="251"/>
      <c r="X985" s="251"/>
      <c r="Y985" s="251"/>
      <c r="Z985" s="251"/>
      <c r="AA985" s="251"/>
      <c r="AB985" s="251"/>
    </row>
    <row r="986" ht="14.25" customHeight="1">
      <c r="A986" s="251"/>
      <c r="B986" s="263"/>
      <c r="C986" s="275"/>
      <c r="D986" s="98"/>
      <c r="E986" s="240"/>
      <c r="F986" s="240"/>
      <c r="G986" s="240"/>
      <c r="H986" s="240"/>
      <c r="I986" s="276"/>
      <c r="J986" s="251"/>
      <c r="K986" s="251"/>
      <c r="L986" s="251"/>
      <c r="M986" s="251"/>
      <c r="N986" s="251"/>
      <c r="O986" s="251"/>
      <c r="P986" s="251"/>
      <c r="Q986" s="251"/>
      <c r="R986" s="251"/>
      <c r="S986" s="251"/>
      <c r="T986" s="251"/>
      <c r="U986" s="251"/>
      <c r="V986" s="251"/>
      <c r="W986" s="251"/>
      <c r="X986" s="251"/>
      <c r="Y986" s="251"/>
      <c r="Z986" s="251"/>
      <c r="AA986" s="251"/>
      <c r="AB986" s="251"/>
    </row>
    <row r="987" ht="14.25" customHeight="1">
      <c r="A987" s="251"/>
      <c r="B987" s="263"/>
      <c r="C987" s="275"/>
      <c r="D987" s="98"/>
      <c r="E987" s="240"/>
      <c r="F987" s="240"/>
      <c r="G987" s="240"/>
      <c r="H987" s="240"/>
      <c r="I987" s="276"/>
      <c r="J987" s="251"/>
      <c r="K987" s="251"/>
      <c r="L987" s="251"/>
      <c r="M987" s="251"/>
      <c r="N987" s="251"/>
      <c r="O987" s="251"/>
      <c r="P987" s="251"/>
      <c r="Q987" s="251"/>
      <c r="R987" s="251"/>
      <c r="S987" s="251"/>
      <c r="T987" s="251"/>
      <c r="U987" s="251"/>
      <c r="V987" s="251"/>
      <c r="W987" s="251"/>
      <c r="X987" s="251"/>
      <c r="Y987" s="251"/>
      <c r="Z987" s="251"/>
      <c r="AA987" s="251"/>
      <c r="AB987" s="251"/>
    </row>
    <row r="988" ht="14.25" customHeight="1">
      <c r="A988" s="251"/>
      <c r="B988" s="263"/>
      <c r="C988" s="275"/>
      <c r="D988" s="98"/>
      <c r="E988" s="240"/>
      <c r="F988" s="240"/>
      <c r="G988" s="240"/>
      <c r="H988" s="240"/>
      <c r="I988" s="276"/>
      <c r="J988" s="251"/>
      <c r="K988" s="251"/>
      <c r="L988" s="251"/>
      <c r="M988" s="251"/>
      <c r="N988" s="251"/>
      <c r="O988" s="251"/>
      <c r="P988" s="251"/>
      <c r="Q988" s="251"/>
      <c r="R988" s="251"/>
      <c r="S988" s="251"/>
      <c r="T988" s="251"/>
      <c r="U988" s="251"/>
      <c r="V988" s="251"/>
      <c r="W988" s="251"/>
      <c r="X988" s="251"/>
      <c r="Y988" s="251"/>
      <c r="Z988" s="251"/>
      <c r="AA988" s="251"/>
      <c r="AB988" s="251"/>
    </row>
    <row r="989" ht="14.25" customHeight="1">
      <c r="A989" s="251"/>
      <c r="B989" s="263"/>
      <c r="C989" s="275"/>
      <c r="D989" s="98"/>
      <c r="E989" s="240"/>
      <c r="F989" s="240"/>
      <c r="G989" s="240"/>
      <c r="H989" s="240"/>
      <c r="I989" s="276"/>
      <c r="J989" s="251"/>
      <c r="K989" s="251"/>
      <c r="L989" s="251"/>
      <c r="M989" s="251"/>
      <c r="N989" s="251"/>
      <c r="O989" s="251"/>
      <c r="P989" s="251"/>
      <c r="Q989" s="251"/>
      <c r="R989" s="251"/>
      <c r="S989" s="251"/>
      <c r="T989" s="251"/>
      <c r="U989" s="251"/>
      <c r="V989" s="251"/>
      <c r="W989" s="251"/>
      <c r="X989" s="251"/>
      <c r="Y989" s="251"/>
      <c r="Z989" s="251"/>
      <c r="AA989" s="251"/>
      <c r="AB989" s="251"/>
    </row>
    <row r="990" ht="14.25" customHeight="1">
      <c r="A990" s="251"/>
      <c r="B990" s="263"/>
      <c r="C990" s="275"/>
      <c r="D990" s="98"/>
      <c r="E990" s="240"/>
      <c r="F990" s="240"/>
      <c r="G990" s="240"/>
      <c r="H990" s="240"/>
      <c r="I990" s="276"/>
      <c r="J990" s="251"/>
      <c r="K990" s="251"/>
      <c r="L990" s="251"/>
      <c r="M990" s="251"/>
      <c r="N990" s="251"/>
      <c r="O990" s="251"/>
      <c r="P990" s="251"/>
      <c r="Q990" s="251"/>
      <c r="R990" s="251"/>
      <c r="S990" s="251"/>
      <c r="T990" s="251"/>
      <c r="U990" s="251"/>
      <c r="V990" s="251"/>
      <c r="W990" s="251"/>
      <c r="X990" s="251"/>
      <c r="Y990" s="251"/>
      <c r="Z990" s="251"/>
      <c r="AA990" s="251"/>
      <c r="AB990" s="251"/>
    </row>
    <row r="991" ht="14.25" customHeight="1">
      <c r="A991" s="251"/>
      <c r="B991" s="263"/>
      <c r="C991" s="275"/>
      <c r="D991" s="98"/>
      <c r="E991" s="240"/>
      <c r="F991" s="240"/>
      <c r="G991" s="240"/>
      <c r="H991" s="240"/>
      <c r="I991" s="276"/>
      <c r="J991" s="251"/>
      <c r="K991" s="251"/>
      <c r="L991" s="251"/>
      <c r="M991" s="251"/>
      <c r="N991" s="251"/>
      <c r="O991" s="251"/>
      <c r="P991" s="251"/>
      <c r="Q991" s="251"/>
      <c r="R991" s="251"/>
      <c r="S991" s="251"/>
      <c r="T991" s="251"/>
      <c r="U991" s="251"/>
      <c r="V991" s="251"/>
      <c r="W991" s="251"/>
      <c r="X991" s="251"/>
      <c r="Y991" s="251"/>
      <c r="Z991" s="251"/>
      <c r="AA991" s="251"/>
      <c r="AB991" s="251"/>
    </row>
    <row r="992" ht="14.25" customHeight="1">
      <c r="A992" s="251"/>
      <c r="B992" s="263"/>
      <c r="C992" s="275"/>
      <c r="D992" s="98"/>
      <c r="E992" s="240"/>
      <c r="F992" s="240"/>
      <c r="G992" s="240"/>
      <c r="H992" s="240"/>
      <c r="I992" s="276"/>
      <c r="J992" s="251"/>
      <c r="K992" s="251"/>
      <c r="L992" s="251"/>
      <c r="M992" s="251"/>
      <c r="N992" s="251"/>
      <c r="O992" s="251"/>
      <c r="P992" s="251"/>
      <c r="Q992" s="251"/>
      <c r="R992" s="251"/>
      <c r="S992" s="251"/>
      <c r="T992" s="251"/>
      <c r="U992" s="251"/>
      <c r="V992" s="251"/>
      <c r="W992" s="251"/>
      <c r="X992" s="251"/>
      <c r="Y992" s="251"/>
      <c r="Z992" s="251"/>
      <c r="AA992" s="251"/>
      <c r="AB992" s="251"/>
    </row>
    <row r="993" ht="14.25" customHeight="1">
      <c r="A993" s="251"/>
      <c r="B993" s="263"/>
      <c r="C993" s="275"/>
      <c r="D993" s="98"/>
      <c r="E993" s="240"/>
      <c r="F993" s="240"/>
      <c r="G993" s="240"/>
      <c r="H993" s="240"/>
      <c r="I993" s="276"/>
      <c r="J993" s="251"/>
      <c r="K993" s="251"/>
      <c r="L993" s="251"/>
      <c r="M993" s="251"/>
      <c r="N993" s="251"/>
      <c r="O993" s="251"/>
      <c r="P993" s="251"/>
      <c r="Q993" s="251"/>
      <c r="R993" s="251"/>
      <c r="S993" s="251"/>
      <c r="T993" s="251"/>
      <c r="U993" s="251"/>
      <c r="V993" s="251"/>
      <c r="W993" s="251"/>
      <c r="X993" s="251"/>
      <c r="Y993" s="251"/>
      <c r="Z993" s="251"/>
      <c r="AA993" s="251"/>
      <c r="AB993" s="251"/>
    </row>
    <row r="994" ht="14.25" customHeight="1">
      <c r="A994" s="251"/>
      <c r="B994" s="263"/>
      <c r="C994" s="275"/>
      <c r="D994" s="98"/>
      <c r="E994" s="240"/>
      <c r="F994" s="240"/>
      <c r="G994" s="240"/>
      <c r="H994" s="240"/>
      <c r="I994" s="276"/>
      <c r="J994" s="251"/>
      <c r="K994" s="251"/>
      <c r="L994" s="251"/>
      <c r="M994" s="251"/>
      <c r="N994" s="251"/>
      <c r="O994" s="251"/>
      <c r="P994" s="251"/>
      <c r="Q994" s="251"/>
      <c r="R994" s="251"/>
      <c r="S994" s="251"/>
      <c r="T994" s="251"/>
      <c r="U994" s="251"/>
      <c r="V994" s="251"/>
      <c r="W994" s="251"/>
      <c r="X994" s="251"/>
      <c r="Y994" s="251"/>
      <c r="Z994" s="251"/>
      <c r="AA994" s="251"/>
      <c r="AB994" s="251"/>
    </row>
    <row r="995" ht="14.25" customHeight="1">
      <c r="A995" s="251"/>
      <c r="B995" s="263"/>
      <c r="C995" s="275"/>
      <c r="D995" s="98"/>
      <c r="E995" s="240"/>
      <c r="F995" s="240"/>
      <c r="G995" s="240"/>
      <c r="H995" s="240"/>
      <c r="I995" s="276"/>
      <c r="J995" s="251"/>
      <c r="K995" s="251"/>
      <c r="L995" s="251"/>
      <c r="M995" s="251"/>
      <c r="N995" s="251"/>
      <c r="O995" s="251"/>
      <c r="P995" s="251"/>
      <c r="Q995" s="251"/>
      <c r="R995" s="251"/>
      <c r="S995" s="251"/>
      <c r="T995" s="251"/>
      <c r="U995" s="251"/>
      <c r="V995" s="251"/>
      <c r="W995" s="251"/>
      <c r="X995" s="251"/>
      <c r="Y995" s="251"/>
      <c r="Z995" s="251"/>
      <c r="AA995" s="251"/>
      <c r="AB995" s="251"/>
    </row>
    <row r="996" ht="14.25" customHeight="1">
      <c r="A996" s="251"/>
      <c r="B996" s="263"/>
      <c r="C996" s="275"/>
      <c r="D996" s="98"/>
      <c r="E996" s="240"/>
      <c r="F996" s="240"/>
      <c r="G996" s="240"/>
      <c r="H996" s="240"/>
      <c r="I996" s="276"/>
      <c r="J996" s="251"/>
      <c r="K996" s="251"/>
      <c r="L996" s="251"/>
      <c r="M996" s="251"/>
      <c r="N996" s="251"/>
      <c r="O996" s="251"/>
      <c r="P996" s="251"/>
      <c r="Q996" s="251"/>
      <c r="R996" s="251"/>
      <c r="S996" s="251"/>
      <c r="T996" s="251"/>
      <c r="U996" s="251"/>
      <c r="V996" s="251"/>
      <c r="W996" s="251"/>
      <c r="X996" s="251"/>
      <c r="Y996" s="251"/>
      <c r="Z996" s="251"/>
      <c r="AA996" s="251"/>
      <c r="AB996" s="251"/>
    </row>
    <row r="997" ht="14.25" customHeight="1">
      <c r="A997" s="251"/>
      <c r="B997" s="263"/>
      <c r="C997" s="275"/>
      <c r="D997" s="98"/>
      <c r="E997" s="240"/>
      <c r="F997" s="240"/>
      <c r="G997" s="240"/>
      <c r="H997" s="240"/>
      <c r="I997" s="276"/>
      <c r="J997" s="251"/>
      <c r="K997" s="251"/>
      <c r="L997" s="251"/>
      <c r="M997" s="251"/>
      <c r="N997" s="251"/>
      <c r="O997" s="251"/>
      <c r="P997" s="251"/>
      <c r="Q997" s="251"/>
      <c r="R997" s="251"/>
      <c r="S997" s="251"/>
      <c r="T997" s="251"/>
      <c r="U997" s="251"/>
      <c r="V997" s="251"/>
      <c r="W997" s="251"/>
      <c r="X997" s="251"/>
      <c r="Y997" s="251"/>
      <c r="Z997" s="251"/>
      <c r="AA997" s="251"/>
      <c r="AB997" s="251"/>
    </row>
    <row r="998" ht="14.25" customHeight="1">
      <c r="A998" s="251"/>
      <c r="B998" s="263"/>
      <c r="C998" s="275"/>
      <c r="D998" s="98"/>
      <c r="E998" s="240"/>
      <c r="F998" s="240"/>
      <c r="G998" s="240"/>
      <c r="H998" s="240"/>
      <c r="I998" s="276"/>
      <c r="J998" s="251"/>
      <c r="K998" s="251"/>
      <c r="L998" s="251"/>
      <c r="M998" s="251"/>
      <c r="N998" s="251"/>
      <c r="O998" s="251"/>
      <c r="P998" s="251"/>
      <c r="Q998" s="251"/>
      <c r="R998" s="251"/>
      <c r="S998" s="251"/>
      <c r="T998" s="251"/>
      <c r="U998" s="251"/>
      <c r="V998" s="251"/>
      <c r="W998" s="251"/>
      <c r="X998" s="251"/>
      <c r="Y998" s="251"/>
      <c r="Z998" s="251"/>
      <c r="AA998" s="251"/>
      <c r="AB998" s="251"/>
    </row>
    <row r="999" ht="14.25" customHeight="1">
      <c r="A999" s="251"/>
      <c r="B999" s="263"/>
      <c r="C999" s="275"/>
      <c r="D999" s="98"/>
      <c r="E999" s="240"/>
      <c r="F999" s="240"/>
      <c r="G999" s="240"/>
      <c r="H999" s="240"/>
      <c r="I999" s="276"/>
      <c r="J999" s="251"/>
      <c r="K999" s="251"/>
      <c r="L999" s="251"/>
      <c r="M999" s="251"/>
      <c r="N999" s="251"/>
      <c r="O999" s="251"/>
      <c r="P999" s="251"/>
      <c r="Q999" s="251"/>
      <c r="R999" s="251"/>
      <c r="S999" s="251"/>
      <c r="T999" s="251"/>
      <c r="U999" s="251"/>
      <c r="V999" s="251"/>
      <c r="W999" s="251"/>
      <c r="X999" s="251"/>
      <c r="Y999" s="251"/>
      <c r="Z999" s="251"/>
      <c r="AA999" s="251"/>
      <c r="AB999" s="251"/>
    </row>
    <row r="1000" ht="14.25" customHeight="1">
      <c r="A1000" s="251"/>
      <c r="B1000" s="263"/>
      <c r="C1000" s="275"/>
      <c r="D1000" s="98"/>
      <c r="E1000" s="240"/>
      <c r="F1000" s="240"/>
      <c r="G1000" s="240"/>
      <c r="H1000" s="240"/>
      <c r="I1000" s="276"/>
      <c r="J1000" s="251"/>
      <c r="K1000" s="251"/>
      <c r="L1000" s="251"/>
      <c r="M1000" s="251"/>
      <c r="N1000" s="251"/>
      <c r="O1000" s="251"/>
      <c r="P1000" s="251"/>
      <c r="Q1000" s="251"/>
      <c r="R1000" s="251"/>
      <c r="S1000" s="251"/>
      <c r="T1000" s="251"/>
      <c r="U1000" s="251"/>
      <c r="V1000" s="251"/>
      <c r="W1000" s="251"/>
      <c r="X1000" s="251"/>
      <c r="Y1000" s="251"/>
      <c r="Z1000" s="251"/>
      <c r="AA1000" s="251"/>
      <c r="AB1000" s="251"/>
    </row>
    <row r="1001" ht="14.25" customHeight="1">
      <c r="A1001" s="251"/>
      <c r="B1001" s="263"/>
      <c r="C1001" s="275"/>
      <c r="D1001" s="98"/>
      <c r="E1001" s="240"/>
      <c r="F1001" s="240"/>
      <c r="G1001" s="240"/>
      <c r="H1001" s="240"/>
      <c r="I1001" s="276"/>
      <c r="J1001" s="251"/>
      <c r="K1001" s="251"/>
      <c r="L1001" s="251"/>
      <c r="M1001" s="251"/>
      <c r="N1001" s="251"/>
      <c r="O1001" s="251"/>
      <c r="P1001" s="251"/>
      <c r="Q1001" s="251"/>
      <c r="R1001" s="251"/>
      <c r="S1001" s="251"/>
      <c r="T1001" s="251"/>
      <c r="U1001" s="251"/>
      <c r="V1001" s="251"/>
      <c r="W1001" s="251"/>
      <c r="X1001" s="251"/>
      <c r="Y1001" s="251"/>
      <c r="Z1001" s="251"/>
      <c r="AA1001" s="251"/>
      <c r="AB1001" s="251"/>
    </row>
    <row r="1002" ht="14.25" customHeight="1">
      <c r="A1002" s="251"/>
      <c r="B1002" s="263"/>
      <c r="C1002" s="275"/>
      <c r="D1002" s="98"/>
      <c r="E1002" s="240"/>
      <c r="F1002" s="240"/>
      <c r="G1002" s="240"/>
      <c r="H1002" s="240"/>
      <c r="I1002" s="276"/>
      <c r="J1002" s="251"/>
      <c r="K1002" s="251"/>
      <c r="L1002" s="251"/>
      <c r="M1002" s="251"/>
      <c r="N1002" s="251"/>
      <c r="O1002" s="251"/>
      <c r="P1002" s="251"/>
      <c r="Q1002" s="251"/>
      <c r="R1002" s="251"/>
      <c r="S1002" s="251"/>
      <c r="T1002" s="251"/>
      <c r="U1002" s="251"/>
      <c r="V1002" s="251"/>
      <c r="W1002" s="251"/>
      <c r="X1002" s="251"/>
      <c r="Y1002" s="251"/>
      <c r="Z1002" s="251"/>
      <c r="AA1002" s="251"/>
      <c r="AB1002" s="251"/>
    </row>
    <row r="1003" ht="14.25" customHeight="1">
      <c r="A1003" s="251"/>
      <c r="B1003" s="263"/>
      <c r="C1003" s="275"/>
      <c r="D1003" s="98"/>
      <c r="E1003" s="240"/>
      <c r="F1003" s="240"/>
      <c r="G1003" s="240"/>
      <c r="H1003" s="240"/>
      <c r="I1003" s="276"/>
      <c r="J1003" s="251"/>
      <c r="K1003" s="251"/>
      <c r="L1003" s="251"/>
      <c r="M1003" s="251"/>
      <c r="N1003" s="251"/>
      <c r="O1003" s="251"/>
      <c r="P1003" s="251"/>
      <c r="Q1003" s="251"/>
      <c r="R1003" s="251"/>
      <c r="S1003" s="251"/>
      <c r="T1003" s="251"/>
      <c r="U1003" s="251"/>
      <c r="V1003" s="251"/>
      <c r="W1003" s="251"/>
      <c r="X1003" s="251"/>
      <c r="Y1003" s="251"/>
      <c r="Z1003" s="251"/>
      <c r="AA1003" s="251"/>
      <c r="AB1003" s="251"/>
    </row>
    <row r="1004" ht="14.25" customHeight="1">
      <c r="A1004" s="251"/>
      <c r="B1004" s="263"/>
      <c r="C1004" s="275"/>
      <c r="D1004" s="98"/>
      <c r="E1004" s="240"/>
      <c r="F1004" s="240"/>
      <c r="G1004" s="240"/>
      <c r="H1004" s="240"/>
      <c r="I1004" s="276"/>
      <c r="J1004" s="251"/>
      <c r="K1004" s="251"/>
      <c r="L1004" s="251"/>
      <c r="M1004" s="251"/>
      <c r="N1004" s="251"/>
      <c r="O1004" s="251"/>
      <c r="P1004" s="251"/>
      <c r="Q1004" s="251"/>
      <c r="R1004" s="251"/>
      <c r="S1004" s="251"/>
      <c r="T1004" s="251"/>
      <c r="U1004" s="251"/>
      <c r="V1004" s="251"/>
      <c r="W1004" s="251"/>
      <c r="X1004" s="251"/>
      <c r="Y1004" s="251"/>
      <c r="Z1004" s="251"/>
      <c r="AA1004" s="251"/>
      <c r="AB1004" s="251"/>
    </row>
    <row r="1005" ht="14.25" customHeight="1">
      <c r="A1005" s="251"/>
      <c r="B1005" s="263"/>
      <c r="C1005" s="275"/>
      <c r="D1005" s="98"/>
      <c r="E1005" s="240"/>
      <c r="F1005" s="240"/>
      <c r="G1005" s="240"/>
      <c r="H1005" s="240"/>
      <c r="I1005" s="276"/>
      <c r="J1005" s="251"/>
      <c r="K1005" s="251"/>
      <c r="L1005" s="251"/>
      <c r="M1005" s="251"/>
      <c r="N1005" s="251"/>
      <c r="O1005" s="251"/>
      <c r="P1005" s="251"/>
      <c r="Q1005" s="251"/>
      <c r="R1005" s="251"/>
      <c r="S1005" s="251"/>
      <c r="T1005" s="251"/>
      <c r="U1005" s="251"/>
      <c r="V1005" s="251"/>
      <c r="W1005" s="251"/>
      <c r="X1005" s="251"/>
      <c r="Y1005" s="251"/>
      <c r="Z1005" s="251"/>
      <c r="AA1005" s="251"/>
      <c r="AB1005" s="251"/>
    </row>
    <row r="1006" ht="14.25" customHeight="1">
      <c r="A1006" s="251"/>
      <c r="B1006" s="263"/>
      <c r="C1006" s="275"/>
      <c r="D1006" s="98"/>
      <c r="E1006" s="240"/>
      <c r="F1006" s="240"/>
      <c r="G1006" s="240"/>
      <c r="H1006" s="240"/>
      <c r="I1006" s="276"/>
      <c r="J1006" s="251"/>
      <c r="K1006" s="251"/>
      <c r="L1006" s="251"/>
      <c r="M1006" s="251"/>
      <c r="N1006" s="251"/>
      <c r="O1006" s="251"/>
      <c r="P1006" s="251"/>
      <c r="Q1006" s="251"/>
      <c r="R1006" s="251"/>
      <c r="S1006" s="251"/>
      <c r="T1006" s="251"/>
      <c r="U1006" s="251"/>
      <c r="V1006" s="251"/>
      <c r="W1006" s="251"/>
      <c r="X1006" s="251"/>
      <c r="Y1006" s="251"/>
      <c r="Z1006" s="251"/>
      <c r="AA1006" s="251"/>
      <c r="AB1006" s="251"/>
    </row>
    <row r="1007" ht="14.25" customHeight="1">
      <c r="A1007" s="251"/>
      <c r="B1007" s="263"/>
      <c r="C1007" s="275"/>
      <c r="D1007" s="98"/>
      <c r="E1007" s="240"/>
      <c r="F1007" s="240"/>
      <c r="G1007" s="240"/>
      <c r="H1007" s="240"/>
      <c r="I1007" s="276"/>
      <c r="J1007" s="251"/>
      <c r="K1007" s="251"/>
      <c r="L1007" s="251"/>
      <c r="M1007" s="251"/>
      <c r="N1007" s="251"/>
      <c r="O1007" s="251"/>
      <c r="P1007" s="251"/>
      <c r="Q1007" s="251"/>
      <c r="R1007" s="251"/>
      <c r="S1007" s="251"/>
      <c r="T1007" s="251"/>
      <c r="U1007" s="251"/>
      <c r="V1007" s="251"/>
      <c r="W1007" s="251"/>
      <c r="X1007" s="251"/>
      <c r="Y1007" s="251"/>
      <c r="Z1007" s="251"/>
      <c r="AA1007" s="251"/>
      <c r="AB1007" s="251"/>
    </row>
    <row r="1008" ht="14.25" customHeight="1">
      <c r="A1008" s="251"/>
      <c r="B1008" s="263"/>
      <c r="C1008" s="275"/>
      <c r="D1008" s="98"/>
      <c r="E1008" s="240"/>
      <c r="F1008" s="240"/>
      <c r="G1008" s="240"/>
      <c r="H1008" s="240"/>
      <c r="I1008" s="276"/>
      <c r="J1008" s="251"/>
      <c r="K1008" s="251"/>
      <c r="L1008" s="251"/>
      <c r="M1008" s="251"/>
      <c r="N1008" s="251"/>
      <c r="O1008" s="251"/>
      <c r="P1008" s="251"/>
      <c r="Q1008" s="251"/>
      <c r="R1008" s="251"/>
      <c r="S1008" s="251"/>
      <c r="T1008" s="251"/>
      <c r="U1008" s="251"/>
      <c r="V1008" s="251"/>
      <c r="W1008" s="251"/>
      <c r="X1008" s="251"/>
      <c r="Y1008" s="251"/>
      <c r="Z1008" s="251"/>
      <c r="AA1008" s="251"/>
      <c r="AB1008" s="251"/>
    </row>
    <row r="1009" ht="14.25" customHeight="1">
      <c r="A1009" s="251"/>
      <c r="B1009" s="263"/>
      <c r="C1009" s="275"/>
      <c r="D1009" s="98"/>
      <c r="E1009" s="240"/>
      <c r="F1009" s="240"/>
      <c r="G1009" s="240"/>
      <c r="H1009" s="240"/>
      <c r="I1009" s="276"/>
      <c r="J1009" s="251"/>
      <c r="K1009" s="251"/>
      <c r="L1009" s="251"/>
      <c r="M1009" s="251"/>
      <c r="N1009" s="251"/>
      <c r="O1009" s="251"/>
      <c r="P1009" s="251"/>
      <c r="Q1009" s="251"/>
      <c r="R1009" s="251"/>
      <c r="S1009" s="251"/>
      <c r="T1009" s="251"/>
      <c r="U1009" s="251"/>
      <c r="V1009" s="251"/>
      <c r="W1009" s="251"/>
      <c r="X1009" s="251"/>
      <c r="Y1009" s="251"/>
      <c r="Z1009" s="251"/>
      <c r="AA1009" s="251"/>
      <c r="AB1009" s="251"/>
    </row>
    <row r="1010" ht="14.25" customHeight="1">
      <c r="A1010" s="251"/>
      <c r="B1010" s="263"/>
      <c r="C1010" s="275"/>
      <c r="D1010" s="98"/>
      <c r="E1010" s="240"/>
      <c r="F1010" s="240"/>
      <c r="G1010" s="240"/>
      <c r="H1010" s="240"/>
      <c r="I1010" s="276"/>
      <c r="J1010" s="251"/>
      <c r="K1010" s="251"/>
      <c r="L1010" s="251"/>
      <c r="M1010" s="251"/>
      <c r="N1010" s="251"/>
      <c r="O1010" s="251"/>
      <c r="P1010" s="251"/>
      <c r="Q1010" s="251"/>
      <c r="R1010" s="251"/>
      <c r="S1010" s="251"/>
      <c r="T1010" s="251"/>
      <c r="U1010" s="251"/>
      <c r="V1010" s="251"/>
      <c r="W1010" s="251"/>
      <c r="X1010" s="251"/>
      <c r="Y1010" s="251"/>
      <c r="Z1010" s="251"/>
      <c r="AA1010" s="251"/>
      <c r="AB1010" s="251"/>
    </row>
    <row r="1011" ht="14.25" customHeight="1">
      <c r="A1011" s="251"/>
      <c r="B1011" s="263"/>
      <c r="C1011" s="275"/>
      <c r="D1011" s="98"/>
      <c r="E1011" s="240"/>
      <c r="F1011" s="240"/>
      <c r="G1011" s="240"/>
      <c r="H1011" s="240"/>
      <c r="I1011" s="276"/>
      <c r="J1011" s="251"/>
      <c r="K1011" s="251"/>
      <c r="L1011" s="251"/>
      <c r="M1011" s="251"/>
      <c r="N1011" s="251"/>
      <c r="O1011" s="251"/>
      <c r="P1011" s="251"/>
      <c r="Q1011" s="251"/>
      <c r="R1011" s="251"/>
      <c r="S1011" s="251"/>
      <c r="T1011" s="251"/>
      <c r="U1011" s="251"/>
      <c r="V1011" s="251"/>
      <c r="W1011" s="251"/>
      <c r="X1011" s="251"/>
      <c r="Y1011" s="251"/>
      <c r="Z1011" s="251"/>
      <c r="AA1011" s="251"/>
      <c r="AB1011" s="251"/>
    </row>
    <row r="1012" ht="14.25" customHeight="1">
      <c r="A1012" s="251"/>
      <c r="B1012" s="263"/>
      <c r="C1012" s="275"/>
      <c r="D1012" s="98"/>
      <c r="E1012" s="240"/>
      <c r="F1012" s="240"/>
      <c r="G1012" s="240"/>
      <c r="H1012" s="240"/>
      <c r="I1012" s="276"/>
      <c r="J1012" s="251"/>
      <c r="K1012" s="251"/>
      <c r="L1012" s="251"/>
      <c r="M1012" s="251"/>
      <c r="N1012" s="251"/>
      <c r="O1012" s="251"/>
      <c r="P1012" s="251"/>
      <c r="Q1012" s="251"/>
      <c r="R1012" s="251"/>
      <c r="S1012" s="251"/>
      <c r="T1012" s="251"/>
      <c r="U1012" s="251"/>
      <c r="V1012" s="251"/>
      <c r="W1012" s="251"/>
      <c r="X1012" s="251"/>
      <c r="Y1012" s="251"/>
      <c r="Z1012" s="251"/>
      <c r="AA1012" s="251"/>
      <c r="AB1012" s="251"/>
    </row>
    <row r="1013" ht="14.25" customHeight="1">
      <c r="A1013" s="251"/>
      <c r="B1013" s="263"/>
      <c r="C1013" s="275"/>
      <c r="D1013" s="98"/>
      <c r="E1013" s="240"/>
      <c r="F1013" s="240"/>
      <c r="G1013" s="240"/>
      <c r="H1013" s="240"/>
      <c r="I1013" s="276"/>
      <c r="J1013" s="251"/>
      <c r="K1013" s="251"/>
      <c r="L1013" s="251"/>
      <c r="M1013" s="251"/>
      <c r="N1013" s="251"/>
      <c r="O1013" s="251"/>
      <c r="P1013" s="251"/>
      <c r="Q1013" s="251"/>
      <c r="R1013" s="251"/>
      <c r="S1013" s="251"/>
      <c r="T1013" s="251"/>
      <c r="U1013" s="251"/>
      <c r="V1013" s="251"/>
      <c r="W1013" s="251"/>
      <c r="X1013" s="251"/>
      <c r="Y1013" s="251"/>
      <c r="Z1013" s="251"/>
      <c r="AA1013" s="251"/>
      <c r="AB1013" s="251"/>
    </row>
    <row r="1014" ht="14.25" customHeight="1">
      <c r="A1014" s="251"/>
      <c r="B1014" s="263"/>
      <c r="C1014" s="275"/>
      <c r="D1014" s="98"/>
      <c r="E1014" s="240"/>
      <c r="F1014" s="240"/>
      <c r="G1014" s="240"/>
      <c r="H1014" s="240"/>
      <c r="I1014" s="276"/>
      <c r="J1014" s="251"/>
      <c r="K1014" s="251"/>
      <c r="L1014" s="251"/>
      <c r="M1014" s="251"/>
      <c r="N1014" s="251"/>
      <c r="O1014" s="251"/>
      <c r="P1014" s="251"/>
      <c r="Q1014" s="251"/>
      <c r="R1014" s="251"/>
      <c r="S1014" s="251"/>
      <c r="T1014" s="251"/>
      <c r="U1014" s="251"/>
      <c r="V1014" s="251"/>
      <c r="W1014" s="251"/>
      <c r="X1014" s="251"/>
      <c r="Y1014" s="251"/>
      <c r="Z1014" s="251"/>
      <c r="AA1014" s="251"/>
      <c r="AB1014" s="251"/>
    </row>
    <row r="1015" ht="14.25" customHeight="1">
      <c r="A1015" s="251"/>
      <c r="B1015" s="263"/>
      <c r="C1015" s="275"/>
      <c r="D1015" s="98"/>
      <c r="E1015" s="240"/>
      <c r="F1015" s="240"/>
      <c r="G1015" s="240"/>
      <c r="H1015" s="240"/>
      <c r="I1015" s="276"/>
      <c r="J1015" s="251"/>
      <c r="K1015" s="251"/>
      <c r="L1015" s="251"/>
      <c r="M1015" s="251"/>
      <c r="N1015" s="251"/>
      <c r="O1015" s="251"/>
      <c r="P1015" s="251"/>
      <c r="Q1015" s="251"/>
      <c r="R1015" s="251"/>
      <c r="S1015" s="251"/>
      <c r="T1015" s="251"/>
      <c r="U1015" s="251"/>
      <c r="V1015" s="251"/>
      <c r="W1015" s="251"/>
      <c r="X1015" s="251"/>
      <c r="Y1015" s="251"/>
      <c r="Z1015" s="251"/>
      <c r="AA1015" s="251"/>
      <c r="AB1015" s="251"/>
    </row>
    <row r="1016" ht="14.25" customHeight="1">
      <c r="A1016" s="251"/>
      <c r="B1016" s="263"/>
      <c r="C1016" s="275"/>
      <c r="D1016" s="98"/>
      <c r="E1016" s="240"/>
      <c r="F1016" s="240"/>
      <c r="G1016" s="240"/>
      <c r="H1016" s="240"/>
      <c r="I1016" s="276"/>
      <c r="J1016" s="251"/>
      <c r="K1016" s="251"/>
      <c r="L1016" s="251"/>
      <c r="M1016" s="251"/>
      <c r="N1016" s="251"/>
      <c r="O1016" s="251"/>
      <c r="P1016" s="251"/>
      <c r="Q1016" s="251"/>
      <c r="R1016" s="251"/>
      <c r="S1016" s="251"/>
      <c r="T1016" s="251"/>
      <c r="U1016" s="251"/>
      <c r="V1016" s="251"/>
      <c r="W1016" s="251"/>
      <c r="X1016" s="251"/>
      <c r="Y1016" s="251"/>
      <c r="Z1016" s="251"/>
      <c r="AA1016" s="251"/>
      <c r="AB1016" s="251"/>
    </row>
    <row r="1017" ht="14.25" customHeight="1">
      <c r="A1017" s="251"/>
      <c r="B1017" s="263"/>
      <c r="C1017" s="275"/>
      <c r="D1017" s="98"/>
      <c r="E1017" s="240"/>
      <c r="F1017" s="240"/>
      <c r="G1017" s="240"/>
      <c r="H1017" s="240"/>
      <c r="I1017" s="276"/>
      <c r="J1017" s="251"/>
      <c r="K1017" s="251"/>
      <c r="L1017" s="251"/>
      <c r="M1017" s="251"/>
      <c r="N1017" s="251"/>
      <c r="O1017" s="251"/>
      <c r="P1017" s="251"/>
      <c r="Q1017" s="251"/>
      <c r="R1017" s="251"/>
      <c r="S1017" s="251"/>
      <c r="T1017" s="251"/>
      <c r="U1017" s="251"/>
      <c r="V1017" s="251"/>
      <c r="W1017" s="251"/>
      <c r="X1017" s="251"/>
      <c r="Y1017" s="251"/>
      <c r="Z1017" s="251"/>
      <c r="AA1017" s="251"/>
      <c r="AB1017" s="251"/>
    </row>
    <row r="1018" ht="14.25" customHeight="1">
      <c r="A1018" s="251"/>
      <c r="B1018" s="263"/>
      <c r="C1018" s="275"/>
      <c r="D1018" s="98"/>
      <c r="E1018" s="240"/>
      <c r="F1018" s="240"/>
      <c r="G1018" s="240"/>
      <c r="H1018" s="240"/>
      <c r="I1018" s="276"/>
      <c r="J1018" s="251"/>
      <c r="K1018" s="251"/>
      <c r="L1018" s="251"/>
      <c r="M1018" s="251"/>
      <c r="N1018" s="251"/>
      <c r="O1018" s="251"/>
      <c r="P1018" s="251"/>
      <c r="Q1018" s="251"/>
      <c r="R1018" s="251"/>
      <c r="S1018" s="251"/>
      <c r="T1018" s="251"/>
      <c r="U1018" s="251"/>
      <c r="V1018" s="251"/>
      <c r="W1018" s="251"/>
      <c r="X1018" s="251"/>
      <c r="Y1018" s="251"/>
      <c r="Z1018" s="251"/>
      <c r="AA1018" s="251"/>
      <c r="AB1018" s="251"/>
    </row>
    <row r="1019" ht="14.25" customHeight="1">
      <c r="A1019" s="251"/>
      <c r="B1019" s="263"/>
      <c r="C1019" s="275"/>
      <c r="D1019" s="98"/>
      <c r="E1019" s="240"/>
      <c r="F1019" s="240"/>
      <c r="G1019" s="240"/>
      <c r="H1019" s="240"/>
      <c r="I1019" s="276"/>
      <c r="J1019" s="251"/>
      <c r="K1019" s="251"/>
      <c r="L1019" s="251"/>
      <c r="M1019" s="251"/>
      <c r="N1019" s="251"/>
      <c r="O1019" s="251"/>
      <c r="P1019" s="251"/>
      <c r="Q1019" s="251"/>
      <c r="R1019" s="251"/>
      <c r="S1019" s="251"/>
      <c r="T1019" s="251"/>
      <c r="U1019" s="251"/>
      <c r="V1019" s="251"/>
      <c r="W1019" s="251"/>
      <c r="X1019" s="251"/>
      <c r="Y1019" s="251"/>
      <c r="Z1019" s="251"/>
      <c r="AA1019" s="251"/>
      <c r="AB1019" s="251"/>
    </row>
    <row r="1020" ht="14.25" customHeight="1">
      <c r="A1020" s="251"/>
      <c r="B1020" s="263"/>
      <c r="C1020" s="275"/>
      <c r="D1020" s="98"/>
      <c r="E1020" s="240"/>
      <c r="F1020" s="240"/>
      <c r="G1020" s="240"/>
      <c r="H1020" s="240"/>
      <c r="I1020" s="276"/>
      <c r="J1020" s="251"/>
      <c r="K1020" s="251"/>
      <c r="L1020" s="251"/>
      <c r="M1020" s="251"/>
      <c r="N1020" s="251"/>
      <c r="O1020" s="251"/>
      <c r="P1020" s="251"/>
      <c r="Q1020" s="251"/>
      <c r="R1020" s="251"/>
      <c r="S1020" s="251"/>
      <c r="T1020" s="251"/>
      <c r="U1020" s="251"/>
      <c r="V1020" s="251"/>
      <c r="W1020" s="251"/>
      <c r="X1020" s="251"/>
      <c r="Y1020" s="251"/>
      <c r="Z1020" s="251"/>
      <c r="AA1020" s="251"/>
      <c r="AB1020" s="251"/>
    </row>
    <row r="1021" ht="14.25" customHeight="1">
      <c r="A1021" s="251"/>
      <c r="B1021" s="263"/>
      <c r="C1021" s="275"/>
      <c r="D1021" s="98"/>
      <c r="E1021" s="240"/>
      <c r="F1021" s="240"/>
      <c r="G1021" s="240"/>
      <c r="H1021" s="240"/>
      <c r="I1021" s="276"/>
      <c r="J1021" s="251"/>
      <c r="K1021" s="251"/>
      <c r="L1021" s="251"/>
      <c r="M1021" s="251"/>
      <c r="N1021" s="251"/>
      <c r="O1021" s="251"/>
      <c r="P1021" s="251"/>
      <c r="Q1021" s="251"/>
      <c r="R1021" s="251"/>
      <c r="S1021" s="251"/>
      <c r="T1021" s="251"/>
      <c r="U1021" s="251"/>
      <c r="V1021" s="251"/>
      <c r="W1021" s="251"/>
      <c r="X1021" s="251"/>
      <c r="Y1021" s="251"/>
      <c r="Z1021" s="251"/>
      <c r="AA1021" s="251"/>
      <c r="AB1021" s="251"/>
    </row>
    <row r="1022" ht="14.25" customHeight="1">
      <c r="A1022" s="251"/>
      <c r="B1022" s="263"/>
      <c r="C1022" s="275"/>
      <c r="D1022" s="98"/>
      <c r="E1022" s="240"/>
      <c r="F1022" s="240"/>
      <c r="G1022" s="240"/>
      <c r="H1022" s="240"/>
      <c r="I1022" s="276"/>
      <c r="J1022" s="251"/>
      <c r="K1022" s="251"/>
      <c r="L1022" s="251"/>
      <c r="M1022" s="251"/>
      <c r="N1022" s="251"/>
      <c r="O1022" s="251"/>
      <c r="P1022" s="251"/>
      <c r="Q1022" s="251"/>
      <c r="R1022" s="251"/>
      <c r="S1022" s="251"/>
      <c r="T1022" s="251"/>
      <c r="U1022" s="251"/>
      <c r="V1022" s="251"/>
      <c r="W1022" s="251"/>
      <c r="X1022" s="251"/>
      <c r="Y1022" s="251"/>
      <c r="Z1022" s="251"/>
      <c r="AA1022" s="251"/>
      <c r="AB1022" s="251"/>
    </row>
    <row r="1023" ht="14.25" customHeight="1">
      <c r="A1023" s="251"/>
      <c r="B1023" s="263"/>
      <c r="C1023" s="275"/>
      <c r="D1023" s="98"/>
      <c r="E1023" s="240"/>
      <c r="F1023" s="240"/>
      <c r="G1023" s="240"/>
      <c r="H1023" s="240"/>
      <c r="I1023" s="276"/>
      <c r="J1023" s="251"/>
      <c r="K1023" s="251"/>
      <c r="L1023" s="251"/>
      <c r="M1023" s="251"/>
      <c r="N1023" s="251"/>
      <c r="O1023" s="251"/>
      <c r="P1023" s="251"/>
      <c r="Q1023" s="251"/>
      <c r="R1023" s="251"/>
      <c r="S1023" s="251"/>
      <c r="T1023" s="251"/>
      <c r="U1023" s="251"/>
      <c r="V1023" s="251"/>
      <c r="W1023" s="251"/>
      <c r="X1023" s="251"/>
      <c r="Y1023" s="251"/>
      <c r="Z1023" s="251"/>
      <c r="AA1023" s="251"/>
      <c r="AB1023" s="251"/>
    </row>
    <row r="1024" ht="14.25" customHeight="1">
      <c r="A1024" s="251"/>
      <c r="B1024" s="263"/>
      <c r="C1024" s="275"/>
      <c r="D1024" s="98"/>
      <c r="E1024" s="240"/>
      <c r="F1024" s="240"/>
      <c r="G1024" s="240"/>
      <c r="H1024" s="240"/>
      <c r="I1024" s="276"/>
      <c r="J1024" s="251"/>
      <c r="K1024" s="251"/>
      <c r="L1024" s="251"/>
      <c r="M1024" s="251"/>
      <c r="N1024" s="251"/>
      <c r="O1024" s="251"/>
      <c r="P1024" s="251"/>
      <c r="Q1024" s="251"/>
      <c r="R1024" s="251"/>
      <c r="S1024" s="251"/>
      <c r="T1024" s="251"/>
      <c r="U1024" s="251"/>
      <c r="V1024" s="251"/>
      <c r="W1024" s="251"/>
      <c r="X1024" s="251"/>
      <c r="Y1024" s="251"/>
      <c r="Z1024" s="251"/>
      <c r="AA1024" s="251"/>
      <c r="AB1024" s="251"/>
    </row>
    <row r="1025" ht="14.25" customHeight="1">
      <c r="A1025" s="251"/>
      <c r="B1025" s="263"/>
      <c r="C1025" s="275"/>
      <c r="D1025" s="98"/>
      <c r="E1025" s="240"/>
      <c r="F1025" s="240"/>
      <c r="G1025" s="240"/>
      <c r="H1025" s="240"/>
      <c r="I1025" s="276"/>
      <c r="J1025" s="251"/>
      <c r="K1025" s="251"/>
      <c r="L1025" s="251"/>
      <c r="M1025" s="251"/>
      <c r="N1025" s="251"/>
      <c r="O1025" s="251"/>
      <c r="P1025" s="251"/>
      <c r="Q1025" s="251"/>
      <c r="R1025" s="251"/>
      <c r="S1025" s="251"/>
      <c r="T1025" s="251"/>
      <c r="U1025" s="251"/>
      <c r="V1025" s="251"/>
      <c r="W1025" s="251"/>
      <c r="X1025" s="251"/>
      <c r="Y1025" s="251"/>
      <c r="Z1025" s="251"/>
      <c r="AA1025" s="251"/>
      <c r="AB1025" s="251"/>
    </row>
    <row r="1026" ht="14.25" customHeight="1">
      <c r="A1026" s="251"/>
      <c r="B1026" s="263"/>
      <c r="C1026" s="275"/>
      <c r="D1026" s="98"/>
      <c r="E1026" s="240"/>
      <c r="F1026" s="240"/>
      <c r="G1026" s="240"/>
      <c r="H1026" s="240"/>
      <c r="I1026" s="276"/>
      <c r="J1026" s="251"/>
      <c r="K1026" s="251"/>
      <c r="L1026" s="251"/>
      <c r="M1026" s="251"/>
      <c r="N1026" s="251"/>
      <c r="O1026" s="251"/>
      <c r="P1026" s="251"/>
      <c r="Q1026" s="251"/>
      <c r="R1026" s="251"/>
      <c r="S1026" s="251"/>
      <c r="T1026" s="251"/>
      <c r="U1026" s="251"/>
      <c r="V1026" s="251"/>
      <c r="W1026" s="251"/>
      <c r="X1026" s="251"/>
      <c r="Y1026" s="251"/>
      <c r="Z1026" s="251"/>
      <c r="AA1026" s="251"/>
      <c r="AB1026" s="251"/>
    </row>
    <row r="1027" ht="14.25" customHeight="1">
      <c r="A1027" s="251"/>
      <c r="B1027" s="263"/>
      <c r="C1027" s="275"/>
      <c r="D1027" s="98"/>
      <c r="E1027" s="240"/>
      <c r="F1027" s="240"/>
      <c r="G1027" s="240"/>
      <c r="H1027" s="240"/>
      <c r="I1027" s="276"/>
      <c r="J1027" s="251"/>
      <c r="K1027" s="251"/>
      <c r="L1027" s="251"/>
      <c r="M1027" s="251"/>
      <c r="N1027" s="251"/>
      <c r="O1027" s="251"/>
      <c r="P1027" s="251"/>
      <c r="Q1027" s="251"/>
      <c r="R1027" s="251"/>
      <c r="S1027" s="251"/>
      <c r="T1027" s="251"/>
      <c r="U1027" s="251"/>
      <c r="V1027" s="251"/>
      <c r="W1027" s="251"/>
      <c r="X1027" s="251"/>
      <c r="Y1027" s="251"/>
      <c r="Z1027" s="251"/>
      <c r="AA1027" s="251"/>
      <c r="AB1027" s="251"/>
    </row>
    <row r="1028" ht="14.25" customHeight="1">
      <c r="A1028" s="251"/>
      <c r="B1028" s="263"/>
      <c r="C1028" s="275"/>
      <c r="D1028" s="98"/>
      <c r="E1028" s="240"/>
      <c r="F1028" s="240"/>
      <c r="G1028" s="240"/>
      <c r="H1028" s="240"/>
      <c r="I1028" s="276"/>
      <c r="J1028" s="251"/>
      <c r="K1028" s="251"/>
      <c r="L1028" s="251"/>
      <c r="M1028" s="251"/>
      <c r="N1028" s="251"/>
      <c r="O1028" s="251"/>
      <c r="P1028" s="251"/>
      <c r="Q1028" s="251"/>
      <c r="R1028" s="251"/>
      <c r="S1028" s="251"/>
      <c r="T1028" s="251"/>
      <c r="U1028" s="251"/>
      <c r="V1028" s="251"/>
      <c r="W1028" s="251"/>
      <c r="X1028" s="251"/>
      <c r="Y1028" s="251"/>
      <c r="Z1028" s="251"/>
      <c r="AA1028" s="251"/>
      <c r="AB1028" s="251"/>
    </row>
    <row r="1029" ht="14.25" customHeight="1">
      <c r="A1029" s="251"/>
      <c r="B1029" s="263"/>
      <c r="C1029" s="275"/>
      <c r="D1029" s="98"/>
      <c r="E1029" s="240"/>
      <c r="F1029" s="240"/>
      <c r="G1029" s="240"/>
      <c r="H1029" s="240"/>
      <c r="I1029" s="276"/>
      <c r="J1029" s="251"/>
      <c r="K1029" s="251"/>
      <c r="L1029" s="251"/>
      <c r="M1029" s="251"/>
      <c r="N1029" s="251"/>
      <c r="O1029" s="251"/>
      <c r="P1029" s="251"/>
      <c r="Q1029" s="251"/>
      <c r="R1029" s="251"/>
      <c r="S1029" s="251"/>
      <c r="T1029" s="251"/>
      <c r="U1029" s="251"/>
      <c r="V1029" s="251"/>
      <c r="W1029" s="251"/>
      <c r="X1029" s="251"/>
      <c r="Y1029" s="251"/>
      <c r="Z1029" s="251"/>
      <c r="AA1029" s="251"/>
      <c r="AB1029" s="251"/>
    </row>
    <row r="1030" ht="14.25" customHeight="1">
      <c r="A1030" s="251"/>
      <c r="B1030" s="263"/>
      <c r="C1030" s="275"/>
      <c r="D1030" s="98"/>
      <c r="E1030" s="240"/>
      <c r="F1030" s="240"/>
      <c r="G1030" s="240"/>
      <c r="H1030" s="240"/>
      <c r="I1030" s="276"/>
      <c r="J1030" s="251"/>
      <c r="K1030" s="251"/>
      <c r="L1030" s="251"/>
      <c r="M1030" s="251"/>
      <c r="N1030" s="251"/>
      <c r="O1030" s="251"/>
      <c r="P1030" s="251"/>
      <c r="Q1030" s="251"/>
      <c r="R1030" s="251"/>
      <c r="S1030" s="251"/>
      <c r="T1030" s="251"/>
      <c r="U1030" s="251"/>
      <c r="V1030" s="251"/>
      <c r="W1030" s="251"/>
      <c r="X1030" s="251"/>
      <c r="Y1030" s="251"/>
      <c r="Z1030" s="251"/>
      <c r="AA1030" s="251"/>
      <c r="AB1030" s="251"/>
    </row>
    <row r="1031" ht="14.25" customHeight="1">
      <c r="A1031" s="251"/>
      <c r="B1031" s="263"/>
      <c r="C1031" s="275"/>
      <c r="D1031" s="98"/>
      <c r="E1031" s="240"/>
      <c r="F1031" s="240"/>
      <c r="G1031" s="240"/>
      <c r="H1031" s="240"/>
      <c r="I1031" s="276"/>
      <c r="J1031" s="251"/>
      <c r="K1031" s="251"/>
      <c r="L1031" s="251"/>
      <c r="M1031" s="251"/>
      <c r="N1031" s="251"/>
      <c r="O1031" s="251"/>
      <c r="P1031" s="251"/>
      <c r="Q1031" s="251"/>
      <c r="R1031" s="251"/>
      <c r="S1031" s="251"/>
      <c r="T1031" s="251"/>
      <c r="U1031" s="251"/>
      <c r="V1031" s="251"/>
      <c r="W1031" s="251"/>
      <c r="X1031" s="251"/>
      <c r="Y1031" s="251"/>
      <c r="Z1031" s="251"/>
      <c r="AA1031" s="251"/>
      <c r="AB1031" s="251"/>
    </row>
    <row r="1032" ht="14.25" customHeight="1">
      <c r="A1032" s="251"/>
      <c r="B1032" s="263"/>
      <c r="C1032" s="275"/>
      <c r="D1032" s="98"/>
      <c r="E1032" s="240"/>
      <c r="F1032" s="240"/>
      <c r="G1032" s="240"/>
      <c r="H1032" s="240"/>
      <c r="I1032" s="276"/>
      <c r="J1032" s="251"/>
      <c r="K1032" s="251"/>
      <c r="L1032" s="251"/>
      <c r="M1032" s="251"/>
      <c r="N1032" s="251"/>
      <c r="O1032" s="251"/>
      <c r="P1032" s="251"/>
      <c r="Q1032" s="251"/>
      <c r="R1032" s="251"/>
      <c r="S1032" s="251"/>
      <c r="T1032" s="251"/>
      <c r="U1032" s="251"/>
      <c r="V1032" s="251"/>
      <c r="W1032" s="251"/>
      <c r="X1032" s="251"/>
      <c r="Y1032" s="251"/>
      <c r="Z1032" s="251"/>
      <c r="AA1032" s="251"/>
      <c r="AB1032" s="251"/>
    </row>
    <row r="1033" ht="14.25" customHeight="1">
      <c r="A1033" s="251"/>
      <c r="B1033" s="263"/>
      <c r="C1033" s="275"/>
      <c r="D1033" s="98"/>
      <c r="E1033" s="240"/>
      <c r="F1033" s="240"/>
      <c r="G1033" s="240"/>
      <c r="H1033" s="240"/>
      <c r="I1033" s="276"/>
      <c r="J1033" s="251"/>
      <c r="K1033" s="251"/>
      <c r="L1033" s="251"/>
      <c r="M1033" s="251"/>
      <c r="N1033" s="251"/>
      <c r="O1033" s="251"/>
      <c r="P1033" s="251"/>
      <c r="Q1033" s="251"/>
      <c r="R1033" s="251"/>
      <c r="S1033" s="251"/>
      <c r="T1033" s="251"/>
      <c r="U1033" s="251"/>
      <c r="V1033" s="251"/>
      <c r="W1033" s="251"/>
      <c r="X1033" s="251"/>
      <c r="Y1033" s="251"/>
      <c r="Z1033" s="251"/>
      <c r="AA1033" s="251"/>
      <c r="AB1033" s="251"/>
    </row>
    <row r="1034" ht="14.25" customHeight="1">
      <c r="A1034" s="251"/>
      <c r="B1034" s="263"/>
      <c r="C1034" s="275"/>
      <c r="D1034" s="98"/>
      <c r="E1034" s="240"/>
      <c r="F1034" s="240"/>
      <c r="G1034" s="240"/>
      <c r="H1034" s="240"/>
      <c r="I1034" s="276"/>
      <c r="J1034" s="251"/>
      <c r="K1034" s="251"/>
      <c r="L1034" s="251"/>
      <c r="M1034" s="251"/>
      <c r="N1034" s="251"/>
      <c r="O1034" s="251"/>
      <c r="P1034" s="251"/>
      <c r="Q1034" s="251"/>
      <c r="R1034" s="251"/>
      <c r="S1034" s="251"/>
      <c r="T1034" s="251"/>
      <c r="U1034" s="251"/>
      <c r="V1034" s="251"/>
      <c r="W1034" s="251"/>
      <c r="X1034" s="251"/>
      <c r="Y1034" s="251"/>
      <c r="Z1034" s="251"/>
      <c r="AA1034" s="251"/>
      <c r="AB1034" s="251"/>
    </row>
    <row r="1035" ht="14.25" customHeight="1">
      <c r="A1035" s="251"/>
      <c r="B1035" s="263"/>
      <c r="C1035" s="275"/>
      <c r="D1035" s="98"/>
      <c r="E1035" s="240"/>
      <c r="F1035" s="240"/>
      <c r="G1035" s="240"/>
      <c r="H1035" s="240"/>
      <c r="I1035" s="276"/>
      <c r="J1035" s="251"/>
      <c r="K1035" s="251"/>
      <c r="L1035" s="251"/>
      <c r="M1035" s="251"/>
      <c r="N1035" s="251"/>
      <c r="O1035" s="251"/>
      <c r="P1035" s="251"/>
      <c r="Q1035" s="251"/>
      <c r="R1035" s="251"/>
      <c r="S1035" s="251"/>
      <c r="T1035" s="251"/>
      <c r="U1035" s="251"/>
      <c r="V1035" s="251"/>
      <c r="W1035" s="251"/>
      <c r="X1035" s="251"/>
      <c r="Y1035" s="251"/>
      <c r="Z1035" s="251"/>
      <c r="AA1035" s="251"/>
      <c r="AB1035" s="251"/>
    </row>
    <row r="1036" ht="14.25" customHeight="1">
      <c r="A1036" s="251"/>
      <c r="B1036" s="263"/>
      <c r="C1036" s="275"/>
      <c r="D1036" s="98"/>
      <c r="E1036" s="240"/>
      <c r="F1036" s="240"/>
      <c r="G1036" s="240"/>
      <c r="H1036" s="240"/>
      <c r="I1036" s="276"/>
      <c r="J1036" s="251"/>
      <c r="K1036" s="251"/>
      <c r="L1036" s="251"/>
      <c r="M1036" s="251"/>
      <c r="N1036" s="251"/>
      <c r="O1036" s="251"/>
      <c r="P1036" s="251"/>
      <c r="Q1036" s="251"/>
      <c r="R1036" s="251"/>
      <c r="S1036" s="251"/>
      <c r="T1036" s="251"/>
      <c r="U1036" s="251"/>
      <c r="V1036" s="251"/>
      <c r="W1036" s="251"/>
      <c r="X1036" s="251"/>
      <c r="Y1036" s="251"/>
      <c r="Z1036" s="251"/>
      <c r="AA1036" s="251"/>
      <c r="AB1036" s="251"/>
    </row>
    <row r="1037" ht="14.25" customHeight="1">
      <c r="A1037" s="251"/>
      <c r="B1037" s="263"/>
      <c r="C1037" s="275"/>
      <c r="D1037" s="98"/>
      <c r="E1037" s="240"/>
      <c r="F1037" s="240"/>
      <c r="G1037" s="240"/>
      <c r="H1037" s="240"/>
      <c r="I1037" s="276"/>
      <c r="J1037" s="251"/>
      <c r="K1037" s="251"/>
      <c r="L1037" s="251"/>
      <c r="M1037" s="251"/>
      <c r="N1037" s="251"/>
      <c r="O1037" s="251"/>
      <c r="P1037" s="251"/>
      <c r="Q1037" s="251"/>
      <c r="R1037" s="251"/>
      <c r="S1037" s="251"/>
      <c r="T1037" s="251"/>
      <c r="U1037" s="251"/>
      <c r="V1037" s="251"/>
      <c r="W1037" s="251"/>
      <c r="X1037" s="251"/>
      <c r="Y1037" s="251"/>
      <c r="Z1037" s="251"/>
      <c r="AA1037" s="251"/>
      <c r="AB1037" s="251"/>
    </row>
    <row r="1038" ht="14.25" customHeight="1">
      <c r="A1038" s="251"/>
      <c r="B1038" s="263"/>
      <c r="C1038" s="275"/>
      <c r="D1038" s="98"/>
      <c r="E1038" s="240"/>
      <c r="F1038" s="240"/>
      <c r="G1038" s="240"/>
      <c r="H1038" s="240"/>
      <c r="I1038" s="276"/>
      <c r="J1038" s="251"/>
      <c r="K1038" s="251"/>
      <c r="L1038" s="251"/>
      <c r="M1038" s="251"/>
      <c r="N1038" s="251"/>
      <c r="O1038" s="251"/>
      <c r="P1038" s="251"/>
      <c r="Q1038" s="251"/>
      <c r="R1038" s="251"/>
      <c r="S1038" s="251"/>
      <c r="T1038" s="251"/>
      <c r="U1038" s="251"/>
      <c r="V1038" s="251"/>
      <c r="W1038" s="251"/>
      <c r="X1038" s="251"/>
      <c r="Y1038" s="251"/>
      <c r="Z1038" s="251"/>
      <c r="AA1038" s="251"/>
      <c r="AB1038" s="251"/>
    </row>
    <row r="1039" ht="14.25" customHeight="1">
      <c r="A1039" s="251"/>
      <c r="B1039" s="263"/>
      <c r="C1039" s="275"/>
      <c r="D1039" s="98"/>
      <c r="E1039" s="240"/>
      <c r="F1039" s="240"/>
      <c r="G1039" s="240"/>
      <c r="H1039" s="240"/>
      <c r="I1039" s="276"/>
      <c r="J1039" s="251"/>
      <c r="K1039" s="251"/>
      <c r="L1039" s="251"/>
      <c r="M1039" s="251"/>
      <c r="N1039" s="251"/>
      <c r="O1039" s="251"/>
      <c r="P1039" s="251"/>
      <c r="Q1039" s="251"/>
      <c r="R1039" s="251"/>
      <c r="S1039" s="251"/>
      <c r="T1039" s="251"/>
      <c r="U1039" s="251"/>
      <c r="V1039" s="251"/>
      <c r="W1039" s="251"/>
      <c r="X1039" s="251"/>
      <c r="Y1039" s="251"/>
      <c r="Z1039" s="251"/>
      <c r="AA1039" s="251"/>
      <c r="AB1039" s="251"/>
    </row>
    <row r="1040" ht="14.25" customHeight="1">
      <c r="A1040" s="251"/>
      <c r="B1040" s="263"/>
      <c r="C1040" s="275"/>
      <c r="D1040" s="98"/>
      <c r="E1040" s="240"/>
      <c r="F1040" s="240"/>
      <c r="G1040" s="240"/>
      <c r="H1040" s="240"/>
      <c r="I1040" s="276"/>
      <c r="J1040" s="251"/>
      <c r="K1040" s="251"/>
      <c r="L1040" s="251"/>
      <c r="M1040" s="251"/>
      <c r="N1040" s="251"/>
      <c r="O1040" s="251"/>
      <c r="P1040" s="251"/>
      <c r="Q1040" s="251"/>
      <c r="R1040" s="251"/>
      <c r="S1040" s="251"/>
      <c r="T1040" s="251"/>
      <c r="U1040" s="251"/>
      <c r="V1040" s="251"/>
      <c r="W1040" s="251"/>
      <c r="X1040" s="251"/>
      <c r="Y1040" s="251"/>
      <c r="Z1040" s="251"/>
      <c r="AA1040" s="251"/>
      <c r="AB1040" s="251"/>
    </row>
    <row r="1041" ht="14.25" customHeight="1">
      <c r="A1041" s="251"/>
      <c r="B1041" s="263"/>
      <c r="C1041" s="275"/>
      <c r="D1041" s="98"/>
      <c r="E1041" s="240"/>
      <c r="F1041" s="240"/>
      <c r="G1041" s="240"/>
      <c r="H1041" s="240"/>
      <c r="I1041" s="276"/>
      <c r="J1041" s="251"/>
      <c r="K1041" s="251"/>
      <c r="L1041" s="251"/>
      <c r="M1041" s="251"/>
      <c r="N1041" s="251"/>
      <c r="O1041" s="251"/>
      <c r="P1041" s="251"/>
      <c r="Q1041" s="251"/>
      <c r="R1041" s="251"/>
      <c r="S1041" s="251"/>
      <c r="T1041" s="251"/>
      <c r="U1041" s="251"/>
      <c r="V1041" s="251"/>
      <c r="W1041" s="251"/>
      <c r="X1041" s="251"/>
      <c r="Y1041" s="251"/>
      <c r="Z1041" s="251"/>
      <c r="AA1041" s="251"/>
      <c r="AB1041" s="251"/>
    </row>
    <row r="1042" ht="14.25" customHeight="1">
      <c r="A1042" s="251"/>
      <c r="B1042" s="263"/>
      <c r="C1042" s="275"/>
      <c r="D1042" s="98"/>
      <c r="E1042" s="240"/>
      <c r="F1042" s="240"/>
      <c r="G1042" s="240"/>
      <c r="H1042" s="240"/>
      <c r="I1042" s="276"/>
      <c r="J1042" s="251"/>
      <c r="K1042" s="251"/>
      <c r="L1042" s="251"/>
      <c r="M1042" s="251"/>
      <c r="N1042" s="251"/>
      <c r="O1042" s="251"/>
      <c r="P1042" s="251"/>
      <c r="Q1042" s="251"/>
      <c r="R1042" s="251"/>
      <c r="S1042" s="251"/>
      <c r="T1042" s="251"/>
      <c r="U1042" s="251"/>
      <c r="V1042" s="251"/>
      <c r="W1042" s="251"/>
      <c r="X1042" s="251"/>
      <c r="Y1042" s="251"/>
      <c r="Z1042" s="251"/>
      <c r="AA1042" s="251"/>
      <c r="AB1042" s="251"/>
    </row>
    <row r="1043" ht="14.25" customHeight="1">
      <c r="A1043" s="251"/>
      <c r="B1043" s="263"/>
      <c r="C1043" s="275"/>
      <c r="D1043" s="98"/>
      <c r="E1043" s="240"/>
      <c r="F1043" s="240"/>
      <c r="G1043" s="240"/>
      <c r="H1043" s="240"/>
      <c r="I1043" s="276"/>
      <c r="J1043" s="251"/>
      <c r="K1043" s="251"/>
      <c r="L1043" s="251"/>
      <c r="M1043" s="251"/>
      <c r="N1043" s="251"/>
      <c r="O1043" s="251"/>
      <c r="P1043" s="251"/>
      <c r="Q1043" s="251"/>
      <c r="R1043" s="251"/>
      <c r="S1043" s="251"/>
      <c r="T1043" s="251"/>
      <c r="U1043" s="251"/>
      <c r="V1043" s="251"/>
      <c r="W1043" s="251"/>
      <c r="X1043" s="251"/>
      <c r="Y1043" s="251"/>
      <c r="Z1043" s="251"/>
      <c r="AA1043" s="251"/>
      <c r="AB1043" s="251"/>
    </row>
    <row r="1044" ht="14.25" customHeight="1">
      <c r="A1044" s="251"/>
      <c r="B1044" s="263"/>
      <c r="C1044" s="275"/>
      <c r="D1044" s="98"/>
      <c r="E1044" s="240"/>
      <c r="F1044" s="240"/>
      <c r="G1044" s="240"/>
      <c r="H1044" s="240"/>
      <c r="I1044" s="276"/>
      <c r="J1044" s="251"/>
      <c r="K1044" s="251"/>
      <c r="L1044" s="251"/>
      <c r="M1044" s="251"/>
      <c r="N1044" s="251"/>
      <c r="O1044" s="251"/>
      <c r="P1044" s="251"/>
      <c r="Q1044" s="251"/>
      <c r="R1044" s="251"/>
      <c r="S1044" s="251"/>
      <c r="T1044" s="251"/>
      <c r="U1044" s="251"/>
      <c r="V1044" s="251"/>
      <c r="W1044" s="251"/>
      <c r="X1044" s="251"/>
      <c r="Y1044" s="251"/>
      <c r="Z1044" s="251"/>
      <c r="AA1044" s="251"/>
      <c r="AB1044" s="251"/>
    </row>
    <row r="1045" ht="14.25" customHeight="1">
      <c r="A1045" s="251"/>
      <c r="B1045" s="263"/>
      <c r="C1045" s="275"/>
      <c r="D1045" s="98"/>
      <c r="E1045" s="240"/>
      <c r="F1045" s="240"/>
      <c r="G1045" s="240"/>
      <c r="H1045" s="240"/>
      <c r="I1045" s="276"/>
      <c r="J1045" s="251"/>
      <c r="K1045" s="251"/>
      <c r="L1045" s="251"/>
      <c r="M1045" s="251"/>
      <c r="N1045" s="251"/>
      <c r="O1045" s="251"/>
      <c r="P1045" s="251"/>
      <c r="Q1045" s="251"/>
      <c r="R1045" s="251"/>
      <c r="S1045" s="251"/>
      <c r="T1045" s="251"/>
      <c r="U1045" s="251"/>
      <c r="V1045" s="251"/>
      <c r="W1045" s="251"/>
      <c r="X1045" s="251"/>
      <c r="Y1045" s="251"/>
      <c r="Z1045" s="251"/>
      <c r="AA1045" s="251"/>
      <c r="AB1045" s="251"/>
    </row>
    <row r="1046" ht="14.25" customHeight="1">
      <c r="A1046" s="251"/>
      <c r="B1046" s="263"/>
      <c r="C1046" s="275"/>
      <c r="D1046" s="98"/>
      <c r="E1046" s="240"/>
      <c r="F1046" s="240"/>
      <c r="G1046" s="240"/>
      <c r="H1046" s="240"/>
      <c r="I1046" s="276"/>
      <c r="J1046" s="251"/>
      <c r="K1046" s="251"/>
      <c r="L1046" s="251"/>
      <c r="M1046" s="251"/>
      <c r="N1046" s="251"/>
      <c r="O1046" s="251"/>
      <c r="P1046" s="251"/>
      <c r="Q1046" s="251"/>
      <c r="R1046" s="251"/>
      <c r="S1046" s="251"/>
      <c r="T1046" s="251"/>
      <c r="U1046" s="251"/>
      <c r="V1046" s="251"/>
      <c r="W1046" s="251"/>
      <c r="X1046" s="251"/>
      <c r="Y1046" s="251"/>
      <c r="Z1046" s="251"/>
      <c r="AA1046" s="251"/>
      <c r="AB1046" s="251"/>
    </row>
    <row r="1047" ht="14.25" customHeight="1">
      <c r="A1047" s="251"/>
      <c r="B1047" s="263"/>
      <c r="C1047" s="275"/>
      <c r="D1047" s="98"/>
      <c r="E1047" s="240"/>
      <c r="F1047" s="240"/>
      <c r="G1047" s="240"/>
      <c r="H1047" s="240"/>
      <c r="I1047" s="276"/>
      <c r="J1047" s="251"/>
      <c r="K1047" s="251"/>
      <c r="L1047" s="251"/>
      <c r="M1047" s="251"/>
      <c r="N1047" s="251"/>
      <c r="O1047" s="251"/>
      <c r="P1047" s="251"/>
      <c r="Q1047" s="251"/>
      <c r="R1047" s="251"/>
      <c r="S1047" s="251"/>
      <c r="T1047" s="251"/>
      <c r="U1047" s="251"/>
      <c r="V1047" s="251"/>
      <c r="W1047" s="251"/>
      <c r="X1047" s="251"/>
      <c r="Y1047" s="251"/>
      <c r="Z1047" s="251"/>
      <c r="AA1047" s="251"/>
      <c r="AB1047" s="251"/>
    </row>
    <row r="1048" ht="14.25" customHeight="1">
      <c r="A1048" s="251"/>
      <c r="B1048" s="263"/>
      <c r="C1048" s="275"/>
      <c r="D1048" s="98"/>
      <c r="E1048" s="240"/>
      <c r="F1048" s="240"/>
      <c r="G1048" s="240"/>
      <c r="H1048" s="240"/>
      <c r="I1048" s="276"/>
      <c r="J1048" s="251"/>
      <c r="K1048" s="251"/>
      <c r="L1048" s="251"/>
      <c r="M1048" s="251"/>
      <c r="N1048" s="251"/>
      <c r="O1048" s="251"/>
      <c r="P1048" s="251"/>
      <c r="Q1048" s="251"/>
      <c r="R1048" s="251"/>
      <c r="S1048" s="251"/>
      <c r="T1048" s="251"/>
      <c r="U1048" s="251"/>
      <c r="V1048" s="251"/>
      <c r="W1048" s="251"/>
      <c r="X1048" s="251"/>
      <c r="Y1048" s="251"/>
      <c r="Z1048" s="251"/>
      <c r="AA1048" s="251"/>
      <c r="AB1048" s="251"/>
    </row>
    <row r="1049" ht="14.25" customHeight="1">
      <c r="A1049" s="251"/>
      <c r="B1049" s="263"/>
      <c r="C1049" s="275"/>
      <c r="D1049" s="98"/>
      <c r="E1049" s="240"/>
      <c r="F1049" s="240"/>
      <c r="G1049" s="240"/>
      <c r="H1049" s="240"/>
      <c r="I1049" s="276"/>
      <c r="J1049" s="251"/>
      <c r="K1049" s="251"/>
      <c r="L1049" s="251"/>
      <c r="M1049" s="251"/>
      <c r="N1049" s="251"/>
      <c r="O1049" s="251"/>
      <c r="P1049" s="251"/>
      <c r="Q1049" s="251"/>
      <c r="R1049" s="251"/>
      <c r="S1049" s="251"/>
      <c r="T1049" s="251"/>
      <c r="U1049" s="251"/>
      <c r="V1049" s="251"/>
      <c r="W1049" s="251"/>
      <c r="X1049" s="251"/>
      <c r="Y1049" s="251"/>
      <c r="Z1049" s="251"/>
      <c r="AA1049" s="251"/>
      <c r="AB1049" s="251"/>
    </row>
    <row r="1050" ht="14.25" customHeight="1">
      <c r="A1050" s="251"/>
      <c r="B1050" s="263"/>
      <c r="C1050" s="275"/>
      <c r="D1050" s="98"/>
      <c r="E1050" s="240"/>
      <c r="F1050" s="240"/>
      <c r="G1050" s="240"/>
      <c r="H1050" s="240"/>
      <c r="I1050" s="276"/>
      <c r="J1050" s="251"/>
      <c r="K1050" s="251"/>
      <c r="L1050" s="251"/>
      <c r="M1050" s="251"/>
      <c r="N1050" s="251"/>
      <c r="O1050" s="251"/>
      <c r="P1050" s="251"/>
      <c r="Q1050" s="251"/>
      <c r="R1050" s="251"/>
      <c r="S1050" s="251"/>
      <c r="T1050" s="251"/>
      <c r="U1050" s="251"/>
      <c r="V1050" s="251"/>
      <c r="W1050" s="251"/>
      <c r="X1050" s="251"/>
      <c r="Y1050" s="251"/>
      <c r="Z1050" s="251"/>
      <c r="AA1050" s="251"/>
      <c r="AB1050" s="251"/>
    </row>
    <row r="1051" ht="14.25" customHeight="1">
      <c r="A1051" s="251"/>
      <c r="B1051" s="263"/>
      <c r="C1051" s="275"/>
      <c r="D1051" s="98"/>
      <c r="E1051" s="240"/>
      <c r="F1051" s="240"/>
      <c r="G1051" s="240"/>
      <c r="H1051" s="240"/>
      <c r="I1051" s="276"/>
      <c r="J1051" s="251"/>
      <c r="K1051" s="251"/>
      <c r="L1051" s="251"/>
      <c r="M1051" s="251"/>
      <c r="N1051" s="251"/>
      <c r="O1051" s="251"/>
      <c r="P1051" s="251"/>
      <c r="Q1051" s="251"/>
      <c r="R1051" s="251"/>
      <c r="S1051" s="251"/>
      <c r="T1051" s="251"/>
      <c r="U1051" s="251"/>
      <c r="V1051" s="251"/>
      <c r="W1051" s="251"/>
      <c r="X1051" s="251"/>
      <c r="Y1051" s="251"/>
      <c r="Z1051" s="251"/>
      <c r="AA1051" s="251"/>
      <c r="AB1051" s="251"/>
    </row>
    <row r="1052" ht="14.25" customHeight="1">
      <c r="A1052" s="251"/>
      <c r="B1052" s="263"/>
      <c r="C1052" s="275"/>
      <c r="D1052" s="98"/>
      <c r="E1052" s="240"/>
      <c r="F1052" s="240"/>
      <c r="G1052" s="240"/>
      <c r="H1052" s="240"/>
      <c r="I1052" s="276"/>
      <c r="J1052" s="251"/>
      <c r="K1052" s="251"/>
      <c r="L1052" s="251"/>
      <c r="M1052" s="251"/>
      <c r="N1052" s="251"/>
      <c r="O1052" s="251"/>
      <c r="P1052" s="251"/>
      <c r="Q1052" s="251"/>
      <c r="R1052" s="251"/>
      <c r="S1052" s="251"/>
      <c r="T1052" s="251"/>
      <c r="U1052" s="251"/>
      <c r="V1052" s="251"/>
      <c r="W1052" s="251"/>
      <c r="X1052" s="251"/>
      <c r="Y1052" s="251"/>
      <c r="Z1052" s="251"/>
      <c r="AA1052" s="251"/>
      <c r="AB1052" s="251"/>
    </row>
    <row r="1053" ht="14.25" customHeight="1">
      <c r="A1053" s="251"/>
      <c r="B1053" s="263"/>
      <c r="C1053" s="275"/>
      <c r="D1053" s="98"/>
      <c r="E1053" s="240"/>
      <c r="F1053" s="240"/>
      <c r="G1053" s="240"/>
      <c r="H1053" s="240"/>
      <c r="I1053" s="276"/>
      <c r="J1053" s="251"/>
      <c r="K1053" s="251"/>
      <c r="L1053" s="251"/>
      <c r="M1053" s="251"/>
      <c r="N1053" s="251"/>
      <c r="O1053" s="251"/>
      <c r="P1053" s="251"/>
      <c r="Q1053" s="251"/>
      <c r="R1053" s="251"/>
      <c r="S1053" s="251"/>
      <c r="T1053" s="251"/>
      <c r="U1053" s="251"/>
      <c r="V1053" s="251"/>
      <c r="W1053" s="251"/>
      <c r="X1053" s="251"/>
      <c r="Y1053" s="251"/>
      <c r="Z1053" s="251"/>
      <c r="AA1053" s="251"/>
      <c r="AB1053" s="251"/>
    </row>
    <row r="1054" ht="14.25" customHeight="1">
      <c r="A1054" s="251"/>
      <c r="B1054" s="263"/>
      <c r="C1054" s="275"/>
      <c r="D1054" s="98"/>
      <c r="E1054" s="240"/>
      <c r="F1054" s="240"/>
      <c r="G1054" s="240"/>
      <c r="H1054" s="240"/>
      <c r="I1054" s="276"/>
      <c r="J1054" s="251"/>
      <c r="K1054" s="251"/>
      <c r="L1054" s="251"/>
      <c r="M1054" s="251"/>
      <c r="N1054" s="251"/>
      <c r="O1054" s="251"/>
      <c r="P1054" s="251"/>
      <c r="Q1054" s="251"/>
      <c r="R1054" s="251"/>
      <c r="S1054" s="251"/>
      <c r="T1054" s="251"/>
      <c r="U1054" s="251"/>
      <c r="V1054" s="251"/>
      <c r="W1054" s="251"/>
      <c r="X1054" s="251"/>
      <c r="Y1054" s="251"/>
      <c r="Z1054" s="251"/>
      <c r="AA1054" s="251"/>
      <c r="AB1054" s="251"/>
    </row>
    <row r="1055" ht="14.25" customHeight="1">
      <c r="A1055" s="251"/>
      <c r="B1055" s="263"/>
      <c r="C1055" s="275"/>
      <c r="D1055" s="98"/>
      <c r="E1055" s="240"/>
      <c r="F1055" s="240"/>
      <c r="G1055" s="240"/>
      <c r="H1055" s="240"/>
      <c r="I1055" s="276"/>
      <c r="J1055" s="251"/>
      <c r="K1055" s="251"/>
      <c r="L1055" s="251"/>
      <c r="M1055" s="251"/>
      <c r="N1055" s="251"/>
      <c r="O1055" s="251"/>
      <c r="P1055" s="251"/>
      <c r="Q1055" s="251"/>
      <c r="R1055" s="251"/>
      <c r="S1055" s="251"/>
      <c r="T1055" s="251"/>
      <c r="U1055" s="251"/>
      <c r="V1055" s="251"/>
      <c r="W1055" s="251"/>
      <c r="X1055" s="251"/>
      <c r="Y1055" s="251"/>
      <c r="Z1055" s="251"/>
      <c r="AA1055" s="251"/>
      <c r="AB1055" s="251"/>
    </row>
    <row r="1056" ht="14.25" customHeight="1">
      <c r="A1056" s="251"/>
      <c r="B1056" s="263"/>
      <c r="C1056" s="275"/>
      <c r="D1056" s="98"/>
      <c r="E1056" s="240"/>
      <c r="F1056" s="240"/>
      <c r="G1056" s="240"/>
      <c r="H1056" s="240"/>
      <c r="I1056" s="276"/>
      <c r="J1056" s="251"/>
      <c r="K1056" s="251"/>
      <c r="L1056" s="251"/>
      <c r="M1056" s="251"/>
      <c r="N1056" s="251"/>
      <c r="O1056" s="251"/>
      <c r="P1056" s="251"/>
      <c r="Q1056" s="251"/>
      <c r="R1056" s="251"/>
      <c r="S1056" s="251"/>
      <c r="T1056" s="251"/>
      <c r="U1056" s="251"/>
      <c r="V1056" s="251"/>
      <c r="W1056" s="251"/>
      <c r="X1056" s="251"/>
      <c r="Y1056" s="251"/>
      <c r="Z1056" s="251"/>
      <c r="AA1056" s="251"/>
      <c r="AB1056" s="251"/>
    </row>
    <row r="1057" ht="14.25" customHeight="1">
      <c r="A1057" s="251"/>
      <c r="B1057" s="263"/>
      <c r="C1057" s="275"/>
      <c r="D1057" s="98"/>
      <c r="E1057" s="240"/>
      <c r="F1057" s="240"/>
      <c r="G1057" s="240"/>
      <c r="H1057" s="240"/>
      <c r="I1057" s="276"/>
      <c r="J1057" s="251"/>
      <c r="K1057" s="251"/>
      <c r="L1057" s="251"/>
      <c r="M1057" s="251"/>
      <c r="N1057" s="251"/>
      <c r="O1057" s="251"/>
      <c r="P1057" s="251"/>
      <c r="Q1057" s="251"/>
      <c r="R1057" s="251"/>
      <c r="S1057" s="251"/>
      <c r="T1057" s="251"/>
      <c r="U1057" s="251"/>
      <c r="V1057" s="251"/>
      <c r="W1057" s="251"/>
      <c r="X1057" s="251"/>
      <c r="Y1057" s="251"/>
      <c r="Z1057" s="251"/>
      <c r="AA1057" s="251"/>
      <c r="AB1057" s="251"/>
    </row>
    <row r="1058" ht="14.25" customHeight="1">
      <c r="A1058" s="251"/>
      <c r="B1058" s="263"/>
      <c r="C1058" s="275"/>
      <c r="D1058" s="98"/>
      <c r="E1058" s="240"/>
      <c r="F1058" s="240"/>
      <c r="G1058" s="240"/>
      <c r="H1058" s="240"/>
      <c r="I1058" s="276"/>
      <c r="J1058" s="251"/>
      <c r="K1058" s="251"/>
      <c r="L1058" s="251"/>
      <c r="M1058" s="251"/>
      <c r="N1058" s="251"/>
      <c r="O1058" s="251"/>
      <c r="P1058" s="251"/>
      <c r="Q1058" s="251"/>
      <c r="R1058" s="251"/>
      <c r="S1058" s="251"/>
      <c r="T1058" s="251"/>
      <c r="U1058" s="251"/>
      <c r="V1058" s="251"/>
      <c r="W1058" s="251"/>
      <c r="X1058" s="251"/>
      <c r="Y1058" s="251"/>
      <c r="Z1058" s="251"/>
      <c r="AA1058" s="251"/>
      <c r="AB1058" s="251"/>
    </row>
    <row r="1059" ht="14.25" customHeight="1">
      <c r="A1059" s="251"/>
      <c r="B1059" s="263"/>
      <c r="C1059" s="275"/>
      <c r="D1059" s="98"/>
      <c r="E1059" s="240"/>
      <c r="F1059" s="240"/>
      <c r="G1059" s="240"/>
      <c r="H1059" s="240"/>
      <c r="I1059" s="276"/>
      <c r="J1059" s="251"/>
      <c r="K1059" s="251"/>
      <c r="L1059" s="251"/>
      <c r="M1059" s="251"/>
      <c r="N1059" s="251"/>
      <c r="O1059" s="251"/>
      <c r="P1059" s="251"/>
      <c r="Q1059" s="251"/>
      <c r="R1059" s="251"/>
      <c r="S1059" s="251"/>
      <c r="T1059" s="251"/>
      <c r="U1059" s="251"/>
      <c r="V1059" s="251"/>
      <c r="W1059" s="251"/>
      <c r="X1059" s="251"/>
      <c r="Y1059" s="251"/>
      <c r="Z1059" s="251"/>
      <c r="AA1059" s="251"/>
      <c r="AB1059" s="251"/>
    </row>
    <row r="1060" ht="14.25" customHeight="1">
      <c r="A1060" s="251"/>
      <c r="B1060" s="263"/>
      <c r="C1060" s="275"/>
      <c r="D1060" s="98"/>
      <c r="E1060" s="240"/>
      <c r="F1060" s="240"/>
      <c r="G1060" s="240"/>
      <c r="H1060" s="240"/>
      <c r="I1060" s="276"/>
      <c r="J1060" s="251"/>
      <c r="K1060" s="251"/>
      <c r="L1060" s="251"/>
      <c r="M1060" s="251"/>
      <c r="N1060" s="251"/>
      <c r="O1060" s="251"/>
      <c r="P1060" s="251"/>
      <c r="Q1060" s="251"/>
      <c r="R1060" s="251"/>
      <c r="S1060" s="251"/>
      <c r="T1060" s="251"/>
      <c r="U1060" s="251"/>
      <c r="V1060" s="251"/>
      <c r="W1060" s="251"/>
      <c r="X1060" s="251"/>
      <c r="Y1060" s="251"/>
      <c r="Z1060" s="251"/>
      <c r="AA1060" s="251"/>
      <c r="AB1060" s="251"/>
    </row>
    <row r="1061" ht="14.25" customHeight="1">
      <c r="A1061" s="251"/>
      <c r="B1061" s="263"/>
      <c r="C1061" s="275"/>
      <c r="D1061" s="98"/>
      <c r="E1061" s="240"/>
      <c r="F1061" s="240"/>
      <c r="G1061" s="240"/>
      <c r="H1061" s="240"/>
      <c r="I1061" s="276"/>
      <c r="J1061" s="251"/>
      <c r="K1061" s="251"/>
      <c r="L1061" s="251"/>
      <c r="M1061" s="251"/>
      <c r="N1061" s="251"/>
      <c r="O1061" s="251"/>
      <c r="P1061" s="251"/>
      <c r="Q1061" s="251"/>
      <c r="R1061" s="251"/>
      <c r="S1061" s="251"/>
      <c r="T1061" s="251"/>
      <c r="U1061" s="251"/>
      <c r="V1061" s="251"/>
      <c r="W1061" s="251"/>
      <c r="X1061" s="251"/>
      <c r="Y1061" s="251"/>
      <c r="Z1061" s="251"/>
      <c r="AA1061" s="251"/>
      <c r="AB1061" s="251"/>
    </row>
    <row r="1062" ht="14.25" customHeight="1">
      <c r="A1062" s="251"/>
      <c r="B1062" s="263"/>
      <c r="C1062" s="275"/>
      <c r="D1062" s="98"/>
      <c r="E1062" s="240"/>
      <c r="F1062" s="240"/>
      <c r="G1062" s="240"/>
      <c r="H1062" s="240"/>
      <c r="I1062" s="276"/>
      <c r="J1062" s="251"/>
      <c r="K1062" s="251"/>
      <c r="L1062" s="251"/>
      <c r="M1062" s="251"/>
      <c r="N1062" s="251"/>
      <c r="O1062" s="251"/>
      <c r="P1062" s="251"/>
      <c r="Q1062" s="251"/>
      <c r="R1062" s="251"/>
      <c r="S1062" s="251"/>
      <c r="T1062" s="251"/>
      <c r="U1062" s="251"/>
      <c r="V1062" s="251"/>
      <c r="W1062" s="251"/>
      <c r="X1062" s="251"/>
      <c r="Y1062" s="251"/>
      <c r="Z1062" s="251"/>
      <c r="AA1062" s="251"/>
      <c r="AB1062" s="251"/>
    </row>
    <row r="1063" ht="14.25" customHeight="1">
      <c r="A1063" s="251"/>
      <c r="B1063" s="263"/>
      <c r="C1063" s="275"/>
      <c r="D1063" s="98"/>
      <c r="E1063" s="240"/>
      <c r="F1063" s="240"/>
      <c r="G1063" s="240"/>
      <c r="H1063" s="240"/>
      <c r="I1063" s="276"/>
      <c r="J1063" s="251"/>
      <c r="K1063" s="251"/>
      <c r="L1063" s="251"/>
      <c r="M1063" s="251"/>
      <c r="N1063" s="251"/>
      <c r="O1063" s="251"/>
      <c r="P1063" s="251"/>
      <c r="Q1063" s="251"/>
      <c r="R1063" s="251"/>
      <c r="S1063" s="251"/>
      <c r="T1063" s="251"/>
      <c r="U1063" s="251"/>
      <c r="V1063" s="251"/>
      <c r="W1063" s="251"/>
      <c r="X1063" s="251"/>
      <c r="Y1063" s="251"/>
      <c r="Z1063" s="251"/>
      <c r="AA1063" s="251"/>
      <c r="AB1063" s="251"/>
    </row>
    <row r="1064" ht="14.25" customHeight="1">
      <c r="A1064" s="251"/>
      <c r="B1064" s="263"/>
      <c r="C1064" s="275"/>
      <c r="D1064" s="98"/>
      <c r="E1064" s="240"/>
      <c r="F1064" s="240"/>
      <c r="G1064" s="240"/>
      <c r="H1064" s="240"/>
      <c r="I1064" s="276"/>
      <c r="J1064" s="251"/>
      <c r="K1064" s="251"/>
      <c r="L1064" s="251"/>
      <c r="M1064" s="251"/>
      <c r="N1064" s="251"/>
      <c r="O1064" s="251"/>
      <c r="P1064" s="251"/>
      <c r="Q1064" s="251"/>
      <c r="R1064" s="251"/>
      <c r="S1064" s="251"/>
      <c r="T1064" s="251"/>
      <c r="U1064" s="251"/>
      <c r="V1064" s="251"/>
      <c r="W1064" s="251"/>
      <c r="X1064" s="251"/>
      <c r="Y1064" s="251"/>
      <c r="Z1064" s="251"/>
      <c r="AA1064" s="251"/>
      <c r="AB1064" s="251"/>
    </row>
    <row r="1065" ht="14.25" customHeight="1">
      <c r="A1065" s="251"/>
      <c r="B1065" s="263"/>
      <c r="C1065" s="275"/>
      <c r="D1065" s="98"/>
      <c r="E1065" s="240"/>
      <c r="F1065" s="240"/>
      <c r="G1065" s="240"/>
      <c r="H1065" s="240"/>
      <c r="I1065" s="276"/>
      <c r="J1065" s="251"/>
      <c r="K1065" s="251"/>
      <c r="L1065" s="251"/>
      <c r="M1065" s="251"/>
      <c r="N1065" s="251"/>
      <c r="O1065" s="251"/>
      <c r="P1065" s="251"/>
      <c r="Q1065" s="251"/>
      <c r="R1065" s="251"/>
      <c r="S1065" s="251"/>
      <c r="T1065" s="251"/>
      <c r="U1065" s="251"/>
      <c r="V1065" s="251"/>
      <c r="W1065" s="251"/>
      <c r="X1065" s="251"/>
      <c r="Y1065" s="251"/>
      <c r="Z1065" s="251"/>
      <c r="AA1065" s="251"/>
      <c r="AB1065" s="251"/>
    </row>
    <row r="1066" ht="14.25" customHeight="1">
      <c r="A1066" s="251"/>
      <c r="B1066" s="263"/>
      <c r="C1066" s="275"/>
      <c r="D1066" s="98"/>
      <c r="E1066" s="240"/>
      <c r="F1066" s="240"/>
      <c r="G1066" s="240"/>
      <c r="H1066" s="240"/>
      <c r="I1066" s="276"/>
      <c r="J1066" s="251"/>
      <c r="K1066" s="251"/>
      <c r="L1066" s="251"/>
      <c r="M1066" s="251"/>
      <c r="N1066" s="251"/>
      <c r="O1066" s="251"/>
      <c r="P1066" s="251"/>
      <c r="Q1066" s="251"/>
      <c r="R1066" s="251"/>
      <c r="S1066" s="251"/>
      <c r="T1066" s="251"/>
      <c r="U1066" s="251"/>
      <c r="V1066" s="251"/>
      <c r="W1066" s="251"/>
      <c r="X1066" s="251"/>
      <c r="Y1066" s="251"/>
      <c r="Z1066" s="251"/>
      <c r="AA1066" s="251"/>
      <c r="AB1066" s="251"/>
    </row>
    <row r="1067" ht="14.25" customHeight="1">
      <c r="A1067" s="251"/>
      <c r="B1067" s="263"/>
      <c r="C1067" s="275"/>
      <c r="D1067" s="98"/>
      <c r="E1067" s="240"/>
      <c r="F1067" s="240"/>
      <c r="G1067" s="240"/>
      <c r="H1067" s="240"/>
      <c r="I1067" s="276"/>
      <c r="J1067" s="251"/>
      <c r="K1067" s="251"/>
      <c r="L1067" s="251"/>
      <c r="M1067" s="251"/>
      <c r="N1067" s="251"/>
      <c r="O1067" s="251"/>
      <c r="P1067" s="251"/>
      <c r="Q1067" s="251"/>
      <c r="R1067" s="251"/>
      <c r="S1067" s="251"/>
      <c r="T1067" s="251"/>
      <c r="U1067" s="251"/>
      <c r="V1067" s="251"/>
      <c r="W1067" s="251"/>
      <c r="X1067" s="251"/>
      <c r="Y1067" s="251"/>
      <c r="Z1067" s="251"/>
      <c r="AA1067" s="251"/>
      <c r="AB1067" s="251"/>
    </row>
    <row r="1068" ht="14.25" customHeight="1">
      <c r="A1068" s="251"/>
      <c r="B1068" s="263"/>
      <c r="C1068" s="275"/>
      <c r="D1068" s="98"/>
      <c r="E1068" s="240"/>
      <c r="F1068" s="240"/>
      <c r="G1068" s="240"/>
      <c r="H1068" s="240"/>
      <c r="I1068" s="276"/>
      <c r="J1068" s="251"/>
      <c r="K1068" s="251"/>
      <c r="L1068" s="251"/>
      <c r="M1068" s="251"/>
      <c r="N1068" s="251"/>
      <c r="O1068" s="251"/>
      <c r="P1068" s="251"/>
      <c r="Q1068" s="251"/>
      <c r="R1068" s="251"/>
      <c r="S1068" s="251"/>
      <c r="T1068" s="251"/>
      <c r="U1068" s="251"/>
      <c r="V1068" s="251"/>
      <c r="W1068" s="251"/>
      <c r="X1068" s="251"/>
      <c r="Y1068" s="251"/>
      <c r="Z1068" s="251"/>
      <c r="AA1068" s="251"/>
      <c r="AB1068" s="251"/>
    </row>
    <row r="1069" ht="14.25" customHeight="1">
      <c r="A1069" s="251"/>
      <c r="B1069" s="263"/>
      <c r="C1069" s="275"/>
      <c r="D1069" s="98"/>
      <c r="E1069" s="240"/>
      <c r="F1069" s="240"/>
      <c r="G1069" s="240"/>
      <c r="H1069" s="240"/>
      <c r="I1069" s="276"/>
      <c r="J1069" s="251"/>
      <c r="K1069" s="251"/>
      <c r="L1069" s="251"/>
      <c r="M1069" s="251"/>
      <c r="N1069" s="251"/>
      <c r="O1069" s="251"/>
      <c r="P1069" s="251"/>
      <c r="Q1069" s="251"/>
      <c r="R1069" s="251"/>
      <c r="S1069" s="251"/>
      <c r="T1069" s="251"/>
      <c r="U1069" s="251"/>
      <c r="V1069" s="251"/>
      <c r="W1069" s="251"/>
      <c r="X1069" s="251"/>
      <c r="Y1069" s="251"/>
      <c r="Z1069" s="251"/>
      <c r="AA1069" s="251"/>
      <c r="AB1069" s="251"/>
    </row>
    <row r="1070" ht="14.25" customHeight="1">
      <c r="A1070" s="251"/>
      <c r="B1070" s="263"/>
      <c r="C1070" s="275"/>
      <c r="D1070" s="98"/>
      <c r="E1070" s="240"/>
      <c r="F1070" s="240"/>
      <c r="G1070" s="240"/>
      <c r="H1070" s="240"/>
      <c r="I1070" s="276"/>
      <c r="J1070" s="251"/>
      <c r="K1070" s="251"/>
      <c r="L1070" s="251"/>
      <c r="M1070" s="251"/>
      <c r="N1070" s="251"/>
      <c r="O1070" s="251"/>
      <c r="P1070" s="251"/>
      <c r="Q1070" s="251"/>
      <c r="R1070" s="251"/>
      <c r="S1070" s="251"/>
      <c r="T1070" s="251"/>
      <c r="U1070" s="251"/>
      <c r="V1070" s="251"/>
      <c r="W1070" s="251"/>
      <c r="X1070" s="251"/>
      <c r="Y1070" s="251"/>
      <c r="Z1070" s="251"/>
      <c r="AA1070" s="251"/>
      <c r="AB1070" s="251"/>
    </row>
    <row r="1071" ht="14.25" customHeight="1">
      <c r="A1071" s="251"/>
      <c r="B1071" s="263"/>
      <c r="C1071" s="275"/>
      <c r="D1071" s="98"/>
      <c r="E1071" s="240"/>
      <c r="F1071" s="240"/>
      <c r="G1071" s="240"/>
      <c r="H1071" s="240"/>
      <c r="I1071" s="276"/>
      <c r="J1071" s="251"/>
      <c r="K1071" s="251"/>
      <c r="L1071" s="251"/>
      <c r="M1071" s="251"/>
      <c r="N1071" s="251"/>
      <c r="O1071" s="251"/>
      <c r="P1071" s="251"/>
      <c r="Q1071" s="251"/>
      <c r="R1071" s="251"/>
      <c r="S1071" s="251"/>
      <c r="T1071" s="251"/>
      <c r="U1071" s="251"/>
      <c r="V1071" s="251"/>
      <c r="W1071" s="251"/>
      <c r="X1071" s="251"/>
      <c r="Y1071" s="251"/>
      <c r="Z1071" s="251"/>
      <c r="AA1071" s="251"/>
      <c r="AB1071" s="251"/>
    </row>
    <row r="1072" ht="14.25" customHeight="1">
      <c r="A1072" s="251"/>
      <c r="B1072" s="263"/>
      <c r="C1072" s="275"/>
      <c r="D1072" s="98"/>
      <c r="E1072" s="240"/>
      <c r="F1072" s="240"/>
      <c r="G1072" s="240"/>
      <c r="H1072" s="240"/>
      <c r="I1072" s="276"/>
      <c r="J1072" s="251"/>
      <c r="K1072" s="251"/>
      <c r="L1072" s="251"/>
      <c r="M1072" s="251"/>
      <c r="N1072" s="251"/>
      <c r="O1072" s="251"/>
      <c r="P1072" s="251"/>
      <c r="Q1072" s="251"/>
      <c r="R1072" s="251"/>
      <c r="S1072" s="251"/>
      <c r="T1072" s="251"/>
      <c r="U1072" s="251"/>
      <c r="V1072" s="251"/>
      <c r="W1072" s="251"/>
      <c r="X1072" s="251"/>
      <c r="Y1072" s="251"/>
      <c r="Z1072" s="251"/>
      <c r="AA1072" s="251"/>
      <c r="AB1072" s="251"/>
    </row>
    <row r="1073" ht="14.25" customHeight="1">
      <c r="A1073" s="251"/>
      <c r="B1073" s="263"/>
      <c r="C1073" s="275"/>
      <c r="D1073" s="98"/>
      <c r="E1073" s="240"/>
      <c r="F1073" s="240"/>
      <c r="G1073" s="240"/>
      <c r="H1073" s="240"/>
      <c r="I1073" s="276"/>
      <c r="J1073" s="251"/>
      <c r="K1073" s="251"/>
      <c r="L1073" s="251"/>
      <c r="M1073" s="251"/>
      <c r="N1073" s="251"/>
      <c r="O1073" s="251"/>
      <c r="P1073" s="251"/>
      <c r="Q1073" s="251"/>
      <c r="R1073" s="251"/>
      <c r="S1073" s="251"/>
      <c r="T1073" s="251"/>
      <c r="U1073" s="251"/>
      <c r="V1073" s="251"/>
      <c r="W1073" s="251"/>
      <c r="X1073" s="251"/>
      <c r="Y1073" s="251"/>
      <c r="Z1073" s="251"/>
      <c r="AA1073" s="251"/>
      <c r="AB1073" s="251"/>
    </row>
    <row r="1074" ht="14.25" customHeight="1">
      <c r="A1074" s="251"/>
      <c r="B1074" s="263"/>
      <c r="C1074" s="275"/>
      <c r="D1074" s="98"/>
      <c r="E1074" s="240"/>
      <c r="F1074" s="240"/>
      <c r="G1074" s="240"/>
      <c r="H1074" s="240"/>
      <c r="I1074" s="276"/>
      <c r="J1074" s="251"/>
      <c r="K1074" s="251"/>
      <c r="L1074" s="251"/>
      <c r="M1074" s="251"/>
      <c r="N1074" s="251"/>
      <c r="O1074" s="251"/>
      <c r="P1074" s="251"/>
      <c r="Q1074" s="251"/>
      <c r="R1074" s="251"/>
      <c r="S1074" s="251"/>
      <c r="T1074" s="251"/>
      <c r="U1074" s="251"/>
      <c r="V1074" s="251"/>
      <c r="W1074" s="251"/>
      <c r="X1074" s="251"/>
      <c r="Y1074" s="251"/>
      <c r="Z1074" s="251"/>
      <c r="AA1074" s="251"/>
      <c r="AB1074" s="251"/>
    </row>
    <row r="1075" ht="14.25" customHeight="1">
      <c r="A1075" s="251"/>
      <c r="B1075" s="263"/>
      <c r="C1075" s="275"/>
      <c r="D1075" s="98"/>
      <c r="E1075" s="240"/>
      <c r="F1075" s="240"/>
      <c r="G1075" s="240"/>
      <c r="H1075" s="240"/>
      <c r="I1075" s="276"/>
      <c r="J1075" s="251"/>
      <c r="K1075" s="251"/>
      <c r="L1075" s="251"/>
      <c r="M1075" s="251"/>
      <c r="N1075" s="251"/>
      <c r="O1075" s="251"/>
      <c r="P1075" s="251"/>
      <c r="Q1075" s="251"/>
      <c r="R1075" s="251"/>
      <c r="S1075" s="251"/>
      <c r="T1075" s="251"/>
      <c r="U1075" s="251"/>
      <c r="V1075" s="251"/>
      <c r="W1075" s="251"/>
      <c r="X1075" s="251"/>
      <c r="Y1075" s="251"/>
      <c r="Z1075" s="251"/>
      <c r="AA1075" s="251"/>
      <c r="AB1075" s="251"/>
    </row>
    <row r="1076" ht="14.25" customHeight="1">
      <c r="A1076" s="251"/>
      <c r="B1076" s="263"/>
      <c r="C1076" s="275"/>
      <c r="D1076" s="98"/>
      <c r="E1076" s="240"/>
      <c r="F1076" s="240"/>
      <c r="G1076" s="240"/>
      <c r="H1076" s="240"/>
      <c r="I1076" s="276"/>
      <c r="J1076" s="251"/>
      <c r="K1076" s="251"/>
      <c r="L1076" s="251"/>
      <c r="M1076" s="251"/>
      <c r="N1076" s="251"/>
      <c r="O1076" s="251"/>
      <c r="P1076" s="251"/>
      <c r="Q1076" s="251"/>
      <c r="R1076" s="251"/>
      <c r="S1076" s="251"/>
      <c r="T1076" s="251"/>
      <c r="U1076" s="251"/>
      <c r="V1076" s="251"/>
      <c r="W1076" s="251"/>
      <c r="X1076" s="251"/>
      <c r="Y1076" s="251"/>
      <c r="Z1076" s="251"/>
      <c r="AA1076" s="251"/>
      <c r="AB1076" s="251"/>
    </row>
    <row r="1077" ht="14.25" customHeight="1">
      <c r="A1077" s="251"/>
      <c r="B1077" s="263"/>
      <c r="C1077" s="275"/>
      <c r="D1077" s="98"/>
      <c r="E1077" s="240"/>
      <c r="F1077" s="240"/>
      <c r="G1077" s="240"/>
      <c r="H1077" s="240"/>
      <c r="I1077" s="276"/>
      <c r="J1077" s="251"/>
      <c r="K1077" s="251"/>
      <c r="L1077" s="251"/>
      <c r="M1077" s="251"/>
      <c r="N1077" s="251"/>
      <c r="O1077" s="251"/>
      <c r="P1077" s="251"/>
      <c r="Q1077" s="251"/>
      <c r="R1077" s="251"/>
      <c r="S1077" s="251"/>
      <c r="T1077" s="251"/>
      <c r="U1077" s="251"/>
      <c r="V1077" s="251"/>
      <c r="W1077" s="251"/>
      <c r="X1077" s="251"/>
      <c r="Y1077" s="251"/>
      <c r="Z1077" s="251"/>
      <c r="AA1077" s="251"/>
      <c r="AB1077" s="251"/>
    </row>
    <row r="1078" ht="14.25" customHeight="1">
      <c r="A1078" s="251"/>
      <c r="B1078" s="263"/>
      <c r="C1078" s="275"/>
      <c r="D1078" s="98"/>
      <c r="E1078" s="240"/>
      <c r="F1078" s="240"/>
      <c r="G1078" s="240"/>
      <c r="H1078" s="240"/>
      <c r="I1078" s="276"/>
      <c r="J1078" s="251"/>
      <c r="K1078" s="251"/>
      <c r="L1078" s="251"/>
      <c r="M1078" s="251"/>
      <c r="N1078" s="251"/>
      <c r="O1078" s="251"/>
      <c r="P1078" s="251"/>
      <c r="Q1078" s="251"/>
      <c r="R1078" s="251"/>
      <c r="S1078" s="251"/>
      <c r="T1078" s="251"/>
      <c r="U1078" s="251"/>
      <c r="V1078" s="251"/>
      <c r="W1078" s="251"/>
      <c r="X1078" s="251"/>
      <c r="Y1078" s="251"/>
      <c r="Z1078" s="251"/>
      <c r="AA1078" s="251"/>
      <c r="AB1078" s="251"/>
    </row>
    <row r="1079" ht="14.25" customHeight="1">
      <c r="A1079" s="251"/>
      <c r="B1079" s="263"/>
      <c r="C1079" s="275"/>
      <c r="D1079" s="98"/>
      <c r="E1079" s="240"/>
      <c r="F1079" s="240"/>
      <c r="G1079" s="240"/>
      <c r="H1079" s="240"/>
      <c r="I1079" s="276"/>
      <c r="J1079" s="251"/>
      <c r="K1079" s="251"/>
      <c r="L1079" s="251"/>
      <c r="M1079" s="251"/>
      <c r="N1079" s="251"/>
      <c r="O1079" s="251"/>
      <c r="P1079" s="251"/>
      <c r="Q1079" s="251"/>
      <c r="R1079" s="251"/>
      <c r="S1079" s="251"/>
      <c r="T1079" s="251"/>
      <c r="U1079" s="251"/>
      <c r="V1079" s="251"/>
      <c r="W1079" s="251"/>
      <c r="X1079" s="251"/>
      <c r="Y1079" s="251"/>
      <c r="Z1079" s="251"/>
      <c r="AA1079" s="251"/>
      <c r="AB1079" s="251"/>
    </row>
    <row r="1080" ht="14.25" customHeight="1">
      <c r="A1080" s="251"/>
      <c r="B1080" s="263"/>
      <c r="C1080" s="275"/>
      <c r="D1080" s="98"/>
      <c r="E1080" s="240"/>
      <c r="F1080" s="240"/>
      <c r="G1080" s="240"/>
      <c r="H1080" s="240"/>
      <c r="I1080" s="276"/>
      <c r="J1080" s="251"/>
      <c r="K1080" s="251"/>
      <c r="L1080" s="251"/>
      <c r="M1080" s="251"/>
      <c r="N1080" s="251"/>
      <c r="O1080" s="251"/>
      <c r="P1080" s="251"/>
      <c r="Q1080" s="251"/>
      <c r="R1080" s="251"/>
      <c r="S1080" s="251"/>
      <c r="T1080" s="251"/>
      <c r="U1080" s="251"/>
      <c r="V1080" s="251"/>
      <c r="W1080" s="251"/>
      <c r="X1080" s="251"/>
      <c r="Y1080" s="251"/>
      <c r="Z1080" s="251"/>
      <c r="AA1080" s="251"/>
      <c r="AB1080" s="251"/>
    </row>
    <row r="1081" ht="14.25" customHeight="1">
      <c r="A1081" s="251"/>
      <c r="B1081" s="263"/>
      <c r="C1081" s="275"/>
      <c r="D1081" s="98"/>
      <c r="E1081" s="240"/>
      <c r="F1081" s="240"/>
      <c r="G1081" s="240"/>
      <c r="H1081" s="240"/>
      <c r="I1081" s="276"/>
      <c r="J1081" s="251"/>
      <c r="K1081" s="251"/>
      <c r="L1081" s="251"/>
      <c r="M1081" s="251"/>
      <c r="N1081" s="251"/>
      <c r="O1081" s="251"/>
      <c r="P1081" s="251"/>
      <c r="Q1081" s="251"/>
      <c r="R1081" s="251"/>
      <c r="S1081" s="251"/>
      <c r="T1081" s="251"/>
      <c r="U1081" s="251"/>
      <c r="V1081" s="251"/>
      <c r="W1081" s="251"/>
      <c r="X1081" s="251"/>
      <c r="Y1081" s="251"/>
      <c r="Z1081" s="251"/>
      <c r="AA1081" s="251"/>
      <c r="AB1081" s="251"/>
    </row>
    <row r="1082" ht="14.25" customHeight="1">
      <c r="A1082" s="251"/>
      <c r="B1082" s="263"/>
      <c r="C1082" s="275"/>
      <c r="D1082" s="98"/>
      <c r="E1082" s="240"/>
      <c r="F1082" s="240"/>
      <c r="G1082" s="240"/>
      <c r="H1082" s="240"/>
      <c r="I1082" s="276"/>
      <c r="J1082" s="251"/>
      <c r="K1082" s="251"/>
      <c r="L1082" s="251"/>
      <c r="M1082" s="251"/>
      <c r="N1082" s="251"/>
      <c r="O1082" s="251"/>
      <c r="P1082" s="251"/>
      <c r="Q1082" s="251"/>
      <c r="R1082" s="251"/>
      <c r="S1082" s="251"/>
      <c r="T1082" s="251"/>
      <c r="U1082" s="251"/>
      <c r="V1082" s="251"/>
      <c r="W1082" s="251"/>
      <c r="X1082" s="251"/>
      <c r="Y1082" s="251"/>
      <c r="Z1082" s="251"/>
      <c r="AA1082" s="251"/>
      <c r="AB1082" s="251"/>
    </row>
    <row r="1083" ht="14.25" customHeight="1">
      <c r="A1083" s="251"/>
      <c r="B1083" s="263"/>
      <c r="C1083" s="275"/>
      <c r="D1083" s="98"/>
      <c r="E1083" s="240"/>
      <c r="F1083" s="240"/>
      <c r="G1083" s="240"/>
      <c r="H1083" s="240"/>
      <c r="I1083" s="276"/>
      <c r="J1083" s="251"/>
      <c r="K1083" s="251"/>
      <c r="L1083" s="251"/>
      <c r="M1083" s="251"/>
      <c r="N1083" s="251"/>
      <c r="O1083" s="251"/>
      <c r="P1083" s="251"/>
      <c r="Q1083" s="251"/>
      <c r="R1083" s="251"/>
      <c r="S1083" s="251"/>
      <c r="T1083" s="251"/>
      <c r="U1083" s="251"/>
      <c r="V1083" s="251"/>
      <c r="W1083" s="251"/>
      <c r="X1083" s="251"/>
      <c r="Y1083" s="251"/>
      <c r="Z1083" s="251"/>
      <c r="AA1083" s="251"/>
      <c r="AB1083" s="251"/>
    </row>
    <row r="1084" ht="14.25" customHeight="1">
      <c r="A1084" s="251"/>
      <c r="B1084" s="263"/>
      <c r="C1084" s="275"/>
      <c r="D1084" s="98"/>
      <c r="E1084" s="240"/>
      <c r="F1084" s="240"/>
      <c r="G1084" s="240"/>
      <c r="H1084" s="240"/>
      <c r="I1084" s="276"/>
      <c r="J1084" s="251"/>
      <c r="K1084" s="251"/>
      <c r="L1084" s="251"/>
      <c r="M1084" s="251"/>
      <c r="N1084" s="251"/>
      <c r="O1084" s="251"/>
      <c r="P1084" s="251"/>
      <c r="Q1084" s="251"/>
      <c r="R1084" s="251"/>
      <c r="S1084" s="251"/>
      <c r="T1084" s="251"/>
      <c r="U1084" s="251"/>
      <c r="V1084" s="251"/>
      <c r="W1084" s="251"/>
      <c r="X1084" s="251"/>
      <c r="Y1084" s="251"/>
      <c r="Z1084" s="251"/>
      <c r="AA1084" s="251"/>
      <c r="AB1084" s="251"/>
    </row>
    <row r="1085" ht="14.25" customHeight="1">
      <c r="A1085" s="251"/>
      <c r="B1085" s="263"/>
      <c r="C1085" s="275"/>
      <c r="D1085" s="98"/>
      <c r="E1085" s="240"/>
      <c r="F1085" s="240"/>
      <c r="G1085" s="240"/>
      <c r="H1085" s="240"/>
      <c r="I1085" s="276"/>
      <c r="J1085" s="251"/>
      <c r="K1085" s="251"/>
      <c r="L1085" s="251"/>
      <c r="M1085" s="251"/>
      <c r="N1085" s="251"/>
      <c r="O1085" s="251"/>
      <c r="P1085" s="251"/>
      <c r="Q1085" s="251"/>
      <c r="R1085" s="251"/>
      <c r="S1085" s="251"/>
      <c r="T1085" s="251"/>
      <c r="U1085" s="251"/>
      <c r="V1085" s="251"/>
      <c r="W1085" s="251"/>
      <c r="X1085" s="251"/>
      <c r="Y1085" s="251"/>
      <c r="Z1085" s="251"/>
      <c r="AA1085" s="251"/>
      <c r="AB1085" s="251"/>
    </row>
    <row r="1086" ht="14.25" customHeight="1">
      <c r="A1086" s="251"/>
      <c r="B1086" s="263"/>
      <c r="C1086" s="275"/>
      <c r="D1086" s="98"/>
      <c r="E1086" s="240"/>
      <c r="F1086" s="240"/>
      <c r="G1086" s="240"/>
      <c r="H1086" s="240"/>
      <c r="I1086" s="276"/>
      <c r="J1086" s="251"/>
      <c r="K1086" s="251"/>
      <c r="L1086" s="251"/>
      <c r="M1086" s="251"/>
      <c r="N1086" s="251"/>
      <c r="O1086" s="251"/>
      <c r="P1086" s="251"/>
      <c r="Q1086" s="251"/>
      <c r="R1086" s="251"/>
      <c r="S1086" s="251"/>
      <c r="T1086" s="251"/>
      <c r="U1086" s="251"/>
      <c r="V1086" s="251"/>
      <c r="W1086" s="251"/>
      <c r="X1086" s="251"/>
      <c r="Y1086" s="251"/>
      <c r="Z1086" s="251"/>
      <c r="AA1086" s="251"/>
      <c r="AB1086" s="251"/>
    </row>
    <row r="1087" ht="14.25" customHeight="1">
      <c r="A1087" s="251"/>
      <c r="B1087" s="263"/>
      <c r="C1087" s="275"/>
      <c r="D1087" s="98"/>
      <c r="E1087" s="240"/>
      <c r="F1087" s="240"/>
      <c r="G1087" s="240"/>
      <c r="H1087" s="240"/>
      <c r="I1087" s="276"/>
      <c r="J1087" s="251"/>
      <c r="K1087" s="251"/>
      <c r="L1087" s="251"/>
      <c r="M1087" s="251"/>
      <c r="N1087" s="251"/>
      <c r="O1087" s="251"/>
      <c r="P1087" s="251"/>
      <c r="Q1087" s="251"/>
      <c r="R1087" s="251"/>
      <c r="S1087" s="251"/>
      <c r="T1087" s="251"/>
      <c r="U1087" s="251"/>
      <c r="V1087" s="251"/>
      <c r="W1087" s="251"/>
      <c r="X1087" s="251"/>
      <c r="Y1087" s="251"/>
      <c r="Z1087" s="251"/>
      <c r="AA1087" s="251"/>
      <c r="AB1087" s="251"/>
    </row>
    <row r="1088" ht="14.25" customHeight="1">
      <c r="A1088" s="251"/>
      <c r="B1088" s="263"/>
      <c r="C1088" s="275"/>
      <c r="D1088" s="98"/>
      <c r="E1088" s="240"/>
      <c r="F1088" s="240"/>
      <c r="G1088" s="240"/>
      <c r="H1088" s="240"/>
      <c r="I1088" s="276"/>
      <c r="J1088" s="251"/>
      <c r="K1088" s="251"/>
      <c r="L1088" s="251"/>
      <c r="M1088" s="251"/>
      <c r="N1088" s="251"/>
      <c r="O1088" s="251"/>
      <c r="P1088" s="251"/>
      <c r="Q1088" s="251"/>
      <c r="R1088" s="251"/>
      <c r="S1088" s="251"/>
      <c r="T1088" s="251"/>
      <c r="U1088" s="251"/>
      <c r="V1088" s="251"/>
      <c r="W1088" s="251"/>
      <c r="X1088" s="251"/>
      <c r="Y1088" s="251"/>
      <c r="Z1088" s="251"/>
      <c r="AA1088" s="251"/>
      <c r="AB1088" s="251"/>
    </row>
    <row r="1089" ht="14.25" customHeight="1">
      <c r="A1089" s="251"/>
      <c r="B1089" s="263"/>
      <c r="C1089" s="275"/>
      <c r="D1089" s="98"/>
      <c r="E1089" s="240"/>
      <c r="F1089" s="240"/>
      <c r="G1089" s="240"/>
      <c r="H1089" s="240"/>
      <c r="I1089" s="276"/>
      <c r="J1089" s="251"/>
      <c r="K1089" s="251"/>
      <c r="L1089" s="251"/>
      <c r="M1089" s="251"/>
      <c r="N1089" s="251"/>
      <c r="O1089" s="251"/>
      <c r="P1089" s="251"/>
      <c r="Q1089" s="251"/>
      <c r="R1089" s="251"/>
      <c r="S1089" s="251"/>
      <c r="T1089" s="251"/>
      <c r="U1089" s="251"/>
      <c r="V1089" s="251"/>
      <c r="W1089" s="251"/>
      <c r="X1089" s="251"/>
      <c r="Y1089" s="251"/>
      <c r="Z1089" s="251"/>
      <c r="AA1089" s="251"/>
      <c r="AB1089" s="251"/>
    </row>
    <row r="1090" ht="14.25" customHeight="1">
      <c r="A1090" s="251"/>
      <c r="B1090" s="263"/>
      <c r="C1090" s="275"/>
      <c r="D1090" s="98"/>
      <c r="E1090" s="240"/>
      <c r="F1090" s="240"/>
      <c r="G1090" s="240"/>
      <c r="H1090" s="240"/>
      <c r="I1090" s="276"/>
      <c r="J1090" s="251"/>
      <c r="K1090" s="251"/>
      <c r="L1090" s="251"/>
      <c r="M1090" s="251"/>
      <c r="N1090" s="251"/>
      <c r="O1090" s="251"/>
      <c r="P1090" s="251"/>
      <c r="Q1090" s="251"/>
      <c r="R1090" s="251"/>
      <c r="S1090" s="251"/>
      <c r="T1090" s="251"/>
      <c r="U1090" s="251"/>
      <c r="V1090" s="251"/>
      <c r="W1090" s="251"/>
      <c r="X1090" s="251"/>
      <c r="Y1090" s="251"/>
      <c r="Z1090" s="251"/>
      <c r="AA1090" s="251"/>
      <c r="AB1090" s="251"/>
    </row>
    <row r="1091" ht="14.25" customHeight="1">
      <c r="A1091" s="251"/>
      <c r="B1091" s="263"/>
      <c r="C1091" s="275"/>
      <c r="D1091" s="98"/>
      <c r="E1091" s="240"/>
      <c r="F1091" s="240"/>
      <c r="G1091" s="240"/>
      <c r="H1091" s="240"/>
      <c r="I1091" s="276"/>
      <c r="J1091" s="251"/>
      <c r="K1091" s="251"/>
      <c r="L1091" s="251"/>
      <c r="M1091" s="251"/>
      <c r="N1091" s="251"/>
      <c r="O1091" s="251"/>
      <c r="P1091" s="251"/>
      <c r="Q1091" s="251"/>
      <c r="R1091" s="251"/>
      <c r="S1091" s="251"/>
      <c r="T1091" s="251"/>
      <c r="U1091" s="251"/>
      <c r="V1091" s="251"/>
      <c r="W1091" s="251"/>
      <c r="X1091" s="251"/>
      <c r="Y1091" s="251"/>
      <c r="Z1091" s="251"/>
      <c r="AA1091" s="251"/>
      <c r="AB1091" s="251"/>
    </row>
    <row r="1092" ht="14.25" customHeight="1">
      <c r="A1092" s="251"/>
      <c r="B1092" s="263"/>
      <c r="C1092" s="275"/>
      <c r="D1092" s="98"/>
      <c r="E1092" s="240"/>
      <c r="F1092" s="240"/>
      <c r="G1092" s="240"/>
      <c r="H1092" s="240"/>
      <c r="I1092" s="276"/>
      <c r="J1092" s="251"/>
      <c r="K1092" s="251"/>
      <c r="L1092" s="251"/>
      <c r="M1092" s="251"/>
      <c r="N1092" s="251"/>
      <c r="O1092" s="251"/>
      <c r="P1092" s="251"/>
      <c r="Q1092" s="251"/>
      <c r="R1092" s="251"/>
      <c r="S1092" s="251"/>
      <c r="T1092" s="251"/>
      <c r="U1092" s="251"/>
      <c r="V1092" s="251"/>
      <c r="W1092" s="251"/>
      <c r="X1092" s="251"/>
      <c r="Y1092" s="251"/>
      <c r="Z1092" s="251"/>
      <c r="AA1092" s="251"/>
      <c r="AB1092" s="251"/>
    </row>
    <row r="1093" ht="14.25" customHeight="1">
      <c r="A1093" s="251"/>
      <c r="B1093" s="263"/>
      <c r="C1093" s="275"/>
      <c r="D1093" s="98"/>
      <c r="E1093" s="240"/>
      <c r="F1093" s="240"/>
      <c r="G1093" s="240"/>
      <c r="H1093" s="240"/>
      <c r="I1093" s="276"/>
      <c r="J1093" s="251"/>
      <c r="K1093" s="251"/>
      <c r="L1093" s="251"/>
      <c r="M1093" s="251"/>
      <c r="N1093" s="251"/>
      <c r="O1093" s="251"/>
      <c r="P1093" s="251"/>
      <c r="Q1093" s="251"/>
      <c r="R1093" s="251"/>
      <c r="S1093" s="251"/>
      <c r="T1093" s="251"/>
      <c r="U1093" s="251"/>
      <c r="V1093" s="251"/>
      <c r="W1093" s="251"/>
      <c r="X1093" s="251"/>
      <c r="Y1093" s="251"/>
      <c r="Z1093" s="251"/>
      <c r="AA1093" s="251"/>
      <c r="AB1093" s="251"/>
    </row>
    <row r="1094" ht="14.25" customHeight="1">
      <c r="A1094" s="251"/>
      <c r="B1094" s="263"/>
      <c r="C1094" s="275"/>
      <c r="D1094" s="98"/>
      <c r="E1094" s="240"/>
      <c r="F1094" s="240"/>
      <c r="G1094" s="240"/>
      <c r="H1094" s="240"/>
      <c r="I1094" s="276"/>
      <c r="J1094" s="251"/>
      <c r="K1094" s="251"/>
      <c r="L1094" s="251"/>
      <c r="M1094" s="251"/>
      <c r="N1094" s="251"/>
      <c r="O1094" s="251"/>
      <c r="P1094" s="251"/>
      <c r="Q1094" s="251"/>
      <c r="R1094" s="251"/>
      <c r="S1094" s="251"/>
      <c r="T1094" s="251"/>
      <c r="U1094" s="251"/>
      <c r="V1094" s="251"/>
      <c r="W1094" s="251"/>
      <c r="X1094" s="251"/>
      <c r="Y1094" s="251"/>
      <c r="Z1094" s="251"/>
      <c r="AA1094" s="251"/>
      <c r="AB1094" s="251"/>
    </row>
    <row r="1095" ht="14.25" customHeight="1">
      <c r="A1095" s="251"/>
      <c r="B1095" s="263"/>
      <c r="C1095" s="275"/>
      <c r="D1095" s="98"/>
      <c r="E1095" s="240"/>
      <c r="F1095" s="240"/>
      <c r="G1095" s="240"/>
      <c r="H1095" s="240"/>
      <c r="I1095" s="276"/>
      <c r="J1095" s="251"/>
      <c r="K1095" s="251"/>
      <c r="L1095" s="251"/>
      <c r="M1095" s="251"/>
      <c r="N1095" s="251"/>
      <c r="O1095" s="251"/>
      <c r="P1095" s="251"/>
      <c r="Q1095" s="251"/>
      <c r="R1095" s="251"/>
      <c r="S1095" s="251"/>
      <c r="T1095" s="251"/>
      <c r="U1095" s="251"/>
      <c r="V1095" s="251"/>
      <c r="W1095" s="251"/>
      <c r="X1095" s="251"/>
      <c r="Y1095" s="251"/>
      <c r="Z1095" s="251"/>
      <c r="AA1095" s="251"/>
      <c r="AB1095" s="251"/>
    </row>
    <row r="1096" ht="14.25" customHeight="1">
      <c r="A1096" s="251"/>
      <c r="B1096" s="263"/>
      <c r="C1096" s="275"/>
      <c r="D1096" s="98"/>
      <c r="E1096" s="240"/>
      <c r="F1096" s="240"/>
      <c r="G1096" s="240"/>
      <c r="H1096" s="240"/>
      <c r="I1096" s="276"/>
      <c r="J1096" s="251"/>
      <c r="K1096" s="251"/>
      <c r="L1096" s="251"/>
      <c r="M1096" s="251"/>
      <c r="N1096" s="251"/>
      <c r="O1096" s="251"/>
      <c r="P1096" s="251"/>
      <c r="Q1096" s="251"/>
      <c r="R1096" s="251"/>
      <c r="S1096" s="251"/>
      <c r="T1096" s="251"/>
      <c r="U1096" s="251"/>
      <c r="V1096" s="251"/>
      <c r="W1096" s="251"/>
      <c r="X1096" s="251"/>
      <c r="Y1096" s="251"/>
      <c r="Z1096" s="251"/>
      <c r="AA1096" s="251"/>
      <c r="AB1096" s="251"/>
    </row>
    <row r="1097" ht="14.25" customHeight="1">
      <c r="A1097" s="251"/>
      <c r="B1097" s="263"/>
      <c r="C1097" s="275"/>
      <c r="D1097" s="98"/>
      <c r="E1097" s="240"/>
      <c r="F1097" s="240"/>
      <c r="G1097" s="240"/>
      <c r="H1097" s="240"/>
      <c r="I1097" s="276"/>
      <c r="J1097" s="251"/>
      <c r="K1097" s="251"/>
      <c r="L1097" s="251"/>
      <c r="M1097" s="251"/>
      <c r="N1097" s="251"/>
      <c r="O1097" s="251"/>
      <c r="P1097" s="251"/>
      <c r="Q1097" s="251"/>
      <c r="R1097" s="251"/>
      <c r="S1097" s="251"/>
      <c r="T1097" s="251"/>
      <c r="U1097" s="251"/>
      <c r="V1097" s="251"/>
      <c r="W1097" s="251"/>
      <c r="X1097" s="251"/>
      <c r="Y1097" s="251"/>
      <c r="Z1097" s="251"/>
      <c r="AA1097" s="251"/>
      <c r="AB1097" s="251"/>
    </row>
    <row r="1098" ht="14.25" customHeight="1">
      <c r="A1098" s="251"/>
      <c r="B1098" s="263"/>
      <c r="C1098" s="275"/>
      <c r="D1098" s="98"/>
      <c r="E1098" s="240"/>
      <c r="F1098" s="240"/>
      <c r="G1098" s="240"/>
      <c r="H1098" s="240"/>
      <c r="I1098" s="276"/>
      <c r="J1098" s="251"/>
      <c r="K1098" s="251"/>
      <c r="L1098" s="251"/>
      <c r="M1098" s="251"/>
      <c r="N1098" s="251"/>
      <c r="O1098" s="251"/>
      <c r="P1098" s="251"/>
      <c r="Q1098" s="251"/>
      <c r="R1098" s="251"/>
      <c r="S1098" s="251"/>
      <c r="T1098" s="251"/>
      <c r="U1098" s="251"/>
      <c r="V1098" s="251"/>
      <c r="W1098" s="251"/>
      <c r="X1098" s="251"/>
      <c r="Y1098" s="251"/>
      <c r="Z1098" s="251"/>
      <c r="AA1098" s="251"/>
      <c r="AB1098" s="251"/>
    </row>
    <row r="1099" ht="14.25" customHeight="1">
      <c r="A1099" s="251"/>
      <c r="B1099" s="263"/>
      <c r="C1099" s="275"/>
      <c r="D1099" s="98"/>
      <c r="E1099" s="240"/>
      <c r="F1099" s="240"/>
      <c r="G1099" s="240"/>
      <c r="H1099" s="240"/>
      <c r="I1099" s="276"/>
      <c r="J1099" s="251"/>
      <c r="K1099" s="251"/>
      <c r="L1099" s="251"/>
      <c r="M1099" s="251"/>
      <c r="N1099" s="251"/>
      <c r="O1099" s="251"/>
      <c r="P1099" s="251"/>
      <c r="Q1099" s="251"/>
      <c r="R1099" s="251"/>
      <c r="S1099" s="251"/>
      <c r="T1099" s="251"/>
      <c r="U1099" s="251"/>
      <c r="V1099" s="251"/>
      <c r="W1099" s="251"/>
      <c r="X1099" s="251"/>
      <c r="Y1099" s="251"/>
      <c r="Z1099" s="251"/>
      <c r="AA1099" s="251"/>
      <c r="AB1099" s="251"/>
    </row>
    <row r="1100" ht="14.25" customHeight="1">
      <c r="A1100" s="251"/>
      <c r="B1100" s="263"/>
      <c r="C1100" s="275"/>
      <c r="D1100" s="98"/>
      <c r="E1100" s="240"/>
      <c r="F1100" s="240"/>
      <c r="G1100" s="240"/>
      <c r="H1100" s="240"/>
      <c r="I1100" s="276"/>
      <c r="J1100" s="251"/>
      <c r="K1100" s="251"/>
      <c r="L1100" s="251"/>
      <c r="M1100" s="251"/>
      <c r="N1100" s="251"/>
      <c r="O1100" s="251"/>
      <c r="P1100" s="251"/>
      <c r="Q1100" s="251"/>
      <c r="R1100" s="251"/>
      <c r="S1100" s="251"/>
      <c r="T1100" s="251"/>
      <c r="U1100" s="251"/>
      <c r="V1100" s="251"/>
      <c r="W1100" s="251"/>
      <c r="X1100" s="251"/>
      <c r="Y1100" s="251"/>
      <c r="Z1100" s="251"/>
      <c r="AA1100" s="251"/>
      <c r="AB1100" s="251"/>
    </row>
    <row r="1101" ht="14.25" customHeight="1">
      <c r="A1101" s="251"/>
      <c r="B1101" s="263"/>
      <c r="C1101" s="275"/>
      <c r="D1101" s="98"/>
      <c r="E1101" s="240"/>
      <c r="F1101" s="240"/>
      <c r="G1101" s="240"/>
      <c r="H1101" s="240"/>
      <c r="I1101" s="276"/>
      <c r="J1101" s="251"/>
      <c r="K1101" s="251"/>
      <c r="L1101" s="251"/>
      <c r="M1101" s="251"/>
      <c r="N1101" s="251"/>
      <c r="O1101" s="251"/>
      <c r="P1101" s="251"/>
      <c r="Q1101" s="251"/>
      <c r="R1101" s="251"/>
      <c r="S1101" s="251"/>
      <c r="T1101" s="251"/>
      <c r="U1101" s="251"/>
      <c r="V1101" s="251"/>
      <c r="W1101" s="251"/>
      <c r="X1101" s="251"/>
      <c r="Y1101" s="251"/>
      <c r="Z1101" s="251"/>
      <c r="AA1101" s="251"/>
      <c r="AB1101" s="251"/>
    </row>
    <row r="1102" ht="14.25" customHeight="1">
      <c r="A1102" s="251"/>
      <c r="B1102" s="263"/>
      <c r="C1102" s="275"/>
      <c r="D1102" s="98"/>
      <c r="E1102" s="240"/>
      <c r="F1102" s="240"/>
      <c r="G1102" s="240"/>
      <c r="H1102" s="240"/>
      <c r="I1102" s="276"/>
      <c r="J1102" s="251"/>
      <c r="K1102" s="251"/>
      <c r="L1102" s="251"/>
      <c r="M1102" s="251"/>
      <c r="N1102" s="251"/>
      <c r="O1102" s="251"/>
      <c r="P1102" s="251"/>
      <c r="Q1102" s="251"/>
      <c r="R1102" s="251"/>
      <c r="S1102" s="251"/>
      <c r="T1102" s="251"/>
      <c r="U1102" s="251"/>
      <c r="V1102" s="251"/>
      <c r="W1102" s="251"/>
      <c r="X1102" s="251"/>
      <c r="Y1102" s="251"/>
      <c r="Z1102" s="251"/>
      <c r="AA1102" s="251"/>
      <c r="AB1102" s="251"/>
    </row>
    <row r="1103" ht="14.25" customHeight="1">
      <c r="A1103" s="251"/>
      <c r="B1103" s="263"/>
      <c r="C1103" s="275"/>
      <c r="D1103" s="98"/>
      <c r="E1103" s="240"/>
      <c r="F1103" s="240"/>
      <c r="G1103" s="240"/>
      <c r="H1103" s="240"/>
      <c r="I1103" s="276"/>
      <c r="J1103" s="251"/>
      <c r="K1103" s="251"/>
      <c r="L1103" s="251"/>
      <c r="M1103" s="251"/>
      <c r="N1103" s="251"/>
      <c r="O1103" s="251"/>
      <c r="P1103" s="251"/>
      <c r="Q1103" s="251"/>
      <c r="R1103" s="251"/>
      <c r="S1103" s="251"/>
      <c r="T1103" s="251"/>
      <c r="U1103" s="251"/>
      <c r="V1103" s="251"/>
      <c r="W1103" s="251"/>
      <c r="X1103" s="251"/>
      <c r="Y1103" s="251"/>
      <c r="Z1103" s="251"/>
      <c r="AA1103" s="251"/>
      <c r="AB1103" s="251"/>
    </row>
    <row r="1104" ht="14.25" customHeight="1">
      <c r="A1104" s="251"/>
      <c r="B1104" s="263"/>
      <c r="C1104" s="275"/>
      <c r="D1104" s="98"/>
      <c r="E1104" s="240"/>
      <c r="F1104" s="240"/>
      <c r="G1104" s="240"/>
      <c r="H1104" s="240"/>
      <c r="I1104" s="276"/>
      <c r="J1104" s="251"/>
      <c r="K1104" s="251"/>
      <c r="L1104" s="251"/>
      <c r="M1104" s="251"/>
      <c r="N1104" s="251"/>
      <c r="O1104" s="251"/>
      <c r="P1104" s="251"/>
      <c r="Q1104" s="251"/>
      <c r="R1104" s="251"/>
      <c r="S1104" s="251"/>
      <c r="T1104" s="251"/>
      <c r="U1104" s="251"/>
      <c r="V1104" s="251"/>
      <c r="W1104" s="251"/>
      <c r="X1104" s="251"/>
      <c r="Y1104" s="251"/>
      <c r="Z1104" s="251"/>
      <c r="AA1104" s="251"/>
      <c r="AB1104" s="251"/>
    </row>
    <row r="1105" ht="14.25" customHeight="1">
      <c r="A1105" s="251"/>
      <c r="B1105" s="263"/>
      <c r="C1105" s="275"/>
      <c r="D1105" s="98"/>
      <c r="E1105" s="240"/>
      <c r="F1105" s="240"/>
      <c r="G1105" s="240"/>
      <c r="H1105" s="240"/>
      <c r="I1105" s="276"/>
      <c r="J1105" s="251"/>
      <c r="K1105" s="251"/>
      <c r="L1105" s="251"/>
      <c r="M1105" s="251"/>
      <c r="N1105" s="251"/>
      <c r="O1105" s="251"/>
      <c r="P1105" s="251"/>
      <c r="Q1105" s="251"/>
      <c r="R1105" s="251"/>
      <c r="S1105" s="251"/>
      <c r="T1105" s="251"/>
      <c r="U1105" s="251"/>
      <c r="V1105" s="251"/>
      <c r="W1105" s="251"/>
      <c r="X1105" s="251"/>
      <c r="Y1105" s="251"/>
      <c r="Z1105" s="251"/>
      <c r="AA1105" s="251"/>
      <c r="AB1105" s="251"/>
    </row>
    <row r="1106" ht="14.25" customHeight="1">
      <c r="A1106" s="251"/>
      <c r="B1106" s="263"/>
      <c r="C1106" s="275"/>
      <c r="D1106" s="98"/>
      <c r="E1106" s="240"/>
      <c r="F1106" s="240"/>
      <c r="G1106" s="240"/>
      <c r="H1106" s="240"/>
      <c r="I1106" s="276"/>
      <c r="J1106" s="251"/>
      <c r="K1106" s="251"/>
      <c r="L1106" s="251"/>
      <c r="M1106" s="251"/>
      <c r="N1106" s="251"/>
      <c r="O1106" s="251"/>
      <c r="P1106" s="251"/>
      <c r="Q1106" s="251"/>
      <c r="R1106" s="251"/>
      <c r="S1106" s="251"/>
      <c r="T1106" s="251"/>
      <c r="U1106" s="251"/>
      <c r="V1106" s="251"/>
      <c r="W1106" s="251"/>
      <c r="X1106" s="251"/>
      <c r="Y1106" s="251"/>
      <c r="Z1106" s="251"/>
      <c r="AA1106" s="251"/>
      <c r="AB1106" s="251"/>
    </row>
    <row r="1107" ht="14.25" customHeight="1">
      <c r="A1107" s="251"/>
      <c r="B1107" s="263"/>
      <c r="C1107" s="275"/>
      <c r="D1107" s="98"/>
      <c r="E1107" s="240"/>
      <c r="F1107" s="240"/>
      <c r="G1107" s="240"/>
      <c r="H1107" s="240"/>
      <c r="I1107" s="276"/>
      <c r="J1107" s="251"/>
      <c r="K1107" s="251"/>
      <c r="L1107" s="251"/>
      <c r="M1107" s="251"/>
      <c r="N1107" s="251"/>
      <c r="O1107" s="251"/>
      <c r="P1107" s="251"/>
      <c r="Q1107" s="251"/>
      <c r="R1107" s="251"/>
      <c r="S1107" s="251"/>
      <c r="T1107" s="251"/>
      <c r="U1107" s="251"/>
      <c r="V1107" s="251"/>
      <c r="W1107" s="251"/>
      <c r="X1107" s="251"/>
      <c r="Y1107" s="251"/>
      <c r="Z1107" s="251"/>
      <c r="AA1107" s="251"/>
      <c r="AB1107" s="251"/>
    </row>
    <row r="1108" ht="14.25" customHeight="1">
      <c r="A1108" s="251"/>
      <c r="B1108" s="263"/>
      <c r="C1108" s="275"/>
      <c r="D1108" s="98"/>
      <c r="E1108" s="240"/>
      <c r="F1108" s="240"/>
      <c r="G1108" s="240"/>
      <c r="H1108" s="240"/>
      <c r="I1108" s="276"/>
      <c r="J1108" s="251"/>
      <c r="K1108" s="251"/>
      <c r="L1108" s="251"/>
      <c r="M1108" s="251"/>
      <c r="N1108" s="251"/>
      <c r="O1108" s="251"/>
      <c r="P1108" s="251"/>
      <c r="Q1108" s="251"/>
      <c r="R1108" s="251"/>
      <c r="S1108" s="251"/>
      <c r="T1108" s="251"/>
      <c r="U1108" s="251"/>
      <c r="V1108" s="251"/>
      <c r="W1108" s="251"/>
      <c r="X1108" s="251"/>
      <c r="Y1108" s="251"/>
      <c r="Z1108" s="251"/>
      <c r="AA1108" s="251"/>
      <c r="AB1108" s="251"/>
    </row>
    <row r="1109" ht="14.25" customHeight="1">
      <c r="A1109" s="251"/>
      <c r="B1109" s="263"/>
      <c r="C1109" s="275"/>
      <c r="D1109" s="98"/>
      <c r="E1109" s="240"/>
      <c r="F1109" s="240"/>
      <c r="G1109" s="240"/>
      <c r="H1109" s="240"/>
      <c r="I1109" s="276"/>
      <c r="J1109" s="251"/>
      <c r="K1109" s="251"/>
      <c r="L1109" s="251"/>
      <c r="M1109" s="251"/>
      <c r="N1109" s="251"/>
      <c r="O1109" s="251"/>
      <c r="P1109" s="251"/>
      <c r="Q1109" s="251"/>
      <c r="R1109" s="251"/>
      <c r="S1109" s="251"/>
      <c r="T1109" s="251"/>
      <c r="U1109" s="251"/>
      <c r="V1109" s="251"/>
      <c r="W1109" s="251"/>
      <c r="X1109" s="251"/>
      <c r="Y1109" s="251"/>
      <c r="Z1109" s="251"/>
      <c r="AA1109" s="251"/>
      <c r="AB1109" s="251"/>
    </row>
    <row r="1110" ht="14.25" customHeight="1">
      <c r="A1110" s="251"/>
      <c r="B1110" s="263"/>
      <c r="C1110" s="275"/>
      <c r="D1110" s="98"/>
      <c r="E1110" s="240"/>
      <c r="F1110" s="240"/>
      <c r="G1110" s="240"/>
      <c r="H1110" s="240"/>
      <c r="I1110" s="276"/>
      <c r="J1110" s="251"/>
      <c r="K1110" s="251"/>
      <c r="L1110" s="251"/>
      <c r="M1110" s="251"/>
      <c r="N1110" s="251"/>
      <c r="O1110" s="251"/>
      <c r="P1110" s="251"/>
      <c r="Q1110" s="251"/>
      <c r="R1110" s="251"/>
      <c r="S1110" s="251"/>
      <c r="T1110" s="251"/>
      <c r="U1110" s="251"/>
      <c r="V1110" s="251"/>
      <c r="W1110" s="251"/>
      <c r="X1110" s="251"/>
      <c r="Y1110" s="251"/>
      <c r="Z1110" s="251"/>
      <c r="AA1110" s="251"/>
      <c r="AB1110" s="251"/>
    </row>
    <row r="1111" ht="14.25" customHeight="1">
      <c r="A1111" s="251"/>
      <c r="B1111" s="263"/>
      <c r="C1111" s="275"/>
      <c r="D1111" s="98"/>
      <c r="E1111" s="240"/>
      <c r="F1111" s="240"/>
      <c r="G1111" s="240"/>
      <c r="H1111" s="240"/>
      <c r="I1111" s="276"/>
      <c r="J1111" s="251"/>
      <c r="K1111" s="251"/>
      <c r="L1111" s="251"/>
      <c r="M1111" s="251"/>
      <c r="N1111" s="251"/>
      <c r="O1111" s="251"/>
      <c r="P1111" s="251"/>
      <c r="Q1111" s="251"/>
      <c r="R1111" s="251"/>
      <c r="S1111" s="251"/>
      <c r="T1111" s="251"/>
      <c r="U1111" s="251"/>
      <c r="V1111" s="251"/>
      <c r="W1111" s="251"/>
      <c r="X1111" s="251"/>
      <c r="Y1111" s="251"/>
      <c r="Z1111" s="251"/>
      <c r="AA1111" s="251"/>
      <c r="AB1111" s="251"/>
    </row>
    <row r="1112" ht="14.25" customHeight="1">
      <c r="A1112" s="251"/>
      <c r="B1112" s="263"/>
      <c r="C1112" s="275"/>
      <c r="D1112" s="98"/>
      <c r="E1112" s="240"/>
      <c r="F1112" s="240"/>
      <c r="G1112" s="240"/>
      <c r="H1112" s="240"/>
      <c r="I1112" s="276"/>
      <c r="J1112" s="251"/>
      <c r="K1112" s="251"/>
      <c r="L1112" s="251"/>
      <c r="M1112" s="251"/>
      <c r="N1112" s="251"/>
      <c r="O1112" s="251"/>
      <c r="P1112" s="251"/>
      <c r="Q1112" s="251"/>
      <c r="R1112" s="251"/>
      <c r="S1112" s="251"/>
      <c r="T1112" s="251"/>
      <c r="U1112" s="251"/>
      <c r="V1112" s="251"/>
      <c r="W1112" s="251"/>
      <c r="X1112" s="251"/>
      <c r="Y1112" s="251"/>
      <c r="Z1112" s="251"/>
      <c r="AA1112" s="251"/>
      <c r="AB1112" s="251"/>
    </row>
    <row r="1113" ht="14.25" customHeight="1">
      <c r="A1113" s="251"/>
      <c r="B1113" s="263"/>
      <c r="C1113" s="275"/>
      <c r="D1113" s="98"/>
      <c r="E1113" s="240"/>
      <c r="F1113" s="240"/>
      <c r="G1113" s="240"/>
      <c r="H1113" s="240"/>
      <c r="I1113" s="276"/>
      <c r="J1113" s="251"/>
      <c r="K1113" s="251"/>
      <c r="L1113" s="251"/>
      <c r="M1113" s="251"/>
      <c r="N1113" s="251"/>
      <c r="O1113" s="251"/>
      <c r="P1113" s="251"/>
      <c r="Q1113" s="251"/>
      <c r="R1113" s="251"/>
      <c r="S1113" s="251"/>
      <c r="T1113" s="251"/>
      <c r="U1113" s="251"/>
      <c r="V1113" s="251"/>
      <c r="W1113" s="251"/>
      <c r="X1113" s="251"/>
      <c r="Y1113" s="251"/>
      <c r="Z1113" s="251"/>
      <c r="AA1113" s="251"/>
      <c r="AB1113" s="251"/>
    </row>
    <row r="1114" ht="14.25" customHeight="1">
      <c r="A1114" s="251"/>
      <c r="B1114" s="263"/>
      <c r="C1114" s="275"/>
      <c r="D1114" s="98"/>
      <c r="E1114" s="240"/>
      <c r="F1114" s="240"/>
      <c r="G1114" s="240"/>
      <c r="H1114" s="240"/>
      <c r="I1114" s="276"/>
      <c r="J1114" s="251"/>
      <c r="K1114" s="251"/>
      <c r="L1114" s="251"/>
      <c r="M1114" s="251"/>
      <c r="N1114" s="251"/>
      <c r="O1114" s="251"/>
      <c r="P1114" s="251"/>
      <c r="Q1114" s="251"/>
      <c r="R1114" s="251"/>
      <c r="S1114" s="251"/>
      <c r="T1114" s="251"/>
      <c r="U1114" s="251"/>
      <c r="V1114" s="251"/>
      <c r="W1114" s="251"/>
      <c r="X1114" s="251"/>
      <c r="Y1114" s="251"/>
      <c r="Z1114" s="251"/>
      <c r="AA1114" s="251"/>
      <c r="AB1114" s="251"/>
    </row>
    <row r="1115" ht="14.25" customHeight="1">
      <c r="A1115" s="251"/>
      <c r="B1115" s="263"/>
      <c r="C1115" s="275"/>
      <c r="D1115" s="98"/>
      <c r="E1115" s="240"/>
      <c r="F1115" s="240"/>
      <c r="G1115" s="240"/>
      <c r="H1115" s="240"/>
      <c r="I1115" s="276"/>
      <c r="J1115" s="251"/>
      <c r="K1115" s="251"/>
      <c r="L1115" s="251"/>
      <c r="M1115" s="251"/>
      <c r="N1115" s="251"/>
      <c r="O1115" s="251"/>
      <c r="P1115" s="251"/>
      <c r="Q1115" s="251"/>
      <c r="R1115" s="251"/>
      <c r="S1115" s="251"/>
      <c r="T1115" s="251"/>
      <c r="U1115" s="251"/>
      <c r="V1115" s="251"/>
      <c r="W1115" s="251"/>
      <c r="X1115" s="251"/>
      <c r="Y1115" s="251"/>
      <c r="Z1115" s="251"/>
      <c r="AA1115" s="251"/>
      <c r="AB1115" s="251"/>
    </row>
    <row r="1116" ht="14.25" customHeight="1">
      <c r="A1116" s="251"/>
      <c r="B1116" s="263"/>
      <c r="C1116" s="275"/>
      <c r="D1116" s="98"/>
      <c r="E1116" s="240"/>
      <c r="F1116" s="240"/>
      <c r="G1116" s="240"/>
      <c r="H1116" s="240"/>
      <c r="I1116" s="276"/>
      <c r="J1116" s="251"/>
      <c r="K1116" s="251"/>
      <c r="L1116" s="251"/>
      <c r="M1116" s="251"/>
      <c r="N1116" s="251"/>
      <c r="O1116" s="251"/>
      <c r="P1116" s="251"/>
      <c r="Q1116" s="251"/>
      <c r="R1116" s="251"/>
      <c r="S1116" s="251"/>
      <c r="T1116" s="251"/>
      <c r="U1116" s="251"/>
      <c r="V1116" s="251"/>
      <c r="W1116" s="251"/>
      <c r="X1116" s="251"/>
      <c r="Y1116" s="251"/>
      <c r="Z1116" s="251"/>
      <c r="AA1116" s="251"/>
      <c r="AB1116" s="251"/>
    </row>
    <row r="1117" ht="14.25" customHeight="1">
      <c r="A1117" s="251"/>
      <c r="B1117" s="263"/>
      <c r="C1117" s="275"/>
      <c r="D1117" s="98"/>
      <c r="E1117" s="240"/>
      <c r="F1117" s="240"/>
      <c r="G1117" s="240"/>
      <c r="H1117" s="240"/>
      <c r="I1117" s="276"/>
      <c r="J1117" s="251"/>
      <c r="K1117" s="251"/>
      <c r="L1117" s="251"/>
      <c r="M1117" s="251"/>
      <c r="N1117" s="251"/>
      <c r="O1117" s="251"/>
      <c r="P1117" s="251"/>
      <c r="Q1117" s="251"/>
      <c r="R1117" s="251"/>
      <c r="S1117" s="251"/>
      <c r="T1117" s="251"/>
      <c r="U1117" s="251"/>
      <c r="V1117" s="251"/>
      <c r="W1117" s="251"/>
      <c r="X1117" s="251"/>
      <c r="Y1117" s="251"/>
      <c r="Z1117" s="251"/>
      <c r="AA1117" s="251"/>
      <c r="AB1117" s="251"/>
    </row>
    <row r="1118" ht="14.25" customHeight="1">
      <c r="A1118" s="251"/>
      <c r="B1118" s="263"/>
      <c r="C1118" s="275"/>
      <c r="D1118" s="98"/>
      <c r="E1118" s="240"/>
      <c r="F1118" s="240"/>
      <c r="G1118" s="240"/>
      <c r="H1118" s="240"/>
      <c r="I1118" s="276"/>
      <c r="J1118" s="251"/>
      <c r="K1118" s="251"/>
      <c r="L1118" s="251"/>
      <c r="M1118" s="251"/>
      <c r="N1118" s="251"/>
      <c r="O1118" s="251"/>
      <c r="P1118" s="251"/>
      <c r="Q1118" s="251"/>
      <c r="R1118" s="251"/>
      <c r="S1118" s="251"/>
      <c r="T1118" s="251"/>
      <c r="U1118" s="251"/>
      <c r="V1118" s="251"/>
      <c r="W1118" s="251"/>
      <c r="X1118" s="251"/>
      <c r="Y1118" s="251"/>
      <c r="Z1118" s="251"/>
      <c r="AA1118" s="251"/>
      <c r="AB1118" s="251"/>
    </row>
    <row r="1119" ht="14.25" customHeight="1">
      <c r="A1119" s="251"/>
      <c r="B1119" s="263"/>
      <c r="C1119" s="275"/>
      <c r="D1119" s="98"/>
      <c r="E1119" s="240"/>
      <c r="F1119" s="240"/>
      <c r="G1119" s="240"/>
      <c r="H1119" s="240"/>
      <c r="I1119" s="276"/>
      <c r="J1119" s="251"/>
      <c r="K1119" s="251"/>
      <c r="L1119" s="251"/>
      <c r="M1119" s="251"/>
      <c r="N1119" s="251"/>
      <c r="O1119" s="251"/>
      <c r="P1119" s="251"/>
      <c r="Q1119" s="251"/>
      <c r="R1119" s="251"/>
      <c r="S1119" s="251"/>
      <c r="T1119" s="251"/>
      <c r="U1119" s="251"/>
      <c r="V1119" s="251"/>
      <c r="W1119" s="251"/>
      <c r="X1119" s="251"/>
      <c r="Y1119" s="251"/>
      <c r="Z1119" s="251"/>
      <c r="AA1119" s="251"/>
      <c r="AB1119" s="251"/>
    </row>
    <row r="1120" ht="14.25" customHeight="1">
      <c r="A1120" s="251"/>
      <c r="B1120" s="263"/>
      <c r="C1120" s="275"/>
      <c r="D1120" s="98"/>
      <c r="E1120" s="240"/>
      <c r="F1120" s="240"/>
      <c r="G1120" s="240"/>
      <c r="H1120" s="240"/>
      <c r="I1120" s="276"/>
      <c r="J1120" s="251"/>
      <c r="K1120" s="251"/>
      <c r="L1120" s="251"/>
      <c r="M1120" s="251"/>
      <c r="N1120" s="251"/>
      <c r="O1120" s="251"/>
      <c r="P1120" s="251"/>
      <c r="Q1120" s="251"/>
      <c r="R1120" s="251"/>
      <c r="S1120" s="251"/>
      <c r="T1120" s="251"/>
      <c r="U1120" s="251"/>
      <c r="V1120" s="251"/>
      <c r="W1120" s="251"/>
      <c r="X1120" s="251"/>
      <c r="Y1120" s="251"/>
      <c r="Z1120" s="251"/>
      <c r="AA1120" s="251"/>
      <c r="AB1120" s="251"/>
    </row>
    <row r="1121" ht="14.25" customHeight="1">
      <c r="A1121" s="251"/>
      <c r="B1121" s="263"/>
      <c r="C1121" s="275"/>
      <c r="D1121" s="98"/>
      <c r="E1121" s="240"/>
      <c r="F1121" s="240"/>
      <c r="G1121" s="240"/>
      <c r="H1121" s="240"/>
      <c r="I1121" s="276"/>
      <c r="J1121" s="251"/>
      <c r="K1121" s="251"/>
      <c r="L1121" s="251"/>
      <c r="M1121" s="251"/>
      <c r="N1121" s="251"/>
      <c r="O1121" s="251"/>
      <c r="P1121" s="251"/>
      <c r="Q1121" s="251"/>
      <c r="R1121" s="251"/>
      <c r="S1121" s="251"/>
      <c r="T1121" s="251"/>
      <c r="U1121" s="251"/>
      <c r="V1121" s="251"/>
      <c r="W1121" s="251"/>
      <c r="X1121" s="251"/>
      <c r="Y1121" s="251"/>
      <c r="Z1121" s="251"/>
      <c r="AA1121" s="251"/>
      <c r="AB1121" s="251"/>
    </row>
    <row r="1122" ht="14.25" customHeight="1">
      <c r="A1122" s="251"/>
      <c r="B1122" s="263"/>
      <c r="C1122" s="275"/>
      <c r="D1122" s="98"/>
      <c r="E1122" s="240"/>
      <c r="F1122" s="240"/>
      <c r="G1122" s="240"/>
      <c r="H1122" s="240"/>
      <c r="I1122" s="276"/>
      <c r="J1122" s="251"/>
      <c r="K1122" s="251"/>
      <c r="L1122" s="251"/>
      <c r="M1122" s="251"/>
      <c r="N1122" s="251"/>
      <c r="O1122" s="251"/>
      <c r="P1122" s="251"/>
      <c r="Q1122" s="251"/>
      <c r="R1122" s="251"/>
      <c r="S1122" s="251"/>
      <c r="T1122" s="251"/>
      <c r="U1122" s="251"/>
      <c r="V1122" s="251"/>
      <c r="W1122" s="251"/>
      <c r="X1122" s="251"/>
      <c r="Y1122" s="251"/>
      <c r="Z1122" s="251"/>
      <c r="AA1122" s="251"/>
      <c r="AB1122" s="251"/>
    </row>
    <row r="1123" ht="14.25" customHeight="1">
      <c r="A1123" s="251"/>
      <c r="B1123" s="263"/>
      <c r="C1123" s="275"/>
      <c r="D1123" s="98"/>
      <c r="E1123" s="240"/>
      <c r="F1123" s="240"/>
      <c r="G1123" s="240"/>
      <c r="H1123" s="240"/>
      <c r="I1123" s="276"/>
      <c r="J1123" s="251"/>
      <c r="K1123" s="251"/>
      <c r="L1123" s="251"/>
      <c r="M1123" s="251"/>
      <c r="N1123" s="251"/>
      <c r="O1123" s="251"/>
      <c r="P1123" s="251"/>
      <c r="Q1123" s="251"/>
      <c r="R1123" s="251"/>
      <c r="S1123" s="251"/>
      <c r="T1123" s="251"/>
      <c r="U1123" s="251"/>
      <c r="V1123" s="251"/>
      <c r="W1123" s="251"/>
      <c r="X1123" s="251"/>
      <c r="Y1123" s="251"/>
      <c r="Z1123" s="251"/>
      <c r="AA1123" s="251"/>
      <c r="AB1123" s="251"/>
    </row>
    <row r="1124" ht="14.25" customHeight="1">
      <c r="A1124" s="251"/>
      <c r="B1124" s="263"/>
      <c r="C1124" s="275"/>
      <c r="D1124" s="98"/>
      <c r="E1124" s="240"/>
      <c r="F1124" s="240"/>
      <c r="G1124" s="240"/>
      <c r="H1124" s="240"/>
      <c r="I1124" s="276"/>
      <c r="J1124" s="251"/>
      <c r="K1124" s="251"/>
      <c r="L1124" s="251"/>
      <c r="M1124" s="251"/>
      <c r="N1124" s="251"/>
      <c r="O1124" s="251"/>
      <c r="P1124" s="251"/>
      <c r="Q1124" s="251"/>
      <c r="R1124" s="251"/>
      <c r="S1124" s="251"/>
      <c r="T1124" s="251"/>
      <c r="U1124" s="251"/>
      <c r="V1124" s="251"/>
      <c r="W1124" s="251"/>
      <c r="X1124" s="251"/>
      <c r="Y1124" s="251"/>
      <c r="Z1124" s="251"/>
      <c r="AA1124" s="251"/>
      <c r="AB1124" s="251"/>
    </row>
    <row r="1125" ht="14.25" customHeight="1">
      <c r="A1125" s="251"/>
      <c r="B1125" s="263"/>
      <c r="C1125" s="275"/>
      <c r="D1125" s="98"/>
      <c r="E1125" s="240"/>
      <c r="F1125" s="240"/>
      <c r="G1125" s="240"/>
      <c r="H1125" s="240"/>
      <c r="I1125" s="276"/>
      <c r="J1125" s="251"/>
      <c r="K1125" s="251"/>
      <c r="L1125" s="251"/>
      <c r="M1125" s="251"/>
      <c r="N1125" s="251"/>
      <c r="O1125" s="251"/>
      <c r="P1125" s="251"/>
      <c r="Q1125" s="251"/>
      <c r="R1125" s="251"/>
      <c r="S1125" s="251"/>
      <c r="T1125" s="251"/>
      <c r="U1125" s="251"/>
      <c r="V1125" s="251"/>
      <c r="W1125" s="251"/>
      <c r="X1125" s="251"/>
      <c r="Y1125" s="251"/>
      <c r="Z1125" s="251"/>
      <c r="AA1125" s="251"/>
      <c r="AB1125" s="251"/>
    </row>
    <row r="1126" ht="14.25" customHeight="1">
      <c r="A1126" s="251"/>
      <c r="B1126" s="263"/>
      <c r="C1126" s="275"/>
      <c r="D1126" s="98"/>
      <c r="E1126" s="240"/>
      <c r="F1126" s="240"/>
      <c r="G1126" s="240"/>
      <c r="H1126" s="240"/>
      <c r="I1126" s="276"/>
      <c r="J1126" s="251"/>
      <c r="K1126" s="251"/>
      <c r="L1126" s="251"/>
      <c r="M1126" s="251"/>
      <c r="N1126" s="251"/>
      <c r="O1126" s="251"/>
      <c r="P1126" s="251"/>
      <c r="Q1126" s="251"/>
      <c r="R1126" s="251"/>
      <c r="S1126" s="251"/>
      <c r="T1126" s="251"/>
      <c r="U1126" s="251"/>
      <c r="V1126" s="251"/>
      <c r="W1126" s="251"/>
      <c r="X1126" s="251"/>
      <c r="Y1126" s="251"/>
      <c r="Z1126" s="251"/>
      <c r="AA1126" s="251"/>
      <c r="AB1126" s="251"/>
    </row>
    <row r="1127" ht="14.25" customHeight="1">
      <c r="A1127" s="251"/>
      <c r="B1127" s="263"/>
      <c r="C1127" s="275"/>
      <c r="D1127" s="98"/>
      <c r="E1127" s="240"/>
      <c r="F1127" s="240"/>
      <c r="G1127" s="240"/>
      <c r="H1127" s="240"/>
      <c r="I1127" s="276"/>
      <c r="J1127" s="251"/>
      <c r="K1127" s="251"/>
      <c r="L1127" s="251"/>
      <c r="M1127" s="251"/>
      <c r="N1127" s="251"/>
      <c r="O1127" s="251"/>
      <c r="P1127" s="251"/>
      <c r="Q1127" s="251"/>
      <c r="R1127" s="251"/>
      <c r="S1127" s="251"/>
      <c r="T1127" s="251"/>
      <c r="U1127" s="251"/>
      <c r="V1127" s="251"/>
      <c r="W1127" s="251"/>
      <c r="X1127" s="251"/>
      <c r="Y1127" s="251"/>
      <c r="Z1127" s="251"/>
      <c r="AA1127" s="251"/>
      <c r="AB1127" s="251"/>
    </row>
    <row r="1128" ht="14.25" customHeight="1">
      <c r="A1128" s="251"/>
      <c r="B1128" s="263"/>
      <c r="C1128" s="275"/>
      <c r="D1128" s="98"/>
      <c r="E1128" s="240"/>
      <c r="F1128" s="240"/>
      <c r="G1128" s="240"/>
      <c r="H1128" s="240"/>
      <c r="I1128" s="276"/>
      <c r="J1128" s="251"/>
      <c r="K1128" s="251"/>
      <c r="L1128" s="251"/>
      <c r="M1128" s="251"/>
      <c r="N1128" s="251"/>
      <c r="O1128" s="251"/>
      <c r="P1128" s="251"/>
      <c r="Q1128" s="251"/>
      <c r="R1128" s="251"/>
      <c r="S1128" s="251"/>
      <c r="T1128" s="251"/>
      <c r="U1128" s="251"/>
      <c r="V1128" s="251"/>
      <c r="W1128" s="251"/>
      <c r="X1128" s="251"/>
      <c r="Y1128" s="251"/>
      <c r="Z1128" s="251"/>
      <c r="AA1128" s="251"/>
      <c r="AB1128" s="251"/>
    </row>
    <row r="1129" ht="14.25" customHeight="1">
      <c r="A1129" s="251"/>
      <c r="B1129" s="263"/>
      <c r="C1129" s="275"/>
      <c r="D1129" s="98"/>
      <c r="E1129" s="240"/>
      <c r="F1129" s="240"/>
      <c r="G1129" s="240"/>
      <c r="H1129" s="240"/>
      <c r="I1129" s="276"/>
      <c r="J1129" s="251"/>
      <c r="K1129" s="251"/>
      <c r="L1129" s="251"/>
      <c r="M1129" s="251"/>
      <c r="N1129" s="251"/>
      <c r="O1129" s="251"/>
      <c r="P1129" s="251"/>
      <c r="Q1129" s="251"/>
      <c r="R1129" s="251"/>
      <c r="S1129" s="251"/>
      <c r="T1129" s="251"/>
      <c r="U1129" s="251"/>
      <c r="V1129" s="251"/>
      <c r="W1129" s="251"/>
      <c r="X1129" s="251"/>
      <c r="Y1129" s="251"/>
      <c r="Z1129" s="251"/>
      <c r="AA1129" s="251"/>
      <c r="AB1129" s="251"/>
    </row>
    <row r="1130" ht="14.25" customHeight="1">
      <c r="A1130" s="251"/>
      <c r="B1130" s="263"/>
      <c r="C1130" s="275"/>
      <c r="D1130" s="98"/>
      <c r="E1130" s="240"/>
      <c r="F1130" s="240"/>
      <c r="G1130" s="240"/>
      <c r="H1130" s="240"/>
      <c r="I1130" s="276"/>
      <c r="J1130" s="251"/>
      <c r="K1130" s="251"/>
      <c r="L1130" s="251"/>
      <c r="M1130" s="251"/>
      <c r="N1130" s="251"/>
      <c r="O1130" s="251"/>
      <c r="P1130" s="251"/>
      <c r="Q1130" s="251"/>
      <c r="R1130" s="251"/>
      <c r="S1130" s="251"/>
      <c r="T1130" s="251"/>
      <c r="U1130" s="251"/>
      <c r="V1130" s="251"/>
      <c r="W1130" s="251"/>
      <c r="X1130" s="251"/>
      <c r="Y1130" s="251"/>
      <c r="Z1130" s="251"/>
      <c r="AA1130" s="251"/>
      <c r="AB1130" s="251"/>
    </row>
    <row r="1131" ht="14.25" customHeight="1">
      <c r="A1131" s="251"/>
      <c r="B1131" s="263"/>
      <c r="C1131" s="275"/>
      <c r="D1131" s="98"/>
      <c r="E1131" s="240"/>
      <c r="F1131" s="240"/>
      <c r="G1131" s="240"/>
      <c r="H1131" s="240"/>
      <c r="I1131" s="276"/>
      <c r="J1131" s="251"/>
      <c r="K1131" s="251"/>
      <c r="L1131" s="251"/>
      <c r="M1131" s="251"/>
      <c r="N1131" s="251"/>
      <c r="O1131" s="251"/>
      <c r="P1131" s="251"/>
      <c r="Q1131" s="251"/>
      <c r="R1131" s="251"/>
      <c r="S1131" s="251"/>
      <c r="T1131" s="251"/>
      <c r="U1131" s="251"/>
      <c r="V1131" s="251"/>
      <c r="W1131" s="251"/>
      <c r="X1131" s="251"/>
      <c r="Y1131" s="251"/>
      <c r="Z1131" s="251"/>
      <c r="AA1131" s="251"/>
      <c r="AB1131" s="251"/>
    </row>
    <row r="1132" ht="14.25" customHeight="1">
      <c r="A1132" s="251"/>
      <c r="B1132" s="263"/>
      <c r="C1132" s="275"/>
      <c r="D1132" s="98"/>
      <c r="E1132" s="240"/>
      <c r="F1132" s="240"/>
      <c r="G1132" s="240"/>
      <c r="H1132" s="240"/>
      <c r="I1132" s="276"/>
      <c r="J1132" s="251"/>
      <c r="K1132" s="251"/>
      <c r="L1132" s="251"/>
      <c r="M1132" s="251"/>
      <c r="N1132" s="251"/>
      <c r="O1132" s="251"/>
      <c r="P1132" s="251"/>
      <c r="Q1132" s="251"/>
      <c r="R1132" s="251"/>
      <c r="S1132" s="251"/>
      <c r="T1132" s="251"/>
      <c r="U1132" s="251"/>
      <c r="V1132" s="251"/>
      <c r="W1132" s="251"/>
      <c r="X1132" s="251"/>
      <c r="Y1132" s="251"/>
      <c r="Z1132" s="251"/>
      <c r="AA1132" s="251"/>
      <c r="AB1132" s="251"/>
    </row>
    <row r="1133" ht="14.25" customHeight="1">
      <c r="A1133" s="251"/>
      <c r="B1133" s="263"/>
      <c r="C1133" s="275"/>
      <c r="D1133" s="98"/>
      <c r="E1133" s="240"/>
      <c r="F1133" s="240"/>
      <c r="G1133" s="240"/>
      <c r="H1133" s="240"/>
      <c r="I1133" s="276"/>
      <c r="J1133" s="251"/>
      <c r="K1133" s="251"/>
      <c r="L1133" s="251"/>
      <c r="M1133" s="251"/>
      <c r="N1133" s="251"/>
      <c r="O1133" s="251"/>
      <c r="P1133" s="251"/>
      <c r="Q1133" s="251"/>
      <c r="R1133" s="251"/>
      <c r="S1133" s="251"/>
      <c r="T1133" s="251"/>
      <c r="U1133" s="251"/>
      <c r="V1133" s="251"/>
      <c r="W1133" s="251"/>
      <c r="X1133" s="251"/>
      <c r="Y1133" s="251"/>
      <c r="Z1133" s="251"/>
      <c r="AA1133" s="251"/>
      <c r="AB1133" s="251"/>
    </row>
    <row r="1134" ht="14.25" customHeight="1">
      <c r="A1134" s="251"/>
      <c r="B1134" s="263"/>
      <c r="C1134" s="275"/>
      <c r="D1134" s="98"/>
      <c r="E1134" s="240"/>
      <c r="F1134" s="240"/>
      <c r="G1134" s="240"/>
      <c r="H1134" s="240"/>
      <c r="I1134" s="276"/>
      <c r="J1134" s="251"/>
      <c r="K1134" s="251"/>
      <c r="L1134" s="251"/>
      <c r="M1134" s="251"/>
      <c r="N1134" s="251"/>
      <c r="O1134" s="251"/>
      <c r="P1134" s="251"/>
      <c r="Q1134" s="251"/>
      <c r="R1134" s="251"/>
      <c r="S1134" s="251"/>
      <c r="T1134" s="251"/>
      <c r="U1134" s="251"/>
      <c r="V1134" s="251"/>
      <c r="W1134" s="251"/>
      <c r="X1134" s="251"/>
      <c r="Y1134" s="251"/>
      <c r="Z1134" s="251"/>
      <c r="AA1134" s="251"/>
      <c r="AB1134" s="251"/>
    </row>
    <row r="1135" ht="14.25" customHeight="1">
      <c r="A1135" s="251"/>
      <c r="B1135" s="263"/>
      <c r="C1135" s="275"/>
      <c r="D1135" s="98"/>
      <c r="E1135" s="240"/>
      <c r="F1135" s="240"/>
      <c r="G1135" s="240"/>
      <c r="H1135" s="240"/>
      <c r="I1135" s="276"/>
      <c r="J1135" s="251"/>
      <c r="K1135" s="251"/>
      <c r="L1135" s="251"/>
      <c r="M1135" s="251"/>
      <c r="N1135" s="251"/>
      <c r="O1135" s="251"/>
      <c r="P1135" s="251"/>
      <c r="Q1135" s="251"/>
      <c r="R1135" s="251"/>
      <c r="S1135" s="251"/>
      <c r="T1135" s="251"/>
      <c r="U1135" s="251"/>
      <c r="V1135" s="251"/>
      <c r="W1135" s="251"/>
      <c r="X1135" s="251"/>
      <c r="Y1135" s="251"/>
      <c r="Z1135" s="251"/>
      <c r="AA1135" s="251"/>
      <c r="AB1135" s="251"/>
    </row>
    <row r="1136" ht="14.25" customHeight="1">
      <c r="A1136" s="251"/>
      <c r="B1136" s="263"/>
      <c r="C1136" s="275"/>
      <c r="D1136" s="98"/>
      <c r="E1136" s="240"/>
      <c r="F1136" s="240"/>
      <c r="G1136" s="240"/>
      <c r="H1136" s="240"/>
      <c r="I1136" s="276"/>
      <c r="J1136" s="251"/>
      <c r="K1136" s="251"/>
      <c r="L1136" s="251"/>
      <c r="M1136" s="251"/>
      <c r="N1136" s="251"/>
      <c r="O1136" s="251"/>
      <c r="P1136" s="251"/>
      <c r="Q1136" s="251"/>
      <c r="R1136" s="251"/>
      <c r="S1136" s="251"/>
      <c r="T1136" s="251"/>
      <c r="U1136" s="251"/>
      <c r="V1136" s="251"/>
      <c r="W1136" s="251"/>
      <c r="X1136" s="251"/>
      <c r="Y1136" s="251"/>
      <c r="Z1136" s="251"/>
      <c r="AA1136" s="251"/>
      <c r="AB1136" s="251"/>
    </row>
    <row r="1137" ht="14.25" customHeight="1">
      <c r="A1137" s="251"/>
      <c r="B1137" s="263"/>
      <c r="C1137" s="275"/>
      <c r="D1137" s="98"/>
      <c r="E1137" s="240"/>
      <c r="F1137" s="240"/>
      <c r="G1137" s="240"/>
      <c r="H1137" s="240"/>
      <c r="I1137" s="276"/>
      <c r="J1137" s="251"/>
      <c r="K1137" s="251"/>
      <c r="L1137" s="251"/>
      <c r="M1137" s="251"/>
      <c r="N1137" s="251"/>
      <c r="O1137" s="251"/>
      <c r="P1137" s="251"/>
      <c r="Q1137" s="251"/>
      <c r="R1137" s="251"/>
      <c r="S1137" s="251"/>
      <c r="T1137" s="251"/>
      <c r="U1137" s="251"/>
      <c r="V1137" s="251"/>
      <c r="W1137" s="251"/>
      <c r="X1137" s="251"/>
      <c r="Y1137" s="251"/>
      <c r="Z1137" s="251"/>
      <c r="AA1137" s="251"/>
      <c r="AB1137" s="251"/>
    </row>
    <row r="1138" ht="14.25" customHeight="1">
      <c r="A1138" s="251"/>
      <c r="B1138" s="263"/>
      <c r="C1138" s="275"/>
      <c r="D1138" s="98"/>
      <c r="E1138" s="240"/>
      <c r="F1138" s="240"/>
      <c r="G1138" s="240"/>
      <c r="H1138" s="240"/>
      <c r="I1138" s="276"/>
      <c r="J1138" s="251"/>
      <c r="K1138" s="251"/>
      <c r="L1138" s="251"/>
      <c r="M1138" s="251"/>
      <c r="N1138" s="251"/>
      <c r="O1138" s="251"/>
      <c r="P1138" s="251"/>
      <c r="Q1138" s="251"/>
      <c r="R1138" s="251"/>
      <c r="S1138" s="251"/>
      <c r="T1138" s="251"/>
      <c r="U1138" s="251"/>
      <c r="V1138" s="251"/>
      <c r="W1138" s="251"/>
      <c r="X1138" s="251"/>
      <c r="Y1138" s="251"/>
      <c r="Z1138" s="251"/>
      <c r="AA1138" s="251"/>
      <c r="AB1138" s="251"/>
    </row>
    <row r="1139" ht="14.25" customHeight="1">
      <c r="A1139" s="251"/>
      <c r="B1139" s="263"/>
      <c r="C1139" s="275"/>
      <c r="D1139" s="98"/>
      <c r="E1139" s="240"/>
      <c r="F1139" s="240"/>
      <c r="G1139" s="240"/>
      <c r="H1139" s="240"/>
      <c r="I1139" s="276"/>
      <c r="J1139" s="251"/>
      <c r="K1139" s="251"/>
      <c r="L1139" s="251"/>
      <c r="M1139" s="251"/>
      <c r="N1139" s="251"/>
      <c r="O1139" s="251"/>
      <c r="P1139" s="251"/>
      <c r="Q1139" s="251"/>
      <c r="R1139" s="251"/>
      <c r="S1139" s="251"/>
      <c r="T1139" s="251"/>
      <c r="U1139" s="251"/>
      <c r="V1139" s="251"/>
      <c r="W1139" s="251"/>
      <c r="X1139" s="251"/>
      <c r="Y1139" s="251"/>
      <c r="Z1139" s="251"/>
      <c r="AA1139" s="251"/>
      <c r="AB1139" s="251"/>
    </row>
    <row r="1140" ht="14.25" customHeight="1">
      <c r="A1140" s="251"/>
      <c r="B1140" s="263"/>
      <c r="C1140" s="275"/>
      <c r="D1140" s="98"/>
      <c r="E1140" s="240"/>
      <c r="F1140" s="240"/>
      <c r="G1140" s="240"/>
      <c r="H1140" s="240"/>
      <c r="I1140" s="276"/>
      <c r="J1140" s="251"/>
      <c r="K1140" s="251"/>
      <c r="L1140" s="251"/>
      <c r="M1140" s="251"/>
      <c r="N1140" s="251"/>
      <c r="O1140" s="251"/>
      <c r="P1140" s="251"/>
      <c r="Q1140" s="251"/>
      <c r="R1140" s="251"/>
      <c r="S1140" s="251"/>
      <c r="T1140" s="251"/>
      <c r="U1140" s="251"/>
      <c r="V1140" s="251"/>
      <c r="W1140" s="251"/>
      <c r="X1140" s="251"/>
      <c r="Y1140" s="251"/>
      <c r="Z1140" s="251"/>
      <c r="AA1140" s="251"/>
      <c r="AB1140" s="251"/>
    </row>
    <row r="1141" ht="14.25" customHeight="1">
      <c r="A1141" s="251"/>
      <c r="B1141" s="263"/>
      <c r="C1141" s="275"/>
      <c r="D1141" s="98"/>
      <c r="E1141" s="240"/>
      <c r="F1141" s="240"/>
      <c r="G1141" s="240"/>
      <c r="H1141" s="240"/>
      <c r="I1141" s="276"/>
      <c r="J1141" s="251"/>
      <c r="K1141" s="251"/>
      <c r="L1141" s="251"/>
      <c r="M1141" s="251"/>
      <c r="N1141" s="251"/>
      <c r="O1141" s="251"/>
      <c r="P1141" s="251"/>
      <c r="Q1141" s="251"/>
      <c r="R1141" s="251"/>
      <c r="S1141" s="251"/>
      <c r="T1141" s="251"/>
      <c r="U1141" s="251"/>
      <c r="V1141" s="251"/>
      <c r="W1141" s="251"/>
      <c r="X1141" s="251"/>
      <c r="Y1141" s="251"/>
      <c r="Z1141" s="251"/>
      <c r="AA1141" s="251"/>
      <c r="AB1141" s="251"/>
    </row>
    <row r="1142" ht="14.25" customHeight="1">
      <c r="A1142" s="251"/>
      <c r="B1142" s="263"/>
      <c r="C1142" s="275"/>
      <c r="D1142" s="98"/>
      <c r="E1142" s="240"/>
      <c r="F1142" s="240"/>
      <c r="G1142" s="240"/>
      <c r="H1142" s="240"/>
      <c r="I1142" s="276"/>
      <c r="J1142" s="251"/>
      <c r="K1142" s="251"/>
      <c r="L1142" s="251"/>
      <c r="M1142" s="251"/>
      <c r="N1142" s="251"/>
      <c r="O1142" s="251"/>
      <c r="P1142" s="251"/>
      <c r="Q1142" s="251"/>
      <c r="R1142" s="251"/>
      <c r="S1142" s="251"/>
      <c r="T1142" s="251"/>
      <c r="U1142" s="251"/>
      <c r="V1142" s="251"/>
      <c r="W1142" s="251"/>
      <c r="X1142" s="251"/>
      <c r="Y1142" s="251"/>
      <c r="Z1142" s="251"/>
      <c r="AA1142" s="251"/>
      <c r="AB1142" s="251"/>
    </row>
    <row r="1143" ht="14.25" customHeight="1">
      <c r="A1143" s="251"/>
      <c r="B1143" s="263"/>
      <c r="C1143" s="275"/>
      <c r="D1143" s="98"/>
      <c r="E1143" s="240"/>
      <c r="F1143" s="240"/>
      <c r="G1143" s="240"/>
      <c r="H1143" s="240"/>
      <c r="I1143" s="276"/>
      <c r="J1143" s="251"/>
      <c r="K1143" s="251"/>
      <c r="L1143" s="251"/>
      <c r="M1143" s="251"/>
      <c r="N1143" s="251"/>
      <c r="O1143" s="251"/>
      <c r="P1143" s="251"/>
      <c r="Q1143" s="251"/>
      <c r="R1143" s="251"/>
      <c r="S1143" s="251"/>
      <c r="T1143" s="251"/>
      <c r="U1143" s="251"/>
      <c r="V1143" s="251"/>
      <c r="W1143" s="251"/>
      <c r="X1143" s="251"/>
      <c r="Y1143" s="251"/>
      <c r="Z1143" s="251"/>
      <c r="AA1143" s="251"/>
      <c r="AB1143" s="251"/>
    </row>
    <row r="1144" ht="14.25" customHeight="1">
      <c r="A1144" s="251"/>
      <c r="B1144" s="263"/>
      <c r="C1144" s="275"/>
      <c r="D1144" s="98"/>
      <c r="E1144" s="240"/>
      <c r="F1144" s="240"/>
      <c r="G1144" s="240"/>
      <c r="H1144" s="240"/>
      <c r="I1144" s="276"/>
      <c r="J1144" s="251"/>
      <c r="K1144" s="251"/>
      <c r="L1144" s="251"/>
      <c r="M1144" s="251"/>
      <c r="N1144" s="251"/>
      <c r="O1144" s="251"/>
      <c r="P1144" s="251"/>
      <c r="Q1144" s="251"/>
      <c r="R1144" s="251"/>
      <c r="S1144" s="251"/>
      <c r="T1144" s="251"/>
      <c r="U1144" s="251"/>
      <c r="V1144" s="251"/>
      <c r="W1144" s="251"/>
      <c r="X1144" s="251"/>
      <c r="Y1144" s="251"/>
      <c r="Z1144" s="251"/>
      <c r="AA1144" s="251"/>
      <c r="AB1144" s="251"/>
    </row>
    <row r="1145" ht="14.25" customHeight="1">
      <c r="A1145" s="251"/>
      <c r="B1145" s="263"/>
      <c r="C1145" s="275"/>
      <c r="D1145" s="98"/>
      <c r="E1145" s="240"/>
      <c r="F1145" s="240"/>
      <c r="G1145" s="240"/>
      <c r="H1145" s="240"/>
      <c r="I1145" s="276"/>
      <c r="J1145" s="251"/>
      <c r="K1145" s="251"/>
      <c r="L1145" s="251"/>
      <c r="M1145" s="251"/>
      <c r="N1145" s="251"/>
      <c r="O1145" s="251"/>
      <c r="P1145" s="251"/>
      <c r="Q1145" s="251"/>
      <c r="R1145" s="251"/>
      <c r="S1145" s="251"/>
      <c r="T1145" s="251"/>
      <c r="U1145" s="251"/>
      <c r="V1145" s="251"/>
      <c r="W1145" s="251"/>
      <c r="X1145" s="251"/>
      <c r="Y1145" s="251"/>
      <c r="Z1145" s="251"/>
      <c r="AA1145" s="251"/>
      <c r="AB1145" s="251"/>
    </row>
    <row r="1146" ht="14.25" customHeight="1">
      <c r="A1146" s="251"/>
      <c r="B1146" s="263"/>
      <c r="C1146" s="275"/>
      <c r="D1146" s="98"/>
      <c r="E1146" s="240"/>
      <c r="F1146" s="240"/>
      <c r="G1146" s="240"/>
      <c r="H1146" s="240"/>
      <c r="I1146" s="276"/>
      <c r="J1146" s="251"/>
      <c r="K1146" s="251"/>
      <c r="L1146" s="251"/>
      <c r="M1146" s="251"/>
      <c r="N1146" s="251"/>
      <c r="O1146" s="251"/>
      <c r="P1146" s="251"/>
      <c r="Q1146" s="251"/>
      <c r="R1146" s="251"/>
      <c r="S1146" s="251"/>
      <c r="T1146" s="251"/>
      <c r="U1146" s="251"/>
      <c r="V1146" s="251"/>
      <c r="W1146" s="251"/>
      <c r="X1146" s="251"/>
      <c r="Y1146" s="251"/>
      <c r="Z1146" s="251"/>
      <c r="AA1146" s="251"/>
      <c r="AB1146" s="251"/>
    </row>
    <row r="1147" ht="14.25" customHeight="1">
      <c r="A1147" s="251"/>
      <c r="B1147" s="263"/>
      <c r="C1147" s="275"/>
      <c r="D1147" s="98"/>
      <c r="E1147" s="240"/>
      <c r="F1147" s="240"/>
      <c r="G1147" s="240"/>
      <c r="H1147" s="240"/>
      <c r="I1147" s="276"/>
      <c r="J1147" s="251"/>
      <c r="K1147" s="251"/>
      <c r="L1147" s="251"/>
      <c r="M1147" s="251"/>
      <c r="N1147" s="251"/>
      <c r="O1147" s="251"/>
      <c r="P1147" s="251"/>
      <c r="Q1147" s="251"/>
      <c r="R1147" s="251"/>
      <c r="S1147" s="251"/>
      <c r="T1147" s="251"/>
      <c r="U1147" s="251"/>
      <c r="V1147" s="251"/>
      <c r="W1147" s="251"/>
      <c r="X1147" s="251"/>
      <c r="Y1147" s="251"/>
      <c r="Z1147" s="251"/>
      <c r="AA1147" s="251"/>
      <c r="AB1147" s="251"/>
    </row>
    <row r="1148" ht="14.25" customHeight="1">
      <c r="A1148" s="251"/>
      <c r="B1148" s="263"/>
      <c r="C1148" s="275"/>
      <c r="D1148" s="98"/>
      <c r="E1148" s="240"/>
      <c r="F1148" s="240"/>
      <c r="G1148" s="240"/>
      <c r="H1148" s="240"/>
      <c r="I1148" s="276"/>
      <c r="J1148" s="251"/>
      <c r="K1148" s="251"/>
      <c r="L1148" s="251"/>
      <c r="M1148" s="251"/>
      <c r="N1148" s="251"/>
      <c r="O1148" s="251"/>
      <c r="P1148" s="251"/>
      <c r="Q1148" s="251"/>
      <c r="R1148" s="251"/>
      <c r="S1148" s="251"/>
      <c r="T1148" s="251"/>
      <c r="U1148" s="251"/>
      <c r="V1148" s="251"/>
      <c r="W1148" s="251"/>
      <c r="X1148" s="251"/>
      <c r="Y1148" s="251"/>
      <c r="Z1148" s="251"/>
      <c r="AA1148" s="251"/>
      <c r="AB1148" s="251"/>
    </row>
    <row r="1149" ht="14.25" customHeight="1">
      <c r="A1149" s="251"/>
      <c r="B1149" s="263"/>
      <c r="C1149" s="275"/>
      <c r="D1149" s="98"/>
      <c r="E1149" s="240"/>
      <c r="F1149" s="240"/>
      <c r="G1149" s="240"/>
      <c r="H1149" s="240"/>
      <c r="I1149" s="276"/>
      <c r="J1149" s="251"/>
      <c r="K1149" s="251"/>
      <c r="L1149" s="251"/>
      <c r="M1149" s="251"/>
      <c r="N1149" s="251"/>
      <c r="O1149" s="251"/>
      <c r="P1149" s="251"/>
      <c r="Q1149" s="251"/>
      <c r="R1149" s="251"/>
      <c r="S1149" s="251"/>
      <c r="T1149" s="251"/>
      <c r="U1149" s="251"/>
      <c r="V1149" s="251"/>
      <c r="W1149" s="251"/>
      <c r="X1149" s="251"/>
      <c r="Y1149" s="251"/>
      <c r="Z1149" s="251"/>
      <c r="AA1149" s="251"/>
      <c r="AB1149" s="251"/>
    </row>
    <row r="1150" ht="14.25" customHeight="1">
      <c r="A1150" s="251"/>
      <c r="B1150" s="263"/>
      <c r="C1150" s="275"/>
      <c r="D1150" s="98"/>
      <c r="E1150" s="240"/>
      <c r="F1150" s="240"/>
      <c r="G1150" s="240"/>
      <c r="H1150" s="240"/>
      <c r="I1150" s="276"/>
      <c r="J1150" s="251"/>
      <c r="K1150" s="251"/>
      <c r="L1150" s="251"/>
      <c r="M1150" s="251"/>
      <c r="N1150" s="251"/>
      <c r="O1150" s="251"/>
      <c r="P1150" s="251"/>
      <c r="Q1150" s="251"/>
      <c r="R1150" s="251"/>
      <c r="S1150" s="251"/>
      <c r="T1150" s="251"/>
      <c r="U1150" s="251"/>
      <c r="V1150" s="251"/>
      <c r="W1150" s="251"/>
      <c r="X1150" s="251"/>
      <c r="Y1150" s="251"/>
      <c r="Z1150" s="251"/>
      <c r="AA1150" s="251"/>
      <c r="AB1150" s="251"/>
    </row>
    <row r="1151" ht="14.25" customHeight="1">
      <c r="A1151" s="251"/>
      <c r="B1151" s="263"/>
      <c r="C1151" s="275"/>
      <c r="D1151" s="98"/>
      <c r="E1151" s="240"/>
      <c r="F1151" s="240"/>
      <c r="G1151" s="240"/>
      <c r="H1151" s="240"/>
      <c r="I1151" s="276"/>
      <c r="J1151" s="251"/>
      <c r="K1151" s="251"/>
      <c r="L1151" s="251"/>
      <c r="M1151" s="251"/>
      <c r="N1151" s="251"/>
      <c r="O1151" s="251"/>
      <c r="P1151" s="251"/>
      <c r="Q1151" s="251"/>
      <c r="R1151" s="251"/>
      <c r="S1151" s="251"/>
      <c r="T1151" s="251"/>
      <c r="U1151" s="251"/>
      <c r="V1151" s="251"/>
      <c r="W1151" s="251"/>
      <c r="X1151" s="251"/>
      <c r="Y1151" s="251"/>
      <c r="Z1151" s="251"/>
      <c r="AA1151" s="251"/>
      <c r="AB1151" s="251"/>
    </row>
    <row r="1152" ht="14.25" customHeight="1">
      <c r="A1152" s="251"/>
      <c r="B1152" s="263"/>
      <c r="C1152" s="275"/>
      <c r="D1152" s="98"/>
      <c r="E1152" s="240"/>
      <c r="F1152" s="240"/>
      <c r="G1152" s="240"/>
      <c r="H1152" s="240"/>
      <c r="I1152" s="276"/>
      <c r="J1152" s="251"/>
      <c r="K1152" s="251"/>
      <c r="L1152" s="251"/>
      <c r="M1152" s="251"/>
      <c r="N1152" s="251"/>
      <c r="O1152" s="251"/>
      <c r="P1152" s="251"/>
      <c r="Q1152" s="251"/>
      <c r="R1152" s="251"/>
      <c r="S1152" s="251"/>
      <c r="T1152" s="251"/>
      <c r="U1152" s="251"/>
      <c r="V1152" s="251"/>
      <c r="W1152" s="251"/>
      <c r="X1152" s="251"/>
      <c r="Y1152" s="251"/>
      <c r="Z1152" s="251"/>
      <c r="AA1152" s="251"/>
      <c r="AB1152" s="251"/>
    </row>
    <row r="1153" ht="14.25" customHeight="1">
      <c r="A1153" s="251"/>
      <c r="B1153" s="263"/>
      <c r="C1153" s="275"/>
      <c r="D1153" s="98"/>
      <c r="E1153" s="240"/>
      <c r="F1153" s="240"/>
      <c r="G1153" s="240"/>
      <c r="H1153" s="240"/>
      <c r="I1153" s="276"/>
      <c r="J1153" s="251"/>
      <c r="K1153" s="251"/>
      <c r="L1153" s="251"/>
      <c r="M1153" s="251"/>
      <c r="N1153" s="251"/>
      <c r="O1153" s="251"/>
      <c r="P1153" s="251"/>
      <c r="Q1153" s="251"/>
      <c r="R1153" s="251"/>
      <c r="S1153" s="251"/>
      <c r="T1153" s="251"/>
      <c r="U1153" s="251"/>
      <c r="V1153" s="251"/>
      <c r="W1153" s="251"/>
      <c r="X1153" s="251"/>
      <c r="Y1153" s="251"/>
      <c r="Z1153" s="251"/>
      <c r="AA1153" s="251"/>
      <c r="AB1153" s="251"/>
    </row>
    <row r="1154" ht="14.25" customHeight="1">
      <c r="A1154" s="251"/>
      <c r="B1154" s="263"/>
      <c r="C1154" s="275"/>
      <c r="D1154" s="98"/>
      <c r="E1154" s="240"/>
      <c r="F1154" s="240"/>
      <c r="G1154" s="240"/>
      <c r="H1154" s="240"/>
      <c r="I1154" s="276"/>
      <c r="J1154" s="251"/>
      <c r="K1154" s="251"/>
      <c r="L1154" s="251"/>
      <c r="M1154" s="251"/>
      <c r="N1154" s="251"/>
      <c r="O1154" s="251"/>
      <c r="P1154" s="251"/>
      <c r="Q1154" s="251"/>
      <c r="R1154" s="251"/>
      <c r="S1154" s="251"/>
      <c r="T1154" s="251"/>
      <c r="U1154" s="251"/>
      <c r="V1154" s="251"/>
      <c r="W1154" s="251"/>
      <c r="X1154" s="251"/>
      <c r="Y1154" s="251"/>
      <c r="Z1154" s="251"/>
      <c r="AA1154" s="251"/>
      <c r="AB1154" s="251"/>
    </row>
    <row r="1155" ht="14.25" customHeight="1">
      <c r="A1155" s="251"/>
      <c r="B1155" s="263"/>
      <c r="C1155" s="275"/>
      <c r="D1155" s="98"/>
      <c r="E1155" s="240"/>
      <c r="F1155" s="240"/>
      <c r="G1155" s="240"/>
      <c r="H1155" s="240"/>
      <c r="I1155" s="276"/>
      <c r="J1155" s="251"/>
      <c r="K1155" s="251"/>
      <c r="L1155" s="251"/>
      <c r="M1155" s="251"/>
      <c r="N1155" s="251"/>
      <c r="O1155" s="251"/>
      <c r="P1155" s="251"/>
      <c r="Q1155" s="251"/>
      <c r="R1155" s="251"/>
      <c r="S1155" s="251"/>
      <c r="T1155" s="251"/>
      <c r="U1155" s="251"/>
      <c r="V1155" s="251"/>
      <c r="W1155" s="251"/>
      <c r="X1155" s="251"/>
      <c r="Y1155" s="251"/>
      <c r="Z1155" s="251"/>
      <c r="AA1155" s="251"/>
      <c r="AB1155" s="251"/>
    </row>
    <row r="1156" ht="14.25" customHeight="1">
      <c r="A1156" s="251"/>
      <c r="B1156" s="263"/>
      <c r="C1156" s="275"/>
      <c r="D1156" s="98"/>
      <c r="E1156" s="240"/>
      <c r="F1156" s="240"/>
      <c r="G1156" s="240"/>
      <c r="H1156" s="240"/>
      <c r="I1156" s="276"/>
      <c r="J1156" s="251"/>
      <c r="K1156" s="251"/>
      <c r="L1156" s="251"/>
      <c r="M1156" s="251"/>
      <c r="N1156" s="251"/>
      <c r="O1156" s="251"/>
      <c r="P1156" s="251"/>
      <c r="Q1156" s="251"/>
      <c r="R1156" s="251"/>
      <c r="S1156" s="251"/>
      <c r="T1156" s="251"/>
      <c r="U1156" s="251"/>
      <c r="V1156" s="251"/>
      <c r="W1156" s="251"/>
      <c r="X1156" s="251"/>
      <c r="Y1156" s="251"/>
      <c r="Z1156" s="251"/>
      <c r="AA1156" s="251"/>
      <c r="AB1156" s="251"/>
    </row>
    <row r="1157" ht="14.25" customHeight="1">
      <c r="A1157" s="251"/>
      <c r="B1157" s="263"/>
      <c r="C1157" s="275"/>
      <c r="D1157" s="98"/>
      <c r="E1157" s="240"/>
      <c r="F1157" s="240"/>
      <c r="G1157" s="240"/>
      <c r="H1157" s="240"/>
      <c r="I1157" s="276"/>
      <c r="J1157" s="251"/>
      <c r="K1157" s="251"/>
      <c r="L1157" s="251"/>
      <c r="M1157" s="251"/>
      <c r="N1157" s="251"/>
      <c r="O1157" s="251"/>
      <c r="P1157" s="251"/>
      <c r="Q1157" s="251"/>
      <c r="R1157" s="251"/>
      <c r="S1157" s="251"/>
      <c r="T1157" s="251"/>
      <c r="U1157" s="251"/>
      <c r="V1157" s="251"/>
      <c r="W1157" s="251"/>
      <c r="X1157" s="251"/>
      <c r="Y1157" s="251"/>
      <c r="Z1157" s="251"/>
      <c r="AA1157" s="251"/>
      <c r="AB1157" s="251"/>
    </row>
    <row r="1158" ht="14.25" customHeight="1">
      <c r="A1158" s="251"/>
      <c r="B1158" s="263"/>
      <c r="C1158" s="275"/>
      <c r="D1158" s="98"/>
      <c r="E1158" s="240"/>
      <c r="F1158" s="240"/>
      <c r="G1158" s="240"/>
      <c r="H1158" s="240"/>
      <c r="I1158" s="276"/>
      <c r="J1158" s="251"/>
      <c r="K1158" s="251"/>
      <c r="L1158" s="251"/>
      <c r="M1158" s="251"/>
      <c r="N1158" s="251"/>
      <c r="O1158" s="251"/>
      <c r="P1158" s="251"/>
      <c r="Q1158" s="251"/>
      <c r="R1158" s="251"/>
      <c r="S1158" s="251"/>
      <c r="T1158" s="251"/>
      <c r="U1158" s="251"/>
      <c r="V1158" s="251"/>
      <c r="W1158" s="251"/>
      <c r="X1158" s="251"/>
      <c r="Y1158" s="251"/>
      <c r="Z1158" s="251"/>
      <c r="AA1158" s="251"/>
      <c r="AB1158" s="251"/>
    </row>
    <row r="1159" ht="14.25" customHeight="1">
      <c r="A1159" s="251"/>
      <c r="B1159" s="263"/>
      <c r="C1159" s="275"/>
      <c r="D1159" s="98"/>
      <c r="E1159" s="240"/>
      <c r="F1159" s="240"/>
      <c r="G1159" s="240"/>
      <c r="H1159" s="240"/>
      <c r="I1159" s="276"/>
      <c r="J1159" s="251"/>
      <c r="K1159" s="251"/>
      <c r="L1159" s="251"/>
      <c r="M1159" s="251"/>
      <c r="N1159" s="251"/>
      <c r="O1159" s="251"/>
      <c r="P1159" s="251"/>
      <c r="Q1159" s="251"/>
      <c r="R1159" s="251"/>
      <c r="S1159" s="251"/>
      <c r="T1159" s="251"/>
      <c r="U1159" s="251"/>
      <c r="V1159" s="251"/>
      <c r="W1159" s="251"/>
      <c r="X1159" s="251"/>
      <c r="Y1159" s="251"/>
      <c r="Z1159" s="251"/>
      <c r="AA1159" s="251"/>
      <c r="AB1159" s="251"/>
    </row>
    <row r="1160" ht="14.25" customHeight="1">
      <c r="A1160" s="251"/>
      <c r="B1160" s="263"/>
      <c r="C1160" s="275"/>
      <c r="D1160" s="98"/>
      <c r="E1160" s="240"/>
      <c r="F1160" s="240"/>
      <c r="G1160" s="240"/>
      <c r="H1160" s="240"/>
      <c r="I1160" s="276"/>
      <c r="J1160" s="251"/>
      <c r="K1160" s="251"/>
      <c r="L1160" s="251"/>
      <c r="M1160" s="251"/>
      <c r="N1160" s="251"/>
      <c r="O1160" s="251"/>
      <c r="P1160" s="251"/>
      <c r="Q1160" s="251"/>
      <c r="R1160" s="251"/>
      <c r="S1160" s="251"/>
      <c r="T1160" s="251"/>
      <c r="U1160" s="251"/>
      <c r="V1160" s="251"/>
      <c r="W1160" s="251"/>
      <c r="X1160" s="251"/>
      <c r="Y1160" s="251"/>
      <c r="Z1160" s="251"/>
      <c r="AA1160" s="251"/>
      <c r="AB1160" s="251"/>
    </row>
    <row r="1161" ht="14.25" customHeight="1">
      <c r="A1161" s="251"/>
      <c r="B1161" s="263"/>
      <c r="C1161" s="275"/>
      <c r="D1161" s="98"/>
      <c r="E1161" s="240"/>
      <c r="F1161" s="240"/>
      <c r="G1161" s="240"/>
      <c r="H1161" s="240"/>
      <c r="I1161" s="276"/>
      <c r="J1161" s="251"/>
      <c r="K1161" s="251"/>
      <c r="L1161" s="251"/>
      <c r="M1161" s="251"/>
      <c r="N1161" s="251"/>
      <c r="O1161" s="251"/>
      <c r="P1161" s="251"/>
      <c r="Q1161" s="251"/>
      <c r="R1161" s="251"/>
      <c r="S1161" s="251"/>
      <c r="T1161" s="251"/>
      <c r="U1161" s="251"/>
      <c r="V1161" s="251"/>
      <c r="W1161" s="251"/>
      <c r="X1161" s="251"/>
      <c r="Y1161" s="251"/>
      <c r="Z1161" s="251"/>
      <c r="AA1161" s="251"/>
      <c r="AB1161" s="251"/>
    </row>
    <row r="1162" ht="14.25" customHeight="1">
      <c r="A1162" s="251"/>
      <c r="B1162" s="263"/>
      <c r="C1162" s="275"/>
      <c r="D1162" s="98"/>
      <c r="E1162" s="240"/>
      <c r="F1162" s="240"/>
      <c r="G1162" s="240"/>
      <c r="H1162" s="240"/>
      <c r="I1162" s="276"/>
      <c r="J1162" s="251"/>
      <c r="K1162" s="251"/>
      <c r="L1162" s="251"/>
      <c r="M1162" s="251"/>
      <c r="N1162" s="251"/>
      <c r="O1162" s="251"/>
      <c r="P1162" s="251"/>
      <c r="Q1162" s="251"/>
      <c r="R1162" s="251"/>
      <c r="S1162" s="251"/>
      <c r="T1162" s="251"/>
      <c r="U1162" s="251"/>
      <c r="V1162" s="251"/>
      <c r="W1162" s="251"/>
      <c r="X1162" s="251"/>
      <c r="Y1162" s="251"/>
      <c r="Z1162" s="251"/>
      <c r="AA1162" s="251"/>
      <c r="AB1162" s="251"/>
    </row>
    <row r="1163" ht="14.25" customHeight="1">
      <c r="A1163" s="251"/>
      <c r="B1163" s="263"/>
      <c r="C1163" s="275"/>
      <c r="D1163" s="98"/>
      <c r="E1163" s="240"/>
      <c r="F1163" s="240"/>
      <c r="G1163" s="240"/>
      <c r="H1163" s="240"/>
      <c r="I1163" s="276"/>
      <c r="J1163" s="251"/>
      <c r="K1163" s="251"/>
      <c r="L1163" s="251"/>
      <c r="M1163" s="251"/>
      <c r="N1163" s="251"/>
      <c r="O1163" s="251"/>
      <c r="P1163" s="251"/>
      <c r="Q1163" s="251"/>
      <c r="R1163" s="251"/>
      <c r="S1163" s="251"/>
      <c r="T1163" s="251"/>
      <c r="U1163" s="251"/>
      <c r="V1163" s="251"/>
      <c r="W1163" s="251"/>
      <c r="X1163" s="251"/>
      <c r="Y1163" s="251"/>
      <c r="Z1163" s="251"/>
      <c r="AA1163" s="251"/>
      <c r="AB1163" s="251"/>
    </row>
    <row r="1164" ht="14.25" customHeight="1">
      <c r="A1164" s="251"/>
      <c r="B1164" s="263"/>
      <c r="C1164" s="275"/>
      <c r="D1164" s="98"/>
      <c r="E1164" s="240"/>
      <c r="F1164" s="240"/>
      <c r="G1164" s="240"/>
      <c r="H1164" s="240"/>
      <c r="I1164" s="276"/>
      <c r="J1164" s="251"/>
      <c r="K1164" s="251"/>
      <c r="L1164" s="251"/>
      <c r="M1164" s="251"/>
      <c r="N1164" s="251"/>
      <c r="O1164" s="251"/>
      <c r="P1164" s="251"/>
      <c r="Q1164" s="251"/>
      <c r="R1164" s="251"/>
      <c r="S1164" s="251"/>
      <c r="T1164" s="251"/>
      <c r="U1164" s="251"/>
      <c r="V1164" s="251"/>
      <c r="W1164" s="251"/>
      <c r="X1164" s="251"/>
      <c r="Y1164" s="251"/>
      <c r="Z1164" s="251"/>
      <c r="AA1164" s="251"/>
      <c r="AB1164" s="251"/>
    </row>
    <row r="1165" ht="14.25" customHeight="1">
      <c r="A1165" s="251"/>
      <c r="B1165" s="263"/>
      <c r="C1165" s="275"/>
      <c r="D1165" s="98"/>
      <c r="E1165" s="240"/>
      <c r="F1165" s="240"/>
      <c r="G1165" s="240"/>
      <c r="H1165" s="240"/>
      <c r="I1165" s="276"/>
      <c r="J1165" s="251"/>
      <c r="K1165" s="251"/>
      <c r="L1165" s="251"/>
      <c r="M1165" s="251"/>
      <c r="N1165" s="251"/>
      <c r="O1165" s="251"/>
      <c r="P1165" s="251"/>
      <c r="Q1165" s="251"/>
      <c r="R1165" s="251"/>
      <c r="S1165" s="251"/>
      <c r="T1165" s="251"/>
      <c r="U1165" s="251"/>
      <c r="V1165" s="251"/>
      <c r="W1165" s="251"/>
      <c r="X1165" s="251"/>
      <c r="Y1165" s="251"/>
      <c r="Z1165" s="251"/>
      <c r="AA1165" s="251"/>
      <c r="AB1165" s="251"/>
    </row>
    <row r="1166" ht="14.25" customHeight="1">
      <c r="A1166" s="251"/>
      <c r="B1166" s="263"/>
      <c r="C1166" s="275"/>
      <c r="D1166" s="98"/>
      <c r="E1166" s="240"/>
      <c r="F1166" s="240"/>
      <c r="G1166" s="240"/>
      <c r="H1166" s="240"/>
      <c r="I1166" s="276"/>
      <c r="J1166" s="251"/>
      <c r="K1166" s="251"/>
      <c r="L1166" s="251"/>
      <c r="M1166" s="251"/>
      <c r="N1166" s="251"/>
      <c r="O1166" s="251"/>
      <c r="P1166" s="251"/>
      <c r="Q1166" s="251"/>
      <c r="R1166" s="251"/>
      <c r="S1166" s="251"/>
      <c r="T1166" s="251"/>
      <c r="U1166" s="251"/>
      <c r="V1166" s="251"/>
      <c r="W1166" s="251"/>
      <c r="X1166" s="251"/>
      <c r="Y1166" s="251"/>
      <c r="Z1166" s="251"/>
      <c r="AA1166" s="251"/>
      <c r="AB1166" s="251"/>
    </row>
    <row r="1167" ht="14.25" customHeight="1">
      <c r="A1167" s="251"/>
      <c r="B1167" s="263"/>
      <c r="C1167" s="275"/>
      <c r="D1167" s="98"/>
      <c r="E1167" s="240"/>
      <c r="F1167" s="240"/>
      <c r="G1167" s="240"/>
      <c r="H1167" s="240"/>
      <c r="I1167" s="276"/>
      <c r="J1167" s="251"/>
      <c r="K1167" s="251"/>
      <c r="L1167" s="251"/>
      <c r="M1167" s="251"/>
      <c r="N1167" s="251"/>
      <c r="O1167" s="251"/>
      <c r="P1167" s="251"/>
      <c r="Q1167" s="251"/>
      <c r="R1167" s="251"/>
      <c r="S1167" s="251"/>
      <c r="T1167" s="251"/>
      <c r="U1167" s="251"/>
      <c r="V1167" s="251"/>
      <c r="W1167" s="251"/>
      <c r="X1167" s="251"/>
      <c r="Y1167" s="251"/>
      <c r="Z1167" s="251"/>
      <c r="AA1167" s="251"/>
      <c r="AB1167" s="251"/>
    </row>
    <row r="1168" ht="14.25" customHeight="1">
      <c r="A1168" s="251"/>
      <c r="B1168" s="263"/>
      <c r="C1168" s="275"/>
      <c r="D1168" s="98"/>
      <c r="E1168" s="240"/>
      <c r="F1168" s="240"/>
      <c r="G1168" s="240"/>
      <c r="H1168" s="240"/>
      <c r="I1168" s="276"/>
      <c r="J1168" s="251"/>
      <c r="K1168" s="251"/>
      <c r="L1168" s="251"/>
      <c r="M1168" s="251"/>
      <c r="N1168" s="251"/>
      <c r="O1168" s="251"/>
      <c r="P1168" s="251"/>
      <c r="Q1168" s="251"/>
      <c r="R1168" s="251"/>
      <c r="S1168" s="251"/>
      <c r="T1168" s="251"/>
      <c r="U1168" s="251"/>
      <c r="V1168" s="251"/>
      <c r="W1168" s="251"/>
      <c r="X1168" s="251"/>
      <c r="Y1168" s="251"/>
      <c r="Z1168" s="251"/>
      <c r="AA1168" s="251"/>
      <c r="AB1168" s="251"/>
    </row>
    <row r="1169" ht="14.25" customHeight="1">
      <c r="A1169" s="251"/>
      <c r="B1169" s="263"/>
      <c r="C1169" s="275"/>
      <c r="D1169" s="98"/>
      <c r="E1169" s="240"/>
      <c r="F1169" s="240"/>
      <c r="G1169" s="240"/>
      <c r="H1169" s="240"/>
      <c r="I1169" s="276"/>
      <c r="J1169" s="251"/>
      <c r="K1169" s="251"/>
      <c r="L1169" s="251"/>
      <c r="M1169" s="251"/>
      <c r="N1169" s="251"/>
      <c r="O1169" s="251"/>
      <c r="P1169" s="251"/>
      <c r="Q1169" s="251"/>
      <c r="R1169" s="251"/>
      <c r="S1169" s="251"/>
      <c r="T1169" s="251"/>
      <c r="U1169" s="251"/>
      <c r="V1169" s="251"/>
      <c r="W1169" s="251"/>
      <c r="X1169" s="251"/>
      <c r="Y1169" s="251"/>
      <c r="Z1169" s="251"/>
      <c r="AA1169" s="251"/>
      <c r="AB1169" s="251"/>
    </row>
    <row r="1170" ht="14.25" customHeight="1">
      <c r="A1170" s="251"/>
      <c r="B1170" s="263"/>
      <c r="C1170" s="275"/>
      <c r="D1170" s="98"/>
      <c r="E1170" s="240"/>
      <c r="F1170" s="240"/>
      <c r="G1170" s="240"/>
      <c r="H1170" s="240"/>
      <c r="I1170" s="276"/>
      <c r="J1170" s="251"/>
      <c r="K1170" s="251"/>
      <c r="L1170" s="251"/>
      <c r="M1170" s="251"/>
      <c r="N1170" s="251"/>
      <c r="O1170" s="251"/>
      <c r="P1170" s="251"/>
      <c r="Q1170" s="251"/>
      <c r="R1170" s="251"/>
      <c r="S1170" s="251"/>
      <c r="T1170" s="251"/>
      <c r="U1170" s="251"/>
      <c r="V1170" s="251"/>
      <c r="W1170" s="251"/>
      <c r="X1170" s="251"/>
      <c r="Y1170" s="251"/>
      <c r="Z1170" s="251"/>
      <c r="AA1170" s="251"/>
      <c r="AB1170" s="251"/>
    </row>
    <row r="1171" ht="14.25" customHeight="1">
      <c r="A1171" s="251"/>
      <c r="B1171" s="263"/>
      <c r="C1171" s="275"/>
      <c r="D1171" s="98"/>
      <c r="E1171" s="240"/>
      <c r="F1171" s="240"/>
      <c r="G1171" s="240"/>
      <c r="H1171" s="240"/>
      <c r="I1171" s="276"/>
      <c r="J1171" s="251"/>
      <c r="K1171" s="251"/>
      <c r="L1171" s="251"/>
      <c r="M1171" s="251"/>
      <c r="N1171" s="251"/>
      <c r="O1171" s="251"/>
      <c r="P1171" s="251"/>
      <c r="Q1171" s="251"/>
      <c r="R1171" s="251"/>
      <c r="S1171" s="251"/>
      <c r="T1171" s="251"/>
      <c r="U1171" s="251"/>
      <c r="V1171" s="251"/>
      <c r="W1171" s="251"/>
      <c r="X1171" s="251"/>
      <c r="Y1171" s="251"/>
      <c r="Z1171" s="251"/>
      <c r="AA1171" s="251"/>
      <c r="AB1171" s="251"/>
    </row>
    <row r="1172" ht="14.25" customHeight="1">
      <c r="A1172" s="251"/>
      <c r="B1172" s="263"/>
      <c r="C1172" s="275"/>
      <c r="D1172" s="98"/>
      <c r="E1172" s="240"/>
      <c r="F1172" s="240"/>
      <c r="G1172" s="240"/>
      <c r="H1172" s="240"/>
      <c r="I1172" s="276"/>
      <c r="J1172" s="251"/>
      <c r="K1172" s="251"/>
      <c r="L1172" s="251"/>
      <c r="M1172" s="251"/>
      <c r="N1172" s="251"/>
      <c r="O1172" s="251"/>
      <c r="P1172" s="251"/>
      <c r="Q1172" s="251"/>
      <c r="R1172" s="251"/>
      <c r="S1172" s="251"/>
      <c r="T1172" s="251"/>
      <c r="U1172" s="251"/>
      <c r="V1172" s="251"/>
      <c r="W1172" s="251"/>
      <c r="X1172" s="251"/>
      <c r="Y1172" s="251"/>
      <c r="Z1172" s="251"/>
      <c r="AA1172" s="251"/>
      <c r="AB1172" s="251"/>
    </row>
    <row r="1173" ht="14.25" customHeight="1">
      <c r="A1173" s="251"/>
      <c r="B1173" s="263"/>
      <c r="C1173" s="275"/>
      <c r="D1173" s="98"/>
      <c r="E1173" s="240"/>
      <c r="F1173" s="240"/>
      <c r="G1173" s="240"/>
      <c r="H1173" s="240"/>
      <c r="I1173" s="276"/>
      <c r="J1173" s="251"/>
      <c r="K1173" s="251"/>
      <c r="L1173" s="251"/>
      <c r="M1173" s="251"/>
      <c r="N1173" s="251"/>
      <c r="O1173" s="251"/>
      <c r="P1173" s="251"/>
      <c r="Q1173" s="251"/>
      <c r="R1173" s="251"/>
      <c r="S1173" s="251"/>
      <c r="T1173" s="251"/>
      <c r="U1173" s="251"/>
      <c r="V1173" s="251"/>
      <c r="W1173" s="251"/>
      <c r="X1173" s="251"/>
      <c r="Y1173" s="251"/>
      <c r="Z1173" s="251"/>
      <c r="AA1173" s="251"/>
      <c r="AB1173" s="251"/>
    </row>
    <row r="1174" ht="14.25" customHeight="1">
      <c r="A1174" s="251"/>
      <c r="B1174" s="263"/>
      <c r="C1174" s="275"/>
      <c r="D1174" s="98"/>
      <c r="E1174" s="240"/>
      <c r="F1174" s="240"/>
      <c r="G1174" s="240"/>
      <c r="H1174" s="240"/>
      <c r="I1174" s="276"/>
      <c r="J1174" s="251"/>
      <c r="K1174" s="251"/>
      <c r="L1174" s="251"/>
      <c r="M1174" s="251"/>
      <c r="N1174" s="251"/>
      <c r="O1174" s="251"/>
      <c r="P1174" s="251"/>
      <c r="Q1174" s="251"/>
      <c r="R1174" s="251"/>
      <c r="S1174" s="251"/>
      <c r="T1174" s="251"/>
      <c r="U1174" s="251"/>
      <c r="V1174" s="251"/>
      <c r="W1174" s="251"/>
      <c r="X1174" s="251"/>
      <c r="Y1174" s="251"/>
      <c r="Z1174" s="251"/>
      <c r="AA1174" s="251"/>
      <c r="AB1174" s="251"/>
    </row>
    <row r="1175" ht="14.25" customHeight="1">
      <c r="A1175" s="251"/>
      <c r="B1175" s="263"/>
      <c r="C1175" s="275"/>
      <c r="D1175" s="98"/>
      <c r="E1175" s="240"/>
      <c r="F1175" s="240"/>
      <c r="G1175" s="240"/>
      <c r="H1175" s="240"/>
      <c r="I1175" s="276"/>
      <c r="J1175" s="251"/>
      <c r="K1175" s="251"/>
      <c r="L1175" s="251"/>
      <c r="M1175" s="251"/>
      <c r="N1175" s="251"/>
      <c r="O1175" s="251"/>
      <c r="P1175" s="251"/>
      <c r="Q1175" s="251"/>
      <c r="R1175" s="251"/>
      <c r="S1175" s="251"/>
      <c r="T1175" s="251"/>
      <c r="U1175" s="251"/>
      <c r="V1175" s="251"/>
      <c r="W1175" s="251"/>
      <c r="X1175" s="251"/>
      <c r="Y1175" s="251"/>
      <c r="Z1175" s="251"/>
      <c r="AA1175" s="251"/>
      <c r="AB1175" s="251"/>
    </row>
    <row r="1176" ht="14.25" customHeight="1">
      <c r="A1176" s="251"/>
      <c r="B1176" s="263"/>
      <c r="C1176" s="275"/>
      <c r="D1176" s="98"/>
      <c r="E1176" s="240"/>
      <c r="F1176" s="240"/>
      <c r="G1176" s="240"/>
      <c r="H1176" s="240"/>
      <c r="I1176" s="276"/>
      <c r="J1176" s="251"/>
      <c r="K1176" s="251"/>
      <c r="L1176" s="251"/>
      <c r="M1176" s="251"/>
      <c r="N1176" s="251"/>
      <c r="O1176" s="251"/>
      <c r="P1176" s="251"/>
      <c r="Q1176" s="251"/>
      <c r="R1176" s="251"/>
      <c r="S1176" s="251"/>
      <c r="T1176" s="251"/>
      <c r="U1176" s="251"/>
      <c r="V1176" s="251"/>
      <c r="W1176" s="251"/>
      <c r="X1176" s="251"/>
      <c r="Y1176" s="251"/>
      <c r="Z1176" s="251"/>
      <c r="AA1176" s="251"/>
      <c r="AB1176" s="251"/>
    </row>
    <row r="1177" ht="14.25" customHeight="1">
      <c r="A1177" s="251"/>
      <c r="B1177" s="263"/>
      <c r="C1177" s="275"/>
      <c r="D1177" s="98"/>
      <c r="E1177" s="240"/>
      <c r="F1177" s="240"/>
      <c r="G1177" s="240"/>
      <c r="H1177" s="240"/>
      <c r="I1177" s="276"/>
      <c r="J1177" s="251"/>
      <c r="K1177" s="251"/>
      <c r="L1177" s="251"/>
      <c r="M1177" s="251"/>
      <c r="N1177" s="251"/>
      <c r="O1177" s="251"/>
      <c r="P1177" s="251"/>
      <c r="Q1177" s="251"/>
      <c r="R1177" s="251"/>
      <c r="S1177" s="251"/>
      <c r="T1177" s="251"/>
      <c r="U1177" s="251"/>
      <c r="V1177" s="251"/>
      <c r="W1177" s="251"/>
      <c r="X1177" s="251"/>
      <c r="Y1177" s="251"/>
      <c r="Z1177" s="251"/>
      <c r="AA1177" s="251"/>
      <c r="AB1177" s="251"/>
    </row>
    <row r="1178" ht="14.25" customHeight="1">
      <c r="A1178" s="251"/>
      <c r="B1178" s="263"/>
      <c r="C1178" s="275"/>
      <c r="D1178" s="98"/>
      <c r="E1178" s="240"/>
      <c r="F1178" s="240"/>
      <c r="G1178" s="240"/>
      <c r="H1178" s="240"/>
      <c r="I1178" s="276"/>
      <c r="J1178" s="251"/>
      <c r="K1178" s="251"/>
      <c r="L1178" s="251"/>
      <c r="M1178" s="251"/>
      <c r="N1178" s="251"/>
      <c r="O1178" s="251"/>
      <c r="P1178" s="251"/>
      <c r="Q1178" s="251"/>
      <c r="R1178" s="251"/>
      <c r="S1178" s="251"/>
      <c r="T1178" s="251"/>
      <c r="U1178" s="251"/>
      <c r="V1178" s="251"/>
      <c r="W1178" s="251"/>
      <c r="X1178" s="251"/>
      <c r="Y1178" s="251"/>
      <c r="Z1178" s="251"/>
      <c r="AA1178" s="251"/>
      <c r="AB1178" s="251"/>
    </row>
    <row r="1179" ht="14.25" customHeight="1">
      <c r="A1179" s="251"/>
      <c r="B1179" s="263"/>
      <c r="C1179" s="275"/>
      <c r="D1179" s="98"/>
      <c r="E1179" s="240"/>
      <c r="F1179" s="240"/>
      <c r="G1179" s="240"/>
      <c r="H1179" s="240"/>
      <c r="I1179" s="276"/>
      <c r="J1179" s="251"/>
      <c r="K1179" s="251"/>
      <c r="L1179" s="251"/>
      <c r="M1179" s="251"/>
      <c r="N1179" s="251"/>
      <c r="O1179" s="251"/>
      <c r="P1179" s="251"/>
      <c r="Q1179" s="251"/>
      <c r="R1179" s="251"/>
      <c r="S1179" s="251"/>
      <c r="T1179" s="251"/>
      <c r="U1179" s="251"/>
      <c r="V1179" s="251"/>
      <c r="W1179" s="251"/>
      <c r="X1179" s="251"/>
      <c r="Y1179" s="251"/>
      <c r="Z1179" s="251"/>
      <c r="AA1179" s="251"/>
      <c r="AB1179" s="251"/>
    </row>
    <row r="1180" ht="14.25" customHeight="1">
      <c r="A1180" s="251"/>
      <c r="B1180" s="263"/>
      <c r="C1180" s="275"/>
      <c r="D1180" s="98"/>
      <c r="E1180" s="240"/>
      <c r="F1180" s="240"/>
      <c r="G1180" s="240"/>
      <c r="H1180" s="240"/>
      <c r="I1180" s="276"/>
      <c r="J1180" s="251"/>
      <c r="K1180" s="251"/>
      <c r="L1180" s="251"/>
      <c r="M1180" s="251"/>
      <c r="N1180" s="251"/>
      <c r="O1180" s="251"/>
      <c r="P1180" s="251"/>
      <c r="Q1180" s="251"/>
      <c r="R1180" s="251"/>
      <c r="S1180" s="251"/>
      <c r="T1180" s="251"/>
      <c r="U1180" s="251"/>
      <c r="V1180" s="251"/>
      <c r="W1180" s="251"/>
      <c r="X1180" s="251"/>
      <c r="Y1180" s="251"/>
      <c r="Z1180" s="251"/>
      <c r="AA1180" s="251"/>
      <c r="AB1180" s="251"/>
    </row>
    <row r="1181" ht="14.25" customHeight="1">
      <c r="A1181" s="251"/>
      <c r="B1181" s="263"/>
      <c r="C1181" s="275"/>
      <c r="D1181" s="98"/>
      <c r="E1181" s="240"/>
      <c r="F1181" s="240"/>
      <c r="G1181" s="240"/>
      <c r="H1181" s="240"/>
      <c r="I1181" s="276"/>
      <c r="J1181" s="251"/>
      <c r="K1181" s="251"/>
      <c r="L1181" s="251"/>
      <c r="M1181" s="251"/>
      <c r="N1181" s="251"/>
      <c r="O1181" s="251"/>
      <c r="P1181" s="251"/>
      <c r="Q1181" s="251"/>
      <c r="R1181" s="251"/>
      <c r="S1181" s="251"/>
      <c r="T1181" s="251"/>
      <c r="U1181" s="251"/>
      <c r="V1181" s="251"/>
      <c r="W1181" s="251"/>
      <c r="X1181" s="251"/>
      <c r="Y1181" s="251"/>
      <c r="Z1181" s="251"/>
      <c r="AA1181" s="251"/>
      <c r="AB1181" s="251"/>
    </row>
    <row r="1182" ht="14.25" customHeight="1">
      <c r="A1182" s="251"/>
      <c r="B1182" s="263"/>
      <c r="C1182" s="275"/>
      <c r="D1182" s="98"/>
      <c r="E1182" s="240"/>
      <c r="F1182" s="240"/>
      <c r="G1182" s="240"/>
      <c r="H1182" s="240"/>
      <c r="I1182" s="276"/>
      <c r="J1182" s="251"/>
      <c r="K1182" s="251"/>
      <c r="L1182" s="251"/>
      <c r="M1182" s="251"/>
      <c r="N1182" s="251"/>
      <c r="O1182" s="251"/>
      <c r="P1182" s="251"/>
      <c r="Q1182" s="251"/>
      <c r="R1182" s="251"/>
      <c r="S1182" s="251"/>
      <c r="T1182" s="251"/>
      <c r="U1182" s="251"/>
      <c r="V1182" s="251"/>
      <c r="W1182" s="251"/>
      <c r="X1182" s="251"/>
      <c r="Y1182" s="251"/>
      <c r="Z1182" s="251"/>
      <c r="AA1182" s="251"/>
      <c r="AB1182" s="251"/>
    </row>
    <row r="1183" ht="14.25" customHeight="1">
      <c r="A1183" s="251"/>
      <c r="B1183" s="263"/>
      <c r="C1183" s="275"/>
      <c r="D1183" s="98"/>
      <c r="E1183" s="240"/>
      <c r="F1183" s="240"/>
      <c r="G1183" s="240"/>
      <c r="H1183" s="240"/>
      <c r="I1183" s="276"/>
      <c r="J1183" s="251"/>
      <c r="K1183" s="251"/>
      <c r="L1183" s="251"/>
      <c r="M1183" s="251"/>
      <c r="N1183" s="251"/>
      <c r="O1183" s="251"/>
      <c r="P1183" s="251"/>
      <c r="Q1183" s="251"/>
      <c r="R1183" s="251"/>
      <c r="S1183" s="251"/>
      <c r="T1183" s="251"/>
      <c r="U1183" s="251"/>
      <c r="V1183" s="251"/>
      <c r="W1183" s="251"/>
      <c r="X1183" s="251"/>
      <c r="Y1183" s="251"/>
      <c r="Z1183" s="251"/>
      <c r="AA1183" s="251"/>
      <c r="AB1183" s="251"/>
    </row>
    <row r="1184" ht="14.25" customHeight="1">
      <c r="A1184" s="251"/>
      <c r="B1184" s="263"/>
      <c r="C1184" s="275"/>
      <c r="D1184" s="98"/>
      <c r="E1184" s="240"/>
      <c r="F1184" s="240"/>
      <c r="G1184" s="240"/>
      <c r="H1184" s="240"/>
      <c r="I1184" s="276"/>
      <c r="J1184" s="251"/>
      <c r="K1184" s="251"/>
      <c r="L1184" s="251"/>
      <c r="M1184" s="251"/>
      <c r="N1184" s="251"/>
      <c r="O1184" s="251"/>
      <c r="P1184" s="251"/>
      <c r="Q1184" s="251"/>
      <c r="R1184" s="251"/>
      <c r="S1184" s="251"/>
      <c r="T1184" s="251"/>
      <c r="U1184" s="251"/>
      <c r="V1184" s="251"/>
      <c r="W1184" s="251"/>
      <c r="X1184" s="251"/>
      <c r="Y1184" s="251"/>
      <c r="Z1184" s="251"/>
      <c r="AA1184" s="251"/>
      <c r="AB1184" s="251"/>
    </row>
    <row r="1185" ht="14.25" customHeight="1">
      <c r="A1185" s="251"/>
      <c r="B1185" s="263"/>
      <c r="C1185" s="275"/>
      <c r="D1185" s="98"/>
      <c r="E1185" s="240"/>
      <c r="F1185" s="240"/>
      <c r="G1185" s="240"/>
      <c r="H1185" s="240"/>
      <c r="I1185" s="276"/>
      <c r="J1185" s="251"/>
      <c r="K1185" s="251"/>
      <c r="L1185" s="251"/>
      <c r="M1185" s="251"/>
      <c r="N1185" s="251"/>
      <c r="O1185" s="251"/>
      <c r="P1185" s="251"/>
      <c r="Q1185" s="251"/>
      <c r="R1185" s="251"/>
      <c r="S1185" s="251"/>
      <c r="T1185" s="251"/>
      <c r="U1185" s="251"/>
      <c r="V1185" s="251"/>
      <c r="W1185" s="251"/>
      <c r="X1185" s="251"/>
      <c r="Y1185" s="251"/>
      <c r="Z1185" s="251"/>
      <c r="AA1185" s="251"/>
      <c r="AB1185" s="251"/>
    </row>
    <row r="1186" ht="14.25" customHeight="1">
      <c r="A1186" s="251"/>
      <c r="B1186" s="263"/>
      <c r="C1186" s="275"/>
      <c r="D1186" s="98"/>
      <c r="E1186" s="240"/>
      <c r="F1186" s="240"/>
      <c r="G1186" s="240"/>
      <c r="H1186" s="240"/>
      <c r="I1186" s="276"/>
      <c r="J1186" s="251"/>
      <c r="K1186" s="251"/>
      <c r="L1186" s="251"/>
      <c r="M1186" s="251"/>
      <c r="N1186" s="251"/>
      <c r="O1186" s="251"/>
      <c r="P1186" s="251"/>
      <c r="Q1186" s="251"/>
      <c r="R1186" s="251"/>
      <c r="S1186" s="251"/>
      <c r="T1186" s="251"/>
      <c r="U1186" s="251"/>
      <c r="V1186" s="251"/>
      <c r="W1186" s="251"/>
      <c r="X1186" s="251"/>
      <c r="Y1186" s="251"/>
      <c r="Z1186" s="251"/>
      <c r="AA1186" s="251"/>
      <c r="AB1186" s="251"/>
    </row>
    <row r="1187" ht="14.25" customHeight="1">
      <c r="A1187" s="251"/>
      <c r="B1187" s="263"/>
      <c r="C1187" s="275"/>
      <c r="D1187" s="98"/>
      <c r="E1187" s="240"/>
      <c r="F1187" s="240"/>
      <c r="G1187" s="240"/>
      <c r="H1187" s="240"/>
      <c r="I1187" s="276"/>
      <c r="J1187" s="251"/>
      <c r="K1187" s="251"/>
      <c r="L1187" s="251"/>
      <c r="M1187" s="251"/>
      <c r="N1187" s="251"/>
      <c r="O1187" s="251"/>
      <c r="P1187" s="251"/>
      <c r="Q1187" s="251"/>
      <c r="R1187" s="251"/>
      <c r="S1187" s="251"/>
      <c r="T1187" s="251"/>
      <c r="U1187" s="251"/>
      <c r="V1187" s="251"/>
      <c r="W1187" s="251"/>
      <c r="X1187" s="251"/>
      <c r="Y1187" s="251"/>
      <c r="Z1187" s="251"/>
      <c r="AA1187" s="251"/>
      <c r="AB1187" s="251"/>
    </row>
    <row r="1188" ht="14.25" customHeight="1">
      <c r="A1188" s="251"/>
      <c r="B1188" s="263"/>
      <c r="C1188" s="275"/>
      <c r="D1188" s="98"/>
      <c r="E1188" s="240"/>
      <c r="F1188" s="240"/>
      <c r="G1188" s="240"/>
      <c r="H1188" s="240"/>
      <c r="I1188" s="276"/>
      <c r="J1188" s="251"/>
      <c r="K1188" s="251"/>
      <c r="L1188" s="251"/>
      <c r="M1188" s="251"/>
      <c r="N1188" s="251"/>
      <c r="O1188" s="251"/>
      <c r="P1188" s="251"/>
      <c r="Q1188" s="251"/>
      <c r="R1188" s="251"/>
      <c r="S1188" s="251"/>
      <c r="T1188" s="251"/>
      <c r="U1188" s="251"/>
      <c r="V1188" s="251"/>
      <c r="W1188" s="251"/>
      <c r="X1188" s="251"/>
      <c r="Y1188" s="251"/>
      <c r="Z1188" s="251"/>
      <c r="AA1188" s="251"/>
      <c r="AB1188" s="251"/>
    </row>
    <row r="1189" ht="14.25" customHeight="1">
      <c r="A1189" s="251"/>
      <c r="B1189" s="263"/>
      <c r="C1189" s="275"/>
      <c r="D1189" s="98"/>
      <c r="E1189" s="240"/>
      <c r="F1189" s="240"/>
      <c r="G1189" s="240"/>
      <c r="H1189" s="240"/>
      <c r="I1189" s="276"/>
      <c r="J1189" s="251"/>
      <c r="K1189" s="251"/>
      <c r="L1189" s="251"/>
      <c r="M1189" s="251"/>
      <c r="N1189" s="251"/>
      <c r="O1189" s="251"/>
      <c r="P1189" s="251"/>
      <c r="Q1189" s="251"/>
      <c r="R1189" s="251"/>
      <c r="S1189" s="251"/>
      <c r="T1189" s="251"/>
      <c r="U1189" s="251"/>
      <c r="V1189" s="251"/>
      <c r="W1189" s="251"/>
      <c r="X1189" s="251"/>
      <c r="Y1189" s="251"/>
      <c r="Z1189" s="251"/>
      <c r="AA1189" s="251"/>
      <c r="AB1189" s="251"/>
    </row>
    <row r="1190" ht="14.25" customHeight="1">
      <c r="A1190" s="251"/>
      <c r="B1190" s="263"/>
      <c r="C1190" s="275"/>
      <c r="D1190" s="98"/>
      <c r="E1190" s="240"/>
      <c r="F1190" s="240"/>
      <c r="G1190" s="240"/>
      <c r="H1190" s="240"/>
      <c r="I1190" s="276"/>
      <c r="J1190" s="251"/>
      <c r="K1190" s="251"/>
      <c r="L1190" s="251"/>
      <c r="M1190" s="251"/>
      <c r="N1190" s="251"/>
      <c r="O1190" s="251"/>
      <c r="P1190" s="251"/>
      <c r="Q1190" s="251"/>
      <c r="R1190" s="251"/>
      <c r="S1190" s="251"/>
      <c r="T1190" s="251"/>
      <c r="U1190" s="251"/>
      <c r="V1190" s="251"/>
      <c r="W1190" s="251"/>
      <c r="X1190" s="251"/>
      <c r="Y1190" s="251"/>
      <c r="Z1190" s="251"/>
      <c r="AA1190" s="251"/>
      <c r="AB1190" s="251"/>
    </row>
    <row r="1191" ht="14.25" customHeight="1">
      <c r="A1191" s="251"/>
      <c r="B1191" s="263"/>
      <c r="C1191" s="275"/>
      <c r="D1191" s="98"/>
      <c r="E1191" s="240"/>
      <c r="F1191" s="240"/>
      <c r="G1191" s="240"/>
      <c r="H1191" s="240"/>
      <c r="I1191" s="276"/>
      <c r="J1191" s="251"/>
      <c r="K1191" s="251"/>
      <c r="L1191" s="251"/>
      <c r="M1191" s="251"/>
      <c r="N1191" s="251"/>
      <c r="O1191" s="251"/>
      <c r="P1191" s="251"/>
      <c r="Q1191" s="251"/>
      <c r="R1191" s="251"/>
      <c r="S1191" s="251"/>
      <c r="T1191" s="251"/>
      <c r="U1191" s="251"/>
      <c r="V1191" s="251"/>
      <c r="W1191" s="251"/>
      <c r="X1191" s="251"/>
      <c r="Y1191" s="251"/>
      <c r="Z1191" s="251"/>
      <c r="AA1191" s="251"/>
      <c r="AB1191" s="251"/>
    </row>
    <row r="1192" ht="14.25" customHeight="1">
      <c r="A1192" s="251"/>
      <c r="B1192" s="263"/>
      <c r="C1192" s="275"/>
      <c r="D1192" s="98"/>
      <c r="E1192" s="240"/>
      <c r="F1192" s="240"/>
      <c r="G1192" s="240"/>
      <c r="H1192" s="240"/>
      <c r="I1192" s="276"/>
      <c r="J1192" s="251"/>
      <c r="K1192" s="251"/>
      <c r="L1192" s="251"/>
      <c r="M1192" s="251"/>
      <c r="N1192" s="251"/>
      <c r="O1192" s="251"/>
      <c r="P1192" s="251"/>
      <c r="Q1192" s="251"/>
      <c r="R1192" s="251"/>
      <c r="S1192" s="251"/>
      <c r="T1192" s="251"/>
      <c r="U1192" s="251"/>
      <c r="V1192" s="251"/>
      <c r="W1192" s="251"/>
      <c r="X1192" s="251"/>
      <c r="Y1192" s="251"/>
      <c r="Z1192" s="251"/>
      <c r="AA1192" s="251"/>
      <c r="AB1192" s="251"/>
    </row>
    <row r="1193" ht="14.25" customHeight="1">
      <c r="A1193" s="251"/>
      <c r="B1193" s="263"/>
      <c r="C1193" s="275"/>
      <c r="D1193" s="98"/>
      <c r="E1193" s="240"/>
      <c r="F1193" s="240"/>
      <c r="G1193" s="240"/>
      <c r="H1193" s="240"/>
      <c r="I1193" s="276"/>
      <c r="J1193" s="251"/>
      <c r="K1193" s="251"/>
      <c r="L1193" s="251"/>
      <c r="M1193" s="251"/>
      <c r="N1193" s="251"/>
      <c r="O1193" s="251"/>
      <c r="P1193" s="251"/>
      <c r="Q1193" s="251"/>
      <c r="R1193" s="251"/>
      <c r="S1193" s="251"/>
      <c r="T1193" s="251"/>
      <c r="U1193" s="251"/>
      <c r="V1193" s="251"/>
      <c r="W1193" s="251"/>
      <c r="X1193" s="251"/>
      <c r="Y1193" s="251"/>
      <c r="Z1193" s="251"/>
      <c r="AA1193" s="251"/>
      <c r="AB1193" s="251"/>
    </row>
    <row r="1194" ht="14.25" customHeight="1">
      <c r="A1194" s="251"/>
      <c r="B1194" s="263"/>
      <c r="C1194" s="275"/>
      <c r="D1194" s="98"/>
      <c r="E1194" s="240"/>
      <c r="F1194" s="240"/>
      <c r="G1194" s="240"/>
      <c r="H1194" s="240"/>
      <c r="I1194" s="276"/>
      <c r="J1194" s="251"/>
      <c r="K1194" s="251"/>
      <c r="L1194" s="251"/>
      <c r="M1194" s="251"/>
      <c r="N1194" s="251"/>
      <c r="O1194" s="251"/>
      <c r="P1194" s="251"/>
      <c r="Q1194" s="251"/>
      <c r="R1194" s="251"/>
      <c r="S1194" s="251"/>
      <c r="T1194" s="251"/>
      <c r="U1194" s="251"/>
      <c r="V1194" s="251"/>
      <c r="W1194" s="251"/>
      <c r="X1194" s="251"/>
      <c r="Y1194" s="251"/>
      <c r="Z1194" s="251"/>
      <c r="AA1194" s="251"/>
      <c r="AB1194" s="251"/>
    </row>
    <row r="1195" ht="14.25" customHeight="1">
      <c r="A1195" s="251"/>
      <c r="B1195" s="263"/>
      <c r="C1195" s="275"/>
      <c r="D1195" s="98"/>
      <c r="E1195" s="240"/>
      <c r="F1195" s="240"/>
      <c r="G1195" s="240"/>
      <c r="H1195" s="240"/>
      <c r="I1195" s="276"/>
      <c r="J1195" s="251"/>
      <c r="K1195" s="251"/>
      <c r="L1195" s="251"/>
      <c r="M1195" s="251"/>
      <c r="N1195" s="251"/>
      <c r="O1195" s="251"/>
      <c r="P1195" s="251"/>
      <c r="Q1195" s="251"/>
      <c r="R1195" s="251"/>
      <c r="S1195" s="251"/>
      <c r="T1195" s="251"/>
      <c r="U1195" s="251"/>
      <c r="V1195" s="251"/>
      <c r="W1195" s="251"/>
      <c r="X1195" s="251"/>
      <c r="Y1195" s="251"/>
      <c r="Z1195" s="251"/>
      <c r="AA1195" s="251"/>
      <c r="AB1195" s="251"/>
    </row>
    <row r="1196" ht="14.25" customHeight="1">
      <c r="A1196" s="251"/>
      <c r="B1196" s="263"/>
      <c r="C1196" s="275"/>
      <c r="D1196" s="98"/>
      <c r="E1196" s="240"/>
      <c r="F1196" s="240"/>
      <c r="G1196" s="240"/>
      <c r="H1196" s="240"/>
      <c r="I1196" s="276"/>
      <c r="J1196" s="251"/>
      <c r="K1196" s="251"/>
      <c r="L1196" s="251"/>
      <c r="M1196" s="251"/>
      <c r="N1196" s="251"/>
      <c r="O1196" s="251"/>
      <c r="P1196" s="251"/>
      <c r="Q1196" s="251"/>
      <c r="R1196" s="251"/>
      <c r="S1196" s="251"/>
      <c r="T1196" s="251"/>
      <c r="U1196" s="251"/>
      <c r="V1196" s="251"/>
      <c r="W1196" s="251"/>
      <c r="X1196" s="251"/>
      <c r="Y1196" s="251"/>
      <c r="Z1196" s="251"/>
      <c r="AA1196" s="251"/>
      <c r="AB1196" s="251"/>
    </row>
    <row r="1197" ht="14.25" customHeight="1">
      <c r="A1197" s="251"/>
      <c r="B1197" s="263"/>
      <c r="C1197" s="275"/>
      <c r="D1197" s="98"/>
      <c r="E1197" s="240"/>
      <c r="F1197" s="240"/>
      <c r="G1197" s="240"/>
      <c r="H1197" s="240"/>
      <c r="I1197" s="276"/>
      <c r="J1197" s="251"/>
      <c r="K1197" s="251"/>
      <c r="L1197" s="251"/>
      <c r="M1197" s="251"/>
      <c r="N1197" s="251"/>
      <c r="O1197" s="251"/>
      <c r="P1197" s="251"/>
      <c r="Q1197" s="251"/>
      <c r="R1197" s="251"/>
      <c r="S1197" s="251"/>
      <c r="T1197" s="251"/>
      <c r="U1197" s="251"/>
      <c r="V1197" s="251"/>
      <c r="W1197" s="251"/>
      <c r="X1197" s="251"/>
      <c r="Y1197" s="251"/>
      <c r="Z1197" s="251"/>
      <c r="AA1197" s="251"/>
      <c r="AB1197" s="251"/>
    </row>
    <row r="1198" ht="14.25" customHeight="1">
      <c r="A1198" s="251"/>
      <c r="B1198" s="263"/>
      <c r="C1198" s="275"/>
      <c r="D1198" s="98"/>
      <c r="E1198" s="240"/>
      <c r="F1198" s="240"/>
      <c r="G1198" s="240"/>
      <c r="H1198" s="240"/>
      <c r="I1198" s="276"/>
      <c r="J1198" s="251"/>
      <c r="K1198" s="251"/>
      <c r="L1198" s="251"/>
      <c r="M1198" s="251"/>
      <c r="N1198" s="251"/>
      <c r="O1198" s="251"/>
      <c r="P1198" s="251"/>
      <c r="Q1198" s="251"/>
      <c r="R1198" s="251"/>
      <c r="S1198" s="251"/>
      <c r="T1198" s="251"/>
      <c r="U1198" s="251"/>
      <c r="V1198" s="251"/>
      <c r="W1198" s="251"/>
      <c r="X1198" s="251"/>
      <c r="Y1198" s="251"/>
      <c r="Z1198" s="251"/>
      <c r="AA1198" s="251"/>
      <c r="AB1198" s="251"/>
    </row>
    <row r="1199" ht="14.25" customHeight="1">
      <c r="A1199" s="251"/>
      <c r="B1199" s="263"/>
      <c r="C1199" s="275"/>
      <c r="D1199" s="98"/>
      <c r="E1199" s="240"/>
      <c r="F1199" s="240"/>
      <c r="G1199" s="240"/>
      <c r="H1199" s="240"/>
      <c r="I1199" s="276"/>
      <c r="J1199" s="251"/>
      <c r="K1199" s="251"/>
      <c r="L1199" s="251"/>
      <c r="M1199" s="251"/>
      <c r="N1199" s="251"/>
      <c r="O1199" s="251"/>
      <c r="P1199" s="251"/>
      <c r="Q1199" s="251"/>
      <c r="R1199" s="251"/>
      <c r="S1199" s="251"/>
      <c r="T1199" s="251"/>
      <c r="U1199" s="251"/>
      <c r="V1199" s="251"/>
      <c r="W1199" s="251"/>
      <c r="X1199" s="251"/>
      <c r="Y1199" s="251"/>
      <c r="Z1199" s="251"/>
      <c r="AA1199" s="251"/>
      <c r="AB1199" s="251"/>
    </row>
    <row r="1200" ht="14.25" customHeight="1">
      <c r="A1200" s="251"/>
      <c r="B1200" s="263"/>
      <c r="C1200" s="275"/>
      <c r="D1200" s="98"/>
      <c r="E1200" s="240"/>
      <c r="F1200" s="240"/>
      <c r="G1200" s="240"/>
      <c r="H1200" s="240"/>
      <c r="I1200" s="276"/>
      <c r="J1200" s="251"/>
      <c r="K1200" s="251"/>
      <c r="L1200" s="251"/>
      <c r="M1200" s="251"/>
      <c r="N1200" s="251"/>
      <c r="O1200" s="251"/>
      <c r="P1200" s="251"/>
      <c r="Q1200" s="251"/>
      <c r="R1200" s="251"/>
      <c r="S1200" s="251"/>
      <c r="T1200" s="251"/>
      <c r="U1200" s="251"/>
      <c r="V1200" s="251"/>
      <c r="W1200" s="251"/>
      <c r="X1200" s="251"/>
      <c r="Y1200" s="251"/>
      <c r="Z1200" s="251"/>
      <c r="AA1200" s="251"/>
      <c r="AB1200" s="251"/>
    </row>
    <row r="1201" ht="14.25" customHeight="1">
      <c r="A1201" s="251"/>
      <c r="B1201" s="263"/>
      <c r="C1201" s="275"/>
      <c r="D1201" s="98"/>
      <c r="E1201" s="240"/>
      <c r="F1201" s="240"/>
      <c r="G1201" s="240"/>
      <c r="H1201" s="240"/>
      <c r="I1201" s="276"/>
      <c r="J1201" s="251"/>
      <c r="K1201" s="251"/>
      <c r="L1201" s="251"/>
      <c r="M1201" s="251"/>
      <c r="N1201" s="251"/>
      <c r="O1201" s="251"/>
      <c r="P1201" s="251"/>
      <c r="Q1201" s="251"/>
      <c r="R1201" s="251"/>
      <c r="S1201" s="251"/>
      <c r="T1201" s="251"/>
      <c r="U1201" s="251"/>
      <c r="V1201" s="251"/>
      <c r="W1201" s="251"/>
      <c r="X1201" s="251"/>
      <c r="Y1201" s="251"/>
      <c r="Z1201" s="251"/>
      <c r="AA1201" s="251"/>
      <c r="AB1201" s="251"/>
    </row>
    <row r="1202" ht="14.25" customHeight="1">
      <c r="A1202" s="251"/>
      <c r="B1202" s="263"/>
      <c r="C1202" s="275"/>
      <c r="D1202" s="98"/>
      <c r="E1202" s="240"/>
      <c r="F1202" s="240"/>
      <c r="G1202" s="240"/>
      <c r="H1202" s="240"/>
      <c r="I1202" s="276"/>
      <c r="J1202" s="251"/>
      <c r="K1202" s="251"/>
      <c r="L1202" s="251"/>
      <c r="M1202" s="251"/>
      <c r="N1202" s="251"/>
      <c r="O1202" s="251"/>
      <c r="P1202" s="251"/>
      <c r="Q1202" s="251"/>
      <c r="R1202" s="251"/>
      <c r="S1202" s="251"/>
      <c r="T1202" s="251"/>
      <c r="U1202" s="251"/>
      <c r="V1202" s="251"/>
      <c r="W1202" s="251"/>
      <c r="X1202" s="251"/>
      <c r="Y1202" s="251"/>
      <c r="Z1202" s="251"/>
      <c r="AA1202" s="251"/>
      <c r="AB1202" s="251"/>
    </row>
    <row r="1203" ht="14.25" customHeight="1">
      <c r="A1203" s="251"/>
      <c r="B1203" s="263"/>
      <c r="C1203" s="275"/>
      <c r="D1203" s="98"/>
      <c r="E1203" s="240"/>
      <c r="F1203" s="240"/>
      <c r="G1203" s="240"/>
      <c r="H1203" s="240"/>
      <c r="I1203" s="276"/>
      <c r="J1203" s="251"/>
      <c r="K1203" s="251"/>
      <c r="L1203" s="251"/>
      <c r="M1203" s="251"/>
      <c r="N1203" s="251"/>
      <c r="O1203" s="251"/>
      <c r="P1203" s="251"/>
      <c r="Q1203" s="251"/>
      <c r="R1203" s="251"/>
      <c r="S1203" s="251"/>
      <c r="T1203" s="251"/>
      <c r="U1203" s="251"/>
      <c r="V1203" s="251"/>
      <c r="W1203" s="251"/>
      <c r="X1203" s="251"/>
      <c r="Y1203" s="251"/>
      <c r="Z1203" s="251"/>
      <c r="AA1203" s="251"/>
      <c r="AB1203" s="251"/>
    </row>
    <row r="1204" ht="14.25" customHeight="1">
      <c r="A1204" s="251"/>
      <c r="B1204" s="263"/>
      <c r="C1204" s="275"/>
      <c r="D1204" s="98"/>
      <c r="E1204" s="240"/>
      <c r="F1204" s="240"/>
      <c r="G1204" s="240"/>
      <c r="H1204" s="240"/>
      <c r="I1204" s="276"/>
      <c r="J1204" s="251"/>
      <c r="K1204" s="251"/>
      <c r="L1204" s="251"/>
      <c r="M1204" s="251"/>
      <c r="N1204" s="251"/>
      <c r="O1204" s="251"/>
      <c r="P1204" s="251"/>
      <c r="Q1204" s="251"/>
      <c r="R1204" s="251"/>
      <c r="S1204" s="251"/>
      <c r="T1204" s="251"/>
      <c r="U1204" s="251"/>
      <c r="V1204" s="251"/>
      <c r="W1204" s="251"/>
      <c r="X1204" s="251"/>
      <c r="Y1204" s="251"/>
      <c r="Z1204" s="251"/>
      <c r="AA1204" s="251"/>
      <c r="AB1204" s="251"/>
    </row>
    <row r="1205" ht="14.25" customHeight="1">
      <c r="A1205" s="251"/>
      <c r="B1205" s="263"/>
      <c r="C1205" s="275"/>
      <c r="D1205" s="98"/>
      <c r="E1205" s="240"/>
      <c r="F1205" s="240"/>
      <c r="G1205" s="240"/>
      <c r="H1205" s="240"/>
      <c r="I1205" s="276"/>
      <c r="J1205" s="251"/>
      <c r="K1205" s="251"/>
      <c r="L1205" s="251"/>
      <c r="M1205" s="251"/>
      <c r="N1205" s="251"/>
      <c r="O1205" s="251"/>
      <c r="P1205" s="251"/>
      <c r="Q1205" s="251"/>
      <c r="R1205" s="251"/>
      <c r="S1205" s="251"/>
      <c r="T1205" s="251"/>
      <c r="U1205" s="251"/>
      <c r="V1205" s="251"/>
      <c r="W1205" s="251"/>
      <c r="X1205" s="251"/>
      <c r="Y1205" s="251"/>
      <c r="Z1205" s="251"/>
      <c r="AA1205" s="251"/>
      <c r="AB1205" s="251"/>
    </row>
    <row r="1206" ht="14.25" customHeight="1">
      <c r="A1206" s="251"/>
      <c r="B1206" s="263"/>
      <c r="C1206" s="275"/>
      <c r="D1206" s="98"/>
      <c r="E1206" s="240"/>
      <c r="F1206" s="240"/>
      <c r="G1206" s="240"/>
      <c r="H1206" s="240"/>
      <c r="I1206" s="276"/>
      <c r="J1206" s="251"/>
      <c r="K1206" s="251"/>
      <c r="L1206" s="251"/>
      <c r="M1206" s="251"/>
      <c r="N1206" s="251"/>
      <c r="O1206" s="251"/>
      <c r="P1206" s="251"/>
      <c r="Q1206" s="251"/>
      <c r="R1206" s="251"/>
      <c r="S1206" s="251"/>
      <c r="T1206" s="251"/>
      <c r="U1206" s="251"/>
      <c r="V1206" s="251"/>
      <c r="W1206" s="251"/>
      <c r="X1206" s="251"/>
      <c r="Y1206" s="251"/>
      <c r="Z1206" s="251"/>
      <c r="AA1206" s="251"/>
      <c r="AB1206" s="251"/>
    </row>
    <row r="1207" ht="14.25" customHeight="1">
      <c r="A1207" s="251"/>
      <c r="B1207" s="263"/>
      <c r="C1207" s="275"/>
      <c r="D1207" s="98"/>
      <c r="E1207" s="240"/>
      <c r="F1207" s="240"/>
      <c r="G1207" s="240"/>
      <c r="H1207" s="240"/>
      <c r="I1207" s="276"/>
      <c r="J1207" s="251"/>
      <c r="K1207" s="251"/>
      <c r="L1207" s="251"/>
      <c r="M1207" s="251"/>
      <c r="N1207" s="251"/>
      <c r="O1207" s="251"/>
      <c r="P1207" s="251"/>
      <c r="Q1207" s="251"/>
      <c r="R1207" s="251"/>
      <c r="S1207" s="251"/>
      <c r="T1207" s="251"/>
      <c r="U1207" s="251"/>
      <c r="V1207" s="251"/>
      <c r="W1207" s="251"/>
      <c r="X1207" s="251"/>
      <c r="Y1207" s="251"/>
      <c r="Z1207" s="251"/>
      <c r="AA1207" s="251"/>
      <c r="AB1207" s="251"/>
    </row>
    <row r="1208" ht="14.25" customHeight="1">
      <c r="A1208" s="251"/>
      <c r="B1208" s="263"/>
      <c r="C1208" s="275"/>
      <c r="D1208" s="98"/>
      <c r="E1208" s="240"/>
      <c r="F1208" s="240"/>
      <c r="G1208" s="240"/>
      <c r="H1208" s="240"/>
      <c r="I1208" s="276"/>
      <c r="J1208" s="251"/>
      <c r="K1208" s="251"/>
      <c r="L1208" s="251"/>
      <c r="M1208" s="251"/>
      <c r="N1208" s="251"/>
      <c r="O1208" s="251"/>
      <c r="P1208" s="251"/>
      <c r="Q1208" s="251"/>
      <c r="R1208" s="251"/>
      <c r="S1208" s="251"/>
      <c r="T1208" s="251"/>
      <c r="U1208" s="251"/>
      <c r="V1208" s="251"/>
      <c r="W1208" s="251"/>
      <c r="X1208" s="251"/>
      <c r="Y1208" s="251"/>
      <c r="Z1208" s="251"/>
      <c r="AA1208" s="251"/>
      <c r="AB1208" s="251"/>
    </row>
    <row r="1209" ht="14.25" customHeight="1">
      <c r="A1209" s="251"/>
      <c r="B1209" s="263"/>
      <c r="C1209" s="275"/>
      <c r="D1209" s="98"/>
      <c r="E1209" s="240"/>
      <c r="F1209" s="240"/>
      <c r="G1209" s="240"/>
      <c r="H1209" s="240"/>
      <c r="I1209" s="276"/>
      <c r="J1209" s="251"/>
      <c r="K1209" s="251"/>
      <c r="L1209" s="251"/>
      <c r="M1209" s="251"/>
      <c r="N1209" s="251"/>
      <c r="O1209" s="251"/>
      <c r="P1209" s="251"/>
      <c r="Q1209" s="251"/>
      <c r="R1209" s="251"/>
      <c r="S1209" s="251"/>
      <c r="T1209" s="251"/>
      <c r="U1209" s="251"/>
      <c r="V1209" s="251"/>
      <c r="W1209" s="251"/>
      <c r="X1209" s="251"/>
      <c r="Y1209" s="251"/>
      <c r="Z1209" s="251"/>
      <c r="AA1209" s="251"/>
      <c r="AB1209" s="251"/>
    </row>
    <row r="1210" ht="14.25" customHeight="1">
      <c r="A1210" s="251"/>
      <c r="B1210" s="263"/>
      <c r="C1210" s="275"/>
      <c r="D1210" s="98"/>
      <c r="E1210" s="240"/>
      <c r="F1210" s="240"/>
      <c r="G1210" s="240"/>
      <c r="H1210" s="240"/>
      <c r="I1210" s="276"/>
      <c r="J1210" s="251"/>
      <c r="K1210" s="251"/>
      <c r="L1210" s="251"/>
      <c r="M1210" s="251"/>
      <c r="N1210" s="251"/>
      <c r="O1210" s="251"/>
      <c r="P1210" s="251"/>
      <c r="Q1210" s="251"/>
      <c r="R1210" s="251"/>
      <c r="S1210" s="251"/>
      <c r="T1210" s="251"/>
      <c r="U1210" s="251"/>
      <c r="V1210" s="251"/>
      <c r="W1210" s="251"/>
      <c r="X1210" s="251"/>
      <c r="Y1210" s="251"/>
      <c r="Z1210" s="251"/>
      <c r="AA1210" s="251"/>
      <c r="AB1210" s="251"/>
    </row>
    <row r="1211" ht="14.25" customHeight="1">
      <c r="A1211" s="251"/>
      <c r="B1211" s="263"/>
      <c r="C1211" s="275"/>
      <c r="D1211" s="98"/>
      <c r="E1211" s="240"/>
      <c r="F1211" s="240"/>
      <c r="G1211" s="240"/>
      <c r="H1211" s="240"/>
      <c r="I1211" s="276"/>
      <c r="J1211" s="251"/>
      <c r="K1211" s="251"/>
      <c r="L1211" s="251"/>
      <c r="M1211" s="251"/>
      <c r="N1211" s="251"/>
      <c r="O1211" s="251"/>
      <c r="P1211" s="251"/>
      <c r="Q1211" s="251"/>
      <c r="R1211" s="251"/>
      <c r="S1211" s="251"/>
      <c r="T1211" s="251"/>
      <c r="U1211" s="251"/>
      <c r="V1211" s="251"/>
      <c r="W1211" s="251"/>
      <c r="X1211" s="251"/>
      <c r="Y1211" s="251"/>
      <c r="Z1211" s="251"/>
      <c r="AA1211" s="251"/>
      <c r="AB1211" s="251"/>
    </row>
    <row r="1212" ht="14.25" customHeight="1">
      <c r="A1212" s="251"/>
      <c r="B1212" s="263"/>
      <c r="C1212" s="275"/>
      <c r="D1212" s="98"/>
      <c r="E1212" s="240"/>
      <c r="F1212" s="240"/>
      <c r="G1212" s="240"/>
      <c r="H1212" s="240"/>
      <c r="I1212" s="276"/>
      <c r="J1212" s="251"/>
      <c r="K1212" s="251"/>
      <c r="L1212" s="251"/>
      <c r="M1212" s="251"/>
      <c r="N1212" s="251"/>
      <c r="O1212" s="251"/>
      <c r="P1212" s="251"/>
      <c r="Q1212" s="251"/>
      <c r="R1212" s="251"/>
      <c r="S1212" s="251"/>
      <c r="T1212" s="251"/>
      <c r="U1212" s="251"/>
      <c r="V1212" s="251"/>
      <c r="W1212" s="251"/>
      <c r="X1212" s="251"/>
      <c r="Y1212" s="251"/>
      <c r="Z1212" s="251"/>
      <c r="AA1212" s="251"/>
      <c r="AB1212" s="251"/>
    </row>
    <row r="1213" ht="14.25" customHeight="1">
      <c r="A1213" s="251"/>
      <c r="B1213" s="263"/>
      <c r="C1213" s="275"/>
      <c r="D1213" s="98"/>
      <c r="E1213" s="240"/>
      <c r="F1213" s="240"/>
      <c r="G1213" s="240"/>
      <c r="H1213" s="240"/>
      <c r="I1213" s="276"/>
      <c r="J1213" s="251"/>
      <c r="K1213" s="251"/>
      <c r="L1213" s="251"/>
      <c r="M1213" s="251"/>
      <c r="N1213" s="251"/>
      <c r="O1213" s="251"/>
      <c r="P1213" s="251"/>
      <c r="Q1213" s="251"/>
      <c r="R1213" s="251"/>
      <c r="S1213" s="251"/>
      <c r="T1213" s="251"/>
      <c r="U1213" s="251"/>
      <c r="V1213" s="251"/>
      <c r="W1213" s="251"/>
      <c r="X1213" s="251"/>
      <c r="Y1213" s="251"/>
      <c r="Z1213" s="251"/>
      <c r="AA1213" s="251"/>
      <c r="AB1213" s="251"/>
    </row>
    <row r="1214" ht="14.25" customHeight="1">
      <c r="A1214" s="251"/>
      <c r="B1214" s="263"/>
      <c r="C1214" s="275"/>
      <c r="D1214" s="98"/>
      <c r="E1214" s="240"/>
      <c r="F1214" s="240"/>
      <c r="G1214" s="240"/>
      <c r="H1214" s="240"/>
      <c r="I1214" s="276"/>
      <c r="J1214" s="251"/>
      <c r="K1214" s="251"/>
      <c r="L1214" s="251"/>
      <c r="M1214" s="251"/>
      <c r="N1214" s="251"/>
      <c r="O1214" s="251"/>
      <c r="P1214" s="251"/>
      <c r="Q1214" s="251"/>
      <c r="R1214" s="251"/>
      <c r="S1214" s="251"/>
      <c r="T1214" s="251"/>
      <c r="U1214" s="251"/>
      <c r="V1214" s="251"/>
      <c r="W1214" s="251"/>
      <c r="X1214" s="251"/>
      <c r="Y1214" s="251"/>
      <c r="Z1214" s="251"/>
      <c r="AA1214" s="251"/>
      <c r="AB1214" s="251"/>
    </row>
    <row r="1215" ht="14.25" customHeight="1">
      <c r="A1215" s="251"/>
      <c r="B1215" s="263"/>
      <c r="C1215" s="275"/>
      <c r="D1215" s="98"/>
      <c r="E1215" s="240"/>
      <c r="F1215" s="240"/>
      <c r="G1215" s="240"/>
      <c r="H1215" s="240"/>
      <c r="I1215" s="276"/>
      <c r="J1215" s="251"/>
      <c r="K1215" s="251"/>
      <c r="L1215" s="251"/>
      <c r="M1215" s="251"/>
      <c r="N1215" s="251"/>
      <c r="O1215" s="251"/>
      <c r="P1215" s="251"/>
      <c r="Q1215" s="251"/>
      <c r="R1215" s="251"/>
      <c r="S1215" s="251"/>
      <c r="T1215" s="251"/>
      <c r="U1215" s="251"/>
      <c r="V1215" s="251"/>
      <c r="W1215" s="251"/>
      <c r="X1215" s="251"/>
      <c r="Y1215" s="251"/>
      <c r="Z1215" s="251"/>
      <c r="AA1215" s="251"/>
      <c r="AB1215" s="251"/>
    </row>
    <row r="1216" ht="14.25" customHeight="1">
      <c r="A1216" s="251"/>
      <c r="B1216" s="263"/>
      <c r="C1216" s="275"/>
      <c r="D1216" s="98"/>
      <c r="E1216" s="240"/>
      <c r="F1216" s="240"/>
      <c r="G1216" s="240"/>
      <c r="H1216" s="240"/>
      <c r="I1216" s="276"/>
      <c r="J1216" s="251"/>
      <c r="K1216" s="251"/>
      <c r="L1216" s="251"/>
      <c r="M1216" s="251"/>
      <c r="N1216" s="251"/>
      <c r="O1216" s="251"/>
      <c r="P1216" s="251"/>
      <c r="Q1216" s="251"/>
      <c r="R1216" s="251"/>
      <c r="S1216" s="251"/>
      <c r="T1216" s="251"/>
      <c r="U1216" s="251"/>
      <c r="V1216" s="251"/>
      <c r="W1216" s="251"/>
      <c r="X1216" s="251"/>
      <c r="Y1216" s="251"/>
      <c r="Z1216" s="251"/>
      <c r="AA1216" s="251"/>
      <c r="AB1216" s="251"/>
    </row>
    <row r="1217" ht="14.25" customHeight="1">
      <c r="A1217" s="251"/>
      <c r="B1217" s="263"/>
      <c r="C1217" s="275"/>
      <c r="D1217" s="98"/>
      <c r="E1217" s="240"/>
      <c r="F1217" s="240"/>
      <c r="G1217" s="240"/>
      <c r="H1217" s="240"/>
      <c r="I1217" s="276"/>
      <c r="J1217" s="251"/>
      <c r="K1217" s="251"/>
      <c r="L1217" s="251"/>
      <c r="M1217" s="251"/>
      <c r="N1217" s="251"/>
      <c r="O1217" s="251"/>
      <c r="P1217" s="251"/>
      <c r="Q1217" s="251"/>
      <c r="R1217" s="251"/>
      <c r="S1217" s="251"/>
      <c r="T1217" s="251"/>
      <c r="U1217" s="251"/>
      <c r="V1217" s="251"/>
      <c r="W1217" s="251"/>
      <c r="X1217" s="251"/>
      <c r="Y1217" s="251"/>
      <c r="Z1217" s="251"/>
      <c r="AA1217" s="251"/>
      <c r="AB1217" s="251"/>
    </row>
    <row r="1218" ht="14.25" customHeight="1">
      <c r="A1218" s="251"/>
      <c r="B1218" s="263"/>
      <c r="C1218" s="275"/>
      <c r="D1218" s="98"/>
      <c r="E1218" s="240"/>
      <c r="F1218" s="240"/>
      <c r="G1218" s="240"/>
      <c r="H1218" s="240"/>
      <c r="I1218" s="276"/>
      <c r="J1218" s="251"/>
      <c r="K1218" s="251"/>
      <c r="L1218" s="251"/>
      <c r="M1218" s="251"/>
      <c r="N1218" s="251"/>
      <c r="O1218" s="251"/>
      <c r="P1218" s="251"/>
      <c r="Q1218" s="251"/>
      <c r="R1218" s="251"/>
      <c r="S1218" s="251"/>
      <c r="T1218" s="251"/>
      <c r="U1218" s="251"/>
      <c r="V1218" s="251"/>
      <c r="W1218" s="251"/>
      <c r="X1218" s="251"/>
      <c r="Y1218" s="251"/>
      <c r="Z1218" s="251"/>
      <c r="AA1218" s="251"/>
      <c r="AB1218" s="251"/>
    </row>
    <row r="1219" ht="14.25" customHeight="1">
      <c r="A1219" s="251"/>
      <c r="B1219" s="263"/>
      <c r="C1219" s="275"/>
      <c r="D1219" s="98"/>
      <c r="E1219" s="240"/>
      <c r="F1219" s="240"/>
      <c r="G1219" s="240"/>
      <c r="H1219" s="240"/>
      <c r="I1219" s="276"/>
      <c r="J1219" s="251"/>
      <c r="K1219" s="251"/>
      <c r="L1219" s="251"/>
      <c r="M1219" s="251"/>
      <c r="N1219" s="251"/>
      <c r="O1219" s="251"/>
      <c r="P1219" s="251"/>
      <c r="Q1219" s="251"/>
      <c r="R1219" s="251"/>
      <c r="S1219" s="251"/>
      <c r="T1219" s="251"/>
      <c r="U1219" s="251"/>
      <c r="V1219" s="251"/>
      <c r="W1219" s="251"/>
      <c r="X1219" s="251"/>
      <c r="Y1219" s="251"/>
      <c r="Z1219" s="251"/>
      <c r="AA1219" s="251"/>
      <c r="AB1219" s="251"/>
    </row>
    <row r="1220" ht="14.25" customHeight="1">
      <c r="A1220" s="251"/>
      <c r="B1220" s="263"/>
      <c r="C1220" s="275"/>
      <c r="D1220" s="98"/>
      <c r="E1220" s="240"/>
      <c r="F1220" s="240"/>
      <c r="G1220" s="240"/>
      <c r="H1220" s="240"/>
      <c r="I1220" s="276"/>
      <c r="J1220" s="251"/>
      <c r="K1220" s="251"/>
      <c r="L1220" s="251"/>
      <c r="M1220" s="251"/>
      <c r="N1220" s="251"/>
      <c r="O1220" s="251"/>
      <c r="P1220" s="251"/>
      <c r="Q1220" s="251"/>
      <c r="R1220" s="251"/>
      <c r="S1220" s="251"/>
      <c r="T1220" s="251"/>
      <c r="U1220" s="251"/>
      <c r="V1220" s="251"/>
      <c r="W1220" s="251"/>
      <c r="X1220" s="251"/>
      <c r="Y1220" s="251"/>
      <c r="Z1220" s="251"/>
      <c r="AA1220" s="251"/>
      <c r="AB1220" s="251"/>
    </row>
    <row r="1221" ht="14.25" customHeight="1">
      <c r="A1221" s="251"/>
      <c r="B1221" s="263"/>
      <c r="C1221" s="275"/>
      <c r="D1221" s="98"/>
      <c r="E1221" s="240"/>
      <c r="F1221" s="240"/>
      <c r="G1221" s="240"/>
      <c r="H1221" s="240"/>
      <c r="I1221" s="276"/>
      <c r="J1221" s="251"/>
      <c r="K1221" s="251"/>
      <c r="L1221" s="251"/>
      <c r="M1221" s="251"/>
      <c r="N1221" s="251"/>
      <c r="O1221" s="251"/>
      <c r="P1221" s="251"/>
      <c r="Q1221" s="251"/>
      <c r="R1221" s="251"/>
      <c r="S1221" s="251"/>
      <c r="T1221" s="251"/>
      <c r="U1221" s="251"/>
      <c r="V1221" s="251"/>
      <c r="W1221" s="251"/>
      <c r="X1221" s="251"/>
      <c r="Y1221" s="251"/>
      <c r="Z1221" s="251"/>
      <c r="AA1221" s="251"/>
      <c r="AB1221" s="251"/>
    </row>
    <row r="1222" ht="14.25" customHeight="1">
      <c r="A1222" s="251"/>
      <c r="B1222" s="263"/>
      <c r="C1222" s="275"/>
      <c r="D1222" s="98"/>
      <c r="E1222" s="240"/>
      <c r="F1222" s="240"/>
      <c r="G1222" s="240"/>
      <c r="H1222" s="240"/>
      <c r="I1222" s="276"/>
      <c r="J1222" s="251"/>
      <c r="K1222" s="251"/>
      <c r="L1222" s="251"/>
      <c r="M1222" s="251"/>
      <c r="N1222" s="251"/>
      <c r="O1222" s="251"/>
      <c r="P1222" s="251"/>
      <c r="Q1222" s="251"/>
      <c r="R1222" s="251"/>
      <c r="S1222" s="251"/>
      <c r="T1222" s="251"/>
      <c r="U1222" s="251"/>
      <c r="V1222" s="251"/>
      <c r="W1222" s="251"/>
      <c r="X1222" s="251"/>
      <c r="Y1222" s="251"/>
      <c r="Z1222" s="251"/>
      <c r="AA1222" s="251"/>
      <c r="AB1222" s="251"/>
    </row>
    <row r="1223" ht="14.25" customHeight="1">
      <c r="A1223" s="251"/>
      <c r="B1223" s="263"/>
      <c r="C1223" s="275"/>
      <c r="D1223" s="98"/>
      <c r="E1223" s="240"/>
      <c r="F1223" s="240"/>
      <c r="G1223" s="240"/>
      <c r="H1223" s="240"/>
      <c r="I1223" s="276"/>
      <c r="J1223" s="251"/>
      <c r="K1223" s="251"/>
      <c r="L1223" s="251"/>
      <c r="M1223" s="251"/>
      <c r="N1223" s="251"/>
      <c r="O1223" s="251"/>
      <c r="P1223" s="251"/>
      <c r="Q1223" s="251"/>
      <c r="R1223" s="251"/>
      <c r="S1223" s="251"/>
      <c r="T1223" s="251"/>
      <c r="U1223" s="251"/>
      <c r="V1223" s="251"/>
      <c r="W1223" s="251"/>
      <c r="X1223" s="251"/>
      <c r="Y1223" s="251"/>
      <c r="Z1223" s="251"/>
      <c r="AA1223" s="251"/>
      <c r="AB1223" s="251"/>
    </row>
    <row r="1224" ht="14.25" customHeight="1">
      <c r="A1224" s="251"/>
      <c r="B1224" s="263"/>
      <c r="C1224" s="275"/>
      <c r="D1224" s="98"/>
      <c r="E1224" s="240"/>
      <c r="F1224" s="240"/>
      <c r="G1224" s="240"/>
      <c r="H1224" s="240"/>
      <c r="I1224" s="276"/>
      <c r="J1224" s="251"/>
      <c r="K1224" s="251"/>
      <c r="L1224" s="251"/>
      <c r="M1224" s="251"/>
      <c r="N1224" s="251"/>
      <c r="O1224" s="251"/>
      <c r="P1224" s="251"/>
      <c r="Q1224" s="251"/>
      <c r="R1224" s="251"/>
      <c r="S1224" s="251"/>
      <c r="T1224" s="251"/>
      <c r="U1224" s="251"/>
      <c r="V1224" s="251"/>
      <c r="W1224" s="251"/>
      <c r="X1224" s="251"/>
      <c r="Y1224" s="251"/>
      <c r="Z1224" s="251"/>
      <c r="AA1224" s="251"/>
      <c r="AB1224" s="251"/>
    </row>
    <row r="1225" ht="14.25" customHeight="1">
      <c r="A1225" s="251"/>
      <c r="B1225" s="263"/>
      <c r="C1225" s="275"/>
      <c r="D1225" s="98"/>
      <c r="E1225" s="240"/>
      <c r="F1225" s="240"/>
      <c r="G1225" s="240"/>
      <c r="H1225" s="240"/>
      <c r="I1225" s="276"/>
      <c r="J1225" s="251"/>
      <c r="K1225" s="251"/>
      <c r="L1225" s="251"/>
      <c r="M1225" s="251"/>
      <c r="N1225" s="251"/>
      <c r="O1225" s="251"/>
      <c r="P1225" s="251"/>
      <c r="Q1225" s="251"/>
      <c r="R1225" s="251"/>
      <c r="S1225" s="251"/>
      <c r="T1225" s="251"/>
      <c r="U1225" s="251"/>
      <c r="V1225" s="251"/>
      <c r="W1225" s="251"/>
      <c r="X1225" s="251"/>
      <c r="Y1225" s="251"/>
      <c r="Z1225" s="251"/>
      <c r="AA1225" s="251"/>
      <c r="AB1225" s="251"/>
    </row>
    <row r="1226" ht="14.25" customHeight="1">
      <c r="A1226" s="251"/>
      <c r="B1226" s="263"/>
      <c r="C1226" s="275"/>
      <c r="D1226" s="98"/>
      <c r="E1226" s="240"/>
      <c r="F1226" s="240"/>
      <c r="G1226" s="240"/>
      <c r="H1226" s="240"/>
      <c r="I1226" s="276"/>
      <c r="J1226" s="251"/>
      <c r="K1226" s="251"/>
      <c r="L1226" s="251"/>
      <c r="M1226" s="251"/>
      <c r="N1226" s="251"/>
      <c r="O1226" s="251"/>
      <c r="P1226" s="251"/>
      <c r="Q1226" s="251"/>
      <c r="R1226" s="251"/>
      <c r="S1226" s="251"/>
      <c r="T1226" s="251"/>
      <c r="U1226" s="251"/>
      <c r="V1226" s="251"/>
      <c r="W1226" s="251"/>
      <c r="X1226" s="251"/>
      <c r="Y1226" s="251"/>
      <c r="Z1226" s="251"/>
      <c r="AA1226" s="251"/>
      <c r="AB1226" s="251"/>
    </row>
    <row r="1227" ht="14.25" customHeight="1">
      <c r="A1227" s="251"/>
      <c r="B1227" s="263"/>
      <c r="C1227" s="275"/>
      <c r="D1227" s="98"/>
      <c r="E1227" s="240"/>
      <c r="F1227" s="240"/>
      <c r="G1227" s="240"/>
      <c r="H1227" s="240"/>
      <c r="I1227" s="276"/>
      <c r="J1227" s="251"/>
      <c r="K1227" s="251"/>
      <c r="L1227" s="251"/>
      <c r="M1227" s="251"/>
      <c r="N1227" s="251"/>
      <c r="O1227" s="251"/>
      <c r="P1227" s="251"/>
      <c r="Q1227" s="251"/>
      <c r="R1227" s="251"/>
      <c r="S1227" s="251"/>
      <c r="T1227" s="251"/>
      <c r="U1227" s="251"/>
      <c r="V1227" s="251"/>
      <c r="W1227" s="251"/>
      <c r="X1227" s="251"/>
      <c r="Y1227" s="251"/>
      <c r="Z1227" s="251"/>
      <c r="AA1227" s="251"/>
      <c r="AB1227" s="251"/>
    </row>
    <row r="1228" ht="14.25" customHeight="1">
      <c r="A1228" s="251"/>
      <c r="B1228" s="263"/>
      <c r="C1228" s="275"/>
      <c r="D1228" s="98"/>
      <c r="E1228" s="240"/>
      <c r="F1228" s="240"/>
      <c r="G1228" s="240"/>
      <c r="H1228" s="240"/>
      <c r="I1228" s="276"/>
      <c r="J1228" s="251"/>
      <c r="K1228" s="251"/>
      <c r="L1228" s="251"/>
      <c r="M1228" s="251"/>
      <c r="N1228" s="251"/>
      <c r="O1228" s="251"/>
      <c r="P1228" s="251"/>
      <c r="Q1228" s="251"/>
      <c r="R1228" s="251"/>
      <c r="S1228" s="251"/>
      <c r="T1228" s="251"/>
      <c r="U1228" s="251"/>
      <c r="V1228" s="251"/>
      <c r="W1228" s="251"/>
      <c r="X1228" s="251"/>
      <c r="Y1228" s="251"/>
      <c r="Z1228" s="251"/>
      <c r="AA1228" s="251"/>
      <c r="AB1228" s="251"/>
    </row>
    <row r="1229" ht="14.25" customHeight="1">
      <c r="A1229" s="251"/>
      <c r="B1229" s="263"/>
      <c r="C1229" s="275"/>
      <c r="D1229" s="98"/>
      <c r="E1229" s="240"/>
      <c r="F1229" s="240"/>
      <c r="G1229" s="240"/>
      <c r="H1229" s="240"/>
      <c r="I1229" s="276"/>
      <c r="J1229" s="251"/>
      <c r="K1229" s="251"/>
      <c r="L1229" s="251"/>
      <c r="M1229" s="251"/>
      <c r="N1229" s="251"/>
      <c r="O1229" s="251"/>
      <c r="P1229" s="251"/>
      <c r="Q1229" s="251"/>
      <c r="R1229" s="251"/>
      <c r="S1229" s="251"/>
      <c r="T1229" s="251"/>
      <c r="U1229" s="251"/>
      <c r="V1229" s="251"/>
      <c r="W1229" s="251"/>
      <c r="X1229" s="251"/>
      <c r="Y1229" s="251"/>
      <c r="Z1229" s="251"/>
      <c r="AA1229" s="251"/>
      <c r="AB1229" s="251"/>
    </row>
    <row r="1230" ht="14.25" customHeight="1">
      <c r="A1230" s="251"/>
      <c r="B1230" s="263"/>
      <c r="C1230" s="275"/>
      <c r="D1230" s="98"/>
      <c r="E1230" s="240"/>
      <c r="F1230" s="240"/>
      <c r="G1230" s="240"/>
      <c r="H1230" s="240"/>
      <c r="I1230" s="276"/>
      <c r="J1230" s="251"/>
      <c r="K1230" s="251"/>
      <c r="L1230" s="251"/>
      <c r="M1230" s="251"/>
      <c r="N1230" s="251"/>
      <c r="O1230" s="251"/>
      <c r="P1230" s="251"/>
      <c r="Q1230" s="251"/>
      <c r="R1230" s="251"/>
      <c r="S1230" s="251"/>
      <c r="T1230" s="251"/>
      <c r="U1230" s="251"/>
      <c r="V1230" s="251"/>
      <c r="W1230" s="251"/>
      <c r="X1230" s="251"/>
      <c r="Y1230" s="251"/>
      <c r="Z1230" s="251"/>
      <c r="AA1230" s="251"/>
      <c r="AB1230" s="251"/>
    </row>
    <row r="1231" ht="14.25" customHeight="1">
      <c r="A1231" s="251"/>
      <c r="B1231" s="263"/>
      <c r="C1231" s="275"/>
      <c r="D1231" s="98"/>
      <c r="E1231" s="240"/>
      <c r="F1231" s="240"/>
      <c r="G1231" s="240"/>
      <c r="H1231" s="240"/>
      <c r="I1231" s="276"/>
      <c r="J1231" s="251"/>
      <c r="K1231" s="251"/>
      <c r="L1231" s="251"/>
      <c r="M1231" s="251"/>
      <c r="N1231" s="251"/>
      <c r="O1231" s="251"/>
      <c r="P1231" s="251"/>
      <c r="Q1231" s="251"/>
      <c r="R1231" s="251"/>
      <c r="S1231" s="251"/>
      <c r="T1231" s="251"/>
      <c r="U1231" s="251"/>
      <c r="V1231" s="251"/>
      <c r="W1231" s="251"/>
      <c r="X1231" s="251"/>
      <c r="Y1231" s="251"/>
      <c r="Z1231" s="251"/>
      <c r="AA1231" s="251"/>
      <c r="AB1231" s="251"/>
    </row>
    <row r="1232" ht="14.25" customHeight="1">
      <c r="A1232" s="251"/>
      <c r="B1232" s="263"/>
      <c r="C1232" s="275"/>
      <c r="D1232" s="98"/>
      <c r="E1232" s="240"/>
      <c r="F1232" s="240"/>
      <c r="G1232" s="240"/>
      <c r="H1232" s="240"/>
      <c r="I1232" s="276"/>
      <c r="J1232" s="251"/>
      <c r="K1232" s="251"/>
      <c r="L1232" s="251"/>
      <c r="M1232" s="251"/>
      <c r="N1232" s="251"/>
      <c r="O1232" s="251"/>
      <c r="P1232" s="251"/>
      <c r="Q1232" s="251"/>
      <c r="R1232" s="251"/>
      <c r="S1232" s="251"/>
      <c r="T1232" s="251"/>
      <c r="U1232" s="251"/>
      <c r="V1232" s="251"/>
      <c r="W1232" s="251"/>
      <c r="X1232" s="251"/>
      <c r="Y1232" s="251"/>
      <c r="Z1232" s="251"/>
      <c r="AA1232" s="251"/>
      <c r="AB1232" s="251"/>
    </row>
    <row r="1233" ht="14.25" customHeight="1">
      <c r="A1233" s="251"/>
      <c r="B1233" s="263"/>
      <c r="C1233" s="275"/>
      <c r="D1233" s="98"/>
      <c r="E1233" s="240"/>
      <c r="F1233" s="240"/>
      <c r="G1233" s="240"/>
      <c r="H1233" s="240"/>
      <c r="I1233" s="276"/>
      <c r="J1233" s="251"/>
      <c r="K1233" s="251"/>
      <c r="L1233" s="251"/>
      <c r="M1233" s="251"/>
      <c r="N1233" s="251"/>
      <c r="O1233" s="251"/>
      <c r="P1233" s="251"/>
      <c r="Q1233" s="251"/>
      <c r="R1233" s="251"/>
      <c r="S1233" s="251"/>
      <c r="T1233" s="251"/>
      <c r="U1233" s="251"/>
      <c r="V1233" s="251"/>
      <c r="W1233" s="251"/>
      <c r="X1233" s="251"/>
      <c r="Y1233" s="251"/>
      <c r="Z1233" s="251"/>
      <c r="AA1233" s="251"/>
      <c r="AB1233" s="251"/>
    </row>
    <row r="1234" ht="14.25" customHeight="1">
      <c r="A1234" s="251"/>
      <c r="B1234" s="263"/>
      <c r="C1234" s="275"/>
      <c r="D1234" s="98"/>
      <c r="E1234" s="240"/>
      <c r="F1234" s="240"/>
      <c r="G1234" s="240"/>
      <c r="H1234" s="240"/>
      <c r="I1234" s="276"/>
      <c r="J1234" s="251"/>
      <c r="K1234" s="251"/>
      <c r="L1234" s="251"/>
      <c r="M1234" s="251"/>
      <c r="N1234" s="251"/>
      <c r="O1234" s="251"/>
      <c r="P1234" s="251"/>
      <c r="Q1234" s="251"/>
      <c r="R1234" s="251"/>
      <c r="S1234" s="251"/>
      <c r="T1234" s="251"/>
      <c r="U1234" s="251"/>
      <c r="V1234" s="251"/>
      <c r="W1234" s="251"/>
      <c r="X1234" s="251"/>
      <c r="Y1234" s="251"/>
      <c r="Z1234" s="251"/>
      <c r="AA1234" s="251"/>
      <c r="AB1234" s="251"/>
    </row>
    <row r="1235" ht="14.25" customHeight="1">
      <c r="A1235" s="251"/>
      <c r="B1235" s="263"/>
      <c r="C1235" s="275"/>
      <c r="D1235" s="98"/>
      <c r="E1235" s="240"/>
      <c r="F1235" s="240"/>
      <c r="G1235" s="240"/>
      <c r="H1235" s="240"/>
      <c r="I1235" s="276"/>
      <c r="J1235" s="251"/>
      <c r="K1235" s="251"/>
      <c r="L1235" s="251"/>
      <c r="M1235" s="251"/>
      <c r="N1235" s="251"/>
      <c r="O1235" s="251"/>
      <c r="P1235" s="251"/>
      <c r="Q1235" s="251"/>
      <c r="R1235" s="251"/>
      <c r="S1235" s="251"/>
      <c r="T1235" s="251"/>
      <c r="U1235" s="251"/>
      <c r="V1235" s="251"/>
      <c r="W1235" s="251"/>
      <c r="X1235" s="251"/>
      <c r="Y1235" s="251"/>
      <c r="Z1235" s="251"/>
      <c r="AA1235" s="251"/>
      <c r="AB1235" s="251"/>
    </row>
    <row r="1236" ht="14.25" customHeight="1">
      <c r="A1236" s="251"/>
      <c r="B1236" s="263"/>
      <c r="C1236" s="275"/>
      <c r="D1236" s="98"/>
      <c r="E1236" s="240"/>
      <c r="F1236" s="240"/>
      <c r="G1236" s="240"/>
      <c r="H1236" s="240"/>
      <c r="I1236" s="276"/>
      <c r="J1236" s="251"/>
      <c r="K1236" s="251"/>
      <c r="L1236" s="251"/>
      <c r="M1236" s="251"/>
      <c r="N1236" s="251"/>
      <c r="O1236" s="251"/>
      <c r="P1236" s="251"/>
      <c r="Q1236" s="251"/>
      <c r="R1236" s="251"/>
      <c r="S1236" s="251"/>
      <c r="T1236" s="251"/>
      <c r="U1236" s="251"/>
      <c r="V1236" s="251"/>
      <c r="W1236" s="251"/>
      <c r="X1236" s="251"/>
      <c r="Y1236" s="251"/>
      <c r="Z1236" s="251"/>
      <c r="AA1236" s="251"/>
      <c r="AB1236" s="251"/>
    </row>
    <row r="1237" ht="14.25" customHeight="1">
      <c r="A1237" s="251"/>
      <c r="B1237" s="263"/>
      <c r="C1237" s="275"/>
      <c r="D1237" s="98"/>
      <c r="E1237" s="240"/>
      <c r="F1237" s="240"/>
      <c r="G1237" s="240"/>
      <c r="H1237" s="240"/>
      <c r="I1237" s="276"/>
      <c r="J1237" s="251"/>
      <c r="K1237" s="251"/>
      <c r="L1237" s="251"/>
      <c r="M1237" s="251"/>
      <c r="N1237" s="251"/>
      <c r="O1237" s="251"/>
      <c r="P1237" s="251"/>
      <c r="Q1237" s="251"/>
      <c r="R1237" s="251"/>
      <c r="S1237" s="251"/>
      <c r="T1237" s="251"/>
      <c r="U1237" s="251"/>
      <c r="V1237" s="251"/>
      <c r="W1237" s="251"/>
      <c r="X1237" s="251"/>
      <c r="Y1237" s="251"/>
      <c r="Z1237" s="251"/>
      <c r="AA1237" s="251"/>
      <c r="AB1237" s="251"/>
    </row>
    <row r="1238" ht="14.25" customHeight="1">
      <c r="A1238" s="251"/>
      <c r="B1238" s="263"/>
      <c r="C1238" s="275"/>
      <c r="D1238" s="98"/>
      <c r="E1238" s="240"/>
      <c r="F1238" s="240"/>
      <c r="G1238" s="240"/>
      <c r="H1238" s="240"/>
      <c r="I1238" s="276"/>
      <c r="J1238" s="251"/>
      <c r="K1238" s="251"/>
      <c r="L1238" s="251"/>
      <c r="M1238" s="251"/>
      <c r="N1238" s="251"/>
      <c r="O1238" s="251"/>
      <c r="P1238" s="251"/>
      <c r="Q1238" s="251"/>
      <c r="R1238" s="251"/>
      <c r="S1238" s="251"/>
      <c r="T1238" s="251"/>
      <c r="U1238" s="251"/>
      <c r="V1238" s="251"/>
      <c r="W1238" s="251"/>
      <c r="X1238" s="251"/>
      <c r="Y1238" s="251"/>
      <c r="Z1238" s="251"/>
      <c r="AA1238" s="251"/>
      <c r="AB1238" s="251"/>
    </row>
    <row r="1239" ht="14.25" customHeight="1">
      <c r="A1239" s="251"/>
      <c r="B1239" s="263"/>
      <c r="C1239" s="275"/>
      <c r="D1239" s="98"/>
      <c r="E1239" s="240"/>
      <c r="F1239" s="240"/>
      <c r="G1239" s="240"/>
      <c r="H1239" s="240"/>
      <c r="I1239" s="276"/>
      <c r="J1239" s="251"/>
      <c r="K1239" s="251"/>
      <c r="L1239" s="251"/>
      <c r="M1239" s="251"/>
      <c r="N1239" s="251"/>
      <c r="O1239" s="251"/>
      <c r="P1239" s="251"/>
      <c r="Q1239" s="251"/>
      <c r="R1239" s="251"/>
      <c r="S1239" s="251"/>
      <c r="T1239" s="251"/>
      <c r="U1239" s="251"/>
      <c r="V1239" s="251"/>
      <c r="W1239" s="251"/>
      <c r="X1239" s="251"/>
      <c r="Y1239" s="251"/>
      <c r="Z1239" s="251"/>
      <c r="AA1239" s="251"/>
      <c r="AB1239" s="251"/>
    </row>
    <row r="1240" ht="14.25" customHeight="1">
      <c r="A1240" s="251"/>
      <c r="B1240" s="263"/>
      <c r="C1240" s="275"/>
      <c r="D1240" s="98"/>
      <c r="E1240" s="240"/>
      <c r="F1240" s="240"/>
      <c r="G1240" s="240"/>
      <c r="H1240" s="240"/>
      <c r="I1240" s="276"/>
      <c r="J1240" s="251"/>
      <c r="K1240" s="251"/>
      <c r="L1240" s="251"/>
      <c r="M1240" s="251"/>
      <c r="N1240" s="251"/>
      <c r="O1240" s="251"/>
      <c r="P1240" s="251"/>
      <c r="Q1240" s="251"/>
      <c r="R1240" s="251"/>
      <c r="S1240" s="251"/>
      <c r="T1240" s="251"/>
      <c r="U1240" s="251"/>
      <c r="V1240" s="251"/>
      <c r="W1240" s="251"/>
      <c r="X1240" s="251"/>
      <c r="Y1240" s="251"/>
      <c r="Z1240" s="251"/>
      <c r="AA1240" s="251"/>
      <c r="AB1240" s="251"/>
    </row>
    <row r="1241" ht="14.25" customHeight="1">
      <c r="A1241" s="251"/>
      <c r="B1241" s="263"/>
      <c r="C1241" s="275"/>
      <c r="D1241" s="98"/>
      <c r="E1241" s="240"/>
      <c r="F1241" s="240"/>
      <c r="G1241" s="240"/>
      <c r="H1241" s="240"/>
      <c r="I1241" s="276"/>
      <c r="J1241" s="251"/>
      <c r="K1241" s="251"/>
      <c r="L1241" s="251"/>
      <c r="M1241" s="251"/>
      <c r="N1241" s="251"/>
      <c r="O1241" s="251"/>
      <c r="P1241" s="251"/>
      <c r="Q1241" s="251"/>
      <c r="R1241" s="251"/>
      <c r="S1241" s="251"/>
      <c r="T1241" s="251"/>
      <c r="U1241" s="251"/>
      <c r="V1241" s="251"/>
      <c r="W1241" s="251"/>
      <c r="X1241" s="251"/>
      <c r="Y1241" s="251"/>
      <c r="Z1241" s="251"/>
      <c r="AA1241" s="251"/>
      <c r="AB1241" s="251"/>
    </row>
    <row r="1242" ht="14.25" customHeight="1">
      <c r="A1242" s="251"/>
      <c r="B1242" s="263"/>
      <c r="C1242" s="275"/>
      <c r="D1242" s="98"/>
      <c r="E1242" s="240"/>
      <c r="F1242" s="240"/>
      <c r="G1242" s="240"/>
      <c r="H1242" s="240"/>
      <c r="I1242" s="276"/>
      <c r="J1242" s="251"/>
      <c r="K1242" s="251"/>
      <c r="L1242" s="251"/>
      <c r="M1242" s="251"/>
      <c r="N1242" s="251"/>
      <c r="O1242" s="251"/>
      <c r="P1242" s="251"/>
      <c r="Q1242" s="251"/>
      <c r="R1242" s="251"/>
      <c r="S1242" s="251"/>
      <c r="T1242" s="251"/>
      <c r="U1242" s="251"/>
      <c r="V1242" s="251"/>
      <c r="W1242" s="251"/>
      <c r="X1242" s="251"/>
      <c r="Y1242" s="251"/>
      <c r="Z1242" s="251"/>
      <c r="AA1242" s="251"/>
      <c r="AB1242" s="251"/>
    </row>
    <row r="1243" ht="14.25" customHeight="1">
      <c r="A1243" s="251"/>
      <c r="B1243" s="263"/>
      <c r="C1243" s="275"/>
      <c r="D1243" s="98"/>
      <c r="E1243" s="240"/>
      <c r="F1243" s="240"/>
      <c r="G1243" s="240"/>
      <c r="H1243" s="240"/>
      <c r="I1243" s="276"/>
      <c r="J1243" s="251"/>
      <c r="K1243" s="251"/>
      <c r="L1243" s="251"/>
      <c r="M1243" s="251"/>
      <c r="N1243" s="251"/>
      <c r="O1243" s="251"/>
      <c r="P1243" s="251"/>
      <c r="Q1243" s="251"/>
      <c r="R1243" s="251"/>
      <c r="S1243" s="251"/>
      <c r="T1243" s="251"/>
      <c r="U1243" s="251"/>
      <c r="V1243" s="251"/>
      <c r="W1243" s="251"/>
      <c r="X1243" s="251"/>
      <c r="Y1243" s="251"/>
      <c r="Z1243" s="251"/>
      <c r="AA1243" s="251"/>
      <c r="AB1243" s="251"/>
    </row>
    <row r="1244" ht="14.25" customHeight="1">
      <c r="A1244" s="251"/>
      <c r="B1244" s="263"/>
      <c r="C1244" s="275"/>
      <c r="D1244" s="98"/>
      <c r="E1244" s="240"/>
      <c r="F1244" s="240"/>
      <c r="G1244" s="240"/>
      <c r="H1244" s="240"/>
      <c r="I1244" s="276"/>
      <c r="J1244" s="251"/>
      <c r="K1244" s="251"/>
      <c r="L1244" s="251"/>
      <c r="M1244" s="251"/>
      <c r="N1244" s="251"/>
      <c r="O1244" s="251"/>
      <c r="P1244" s="251"/>
      <c r="Q1244" s="251"/>
      <c r="R1244" s="251"/>
      <c r="S1244" s="251"/>
      <c r="T1244" s="251"/>
      <c r="U1244" s="251"/>
      <c r="V1244" s="251"/>
      <c r="W1244" s="251"/>
      <c r="X1244" s="251"/>
      <c r="Y1244" s="251"/>
      <c r="Z1244" s="251"/>
      <c r="AA1244" s="251"/>
      <c r="AB1244" s="251"/>
    </row>
    <row r="1245" ht="14.25" customHeight="1">
      <c r="A1245" s="251"/>
      <c r="B1245" s="263"/>
      <c r="C1245" s="275"/>
      <c r="D1245" s="98"/>
      <c r="E1245" s="240"/>
      <c r="F1245" s="240"/>
      <c r="G1245" s="240"/>
      <c r="H1245" s="240"/>
      <c r="I1245" s="276"/>
      <c r="J1245" s="251"/>
      <c r="K1245" s="251"/>
      <c r="L1245" s="251"/>
      <c r="M1245" s="251"/>
      <c r="N1245" s="251"/>
      <c r="O1245" s="251"/>
      <c r="P1245" s="251"/>
      <c r="Q1245" s="251"/>
      <c r="R1245" s="251"/>
      <c r="S1245" s="251"/>
      <c r="T1245" s="251"/>
      <c r="U1245" s="251"/>
      <c r="V1245" s="251"/>
      <c r="W1245" s="251"/>
      <c r="X1245" s="251"/>
      <c r="Y1245" s="251"/>
      <c r="Z1245" s="251"/>
      <c r="AA1245" s="251"/>
      <c r="AB1245" s="251"/>
    </row>
    <row r="1246" ht="14.25" customHeight="1">
      <c r="A1246" s="251"/>
      <c r="B1246" s="263"/>
      <c r="C1246" s="275"/>
      <c r="D1246" s="98"/>
      <c r="E1246" s="240"/>
      <c r="F1246" s="240"/>
      <c r="G1246" s="240"/>
      <c r="H1246" s="240"/>
      <c r="I1246" s="276"/>
      <c r="J1246" s="251"/>
      <c r="K1246" s="251"/>
      <c r="L1246" s="251"/>
      <c r="M1246" s="251"/>
      <c r="N1246" s="251"/>
      <c r="O1246" s="251"/>
      <c r="P1246" s="251"/>
      <c r="Q1246" s="251"/>
      <c r="R1246" s="251"/>
      <c r="S1246" s="251"/>
      <c r="T1246" s="251"/>
      <c r="U1246" s="251"/>
      <c r="V1246" s="251"/>
      <c r="W1246" s="251"/>
      <c r="X1246" s="251"/>
      <c r="Y1246" s="251"/>
      <c r="Z1246" s="251"/>
      <c r="AA1246" s="251"/>
      <c r="AB1246" s="251"/>
    </row>
    <row r="1247" ht="14.25" customHeight="1">
      <c r="A1247" s="251"/>
      <c r="B1247" s="263"/>
      <c r="C1247" s="275"/>
      <c r="D1247" s="98"/>
      <c r="E1247" s="240"/>
      <c r="F1247" s="240"/>
      <c r="G1247" s="240"/>
      <c r="H1247" s="240"/>
      <c r="I1247" s="276"/>
      <c r="J1247" s="251"/>
      <c r="K1247" s="251"/>
      <c r="L1247" s="251"/>
      <c r="M1247" s="251"/>
      <c r="N1247" s="251"/>
      <c r="O1247" s="251"/>
      <c r="P1247" s="251"/>
      <c r="Q1247" s="251"/>
      <c r="R1247" s="251"/>
      <c r="S1247" s="251"/>
      <c r="T1247" s="251"/>
      <c r="U1247" s="251"/>
      <c r="V1247" s="251"/>
      <c r="W1247" s="251"/>
      <c r="X1247" s="251"/>
      <c r="Y1247" s="251"/>
      <c r="Z1247" s="251"/>
      <c r="AA1247" s="251"/>
      <c r="AB1247" s="251"/>
    </row>
    <row r="1248" ht="14.25" customHeight="1">
      <c r="A1248" s="251"/>
      <c r="B1248" s="263"/>
      <c r="C1248" s="275"/>
      <c r="D1248" s="98"/>
      <c r="E1248" s="240"/>
      <c r="F1248" s="240"/>
      <c r="G1248" s="240"/>
      <c r="H1248" s="240"/>
      <c r="I1248" s="276"/>
      <c r="J1248" s="251"/>
      <c r="K1248" s="251"/>
      <c r="L1248" s="251"/>
      <c r="M1248" s="251"/>
      <c r="N1248" s="251"/>
      <c r="O1248" s="251"/>
      <c r="P1248" s="251"/>
      <c r="Q1248" s="251"/>
      <c r="R1248" s="251"/>
      <c r="S1248" s="251"/>
      <c r="T1248" s="251"/>
      <c r="U1248" s="251"/>
      <c r="V1248" s="251"/>
      <c r="W1248" s="251"/>
      <c r="X1248" s="251"/>
      <c r="Y1248" s="251"/>
      <c r="Z1248" s="251"/>
      <c r="AA1248" s="251"/>
      <c r="AB1248" s="251"/>
    </row>
    <row r="1249" ht="14.25" customHeight="1">
      <c r="A1249" s="251"/>
      <c r="B1249" s="263"/>
      <c r="C1249" s="275"/>
      <c r="D1249" s="98"/>
      <c r="E1249" s="240"/>
      <c r="F1249" s="240"/>
      <c r="G1249" s="240"/>
      <c r="H1249" s="240"/>
      <c r="I1249" s="276"/>
      <c r="J1249" s="251"/>
      <c r="K1249" s="251"/>
      <c r="L1249" s="251"/>
      <c r="M1249" s="251"/>
      <c r="N1249" s="251"/>
      <c r="O1249" s="251"/>
      <c r="P1249" s="251"/>
      <c r="Q1249" s="251"/>
      <c r="R1249" s="251"/>
      <c r="S1249" s="251"/>
      <c r="T1249" s="251"/>
      <c r="U1249" s="251"/>
      <c r="V1249" s="251"/>
      <c r="W1249" s="251"/>
      <c r="X1249" s="251"/>
      <c r="Y1249" s="251"/>
      <c r="Z1249" s="251"/>
      <c r="AA1249" s="251"/>
      <c r="AB1249" s="251"/>
    </row>
    <row r="1250" ht="14.25" customHeight="1">
      <c r="A1250" s="251"/>
      <c r="B1250" s="263"/>
      <c r="C1250" s="275"/>
      <c r="D1250" s="98"/>
      <c r="E1250" s="240"/>
      <c r="F1250" s="240"/>
      <c r="G1250" s="240"/>
      <c r="H1250" s="240"/>
      <c r="I1250" s="276"/>
      <c r="J1250" s="251"/>
      <c r="K1250" s="251"/>
      <c r="L1250" s="251"/>
      <c r="M1250" s="251"/>
      <c r="N1250" s="251"/>
      <c r="O1250" s="251"/>
      <c r="P1250" s="251"/>
      <c r="Q1250" s="251"/>
      <c r="R1250" s="251"/>
      <c r="S1250" s="251"/>
      <c r="T1250" s="251"/>
      <c r="U1250" s="251"/>
      <c r="V1250" s="251"/>
      <c r="W1250" s="251"/>
      <c r="X1250" s="251"/>
      <c r="Y1250" s="251"/>
      <c r="Z1250" s="251"/>
      <c r="AA1250" s="251"/>
      <c r="AB1250" s="251"/>
    </row>
    <row r="1251" ht="14.25" customHeight="1">
      <c r="A1251" s="251"/>
      <c r="B1251" s="263"/>
      <c r="C1251" s="275"/>
      <c r="D1251" s="98"/>
      <c r="E1251" s="240"/>
      <c r="F1251" s="240"/>
      <c r="G1251" s="240"/>
      <c r="H1251" s="240"/>
      <c r="I1251" s="276"/>
      <c r="J1251" s="251"/>
      <c r="K1251" s="251"/>
      <c r="L1251" s="251"/>
      <c r="M1251" s="251"/>
      <c r="N1251" s="251"/>
      <c r="O1251" s="251"/>
      <c r="P1251" s="251"/>
      <c r="Q1251" s="251"/>
      <c r="R1251" s="251"/>
      <c r="S1251" s="251"/>
      <c r="T1251" s="251"/>
      <c r="U1251" s="251"/>
      <c r="V1251" s="251"/>
      <c r="W1251" s="251"/>
      <c r="X1251" s="251"/>
      <c r="Y1251" s="251"/>
      <c r="Z1251" s="251"/>
      <c r="AA1251" s="251"/>
      <c r="AB1251" s="251"/>
    </row>
    <row r="1252" ht="14.25" customHeight="1">
      <c r="A1252" s="251"/>
      <c r="B1252" s="263"/>
      <c r="C1252" s="275"/>
      <c r="D1252" s="98"/>
      <c r="E1252" s="240"/>
      <c r="F1252" s="240"/>
      <c r="G1252" s="240"/>
      <c r="H1252" s="240"/>
      <c r="I1252" s="276"/>
      <c r="J1252" s="251"/>
      <c r="K1252" s="251"/>
      <c r="L1252" s="251"/>
      <c r="M1252" s="251"/>
      <c r="N1252" s="251"/>
      <c r="O1252" s="251"/>
      <c r="P1252" s="251"/>
      <c r="Q1252" s="251"/>
      <c r="R1252" s="251"/>
      <c r="S1252" s="251"/>
      <c r="T1252" s="251"/>
      <c r="U1252" s="251"/>
      <c r="V1252" s="251"/>
      <c r="W1252" s="251"/>
      <c r="X1252" s="251"/>
      <c r="Y1252" s="251"/>
      <c r="Z1252" s="251"/>
      <c r="AA1252" s="251"/>
      <c r="AB1252" s="251"/>
    </row>
    <row r="1253" ht="14.25" customHeight="1">
      <c r="A1253" s="251"/>
      <c r="B1253" s="263"/>
      <c r="C1253" s="275"/>
      <c r="D1253" s="98"/>
      <c r="E1253" s="240"/>
      <c r="F1253" s="240"/>
      <c r="G1253" s="240"/>
      <c r="H1253" s="240"/>
      <c r="I1253" s="276"/>
      <c r="J1253" s="251"/>
      <c r="K1253" s="251"/>
      <c r="L1253" s="251"/>
      <c r="M1253" s="251"/>
      <c r="N1253" s="251"/>
      <c r="O1253" s="251"/>
      <c r="P1253" s="251"/>
      <c r="Q1253" s="251"/>
      <c r="R1253" s="251"/>
      <c r="S1253" s="251"/>
      <c r="T1253" s="251"/>
      <c r="U1253" s="251"/>
      <c r="V1253" s="251"/>
      <c r="W1253" s="251"/>
      <c r="X1253" s="251"/>
      <c r="Y1253" s="251"/>
      <c r="Z1253" s="251"/>
      <c r="AA1253" s="251"/>
      <c r="AB1253" s="251"/>
    </row>
    <row r="1254" ht="14.25" customHeight="1">
      <c r="A1254" s="251"/>
      <c r="B1254" s="263"/>
      <c r="C1254" s="275"/>
      <c r="D1254" s="98"/>
      <c r="E1254" s="240"/>
      <c r="F1254" s="240"/>
      <c r="G1254" s="240"/>
      <c r="H1254" s="240"/>
      <c r="I1254" s="276"/>
      <c r="J1254" s="251"/>
      <c r="K1254" s="251"/>
      <c r="L1254" s="251"/>
      <c r="M1254" s="251"/>
      <c r="N1254" s="251"/>
      <c r="O1254" s="251"/>
      <c r="P1254" s="251"/>
      <c r="Q1254" s="251"/>
      <c r="R1254" s="251"/>
      <c r="S1254" s="251"/>
      <c r="T1254" s="251"/>
      <c r="U1254" s="251"/>
      <c r="V1254" s="251"/>
      <c r="W1254" s="251"/>
      <c r="X1254" s="251"/>
      <c r="Y1254" s="251"/>
      <c r="Z1254" s="251"/>
      <c r="AA1254" s="251"/>
      <c r="AB1254" s="251"/>
    </row>
    <row r="1255" ht="14.25" customHeight="1">
      <c r="A1255" s="251"/>
      <c r="B1255" s="263"/>
      <c r="C1255" s="275"/>
      <c r="D1255" s="98"/>
      <c r="E1255" s="240"/>
      <c r="F1255" s="240"/>
      <c r="G1255" s="240"/>
      <c r="H1255" s="240"/>
      <c r="I1255" s="276"/>
      <c r="J1255" s="251"/>
      <c r="K1255" s="251"/>
      <c r="L1255" s="251"/>
      <c r="M1255" s="251"/>
      <c r="N1255" s="251"/>
      <c r="O1255" s="251"/>
      <c r="P1255" s="251"/>
      <c r="Q1255" s="251"/>
      <c r="R1255" s="251"/>
      <c r="S1255" s="251"/>
      <c r="T1255" s="251"/>
      <c r="U1255" s="251"/>
      <c r="V1255" s="251"/>
      <c r="W1255" s="251"/>
      <c r="X1255" s="251"/>
      <c r="Y1255" s="251"/>
      <c r="Z1255" s="251"/>
      <c r="AA1255" s="251"/>
      <c r="AB1255" s="251"/>
    </row>
    <row r="1256" ht="14.25" customHeight="1">
      <c r="A1256" s="251"/>
      <c r="B1256" s="263"/>
      <c r="C1256" s="275"/>
      <c r="D1256" s="98"/>
      <c r="E1256" s="240"/>
      <c r="F1256" s="240"/>
      <c r="G1256" s="240"/>
      <c r="H1256" s="240"/>
      <c r="I1256" s="276"/>
      <c r="J1256" s="251"/>
      <c r="K1256" s="251"/>
      <c r="L1256" s="251"/>
      <c r="M1256" s="251"/>
      <c r="N1256" s="251"/>
      <c r="O1256" s="251"/>
      <c r="P1256" s="251"/>
      <c r="Q1256" s="251"/>
      <c r="R1256" s="251"/>
      <c r="S1256" s="251"/>
      <c r="T1256" s="251"/>
      <c r="U1256" s="251"/>
      <c r="V1256" s="251"/>
      <c r="W1256" s="251"/>
      <c r="X1256" s="251"/>
      <c r="Y1256" s="251"/>
      <c r="Z1256" s="251"/>
      <c r="AA1256" s="251"/>
      <c r="AB1256" s="251"/>
    </row>
    <row r="1257" ht="14.25" customHeight="1">
      <c r="A1257" s="251"/>
      <c r="B1257" s="263"/>
      <c r="C1257" s="275"/>
      <c r="D1257" s="98"/>
      <c r="E1257" s="240"/>
      <c r="F1257" s="240"/>
      <c r="G1257" s="240"/>
      <c r="H1257" s="240"/>
      <c r="I1257" s="276"/>
      <c r="J1257" s="251"/>
      <c r="K1257" s="251"/>
      <c r="L1257" s="251"/>
      <c r="M1257" s="251"/>
      <c r="N1257" s="251"/>
      <c r="O1257" s="251"/>
      <c r="P1257" s="251"/>
      <c r="Q1257" s="251"/>
      <c r="R1257" s="251"/>
      <c r="S1257" s="251"/>
      <c r="T1257" s="251"/>
      <c r="U1257" s="251"/>
      <c r="V1257" s="251"/>
      <c r="W1257" s="251"/>
      <c r="X1257" s="251"/>
      <c r="Y1257" s="251"/>
      <c r="Z1257" s="251"/>
      <c r="AA1257" s="251"/>
      <c r="AB1257" s="251"/>
    </row>
    <row r="1258" ht="14.25" customHeight="1">
      <c r="A1258" s="251"/>
      <c r="B1258" s="263"/>
      <c r="C1258" s="275"/>
      <c r="D1258" s="98"/>
      <c r="E1258" s="240"/>
      <c r="F1258" s="240"/>
      <c r="G1258" s="240"/>
      <c r="H1258" s="240"/>
      <c r="I1258" s="276"/>
      <c r="J1258" s="251"/>
      <c r="K1258" s="251"/>
      <c r="L1258" s="251"/>
      <c r="M1258" s="251"/>
      <c r="N1258" s="251"/>
      <c r="O1258" s="251"/>
      <c r="P1258" s="251"/>
      <c r="Q1258" s="251"/>
      <c r="R1258" s="251"/>
      <c r="S1258" s="251"/>
      <c r="T1258" s="251"/>
      <c r="U1258" s="251"/>
      <c r="V1258" s="251"/>
      <c r="W1258" s="251"/>
      <c r="X1258" s="251"/>
      <c r="Y1258" s="251"/>
      <c r="Z1258" s="251"/>
      <c r="AA1258" s="251"/>
      <c r="AB1258" s="251"/>
    </row>
    <row r="1259" ht="14.25" customHeight="1">
      <c r="A1259" s="251"/>
      <c r="B1259" s="263"/>
      <c r="C1259" s="275"/>
      <c r="D1259" s="98"/>
      <c r="E1259" s="240"/>
      <c r="F1259" s="240"/>
      <c r="G1259" s="240"/>
      <c r="H1259" s="240"/>
      <c r="I1259" s="276"/>
      <c r="J1259" s="251"/>
      <c r="K1259" s="251"/>
      <c r="L1259" s="251"/>
      <c r="M1259" s="251"/>
      <c r="N1259" s="251"/>
      <c r="O1259" s="251"/>
      <c r="P1259" s="251"/>
      <c r="Q1259" s="251"/>
      <c r="R1259" s="251"/>
      <c r="S1259" s="251"/>
      <c r="T1259" s="251"/>
      <c r="U1259" s="251"/>
      <c r="V1259" s="251"/>
      <c r="W1259" s="251"/>
      <c r="X1259" s="251"/>
      <c r="Y1259" s="251"/>
      <c r="Z1259" s="251"/>
      <c r="AA1259" s="251"/>
      <c r="AB1259" s="251"/>
    </row>
    <row r="1260" ht="14.25" customHeight="1">
      <c r="A1260" s="251"/>
      <c r="B1260" s="263"/>
      <c r="C1260" s="275"/>
      <c r="D1260" s="98"/>
      <c r="E1260" s="240"/>
      <c r="F1260" s="240"/>
      <c r="G1260" s="240"/>
      <c r="H1260" s="240"/>
      <c r="I1260" s="276"/>
      <c r="J1260" s="251"/>
      <c r="K1260" s="251"/>
      <c r="L1260" s="251"/>
      <c r="M1260" s="251"/>
      <c r="N1260" s="251"/>
      <c r="O1260" s="251"/>
      <c r="P1260" s="251"/>
      <c r="Q1260" s="251"/>
      <c r="R1260" s="251"/>
      <c r="S1260" s="251"/>
      <c r="T1260" s="251"/>
      <c r="U1260" s="251"/>
      <c r="V1260" s="251"/>
      <c r="W1260" s="251"/>
      <c r="X1260" s="251"/>
      <c r="Y1260" s="251"/>
      <c r="Z1260" s="251"/>
      <c r="AA1260" s="251"/>
      <c r="AB1260" s="251"/>
    </row>
    <row r="1261" ht="14.25" customHeight="1">
      <c r="A1261" s="251"/>
      <c r="B1261" s="263"/>
      <c r="C1261" s="275"/>
      <c r="D1261" s="98"/>
      <c r="E1261" s="240"/>
      <c r="F1261" s="240"/>
      <c r="G1261" s="240"/>
      <c r="H1261" s="240"/>
      <c r="I1261" s="276"/>
      <c r="J1261" s="251"/>
      <c r="K1261" s="251"/>
      <c r="L1261" s="251"/>
      <c r="M1261" s="251"/>
      <c r="N1261" s="251"/>
      <c r="O1261" s="251"/>
      <c r="P1261" s="251"/>
      <c r="Q1261" s="251"/>
      <c r="R1261" s="251"/>
      <c r="S1261" s="251"/>
      <c r="T1261" s="251"/>
      <c r="U1261" s="251"/>
      <c r="V1261" s="251"/>
      <c r="W1261" s="251"/>
      <c r="X1261" s="251"/>
      <c r="Y1261" s="251"/>
      <c r="Z1261" s="251"/>
      <c r="AA1261" s="251"/>
      <c r="AB1261" s="251"/>
    </row>
    <row r="1262" ht="14.25" customHeight="1">
      <c r="A1262" s="251"/>
      <c r="B1262" s="263"/>
      <c r="C1262" s="275"/>
      <c r="D1262" s="98"/>
      <c r="E1262" s="240"/>
      <c r="F1262" s="240"/>
      <c r="G1262" s="240"/>
      <c r="H1262" s="240"/>
      <c r="I1262" s="276"/>
      <c r="J1262" s="251"/>
      <c r="K1262" s="251"/>
      <c r="L1262" s="251"/>
      <c r="M1262" s="251"/>
      <c r="N1262" s="251"/>
      <c r="O1262" s="251"/>
      <c r="P1262" s="251"/>
      <c r="Q1262" s="251"/>
      <c r="R1262" s="251"/>
      <c r="S1262" s="251"/>
      <c r="T1262" s="251"/>
      <c r="U1262" s="251"/>
      <c r="V1262" s="251"/>
      <c r="W1262" s="251"/>
      <c r="X1262" s="251"/>
      <c r="Y1262" s="251"/>
      <c r="Z1262" s="251"/>
      <c r="AA1262" s="251"/>
      <c r="AB1262" s="251"/>
    </row>
    <row r="1263" ht="14.25" customHeight="1">
      <c r="A1263" s="251"/>
      <c r="B1263" s="263"/>
      <c r="C1263" s="275"/>
      <c r="D1263" s="98"/>
      <c r="E1263" s="240"/>
      <c r="F1263" s="240"/>
      <c r="G1263" s="240"/>
      <c r="H1263" s="240"/>
      <c r="I1263" s="276"/>
      <c r="J1263" s="251"/>
      <c r="K1263" s="251"/>
      <c r="L1263" s="251"/>
      <c r="M1263" s="251"/>
      <c r="N1263" s="251"/>
      <c r="O1263" s="251"/>
      <c r="P1263" s="251"/>
      <c r="Q1263" s="251"/>
      <c r="R1263" s="251"/>
      <c r="S1263" s="251"/>
      <c r="T1263" s="251"/>
      <c r="U1263" s="251"/>
      <c r="V1263" s="251"/>
      <c r="W1263" s="251"/>
      <c r="X1263" s="251"/>
      <c r="Y1263" s="251"/>
      <c r="Z1263" s="251"/>
      <c r="AA1263" s="251"/>
      <c r="AB1263" s="251"/>
    </row>
    <row r="1264" ht="14.25" customHeight="1">
      <c r="A1264" s="251"/>
      <c r="B1264" s="263"/>
      <c r="C1264" s="275"/>
      <c r="D1264" s="98"/>
      <c r="E1264" s="240"/>
      <c r="F1264" s="240"/>
      <c r="G1264" s="240"/>
      <c r="H1264" s="240"/>
      <c r="I1264" s="276"/>
      <c r="J1264" s="251"/>
      <c r="K1264" s="251"/>
      <c r="L1264" s="251"/>
      <c r="M1264" s="251"/>
      <c r="N1264" s="251"/>
      <c r="O1264" s="251"/>
      <c r="P1264" s="251"/>
      <c r="Q1264" s="251"/>
      <c r="R1264" s="251"/>
      <c r="S1264" s="251"/>
      <c r="T1264" s="251"/>
      <c r="U1264" s="251"/>
      <c r="V1264" s="251"/>
      <c r="W1264" s="251"/>
      <c r="X1264" s="251"/>
      <c r="Y1264" s="251"/>
      <c r="Z1264" s="251"/>
      <c r="AA1264" s="251"/>
      <c r="AB1264" s="251"/>
    </row>
    <row r="1265" ht="14.25" customHeight="1">
      <c r="A1265" s="251"/>
      <c r="B1265" s="263"/>
      <c r="C1265" s="275"/>
      <c r="D1265" s="98"/>
      <c r="E1265" s="240"/>
      <c r="F1265" s="240"/>
      <c r="G1265" s="240"/>
      <c r="H1265" s="240"/>
      <c r="I1265" s="276"/>
      <c r="J1265" s="251"/>
      <c r="K1265" s="251"/>
      <c r="L1265" s="251"/>
      <c r="M1265" s="251"/>
      <c r="N1265" s="251"/>
      <c r="O1265" s="251"/>
      <c r="P1265" s="251"/>
      <c r="Q1265" s="251"/>
      <c r="R1265" s="251"/>
      <c r="S1265" s="251"/>
      <c r="T1265" s="251"/>
      <c r="U1265" s="251"/>
      <c r="V1265" s="251"/>
      <c r="W1265" s="251"/>
      <c r="X1265" s="251"/>
      <c r="Y1265" s="251"/>
      <c r="Z1265" s="251"/>
      <c r="AA1265" s="251"/>
      <c r="AB1265" s="251"/>
    </row>
    <row r="1266" ht="14.25" customHeight="1">
      <c r="A1266" s="251"/>
      <c r="B1266" s="263"/>
      <c r="C1266" s="275"/>
      <c r="D1266" s="98"/>
      <c r="E1266" s="240"/>
      <c r="F1266" s="240"/>
      <c r="G1266" s="240"/>
      <c r="H1266" s="240"/>
      <c r="I1266" s="276"/>
      <c r="J1266" s="251"/>
      <c r="K1266" s="251"/>
      <c r="L1266" s="251"/>
      <c r="M1266" s="251"/>
      <c r="N1266" s="251"/>
      <c r="O1266" s="251"/>
      <c r="P1266" s="251"/>
      <c r="Q1266" s="251"/>
      <c r="R1266" s="251"/>
      <c r="S1266" s="251"/>
      <c r="T1266" s="251"/>
      <c r="U1266" s="251"/>
      <c r="V1266" s="251"/>
      <c r="W1266" s="251"/>
      <c r="X1266" s="251"/>
      <c r="Y1266" s="251"/>
      <c r="Z1266" s="251"/>
      <c r="AA1266" s="251"/>
      <c r="AB1266" s="251"/>
    </row>
    <row r="1267" ht="14.25" customHeight="1">
      <c r="A1267" s="251"/>
      <c r="B1267" s="263"/>
      <c r="C1267" s="275"/>
      <c r="D1267" s="98"/>
      <c r="E1267" s="240"/>
      <c r="F1267" s="240"/>
      <c r="G1267" s="240"/>
      <c r="H1267" s="240"/>
      <c r="I1267" s="276"/>
      <c r="J1267" s="251"/>
      <c r="K1267" s="251"/>
      <c r="L1267" s="251"/>
      <c r="M1267" s="251"/>
      <c r="N1267" s="251"/>
      <c r="O1267" s="251"/>
      <c r="P1267" s="251"/>
      <c r="Q1267" s="251"/>
      <c r="R1267" s="251"/>
      <c r="S1267" s="251"/>
      <c r="T1267" s="251"/>
      <c r="U1267" s="251"/>
      <c r="V1267" s="251"/>
      <c r="W1267" s="251"/>
      <c r="X1267" s="251"/>
      <c r="Y1267" s="251"/>
      <c r="Z1267" s="251"/>
      <c r="AA1267" s="251"/>
      <c r="AB1267" s="251"/>
    </row>
    <row r="1268" ht="14.25" customHeight="1">
      <c r="A1268" s="251"/>
      <c r="B1268" s="263"/>
      <c r="C1268" s="275"/>
      <c r="D1268" s="98"/>
      <c r="E1268" s="240"/>
      <c r="F1268" s="240"/>
      <c r="G1268" s="240"/>
      <c r="H1268" s="240"/>
      <c r="I1268" s="276"/>
      <c r="J1268" s="251"/>
      <c r="K1268" s="251"/>
      <c r="L1268" s="251"/>
      <c r="M1268" s="251"/>
      <c r="N1268" s="251"/>
      <c r="O1268" s="251"/>
      <c r="P1268" s="251"/>
      <c r="Q1268" s="251"/>
      <c r="R1268" s="251"/>
      <c r="S1268" s="251"/>
      <c r="T1268" s="251"/>
      <c r="U1268" s="251"/>
      <c r="V1268" s="251"/>
      <c r="W1268" s="251"/>
      <c r="X1268" s="251"/>
      <c r="Y1268" s="251"/>
      <c r="Z1268" s="251"/>
      <c r="AA1268" s="251"/>
      <c r="AB1268" s="251"/>
    </row>
    <row r="1269" ht="14.25" customHeight="1">
      <c r="A1269" s="251"/>
      <c r="B1269" s="263"/>
      <c r="C1269" s="275"/>
      <c r="D1269" s="98"/>
      <c r="E1269" s="240"/>
      <c r="F1269" s="240"/>
      <c r="G1269" s="240"/>
      <c r="H1269" s="240"/>
      <c r="I1269" s="276"/>
      <c r="J1269" s="251"/>
      <c r="K1269" s="251"/>
      <c r="L1269" s="251"/>
      <c r="M1269" s="251"/>
      <c r="N1269" s="251"/>
      <c r="O1269" s="251"/>
      <c r="P1269" s="251"/>
      <c r="Q1269" s="251"/>
      <c r="R1269" s="251"/>
      <c r="S1269" s="251"/>
      <c r="T1269" s="251"/>
      <c r="U1269" s="251"/>
      <c r="V1269" s="251"/>
      <c r="W1269" s="251"/>
      <c r="X1269" s="251"/>
      <c r="Y1269" s="251"/>
      <c r="Z1269" s="251"/>
      <c r="AA1269" s="251"/>
      <c r="AB1269" s="251"/>
    </row>
    <row r="1270" ht="14.25" customHeight="1">
      <c r="A1270" s="251"/>
      <c r="B1270" s="263"/>
      <c r="C1270" s="275"/>
      <c r="D1270" s="98"/>
      <c r="E1270" s="240"/>
      <c r="F1270" s="240"/>
      <c r="G1270" s="240"/>
      <c r="H1270" s="240"/>
      <c r="I1270" s="276"/>
      <c r="J1270" s="251"/>
      <c r="K1270" s="251"/>
      <c r="L1270" s="251"/>
      <c r="M1270" s="251"/>
      <c r="N1270" s="251"/>
      <c r="O1270" s="251"/>
      <c r="P1270" s="251"/>
      <c r="Q1270" s="251"/>
      <c r="R1270" s="251"/>
      <c r="S1270" s="251"/>
      <c r="T1270" s="251"/>
      <c r="U1270" s="251"/>
      <c r="V1270" s="251"/>
      <c r="W1270" s="251"/>
      <c r="X1270" s="251"/>
      <c r="Y1270" s="251"/>
      <c r="Z1270" s="251"/>
      <c r="AA1270" s="251"/>
      <c r="AB1270" s="251"/>
    </row>
    <row r="1271" ht="14.25" customHeight="1">
      <c r="A1271" s="251"/>
      <c r="B1271" s="263"/>
      <c r="C1271" s="275"/>
      <c r="D1271" s="98"/>
      <c r="E1271" s="240"/>
      <c r="F1271" s="240"/>
      <c r="G1271" s="240"/>
      <c r="H1271" s="240"/>
      <c r="I1271" s="276"/>
      <c r="J1271" s="251"/>
      <c r="K1271" s="251"/>
      <c r="L1271" s="251"/>
      <c r="M1271" s="251"/>
      <c r="N1271" s="251"/>
      <c r="O1271" s="251"/>
      <c r="P1271" s="251"/>
      <c r="Q1271" s="251"/>
      <c r="R1271" s="251"/>
      <c r="S1271" s="251"/>
      <c r="T1271" s="251"/>
      <c r="U1271" s="251"/>
      <c r="V1271" s="251"/>
      <c r="W1271" s="251"/>
      <c r="X1271" s="251"/>
      <c r="Y1271" s="251"/>
      <c r="Z1271" s="251"/>
      <c r="AA1271" s="251"/>
      <c r="AB1271" s="251"/>
    </row>
    <row r="1272" ht="14.25" customHeight="1">
      <c r="A1272" s="251"/>
      <c r="B1272" s="263"/>
      <c r="C1272" s="275"/>
      <c r="D1272" s="98"/>
      <c r="E1272" s="240"/>
      <c r="F1272" s="240"/>
      <c r="G1272" s="240"/>
      <c r="H1272" s="240"/>
      <c r="I1272" s="276"/>
      <c r="J1272" s="251"/>
      <c r="K1272" s="251"/>
      <c r="L1272" s="251"/>
      <c r="M1272" s="251"/>
      <c r="N1272" s="251"/>
      <c r="O1272" s="251"/>
      <c r="P1272" s="251"/>
      <c r="Q1272" s="251"/>
      <c r="R1272" s="251"/>
      <c r="S1272" s="251"/>
      <c r="T1272" s="251"/>
      <c r="U1272" s="251"/>
      <c r="V1272" s="251"/>
      <c r="W1272" s="251"/>
      <c r="X1272" s="251"/>
      <c r="Y1272" s="251"/>
      <c r="Z1272" s="251"/>
      <c r="AA1272" s="251"/>
      <c r="AB1272" s="251"/>
    </row>
    <row r="1273" ht="14.25" customHeight="1">
      <c r="A1273" s="251"/>
      <c r="B1273" s="263"/>
      <c r="C1273" s="275"/>
      <c r="D1273" s="98"/>
      <c r="E1273" s="240"/>
      <c r="F1273" s="240"/>
      <c r="G1273" s="240"/>
      <c r="H1273" s="240"/>
      <c r="I1273" s="276"/>
      <c r="J1273" s="251"/>
      <c r="K1273" s="251"/>
      <c r="L1273" s="251"/>
      <c r="M1273" s="251"/>
      <c r="N1273" s="251"/>
      <c r="O1273" s="251"/>
      <c r="P1273" s="251"/>
      <c r="Q1273" s="251"/>
      <c r="R1273" s="251"/>
      <c r="S1273" s="251"/>
      <c r="T1273" s="251"/>
      <c r="U1273" s="251"/>
      <c r="V1273" s="251"/>
      <c r="W1273" s="251"/>
      <c r="X1273" s="251"/>
      <c r="Y1273" s="251"/>
      <c r="Z1273" s="251"/>
      <c r="AA1273" s="251"/>
      <c r="AB1273" s="251"/>
    </row>
    <row r="1274" ht="14.25" customHeight="1">
      <c r="A1274" s="251"/>
      <c r="B1274" s="263"/>
      <c r="C1274" s="275"/>
      <c r="D1274" s="98"/>
      <c r="E1274" s="240"/>
      <c r="F1274" s="240"/>
      <c r="G1274" s="240"/>
      <c r="H1274" s="240"/>
      <c r="I1274" s="276"/>
      <c r="J1274" s="251"/>
      <c r="K1274" s="251"/>
      <c r="L1274" s="251"/>
      <c r="M1274" s="251"/>
      <c r="N1274" s="251"/>
      <c r="O1274" s="251"/>
      <c r="P1274" s="251"/>
      <c r="Q1274" s="251"/>
      <c r="R1274" s="251"/>
      <c r="S1274" s="251"/>
      <c r="T1274" s="251"/>
      <c r="U1274" s="251"/>
      <c r="V1274" s="251"/>
      <c r="W1274" s="251"/>
      <c r="X1274" s="251"/>
      <c r="Y1274" s="251"/>
      <c r="Z1274" s="251"/>
      <c r="AA1274" s="251"/>
      <c r="AB1274" s="251"/>
    </row>
    <row r="1275" ht="14.25" customHeight="1">
      <c r="A1275" s="251"/>
      <c r="B1275" s="263"/>
      <c r="C1275" s="275"/>
      <c r="D1275" s="98"/>
      <c r="E1275" s="240"/>
      <c r="F1275" s="240"/>
      <c r="G1275" s="240"/>
      <c r="H1275" s="240"/>
      <c r="I1275" s="276"/>
      <c r="J1275" s="251"/>
      <c r="K1275" s="251"/>
      <c r="L1275" s="251"/>
      <c r="M1275" s="251"/>
      <c r="N1275" s="251"/>
      <c r="O1275" s="251"/>
      <c r="P1275" s="251"/>
      <c r="Q1275" s="251"/>
      <c r="R1275" s="251"/>
      <c r="S1275" s="251"/>
      <c r="T1275" s="251"/>
      <c r="U1275" s="251"/>
      <c r="V1275" s="251"/>
      <c r="W1275" s="251"/>
      <c r="X1275" s="251"/>
      <c r="Y1275" s="251"/>
      <c r="Z1275" s="251"/>
      <c r="AA1275" s="251"/>
      <c r="AB1275" s="251"/>
    </row>
    <row r="1276" ht="14.25" customHeight="1">
      <c r="A1276" s="251"/>
      <c r="B1276" s="263"/>
      <c r="C1276" s="275"/>
      <c r="D1276" s="98"/>
      <c r="E1276" s="240"/>
      <c r="F1276" s="240"/>
      <c r="G1276" s="240"/>
      <c r="H1276" s="240"/>
      <c r="I1276" s="276"/>
      <c r="J1276" s="251"/>
      <c r="K1276" s="251"/>
      <c r="L1276" s="251"/>
      <c r="M1276" s="251"/>
      <c r="N1276" s="251"/>
      <c r="O1276" s="251"/>
      <c r="P1276" s="251"/>
      <c r="Q1276" s="251"/>
      <c r="R1276" s="251"/>
      <c r="S1276" s="251"/>
      <c r="T1276" s="251"/>
      <c r="U1276" s="251"/>
      <c r="V1276" s="251"/>
      <c r="W1276" s="251"/>
      <c r="X1276" s="251"/>
      <c r="Y1276" s="251"/>
      <c r="Z1276" s="251"/>
      <c r="AA1276" s="251"/>
      <c r="AB1276" s="251"/>
    </row>
    <row r="1277" ht="14.25" customHeight="1">
      <c r="A1277" s="251"/>
      <c r="B1277" s="263"/>
      <c r="C1277" s="275"/>
      <c r="D1277" s="98"/>
      <c r="E1277" s="240"/>
      <c r="F1277" s="240"/>
      <c r="G1277" s="240"/>
      <c r="H1277" s="240"/>
      <c r="I1277" s="276"/>
      <c r="J1277" s="251"/>
      <c r="K1277" s="251"/>
      <c r="L1277" s="251"/>
      <c r="M1277" s="251"/>
      <c r="N1277" s="251"/>
      <c r="O1277" s="251"/>
      <c r="P1277" s="251"/>
      <c r="Q1277" s="251"/>
      <c r="R1277" s="251"/>
      <c r="S1277" s="251"/>
      <c r="T1277" s="251"/>
      <c r="U1277" s="251"/>
      <c r="V1277" s="251"/>
      <c r="W1277" s="251"/>
      <c r="X1277" s="251"/>
      <c r="Y1277" s="251"/>
      <c r="Z1277" s="251"/>
      <c r="AA1277" s="251"/>
      <c r="AB1277" s="251"/>
    </row>
    <row r="1278" ht="14.25" customHeight="1">
      <c r="A1278" s="251"/>
      <c r="B1278" s="263"/>
      <c r="C1278" s="275"/>
      <c r="D1278" s="98"/>
      <c r="E1278" s="240"/>
      <c r="F1278" s="240"/>
      <c r="G1278" s="240"/>
      <c r="H1278" s="240"/>
      <c r="I1278" s="276"/>
      <c r="J1278" s="251"/>
      <c r="K1278" s="251"/>
      <c r="L1278" s="251"/>
      <c r="M1278" s="251"/>
      <c r="N1278" s="251"/>
      <c r="O1278" s="251"/>
      <c r="P1278" s="251"/>
      <c r="Q1278" s="251"/>
      <c r="R1278" s="251"/>
      <c r="S1278" s="251"/>
      <c r="T1278" s="251"/>
      <c r="U1278" s="251"/>
      <c r="V1278" s="251"/>
      <c r="W1278" s="251"/>
      <c r="X1278" s="251"/>
      <c r="Y1278" s="251"/>
      <c r="Z1278" s="251"/>
      <c r="AA1278" s="251"/>
      <c r="AB1278" s="251"/>
    </row>
    <row r="1279" ht="14.25" customHeight="1">
      <c r="A1279" s="251"/>
      <c r="B1279" s="263"/>
      <c r="C1279" s="275"/>
      <c r="D1279" s="98"/>
      <c r="E1279" s="240"/>
      <c r="F1279" s="240"/>
      <c r="G1279" s="240"/>
      <c r="H1279" s="240"/>
      <c r="I1279" s="276"/>
      <c r="J1279" s="251"/>
      <c r="K1279" s="251"/>
      <c r="L1279" s="251"/>
      <c r="M1279" s="251"/>
      <c r="N1279" s="251"/>
      <c r="O1279" s="251"/>
      <c r="P1279" s="251"/>
      <c r="Q1279" s="251"/>
      <c r="R1279" s="251"/>
      <c r="S1279" s="251"/>
      <c r="T1279" s="251"/>
      <c r="U1279" s="251"/>
      <c r="V1279" s="251"/>
      <c r="W1279" s="251"/>
      <c r="X1279" s="251"/>
      <c r="Y1279" s="251"/>
      <c r="Z1279" s="251"/>
      <c r="AA1279" s="251"/>
      <c r="AB1279" s="251"/>
    </row>
    <row r="1280" ht="14.25" customHeight="1">
      <c r="A1280" s="251"/>
      <c r="B1280" s="263"/>
      <c r="C1280" s="275"/>
      <c r="D1280" s="98"/>
      <c r="E1280" s="240"/>
      <c r="F1280" s="240"/>
      <c r="G1280" s="240"/>
      <c r="H1280" s="240"/>
      <c r="I1280" s="276"/>
      <c r="J1280" s="251"/>
      <c r="K1280" s="251"/>
      <c r="L1280" s="251"/>
      <c r="M1280" s="251"/>
      <c r="N1280" s="251"/>
      <c r="O1280" s="251"/>
      <c r="P1280" s="251"/>
      <c r="Q1280" s="251"/>
      <c r="R1280" s="251"/>
      <c r="S1280" s="251"/>
      <c r="T1280" s="251"/>
      <c r="U1280" s="251"/>
      <c r="V1280" s="251"/>
      <c r="W1280" s="251"/>
      <c r="X1280" s="251"/>
      <c r="Y1280" s="251"/>
      <c r="Z1280" s="251"/>
      <c r="AA1280" s="251"/>
      <c r="AB1280" s="251"/>
    </row>
    <row r="1281" ht="14.25" customHeight="1">
      <c r="A1281" s="251"/>
      <c r="B1281" s="263"/>
      <c r="C1281" s="275"/>
      <c r="D1281" s="98"/>
      <c r="E1281" s="240"/>
      <c r="F1281" s="240"/>
      <c r="G1281" s="240"/>
      <c r="H1281" s="240"/>
      <c r="I1281" s="276"/>
      <c r="J1281" s="251"/>
      <c r="K1281" s="251"/>
      <c r="L1281" s="251"/>
      <c r="M1281" s="251"/>
      <c r="N1281" s="251"/>
      <c r="O1281" s="251"/>
      <c r="P1281" s="251"/>
      <c r="Q1281" s="251"/>
      <c r="R1281" s="251"/>
      <c r="S1281" s="251"/>
      <c r="T1281" s="251"/>
      <c r="U1281" s="251"/>
      <c r="V1281" s="251"/>
      <c r="W1281" s="251"/>
      <c r="X1281" s="251"/>
      <c r="Y1281" s="251"/>
      <c r="Z1281" s="251"/>
      <c r="AA1281" s="251"/>
      <c r="AB1281" s="251"/>
    </row>
    <row r="1282" ht="14.25" customHeight="1">
      <c r="A1282" s="251"/>
      <c r="B1282" s="263"/>
      <c r="C1282" s="275"/>
      <c r="D1282" s="98"/>
      <c r="E1282" s="240"/>
      <c r="F1282" s="240"/>
      <c r="G1282" s="240"/>
      <c r="H1282" s="240"/>
      <c r="I1282" s="276"/>
      <c r="J1282" s="251"/>
      <c r="K1282" s="251"/>
      <c r="L1282" s="251"/>
      <c r="M1282" s="251"/>
      <c r="N1282" s="251"/>
      <c r="O1282" s="251"/>
      <c r="P1282" s="251"/>
      <c r="Q1282" s="251"/>
      <c r="R1282" s="251"/>
      <c r="S1282" s="251"/>
      <c r="T1282" s="251"/>
      <c r="U1282" s="251"/>
      <c r="V1282" s="251"/>
      <c r="W1282" s="251"/>
      <c r="X1282" s="251"/>
      <c r="Y1282" s="251"/>
      <c r="Z1282" s="251"/>
      <c r="AA1282" s="251"/>
      <c r="AB1282" s="251"/>
    </row>
    <row r="1283" ht="14.25" customHeight="1">
      <c r="A1283" s="251"/>
      <c r="B1283" s="263"/>
      <c r="C1283" s="275"/>
      <c r="D1283" s="98"/>
      <c r="E1283" s="240"/>
      <c r="F1283" s="240"/>
      <c r="G1283" s="240"/>
      <c r="H1283" s="240"/>
      <c r="I1283" s="276"/>
      <c r="J1283" s="251"/>
      <c r="K1283" s="251"/>
      <c r="L1283" s="251"/>
      <c r="M1283" s="251"/>
      <c r="N1283" s="251"/>
      <c r="O1283" s="251"/>
      <c r="P1283" s="251"/>
      <c r="Q1283" s="251"/>
      <c r="R1283" s="251"/>
      <c r="S1283" s="251"/>
      <c r="T1283" s="251"/>
      <c r="U1283" s="251"/>
      <c r="V1283" s="251"/>
      <c r="W1283" s="251"/>
      <c r="X1283" s="251"/>
      <c r="Y1283" s="251"/>
      <c r="Z1283" s="251"/>
      <c r="AA1283" s="251"/>
      <c r="AB1283" s="251"/>
    </row>
    <row r="1284" ht="14.25" customHeight="1">
      <c r="A1284" s="251"/>
      <c r="B1284" s="263"/>
      <c r="C1284" s="275"/>
      <c r="D1284" s="98"/>
      <c r="E1284" s="240"/>
      <c r="F1284" s="240"/>
      <c r="G1284" s="240"/>
      <c r="H1284" s="240"/>
      <c r="I1284" s="276"/>
      <c r="J1284" s="251"/>
      <c r="K1284" s="251"/>
      <c r="L1284" s="251"/>
      <c r="M1284" s="251"/>
      <c r="N1284" s="251"/>
      <c r="O1284" s="251"/>
      <c r="P1284" s="251"/>
      <c r="Q1284" s="251"/>
      <c r="R1284" s="251"/>
      <c r="S1284" s="251"/>
      <c r="T1284" s="251"/>
      <c r="U1284" s="251"/>
      <c r="V1284" s="251"/>
      <c r="W1284" s="251"/>
      <c r="X1284" s="251"/>
      <c r="Y1284" s="251"/>
      <c r="Z1284" s="251"/>
      <c r="AA1284" s="251"/>
      <c r="AB1284" s="251"/>
    </row>
    <row r="1285" ht="14.25" customHeight="1">
      <c r="A1285" s="251"/>
      <c r="B1285" s="263"/>
      <c r="C1285" s="275"/>
      <c r="D1285" s="98"/>
      <c r="E1285" s="240"/>
      <c r="F1285" s="240"/>
      <c r="G1285" s="240"/>
      <c r="H1285" s="240"/>
      <c r="I1285" s="276"/>
      <c r="J1285" s="251"/>
      <c r="K1285" s="251"/>
      <c r="L1285" s="251"/>
      <c r="M1285" s="251"/>
      <c r="N1285" s="251"/>
      <c r="O1285" s="251"/>
      <c r="P1285" s="251"/>
      <c r="Q1285" s="251"/>
      <c r="R1285" s="251"/>
      <c r="S1285" s="251"/>
      <c r="T1285" s="251"/>
      <c r="U1285" s="251"/>
      <c r="V1285" s="251"/>
      <c r="W1285" s="251"/>
      <c r="X1285" s="251"/>
      <c r="Y1285" s="251"/>
      <c r="Z1285" s="251"/>
      <c r="AA1285" s="251"/>
      <c r="AB1285" s="251"/>
    </row>
    <row r="1286" ht="14.25" customHeight="1">
      <c r="A1286" s="251"/>
      <c r="B1286" s="263"/>
      <c r="C1286" s="275"/>
      <c r="D1286" s="98"/>
      <c r="E1286" s="240"/>
      <c r="F1286" s="240"/>
      <c r="G1286" s="240"/>
      <c r="H1286" s="240"/>
      <c r="I1286" s="276"/>
      <c r="J1286" s="251"/>
      <c r="K1286" s="251"/>
      <c r="L1286" s="251"/>
      <c r="M1286" s="251"/>
      <c r="N1286" s="251"/>
      <c r="O1286" s="251"/>
      <c r="P1286" s="251"/>
      <c r="Q1286" s="251"/>
      <c r="R1286" s="251"/>
      <c r="S1286" s="251"/>
      <c r="T1286" s="251"/>
      <c r="U1286" s="251"/>
      <c r="V1286" s="251"/>
      <c r="W1286" s="251"/>
      <c r="X1286" s="251"/>
      <c r="Y1286" s="251"/>
      <c r="Z1286" s="251"/>
      <c r="AA1286" s="251"/>
      <c r="AB1286" s="251"/>
    </row>
    <row r="1287" ht="14.25" customHeight="1">
      <c r="A1287" s="251"/>
      <c r="B1287" s="263"/>
      <c r="C1287" s="275"/>
      <c r="D1287" s="98"/>
      <c r="E1287" s="240"/>
      <c r="F1287" s="240"/>
      <c r="G1287" s="240"/>
      <c r="H1287" s="240"/>
      <c r="I1287" s="276"/>
      <c r="J1287" s="251"/>
      <c r="K1287" s="251"/>
      <c r="L1287" s="251"/>
      <c r="M1287" s="251"/>
      <c r="N1287" s="251"/>
      <c r="O1287" s="251"/>
      <c r="P1287" s="251"/>
      <c r="Q1287" s="251"/>
      <c r="R1287" s="251"/>
      <c r="S1287" s="251"/>
      <c r="T1287" s="251"/>
      <c r="U1287" s="251"/>
      <c r="V1287" s="251"/>
      <c r="W1287" s="251"/>
      <c r="X1287" s="251"/>
      <c r="Y1287" s="251"/>
      <c r="Z1287" s="251"/>
      <c r="AA1287" s="251"/>
      <c r="AB1287" s="251"/>
    </row>
    <row r="1288" ht="14.25" customHeight="1">
      <c r="A1288" s="251"/>
      <c r="B1288" s="263"/>
      <c r="C1288" s="275"/>
      <c r="D1288" s="98"/>
      <c r="E1288" s="240"/>
      <c r="F1288" s="240"/>
      <c r="G1288" s="240"/>
      <c r="H1288" s="240"/>
      <c r="I1288" s="276"/>
      <c r="J1288" s="251"/>
      <c r="K1288" s="251"/>
      <c r="L1288" s="251"/>
      <c r="M1288" s="251"/>
      <c r="N1288" s="251"/>
      <c r="O1288" s="251"/>
      <c r="P1288" s="251"/>
      <c r="Q1288" s="251"/>
      <c r="R1288" s="251"/>
      <c r="S1288" s="251"/>
      <c r="T1288" s="251"/>
      <c r="U1288" s="251"/>
      <c r="V1288" s="251"/>
      <c r="W1288" s="251"/>
      <c r="X1288" s="251"/>
      <c r="Y1288" s="251"/>
      <c r="Z1288" s="251"/>
      <c r="AA1288" s="251"/>
      <c r="AB1288" s="251"/>
    </row>
    <row r="1289" ht="14.25" customHeight="1">
      <c r="A1289" s="251"/>
      <c r="B1289" s="263"/>
      <c r="C1289" s="275"/>
      <c r="D1289" s="98"/>
      <c r="E1289" s="240"/>
      <c r="F1289" s="240"/>
      <c r="G1289" s="240"/>
      <c r="H1289" s="240"/>
      <c r="I1289" s="276"/>
      <c r="J1289" s="251"/>
      <c r="K1289" s="251"/>
      <c r="L1289" s="251"/>
      <c r="M1289" s="251"/>
      <c r="N1289" s="251"/>
      <c r="O1289" s="251"/>
      <c r="P1289" s="251"/>
      <c r="Q1289" s="251"/>
      <c r="R1289" s="251"/>
      <c r="S1289" s="251"/>
      <c r="T1289" s="251"/>
      <c r="U1289" s="251"/>
      <c r="V1289" s="251"/>
      <c r="W1289" s="251"/>
      <c r="X1289" s="251"/>
      <c r="Y1289" s="251"/>
      <c r="Z1289" s="251"/>
      <c r="AA1289" s="251"/>
      <c r="AB1289" s="251"/>
    </row>
    <row r="1290" ht="14.25" customHeight="1">
      <c r="A1290" s="251"/>
      <c r="B1290" s="263"/>
      <c r="C1290" s="275"/>
      <c r="D1290" s="98"/>
      <c r="E1290" s="240"/>
      <c r="F1290" s="240"/>
      <c r="G1290" s="240"/>
      <c r="H1290" s="240"/>
      <c r="I1290" s="276"/>
      <c r="J1290" s="251"/>
      <c r="K1290" s="251"/>
      <c r="L1290" s="251"/>
      <c r="M1290" s="251"/>
      <c r="N1290" s="251"/>
      <c r="O1290" s="251"/>
      <c r="P1290" s="251"/>
      <c r="Q1290" s="251"/>
      <c r="R1290" s="251"/>
      <c r="S1290" s="251"/>
      <c r="T1290" s="251"/>
      <c r="U1290" s="251"/>
      <c r="V1290" s="251"/>
      <c r="W1290" s="251"/>
      <c r="X1290" s="251"/>
      <c r="Y1290" s="251"/>
      <c r="Z1290" s="251"/>
      <c r="AA1290" s="251"/>
      <c r="AB1290" s="251"/>
    </row>
    <row r="1291" ht="14.25" customHeight="1">
      <c r="A1291" s="251"/>
      <c r="B1291" s="263"/>
      <c r="C1291" s="275"/>
      <c r="D1291" s="98"/>
      <c r="E1291" s="240"/>
      <c r="F1291" s="240"/>
      <c r="G1291" s="240"/>
      <c r="H1291" s="240"/>
      <c r="I1291" s="276"/>
      <c r="J1291" s="251"/>
      <c r="K1291" s="251"/>
      <c r="L1291" s="251"/>
      <c r="M1291" s="251"/>
      <c r="N1291" s="251"/>
      <c r="O1291" s="251"/>
      <c r="P1291" s="251"/>
      <c r="Q1291" s="251"/>
      <c r="R1291" s="251"/>
      <c r="S1291" s="251"/>
      <c r="T1291" s="251"/>
      <c r="U1291" s="251"/>
      <c r="V1291" s="251"/>
      <c r="W1291" s="251"/>
      <c r="X1291" s="251"/>
      <c r="Y1291" s="251"/>
      <c r="Z1291" s="251"/>
      <c r="AA1291" s="251"/>
      <c r="AB1291" s="251"/>
    </row>
    <row r="1292" ht="14.25" customHeight="1">
      <c r="A1292" s="251"/>
      <c r="B1292" s="263"/>
      <c r="C1292" s="275"/>
      <c r="D1292" s="98"/>
      <c r="E1292" s="240"/>
      <c r="F1292" s="240"/>
      <c r="G1292" s="240"/>
      <c r="H1292" s="240"/>
      <c r="I1292" s="276"/>
      <c r="J1292" s="251"/>
      <c r="K1292" s="251"/>
      <c r="L1292" s="251"/>
      <c r="M1292" s="251"/>
      <c r="N1292" s="251"/>
      <c r="O1292" s="251"/>
      <c r="P1292" s="251"/>
      <c r="Q1292" s="251"/>
      <c r="R1292" s="251"/>
      <c r="S1292" s="251"/>
      <c r="T1292" s="251"/>
      <c r="U1292" s="251"/>
      <c r="V1292" s="251"/>
      <c r="W1292" s="251"/>
      <c r="X1292" s="251"/>
      <c r="Y1292" s="251"/>
      <c r="Z1292" s="251"/>
      <c r="AA1292" s="251"/>
      <c r="AB1292" s="251"/>
    </row>
    <row r="1293" ht="14.25" customHeight="1">
      <c r="A1293" s="251"/>
      <c r="B1293" s="263"/>
      <c r="C1293" s="275"/>
      <c r="D1293" s="98"/>
      <c r="E1293" s="240"/>
      <c r="F1293" s="240"/>
      <c r="G1293" s="240"/>
      <c r="H1293" s="240"/>
      <c r="I1293" s="276"/>
      <c r="J1293" s="251"/>
      <c r="K1293" s="251"/>
      <c r="L1293" s="251"/>
      <c r="M1293" s="251"/>
      <c r="N1293" s="251"/>
      <c r="O1293" s="251"/>
      <c r="P1293" s="251"/>
      <c r="Q1293" s="251"/>
      <c r="R1293" s="251"/>
      <c r="S1293" s="251"/>
      <c r="T1293" s="251"/>
      <c r="U1293" s="251"/>
      <c r="V1293" s="251"/>
      <c r="W1293" s="251"/>
      <c r="X1293" s="251"/>
      <c r="Y1293" s="251"/>
      <c r="Z1293" s="251"/>
      <c r="AA1293" s="251"/>
      <c r="AB1293" s="251"/>
    </row>
    <row r="1294" ht="14.25" customHeight="1">
      <c r="A1294" s="251"/>
      <c r="B1294" s="263"/>
      <c r="C1294" s="275"/>
      <c r="D1294" s="98"/>
      <c r="E1294" s="240"/>
      <c r="F1294" s="240"/>
      <c r="G1294" s="240"/>
      <c r="H1294" s="240"/>
      <c r="I1294" s="276"/>
      <c r="J1294" s="251"/>
      <c r="K1294" s="251"/>
      <c r="L1294" s="251"/>
      <c r="M1294" s="251"/>
      <c r="N1294" s="251"/>
      <c r="O1294" s="251"/>
      <c r="P1294" s="251"/>
      <c r="Q1294" s="251"/>
      <c r="R1294" s="251"/>
      <c r="S1294" s="251"/>
      <c r="T1294" s="251"/>
      <c r="U1294" s="251"/>
      <c r="V1294" s="251"/>
      <c r="W1294" s="251"/>
      <c r="X1294" s="251"/>
      <c r="Y1294" s="251"/>
      <c r="Z1294" s="251"/>
      <c r="AA1294" s="251"/>
      <c r="AB1294" s="251"/>
    </row>
    <row r="1295" ht="14.25" customHeight="1">
      <c r="A1295" s="251"/>
      <c r="B1295" s="263"/>
      <c r="C1295" s="275"/>
      <c r="D1295" s="98"/>
      <c r="E1295" s="240"/>
      <c r="F1295" s="240"/>
      <c r="G1295" s="240"/>
      <c r="H1295" s="240"/>
      <c r="I1295" s="276"/>
      <c r="J1295" s="251"/>
      <c r="K1295" s="251"/>
      <c r="L1295" s="251"/>
      <c r="M1295" s="251"/>
      <c r="N1295" s="251"/>
      <c r="O1295" s="251"/>
      <c r="P1295" s="251"/>
      <c r="Q1295" s="251"/>
      <c r="R1295" s="251"/>
      <c r="S1295" s="251"/>
      <c r="T1295" s="251"/>
      <c r="U1295" s="251"/>
      <c r="V1295" s="251"/>
      <c r="W1295" s="251"/>
      <c r="X1295" s="251"/>
      <c r="Y1295" s="251"/>
      <c r="Z1295" s="251"/>
      <c r="AA1295" s="251"/>
      <c r="AB1295" s="251"/>
    </row>
    <row r="1296" ht="14.25" customHeight="1">
      <c r="A1296" s="251"/>
      <c r="B1296" s="263"/>
      <c r="C1296" s="275"/>
      <c r="D1296" s="98"/>
      <c r="E1296" s="240"/>
      <c r="F1296" s="240"/>
      <c r="G1296" s="240"/>
      <c r="H1296" s="240"/>
      <c r="I1296" s="276"/>
      <c r="J1296" s="251"/>
      <c r="K1296" s="251"/>
      <c r="L1296" s="251"/>
      <c r="M1296" s="251"/>
      <c r="N1296" s="251"/>
      <c r="O1296" s="251"/>
      <c r="P1296" s="251"/>
      <c r="Q1296" s="251"/>
      <c r="R1296" s="251"/>
      <c r="S1296" s="251"/>
      <c r="T1296" s="251"/>
      <c r="U1296" s="251"/>
      <c r="V1296" s="251"/>
      <c r="W1296" s="251"/>
      <c r="X1296" s="251"/>
      <c r="Y1296" s="251"/>
      <c r="Z1296" s="251"/>
      <c r="AA1296" s="251"/>
      <c r="AB1296" s="251"/>
    </row>
    <row r="1297" ht="14.25" customHeight="1">
      <c r="A1297" s="251"/>
      <c r="B1297" s="263"/>
      <c r="C1297" s="275"/>
      <c r="D1297" s="98"/>
      <c r="E1297" s="240"/>
      <c r="F1297" s="240"/>
      <c r="G1297" s="240"/>
      <c r="H1297" s="240"/>
      <c r="I1297" s="276"/>
      <c r="J1297" s="251"/>
      <c r="K1297" s="251"/>
      <c r="L1297" s="251"/>
      <c r="M1297" s="251"/>
      <c r="N1297" s="251"/>
      <c r="O1297" s="251"/>
      <c r="P1297" s="251"/>
      <c r="Q1297" s="251"/>
      <c r="R1297" s="251"/>
      <c r="S1297" s="251"/>
      <c r="T1297" s="251"/>
      <c r="U1297" s="251"/>
      <c r="V1297" s="251"/>
      <c r="W1297" s="251"/>
      <c r="X1297" s="251"/>
      <c r="Y1297" s="251"/>
      <c r="Z1297" s="251"/>
      <c r="AA1297" s="251"/>
      <c r="AB1297" s="251"/>
    </row>
    <row r="1298" ht="14.25" customHeight="1">
      <c r="A1298" s="251"/>
      <c r="B1298" s="263"/>
      <c r="C1298" s="275"/>
      <c r="D1298" s="98"/>
      <c r="E1298" s="240"/>
      <c r="F1298" s="240"/>
      <c r="G1298" s="240"/>
      <c r="H1298" s="240"/>
      <c r="I1298" s="276"/>
      <c r="J1298" s="251"/>
      <c r="K1298" s="251"/>
      <c r="L1298" s="251"/>
      <c r="M1298" s="251"/>
      <c r="N1298" s="251"/>
      <c r="O1298" s="251"/>
      <c r="P1298" s="251"/>
      <c r="Q1298" s="251"/>
      <c r="R1298" s="251"/>
      <c r="S1298" s="251"/>
      <c r="T1298" s="251"/>
      <c r="U1298" s="251"/>
      <c r="V1298" s="251"/>
      <c r="W1298" s="251"/>
      <c r="X1298" s="251"/>
      <c r="Y1298" s="251"/>
      <c r="Z1298" s="251"/>
      <c r="AA1298" s="251"/>
      <c r="AB1298" s="251"/>
    </row>
    <row r="1299" ht="14.25" customHeight="1">
      <c r="A1299" s="251"/>
      <c r="B1299" s="263"/>
      <c r="C1299" s="275"/>
      <c r="D1299" s="98"/>
      <c r="E1299" s="240"/>
      <c r="F1299" s="240"/>
      <c r="G1299" s="240"/>
      <c r="H1299" s="240"/>
      <c r="I1299" s="276"/>
      <c r="J1299" s="251"/>
      <c r="K1299" s="251"/>
      <c r="L1299" s="251"/>
      <c r="M1299" s="251"/>
      <c r="N1299" s="251"/>
      <c r="O1299" s="251"/>
      <c r="P1299" s="251"/>
      <c r="Q1299" s="251"/>
      <c r="R1299" s="251"/>
      <c r="S1299" s="251"/>
      <c r="T1299" s="251"/>
      <c r="U1299" s="251"/>
      <c r="V1299" s="251"/>
      <c r="W1299" s="251"/>
      <c r="X1299" s="251"/>
      <c r="Y1299" s="251"/>
      <c r="Z1299" s="251"/>
      <c r="AA1299" s="251"/>
      <c r="AB1299" s="251"/>
    </row>
    <row r="1300" ht="14.25" customHeight="1">
      <c r="A1300" s="251"/>
      <c r="B1300" s="263"/>
      <c r="C1300" s="275"/>
      <c r="D1300" s="98"/>
      <c r="E1300" s="240"/>
      <c r="F1300" s="240"/>
      <c r="G1300" s="240"/>
      <c r="H1300" s="240"/>
      <c r="I1300" s="276"/>
      <c r="J1300" s="251"/>
      <c r="K1300" s="251"/>
      <c r="L1300" s="251"/>
      <c r="M1300" s="251"/>
      <c r="N1300" s="251"/>
      <c r="O1300" s="251"/>
      <c r="P1300" s="251"/>
      <c r="Q1300" s="251"/>
      <c r="R1300" s="251"/>
      <c r="S1300" s="251"/>
      <c r="T1300" s="251"/>
      <c r="U1300" s="251"/>
      <c r="V1300" s="251"/>
      <c r="W1300" s="251"/>
      <c r="X1300" s="251"/>
      <c r="Y1300" s="251"/>
      <c r="Z1300" s="251"/>
      <c r="AA1300" s="251"/>
      <c r="AB1300" s="251"/>
    </row>
    <row r="1301" ht="14.25" customHeight="1">
      <c r="A1301" s="251"/>
      <c r="B1301" s="263"/>
      <c r="C1301" s="275"/>
      <c r="D1301" s="98"/>
      <c r="E1301" s="240"/>
      <c r="F1301" s="240"/>
      <c r="G1301" s="240"/>
      <c r="H1301" s="240"/>
      <c r="I1301" s="276"/>
      <c r="J1301" s="251"/>
      <c r="K1301" s="251"/>
      <c r="L1301" s="251"/>
      <c r="M1301" s="251"/>
      <c r="N1301" s="251"/>
      <c r="O1301" s="251"/>
      <c r="P1301" s="251"/>
      <c r="Q1301" s="251"/>
      <c r="R1301" s="251"/>
      <c r="S1301" s="251"/>
      <c r="T1301" s="251"/>
      <c r="U1301" s="251"/>
      <c r="V1301" s="251"/>
      <c r="W1301" s="251"/>
      <c r="X1301" s="251"/>
      <c r="Y1301" s="251"/>
      <c r="Z1301" s="251"/>
      <c r="AA1301" s="251"/>
      <c r="AB1301" s="251"/>
    </row>
    <row r="1302" ht="14.25" customHeight="1">
      <c r="A1302" s="251"/>
      <c r="B1302" s="263"/>
      <c r="C1302" s="275"/>
      <c r="D1302" s="98"/>
      <c r="E1302" s="240"/>
      <c r="F1302" s="240"/>
      <c r="G1302" s="240"/>
      <c r="H1302" s="240"/>
      <c r="I1302" s="276"/>
      <c r="J1302" s="251"/>
      <c r="K1302" s="251"/>
      <c r="L1302" s="251"/>
      <c r="M1302" s="251"/>
      <c r="N1302" s="251"/>
      <c r="O1302" s="251"/>
      <c r="P1302" s="251"/>
      <c r="Q1302" s="251"/>
      <c r="R1302" s="251"/>
      <c r="S1302" s="251"/>
      <c r="T1302" s="251"/>
      <c r="U1302" s="251"/>
      <c r="V1302" s="251"/>
      <c r="W1302" s="251"/>
      <c r="X1302" s="251"/>
      <c r="Y1302" s="251"/>
      <c r="Z1302" s="251"/>
      <c r="AA1302" s="251"/>
      <c r="AB1302" s="251"/>
    </row>
    <row r="1303" ht="14.25" customHeight="1">
      <c r="A1303" s="251"/>
      <c r="B1303" s="263"/>
      <c r="C1303" s="275"/>
      <c r="D1303" s="98"/>
      <c r="E1303" s="240"/>
      <c r="F1303" s="240"/>
      <c r="G1303" s="240"/>
      <c r="H1303" s="240"/>
      <c r="I1303" s="276"/>
      <c r="J1303" s="251"/>
      <c r="K1303" s="251"/>
      <c r="L1303" s="251"/>
      <c r="M1303" s="251"/>
      <c r="N1303" s="251"/>
      <c r="O1303" s="251"/>
      <c r="P1303" s="251"/>
      <c r="Q1303" s="251"/>
      <c r="R1303" s="251"/>
      <c r="S1303" s="251"/>
      <c r="T1303" s="251"/>
      <c r="U1303" s="251"/>
      <c r="V1303" s="251"/>
      <c r="W1303" s="251"/>
      <c r="X1303" s="251"/>
      <c r="Y1303" s="251"/>
      <c r="Z1303" s="251"/>
      <c r="AA1303" s="251"/>
      <c r="AB1303" s="251"/>
    </row>
    <row r="1304" ht="14.25" customHeight="1">
      <c r="A1304" s="251"/>
      <c r="B1304" s="263"/>
      <c r="C1304" s="275"/>
      <c r="D1304" s="98"/>
      <c r="E1304" s="240"/>
      <c r="F1304" s="240"/>
      <c r="G1304" s="240"/>
      <c r="H1304" s="240"/>
      <c r="I1304" s="276"/>
      <c r="J1304" s="251"/>
      <c r="K1304" s="251"/>
      <c r="L1304" s="251"/>
      <c r="M1304" s="251"/>
      <c r="N1304" s="251"/>
      <c r="O1304" s="251"/>
      <c r="P1304" s="251"/>
      <c r="Q1304" s="251"/>
      <c r="R1304" s="251"/>
      <c r="S1304" s="251"/>
      <c r="T1304" s="251"/>
      <c r="U1304" s="251"/>
      <c r="V1304" s="251"/>
      <c r="W1304" s="251"/>
      <c r="X1304" s="251"/>
      <c r="Y1304" s="251"/>
      <c r="Z1304" s="251"/>
      <c r="AA1304" s="251"/>
      <c r="AB1304" s="251"/>
    </row>
    <row r="1305" ht="14.25" customHeight="1">
      <c r="A1305" s="251"/>
      <c r="B1305" s="263"/>
      <c r="C1305" s="275"/>
      <c r="D1305" s="98"/>
      <c r="E1305" s="240"/>
      <c r="F1305" s="240"/>
      <c r="G1305" s="240"/>
      <c r="H1305" s="240"/>
      <c r="I1305" s="276"/>
      <c r="J1305" s="251"/>
      <c r="K1305" s="251"/>
      <c r="L1305" s="251"/>
      <c r="M1305" s="251"/>
      <c r="N1305" s="251"/>
      <c r="O1305" s="251"/>
      <c r="P1305" s="251"/>
      <c r="Q1305" s="251"/>
      <c r="R1305" s="251"/>
      <c r="S1305" s="251"/>
      <c r="T1305" s="251"/>
      <c r="U1305" s="251"/>
      <c r="V1305" s="251"/>
      <c r="W1305" s="251"/>
      <c r="X1305" s="251"/>
      <c r="Y1305" s="251"/>
      <c r="Z1305" s="251"/>
      <c r="AA1305" s="251"/>
      <c r="AB1305" s="251"/>
    </row>
    <row r="1306" ht="14.25" customHeight="1">
      <c r="A1306" s="251"/>
      <c r="B1306" s="263"/>
      <c r="C1306" s="275"/>
      <c r="D1306" s="98"/>
      <c r="E1306" s="240"/>
      <c r="F1306" s="240"/>
      <c r="G1306" s="240"/>
      <c r="H1306" s="240"/>
      <c r="I1306" s="276"/>
      <c r="J1306" s="251"/>
      <c r="K1306" s="251"/>
      <c r="L1306" s="251"/>
      <c r="M1306" s="251"/>
      <c r="N1306" s="251"/>
      <c r="O1306" s="251"/>
      <c r="P1306" s="251"/>
      <c r="Q1306" s="251"/>
      <c r="R1306" s="251"/>
      <c r="S1306" s="251"/>
      <c r="T1306" s="251"/>
      <c r="U1306" s="251"/>
      <c r="V1306" s="251"/>
      <c r="W1306" s="251"/>
      <c r="X1306" s="251"/>
      <c r="Y1306" s="251"/>
      <c r="Z1306" s="251"/>
      <c r="AA1306" s="251"/>
      <c r="AB1306" s="251"/>
    </row>
    <row r="1307" ht="14.25" customHeight="1">
      <c r="A1307" s="251"/>
      <c r="B1307" s="263"/>
      <c r="C1307" s="275"/>
      <c r="D1307" s="98"/>
      <c r="E1307" s="240"/>
      <c r="F1307" s="240"/>
      <c r="G1307" s="240"/>
      <c r="H1307" s="240"/>
      <c r="I1307" s="276"/>
      <c r="J1307" s="251"/>
      <c r="K1307" s="251"/>
      <c r="L1307" s="251"/>
      <c r="M1307" s="251"/>
      <c r="N1307" s="251"/>
      <c r="O1307" s="251"/>
      <c r="P1307" s="251"/>
      <c r="Q1307" s="251"/>
      <c r="R1307" s="251"/>
      <c r="S1307" s="251"/>
      <c r="T1307" s="251"/>
      <c r="U1307" s="251"/>
      <c r="V1307" s="251"/>
      <c r="W1307" s="251"/>
      <c r="X1307" s="251"/>
      <c r="Y1307" s="251"/>
      <c r="Z1307" s="251"/>
      <c r="AA1307" s="251"/>
      <c r="AB1307" s="251"/>
    </row>
    <row r="1308" ht="14.25" customHeight="1">
      <c r="A1308" s="251"/>
      <c r="B1308" s="263"/>
      <c r="C1308" s="275"/>
      <c r="D1308" s="98"/>
      <c r="E1308" s="240"/>
      <c r="F1308" s="240"/>
      <c r="G1308" s="240"/>
      <c r="H1308" s="240"/>
      <c r="I1308" s="276"/>
      <c r="J1308" s="251"/>
      <c r="K1308" s="251"/>
      <c r="L1308" s="251"/>
      <c r="M1308" s="251"/>
      <c r="N1308" s="251"/>
      <c r="O1308" s="251"/>
      <c r="P1308" s="251"/>
      <c r="Q1308" s="251"/>
      <c r="R1308" s="251"/>
      <c r="S1308" s="251"/>
      <c r="T1308" s="251"/>
      <c r="U1308" s="251"/>
      <c r="V1308" s="251"/>
      <c r="W1308" s="251"/>
      <c r="X1308" s="251"/>
      <c r="Y1308" s="251"/>
      <c r="Z1308" s="251"/>
      <c r="AA1308" s="251"/>
      <c r="AB1308" s="251"/>
    </row>
    <row r="1309" ht="14.25" customHeight="1">
      <c r="A1309" s="251"/>
      <c r="B1309" s="263"/>
      <c r="C1309" s="275"/>
      <c r="D1309" s="98"/>
      <c r="E1309" s="240"/>
      <c r="F1309" s="240"/>
      <c r="G1309" s="240"/>
      <c r="H1309" s="240"/>
      <c r="I1309" s="276"/>
      <c r="J1309" s="251"/>
      <c r="K1309" s="251"/>
      <c r="L1309" s="251"/>
      <c r="M1309" s="251"/>
      <c r="N1309" s="251"/>
      <c r="O1309" s="251"/>
      <c r="P1309" s="251"/>
      <c r="Q1309" s="251"/>
      <c r="R1309" s="251"/>
      <c r="S1309" s="251"/>
      <c r="T1309" s="251"/>
      <c r="U1309" s="251"/>
      <c r="V1309" s="251"/>
      <c r="W1309" s="251"/>
      <c r="X1309" s="251"/>
      <c r="Y1309" s="251"/>
      <c r="Z1309" s="251"/>
      <c r="AA1309" s="251"/>
      <c r="AB1309" s="251"/>
    </row>
    <row r="1310" ht="14.25" customHeight="1">
      <c r="A1310" s="251"/>
      <c r="B1310" s="263"/>
      <c r="C1310" s="275"/>
      <c r="D1310" s="98"/>
      <c r="E1310" s="240"/>
      <c r="F1310" s="240"/>
      <c r="G1310" s="240"/>
      <c r="H1310" s="240"/>
      <c r="I1310" s="276"/>
      <c r="J1310" s="251"/>
      <c r="K1310" s="251"/>
      <c r="L1310" s="251"/>
      <c r="M1310" s="251"/>
      <c r="N1310" s="251"/>
      <c r="O1310" s="251"/>
      <c r="P1310" s="251"/>
      <c r="Q1310" s="251"/>
      <c r="R1310" s="251"/>
      <c r="S1310" s="251"/>
      <c r="T1310" s="251"/>
      <c r="U1310" s="251"/>
      <c r="V1310" s="251"/>
      <c r="W1310" s="251"/>
      <c r="X1310" s="251"/>
      <c r="Y1310" s="251"/>
      <c r="Z1310" s="251"/>
      <c r="AA1310" s="251"/>
      <c r="AB1310" s="251"/>
    </row>
    <row r="1311" ht="14.25" customHeight="1">
      <c r="A1311" s="251"/>
      <c r="B1311" s="263"/>
      <c r="C1311" s="275"/>
      <c r="D1311" s="98"/>
      <c r="E1311" s="240"/>
      <c r="F1311" s="240"/>
      <c r="G1311" s="240"/>
      <c r="H1311" s="240"/>
      <c r="I1311" s="276"/>
      <c r="J1311" s="251"/>
      <c r="K1311" s="251"/>
      <c r="L1311" s="251"/>
      <c r="M1311" s="251"/>
      <c r="N1311" s="251"/>
      <c r="O1311" s="251"/>
      <c r="P1311" s="251"/>
      <c r="Q1311" s="251"/>
      <c r="R1311" s="251"/>
      <c r="S1311" s="251"/>
      <c r="T1311" s="251"/>
      <c r="U1311" s="251"/>
      <c r="V1311" s="251"/>
      <c r="W1311" s="251"/>
      <c r="X1311" s="251"/>
      <c r="Y1311" s="251"/>
      <c r="Z1311" s="251"/>
      <c r="AA1311" s="251"/>
      <c r="AB1311" s="251"/>
    </row>
    <row r="1312" ht="14.25" customHeight="1">
      <c r="A1312" s="251"/>
      <c r="B1312" s="263"/>
      <c r="C1312" s="275"/>
      <c r="D1312" s="98"/>
      <c r="E1312" s="240"/>
      <c r="F1312" s="240"/>
      <c r="G1312" s="240"/>
      <c r="H1312" s="240"/>
      <c r="I1312" s="276"/>
      <c r="J1312" s="251"/>
      <c r="K1312" s="251"/>
      <c r="L1312" s="251"/>
      <c r="M1312" s="251"/>
      <c r="N1312" s="251"/>
      <c r="O1312" s="251"/>
      <c r="P1312" s="251"/>
      <c r="Q1312" s="251"/>
      <c r="R1312" s="251"/>
      <c r="S1312" s="251"/>
      <c r="T1312" s="251"/>
      <c r="U1312" s="251"/>
      <c r="V1312" s="251"/>
      <c r="W1312" s="251"/>
      <c r="X1312" s="251"/>
      <c r="Y1312" s="251"/>
      <c r="Z1312" s="251"/>
      <c r="AA1312" s="251"/>
      <c r="AB1312" s="251"/>
    </row>
    <row r="1313" ht="14.25" customHeight="1">
      <c r="A1313" s="251"/>
      <c r="B1313" s="263"/>
      <c r="C1313" s="275"/>
      <c r="D1313" s="98"/>
      <c r="E1313" s="240"/>
      <c r="F1313" s="240"/>
      <c r="G1313" s="240"/>
      <c r="H1313" s="240"/>
      <c r="I1313" s="276"/>
      <c r="J1313" s="251"/>
      <c r="K1313" s="251"/>
      <c r="L1313" s="251"/>
      <c r="M1313" s="251"/>
      <c r="N1313" s="251"/>
      <c r="O1313" s="251"/>
      <c r="P1313" s="251"/>
      <c r="Q1313" s="251"/>
      <c r="R1313" s="251"/>
      <c r="S1313" s="251"/>
      <c r="T1313" s="251"/>
      <c r="U1313" s="251"/>
      <c r="V1313" s="251"/>
      <c r="W1313" s="251"/>
      <c r="X1313" s="251"/>
      <c r="Y1313" s="251"/>
      <c r="Z1313" s="251"/>
      <c r="AA1313" s="251"/>
      <c r="AB1313" s="251"/>
    </row>
    <row r="1314" ht="14.25" customHeight="1">
      <c r="A1314" s="251"/>
      <c r="B1314" s="263"/>
      <c r="C1314" s="275"/>
      <c r="D1314" s="98"/>
      <c r="E1314" s="240"/>
      <c r="F1314" s="240"/>
      <c r="G1314" s="240"/>
      <c r="H1314" s="240"/>
      <c r="I1314" s="276"/>
      <c r="J1314" s="251"/>
      <c r="K1314" s="251"/>
      <c r="L1314" s="251"/>
      <c r="M1314" s="251"/>
      <c r="N1314" s="251"/>
      <c r="O1314" s="251"/>
      <c r="P1314" s="251"/>
      <c r="Q1314" s="251"/>
      <c r="R1314" s="251"/>
      <c r="S1314" s="251"/>
      <c r="T1314" s="251"/>
      <c r="U1314" s="251"/>
      <c r="V1314" s="251"/>
      <c r="W1314" s="251"/>
      <c r="X1314" s="251"/>
      <c r="Y1314" s="251"/>
      <c r="Z1314" s="251"/>
      <c r="AA1314" s="251"/>
      <c r="AB1314" s="251"/>
    </row>
    <row r="1315" ht="14.25" customHeight="1">
      <c r="A1315" s="251"/>
      <c r="B1315" s="263"/>
      <c r="C1315" s="275"/>
      <c r="D1315" s="98"/>
      <c r="E1315" s="240"/>
      <c r="F1315" s="240"/>
      <c r="G1315" s="240"/>
      <c r="H1315" s="240"/>
      <c r="I1315" s="276"/>
      <c r="J1315" s="251"/>
      <c r="K1315" s="251"/>
      <c r="L1315" s="251"/>
      <c r="M1315" s="251"/>
      <c r="N1315" s="251"/>
      <c r="O1315" s="251"/>
      <c r="P1315" s="251"/>
      <c r="Q1315" s="251"/>
      <c r="R1315" s="251"/>
      <c r="S1315" s="251"/>
      <c r="T1315" s="251"/>
      <c r="U1315" s="251"/>
      <c r="V1315" s="251"/>
      <c r="W1315" s="251"/>
      <c r="X1315" s="251"/>
      <c r="Y1315" s="251"/>
      <c r="Z1315" s="251"/>
      <c r="AA1315" s="251"/>
      <c r="AB1315" s="251"/>
    </row>
    <row r="1316" ht="14.25" customHeight="1">
      <c r="A1316" s="251"/>
      <c r="B1316" s="263"/>
      <c r="C1316" s="275"/>
      <c r="D1316" s="98"/>
      <c r="E1316" s="240"/>
      <c r="F1316" s="240"/>
      <c r="G1316" s="240"/>
      <c r="H1316" s="240"/>
      <c r="I1316" s="276"/>
      <c r="J1316" s="251"/>
      <c r="K1316" s="251"/>
      <c r="L1316" s="251"/>
      <c r="M1316" s="251"/>
      <c r="N1316" s="251"/>
      <c r="O1316" s="251"/>
      <c r="P1316" s="251"/>
      <c r="Q1316" s="251"/>
      <c r="R1316" s="251"/>
      <c r="S1316" s="251"/>
      <c r="T1316" s="251"/>
      <c r="U1316" s="251"/>
      <c r="V1316" s="251"/>
      <c r="W1316" s="251"/>
      <c r="X1316" s="251"/>
      <c r="Y1316" s="251"/>
      <c r="Z1316" s="251"/>
      <c r="AA1316" s="251"/>
      <c r="AB1316" s="251"/>
    </row>
    <row r="1317" ht="14.25" customHeight="1">
      <c r="A1317" s="251"/>
      <c r="B1317" s="263"/>
      <c r="C1317" s="275"/>
      <c r="D1317" s="98"/>
      <c r="E1317" s="240"/>
      <c r="F1317" s="240"/>
      <c r="G1317" s="240"/>
      <c r="H1317" s="240"/>
      <c r="I1317" s="276"/>
      <c r="J1317" s="251"/>
      <c r="K1317" s="251"/>
      <c r="L1317" s="251"/>
      <c r="M1317" s="251"/>
      <c r="N1317" s="251"/>
      <c r="O1317" s="251"/>
      <c r="P1317" s="251"/>
      <c r="Q1317" s="251"/>
      <c r="R1317" s="251"/>
      <c r="S1317" s="251"/>
      <c r="T1317" s="251"/>
      <c r="U1317" s="251"/>
      <c r="V1317" s="251"/>
      <c r="W1317" s="251"/>
      <c r="X1317" s="251"/>
      <c r="Y1317" s="251"/>
      <c r="Z1317" s="251"/>
      <c r="AA1317" s="251"/>
      <c r="AB1317" s="251"/>
    </row>
    <row r="1318" ht="14.25" customHeight="1">
      <c r="A1318" s="251"/>
      <c r="B1318" s="263"/>
      <c r="C1318" s="275"/>
      <c r="D1318" s="98"/>
      <c r="E1318" s="240"/>
      <c r="F1318" s="240"/>
      <c r="G1318" s="240"/>
      <c r="H1318" s="240"/>
      <c r="I1318" s="276"/>
      <c r="J1318" s="251"/>
      <c r="K1318" s="251"/>
      <c r="L1318" s="251"/>
      <c r="M1318" s="251"/>
      <c r="N1318" s="251"/>
      <c r="O1318" s="251"/>
      <c r="P1318" s="251"/>
      <c r="Q1318" s="251"/>
      <c r="R1318" s="251"/>
      <c r="S1318" s="251"/>
      <c r="T1318" s="251"/>
      <c r="U1318" s="251"/>
      <c r="V1318" s="251"/>
      <c r="W1318" s="251"/>
      <c r="X1318" s="251"/>
      <c r="Y1318" s="251"/>
      <c r="Z1318" s="251"/>
      <c r="AA1318" s="251"/>
      <c r="AB1318" s="251"/>
    </row>
    <row r="1319" ht="14.25" customHeight="1">
      <c r="A1319" s="251"/>
      <c r="B1319" s="263"/>
      <c r="C1319" s="275"/>
      <c r="D1319" s="98"/>
      <c r="E1319" s="240"/>
      <c r="F1319" s="240"/>
      <c r="G1319" s="240"/>
      <c r="H1319" s="240"/>
      <c r="I1319" s="276"/>
      <c r="J1319" s="251"/>
      <c r="K1319" s="251"/>
      <c r="L1319" s="251"/>
      <c r="M1319" s="251"/>
      <c r="N1319" s="251"/>
      <c r="O1319" s="251"/>
      <c r="P1319" s="251"/>
      <c r="Q1319" s="251"/>
      <c r="R1319" s="251"/>
      <c r="S1319" s="251"/>
      <c r="T1319" s="251"/>
      <c r="U1319" s="251"/>
      <c r="V1319" s="251"/>
      <c r="W1319" s="251"/>
      <c r="X1319" s="251"/>
      <c r="Y1319" s="251"/>
      <c r="Z1319" s="251"/>
      <c r="AA1319" s="251"/>
      <c r="AB1319" s="251"/>
    </row>
    <row r="1320" ht="14.25" customHeight="1">
      <c r="A1320" s="251"/>
      <c r="B1320" s="263"/>
      <c r="C1320" s="275"/>
      <c r="D1320" s="98"/>
      <c r="E1320" s="240"/>
      <c r="F1320" s="240"/>
      <c r="G1320" s="240"/>
      <c r="H1320" s="240"/>
      <c r="I1320" s="276"/>
      <c r="J1320" s="251"/>
      <c r="K1320" s="251"/>
      <c r="L1320" s="251"/>
      <c r="M1320" s="251"/>
      <c r="N1320" s="251"/>
      <c r="O1320" s="251"/>
      <c r="P1320" s="251"/>
      <c r="Q1320" s="251"/>
      <c r="R1320" s="251"/>
      <c r="S1320" s="251"/>
      <c r="T1320" s="251"/>
      <c r="U1320" s="251"/>
      <c r="V1320" s="251"/>
      <c r="W1320" s="251"/>
      <c r="X1320" s="251"/>
      <c r="Y1320" s="251"/>
      <c r="Z1320" s="251"/>
      <c r="AA1320" s="251"/>
      <c r="AB1320" s="251"/>
    </row>
    <row r="1321" ht="14.25" customHeight="1">
      <c r="A1321" s="251"/>
      <c r="B1321" s="263"/>
      <c r="C1321" s="275"/>
      <c r="D1321" s="98"/>
      <c r="E1321" s="240"/>
      <c r="F1321" s="240"/>
      <c r="G1321" s="240"/>
      <c r="H1321" s="240"/>
      <c r="I1321" s="276"/>
      <c r="J1321" s="251"/>
      <c r="K1321" s="251"/>
      <c r="L1321" s="251"/>
      <c r="M1321" s="251"/>
      <c r="N1321" s="251"/>
      <c r="O1321" s="251"/>
      <c r="P1321" s="251"/>
      <c r="Q1321" s="251"/>
      <c r="R1321" s="251"/>
      <c r="S1321" s="251"/>
      <c r="T1321" s="251"/>
      <c r="U1321" s="251"/>
      <c r="V1321" s="251"/>
      <c r="W1321" s="251"/>
      <c r="X1321" s="251"/>
      <c r="Y1321" s="251"/>
      <c r="Z1321" s="251"/>
      <c r="AA1321" s="251"/>
      <c r="AB1321" s="251"/>
    </row>
    <row r="1322" ht="14.25" customHeight="1">
      <c r="A1322" s="251"/>
      <c r="B1322" s="263"/>
      <c r="C1322" s="275"/>
      <c r="D1322" s="98"/>
      <c r="E1322" s="240"/>
      <c r="F1322" s="240"/>
      <c r="G1322" s="240"/>
      <c r="H1322" s="240"/>
      <c r="I1322" s="276"/>
      <c r="J1322" s="251"/>
      <c r="K1322" s="251"/>
      <c r="L1322" s="251"/>
      <c r="M1322" s="251"/>
      <c r="N1322" s="251"/>
      <c r="O1322" s="251"/>
      <c r="P1322" s="251"/>
      <c r="Q1322" s="251"/>
      <c r="R1322" s="251"/>
      <c r="S1322" s="251"/>
      <c r="T1322" s="251"/>
      <c r="U1322" s="251"/>
      <c r="V1322" s="251"/>
      <c r="W1322" s="251"/>
      <c r="X1322" s="251"/>
      <c r="Y1322" s="251"/>
      <c r="Z1322" s="251"/>
      <c r="AA1322" s="251"/>
      <c r="AB1322" s="251"/>
    </row>
    <row r="1323" ht="14.25" customHeight="1">
      <c r="A1323" s="251"/>
      <c r="B1323" s="263"/>
      <c r="C1323" s="275"/>
      <c r="D1323" s="98"/>
      <c r="E1323" s="240"/>
      <c r="F1323" s="240"/>
      <c r="G1323" s="240"/>
      <c r="H1323" s="240"/>
      <c r="I1323" s="276"/>
      <c r="J1323" s="251"/>
      <c r="K1323" s="251"/>
      <c r="L1323" s="251"/>
      <c r="M1323" s="251"/>
      <c r="N1323" s="251"/>
      <c r="O1323" s="251"/>
      <c r="P1323" s="251"/>
      <c r="Q1323" s="251"/>
      <c r="R1323" s="251"/>
      <c r="S1323" s="251"/>
      <c r="T1323" s="251"/>
      <c r="U1323" s="251"/>
      <c r="V1323" s="251"/>
      <c r="W1323" s="251"/>
      <c r="X1323" s="251"/>
      <c r="Y1323" s="251"/>
      <c r="Z1323" s="251"/>
      <c r="AA1323" s="251"/>
      <c r="AB1323" s="251"/>
    </row>
    <row r="1324" ht="14.25" customHeight="1">
      <c r="A1324" s="251"/>
      <c r="B1324" s="263"/>
      <c r="C1324" s="275"/>
      <c r="D1324" s="98"/>
      <c r="E1324" s="240"/>
      <c r="F1324" s="240"/>
      <c r="G1324" s="240"/>
      <c r="H1324" s="240"/>
      <c r="I1324" s="276"/>
      <c r="J1324" s="251"/>
      <c r="K1324" s="251"/>
      <c r="L1324" s="251"/>
      <c r="M1324" s="251"/>
      <c r="N1324" s="251"/>
      <c r="O1324" s="251"/>
      <c r="P1324" s="251"/>
      <c r="Q1324" s="251"/>
      <c r="R1324" s="251"/>
      <c r="S1324" s="251"/>
      <c r="T1324" s="251"/>
      <c r="U1324" s="251"/>
      <c r="V1324" s="251"/>
      <c r="W1324" s="251"/>
      <c r="X1324" s="251"/>
      <c r="Y1324" s="251"/>
      <c r="Z1324" s="251"/>
      <c r="AA1324" s="251"/>
      <c r="AB1324" s="251"/>
    </row>
    <row r="1325" ht="14.25" customHeight="1">
      <c r="A1325" s="251"/>
      <c r="B1325" s="263"/>
      <c r="C1325" s="275"/>
      <c r="D1325" s="98"/>
      <c r="E1325" s="240"/>
      <c r="F1325" s="240"/>
      <c r="G1325" s="240"/>
      <c r="H1325" s="240"/>
      <c r="I1325" s="276"/>
      <c r="J1325" s="251"/>
      <c r="K1325" s="251"/>
      <c r="L1325" s="251"/>
      <c r="M1325" s="251"/>
      <c r="N1325" s="251"/>
      <c r="O1325" s="251"/>
      <c r="P1325" s="251"/>
      <c r="Q1325" s="251"/>
      <c r="R1325" s="251"/>
      <c r="S1325" s="251"/>
      <c r="T1325" s="251"/>
      <c r="U1325" s="251"/>
      <c r="V1325" s="251"/>
      <c r="W1325" s="251"/>
      <c r="X1325" s="251"/>
      <c r="Y1325" s="251"/>
      <c r="Z1325" s="251"/>
      <c r="AA1325" s="251"/>
      <c r="AB1325" s="251"/>
    </row>
    <row r="1326" ht="14.25" customHeight="1">
      <c r="A1326" s="251"/>
      <c r="B1326" s="263"/>
      <c r="C1326" s="275"/>
      <c r="D1326" s="98"/>
      <c r="E1326" s="240"/>
      <c r="F1326" s="240"/>
      <c r="G1326" s="240"/>
      <c r="H1326" s="240"/>
      <c r="I1326" s="276"/>
      <c r="J1326" s="251"/>
      <c r="K1326" s="251"/>
      <c r="L1326" s="251"/>
      <c r="M1326" s="251"/>
      <c r="N1326" s="251"/>
      <c r="O1326" s="251"/>
      <c r="P1326" s="251"/>
      <c r="Q1326" s="251"/>
      <c r="R1326" s="251"/>
      <c r="S1326" s="251"/>
      <c r="T1326" s="251"/>
      <c r="U1326" s="251"/>
      <c r="V1326" s="251"/>
      <c r="W1326" s="251"/>
      <c r="X1326" s="251"/>
      <c r="Y1326" s="251"/>
      <c r="Z1326" s="251"/>
      <c r="AA1326" s="251"/>
      <c r="AB1326" s="251"/>
    </row>
    <row r="1327" ht="14.25" customHeight="1">
      <c r="A1327" s="251"/>
      <c r="B1327" s="263"/>
      <c r="C1327" s="275"/>
      <c r="D1327" s="98"/>
      <c r="E1327" s="240"/>
      <c r="F1327" s="240"/>
      <c r="G1327" s="240"/>
      <c r="H1327" s="240"/>
      <c r="I1327" s="276"/>
      <c r="J1327" s="251"/>
      <c r="K1327" s="251"/>
      <c r="L1327" s="251"/>
      <c r="M1327" s="251"/>
      <c r="N1327" s="251"/>
      <c r="O1327" s="251"/>
      <c r="P1327" s="251"/>
      <c r="Q1327" s="251"/>
      <c r="R1327" s="251"/>
      <c r="S1327" s="251"/>
      <c r="T1327" s="251"/>
      <c r="U1327" s="251"/>
      <c r="V1327" s="251"/>
      <c r="W1327" s="251"/>
      <c r="X1327" s="251"/>
      <c r="Y1327" s="251"/>
      <c r="Z1327" s="251"/>
      <c r="AA1327" s="251"/>
      <c r="AB1327" s="251"/>
    </row>
    <row r="1328" ht="14.25" customHeight="1">
      <c r="A1328" s="251"/>
      <c r="B1328" s="263"/>
      <c r="C1328" s="275"/>
      <c r="D1328" s="98"/>
      <c r="E1328" s="240"/>
      <c r="F1328" s="240"/>
      <c r="G1328" s="240"/>
      <c r="H1328" s="240"/>
      <c r="I1328" s="276"/>
      <c r="J1328" s="251"/>
      <c r="K1328" s="251"/>
      <c r="L1328" s="251"/>
      <c r="M1328" s="251"/>
      <c r="N1328" s="251"/>
      <c r="O1328" s="251"/>
      <c r="P1328" s="251"/>
      <c r="Q1328" s="251"/>
      <c r="R1328" s="251"/>
      <c r="S1328" s="251"/>
      <c r="T1328" s="251"/>
      <c r="U1328" s="251"/>
      <c r="V1328" s="251"/>
      <c r="W1328" s="251"/>
      <c r="X1328" s="251"/>
      <c r="Y1328" s="251"/>
      <c r="Z1328" s="251"/>
      <c r="AA1328" s="251"/>
      <c r="AB1328" s="251"/>
    </row>
    <row r="1329" ht="14.25" customHeight="1">
      <c r="A1329" s="251"/>
      <c r="B1329" s="263"/>
      <c r="C1329" s="275"/>
      <c r="D1329" s="98"/>
      <c r="E1329" s="240"/>
      <c r="F1329" s="240"/>
      <c r="G1329" s="240"/>
      <c r="H1329" s="240"/>
      <c r="I1329" s="276"/>
      <c r="J1329" s="251"/>
      <c r="K1329" s="251"/>
      <c r="L1329" s="251"/>
      <c r="M1329" s="251"/>
      <c r="N1329" s="251"/>
      <c r="O1329" s="251"/>
      <c r="P1329" s="251"/>
      <c r="Q1329" s="251"/>
      <c r="R1329" s="251"/>
      <c r="S1329" s="251"/>
      <c r="T1329" s="251"/>
      <c r="U1329" s="251"/>
      <c r="V1329" s="251"/>
      <c r="W1329" s="251"/>
      <c r="X1329" s="251"/>
      <c r="Y1329" s="251"/>
      <c r="Z1329" s="251"/>
      <c r="AA1329" s="251"/>
      <c r="AB1329" s="251"/>
    </row>
    <row r="1330" ht="14.25" customHeight="1">
      <c r="A1330" s="251"/>
      <c r="B1330" s="263"/>
      <c r="C1330" s="275"/>
      <c r="D1330" s="98"/>
      <c r="E1330" s="240"/>
      <c r="F1330" s="240"/>
      <c r="G1330" s="240"/>
      <c r="H1330" s="240"/>
      <c r="I1330" s="276"/>
      <c r="J1330" s="251"/>
      <c r="K1330" s="251"/>
      <c r="L1330" s="251"/>
      <c r="M1330" s="251"/>
      <c r="N1330" s="251"/>
      <c r="O1330" s="251"/>
      <c r="P1330" s="251"/>
      <c r="Q1330" s="251"/>
      <c r="R1330" s="251"/>
      <c r="S1330" s="251"/>
      <c r="T1330" s="251"/>
      <c r="U1330" s="251"/>
      <c r="V1330" s="251"/>
      <c r="W1330" s="251"/>
      <c r="X1330" s="251"/>
      <c r="Y1330" s="251"/>
      <c r="Z1330" s="251"/>
      <c r="AA1330" s="251"/>
      <c r="AB1330" s="251"/>
    </row>
    <row r="1331" ht="14.25" customHeight="1">
      <c r="A1331" s="251"/>
      <c r="B1331" s="263"/>
      <c r="C1331" s="275"/>
      <c r="D1331" s="98"/>
      <c r="E1331" s="240"/>
      <c r="F1331" s="240"/>
      <c r="G1331" s="240"/>
      <c r="H1331" s="240"/>
      <c r="I1331" s="276"/>
      <c r="J1331" s="251"/>
      <c r="K1331" s="251"/>
      <c r="L1331" s="251"/>
      <c r="M1331" s="251"/>
      <c r="N1331" s="251"/>
      <c r="O1331" s="251"/>
      <c r="P1331" s="251"/>
      <c r="Q1331" s="251"/>
      <c r="R1331" s="251"/>
      <c r="S1331" s="251"/>
      <c r="T1331" s="251"/>
      <c r="U1331" s="251"/>
      <c r="V1331" s="251"/>
      <c r="W1331" s="251"/>
      <c r="X1331" s="251"/>
      <c r="Y1331" s="251"/>
      <c r="Z1331" s="251"/>
      <c r="AA1331" s="251"/>
      <c r="AB1331" s="251"/>
    </row>
    <row r="1332" ht="14.25" customHeight="1">
      <c r="A1332" s="251"/>
      <c r="B1332" s="263"/>
      <c r="C1332" s="275"/>
      <c r="D1332" s="98"/>
      <c r="E1332" s="240"/>
      <c r="F1332" s="240"/>
      <c r="G1332" s="240"/>
      <c r="H1332" s="240"/>
      <c r="I1332" s="276"/>
      <c r="J1332" s="251"/>
      <c r="K1332" s="251"/>
      <c r="L1332" s="251"/>
      <c r="M1332" s="251"/>
      <c r="N1332" s="251"/>
      <c r="O1332" s="251"/>
      <c r="P1332" s="251"/>
      <c r="Q1332" s="251"/>
      <c r="R1332" s="251"/>
      <c r="S1332" s="251"/>
      <c r="T1332" s="251"/>
      <c r="U1332" s="251"/>
      <c r="V1332" s="251"/>
      <c r="W1332" s="251"/>
      <c r="X1332" s="251"/>
      <c r="Y1332" s="251"/>
      <c r="Z1332" s="251"/>
      <c r="AA1332" s="251"/>
      <c r="AB1332" s="251"/>
    </row>
    <row r="1333" ht="14.25" customHeight="1">
      <c r="A1333" s="251"/>
      <c r="B1333" s="263"/>
      <c r="C1333" s="275"/>
      <c r="D1333" s="98"/>
      <c r="E1333" s="240"/>
      <c r="F1333" s="240"/>
      <c r="G1333" s="240"/>
      <c r="H1333" s="240"/>
      <c r="I1333" s="276"/>
      <c r="J1333" s="251"/>
      <c r="K1333" s="251"/>
      <c r="L1333" s="251"/>
      <c r="M1333" s="251"/>
      <c r="N1333" s="251"/>
      <c r="O1333" s="251"/>
      <c r="P1333" s="251"/>
      <c r="Q1333" s="251"/>
      <c r="R1333" s="251"/>
      <c r="S1333" s="251"/>
      <c r="T1333" s="251"/>
      <c r="U1333" s="251"/>
      <c r="V1333" s="251"/>
      <c r="W1333" s="251"/>
      <c r="X1333" s="251"/>
      <c r="Y1333" s="251"/>
      <c r="Z1333" s="251"/>
      <c r="AA1333" s="251"/>
      <c r="AB1333" s="251"/>
    </row>
    <row r="1334" ht="14.25" customHeight="1">
      <c r="A1334" s="251"/>
      <c r="B1334" s="263"/>
      <c r="C1334" s="275"/>
      <c r="D1334" s="98"/>
      <c r="E1334" s="240"/>
      <c r="F1334" s="240"/>
      <c r="G1334" s="240"/>
      <c r="H1334" s="240"/>
      <c r="I1334" s="276"/>
      <c r="J1334" s="251"/>
      <c r="K1334" s="251"/>
      <c r="L1334" s="251"/>
      <c r="M1334" s="251"/>
      <c r="N1334" s="251"/>
      <c r="O1334" s="251"/>
      <c r="P1334" s="251"/>
      <c r="Q1334" s="251"/>
      <c r="R1334" s="251"/>
      <c r="S1334" s="251"/>
      <c r="T1334" s="251"/>
      <c r="U1334" s="251"/>
      <c r="V1334" s="251"/>
      <c r="W1334" s="251"/>
      <c r="X1334" s="251"/>
      <c r="Y1334" s="251"/>
      <c r="Z1334" s="251"/>
      <c r="AA1334" s="251"/>
      <c r="AB1334" s="251"/>
    </row>
    <row r="1335" ht="14.25" customHeight="1">
      <c r="A1335" s="251"/>
      <c r="B1335" s="263"/>
      <c r="C1335" s="275"/>
      <c r="D1335" s="98"/>
      <c r="E1335" s="240"/>
      <c r="F1335" s="240"/>
      <c r="G1335" s="240"/>
      <c r="H1335" s="240"/>
      <c r="I1335" s="276"/>
      <c r="J1335" s="251"/>
      <c r="K1335" s="251"/>
      <c r="L1335" s="251"/>
      <c r="M1335" s="251"/>
      <c r="N1335" s="251"/>
      <c r="O1335" s="251"/>
      <c r="P1335" s="251"/>
      <c r="Q1335" s="251"/>
      <c r="R1335" s="251"/>
      <c r="S1335" s="251"/>
      <c r="T1335" s="251"/>
      <c r="U1335" s="251"/>
      <c r="V1335" s="251"/>
      <c r="W1335" s="251"/>
      <c r="X1335" s="251"/>
      <c r="Y1335" s="251"/>
      <c r="Z1335" s="251"/>
      <c r="AA1335" s="251"/>
      <c r="AB1335" s="251"/>
    </row>
    <row r="1336" ht="14.25" customHeight="1">
      <c r="A1336" s="251"/>
      <c r="B1336" s="263"/>
      <c r="C1336" s="275"/>
      <c r="D1336" s="98"/>
      <c r="E1336" s="240"/>
      <c r="F1336" s="240"/>
      <c r="G1336" s="240"/>
      <c r="H1336" s="240"/>
      <c r="I1336" s="276"/>
      <c r="J1336" s="251"/>
      <c r="K1336" s="251"/>
      <c r="L1336" s="251"/>
      <c r="M1336" s="251"/>
      <c r="N1336" s="251"/>
      <c r="O1336" s="251"/>
      <c r="P1336" s="251"/>
      <c r="Q1336" s="251"/>
      <c r="R1336" s="251"/>
      <c r="S1336" s="251"/>
      <c r="T1336" s="251"/>
      <c r="U1336" s="251"/>
      <c r="V1336" s="251"/>
      <c r="W1336" s="251"/>
      <c r="X1336" s="251"/>
      <c r="Y1336" s="251"/>
      <c r="Z1336" s="251"/>
      <c r="AA1336" s="251"/>
      <c r="AB1336" s="251"/>
    </row>
    <row r="1337" ht="14.25" customHeight="1">
      <c r="A1337" s="251"/>
      <c r="B1337" s="263"/>
      <c r="C1337" s="275"/>
      <c r="D1337" s="98"/>
      <c r="E1337" s="240"/>
      <c r="F1337" s="240"/>
      <c r="G1337" s="240"/>
      <c r="H1337" s="240"/>
      <c r="I1337" s="276"/>
      <c r="J1337" s="251"/>
      <c r="K1337" s="251"/>
      <c r="L1337" s="251"/>
      <c r="M1337" s="251"/>
      <c r="N1337" s="251"/>
      <c r="O1337" s="251"/>
      <c r="P1337" s="251"/>
      <c r="Q1337" s="251"/>
      <c r="R1337" s="251"/>
      <c r="S1337" s="251"/>
      <c r="T1337" s="251"/>
      <c r="U1337" s="251"/>
      <c r="V1337" s="251"/>
      <c r="W1337" s="251"/>
      <c r="X1337" s="251"/>
      <c r="Y1337" s="251"/>
      <c r="Z1337" s="251"/>
      <c r="AA1337" s="251"/>
      <c r="AB1337" s="251"/>
    </row>
    <row r="1338" ht="14.25" customHeight="1">
      <c r="A1338" s="251"/>
      <c r="B1338" s="263"/>
      <c r="C1338" s="275"/>
      <c r="D1338" s="98"/>
      <c r="E1338" s="240"/>
      <c r="F1338" s="240"/>
      <c r="G1338" s="240"/>
      <c r="H1338" s="240"/>
      <c r="I1338" s="276"/>
      <c r="J1338" s="251"/>
      <c r="K1338" s="251"/>
      <c r="L1338" s="251"/>
      <c r="M1338" s="251"/>
      <c r="N1338" s="251"/>
      <c r="O1338" s="251"/>
      <c r="P1338" s="251"/>
      <c r="Q1338" s="251"/>
      <c r="R1338" s="251"/>
      <c r="S1338" s="251"/>
      <c r="T1338" s="251"/>
      <c r="U1338" s="251"/>
      <c r="V1338" s="251"/>
      <c r="W1338" s="251"/>
      <c r="X1338" s="251"/>
      <c r="Y1338" s="251"/>
      <c r="Z1338" s="251"/>
      <c r="AA1338" s="251"/>
      <c r="AB1338" s="251"/>
    </row>
    <row r="1339" ht="14.25" customHeight="1">
      <c r="A1339" s="251"/>
      <c r="B1339" s="263"/>
      <c r="C1339" s="275"/>
      <c r="D1339" s="98"/>
      <c r="E1339" s="240"/>
      <c r="F1339" s="240"/>
      <c r="G1339" s="240"/>
      <c r="H1339" s="240"/>
      <c r="I1339" s="276"/>
      <c r="J1339" s="251"/>
      <c r="K1339" s="251"/>
      <c r="L1339" s="251"/>
      <c r="M1339" s="251"/>
      <c r="N1339" s="251"/>
      <c r="O1339" s="251"/>
      <c r="P1339" s="251"/>
      <c r="Q1339" s="251"/>
      <c r="R1339" s="251"/>
      <c r="S1339" s="251"/>
      <c r="T1339" s="251"/>
      <c r="U1339" s="251"/>
      <c r="V1339" s="251"/>
      <c r="W1339" s="251"/>
      <c r="X1339" s="251"/>
      <c r="Y1339" s="251"/>
      <c r="Z1339" s="251"/>
      <c r="AA1339" s="251"/>
      <c r="AB1339" s="251"/>
    </row>
    <row r="1340" ht="14.25" customHeight="1">
      <c r="A1340" s="251"/>
      <c r="B1340" s="263"/>
      <c r="C1340" s="275"/>
      <c r="D1340" s="98"/>
      <c r="E1340" s="240"/>
      <c r="F1340" s="240"/>
      <c r="G1340" s="240"/>
      <c r="H1340" s="240"/>
      <c r="I1340" s="276"/>
      <c r="J1340" s="251"/>
      <c r="K1340" s="251"/>
      <c r="L1340" s="251"/>
      <c r="M1340" s="251"/>
      <c r="N1340" s="251"/>
      <c r="O1340" s="251"/>
      <c r="P1340" s="251"/>
      <c r="Q1340" s="251"/>
      <c r="R1340" s="251"/>
      <c r="S1340" s="251"/>
      <c r="T1340" s="251"/>
      <c r="U1340" s="251"/>
      <c r="V1340" s="251"/>
      <c r="W1340" s="251"/>
      <c r="X1340" s="251"/>
      <c r="Y1340" s="251"/>
      <c r="Z1340" s="251"/>
      <c r="AA1340" s="251"/>
      <c r="AB1340" s="251"/>
    </row>
    <row r="1341" ht="14.25" customHeight="1">
      <c r="A1341" s="251"/>
      <c r="B1341" s="263"/>
      <c r="C1341" s="275"/>
      <c r="D1341" s="98"/>
      <c r="E1341" s="240"/>
      <c r="F1341" s="240"/>
      <c r="G1341" s="240"/>
      <c r="H1341" s="240"/>
      <c r="I1341" s="276"/>
      <c r="J1341" s="251"/>
      <c r="K1341" s="251"/>
      <c r="L1341" s="251"/>
      <c r="M1341" s="251"/>
      <c r="N1341" s="251"/>
      <c r="O1341" s="251"/>
      <c r="P1341" s="251"/>
      <c r="Q1341" s="251"/>
      <c r="R1341" s="251"/>
      <c r="S1341" s="251"/>
      <c r="T1341" s="251"/>
      <c r="U1341" s="251"/>
      <c r="V1341" s="251"/>
      <c r="W1341" s="251"/>
      <c r="X1341" s="251"/>
      <c r="Y1341" s="251"/>
      <c r="Z1341" s="251"/>
      <c r="AA1341" s="251"/>
      <c r="AB1341" s="251"/>
    </row>
    <row r="1342" ht="14.25" customHeight="1">
      <c r="A1342" s="251"/>
      <c r="B1342" s="263"/>
      <c r="C1342" s="275"/>
      <c r="D1342" s="98"/>
      <c r="E1342" s="240"/>
      <c r="F1342" s="240"/>
      <c r="G1342" s="240"/>
      <c r="H1342" s="240"/>
      <c r="I1342" s="276"/>
      <c r="J1342" s="251"/>
      <c r="K1342" s="251"/>
      <c r="L1342" s="251"/>
      <c r="M1342" s="251"/>
      <c r="N1342" s="251"/>
      <c r="O1342" s="251"/>
      <c r="P1342" s="251"/>
      <c r="Q1342" s="251"/>
      <c r="R1342" s="251"/>
      <c r="S1342" s="251"/>
      <c r="T1342" s="251"/>
      <c r="U1342" s="251"/>
      <c r="V1342" s="251"/>
      <c r="W1342" s="251"/>
      <c r="X1342" s="251"/>
      <c r="Y1342" s="251"/>
      <c r="Z1342" s="251"/>
      <c r="AA1342" s="251"/>
      <c r="AB1342" s="251"/>
    </row>
    <row r="1343" ht="14.25" customHeight="1">
      <c r="A1343" s="251"/>
      <c r="B1343" s="263"/>
      <c r="C1343" s="275"/>
      <c r="D1343" s="98"/>
      <c r="E1343" s="240"/>
      <c r="F1343" s="240"/>
      <c r="G1343" s="240"/>
      <c r="H1343" s="240"/>
      <c r="I1343" s="276"/>
      <c r="J1343" s="251"/>
      <c r="K1343" s="251"/>
      <c r="L1343" s="251"/>
      <c r="M1343" s="251"/>
      <c r="N1343" s="251"/>
      <c r="O1343" s="251"/>
      <c r="P1343" s="251"/>
      <c r="Q1343" s="251"/>
      <c r="R1343" s="251"/>
      <c r="S1343" s="251"/>
      <c r="T1343" s="251"/>
      <c r="U1343" s="251"/>
      <c r="V1343" s="251"/>
      <c r="W1343" s="251"/>
      <c r="X1343" s="251"/>
      <c r="Y1343" s="251"/>
      <c r="Z1343" s="251"/>
      <c r="AA1343" s="251"/>
      <c r="AB1343" s="251"/>
    </row>
    <row r="1344" ht="14.25" customHeight="1">
      <c r="A1344" s="251"/>
      <c r="B1344" s="263"/>
      <c r="C1344" s="275"/>
      <c r="D1344" s="98"/>
      <c r="E1344" s="240"/>
      <c r="F1344" s="240"/>
      <c r="G1344" s="240"/>
      <c r="H1344" s="240"/>
      <c r="I1344" s="276"/>
      <c r="J1344" s="251"/>
      <c r="K1344" s="251"/>
      <c r="L1344" s="251"/>
      <c r="M1344" s="251"/>
      <c r="N1344" s="251"/>
      <c r="O1344" s="251"/>
      <c r="P1344" s="251"/>
      <c r="Q1344" s="251"/>
      <c r="R1344" s="251"/>
      <c r="S1344" s="251"/>
      <c r="T1344" s="251"/>
      <c r="U1344" s="251"/>
      <c r="V1344" s="251"/>
      <c r="W1344" s="251"/>
      <c r="X1344" s="251"/>
      <c r="Y1344" s="251"/>
      <c r="Z1344" s="251"/>
      <c r="AA1344" s="251"/>
      <c r="AB1344" s="251"/>
    </row>
    <row r="1345" ht="14.25" customHeight="1">
      <c r="A1345" s="251"/>
      <c r="B1345" s="263"/>
      <c r="C1345" s="275"/>
      <c r="D1345" s="98"/>
      <c r="E1345" s="240"/>
      <c r="F1345" s="240"/>
      <c r="G1345" s="240"/>
      <c r="H1345" s="240"/>
      <c r="I1345" s="276"/>
      <c r="J1345" s="251"/>
      <c r="K1345" s="251"/>
      <c r="L1345" s="251"/>
      <c r="M1345" s="251"/>
      <c r="N1345" s="251"/>
      <c r="O1345" s="251"/>
      <c r="P1345" s="251"/>
      <c r="Q1345" s="251"/>
      <c r="R1345" s="251"/>
      <c r="S1345" s="251"/>
      <c r="T1345" s="251"/>
      <c r="U1345" s="251"/>
      <c r="V1345" s="251"/>
      <c r="W1345" s="251"/>
      <c r="X1345" s="251"/>
      <c r="Y1345" s="251"/>
      <c r="Z1345" s="251"/>
      <c r="AA1345" s="251"/>
      <c r="AB1345" s="251"/>
    </row>
    <row r="1346" ht="14.25" customHeight="1">
      <c r="A1346" s="251"/>
      <c r="B1346" s="263"/>
      <c r="C1346" s="275"/>
      <c r="D1346" s="98"/>
      <c r="E1346" s="240"/>
      <c r="F1346" s="240"/>
      <c r="G1346" s="240"/>
      <c r="H1346" s="240"/>
      <c r="I1346" s="276"/>
      <c r="J1346" s="251"/>
      <c r="K1346" s="251"/>
      <c r="L1346" s="251"/>
      <c r="M1346" s="251"/>
      <c r="N1346" s="251"/>
      <c r="O1346" s="251"/>
      <c r="P1346" s="251"/>
      <c r="Q1346" s="251"/>
      <c r="R1346" s="251"/>
      <c r="S1346" s="251"/>
      <c r="T1346" s="251"/>
      <c r="U1346" s="251"/>
      <c r="V1346" s="251"/>
      <c r="W1346" s="251"/>
      <c r="X1346" s="251"/>
      <c r="Y1346" s="251"/>
      <c r="Z1346" s="251"/>
      <c r="AA1346" s="251"/>
      <c r="AB1346" s="251"/>
    </row>
    <row r="1347" ht="14.25" customHeight="1">
      <c r="A1347" s="251"/>
      <c r="B1347" s="263"/>
      <c r="C1347" s="275"/>
      <c r="D1347" s="98"/>
      <c r="E1347" s="240"/>
      <c r="F1347" s="240"/>
      <c r="G1347" s="240"/>
      <c r="H1347" s="240"/>
      <c r="I1347" s="276"/>
      <c r="J1347" s="251"/>
      <c r="K1347" s="251"/>
      <c r="L1347" s="251"/>
      <c r="M1347" s="251"/>
      <c r="N1347" s="251"/>
      <c r="O1347" s="251"/>
      <c r="P1347" s="251"/>
      <c r="Q1347" s="251"/>
      <c r="R1347" s="251"/>
      <c r="S1347" s="251"/>
      <c r="T1347" s="251"/>
      <c r="U1347" s="251"/>
      <c r="V1347" s="251"/>
      <c r="W1347" s="251"/>
      <c r="X1347" s="251"/>
      <c r="Y1347" s="251"/>
      <c r="Z1347" s="251"/>
      <c r="AA1347" s="251"/>
      <c r="AB1347" s="251"/>
    </row>
    <row r="1348" ht="14.25" customHeight="1">
      <c r="A1348" s="251"/>
      <c r="B1348" s="263"/>
      <c r="C1348" s="275"/>
      <c r="D1348" s="98"/>
      <c r="E1348" s="240"/>
      <c r="F1348" s="240"/>
      <c r="G1348" s="240"/>
      <c r="H1348" s="240"/>
      <c r="I1348" s="276"/>
      <c r="J1348" s="251"/>
      <c r="K1348" s="251"/>
      <c r="L1348" s="251"/>
      <c r="M1348" s="251"/>
      <c r="N1348" s="251"/>
      <c r="O1348" s="251"/>
      <c r="P1348" s="251"/>
      <c r="Q1348" s="251"/>
      <c r="R1348" s="251"/>
      <c r="S1348" s="251"/>
      <c r="T1348" s="251"/>
      <c r="U1348" s="251"/>
      <c r="V1348" s="251"/>
      <c r="W1348" s="251"/>
      <c r="X1348" s="251"/>
      <c r="Y1348" s="251"/>
      <c r="Z1348" s="251"/>
      <c r="AA1348" s="251"/>
      <c r="AB1348" s="251"/>
    </row>
    <row r="1349" ht="14.25" customHeight="1">
      <c r="A1349" s="251"/>
      <c r="B1349" s="263"/>
      <c r="C1349" s="275"/>
      <c r="D1349" s="98"/>
      <c r="E1349" s="240"/>
      <c r="F1349" s="240"/>
      <c r="G1349" s="240"/>
      <c r="H1349" s="240"/>
      <c r="I1349" s="276"/>
      <c r="J1349" s="251"/>
      <c r="K1349" s="251"/>
      <c r="L1349" s="251"/>
      <c r="M1349" s="251"/>
      <c r="N1349" s="251"/>
      <c r="O1349" s="251"/>
      <c r="P1349" s="251"/>
      <c r="Q1349" s="251"/>
      <c r="R1349" s="251"/>
      <c r="S1349" s="251"/>
      <c r="T1349" s="251"/>
      <c r="U1349" s="251"/>
      <c r="V1349" s="251"/>
      <c r="W1349" s="251"/>
      <c r="X1349" s="251"/>
      <c r="Y1349" s="251"/>
      <c r="Z1349" s="251"/>
      <c r="AA1349" s="251"/>
      <c r="AB1349" s="251"/>
    </row>
    <row r="1350" ht="14.25" customHeight="1">
      <c r="A1350" s="251"/>
      <c r="B1350" s="263"/>
      <c r="C1350" s="275"/>
      <c r="D1350" s="98"/>
      <c r="E1350" s="240"/>
      <c r="F1350" s="240"/>
      <c r="G1350" s="240"/>
      <c r="H1350" s="240"/>
      <c r="I1350" s="276"/>
      <c r="J1350" s="251"/>
      <c r="K1350" s="251"/>
      <c r="L1350" s="251"/>
      <c r="M1350" s="251"/>
      <c r="N1350" s="251"/>
      <c r="O1350" s="251"/>
      <c r="P1350" s="251"/>
      <c r="Q1350" s="251"/>
      <c r="R1350" s="251"/>
      <c r="S1350" s="251"/>
      <c r="T1350" s="251"/>
      <c r="U1350" s="251"/>
      <c r="V1350" s="251"/>
      <c r="W1350" s="251"/>
      <c r="X1350" s="251"/>
      <c r="Y1350" s="251"/>
      <c r="Z1350" s="251"/>
      <c r="AA1350" s="251"/>
      <c r="AB1350" s="251"/>
    </row>
    <row r="1351" ht="14.25" customHeight="1">
      <c r="A1351" s="251"/>
      <c r="B1351" s="263"/>
      <c r="C1351" s="275"/>
      <c r="D1351" s="98"/>
      <c r="E1351" s="240"/>
      <c r="F1351" s="240"/>
      <c r="G1351" s="240"/>
      <c r="H1351" s="240"/>
      <c r="I1351" s="276"/>
      <c r="J1351" s="251"/>
      <c r="K1351" s="251"/>
      <c r="L1351" s="251"/>
      <c r="M1351" s="251"/>
      <c r="N1351" s="251"/>
      <c r="O1351" s="251"/>
      <c r="P1351" s="251"/>
      <c r="Q1351" s="251"/>
      <c r="R1351" s="251"/>
      <c r="S1351" s="251"/>
      <c r="T1351" s="251"/>
      <c r="U1351" s="251"/>
      <c r="V1351" s="251"/>
      <c r="W1351" s="251"/>
      <c r="X1351" s="251"/>
      <c r="Y1351" s="251"/>
      <c r="Z1351" s="251"/>
      <c r="AA1351" s="251"/>
      <c r="AB1351" s="251"/>
    </row>
    <row r="1352" ht="14.25" customHeight="1">
      <c r="A1352" s="251"/>
      <c r="B1352" s="263"/>
      <c r="C1352" s="275"/>
      <c r="D1352" s="98"/>
      <c r="E1352" s="240"/>
      <c r="F1352" s="240"/>
      <c r="G1352" s="240"/>
      <c r="H1352" s="240"/>
      <c r="I1352" s="276"/>
      <c r="J1352" s="251"/>
      <c r="K1352" s="251"/>
      <c r="L1352" s="251"/>
      <c r="M1352" s="251"/>
      <c r="N1352" s="251"/>
      <c r="O1352" s="251"/>
      <c r="P1352" s="251"/>
      <c r="Q1352" s="251"/>
      <c r="R1352" s="251"/>
      <c r="S1352" s="251"/>
      <c r="T1352" s="251"/>
      <c r="U1352" s="251"/>
      <c r="V1352" s="251"/>
      <c r="W1352" s="251"/>
      <c r="X1352" s="251"/>
      <c r="Y1352" s="251"/>
      <c r="Z1352" s="251"/>
      <c r="AA1352" s="251"/>
      <c r="AB1352" s="251"/>
    </row>
    <row r="1353" ht="14.25" customHeight="1">
      <c r="A1353" s="251"/>
      <c r="B1353" s="263"/>
      <c r="C1353" s="275"/>
      <c r="D1353" s="98"/>
      <c r="E1353" s="240"/>
      <c r="F1353" s="240"/>
      <c r="G1353" s="240"/>
      <c r="H1353" s="240"/>
      <c r="I1353" s="276"/>
      <c r="J1353" s="251"/>
      <c r="K1353" s="251"/>
      <c r="L1353" s="251"/>
      <c r="M1353" s="251"/>
      <c r="N1353" s="251"/>
      <c r="O1353" s="251"/>
      <c r="P1353" s="251"/>
      <c r="Q1353" s="251"/>
      <c r="R1353" s="251"/>
      <c r="S1353" s="251"/>
      <c r="T1353" s="251"/>
      <c r="U1353" s="251"/>
      <c r="V1353" s="251"/>
      <c r="W1353" s="251"/>
      <c r="X1353" s="251"/>
      <c r="Y1353" s="251"/>
      <c r="Z1353" s="251"/>
      <c r="AA1353" s="251"/>
      <c r="AB1353" s="251"/>
    </row>
    <row r="1354" ht="14.25" customHeight="1">
      <c r="A1354" s="251"/>
      <c r="B1354" s="263"/>
      <c r="C1354" s="275"/>
      <c r="D1354" s="98"/>
      <c r="E1354" s="240"/>
      <c r="F1354" s="240"/>
      <c r="G1354" s="240"/>
      <c r="H1354" s="240"/>
      <c r="I1354" s="276"/>
      <c r="J1354" s="251"/>
      <c r="K1354" s="251"/>
      <c r="L1354" s="251"/>
      <c r="M1354" s="251"/>
      <c r="N1354" s="251"/>
      <c r="O1354" s="251"/>
      <c r="P1354" s="251"/>
      <c r="Q1354" s="251"/>
      <c r="R1354" s="251"/>
      <c r="S1354" s="251"/>
      <c r="T1354" s="251"/>
      <c r="U1354" s="251"/>
      <c r="V1354" s="251"/>
      <c r="W1354" s="251"/>
      <c r="X1354" s="251"/>
      <c r="Y1354" s="251"/>
      <c r="Z1354" s="251"/>
      <c r="AA1354" s="251"/>
      <c r="AB1354" s="251"/>
    </row>
    <row r="1355" ht="14.25" customHeight="1">
      <c r="A1355" s="251"/>
      <c r="B1355" s="263"/>
      <c r="C1355" s="275"/>
      <c r="D1355" s="98"/>
      <c r="E1355" s="240"/>
      <c r="F1355" s="240"/>
      <c r="G1355" s="240"/>
      <c r="H1355" s="240"/>
      <c r="I1355" s="276"/>
      <c r="J1355" s="251"/>
      <c r="K1355" s="251"/>
      <c r="L1355" s="251"/>
      <c r="M1355" s="251"/>
      <c r="N1355" s="251"/>
      <c r="O1355" s="251"/>
      <c r="P1355" s="251"/>
      <c r="Q1355" s="251"/>
      <c r="R1355" s="251"/>
      <c r="S1355" s="251"/>
      <c r="T1355" s="251"/>
      <c r="U1355" s="251"/>
      <c r="V1355" s="251"/>
      <c r="W1355" s="251"/>
      <c r="X1355" s="251"/>
      <c r="Y1355" s="251"/>
      <c r="Z1355" s="251"/>
      <c r="AA1355" s="251"/>
      <c r="AB1355" s="251"/>
    </row>
    <row r="1356" ht="14.25" customHeight="1">
      <c r="A1356" s="251"/>
      <c r="B1356" s="263"/>
      <c r="C1356" s="275"/>
      <c r="D1356" s="98"/>
      <c r="E1356" s="240"/>
      <c r="F1356" s="240"/>
      <c r="G1356" s="240"/>
      <c r="H1356" s="240"/>
      <c r="I1356" s="276"/>
      <c r="J1356" s="251"/>
      <c r="K1356" s="251"/>
      <c r="L1356" s="251"/>
      <c r="M1356" s="251"/>
      <c r="N1356" s="251"/>
      <c r="O1356" s="251"/>
      <c r="P1356" s="251"/>
      <c r="Q1356" s="251"/>
      <c r="R1356" s="251"/>
      <c r="S1356" s="251"/>
      <c r="T1356" s="251"/>
      <c r="U1356" s="251"/>
      <c r="V1356" s="251"/>
      <c r="W1356" s="251"/>
      <c r="X1356" s="251"/>
      <c r="Y1356" s="251"/>
      <c r="Z1356" s="251"/>
      <c r="AA1356" s="251"/>
      <c r="AB1356" s="251"/>
    </row>
    <row r="1357" ht="14.25" customHeight="1">
      <c r="A1357" s="251"/>
      <c r="B1357" s="263"/>
      <c r="C1357" s="275"/>
      <c r="D1357" s="98"/>
      <c r="E1357" s="240"/>
      <c r="F1357" s="240"/>
      <c r="G1357" s="240"/>
      <c r="H1357" s="240"/>
      <c r="I1357" s="276"/>
      <c r="J1357" s="251"/>
      <c r="K1357" s="251"/>
      <c r="L1357" s="251"/>
      <c r="M1357" s="251"/>
      <c r="N1357" s="251"/>
      <c r="O1357" s="251"/>
      <c r="P1357" s="251"/>
      <c r="Q1357" s="251"/>
      <c r="R1357" s="251"/>
      <c r="S1357" s="251"/>
      <c r="T1357" s="251"/>
      <c r="U1357" s="251"/>
      <c r="V1357" s="251"/>
      <c r="W1357" s="251"/>
      <c r="X1357" s="251"/>
      <c r="Y1357" s="251"/>
      <c r="Z1357" s="251"/>
      <c r="AA1357" s="251"/>
      <c r="AB1357" s="251"/>
    </row>
    <row r="1358" ht="14.25" customHeight="1">
      <c r="A1358" s="251"/>
      <c r="B1358" s="263"/>
      <c r="C1358" s="275"/>
      <c r="D1358" s="98"/>
      <c r="E1358" s="240"/>
      <c r="F1358" s="240"/>
      <c r="G1358" s="240"/>
      <c r="H1358" s="240"/>
      <c r="I1358" s="276"/>
      <c r="J1358" s="251"/>
      <c r="K1358" s="251"/>
      <c r="L1358" s="251"/>
      <c r="M1358" s="251"/>
      <c r="N1358" s="251"/>
      <c r="O1358" s="251"/>
      <c r="P1358" s="251"/>
      <c r="Q1358" s="251"/>
      <c r="R1358" s="251"/>
      <c r="S1358" s="251"/>
      <c r="T1358" s="251"/>
      <c r="U1358" s="251"/>
      <c r="V1358" s="251"/>
      <c r="W1358" s="251"/>
      <c r="X1358" s="251"/>
      <c r="Y1358" s="251"/>
      <c r="Z1358" s="251"/>
      <c r="AA1358" s="251"/>
      <c r="AB1358" s="251"/>
    </row>
    <row r="1359" ht="14.25" customHeight="1">
      <c r="A1359" s="251"/>
      <c r="B1359" s="263"/>
      <c r="C1359" s="275"/>
      <c r="D1359" s="98"/>
      <c r="E1359" s="240"/>
      <c r="F1359" s="240"/>
      <c r="G1359" s="240"/>
      <c r="H1359" s="240"/>
      <c r="I1359" s="276"/>
      <c r="J1359" s="251"/>
      <c r="K1359" s="251"/>
      <c r="L1359" s="251"/>
      <c r="M1359" s="251"/>
      <c r="N1359" s="251"/>
      <c r="O1359" s="251"/>
      <c r="P1359" s="251"/>
      <c r="Q1359" s="251"/>
      <c r="R1359" s="251"/>
      <c r="S1359" s="251"/>
      <c r="T1359" s="251"/>
      <c r="U1359" s="251"/>
      <c r="V1359" s="251"/>
      <c r="W1359" s="251"/>
      <c r="X1359" s="251"/>
      <c r="Y1359" s="251"/>
      <c r="Z1359" s="251"/>
      <c r="AA1359" s="251"/>
      <c r="AB1359" s="251"/>
    </row>
    <row r="1360" ht="14.25" customHeight="1">
      <c r="A1360" s="251"/>
      <c r="B1360" s="263"/>
      <c r="C1360" s="275"/>
      <c r="D1360" s="98"/>
      <c r="E1360" s="240"/>
      <c r="F1360" s="240"/>
      <c r="G1360" s="240"/>
      <c r="H1360" s="240"/>
      <c r="I1360" s="276"/>
      <c r="J1360" s="251"/>
      <c r="K1360" s="251"/>
      <c r="L1360" s="251"/>
      <c r="M1360" s="251"/>
      <c r="N1360" s="251"/>
      <c r="O1360" s="251"/>
      <c r="P1360" s="251"/>
      <c r="Q1360" s="251"/>
      <c r="R1360" s="251"/>
      <c r="S1360" s="251"/>
      <c r="T1360" s="251"/>
      <c r="U1360" s="251"/>
      <c r="V1360" s="251"/>
      <c r="W1360" s="251"/>
      <c r="X1360" s="251"/>
      <c r="Y1360" s="251"/>
      <c r="Z1360" s="251"/>
      <c r="AA1360" s="251"/>
      <c r="AB1360" s="251"/>
    </row>
    <row r="1361" ht="14.25" customHeight="1">
      <c r="A1361" s="251"/>
      <c r="B1361" s="263"/>
      <c r="C1361" s="275"/>
      <c r="D1361" s="98"/>
      <c r="E1361" s="240"/>
      <c r="F1361" s="240"/>
      <c r="G1361" s="240"/>
      <c r="H1361" s="240"/>
      <c r="I1361" s="276"/>
      <c r="J1361" s="251"/>
      <c r="K1361" s="251"/>
      <c r="L1361" s="251"/>
      <c r="M1361" s="251"/>
      <c r="N1361" s="251"/>
      <c r="O1361" s="251"/>
      <c r="P1361" s="251"/>
      <c r="Q1361" s="251"/>
      <c r="R1361" s="251"/>
      <c r="S1361" s="251"/>
      <c r="T1361" s="251"/>
      <c r="U1361" s="251"/>
      <c r="V1361" s="251"/>
      <c r="W1361" s="251"/>
      <c r="X1361" s="251"/>
      <c r="Y1361" s="251"/>
      <c r="Z1361" s="251"/>
      <c r="AA1361" s="251"/>
      <c r="AB1361" s="251"/>
    </row>
    <row r="1362" ht="14.25" customHeight="1">
      <c r="A1362" s="251"/>
      <c r="B1362" s="263"/>
      <c r="C1362" s="275"/>
      <c r="D1362" s="98"/>
      <c r="E1362" s="240"/>
      <c r="F1362" s="240"/>
      <c r="G1362" s="240"/>
      <c r="H1362" s="240"/>
      <c r="I1362" s="276"/>
      <c r="J1362" s="251"/>
      <c r="K1362" s="251"/>
      <c r="L1362" s="251"/>
      <c r="M1362" s="251"/>
      <c r="N1362" s="251"/>
      <c r="O1362" s="251"/>
      <c r="P1362" s="251"/>
      <c r="Q1362" s="251"/>
      <c r="R1362" s="251"/>
      <c r="S1362" s="251"/>
      <c r="T1362" s="251"/>
      <c r="U1362" s="251"/>
      <c r="V1362" s="251"/>
      <c r="W1362" s="251"/>
      <c r="X1362" s="251"/>
      <c r="Y1362" s="251"/>
      <c r="Z1362" s="251"/>
      <c r="AA1362" s="251"/>
      <c r="AB1362" s="251"/>
    </row>
    <row r="1363" ht="14.25" customHeight="1">
      <c r="A1363" s="251"/>
      <c r="B1363" s="263"/>
      <c r="C1363" s="275"/>
      <c r="D1363" s="98"/>
      <c r="E1363" s="240"/>
      <c r="F1363" s="240"/>
      <c r="G1363" s="240"/>
      <c r="H1363" s="240"/>
      <c r="I1363" s="276"/>
      <c r="J1363" s="251"/>
      <c r="K1363" s="251"/>
      <c r="L1363" s="251"/>
      <c r="M1363" s="251"/>
      <c r="N1363" s="251"/>
      <c r="O1363" s="251"/>
      <c r="P1363" s="251"/>
      <c r="Q1363" s="251"/>
      <c r="R1363" s="251"/>
      <c r="S1363" s="251"/>
      <c r="T1363" s="251"/>
      <c r="U1363" s="251"/>
      <c r="V1363" s="251"/>
      <c r="W1363" s="251"/>
      <c r="X1363" s="251"/>
      <c r="Y1363" s="251"/>
      <c r="Z1363" s="251"/>
      <c r="AA1363" s="251"/>
      <c r="AB1363" s="251"/>
    </row>
    <row r="1364" ht="14.25" customHeight="1">
      <c r="A1364" s="251"/>
      <c r="B1364" s="263"/>
      <c r="C1364" s="275"/>
      <c r="D1364" s="98"/>
      <c r="E1364" s="240"/>
      <c r="F1364" s="240"/>
      <c r="G1364" s="240"/>
      <c r="H1364" s="240"/>
      <c r="I1364" s="276"/>
      <c r="J1364" s="251"/>
      <c r="K1364" s="251"/>
      <c r="L1364" s="251"/>
      <c r="M1364" s="251"/>
      <c r="N1364" s="251"/>
      <c r="O1364" s="251"/>
      <c r="P1364" s="251"/>
      <c r="Q1364" s="251"/>
      <c r="R1364" s="251"/>
      <c r="S1364" s="251"/>
      <c r="T1364" s="251"/>
      <c r="U1364" s="251"/>
      <c r="V1364" s="251"/>
      <c r="W1364" s="251"/>
      <c r="X1364" s="251"/>
      <c r="Y1364" s="251"/>
      <c r="Z1364" s="251"/>
      <c r="AA1364" s="251"/>
      <c r="AB1364" s="251"/>
    </row>
    <row r="1365" ht="14.25" customHeight="1">
      <c r="A1365" s="251"/>
      <c r="B1365" s="263"/>
      <c r="C1365" s="275"/>
      <c r="D1365" s="98"/>
      <c r="E1365" s="240"/>
      <c r="F1365" s="240"/>
      <c r="G1365" s="240"/>
      <c r="H1365" s="240"/>
      <c r="I1365" s="276"/>
      <c r="J1365" s="251"/>
      <c r="K1365" s="251"/>
      <c r="L1365" s="251"/>
      <c r="M1365" s="251"/>
      <c r="N1365" s="251"/>
      <c r="O1365" s="251"/>
      <c r="P1365" s="251"/>
      <c r="Q1365" s="251"/>
      <c r="R1365" s="251"/>
      <c r="S1365" s="251"/>
      <c r="T1365" s="251"/>
      <c r="U1365" s="251"/>
      <c r="V1365" s="251"/>
      <c r="W1365" s="251"/>
      <c r="X1365" s="251"/>
      <c r="Y1365" s="251"/>
      <c r="Z1365" s="251"/>
      <c r="AA1365" s="251"/>
      <c r="AB1365" s="251"/>
    </row>
    <row r="1366" ht="14.25" customHeight="1">
      <c r="A1366" s="251"/>
      <c r="B1366" s="263"/>
      <c r="C1366" s="275"/>
      <c r="D1366" s="98"/>
      <c r="E1366" s="240"/>
      <c r="F1366" s="240"/>
      <c r="G1366" s="240"/>
      <c r="H1366" s="240"/>
      <c r="I1366" s="276"/>
      <c r="J1366" s="251"/>
      <c r="K1366" s="251"/>
      <c r="L1366" s="251"/>
      <c r="M1366" s="251"/>
      <c r="N1366" s="251"/>
      <c r="O1366" s="251"/>
      <c r="P1366" s="251"/>
      <c r="Q1366" s="251"/>
      <c r="R1366" s="251"/>
      <c r="S1366" s="251"/>
      <c r="T1366" s="251"/>
      <c r="U1366" s="251"/>
      <c r="V1366" s="251"/>
      <c r="W1366" s="251"/>
      <c r="X1366" s="251"/>
      <c r="Y1366" s="251"/>
      <c r="Z1366" s="251"/>
      <c r="AA1366" s="251"/>
      <c r="AB1366" s="251"/>
    </row>
    <row r="1367" ht="14.25" customHeight="1">
      <c r="A1367" s="251"/>
      <c r="B1367" s="263"/>
      <c r="C1367" s="275"/>
      <c r="D1367" s="98"/>
      <c r="E1367" s="240"/>
      <c r="F1367" s="240"/>
      <c r="G1367" s="240"/>
      <c r="H1367" s="240"/>
      <c r="I1367" s="276"/>
      <c r="J1367" s="251"/>
      <c r="K1367" s="251"/>
      <c r="L1367" s="251"/>
      <c r="M1367" s="251"/>
      <c r="N1367" s="251"/>
      <c r="O1367" s="251"/>
      <c r="P1367" s="251"/>
      <c r="Q1367" s="251"/>
      <c r="R1367" s="251"/>
      <c r="S1367" s="251"/>
      <c r="T1367" s="251"/>
      <c r="U1367" s="251"/>
      <c r="V1367" s="251"/>
      <c r="W1367" s="251"/>
      <c r="X1367" s="251"/>
      <c r="Y1367" s="251"/>
      <c r="Z1367" s="251"/>
      <c r="AA1367" s="251"/>
      <c r="AB1367" s="251"/>
    </row>
    <row r="1368" ht="14.25" customHeight="1">
      <c r="A1368" s="251"/>
      <c r="B1368" s="263"/>
      <c r="C1368" s="275"/>
      <c r="D1368" s="98"/>
      <c r="E1368" s="240"/>
      <c r="F1368" s="240"/>
      <c r="G1368" s="240"/>
      <c r="H1368" s="240"/>
      <c r="I1368" s="276"/>
      <c r="J1368" s="251"/>
      <c r="K1368" s="251"/>
      <c r="L1368" s="251"/>
      <c r="M1368" s="251"/>
      <c r="N1368" s="251"/>
      <c r="O1368" s="251"/>
      <c r="P1368" s="251"/>
      <c r="Q1368" s="251"/>
      <c r="R1368" s="251"/>
      <c r="S1368" s="251"/>
      <c r="T1368" s="251"/>
      <c r="U1368" s="251"/>
      <c r="V1368" s="251"/>
      <c r="W1368" s="251"/>
      <c r="X1368" s="251"/>
      <c r="Y1368" s="251"/>
      <c r="Z1368" s="251"/>
      <c r="AA1368" s="251"/>
      <c r="AB1368" s="251"/>
    </row>
    <row r="1369" ht="14.25" customHeight="1">
      <c r="A1369" s="251"/>
      <c r="B1369" s="263"/>
      <c r="C1369" s="275"/>
      <c r="D1369" s="98"/>
      <c r="E1369" s="240"/>
      <c r="F1369" s="240"/>
      <c r="G1369" s="240"/>
      <c r="H1369" s="240"/>
      <c r="I1369" s="276"/>
      <c r="J1369" s="251"/>
      <c r="K1369" s="251"/>
      <c r="L1369" s="251"/>
      <c r="M1369" s="251"/>
      <c r="N1369" s="251"/>
      <c r="O1369" s="251"/>
      <c r="P1369" s="251"/>
      <c r="Q1369" s="251"/>
      <c r="R1369" s="251"/>
      <c r="S1369" s="251"/>
      <c r="T1369" s="251"/>
      <c r="U1369" s="251"/>
      <c r="V1369" s="251"/>
      <c r="W1369" s="251"/>
      <c r="X1369" s="251"/>
      <c r="Y1369" s="251"/>
      <c r="Z1369" s="251"/>
      <c r="AA1369" s="251"/>
      <c r="AB1369" s="251"/>
    </row>
    <row r="1370" ht="14.25" customHeight="1">
      <c r="A1370" s="251"/>
      <c r="B1370" s="263"/>
      <c r="C1370" s="275"/>
      <c r="D1370" s="98"/>
      <c r="E1370" s="240"/>
      <c r="F1370" s="240"/>
      <c r="G1370" s="240"/>
      <c r="H1370" s="240"/>
      <c r="I1370" s="276"/>
      <c r="J1370" s="251"/>
      <c r="K1370" s="251"/>
      <c r="L1370" s="251"/>
      <c r="M1370" s="251"/>
      <c r="N1370" s="251"/>
      <c r="O1370" s="251"/>
      <c r="P1370" s="251"/>
      <c r="Q1370" s="251"/>
      <c r="R1370" s="251"/>
      <c r="S1370" s="251"/>
      <c r="T1370" s="251"/>
      <c r="U1370" s="251"/>
      <c r="V1370" s="251"/>
      <c r="W1370" s="251"/>
      <c r="X1370" s="251"/>
      <c r="Y1370" s="251"/>
      <c r="Z1370" s="251"/>
      <c r="AA1370" s="251"/>
      <c r="AB1370" s="251"/>
    </row>
    <row r="1371" ht="14.25" customHeight="1">
      <c r="A1371" s="251"/>
      <c r="B1371" s="263"/>
      <c r="C1371" s="275"/>
      <c r="D1371" s="98"/>
      <c r="E1371" s="240"/>
      <c r="F1371" s="240"/>
      <c r="G1371" s="240"/>
      <c r="H1371" s="240"/>
      <c r="I1371" s="276"/>
      <c r="J1371" s="251"/>
      <c r="K1371" s="251"/>
      <c r="L1371" s="251"/>
      <c r="M1371" s="251"/>
      <c r="N1371" s="251"/>
      <c r="O1371" s="251"/>
      <c r="P1371" s="251"/>
      <c r="Q1371" s="251"/>
      <c r="R1371" s="251"/>
      <c r="S1371" s="251"/>
      <c r="T1371" s="251"/>
      <c r="U1371" s="251"/>
      <c r="V1371" s="251"/>
      <c r="W1371" s="251"/>
      <c r="X1371" s="251"/>
      <c r="Y1371" s="251"/>
      <c r="Z1371" s="251"/>
      <c r="AA1371" s="251"/>
      <c r="AB1371" s="251"/>
    </row>
    <row r="1372" ht="14.25" customHeight="1">
      <c r="A1372" s="251"/>
      <c r="B1372" s="263"/>
      <c r="C1372" s="275"/>
      <c r="D1372" s="98"/>
      <c r="E1372" s="240"/>
      <c r="F1372" s="240"/>
      <c r="G1372" s="240"/>
      <c r="H1372" s="240"/>
      <c r="I1372" s="276"/>
      <c r="J1372" s="251"/>
      <c r="K1372" s="251"/>
      <c r="L1372" s="251"/>
      <c r="M1372" s="251"/>
      <c r="N1372" s="251"/>
      <c r="O1372" s="251"/>
      <c r="P1372" s="251"/>
      <c r="Q1372" s="251"/>
      <c r="R1372" s="251"/>
      <c r="S1372" s="251"/>
      <c r="T1372" s="251"/>
      <c r="U1372" s="251"/>
      <c r="V1372" s="251"/>
      <c r="W1372" s="251"/>
      <c r="X1372" s="251"/>
      <c r="Y1372" s="251"/>
      <c r="Z1372" s="251"/>
      <c r="AA1372" s="251"/>
      <c r="AB1372" s="251"/>
    </row>
    <row r="1373" ht="14.25" customHeight="1">
      <c r="A1373" s="251"/>
      <c r="B1373" s="263"/>
      <c r="C1373" s="275"/>
      <c r="D1373" s="98"/>
      <c r="E1373" s="240"/>
      <c r="F1373" s="240"/>
      <c r="G1373" s="240"/>
      <c r="H1373" s="240"/>
      <c r="I1373" s="276"/>
      <c r="J1373" s="251"/>
      <c r="K1373" s="251"/>
      <c r="L1373" s="251"/>
      <c r="M1373" s="251"/>
      <c r="N1373" s="251"/>
      <c r="O1373" s="251"/>
      <c r="P1373" s="251"/>
      <c r="Q1373" s="251"/>
      <c r="R1373" s="251"/>
      <c r="S1373" s="251"/>
      <c r="T1373" s="251"/>
      <c r="U1373" s="251"/>
      <c r="V1373" s="251"/>
      <c r="W1373" s="251"/>
      <c r="X1373" s="251"/>
      <c r="Y1373" s="251"/>
      <c r="Z1373" s="251"/>
      <c r="AA1373" s="251"/>
      <c r="AB1373" s="251"/>
    </row>
    <row r="1374" ht="14.25" customHeight="1">
      <c r="A1374" s="251"/>
      <c r="B1374" s="263"/>
      <c r="C1374" s="275"/>
      <c r="D1374" s="98"/>
      <c r="E1374" s="240"/>
      <c r="F1374" s="240"/>
      <c r="G1374" s="240"/>
      <c r="H1374" s="240"/>
      <c r="I1374" s="276"/>
      <c r="J1374" s="251"/>
      <c r="K1374" s="251"/>
      <c r="L1374" s="251"/>
      <c r="M1374" s="251"/>
      <c r="N1374" s="251"/>
      <c r="O1374" s="251"/>
      <c r="P1374" s="251"/>
      <c r="Q1374" s="251"/>
      <c r="R1374" s="251"/>
      <c r="S1374" s="251"/>
      <c r="T1374" s="251"/>
      <c r="U1374" s="251"/>
      <c r="V1374" s="251"/>
      <c r="W1374" s="251"/>
      <c r="X1374" s="251"/>
      <c r="Y1374" s="251"/>
      <c r="Z1374" s="251"/>
      <c r="AA1374" s="251"/>
      <c r="AB1374" s="251"/>
    </row>
    <row r="1375" ht="14.25" customHeight="1">
      <c r="A1375" s="251"/>
      <c r="B1375" s="263"/>
      <c r="C1375" s="275"/>
      <c r="D1375" s="98"/>
      <c r="E1375" s="240"/>
      <c r="F1375" s="240"/>
      <c r="G1375" s="240"/>
      <c r="H1375" s="240"/>
      <c r="I1375" s="276"/>
      <c r="J1375" s="251"/>
      <c r="K1375" s="251"/>
      <c r="L1375" s="251"/>
      <c r="M1375" s="251"/>
      <c r="N1375" s="251"/>
      <c r="O1375" s="251"/>
      <c r="P1375" s="251"/>
      <c r="Q1375" s="251"/>
      <c r="R1375" s="251"/>
      <c r="S1375" s="251"/>
      <c r="T1375" s="251"/>
      <c r="U1375" s="251"/>
      <c r="V1375" s="251"/>
      <c r="W1375" s="251"/>
      <c r="X1375" s="251"/>
      <c r="Y1375" s="251"/>
      <c r="Z1375" s="251"/>
      <c r="AA1375" s="251"/>
      <c r="AB1375" s="251"/>
    </row>
    <row r="1376" ht="14.25" customHeight="1">
      <c r="A1376" s="251"/>
      <c r="B1376" s="263"/>
      <c r="C1376" s="275"/>
      <c r="D1376" s="98"/>
      <c r="E1376" s="240"/>
      <c r="F1376" s="240"/>
      <c r="G1376" s="240"/>
      <c r="H1376" s="240"/>
      <c r="I1376" s="276"/>
      <c r="J1376" s="251"/>
      <c r="K1376" s="251"/>
      <c r="L1376" s="251"/>
      <c r="M1376" s="251"/>
      <c r="N1376" s="251"/>
      <c r="O1376" s="251"/>
      <c r="P1376" s="251"/>
      <c r="Q1376" s="251"/>
      <c r="R1376" s="251"/>
      <c r="S1376" s="251"/>
      <c r="T1376" s="251"/>
      <c r="U1376" s="251"/>
      <c r="V1376" s="251"/>
      <c r="W1376" s="251"/>
      <c r="X1376" s="251"/>
      <c r="Y1376" s="251"/>
      <c r="Z1376" s="251"/>
      <c r="AA1376" s="251"/>
      <c r="AB1376" s="251"/>
    </row>
    <row r="1377" ht="14.25" customHeight="1">
      <c r="A1377" s="251"/>
      <c r="B1377" s="263"/>
      <c r="C1377" s="275"/>
      <c r="D1377" s="98"/>
      <c r="E1377" s="240"/>
      <c r="F1377" s="240"/>
      <c r="G1377" s="240"/>
      <c r="H1377" s="240"/>
      <c r="I1377" s="276"/>
      <c r="J1377" s="251"/>
      <c r="K1377" s="251"/>
      <c r="L1377" s="251"/>
      <c r="M1377" s="251"/>
      <c r="N1377" s="251"/>
      <c r="O1377" s="251"/>
      <c r="P1377" s="251"/>
      <c r="Q1377" s="251"/>
      <c r="R1377" s="251"/>
      <c r="S1377" s="251"/>
      <c r="T1377" s="251"/>
      <c r="U1377" s="251"/>
      <c r="V1377" s="251"/>
      <c r="W1377" s="251"/>
      <c r="X1377" s="251"/>
      <c r="Y1377" s="251"/>
      <c r="Z1377" s="251"/>
      <c r="AA1377" s="251"/>
      <c r="AB1377" s="251"/>
    </row>
    <row r="1378" ht="14.25" customHeight="1">
      <c r="A1378" s="251"/>
      <c r="B1378" s="263"/>
      <c r="C1378" s="275"/>
      <c r="D1378" s="98"/>
      <c r="E1378" s="240"/>
      <c r="F1378" s="240"/>
      <c r="G1378" s="240"/>
      <c r="H1378" s="240"/>
      <c r="I1378" s="276"/>
      <c r="J1378" s="251"/>
      <c r="K1378" s="251"/>
      <c r="L1378" s="251"/>
      <c r="M1378" s="251"/>
      <c r="N1378" s="251"/>
      <c r="O1378" s="251"/>
      <c r="P1378" s="251"/>
      <c r="Q1378" s="251"/>
      <c r="R1378" s="251"/>
      <c r="S1378" s="251"/>
      <c r="T1378" s="251"/>
      <c r="U1378" s="251"/>
      <c r="V1378" s="251"/>
      <c r="W1378" s="251"/>
      <c r="X1378" s="251"/>
      <c r="Y1378" s="251"/>
      <c r="Z1378" s="251"/>
      <c r="AA1378" s="251"/>
      <c r="AB1378" s="251"/>
    </row>
    <row r="1379" ht="14.25" customHeight="1">
      <c r="A1379" s="251"/>
      <c r="B1379" s="263"/>
      <c r="C1379" s="275"/>
      <c r="D1379" s="98"/>
      <c r="E1379" s="240"/>
      <c r="F1379" s="240"/>
      <c r="G1379" s="240"/>
      <c r="H1379" s="240"/>
      <c r="I1379" s="276"/>
      <c r="J1379" s="251"/>
      <c r="K1379" s="251"/>
      <c r="L1379" s="251"/>
      <c r="M1379" s="251"/>
      <c r="N1379" s="251"/>
      <c r="O1379" s="251"/>
      <c r="P1379" s="251"/>
      <c r="Q1379" s="251"/>
      <c r="R1379" s="251"/>
      <c r="S1379" s="251"/>
      <c r="T1379" s="251"/>
      <c r="U1379" s="251"/>
      <c r="V1379" s="251"/>
      <c r="W1379" s="251"/>
      <c r="X1379" s="251"/>
      <c r="Y1379" s="251"/>
      <c r="Z1379" s="251"/>
      <c r="AA1379" s="251"/>
      <c r="AB1379" s="251"/>
    </row>
    <row r="1380" ht="14.25" customHeight="1">
      <c r="A1380" s="251"/>
      <c r="B1380" s="263"/>
      <c r="C1380" s="275"/>
      <c r="D1380" s="98"/>
      <c r="E1380" s="240"/>
      <c r="F1380" s="240"/>
      <c r="G1380" s="240"/>
      <c r="H1380" s="240"/>
      <c r="I1380" s="276"/>
      <c r="J1380" s="251"/>
      <c r="K1380" s="251"/>
      <c r="L1380" s="251"/>
      <c r="M1380" s="251"/>
      <c r="N1380" s="251"/>
      <c r="O1380" s="251"/>
      <c r="P1380" s="251"/>
      <c r="Q1380" s="251"/>
      <c r="R1380" s="251"/>
      <c r="S1380" s="251"/>
      <c r="T1380" s="251"/>
      <c r="U1380" s="251"/>
      <c r="V1380" s="251"/>
      <c r="W1380" s="251"/>
      <c r="X1380" s="251"/>
      <c r="Y1380" s="251"/>
      <c r="Z1380" s="251"/>
      <c r="AA1380" s="251"/>
      <c r="AB1380" s="251"/>
    </row>
    <row r="1381" ht="14.25" customHeight="1">
      <c r="A1381" s="251"/>
      <c r="B1381" s="263"/>
      <c r="C1381" s="275"/>
      <c r="D1381" s="98"/>
      <c r="E1381" s="240"/>
      <c r="F1381" s="240"/>
      <c r="G1381" s="240"/>
      <c r="H1381" s="240"/>
      <c r="I1381" s="276"/>
      <c r="J1381" s="251"/>
      <c r="K1381" s="251"/>
      <c r="L1381" s="251"/>
      <c r="M1381" s="251"/>
      <c r="N1381" s="251"/>
      <c r="O1381" s="251"/>
      <c r="P1381" s="251"/>
      <c r="Q1381" s="251"/>
      <c r="R1381" s="251"/>
      <c r="S1381" s="251"/>
      <c r="T1381" s="251"/>
      <c r="U1381" s="251"/>
      <c r="V1381" s="251"/>
      <c r="W1381" s="251"/>
      <c r="X1381" s="251"/>
      <c r="Y1381" s="251"/>
      <c r="Z1381" s="251"/>
      <c r="AA1381" s="251"/>
      <c r="AB1381" s="251"/>
    </row>
    <row r="1382" ht="14.25" customHeight="1">
      <c r="A1382" s="251"/>
      <c r="B1382" s="263"/>
      <c r="C1382" s="275"/>
      <c r="D1382" s="98"/>
      <c r="E1382" s="240"/>
      <c r="F1382" s="240"/>
      <c r="G1382" s="240"/>
      <c r="H1382" s="240"/>
      <c r="I1382" s="276"/>
      <c r="J1382" s="251"/>
      <c r="K1382" s="251"/>
      <c r="L1382" s="251"/>
      <c r="M1382" s="251"/>
      <c r="N1382" s="251"/>
      <c r="O1382" s="251"/>
      <c r="P1382" s="251"/>
      <c r="Q1382" s="251"/>
      <c r="R1382" s="251"/>
      <c r="S1382" s="251"/>
      <c r="T1382" s="251"/>
      <c r="U1382" s="251"/>
      <c r="V1382" s="251"/>
      <c r="W1382" s="251"/>
      <c r="X1382" s="251"/>
      <c r="Y1382" s="251"/>
      <c r="Z1382" s="251"/>
      <c r="AA1382" s="251"/>
      <c r="AB1382" s="251"/>
    </row>
    <row r="1383" ht="14.25" customHeight="1">
      <c r="A1383" s="251"/>
      <c r="B1383" s="263"/>
      <c r="C1383" s="275"/>
      <c r="D1383" s="98"/>
      <c r="E1383" s="240"/>
      <c r="F1383" s="240"/>
      <c r="G1383" s="240"/>
      <c r="H1383" s="240"/>
      <c r="I1383" s="276"/>
      <c r="J1383" s="251"/>
      <c r="K1383" s="251"/>
      <c r="L1383" s="251"/>
      <c r="M1383" s="251"/>
      <c r="N1383" s="251"/>
      <c r="O1383" s="251"/>
      <c r="P1383" s="251"/>
      <c r="Q1383" s="251"/>
      <c r="R1383" s="251"/>
      <c r="S1383" s="251"/>
      <c r="T1383" s="251"/>
      <c r="U1383" s="251"/>
      <c r="V1383" s="251"/>
      <c r="W1383" s="251"/>
      <c r="X1383" s="251"/>
      <c r="Y1383" s="251"/>
      <c r="Z1383" s="251"/>
      <c r="AA1383" s="251"/>
      <c r="AB1383" s="251"/>
    </row>
    <row r="1384" ht="14.25" customHeight="1">
      <c r="A1384" s="251"/>
      <c r="B1384" s="263"/>
      <c r="C1384" s="275"/>
      <c r="D1384" s="98"/>
      <c r="E1384" s="240"/>
      <c r="F1384" s="240"/>
      <c r="G1384" s="240"/>
      <c r="H1384" s="240"/>
      <c r="I1384" s="276"/>
      <c r="J1384" s="251"/>
      <c r="K1384" s="251"/>
      <c r="L1384" s="251"/>
      <c r="M1384" s="251"/>
      <c r="N1384" s="251"/>
      <c r="O1384" s="251"/>
      <c r="P1384" s="251"/>
      <c r="Q1384" s="251"/>
      <c r="R1384" s="251"/>
      <c r="S1384" s="251"/>
      <c r="T1384" s="251"/>
      <c r="U1384" s="251"/>
      <c r="V1384" s="251"/>
      <c r="W1384" s="251"/>
      <c r="X1384" s="251"/>
      <c r="Y1384" s="251"/>
      <c r="Z1384" s="251"/>
      <c r="AA1384" s="251"/>
      <c r="AB1384" s="251"/>
    </row>
    <row r="1385" ht="14.25" customHeight="1">
      <c r="A1385" s="251"/>
      <c r="B1385" s="263"/>
      <c r="C1385" s="275"/>
      <c r="D1385" s="98"/>
      <c r="E1385" s="240"/>
      <c r="F1385" s="240"/>
      <c r="G1385" s="240"/>
      <c r="H1385" s="240"/>
      <c r="I1385" s="276"/>
      <c r="J1385" s="251"/>
      <c r="K1385" s="251"/>
      <c r="L1385" s="251"/>
      <c r="M1385" s="251"/>
      <c r="N1385" s="251"/>
      <c r="O1385" s="251"/>
      <c r="P1385" s="251"/>
      <c r="Q1385" s="251"/>
      <c r="R1385" s="251"/>
      <c r="S1385" s="251"/>
      <c r="T1385" s="251"/>
      <c r="U1385" s="251"/>
      <c r="V1385" s="251"/>
      <c r="W1385" s="251"/>
      <c r="X1385" s="251"/>
      <c r="Y1385" s="251"/>
      <c r="Z1385" s="251"/>
      <c r="AA1385" s="251"/>
      <c r="AB1385" s="251"/>
    </row>
    <row r="1386" ht="14.25" customHeight="1">
      <c r="A1386" s="251"/>
      <c r="B1386" s="263"/>
      <c r="C1386" s="275"/>
      <c r="D1386" s="98"/>
      <c r="E1386" s="240"/>
      <c r="F1386" s="240"/>
      <c r="G1386" s="240"/>
      <c r="H1386" s="240"/>
      <c r="I1386" s="276"/>
      <c r="J1386" s="251"/>
      <c r="K1386" s="251"/>
      <c r="L1386" s="251"/>
      <c r="M1386" s="251"/>
      <c r="N1386" s="251"/>
      <c r="O1386" s="251"/>
      <c r="P1386" s="251"/>
      <c r="Q1386" s="251"/>
      <c r="R1386" s="251"/>
      <c r="S1386" s="251"/>
      <c r="T1386" s="251"/>
      <c r="U1386" s="251"/>
      <c r="V1386" s="251"/>
      <c r="W1386" s="251"/>
      <c r="X1386" s="251"/>
      <c r="Y1386" s="251"/>
      <c r="Z1386" s="251"/>
      <c r="AA1386" s="251"/>
      <c r="AB1386" s="251"/>
    </row>
    <row r="1387" ht="14.25" customHeight="1">
      <c r="A1387" s="251"/>
      <c r="B1387" s="263"/>
      <c r="C1387" s="275"/>
      <c r="D1387" s="98"/>
      <c r="E1387" s="240"/>
      <c r="F1387" s="240"/>
      <c r="G1387" s="240"/>
      <c r="H1387" s="240"/>
      <c r="I1387" s="276"/>
      <c r="J1387" s="251"/>
      <c r="K1387" s="251"/>
      <c r="L1387" s="251"/>
      <c r="M1387" s="251"/>
      <c r="N1387" s="251"/>
      <c r="O1387" s="251"/>
      <c r="P1387" s="251"/>
      <c r="Q1387" s="251"/>
      <c r="R1387" s="251"/>
      <c r="S1387" s="251"/>
      <c r="T1387" s="251"/>
      <c r="U1387" s="251"/>
      <c r="V1387" s="251"/>
      <c r="W1387" s="251"/>
      <c r="X1387" s="251"/>
      <c r="Y1387" s="251"/>
      <c r="Z1387" s="251"/>
      <c r="AA1387" s="251"/>
      <c r="AB1387" s="251"/>
    </row>
    <row r="1388" ht="14.25" customHeight="1">
      <c r="A1388" s="251"/>
      <c r="B1388" s="263"/>
      <c r="C1388" s="275"/>
      <c r="D1388" s="98"/>
      <c r="E1388" s="240"/>
      <c r="F1388" s="240"/>
      <c r="G1388" s="240"/>
      <c r="H1388" s="240"/>
      <c r="I1388" s="276"/>
      <c r="J1388" s="251"/>
      <c r="K1388" s="251"/>
      <c r="L1388" s="251"/>
      <c r="M1388" s="251"/>
      <c r="N1388" s="251"/>
      <c r="O1388" s="251"/>
      <c r="P1388" s="251"/>
      <c r="Q1388" s="251"/>
      <c r="R1388" s="251"/>
      <c r="S1388" s="251"/>
      <c r="T1388" s="251"/>
      <c r="U1388" s="251"/>
      <c r="V1388" s="251"/>
      <c r="W1388" s="251"/>
      <c r="X1388" s="251"/>
      <c r="Y1388" s="251"/>
      <c r="Z1388" s="251"/>
      <c r="AA1388" s="251"/>
      <c r="AB1388" s="251"/>
    </row>
    <row r="1389" ht="14.25" customHeight="1">
      <c r="A1389" s="251"/>
      <c r="B1389" s="263"/>
      <c r="C1389" s="275"/>
      <c r="D1389" s="98"/>
      <c r="E1389" s="240"/>
      <c r="F1389" s="240"/>
      <c r="G1389" s="240"/>
      <c r="H1389" s="240"/>
      <c r="I1389" s="276"/>
      <c r="J1389" s="251"/>
      <c r="K1389" s="251"/>
      <c r="L1389" s="251"/>
      <c r="M1389" s="251"/>
      <c r="N1389" s="251"/>
      <c r="O1389" s="251"/>
      <c r="P1389" s="251"/>
      <c r="Q1389" s="251"/>
      <c r="R1389" s="251"/>
      <c r="S1389" s="251"/>
      <c r="T1389" s="251"/>
      <c r="U1389" s="251"/>
      <c r="V1389" s="251"/>
      <c r="W1389" s="251"/>
      <c r="X1389" s="251"/>
      <c r="Y1389" s="251"/>
      <c r="Z1389" s="251"/>
      <c r="AA1389" s="251"/>
      <c r="AB1389" s="251"/>
    </row>
    <row r="1390" ht="14.25" customHeight="1">
      <c r="A1390" s="251"/>
      <c r="B1390" s="263"/>
      <c r="C1390" s="275"/>
      <c r="D1390" s="98"/>
      <c r="E1390" s="240"/>
      <c r="F1390" s="240"/>
      <c r="G1390" s="240"/>
      <c r="H1390" s="240"/>
      <c r="I1390" s="276"/>
      <c r="J1390" s="251"/>
      <c r="K1390" s="251"/>
      <c r="L1390" s="251"/>
      <c r="M1390" s="251"/>
      <c r="N1390" s="251"/>
      <c r="O1390" s="251"/>
      <c r="P1390" s="251"/>
      <c r="Q1390" s="251"/>
      <c r="R1390" s="251"/>
      <c r="S1390" s="251"/>
      <c r="T1390" s="251"/>
      <c r="U1390" s="251"/>
      <c r="V1390" s="251"/>
      <c r="W1390" s="251"/>
      <c r="X1390" s="251"/>
      <c r="Y1390" s="251"/>
      <c r="Z1390" s="251"/>
      <c r="AA1390" s="251"/>
      <c r="AB1390" s="251"/>
    </row>
    <row r="1391" ht="14.25" customHeight="1">
      <c r="A1391" s="251"/>
      <c r="B1391" s="263"/>
      <c r="C1391" s="275"/>
      <c r="D1391" s="98"/>
      <c r="E1391" s="240"/>
      <c r="F1391" s="240"/>
      <c r="G1391" s="240"/>
      <c r="H1391" s="240"/>
      <c r="I1391" s="276"/>
      <c r="J1391" s="251"/>
      <c r="K1391" s="251"/>
      <c r="L1391" s="251"/>
      <c r="M1391" s="251"/>
      <c r="N1391" s="251"/>
      <c r="O1391" s="251"/>
      <c r="P1391" s="251"/>
      <c r="Q1391" s="251"/>
      <c r="R1391" s="251"/>
      <c r="S1391" s="251"/>
      <c r="T1391" s="251"/>
      <c r="U1391" s="251"/>
      <c r="V1391" s="251"/>
      <c r="W1391" s="251"/>
      <c r="X1391" s="251"/>
      <c r="Y1391" s="251"/>
      <c r="Z1391" s="251"/>
      <c r="AA1391" s="251"/>
      <c r="AB1391" s="251"/>
    </row>
    <row r="1392" ht="14.25" customHeight="1">
      <c r="A1392" s="251"/>
      <c r="B1392" s="263"/>
      <c r="C1392" s="275"/>
      <c r="D1392" s="98"/>
      <c r="E1392" s="240"/>
      <c r="F1392" s="240"/>
      <c r="G1392" s="240"/>
      <c r="H1392" s="240"/>
      <c r="I1392" s="276"/>
      <c r="J1392" s="251"/>
      <c r="K1392" s="251"/>
      <c r="L1392" s="251"/>
      <c r="M1392" s="251"/>
      <c r="N1392" s="251"/>
      <c r="O1392" s="251"/>
      <c r="P1392" s="251"/>
      <c r="Q1392" s="251"/>
      <c r="R1392" s="251"/>
      <c r="S1392" s="251"/>
      <c r="T1392" s="251"/>
      <c r="U1392" s="251"/>
      <c r="V1392" s="251"/>
      <c r="W1392" s="251"/>
      <c r="X1392" s="251"/>
      <c r="Y1392" s="251"/>
      <c r="Z1392" s="251"/>
      <c r="AA1392" s="251"/>
      <c r="AB1392" s="251"/>
    </row>
    <row r="1393" ht="14.25" customHeight="1">
      <c r="A1393" s="251"/>
      <c r="B1393" s="263"/>
      <c r="C1393" s="275"/>
      <c r="D1393" s="98"/>
      <c r="E1393" s="240"/>
      <c r="F1393" s="240"/>
      <c r="G1393" s="240"/>
      <c r="H1393" s="240"/>
      <c r="I1393" s="276"/>
      <c r="J1393" s="251"/>
      <c r="K1393" s="251"/>
      <c r="L1393" s="251"/>
      <c r="M1393" s="251"/>
      <c r="N1393" s="251"/>
      <c r="O1393" s="251"/>
      <c r="P1393" s="251"/>
      <c r="Q1393" s="251"/>
      <c r="R1393" s="251"/>
      <c r="S1393" s="251"/>
      <c r="T1393" s="251"/>
      <c r="U1393" s="251"/>
      <c r="V1393" s="251"/>
      <c r="W1393" s="251"/>
      <c r="X1393" s="251"/>
      <c r="Y1393" s="251"/>
      <c r="Z1393" s="251"/>
      <c r="AA1393" s="251"/>
      <c r="AB1393" s="251"/>
    </row>
    <row r="1394" ht="14.25" customHeight="1">
      <c r="A1394" s="251"/>
      <c r="B1394" s="263"/>
      <c r="C1394" s="275"/>
      <c r="D1394" s="98"/>
      <c r="E1394" s="240"/>
      <c r="F1394" s="240"/>
      <c r="G1394" s="240"/>
      <c r="H1394" s="240"/>
      <c r="I1394" s="276"/>
      <c r="J1394" s="251"/>
      <c r="K1394" s="251"/>
      <c r="L1394" s="251"/>
      <c r="M1394" s="251"/>
      <c r="N1394" s="251"/>
      <c r="O1394" s="251"/>
      <c r="P1394" s="251"/>
      <c r="Q1394" s="251"/>
      <c r="R1394" s="251"/>
      <c r="S1394" s="251"/>
      <c r="T1394" s="251"/>
      <c r="U1394" s="251"/>
      <c r="V1394" s="251"/>
      <c r="W1394" s="251"/>
      <c r="X1394" s="251"/>
      <c r="Y1394" s="251"/>
      <c r="Z1394" s="251"/>
      <c r="AA1394" s="251"/>
      <c r="AB1394" s="251"/>
    </row>
    <row r="1395" ht="14.25" customHeight="1">
      <c r="A1395" s="251"/>
      <c r="B1395" s="263"/>
      <c r="C1395" s="275"/>
      <c r="D1395" s="98"/>
      <c r="E1395" s="240"/>
      <c r="F1395" s="240"/>
      <c r="G1395" s="240"/>
      <c r="H1395" s="240"/>
      <c r="I1395" s="276"/>
      <c r="J1395" s="251"/>
      <c r="K1395" s="251"/>
      <c r="L1395" s="251"/>
      <c r="M1395" s="251"/>
      <c r="N1395" s="251"/>
      <c r="O1395" s="251"/>
      <c r="P1395" s="251"/>
      <c r="Q1395" s="251"/>
      <c r="R1395" s="251"/>
      <c r="S1395" s="251"/>
      <c r="T1395" s="251"/>
      <c r="U1395" s="251"/>
      <c r="V1395" s="251"/>
      <c r="W1395" s="251"/>
      <c r="X1395" s="251"/>
      <c r="Y1395" s="251"/>
      <c r="Z1395" s="251"/>
      <c r="AA1395" s="251"/>
      <c r="AB1395" s="251"/>
    </row>
    <row r="1396" ht="14.25" customHeight="1">
      <c r="A1396" s="251"/>
      <c r="B1396" s="263"/>
      <c r="C1396" s="275"/>
      <c r="D1396" s="98"/>
      <c r="E1396" s="240"/>
      <c r="F1396" s="240"/>
      <c r="G1396" s="240"/>
      <c r="H1396" s="240"/>
      <c r="I1396" s="276"/>
      <c r="J1396" s="251"/>
      <c r="K1396" s="251"/>
      <c r="L1396" s="251"/>
      <c r="M1396" s="251"/>
      <c r="N1396" s="251"/>
      <c r="O1396" s="251"/>
      <c r="P1396" s="251"/>
      <c r="Q1396" s="251"/>
      <c r="R1396" s="251"/>
      <c r="S1396" s="251"/>
      <c r="T1396" s="251"/>
      <c r="U1396" s="251"/>
      <c r="V1396" s="251"/>
      <c r="W1396" s="251"/>
      <c r="X1396" s="251"/>
      <c r="Y1396" s="251"/>
      <c r="Z1396" s="251"/>
      <c r="AA1396" s="251"/>
      <c r="AB1396" s="251"/>
    </row>
    <row r="1397" ht="14.25" customHeight="1">
      <c r="A1397" s="251"/>
      <c r="B1397" s="263"/>
      <c r="C1397" s="275"/>
      <c r="D1397" s="98"/>
      <c r="E1397" s="240"/>
      <c r="F1397" s="240"/>
      <c r="G1397" s="240"/>
      <c r="H1397" s="240"/>
      <c r="I1397" s="276"/>
      <c r="J1397" s="251"/>
      <c r="K1397" s="251"/>
      <c r="L1397" s="251"/>
      <c r="M1397" s="251"/>
      <c r="N1397" s="251"/>
      <c r="O1397" s="251"/>
      <c r="P1397" s="251"/>
      <c r="Q1397" s="251"/>
      <c r="R1397" s="251"/>
      <c r="S1397" s="251"/>
      <c r="T1397" s="251"/>
      <c r="U1397" s="251"/>
      <c r="V1397" s="251"/>
      <c r="W1397" s="251"/>
      <c r="X1397" s="251"/>
      <c r="Y1397" s="251"/>
      <c r="Z1397" s="251"/>
      <c r="AA1397" s="251"/>
      <c r="AB1397" s="251"/>
    </row>
    <row r="1398" ht="14.25" customHeight="1">
      <c r="A1398" s="251"/>
      <c r="B1398" s="263"/>
      <c r="C1398" s="275"/>
      <c r="D1398" s="98"/>
      <c r="E1398" s="240"/>
      <c r="F1398" s="240"/>
      <c r="G1398" s="240"/>
      <c r="H1398" s="240"/>
      <c r="I1398" s="276"/>
      <c r="J1398" s="251"/>
      <c r="K1398" s="251"/>
      <c r="L1398" s="251"/>
      <c r="M1398" s="251"/>
      <c r="N1398" s="251"/>
      <c r="O1398" s="251"/>
      <c r="P1398" s="251"/>
      <c r="Q1398" s="251"/>
      <c r="R1398" s="251"/>
      <c r="S1398" s="251"/>
      <c r="T1398" s="251"/>
      <c r="U1398" s="251"/>
      <c r="V1398" s="251"/>
      <c r="W1398" s="251"/>
      <c r="X1398" s="251"/>
      <c r="Y1398" s="251"/>
      <c r="Z1398" s="251"/>
      <c r="AA1398" s="251"/>
      <c r="AB1398" s="251"/>
    </row>
    <row r="1399" ht="14.25" customHeight="1">
      <c r="A1399" s="251"/>
      <c r="B1399" s="263"/>
      <c r="C1399" s="275"/>
      <c r="D1399" s="98"/>
      <c r="E1399" s="240"/>
      <c r="F1399" s="240"/>
      <c r="G1399" s="240"/>
      <c r="H1399" s="240"/>
      <c r="I1399" s="276"/>
      <c r="J1399" s="251"/>
      <c r="K1399" s="251"/>
      <c r="L1399" s="251"/>
      <c r="M1399" s="251"/>
      <c r="N1399" s="251"/>
      <c r="O1399" s="251"/>
      <c r="P1399" s="251"/>
      <c r="Q1399" s="251"/>
      <c r="R1399" s="251"/>
      <c r="S1399" s="251"/>
      <c r="T1399" s="251"/>
      <c r="U1399" s="251"/>
      <c r="V1399" s="251"/>
      <c r="W1399" s="251"/>
      <c r="X1399" s="251"/>
      <c r="Y1399" s="251"/>
      <c r="Z1399" s="251"/>
      <c r="AA1399" s="251"/>
      <c r="AB1399" s="251"/>
    </row>
    <row r="1400" ht="14.25" customHeight="1">
      <c r="A1400" s="251"/>
      <c r="B1400" s="263"/>
      <c r="C1400" s="275"/>
      <c r="D1400" s="98"/>
      <c r="E1400" s="240"/>
      <c r="F1400" s="240"/>
      <c r="G1400" s="240"/>
      <c r="H1400" s="240"/>
      <c r="I1400" s="276"/>
      <c r="J1400" s="251"/>
      <c r="K1400" s="251"/>
      <c r="L1400" s="251"/>
      <c r="M1400" s="251"/>
      <c r="N1400" s="251"/>
      <c r="O1400" s="251"/>
      <c r="P1400" s="251"/>
      <c r="Q1400" s="251"/>
      <c r="R1400" s="251"/>
      <c r="S1400" s="251"/>
      <c r="T1400" s="251"/>
      <c r="U1400" s="251"/>
      <c r="V1400" s="251"/>
      <c r="W1400" s="251"/>
      <c r="X1400" s="251"/>
      <c r="Y1400" s="251"/>
      <c r="Z1400" s="251"/>
      <c r="AA1400" s="251"/>
      <c r="AB1400" s="251"/>
    </row>
    <row r="1401" ht="14.25" customHeight="1">
      <c r="A1401" s="251"/>
      <c r="B1401" s="263"/>
      <c r="C1401" s="275"/>
      <c r="D1401" s="98"/>
      <c r="E1401" s="240"/>
      <c r="F1401" s="240"/>
      <c r="G1401" s="240"/>
      <c r="H1401" s="240"/>
      <c r="I1401" s="276"/>
      <c r="J1401" s="251"/>
      <c r="K1401" s="251"/>
      <c r="L1401" s="251"/>
      <c r="M1401" s="251"/>
      <c r="N1401" s="251"/>
      <c r="O1401" s="251"/>
      <c r="P1401" s="251"/>
      <c r="Q1401" s="251"/>
      <c r="R1401" s="251"/>
      <c r="S1401" s="251"/>
      <c r="T1401" s="251"/>
      <c r="U1401" s="251"/>
      <c r="V1401" s="251"/>
      <c r="W1401" s="251"/>
      <c r="X1401" s="251"/>
      <c r="Y1401" s="251"/>
      <c r="Z1401" s="251"/>
      <c r="AA1401" s="251"/>
      <c r="AB1401" s="251"/>
    </row>
    <row r="1402" ht="14.25" customHeight="1">
      <c r="A1402" s="251"/>
      <c r="B1402" s="263"/>
      <c r="C1402" s="275"/>
      <c r="D1402" s="98"/>
      <c r="E1402" s="240"/>
      <c r="F1402" s="240"/>
      <c r="G1402" s="240"/>
      <c r="H1402" s="240"/>
      <c r="I1402" s="276"/>
      <c r="J1402" s="251"/>
      <c r="K1402" s="251"/>
      <c r="L1402" s="251"/>
      <c r="M1402" s="251"/>
      <c r="N1402" s="251"/>
      <c r="O1402" s="251"/>
      <c r="P1402" s="251"/>
      <c r="Q1402" s="251"/>
      <c r="R1402" s="251"/>
      <c r="S1402" s="251"/>
      <c r="T1402" s="251"/>
      <c r="U1402" s="251"/>
      <c r="V1402" s="251"/>
      <c r="W1402" s="251"/>
      <c r="X1402" s="251"/>
      <c r="Y1402" s="251"/>
      <c r="Z1402" s="251"/>
      <c r="AA1402" s="251"/>
      <c r="AB1402" s="251"/>
    </row>
    <row r="1403" ht="14.25" customHeight="1">
      <c r="A1403" s="251"/>
      <c r="B1403" s="263"/>
      <c r="C1403" s="275"/>
      <c r="D1403" s="98"/>
      <c r="E1403" s="240"/>
      <c r="F1403" s="240"/>
      <c r="G1403" s="240"/>
      <c r="H1403" s="240"/>
      <c r="I1403" s="276"/>
      <c r="J1403" s="251"/>
      <c r="K1403" s="251"/>
      <c r="L1403" s="251"/>
      <c r="M1403" s="251"/>
      <c r="N1403" s="251"/>
      <c r="O1403" s="251"/>
      <c r="P1403" s="251"/>
      <c r="Q1403" s="251"/>
      <c r="R1403" s="251"/>
      <c r="S1403" s="251"/>
      <c r="T1403" s="251"/>
      <c r="U1403" s="251"/>
      <c r="V1403" s="251"/>
      <c r="W1403" s="251"/>
      <c r="X1403" s="251"/>
      <c r="Y1403" s="251"/>
      <c r="Z1403" s="251"/>
      <c r="AA1403" s="251"/>
      <c r="AB1403" s="251"/>
    </row>
    <row r="1404" ht="14.25" customHeight="1">
      <c r="A1404" s="251"/>
      <c r="B1404" s="263"/>
      <c r="C1404" s="275"/>
      <c r="D1404" s="98"/>
      <c r="E1404" s="240"/>
      <c r="F1404" s="240"/>
      <c r="G1404" s="240"/>
      <c r="H1404" s="240"/>
      <c r="I1404" s="276"/>
      <c r="J1404" s="251"/>
      <c r="K1404" s="251"/>
      <c r="L1404" s="251"/>
      <c r="M1404" s="251"/>
      <c r="N1404" s="251"/>
      <c r="O1404" s="251"/>
      <c r="P1404" s="251"/>
      <c r="Q1404" s="251"/>
      <c r="R1404" s="251"/>
      <c r="S1404" s="251"/>
      <c r="T1404" s="251"/>
      <c r="U1404" s="251"/>
      <c r="V1404" s="251"/>
      <c r="W1404" s="251"/>
      <c r="X1404" s="251"/>
      <c r="Y1404" s="251"/>
      <c r="Z1404" s="251"/>
      <c r="AA1404" s="251"/>
      <c r="AB1404" s="251"/>
    </row>
    <row r="1405" ht="14.25" customHeight="1">
      <c r="A1405" s="251"/>
      <c r="B1405" s="263"/>
      <c r="C1405" s="275"/>
      <c r="D1405" s="98"/>
      <c r="E1405" s="240"/>
      <c r="F1405" s="240"/>
      <c r="G1405" s="240"/>
      <c r="H1405" s="240"/>
      <c r="I1405" s="276"/>
      <c r="J1405" s="251"/>
      <c r="K1405" s="251"/>
      <c r="L1405" s="251"/>
      <c r="M1405" s="251"/>
      <c r="N1405" s="251"/>
      <c r="O1405" s="251"/>
      <c r="P1405" s="251"/>
      <c r="Q1405" s="251"/>
      <c r="R1405" s="251"/>
      <c r="S1405" s="251"/>
      <c r="T1405" s="251"/>
      <c r="U1405" s="251"/>
      <c r="V1405" s="251"/>
      <c r="W1405" s="251"/>
      <c r="X1405" s="251"/>
      <c r="Y1405" s="251"/>
      <c r="Z1405" s="251"/>
      <c r="AA1405" s="251"/>
      <c r="AB1405" s="251"/>
    </row>
    <row r="1406" ht="14.25" customHeight="1">
      <c r="A1406" s="251"/>
      <c r="B1406" s="263"/>
      <c r="C1406" s="275"/>
      <c r="D1406" s="98"/>
      <c r="E1406" s="240"/>
      <c r="F1406" s="240"/>
      <c r="G1406" s="240"/>
      <c r="H1406" s="240"/>
      <c r="I1406" s="276"/>
      <c r="J1406" s="251"/>
      <c r="K1406" s="251"/>
      <c r="L1406" s="251"/>
      <c r="M1406" s="251"/>
      <c r="N1406" s="251"/>
      <c r="O1406" s="251"/>
      <c r="P1406" s="251"/>
      <c r="Q1406" s="251"/>
      <c r="R1406" s="251"/>
      <c r="S1406" s="251"/>
      <c r="T1406" s="251"/>
      <c r="U1406" s="251"/>
      <c r="V1406" s="251"/>
      <c r="W1406" s="251"/>
      <c r="X1406" s="251"/>
      <c r="Y1406" s="251"/>
      <c r="Z1406" s="251"/>
      <c r="AA1406" s="251"/>
      <c r="AB1406" s="251"/>
    </row>
    <row r="1407" ht="14.25" customHeight="1">
      <c r="A1407" s="251"/>
      <c r="B1407" s="263"/>
      <c r="C1407" s="275"/>
      <c r="D1407" s="98"/>
      <c r="E1407" s="240"/>
      <c r="F1407" s="240"/>
      <c r="G1407" s="240"/>
      <c r="H1407" s="240"/>
      <c r="I1407" s="276"/>
      <c r="J1407" s="251"/>
      <c r="K1407" s="251"/>
      <c r="L1407" s="251"/>
      <c r="M1407" s="251"/>
      <c r="N1407" s="251"/>
      <c r="O1407" s="251"/>
      <c r="P1407" s="251"/>
      <c r="Q1407" s="251"/>
      <c r="R1407" s="251"/>
      <c r="S1407" s="251"/>
      <c r="T1407" s="251"/>
      <c r="U1407" s="251"/>
      <c r="V1407" s="251"/>
      <c r="W1407" s="251"/>
      <c r="X1407" s="251"/>
      <c r="Y1407" s="251"/>
      <c r="Z1407" s="251"/>
      <c r="AA1407" s="251"/>
      <c r="AB1407" s="251"/>
    </row>
    <row r="1408" ht="14.25" customHeight="1">
      <c r="A1408" s="251"/>
      <c r="B1408" s="263"/>
      <c r="C1408" s="275"/>
      <c r="D1408" s="98"/>
      <c r="E1408" s="240"/>
      <c r="F1408" s="240"/>
      <c r="G1408" s="240"/>
      <c r="H1408" s="240"/>
      <c r="I1408" s="276"/>
      <c r="J1408" s="251"/>
      <c r="K1408" s="251"/>
      <c r="L1408" s="251"/>
      <c r="M1408" s="251"/>
      <c r="N1408" s="251"/>
      <c r="O1408" s="251"/>
      <c r="P1408" s="251"/>
      <c r="Q1408" s="251"/>
      <c r="R1408" s="251"/>
      <c r="S1408" s="251"/>
      <c r="T1408" s="251"/>
      <c r="U1408" s="251"/>
      <c r="V1408" s="251"/>
      <c r="W1408" s="251"/>
      <c r="X1408" s="251"/>
      <c r="Y1408" s="251"/>
      <c r="Z1408" s="251"/>
      <c r="AA1408" s="251"/>
      <c r="AB1408" s="251"/>
    </row>
    <row r="1409" ht="14.25" customHeight="1">
      <c r="A1409" s="251"/>
      <c r="B1409" s="263"/>
      <c r="C1409" s="275"/>
      <c r="D1409" s="98"/>
      <c r="E1409" s="240"/>
      <c r="F1409" s="240"/>
      <c r="G1409" s="240"/>
      <c r="H1409" s="240"/>
      <c r="I1409" s="276"/>
      <c r="J1409" s="251"/>
      <c r="K1409" s="251"/>
      <c r="L1409" s="251"/>
      <c r="M1409" s="251"/>
      <c r="N1409" s="251"/>
      <c r="O1409" s="251"/>
      <c r="P1409" s="251"/>
      <c r="Q1409" s="251"/>
      <c r="R1409" s="251"/>
      <c r="S1409" s="251"/>
      <c r="T1409" s="251"/>
      <c r="U1409" s="251"/>
      <c r="V1409" s="251"/>
      <c r="W1409" s="251"/>
      <c r="X1409" s="251"/>
      <c r="Y1409" s="251"/>
      <c r="Z1409" s="251"/>
      <c r="AA1409" s="251"/>
      <c r="AB1409" s="251"/>
    </row>
    <row r="1410" ht="14.25" customHeight="1">
      <c r="A1410" s="251"/>
      <c r="B1410" s="263"/>
      <c r="C1410" s="275"/>
      <c r="D1410" s="98"/>
      <c r="E1410" s="240"/>
      <c r="F1410" s="240"/>
      <c r="G1410" s="240"/>
      <c r="H1410" s="240"/>
      <c r="I1410" s="276"/>
      <c r="J1410" s="251"/>
      <c r="K1410" s="251"/>
      <c r="L1410" s="251"/>
      <c r="M1410" s="251"/>
      <c r="N1410" s="251"/>
      <c r="O1410" s="251"/>
      <c r="P1410" s="251"/>
      <c r="Q1410" s="251"/>
      <c r="R1410" s="251"/>
      <c r="S1410" s="251"/>
      <c r="T1410" s="251"/>
      <c r="U1410" s="251"/>
      <c r="V1410" s="251"/>
      <c r="W1410" s="251"/>
      <c r="X1410" s="251"/>
      <c r="Y1410" s="251"/>
      <c r="Z1410" s="251"/>
      <c r="AA1410" s="251"/>
      <c r="AB1410" s="251"/>
    </row>
    <row r="1411" ht="14.25" customHeight="1">
      <c r="A1411" s="251"/>
      <c r="B1411" s="263"/>
      <c r="C1411" s="275"/>
      <c r="D1411" s="98"/>
      <c r="E1411" s="240"/>
      <c r="F1411" s="240"/>
      <c r="G1411" s="240"/>
      <c r="H1411" s="240"/>
      <c r="I1411" s="276"/>
      <c r="J1411" s="251"/>
      <c r="K1411" s="251"/>
      <c r="L1411" s="251"/>
      <c r="M1411" s="251"/>
      <c r="N1411" s="251"/>
      <c r="O1411" s="251"/>
      <c r="P1411" s="251"/>
      <c r="Q1411" s="251"/>
      <c r="R1411" s="251"/>
      <c r="S1411" s="251"/>
      <c r="T1411" s="251"/>
      <c r="U1411" s="251"/>
      <c r="V1411" s="251"/>
      <c r="W1411" s="251"/>
      <c r="X1411" s="251"/>
      <c r="Y1411" s="251"/>
      <c r="Z1411" s="251"/>
      <c r="AA1411" s="251"/>
      <c r="AB1411" s="251"/>
    </row>
    <row r="1412" ht="14.25" customHeight="1">
      <c r="A1412" s="251"/>
      <c r="B1412" s="263"/>
      <c r="C1412" s="275"/>
      <c r="D1412" s="98"/>
      <c r="E1412" s="240"/>
      <c r="F1412" s="240"/>
      <c r="G1412" s="240"/>
      <c r="H1412" s="240"/>
      <c r="I1412" s="276"/>
      <c r="J1412" s="251"/>
      <c r="K1412" s="251"/>
      <c r="L1412" s="251"/>
      <c r="M1412" s="251"/>
      <c r="N1412" s="251"/>
      <c r="O1412" s="251"/>
      <c r="P1412" s="251"/>
      <c r="Q1412" s="251"/>
      <c r="R1412" s="251"/>
      <c r="S1412" s="251"/>
      <c r="T1412" s="251"/>
      <c r="U1412" s="251"/>
      <c r="V1412" s="251"/>
      <c r="W1412" s="251"/>
      <c r="X1412" s="251"/>
      <c r="Y1412" s="251"/>
      <c r="Z1412" s="251"/>
      <c r="AA1412" s="251"/>
      <c r="AB1412" s="251"/>
    </row>
    <row r="1413" ht="14.25" customHeight="1">
      <c r="A1413" s="251"/>
      <c r="B1413" s="263"/>
      <c r="C1413" s="275"/>
      <c r="D1413" s="98"/>
      <c r="E1413" s="240"/>
      <c r="F1413" s="240"/>
      <c r="G1413" s="240"/>
      <c r="H1413" s="240"/>
      <c r="I1413" s="276"/>
      <c r="J1413" s="251"/>
      <c r="K1413" s="251"/>
      <c r="L1413" s="251"/>
      <c r="M1413" s="251"/>
      <c r="N1413" s="251"/>
      <c r="O1413" s="251"/>
      <c r="P1413" s="251"/>
      <c r="Q1413" s="251"/>
      <c r="R1413" s="251"/>
      <c r="S1413" s="251"/>
      <c r="T1413" s="251"/>
      <c r="U1413" s="251"/>
      <c r="V1413" s="251"/>
      <c r="W1413" s="251"/>
      <c r="X1413" s="251"/>
      <c r="Y1413" s="251"/>
      <c r="Z1413" s="251"/>
      <c r="AA1413" s="251"/>
      <c r="AB1413" s="251"/>
    </row>
    <row r="1414" ht="14.25" customHeight="1">
      <c r="A1414" s="251"/>
      <c r="B1414" s="263"/>
      <c r="C1414" s="275"/>
      <c r="D1414" s="98"/>
      <c r="E1414" s="240"/>
      <c r="F1414" s="240"/>
      <c r="G1414" s="240"/>
      <c r="H1414" s="240"/>
      <c r="I1414" s="276"/>
      <c r="J1414" s="251"/>
      <c r="K1414" s="251"/>
      <c r="L1414" s="251"/>
      <c r="M1414" s="251"/>
      <c r="N1414" s="251"/>
      <c r="O1414" s="251"/>
      <c r="P1414" s="251"/>
      <c r="Q1414" s="251"/>
      <c r="R1414" s="251"/>
      <c r="S1414" s="251"/>
      <c r="T1414" s="251"/>
      <c r="U1414" s="251"/>
      <c r="V1414" s="251"/>
      <c r="W1414" s="251"/>
      <c r="X1414" s="251"/>
      <c r="Y1414" s="251"/>
      <c r="Z1414" s="251"/>
      <c r="AA1414" s="251"/>
      <c r="AB1414" s="251"/>
    </row>
    <row r="1415" ht="14.25" customHeight="1">
      <c r="A1415" s="251"/>
      <c r="B1415" s="263"/>
      <c r="C1415" s="275"/>
      <c r="D1415" s="98"/>
      <c r="E1415" s="240"/>
      <c r="F1415" s="240"/>
      <c r="G1415" s="240"/>
      <c r="H1415" s="240"/>
      <c r="I1415" s="276"/>
      <c r="J1415" s="251"/>
      <c r="K1415" s="251"/>
      <c r="L1415" s="251"/>
      <c r="M1415" s="251"/>
      <c r="N1415" s="251"/>
      <c r="O1415" s="251"/>
      <c r="P1415" s="251"/>
      <c r="Q1415" s="251"/>
      <c r="R1415" s="251"/>
      <c r="S1415" s="251"/>
      <c r="T1415" s="251"/>
      <c r="U1415" s="251"/>
      <c r="V1415" s="251"/>
      <c r="W1415" s="251"/>
      <c r="X1415" s="251"/>
      <c r="Y1415" s="251"/>
      <c r="Z1415" s="251"/>
      <c r="AA1415" s="251"/>
      <c r="AB1415" s="251"/>
    </row>
    <row r="1416" ht="14.25" customHeight="1">
      <c r="A1416" s="251"/>
      <c r="B1416" s="263"/>
      <c r="C1416" s="275"/>
      <c r="D1416" s="98"/>
      <c r="E1416" s="240"/>
      <c r="F1416" s="240"/>
      <c r="G1416" s="240"/>
      <c r="H1416" s="240"/>
      <c r="I1416" s="276"/>
      <c r="J1416" s="251"/>
      <c r="K1416" s="251"/>
      <c r="L1416" s="251"/>
      <c r="M1416" s="251"/>
      <c r="N1416" s="251"/>
      <c r="O1416" s="251"/>
      <c r="P1416" s="251"/>
      <c r="Q1416" s="251"/>
      <c r="R1416" s="251"/>
      <c r="S1416" s="251"/>
      <c r="T1416" s="251"/>
      <c r="U1416" s="251"/>
      <c r="V1416" s="251"/>
      <c r="W1416" s="251"/>
      <c r="X1416" s="251"/>
      <c r="Y1416" s="251"/>
      <c r="Z1416" s="251"/>
      <c r="AA1416" s="251"/>
      <c r="AB1416" s="251"/>
    </row>
    <row r="1417" ht="14.25" customHeight="1">
      <c r="A1417" s="251"/>
      <c r="B1417" s="263"/>
      <c r="C1417" s="275"/>
      <c r="D1417" s="98"/>
      <c r="E1417" s="240"/>
      <c r="F1417" s="240"/>
      <c r="G1417" s="240"/>
      <c r="H1417" s="240"/>
      <c r="I1417" s="276"/>
      <c r="J1417" s="251"/>
      <c r="K1417" s="251"/>
      <c r="L1417" s="251"/>
      <c r="M1417" s="251"/>
      <c r="N1417" s="251"/>
      <c r="O1417" s="251"/>
      <c r="P1417" s="251"/>
      <c r="Q1417" s="251"/>
      <c r="R1417" s="251"/>
      <c r="S1417" s="251"/>
      <c r="T1417" s="251"/>
      <c r="U1417" s="251"/>
      <c r="V1417" s="251"/>
      <c r="W1417" s="251"/>
      <c r="X1417" s="251"/>
      <c r="Y1417" s="251"/>
      <c r="Z1417" s="251"/>
      <c r="AA1417" s="251"/>
      <c r="AB1417" s="251"/>
    </row>
    <row r="1418" ht="14.25" customHeight="1">
      <c r="A1418" s="251"/>
      <c r="B1418" s="263"/>
      <c r="C1418" s="275"/>
      <c r="D1418" s="98"/>
      <c r="E1418" s="240"/>
      <c r="F1418" s="240"/>
      <c r="G1418" s="240"/>
      <c r="H1418" s="240"/>
      <c r="I1418" s="276"/>
      <c r="J1418" s="251"/>
      <c r="K1418" s="251"/>
      <c r="L1418" s="251"/>
      <c r="M1418" s="251"/>
      <c r="N1418" s="251"/>
      <c r="O1418" s="251"/>
      <c r="P1418" s="251"/>
      <c r="Q1418" s="251"/>
      <c r="R1418" s="251"/>
      <c r="S1418" s="251"/>
      <c r="T1418" s="251"/>
      <c r="U1418" s="251"/>
      <c r="V1418" s="251"/>
      <c r="W1418" s="251"/>
      <c r="X1418" s="251"/>
      <c r="Y1418" s="251"/>
      <c r="Z1418" s="251"/>
      <c r="AA1418" s="251"/>
      <c r="AB1418" s="251"/>
    </row>
    <row r="1419" ht="14.25" customHeight="1">
      <c r="A1419" s="251"/>
      <c r="B1419" s="263"/>
      <c r="C1419" s="275"/>
      <c r="D1419" s="98"/>
      <c r="E1419" s="240"/>
      <c r="F1419" s="240"/>
      <c r="G1419" s="240"/>
      <c r="H1419" s="240"/>
      <c r="I1419" s="276"/>
      <c r="J1419" s="251"/>
      <c r="K1419" s="251"/>
      <c r="L1419" s="251"/>
      <c r="M1419" s="251"/>
      <c r="N1419" s="251"/>
      <c r="O1419" s="251"/>
      <c r="P1419" s="251"/>
      <c r="Q1419" s="251"/>
      <c r="R1419" s="251"/>
      <c r="S1419" s="251"/>
      <c r="T1419" s="251"/>
      <c r="U1419" s="251"/>
      <c r="V1419" s="251"/>
      <c r="W1419" s="251"/>
      <c r="X1419" s="251"/>
      <c r="Y1419" s="251"/>
      <c r="Z1419" s="251"/>
      <c r="AA1419" s="251"/>
      <c r="AB1419" s="251"/>
    </row>
    <row r="1420" ht="14.25" customHeight="1">
      <c r="A1420" s="251"/>
      <c r="B1420" s="263"/>
      <c r="C1420" s="275"/>
      <c r="D1420" s="98"/>
      <c r="E1420" s="240"/>
      <c r="F1420" s="240"/>
      <c r="G1420" s="240"/>
      <c r="H1420" s="240"/>
      <c r="I1420" s="276"/>
      <c r="J1420" s="251"/>
      <c r="K1420" s="251"/>
      <c r="L1420" s="251"/>
      <c r="M1420" s="251"/>
      <c r="N1420" s="251"/>
      <c r="O1420" s="251"/>
      <c r="P1420" s="251"/>
      <c r="Q1420" s="251"/>
      <c r="R1420" s="251"/>
      <c r="S1420" s="251"/>
      <c r="T1420" s="251"/>
      <c r="U1420" s="251"/>
      <c r="V1420" s="251"/>
      <c r="W1420" s="251"/>
      <c r="X1420" s="251"/>
      <c r="Y1420" s="251"/>
      <c r="Z1420" s="251"/>
      <c r="AA1420" s="251"/>
      <c r="AB1420" s="251"/>
    </row>
    <row r="1421" ht="14.25" customHeight="1">
      <c r="A1421" s="251"/>
      <c r="B1421" s="263"/>
      <c r="C1421" s="275"/>
      <c r="D1421" s="98"/>
      <c r="E1421" s="240"/>
      <c r="F1421" s="240"/>
      <c r="G1421" s="240"/>
      <c r="H1421" s="240"/>
      <c r="I1421" s="276"/>
      <c r="J1421" s="251"/>
      <c r="K1421" s="251"/>
      <c r="L1421" s="251"/>
      <c r="M1421" s="251"/>
      <c r="N1421" s="251"/>
      <c r="O1421" s="251"/>
      <c r="P1421" s="251"/>
      <c r="Q1421" s="251"/>
      <c r="R1421" s="251"/>
      <c r="S1421" s="251"/>
      <c r="T1421" s="251"/>
      <c r="U1421" s="251"/>
      <c r="V1421" s="251"/>
      <c r="W1421" s="251"/>
      <c r="X1421" s="251"/>
      <c r="Y1421" s="251"/>
      <c r="Z1421" s="251"/>
      <c r="AA1421" s="251"/>
      <c r="AB1421" s="251"/>
    </row>
    <row r="1422" ht="14.25" customHeight="1">
      <c r="A1422" s="251"/>
      <c r="B1422" s="263"/>
      <c r="C1422" s="275"/>
      <c r="D1422" s="98"/>
      <c r="E1422" s="240"/>
      <c r="F1422" s="240"/>
      <c r="G1422" s="240"/>
      <c r="H1422" s="240"/>
      <c r="I1422" s="276"/>
      <c r="J1422" s="251"/>
      <c r="K1422" s="251"/>
      <c r="L1422" s="251"/>
      <c r="M1422" s="251"/>
      <c r="N1422" s="251"/>
      <c r="O1422" s="251"/>
      <c r="P1422" s="251"/>
      <c r="Q1422" s="251"/>
      <c r="R1422" s="251"/>
      <c r="S1422" s="251"/>
      <c r="T1422" s="251"/>
      <c r="U1422" s="251"/>
      <c r="V1422" s="251"/>
      <c r="W1422" s="251"/>
      <c r="X1422" s="251"/>
      <c r="Y1422" s="251"/>
      <c r="Z1422" s="251"/>
      <c r="AA1422" s="251"/>
      <c r="AB1422" s="251"/>
    </row>
    <row r="1423" ht="14.25" customHeight="1">
      <c r="A1423" s="251"/>
      <c r="B1423" s="263"/>
      <c r="C1423" s="275"/>
      <c r="D1423" s="98"/>
      <c r="E1423" s="240"/>
      <c r="F1423" s="240"/>
      <c r="G1423" s="240"/>
      <c r="H1423" s="240"/>
      <c r="I1423" s="276"/>
      <c r="J1423" s="251"/>
      <c r="K1423" s="251"/>
      <c r="L1423" s="251"/>
      <c r="M1423" s="251"/>
      <c r="N1423" s="251"/>
      <c r="O1423" s="251"/>
      <c r="P1423" s="251"/>
      <c r="Q1423" s="251"/>
      <c r="R1423" s="251"/>
      <c r="S1423" s="251"/>
      <c r="T1423" s="251"/>
      <c r="U1423" s="251"/>
      <c r="V1423" s="251"/>
      <c r="W1423" s="251"/>
      <c r="X1423" s="251"/>
      <c r="Y1423" s="251"/>
      <c r="Z1423" s="251"/>
      <c r="AA1423" s="251"/>
      <c r="AB1423" s="251"/>
    </row>
    <row r="1424" ht="14.25" customHeight="1">
      <c r="A1424" s="251"/>
      <c r="B1424" s="263"/>
      <c r="C1424" s="275"/>
      <c r="D1424" s="98"/>
      <c r="E1424" s="240"/>
      <c r="F1424" s="240"/>
      <c r="G1424" s="240"/>
      <c r="H1424" s="240"/>
      <c r="I1424" s="276"/>
      <c r="J1424" s="251"/>
      <c r="K1424" s="251"/>
      <c r="L1424" s="251"/>
      <c r="M1424" s="251"/>
      <c r="N1424" s="251"/>
      <c r="O1424" s="251"/>
      <c r="P1424" s="251"/>
      <c r="Q1424" s="251"/>
      <c r="R1424" s="251"/>
      <c r="S1424" s="251"/>
      <c r="T1424" s="251"/>
      <c r="U1424" s="251"/>
      <c r="V1424" s="251"/>
      <c r="W1424" s="251"/>
      <c r="X1424" s="251"/>
      <c r="Y1424" s="251"/>
      <c r="Z1424" s="251"/>
      <c r="AA1424" s="251"/>
      <c r="AB1424" s="251"/>
    </row>
    <row r="1425" ht="14.25" customHeight="1">
      <c r="A1425" s="251"/>
      <c r="B1425" s="263"/>
      <c r="C1425" s="275"/>
      <c r="D1425" s="98"/>
      <c r="E1425" s="240"/>
      <c r="F1425" s="240"/>
      <c r="G1425" s="240"/>
      <c r="H1425" s="240"/>
      <c r="I1425" s="276"/>
      <c r="J1425" s="251"/>
      <c r="K1425" s="251"/>
      <c r="L1425" s="251"/>
      <c r="M1425" s="251"/>
      <c r="N1425" s="251"/>
      <c r="O1425" s="251"/>
      <c r="P1425" s="251"/>
      <c r="Q1425" s="251"/>
      <c r="R1425" s="251"/>
      <c r="S1425" s="251"/>
      <c r="T1425" s="251"/>
      <c r="U1425" s="251"/>
      <c r="V1425" s="251"/>
      <c r="W1425" s="251"/>
      <c r="X1425" s="251"/>
      <c r="Y1425" s="251"/>
      <c r="Z1425" s="251"/>
      <c r="AA1425" s="251"/>
      <c r="AB1425" s="251"/>
    </row>
    <row r="1426" ht="14.25" customHeight="1">
      <c r="A1426" s="251"/>
      <c r="B1426" s="263"/>
      <c r="C1426" s="275"/>
      <c r="D1426" s="98"/>
      <c r="E1426" s="240"/>
      <c r="F1426" s="240"/>
      <c r="G1426" s="240"/>
      <c r="H1426" s="240"/>
      <c r="I1426" s="276"/>
      <c r="J1426" s="251"/>
      <c r="K1426" s="251"/>
      <c r="L1426" s="251"/>
      <c r="M1426" s="251"/>
      <c r="N1426" s="251"/>
      <c r="O1426" s="251"/>
      <c r="P1426" s="251"/>
      <c r="Q1426" s="251"/>
      <c r="R1426" s="251"/>
      <c r="S1426" s="251"/>
      <c r="T1426" s="251"/>
      <c r="U1426" s="251"/>
      <c r="V1426" s="251"/>
      <c r="W1426" s="251"/>
      <c r="X1426" s="251"/>
      <c r="Y1426" s="251"/>
      <c r="Z1426" s="251"/>
      <c r="AA1426" s="251"/>
      <c r="AB1426" s="251"/>
    </row>
    <row r="1427" ht="14.25" customHeight="1">
      <c r="A1427" s="251"/>
      <c r="B1427" s="263"/>
      <c r="C1427" s="275"/>
      <c r="D1427" s="98"/>
      <c r="E1427" s="240"/>
      <c r="F1427" s="240"/>
      <c r="G1427" s="240"/>
      <c r="H1427" s="240"/>
      <c r="I1427" s="276"/>
      <c r="J1427" s="251"/>
      <c r="K1427" s="251"/>
      <c r="L1427" s="251"/>
      <c r="M1427" s="251"/>
      <c r="N1427" s="251"/>
      <c r="O1427" s="251"/>
      <c r="P1427" s="251"/>
      <c r="Q1427" s="251"/>
      <c r="R1427" s="251"/>
      <c r="S1427" s="251"/>
      <c r="T1427" s="251"/>
      <c r="U1427" s="251"/>
      <c r="V1427" s="251"/>
      <c r="W1427" s="251"/>
      <c r="X1427" s="251"/>
      <c r="Y1427" s="251"/>
      <c r="Z1427" s="251"/>
      <c r="AA1427" s="251"/>
      <c r="AB1427" s="251"/>
    </row>
    <row r="1428" ht="14.25" customHeight="1">
      <c r="A1428" s="251"/>
      <c r="B1428" s="263"/>
      <c r="C1428" s="275"/>
      <c r="D1428" s="98"/>
      <c r="E1428" s="240"/>
      <c r="F1428" s="240"/>
      <c r="G1428" s="240"/>
      <c r="H1428" s="240"/>
      <c r="I1428" s="276"/>
      <c r="J1428" s="251"/>
      <c r="K1428" s="251"/>
      <c r="L1428" s="251"/>
      <c r="M1428" s="251"/>
      <c r="N1428" s="251"/>
      <c r="O1428" s="251"/>
      <c r="P1428" s="251"/>
      <c r="Q1428" s="251"/>
      <c r="R1428" s="251"/>
      <c r="S1428" s="251"/>
      <c r="T1428" s="251"/>
      <c r="U1428" s="251"/>
      <c r="V1428" s="251"/>
      <c r="W1428" s="251"/>
      <c r="X1428" s="251"/>
      <c r="Y1428" s="251"/>
      <c r="Z1428" s="251"/>
      <c r="AA1428" s="251"/>
      <c r="AB1428" s="251"/>
    </row>
    <row r="1429" ht="14.25" customHeight="1">
      <c r="A1429" s="251"/>
      <c r="B1429" s="263"/>
      <c r="C1429" s="275"/>
      <c r="D1429" s="98"/>
      <c r="E1429" s="240"/>
      <c r="F1429" s="240"/>
      <c r="G1429" s="240"/>
      <c r="H1429" s="240"/>
      <c r="I1429" s="276"/>
      <c r="J1429" s="251"/>
      <c r="K1429" s="251"/>
      <c r="L1429" s="251"/>
      <c r="M1429" s="251"/>
      <c r="N1429" s="251"/>
      <c r="O1429" s="251"/>
      <c r="P1429" s="251"/>
      <c r="Q1429" s="251"/>
      <c r="R1429" s="251"/>
      <c r="S1429" s="251"/>
      <c r="T1429" s="251"/>
      <c r="U1429" s="251"/>
      <c r="V1429" s="251"/>
      <c r="W1429" s="251"/>
      <c r="X1429" s="251"/>
      <c r="Y1429" s="251"/>
      <c r="Z1429" s="251"/>
      <c r="AA1429" s="251"/>
      <c r="AB1429" s="251"/>
    </row>
    <row r="1430" ht="14.25" customHeight="1">
      <c r="A1430" s="251"/>
      <c r="B1430" s="263"/>
      <c r="C1430" s="275"/>
      <c r="D1430" s="98"/>
      <c r="E1430" s="240"/>
      <c r="F1430" s="240"/>
      <c r="G1430" s="240"/>
      <c r="H1430" s="240"/>
      <c r="I1430" s="276"/>
      <c r="J1430" s="251"/>
      <c r="K1430" s="251"/>
      <c r="L1430" s="251"/>
      <c r="M1430" s="251"/>
      <c r="N1430" s="251"/>
      <c r="O1430" s="251"/>
      <c r="P1430" s="251"/>
      <c r="Q1430" s="251"/>
      <c r="R1430" s="251"/>
      <c r="S1430" s="251"/>
      <c r="T1430" s="251"/>
      <c r="U1430" s="251"/>
      <c r="V1430" s="251"/>
      <c r="W1430" s="251"/>
      <c r="X1430" s="251"/>
      <c r="Y1430" s="251"/>
      <c r="Z1430" s="251"/>
      <c r="AA1430" s="251"/>
      <c r="AB1430" s="251"/>
    </row>
    <row r="1431" ht="14.25" customHeight="1">
      <c r="A1431" s="251"/>
      <c r="B1431" s="263"/>
      <c r="C1431" s="275"/>
      <c r="D1431" s="98"/>
      <c r="E1431" s="240"/>
      <c r="F1431" s="240"/>
      <c r="G1431" s="240"/>
      <c r="H1431" s="240"/>
      <c r="I1431" s="276"/>
      <c r="J1431" s="251"/>
      <c r="K1431" s="251"/>
      <c r="L1431" s="251"/>
      <c r="M1431" s="251"/>
      <c r="N1431" s="251"/>
      <c r="O1431" s="251"/>
      <c r="P1431" s="251"/>
      <c r="Q1431" s="251"/>
      <c r="R1431" s="251"/>
      <c r="S1431" s="251"/>
      <c r="T1431" s="251"/>
      <c r="U1431" s="251"/>
      <c r="V1431" s="251"/>
      <c r="W1431" s="251"/>
      <c r="X1431" s="251"/>
      <c r="Y1431" s="251"/>
      <c r="Z1431" s="251"/>
      <c r="AA1431" s="251"/>
      <c r="AB1431" s="251"/>
    </row>
    <row r="1432" ht="14.25" customHeight="1">
      <c r="A1432" s="251"/>
      <c r="B1432" s="263"/>
      <c r="C1432" s="275"/>
      <c r="D1432" s="98"/>
      <c r="E1432" s="240"/>
      <c r="F1432" s="240"/>
      <c r="G1432" s="240"/>
      <c r="H1432" s="240"/>
      <c r="I1432" s="276"/>
      <c r="J1432" s="251"/>
      <c r="K1432" s="251"/>
      <c r="L1432" s="251"/>
      <c r="M1432" s="251"/>
      <c r="N1432" s="251"/>
      <c r="O1432" s="251"/>
      <c r="P1432" s="251"/>
      <c r="Q1432" s="251"/>
      <c r="R1432" s="251"/>
      <c r="S1432" s="251"/>
      <c r="T1432" s="251"/>
      <c r="U1432" s="251"/>
      <c r="V1432" s="251"/>
      <c r="W1432" s="251"/>
      <c r="X1432" s="251"/>
      <c r="Y1432" s="251"/>
      <c r="Z1432" s="251"/>
      <c r="AA1432" s="251"/>
      <c r="AB1432" s="251"/>
    </row>
    <row r="1433" ht="14.25" customHeight="1">
      <c r="A1433" s="251"/>
      <c r="B1433" s="263"/>
      <c r="C1433" s="275"/>
      <c r="D1433" s="98"/>
      <c r="E1433" s="240"/>
      <c r="F1433" s="240"/>
      <c r="G1433" s="240"/>
      <c r="H1433" s="240"/>
      <c r="I1433" s="276"/>
      <c r="J1433" s="251"/>
      <c r="K1433" s="251"/>
      <c r="L1433" s="251"/>
      <c r="M1433" s="251"/>
      <c r="N1433" s="251"/>
      <c r="O1433" s="251"/>
      <c r="P1433" s="251"/>
      <c r="Q1433" s="251"/>
      <c r="R1433" s="251"/>
      <c r="S1433" s="251"/>
      <c r="T1433" s="251"/>
      <c r="U1433" s="251"/>
      <c r="V1433" s="251"/>
      <c r="W1433" s="251"/>
      <c r="X1433" s="251"/>
      <c r="Y1433" s="251"/>
      <c r="Z1433" s="251"/>
      <c r="AA1433" s="251"/>
      <c r="AB1433" s="251"/>
    </row>
    <row r="1434" ht="14.25" customHeight="1">
      <c r="A1434" s="251"/>
      <c r="B1434" s="263"/>
      <c r="C1434" s="275"/>
      <c r="D1434" s="98"/>
      <c r="E1434" s="240"/>
      <c r="F1434" s="240"/>
      <c r="G1434" s="240"/>
      <c r="H1434" s="240"/>
      <c r="I1434" s="276"/>
      <c r="J1434" s="251"/>
      <c r="K1434" s="251"/>
      <c r="L1434" s="251"/>
      <c r="M1434" s="251"/>
      <c r="N1434" s="251"/>
      <c r="O1434" s="251"/>
      <c r="P1434" s="251"/>
      <c r="Q1434" s="251"/>
      <c r="R1434" s="251"/>
      <c r="S1434" s="251"/>
      <c r="T1434" s="251"/>
      <c r="U1434" s="251"/>
      <c r="V1434" s="251"/>
      <c r="W1434" s="251"/>
      <c r="X1434" s="251"/>
      <c r="Y1434" s="251"/>
      <c r="Z1434" s="251"/>
      <c r="AA1434" s="251"/>
      <c r="AB1434" s="251"/>
    </row>
    <row r="1435" ht="14.25" customHeight="1">
      <c r="A1435" s="251"/>
      <c r="B1435" s="263"/>
      <c r="C1435" s="275"/>
      <c r="D1435" s="98"/>
      <c r="E1435" s="240"/>
      <c r="F1435" s="240"/>
      <c r="G1435" s="240"/>
      <c r="H1435" s="240"/>
      <c r="I1435" s="276"/>
      <c r="J1435" s="251"/>
      <c r="K1435" s="251"/>
      <c r="L1435" s="251"/>
      <c r="M1435" s="251"/>
      <c r="N1435" s="251"/>
      <c r="O1435" s="251"/>
      <c r="P1435" s="251"/>
      <c r="Q1435" s="251"/>
      <c r="R1435" s="251"/>
      <c r="S1435" s="251"/>
      <c r="T1435" s="251"/>
      <c r="U1435" s="251"/>
      <c r="V1435" s="251"/>
      <c r="W1435" s="251"/>
      <c r="X1435" s="251"/>
      <c r="Y1435" s="251"/>
      <c r="Z1435" s="251"/>
      <c r="AA1435" s="251"/>
      <c r="AB1435" s="251"/>
    </row>
    <row r="1436" ht="14.25" customHeight="1">
      <c r="A1436" s="251"/>
      <c r="B1436" s="263"/>
      <c r="C1436" s="275"/>
      <c r="D1436" s="98"/>
      <c r="E1436" s="240"/>
      <c r="F1436" s="240"/>
      <c r="G1436" s="240"/>
      <c r="H1436" s="240"/>
      <c r="I1436" s="276"/>
      <c r="J1436" s="251"/>
      <c r="K1436" s="251"/>
      <c r="L1436" s="251"/>
      <c r="M1436" s="251"/>
      <c r="N1436" s="251"/>
      <c r="O1436" s="251"/>
      <c r="P1436" s="251"/>
      <c r="Q1436" s="251"/>
      <c r="R1436" s="251"/>
      <c r="S1436" s="251"/>
      <c r="T1436" s="251"/>
      <c r="U1436" s="251"/>
      <c r="V1436" s="251"/>
      <c r="W1436" s="251"/>
      <c r="X1436" s="251"/>
      <c r="Y1436" s="251"/>
      <c r="Z1436" s="251"/>
      <c r="AA1436" s="251"/>
      <c r="AB1436" s="251"/>
    </row>
    <row r="1437" ht="14.25" customHeight="1">
      <c r="A1437" s="251"/>
      <c r="B1437" s="263"/>
      <c r="C1437" s="275"/>
      <c r="D1437" s="98"/>
      <c r="E1437" s="240"/>
      <c r="F1437" s="240"/>
      <c r="G1437" s="240"/>
      <c r="H1437" s="240"/>
      <c r="I1437" s="276"/>
      <c r="J1437" s="251"/>
      <c r="K1437" s="251"/>
      <c r="L1437" s="251"/>
      <c r="M1437" s="251"/>
      <c r="N1437" s="251"/>
      <c r="O1437" s="251"/>
      <c r="P1437" s="251"/>
      <c r="Q1437" s="251"/>
      <c r="R1437" s="251"/>
      <c r="S1437" s="251"/>
      <c r="T1437" s="251"/>
      <c r="U1437" s="251"/>
      <c r="V1437" s="251"/>
      <c r="W1437" s="251"/>
      <c r="X1437" s="251"/>
      <c r="Y1437" s="251"/>
      <c r="Z1437" s="251"/>
      <c r="AA1437" s="251"/>
      <c r="AB1437" s="251"/>
    </row>
    <row r="1438" ht="14.25" customHeight="1">
      <c r="A1438" s="251"/>
      <c r="B1438" s="263"/>
      <c r="C1438" s="275"/>
      <c r="D1438" s="98"/>
      <c r="E1438" s="240"/>
      <c r="F1438" s="240"/>
      <c r="G1438" s="240"/>
      <c r="H1438" s="240"/>
      <c r="I1438" s="276"/>
      <c r="J1438" s="251"/>
      <c r="K1438" s="251"/>
      <c r="L1438" s="251"/>
      <c r="M1438" s="251"/>
      <c r="N1438" s="251"/>
      <c r="O1438" s="251"/>
      <c r="P1438" s="251"/>
      <c r="Q1438" s="251"/>
      <c r="R1438" s="251"/>
      <c r="S1438" s="251"/>
      <c r="T1438" s="251"/>
      <c r="U1438" s="251"/>
      <c r="V1438" s="251"/>
      <c r="W1438" s="251"/>
      <c r="X1438" s="251"/>
      <c r="Y1438" s="251"/>
      <c r="Z1438" s="251"/>
      <c r="AA1438" s="251"/>
      <c r="AB1438" s="251"/>
    </row>
    <row r="1439" ht="14.25" customHeight="1">
      <c r="A1439" s="251"/>
      <c r="B1439" s="263"/>
      <c r="C1439" s="275"/>
      <c r="D1439" s="98"/>
      <c r="E1439" s="240"/>
      <c r="F1439" s="240"/>
      <c r="G1439" s="240"/>
      <c r="H1439" s="240"/>
      <c r="I1439" s="276"/>
      <c r="J1439" s="251"/>
      <c r="K1439" s="251"/>
      <c r="L1439" s="251"/>
      <c r="M1439" s="251"/>
      <c r="N1439" s="251"/>
      <c r="O1439" s="251"/>
      <c r="P1439" s="251"/>
      <c r="Q1439" s="251"/>
      <c r="R1439" s="251"/>
      <c r="S1439" s="251"/>
      <c r="T1439" s="251"/>
      <c r="U1439" s="251"/>
      <c r="V1439" s="251"/>
      <c r="W1439" s="251"/>
      <c r="X1439" s="251"/>
      <c r="Y1439" s="251"/>
      <c r="Z1439" s="251"/>
      <c r="AA1439" s="251"/>
      <c r="AB1439" s="251"/>
    </row>
    <row r="1440" ht="14.25" customHeight="1">
      <c r="A1440" s="251"/>
      <c r="B1440" s="263"/>
      <c r="C1440" s="275"/>
      <c r="D1440" s="98"/>
      <c r="E1440" s="240"/>
      <c r="F1440" s="240"/>
      <c r="G1440" s="240"/>
      <c r="H1440" s="240"/>
      <c r="I1440" s="276"/>
      <c r="J1440" s="251"/>
      <c r="K1440" s="251"/>
      <c r="L1440" s="251"/>
      <c r="M1440" s="251"/>
      <c r="N1440" s="251"/>
      <c r="O1440" s="251"/>
      <c r="P1440" s="251"/>
      <c r="Q1440" s="251"/>
      <c r="R1440" s="251"/>
      <c r="S1440" s="251"/>
      <c r="T1440" s="251"/>
      <c r="U1440" s="251"/>
      <c r="V1440" s="251"/>
      <c r="W1440" s="251"/>
      <c r="X1440" s="251"/>
      <c r="Y1440" s="251"/>
      <c r="Z1440" s="251"/>
      <c r="AA1440" s="251"/>
      <c r="AB1440" s="251"/>
    </row>
    <row r="1441" ht="14.25" customHeight="1">
      <c r="A1441" s="251"/>
      <c r="B1441" s="263"/>
      <c r="C1441" s="275"/>
      <c r="D1441" s="98"/>
      <c r="E1441" s="240"/>
      <c r="F1441" s="240"/>
      <c r="G1441" s="240"/>
      <c r="H1441" s="240"/>
      <c r="I1441" s="276"/>
      <c r="J1441" s="251"/>
      <c r="K1441" s="251"/>
      <c r="L1441" s="251"/>
      <c r="M1441" s="251"/>
      <c r="N1441" s="251"/>
      <c r="O1441" s="251"/>
      <c r="P1441" s="251"/>
      <c r="Q1441" s="251"/>
      <c r="R1441" s="251"/>
      <c r="S1441" s="251"/>
      <c r="T1441" s="251"/>
      <c r="U1441" s="251"/>
      <c r="V1441" s="251"/>
      <c r="W1441" s="251"/>
      <c r="X1441" s="251"/>
      <c r="Y1441" s="251"/>
      <c r="Z1441" s="251"/>
      <c r="AA1441" s="251"/>
      <c r="AB1441" s="251"/>
    </row>
    <row r="1442" ht="14.25" customHeight="1">
      <c r="A1442" s="251"/>
      <c r="B1442" s="263"/>
      <c r="C1442" s="275"/>
      <c r="D1442" s="98"/>
      <c r="E1442" s="240"/>
      <c r="F1442" s="240"/>
      <c r="G1442" s="240"/>
      <c r="H1442" s="240"/>
      <c r="I1442" s="276"/>
      <c r="J1442" s="251"/>
      <c r="K1442" s="251"/>
      <c r="L1442" s="251"/>
      <c r="M1442" s="251"/>
      <c r="N1442" s="251"/>
      <c r="O1442" s="251"/>
      <c r="P1442" s="251"/>
      <c r="Q1442" s="251"/>
      <c r="R1442" s="251"/>
      <c r="S1442" s="251"/>
      <c r="T1442" s="251"/>
      <c r="U1442" s="251"/>
      <c r="V1442" s="251"/>
      <c r="W1442" s="251"/>
      <c r="X1442" s="251"/>
      <c r="Y1442" s="251"/>
      <c r="Z1442" s="251"/>
      <c r="AA1442" s="251"/>
      <c r="AB1442" s="251"/>
    </row>
    <row r="1443" ht="14.25" customHeight="1">
      <c r="A1443" s="251"/>
      <c r="B1443" s="263"/>
      <c r="C1443" s="275"/>
      <c r="D1443" s="98"/>
      <c r="E1443" s="240"/>
      <c r="F1443" s="240"/>
      <c r="G1443" s="240"/>
      <c r="H1443" s="240"/>
      <c r="I1443" s="276"/>
      <c r="J1443" s="251"/>
      <c r="K1443" s="251"/>
      <c r="L1443" s="251"/>
      <c r="M1443" s="251"/>
      <c r="N1443" s="251"/>
      <c r="O1443" s="251"/>
      <c r="P1443" s="251"/>
      <c r="Q1443" s="251"/>
      <c r="R1443" s="251"/>
      <c r="S1443" s="251"/>
      <c r="T1443" s="251"/>
      <c r="U1443" s="251"/>
      <c r="V1443" s="251"/>
      <c r="W1443" s="251"/>
      <c r="X1443" s="251"/>
      <c r="Y1443" s="251"/>
      <c r="Z1443" s="251"/>
      <c r="AA1443" s="251"/>
      <c r="AB1443" s="251"/>
    </row>
    <row r="1444" ht="14.25" customHeight="1">
      <c r="A1444" s="251"/>
      <c r="B1444" s="263"/>
      <c r="C1444" s="275"/>
      <c r="D1444" s="98"/>
      <c r="E1444" s="240"/>
      <c r="F1444" s="240"/>
      <c r="G1444" s="240"/>
      <c r="H1444" s="240"/>
      <c r="I1444" s="276"/>
      <c r="J1444" s="251"/>
      <c r="K1444" s="251"/>
      <c r="L1444" s="251"/>
      <c r="M1444" s="251"/>
      <c r="N1444" s="251"/>
      <c r="O1444" s="251"/>
      <c r="P1444" s="251"/>
      <c r="Q1444" s="251"/>
      <c r="R1444" s="251"/>
      <c r="S1444" s="251"/>
      <c r="T1444" s="251"/>
      <c r="U1444" s="251"/>
      <c r="V1444" s="251"/>
      <c r="W1444" s="251"/>
      <c r="X1444" s="251"/>
      <c r="Y1444" s="251"/>
      <c r="Z1444" s="251"/>
      <c r="AA1444" s="251"/>
      <c r="AB1444" s="251"/>
    </row>
    <row r="1445" ht="14.25" customHeight="1">
      <c r="A1445" s="251"/>
      <c r="B1445" s="263"/>
      <c r="C1445" s="275"/>
      <c r="D1445" s="98"/>
      <c r="E1445" s="240"/>
      <c r="F1445" s="240"/>
      <c r="G1445" s="240"/>
      <c r="H1445" s="240"/>
      <c r="I1445" s="276"/>
      <c r="J1445" s="251"/>
      <c r="K1445" s="251"/>
      <c r="L1445" s="251"/>
      <c r="M1445" s="251"/>
      <c r="N1445" s="251"/>
      <c r="O1445" s="251"/>
      <c r="P1445" s="251"/>
      <c r="Q1445" s="251"/>
      <c r="R1445" s="251"/>
      <c r="S1445" s="251"/>
      <c r="T1445" s="251"/>
      <c r="U1445" s="251"/>
      <c r="V1445" s="251"/>
      <c r="W1445" s="251"/>
      <c r="X1445" s="251"/>
      <c r="Y1445" s="251"/>
      <c r="Z1445" s="251"/>
      <c r="AA1445" s="251"/>
      <c r="AB1445" s="251"/>
    </row>
    <row r="1446" ht="14.25" customHeight="1">
      <c r="A1446" s="251"/>
      <c r="B1446" s="263"/>
      <c r="C1446" s="275"/>
      <c r="D1446" s="98"/>
      <c r="E1446" s="240"/>
      <c r="F1446" s="240"/>
      <c r="G1446" s="240"/>
      <c r="H1446" s="240"/>
      <c r="I1446" s="276"/>
      <c r="J1446" s="251"/>
      <c r="K1446" s="251"/>
      <c r="L1446" s="251"/>
      <c r="M1446" s="251"/>
      <c r="N1446" s="251"/>
      <c r="O1446" s="251"/>
      <c r="P1446" s="251"/>
      <c r="Q1446" s="251"/>
      <c r="R1446" s="251"/>
      <c r="S1446" s="251"/>
      <c r="T1446" s="251"/>
      <c r="U1446" s="251"/>
      <c r="V1446" s="251"/>
      <c r="W1446" s="251"/>
      <c r="X1446" s="251"/>
      <c r="Y1446" s="251"/>
      <c r="Z1446" s="251"/>
      <c r="AA1446" s="251"/>
      <c r="AB1446" s="251"/>
    </row>
    <row r="1447" ht="14.25" customHeight="1">
      <c r="A1447" s="251"/>
      <c r="B1447" s="263"/>
      <c r="C1447" s="275"/>
      <c r="D1447" s="98"/>
      <c r="E1447" s="240"/>
      <c r="F1447" s="240"/>
      <c r="G1447" s="240"/>
      <c r="H1447" s="240"/>
      <c r="I1447" s="276"/>
      <c r="J1447" s="251"/>
      <c r="K1447" s="251"/>
      <c r="L1447" s="251"/>
      <c r="M1447" s="251"/>
      <c r="N1447" s="251"/>
      <c r="O1447" s="251"/>
      <c r="P1447" s="251"/>
      <c r="Q1447" s="251"/>
      <c r="R1447" s="251"/>
      <c r="S1447" s="251"/>
      <c r="T1447" s="251"/>
      <c r="U1447" s="251"/>
      <c r="V1447" s="251"/>
      <c r="W1447" s="251"/>
      <c r="X1447" s="251"/>
      <c r="Y1447" s="251"/>
      <c r="Z1447" s="251"/>
      <c r="AA1447" s="251"/>
      <c r="AB1447" s="251"/>
    </row>
    <row r="1448" ht="14.25" customHeight="1">
      <c r="A1448" s="251"/>
      <c r="B1448" s="263"/>
      <c r="C1448" s="275"/>
      <c r="D1448" s="98"/>
      <c r="E1448" s="240"/>
      <c r="F1448" s="240"/>
      <c r="G1448" s="240"/>
      <c r="H1448" s="240"/>
      <c r="I1448" s="276"/>
      <c r="J1448" s="251"/>
      <c r="K1448" s="251"/>
      <c r="L1448" s="251"/>
      <c r="M1448" s="251"/>
      <c r="N1448" s="251"/>
      <c r="O1448" s="251"/>
      <c r="P1448" s="251"/>
      <c r="Q1448" s="251"/>
      <c r="R1448" s="251"/>
      <c r="S1448" s="251"/>
      <c r="T1448" s="251"/>
      <c r="U1448" s="251"/>
      <c r="V1448" s="251"/>
      <c r="W1448" s="251"/>
      <c r="X1448" s="251"/>
      <c r="Y1448" s="251"/>
      <c r="Z1448" s="251"/>
      <c r="AA1448" s="251"/>
      <c r="AB1448" s="251"/>
    </row>
    <row r="1449" ht="14.25" customHeight="1">
      <c r="A1449" s="251"/>
      <c r="B1449" s="263"/>
      <c r="C1449" s="275"/>
      <c r="D1449" s="98"/>
      <c r="E1449" s="240"/>
      <c r="F1449" s="240"/>
      <c r="G1449" s="240"/>
      <c r="H1449" s="240"/>
      <c r="I1449" s="276"/>
      <c r="J1449" s="251"/>
      <c r="K1449" s="251"/>
      <c r="L1449" s="251"/>
      <c r="M1449" s="251"/>
      <c r="N1449" s="251"/>
      <c r="O1449" s="251"/>
      <c r="P1449" s="251"/>
      <c r="Q1449" s="251"/>
      <c r="R1449" s="251"/>
      <c r="S1449" s="251"/>
      <c r="T1449" s="251"/>
      <c r="U1449" s="251"/>
      <c r="V1449" s="251"/>
      <c r="W1449" s="251"/>
      <c r="X1449" s="251"/>
      <c r="Y1449" s="251"/>
      <c r="Z1449" s="251"/>
      <c r="AA1449" s="251"/>
      <c r="AB1449" s="251"/>
    </row>
    <row r="1450" ht="14.25" customHeight="1">
      <c r="A1450" s="251"/>
      <c r="B1450" s="263"/>
      <c r="C1450" s="275"/>
      <c r="D1450" s="98"/>
      <c r="E1450" s="240"/>
      <c r="F1450" s="240"/>
      <c r="G1450" s="240"/>
      <c r="H1450" s="240"/>
      <c r="I1450" s="276"/>
      <c r="J1450" s="251"/>
      <c r="K1450" s="251"/>
      <c r="L1450" s="251"/>
      <c r="M1450" s="251"/>
      <c r="N1450" s="251"/>
      <c r="O1450" s="251"/>
      <c r="P1450" s="251"/>
      <c r="Q1450" s="251"/>
      <c r="R1450" s="251"/>
      <c r="S1450" s="251"/>
      <c r="T1450" s="251"/>
      <c r="U1450" s="251"/>
      <c r="V1450" s="251"/>
      <c r="W1450" s="251"/>
      <c r="X1450" s="251"/>
      <c r="Y1450" s="251"/>
      <c r="Z1450" s="251"/>
      <c r="AA1450" s="251"/>
      <c r="AB1450" s="251"/>
    </row>
    <row r="1451" ht="14.25" customHeight="1">
      <c r="A1451" s="251"/>
      <c r="B1451" s="263"/>
      <c r="C1451" s="275"/>
      <c r="D1451" s="98"/>
      <c r="E1451" s="240"/>
      <c r="F1451" s="240"/>
      <c r="G1451" s="240"/>
      <c r="H1451" s="240"/>
      <c r="I1451" s="276"/>
      <c r="J1451" s="251"/>
      <c r="K1451" s="251"/>
      <c r="L1451" s="251"/>
      <c r="M1451" s="251"/>
      <c r="N1451" s="251"/>
      <c r="O1451" s="251"/>
      <c r="P1451" s="251"/>
      <c r="Q1451" s="251"/>
      <c r="R1451" s="251"/>
      <c r="S1451" s="251"/>
      <c r="T1451" s="251"/>
      <c r="U1451" s="251"/>
      <c r="V1451" s="251"/>
      <c r="W1451" s="251"/>
      <c r="X1451" s="251"/>
      <c r="Y1451" s="251"/>
      <c r="Z1451" s="251"/>
      <c r="AA1451" s="251"/>
      <c r="AB1451" s="251"/>
    </row>
    <row r="1452" ht="14.25" customHeight="1">
      <c r="A1452" s="251"/>
      <c r="B1452" s="263"/>
      <c r="C1452" s="275"/>
      <c r="D1452" s="98"/>
      <c r="E1452" s="240"/>
      <c r="F1452" s="240"/>
      <c r="G1452" s="240"/>
      <c r="H1452" s="240"/>
      <c r="I1452" s="276"/>
      <c r="J1452" s="251"/>
      <c r="K1452" s="251"/>
      <c r="L1452" s="251"/>
      <c r="M1452" s="251"/>
      <c r="N1452" s="251"/>
      <c r="O1452" s="251"/>
      <c r="P1452" s="251"/>
      <c r="Q1452" s="251"/>
      <c r="R1452" s="251"/>
      <c r="S1452" s="251"/>
      <c r="T1452" s="251"/>
      <c r="U1452" s="251"/>
      <c r="V1452" s="251"/>
      <c r="W1452" s="251"/>
      <c r="X1452" s="251"/>
      <c r="Y1452" s="251"/>
      <c r="Z1452" s="251"/>
      <c r="AA1452" s="251"/>
      <c r="AB1452" s="251"/>
    </row>
    <row r="1453" ht="14.25" customHeight="1">
      <c r="A1453" s="251"/>
      <c r="B1453" s="263"/>
      <c r="C1453" s="275"/>
      <c r="D1453" s="98"/>
      <c r="E1453" s="240"/>
      <c r="F1453" s="240"/>
      <c r="G1453" s="240"/>
      <c r="H1453" s="240"/>
      <c r="I1453" s="276"/>
      <c r="J1453" s="251"/>
      <c r="K1453" s="251"/>
      <c r="L1453" s="251"/>
      <c r="M1453" s="251"/>
      <c r="N1453" s="251"/>
      <c r="O1453" s="251"/>
      <c r="P1453" s="251"/>
      <c r="Q1453" s="251"/>
      <c r="R1453" s="251"/>
      <c r="S1453" s="251"/>
      <c r="T1453" s="251"/>
      <c r="U1453" s="251"/>
      <c r="V1453" s="251"/>
      <c r="W1453" s="251"/>
      <c r="X1453" s="251"/>
      <c r="Y1453" s="251"/>
      <c r="Z1453" s="251"/>
      <c r="AA1453" s="251"/>
      <c r="AB1453" s="251"/>
    </row>
    <row r="1454" ht="14.25" customHeight="1">
      <c r="A1454" s="251"/>
      <c r="B1454" s="263"/>
      <c r="C1454" s="275"/>
      <c r="D1454" s="98"/>
      <c r="E1454" s="240"/>
      <c r="F1454" s="240"/>
      <c r="G1454" s="240"/>
      <c r="H1454" s="240"/>
      <c r="I1454" s="276"/>
      <c r="J1454" s="251"/>
      <c r="K1454" s="251"/>
      <c r="L1454" s="251"/>
      <c r="M1454" s="251"/>
      <c r="N1454" s="251"/>
      <c r="O1454" s="251"/>
      <c r="P1454" s="251"/>
      <c r="Q1454" s="251"/>
      <c r="R1454" s="251"/>
      <c r="S1454" s="251"/>
      <c r="T1454" s="251"/>
      <c r="U1454" s="251"/>
      <c r="V1454" s="251"/>
      <c r="W1454" s="251"/>
      <c r="X1454" s="251"/>
      <c r="Y1454" s="251"/>
      <c r="Z1454" s="251"/>
      <c r="AA1454" s="251"/>
      <c r="AB1454" s="251"/>
    </row>
    <row r="1455" ht="14.25" customHeight="1">
      <c r="A1455" s="251"/>
      <c r="B1455" s="263"/>
      <c r="C1455" s="275"/>
      <c r="D1455" s="98"/>
      <c r="E1455" s="240"/>
      <c r="F1455" s="240"/>
      <c r="G1455" s="240"/>
      <c r="H1455" s="240"/>
      <c r="I1455" s="276"/>
      <c r="J1455" s="251"/>
      <c r="K1455" s="251"/>
      <c r="L1455" s="251"/>
      <c r="M1455" s="251"/>
      <c r="N1455" s="251"/>
      <c r="O1455" s="251"/>
      <c r="P1455" s="251"/>
      <c r="Q1455" s="251"/>
      <c r="R1455" s="251"/>
      <c r="S1455" s="251"/>
      <c r="T1455" s="251"/>
      <c r="U1455" s="251"/>
      <c r="V1455" s="251"/>
      <c r="W1455" s="251"/>
      <c r="X1455" s="251"/>
      <c r="Y1455" s="251"/>
      <c r="Z1455" s="251"/>
      <c r="AA1455" s="251"/>
      <c r="AB1455" s="251"/>
    </row>
    <row r="1456" ht="14.25" customHeight="1">
      <c r="A1456" s="251"/>
      <c r="B1456" s="263"/>
      <c r="C1456" s="275"/>
      <c r="D1456" s="98"/>
      <c r="E1456" s="240"/>
      <c r="F1456" s="240"/>
      <c r="G1456" s="240"/>
      <c r="H1456" s="240"/>
      <c r="I1456" s="276"/>
      <c r="J1456" s="251"/>
      <c r="K1456" s="251"/>
      <c r="L1456" s="251"/>
      <c r="M1456" s="251"/>
      <c r="N1456" s="251"/>
      <c r="O1456" s="251"/>
      <c r="P1456" s="251"/>
      <c r="Q1456" s="251"/>
      <c r="R1456" s="251"/>
      <c r="S1456" s="251"/>
      <c r="T1456" s="251"/>
      <c r="U1456" s="251"/>
      <c r="V1456" s="251"/>
      <c r="W1456" s="251"/>
      <c r="X1456" s="251"/>
      <c r="Y1456" s="251"/>
      <c r="Z1456" s="251"/>
      <c r="AA1456" s="251"/>
      <c r="AB1456" s="251"/>
    </row>
    <row r="1457" ht="14.25" customHeight="1">
      <c r="A1457" s="251"/>
      <c r="B1457" s="263"/>
      <c r="C1457" s="275"/>
      <c r="D1457" s="98"/>
      <c r="E1457" s="240"/>
      <c r="F1457" s="240"/>
      <c r="G1457" s="240"/>
      <c r="H1457" s="240"/>
      <c r="I1457" s="276"/>
      <c r="J1457" s="251"/>
      <c r="K1457" s="251"/>
      <c r="L1457" s="251"/>
      <c r="M1457" s="251"/>
      <c r="N1457" s="251"/>
      <c r="O1457" s="251"/>
      <c r="P1457" s="251"/>
      <c r="Q1457" s="251"/>
      <c r="R1457" s="251"/>
      <c r="S1457" s="251"/>
      <c r="T1457" s="251"/>
      <c r="U1457" s="251"/>
      <c r="V1457" s="251"/>
      <c r="W1457" s="251"/>
      <c r="X1457" s="251"/>
      <c r="Y1457" s="251"/>
      <c r="Z1457" s="251"/>
      <c r="AA1457" s="251"/>
      <c r="AB1457" s="251"/>
    </row>
    <row r="1458" ht="14.25" customHeight="1">
      <c r="A1458" s="251"/>
      <c r="B1458" s="263"/>
      <c r="C1458" s="275"/>
      <c r="D1458" s="98"/>
      <c r="E1458" s="240"/>
      <c r="F1458" s="240"/>
      <c r="G1458" s="240"/>
      <c r="H1458" s="240"/>
      <c r="I1458" s="276"/>
      <c r="J1458" s="251"/>
      <c r="K1458" s="251"/>
      <c r="L1458" s="251"/>
      <c r="M1458" s="251"/>
      <c r="N1458" s="251"/>
      <c r="O1458" s="251"/>
      <c r="P1458" s="251"/>
      <c r="Q1458" s="251"/>
      <c r="R1458" s="251"/>
      <c r="S1458" s="251"/>
      <c r="T1458" s="251"/>
      <c r="U1458" s="251"/>
      <c r="V1458" s="251"/>
      <c r="W1458" s="251"/>
      <c r="X1458" s="251"/>
      <c r="Y1458" s="251"/>
      <c r="Z1458" s="251"/>
      <c r="AA1458" s="251"/>
      <c r="AB1458" s="251"/>
    </row>
    <row r="1459" ht="14.25" customHeight="1">
      <c r="A1459" s="251"/>
      <c r="B1459" s="263"/>
      <c r="C1459" s="275"/>
      <c r="D1459" s="98"/>
      <c r="E1459" s="240"/>
      <c r="F1459" s="240"/>
      <c r="G1459" s="240"/>
      <c r="H1459" s="240"/>
      <c r="I1459" s="276"/>
      <c r="J1459" s="251"/>
      <c r="K1459" s="251"/>
      <c r="L1459" s="251"/>
      <c r="M1459" s="251"/>
      <c r="N1459" s="251"/>
      <c r="O1459" s="251"/>
      <c r="P1459" s="251"/>
      <c r="Q1459" s="251"/>
      <c r="R1459" s="251"/>
      <c r="S1459" s="251"/>
      <c r="T1459" s="251"/>
      <c r="U1459" s="251"/>
      <c r="V1459" s="251"/>
      <c r="W1459" s="251"/>
      <c r="X1459" s="251"/>
      <c r="Y1459" s="251"/>
      <c r="Z1459" s="251"/>
      <c r="AA1459" s="251"/>
      <c r="AB1459" s="251"/>
    </row>
    <row r="1460" ht="14.25" customHeight="1">
      <c r="A1460" s="251"/>
      <c r="B1460" s="263"/>
      <c r="C1460" s="275"/>
      <c r="D1460" s="98"/>
      <c r="E1460" s="240"/>
      <c r="F1460" s="240"/>
      <c r="G1460" s="240"/>
      <c r="H1460" s="240"/>
      <c r="I1460" s="276"/>
      <c r="J1460" s="251"/>
      <c r="K1460" s="251"/>
      <c r="L1460" s="251"/>
      <c r="M1460" s="251"/>
      <c r="N1460" s="251"/>
      <c r="O1460" s="251"/>
      <c r="P1460" s="251"/>
      <c r="Q1460" s="251"/>
      <c r="R1460" s="251"/>
      <c r="S1460" s="251"/>
      <c r="T1460" s="251"/>
      <c r="U1460" s="251"/>
      <c r="V1460" s="251"/>
      <c r="W1460" s="251"/>
      <c r="X1460" s="251"/>
      <c r="Y1460" s="251"/>
      <c r="Z1460" s="251"/>
      <c r="AA1460" s="251"/>
      <c r="AB1460" s="251"/>
    </row>
    <row r="1461" ht="14.25" customHeight="1">
      <c r="A1461" s="251"/>
      <c r="B1461" s="263"/>
      <c r="C1461" s="275"/>
      <c r="D1461" s="98"/>
      <c r="E1461" s="240"/>
      <c r="F1461" s="240"/>
      <c r="G1461" s="240"/>
      <c r="H1461" s="240"/>
      <c r="I1461" s="276"/>
      <c r="J1461" s="251"/>
      <c r="K1461" s="251"/>
      <c r="L1461" s="251"/>
      <c r="M1461" s="251"/>
      <c r="N1461" s="251"/>
      <c r="O1461" s="251"/>
      <c r="P1461" s="251"/>
      <c r="Q1461" s="251"/>
      <c r="R1461" s="251"/>
      <c r="S1461" s="251"/>
      <c r="T1461" s="251"/>
      <c r="U1461" s="251"/>
      <c r="V1461" s="251"/>
      <c r="W1461" s="251"/>
      <c r="X1461" s="251"/>
      <c r="Y1461" s="251"/>
      <c r="Z1461" s="251"/>
      <c r="AA1461" s="251"/>
      <c r="AB1461" s="251"/>
    </row>
    <row r="1462" ht="14.25" customHeight="1">
      <c r="A1462" s="251"/>
      <c r="B1462" s="263"/>
      <c r="C1462" s="275"/>
      <c r="D1462" s="98"/>
      <c r="E1462" s="240"/>
      <c r="F1462" s="240"/>
      <c r="G1462" s="240"/>
      <c r="H1462" s="240"/>
      <c r="I1462" s="276"/>
      <c r="J1462" s="251"/>
      <c r="K1462" s="251"/>
      <c r="L1462" s="251"/>
      <c r="M1462" s="251"/>
      <c r="N1462" s="251"/>
      <c r="O1462" s="251"/>
      <c r="P1462" s="251"/>
      <c r="Q1462" s="251"/>
      <c r="R1462" s="251"/>
      <c r="S1462" s="251"/>
      <c r="T1462" s="251"/>
      <c r="U1462" s="251"/>
      <c r="V1462" s="251"/>
      <c r="W1462" s="251"/>
      <c r="X1462" s="251"/>
      <c r="Y1462" s="251"/>
      <c r="Z1462" s="251"/>
      <c r="AA1462" s="251"/>
      <c r="AB1462" s="251"/>
    </row>
    <row r="1463" ht="14.25" customHeight="1">
      <c r="A1463" s="251"/>
      <c r="B1463" s="263"/>
      <c r="C1463" s="275"/>
      <c r="D1463" s="98"/>
      <c r="E1463" s="240"/>
      <c r="F1463" s="240"/>
      <c r="G1463" s="240"/>
      <c r="H1463" s="240"/>
      <c r="I1463" s="276"/>
      <c r="J1463" s="251"/>
      <c r="K1463" s="251"/>
      <c r="L1463" s="251"/>
      <c r="M1463" s="251"/>
      <c r="N1463" s="251"/>
      <c r="O1463" s="251"/>
      <c r="P1463" s="251"/>
      <c r="Q1463" s="251"/>
      <c r="R1463" s="251"/>
      <c r="S1463" s="251"/>
      <c r="T1463" s="251"/>
      <c r="U1463" s="251"/>
      <c r="V1463" s="251"/>
      <c r="W1463" s="251"/>
      <c r="X1463" s="251"/>
      <c r="Y1463" s="251"/>
      <c r="Z1463" s="251"/>
      <c r="AA1463" s="251"/>
      <c r="AB1463" s="251"/>
    </row>
    <row r="1464" ht="14.25" customHeight="1">
      <c r="A1464" s="251"/>
      <c r="B1464" s="263"/>
      <c r="C1464" s="275"/>
      <c r="D1464" s="98"/>
      <c r="E1464" s="240"/>
      <c r="F1464" s="240"/>
      <c r="G1464" s="240"/>
      <c r="H1464" s="240"/>
      <c r="I1464" s="276"/>
      <c r="J1464" s="251"/>
      <c r="K1464" s="251"/>
      <c r="L1464" s="251"/>
      <c r="M1464" s="251"/>
      <c r="N1464" s="251"/>
      <c r="O1464" s="251"/>
      <c r="P1464" s="251"/>
      <c r="Q1464" s="251"/>
      <c r="R1464" s="251"/>
      <c r="S1464" s="251"/>
      <c r="T1464" s="251"/>
      <c r="U1464" s="251"/>
      <c r="V1464" s="251"/>
      <c r="W1464" s="251"/>
      <c r="X1464" s="251"/>
      <c r="Y1464" s="251"/>
      <c r="Z1464" s="251"/>
      <c r="AA1464" s="251"/>
      <c r="AB1464" s="251"/>
    </row>
    <row r="1465" ht="14.25" customHeight="1">
      <c r="A1465" s="251"/>
      <c r="B1465" s="263"/>
      <c r="C1465" s="275"/>
      <c r="D1465" s="98"/>
      <c r="E1465" s="240"/>
      <c r="F1465" s="240"/>
      <c r="G1465" s="240"/>
      <c r="H1465" s="240"/>
      <c r="I1465" s="276"/>
      <c r="J1465" s="251"/>
      <c r="K1465" s="251"/>
      <c r="L1465" s="251"/>
      <c r="M1465" s="251"/>
      <c r="N1465" s="251"/>
      <c r="O1465" s="251"/>
      <c r="P1465" s="251"/>
      <c r="Q1465" s="251"/>
      <c r="R1465" s="251"/>
      <c r="S1465" s="251"/>
      <c r="T1465" s="251"/>
      <c r="U1465" s="251"/>
      <c r="V1465" s="251"/>
      <c r="W1465" s="251"/>
      <c r="X1465" s="251"/>
      <c r="Y1465" s="251"/>
      <c r="Z1465" s="251"/>
      <c r="AA1465" s="251"/>
      <c r="AB1465" s="251"/>
    </row>
    <row r="1466" ht="14.25" customHeight="1">
      <c r="A1466" s="251"/>
      <c r="B1466" s="263"/>
      <c r="C1466" s="275"/>
      <c r="D1466" s="98"/>
      <c r="E1466" s="240"/>
      <c r="F1466" s="240"/>
      <c r="G1466" s="240"/>
      <c r="H1466" s="240"/>
      <c r="I1466" s="276"/>
      <c r="J1466" s="251"/>
      <c r="K1466" s="251"/>
      <c r="L1466" s="251"/>
      <c r="M1466" s="251"/>
      <c r="N1466" s="251"/>
      <c r="O1466" s="251"/>
      <c r="P1466" s="251"/>
      <c r="Q1466" s="251"/>
      <c r="R1466" s="251"/>
      <c r="S1466" s="251"/>
      <c r="T1466" s="251"/>
      <c r="U1466" s="251"/>
      <c r="V1466" s="251"/>
      <c r="W1466" s="251"/>
      <c r="X1466" s="251"/>
      <c r="Y1466" s="251"/>
      <c r="Z1466" s="251"/>
      <c r="AA1466" s="251"/>
      <c r="AB1466" s="251"/>
    </row>
    <row r="1467" ht="14.25" customHeight="1">
      <c r="A1467" s="251"/>
      <c r="B1467" s="263"/>
      <c r="C1467" s="275"/>
      <c r="D1467" s="98"/>
      <c r="E1467" s="240"/>
      <c r="F1467" s="240"/>
      <c r="G1467" s="240"/>
      <c r="H1467" s="240"/>
      <c r="I1467" s="276"/>
      <c r="J1467" s="251"/>
      <c r="K1467" s="251"/>
      <c r="L1467" s="251"/>
      <c r="M1467" s="251"/>
      <c r="N1467" s="251"/>
      <c r="O1467" s="251"/>
      <c r="P1467" s="251"/>
      <c r="Q1467" s="251"/>
      <c r="R1467" s="251"/>
      <c r="S1467" s="251"/>
      <c r="T1467" s="251"/>
      <c r="U1467" s="251"/>
      <c r="V1467" s="251"/>
      <c r="W1467" s="251"/>
      <c r="X1467" s="251"/>
      <c r="Y1467" s="251"/>
      <c r="Z1467" s="251"/>
      <c r="AA1467" s="251"/>
      <c r="AB1467" s="251"/>
    </row>
    <row r="1468" ht="14.25" customHeight="1">
      <c r="A1468" s="251"/>
      <c r="B1468" s="263"/>
      <c r="C1468" s="275"/>
      <c r="D1468" s="98"/>
      <c r="E1468" s="240"/>
      <c r="F1468" s="240"/>
      <c r="G1468" s="240"/>
      <c r="H1468" s="240"/>
      <c r="I1468" s="276"/>
      <c r="J1468" s="251"/>
      <c r="K1468" s="251"/>
      <c r="L1468" s="251"/>
      <c r="M1468" s="251"/>
      <c r="N1468" s="251"/>
      <c r="O1468" s="251"/>
      <c r="P1468" s="251"/>
      <c r="Q1468" s="251"/>
      <c r="R1468" s="251"/>
      <c r="S1468" s="251"/>
      <c r="T1468" s="251"/>
      <c r="U1468" s="251"/>
      <c r="V1468" s="251"/>
      <c r="W1468" s="251"/>
      <c r="X1468" s="251"/>
      <c r="Y1468" s="251"/>
      <c r="Z1468" s="251"/>
      <c r="AA1468" s="251"/>
      <c r="AB1468" s="251"/>
    </row>
    <row r="1469" ht="14.25" customHeight="1">
      <c r="A1469" s="251"/>
      <c r="B1469" s="263"/>
      <c r="C1469" s="275"/>
      <c r="D1469" s="98"/>
      <c r="E1469" s="240"/>
      <c r="F1469" s="240"/>
      <c r="G1469" s="240"/>
      <c r="H1469" s="240"/>
      <c r="I1469" s="276"/>
      <c r="J1469" s="251"/>
      <c r="K1469" s="251"/>
      <c r="L1469" s="251"/>
      <c r="M1469" s="251"/>
      <c r="N1469" s="251"/>
      <c r="O1469" s="251"/>
      <c r="P1469" s="251"/>
      <c r="Q1469" s="251"/>
      <c r="R1469" s="251"/>
      <c r="S1469" s="251"/>
      <c r="T1469" s="251"/>
      <c r="U1469" s="251"/>
      <c r="V1469" s="251"/>
      <c r="W1469" s="251"/>
      <c r="X1469" s="251"/>
      <c r="Y1469" s="251"/>
      <c r="Z1469" s="251"/>
      <c r="AA1469" s="251"/>
      <c r="AB1469" s="251"/>
    </row>
    <row r="1470" ht="14.25" customHeight="1">
      <c r="A1470" s="251"/>
      <c r="B1470" s="263"/>
      <c r="C1470" s="275"/>
      <c r="D1470" s="98"/>
      <c r="E1470" s="240"/>
      <c r="F1470" s="240"/>
      <c r="G1470" s="240"/>
      <c r="H1470" s="240"/>
      <c r="I1470" s="276"/>
      <c r="J1470" s="251"/>
      <c r="K1470" s="251"/>
      <c r="L1470" s="251"/>
      <c r="M1470" s="251"/>
      <c r="N1470" s="251"/>
      <c r="O1470" s="251"/>
      <c r="P1470" s="251"/>
      <c r="Q1470" s="251"/>
      <c r="R1470" s="251"/>
      <c r="S1470" s="251"/>
      <c r="T1470" s="251"/>
      <c r="U1470" s="251"/>
      <c r="V1470" s="251"/>
      <c r="W1470" s="251"/>
      <c r="X1470" s="251"/>
      <c r="Y1470" s="251"/>
      <c r="Z1470" s="251"/>
      <c r="AA1470" s="251"/>
      <c r="AB1470" s="251"/>
    </row>
    <row r="1471" ht="14.25" customHeight="1">
      <c r="A1471" s="251"/>
      <c r="B1471" s="263"/>
      <c r="C1471" s="275"/>
      <c r="D1471" s="98"/>
      <c r="E1471" s="240"/>
      <c r="F1471" s="240"/>
      <c r="G1471" s="240"/>
      <c r="H1471" s="240"/>
      <c r="I1471" s="276"/>
      <c r="J1471" s="251"/>
      <c r="K1471" s="251"/>
      <c r="L1471" s="251"/>
      <c r="M1471" s="251"/>
      <c r="N1471" s="251"/>
      <c r="O1471" s="251"/>
      <c r="P1471" s="251"/>
      <c r="Q1471" s="251"/>
      <c r="R1471" s="251"/>
      <c r="S1471" s="251"/>
      <c r="T1471" s="251"/>
      <c r="U1471" s="251"/>
      <c r="V1471" s="251"/>
      <c r="W1471" s="251"/>
      <c r="X1471" s="251"/>
      <c r="Y1471" s="251"/>
      <c r="Z1471" s="251"/>
      <c r="AA1471" s="251"/>
      <c r="AB1471" s="251"/>
    </row>
    <row r="1472" ht="14.25" customHeight="1">
      <c r="A1472" s="251"/>
      <c r="B1472" s="263"/>
      <c r="C1472" s="275"/>
      <c r="D1472" s="98"/>
      <c r="E1472" s="240"/>
      <c r="F1472" s="240"/>
      <c r="G1472" s="240"/>
      <c r="H1472" s="240"/>
      <c r="I1472" s="276"/>
      <c r="J1472" s="251"/>
      <c r="K1472" s="251"/>
      <c r="L1472" s="251"/>
      <c r="M1472" s="251"/>
      <c r="N1472" s="251"/>
      <c r="O1472" s="251"/>
      <c r="P1472" s="251"/>
      <c r="Q1472" s="251"/>
      <c r="R1472" s="251"/>
      <c r="S1472" s="251"/>
      <c r="T1472" s="251"/>
      <c r="U1472" s="251"/>
      <c r="V1472" s="251"/>
      <c r="W1472" s="251"/>
      <c r="X1472" s="251"/>
      <c r="Y1472" s="251"/>
      <c r="Z1472" s="251"/>
      <c r="AA1472" s="251"/>
      <c r="AB1472" s="251"/>
    </row>
    <row r="1473" ht="14.25" customHeight="1">
      <c r="A1473" s="251"/>
      <c r="B1473" s="263"/>
      <c r="C1473" s="275"/>
      <c r="D1473" s="98"/>
      <c r="E1473" s="240"/>
      <c r="F1473" s="240"/>
      <c r="G1473" s="240"/>
      <c r="H1473" s="240"/>
      <c r="I1473" s="276"/>
      <c r="J1473" s="251"/>
      <c r="K1473" s="251"/>
      <c r="L1473" s="251"/>
      <c r="M1473" s="251"/>
      <c r="N1473" s="251"/>
      <c r="O1473" s="251"/>
      <c r="P1473" s="251"/>
      <c r="Q1473" s="251"/>
      <c r="R1473" s="251"/>
      <c r="S1473" s="251"/>
      <c r="T1473" s="251"/>
      <c r="U1473" s="251"/>
      <c r="V1473" s="251"/>
      <c r="W1473" s="251"/>
      <c r="X1473" s="251"/>
      <c r="Y1473" s="251"/>
      <c r="Z1473" s="251"/>
      <c r="AA1473" s="251"/>
      <c r="AB1473" s="251"/>
    </row>
    <row r="1474" ht="14.25" customHeight="1">
      <c r="A1474" s="251"/>
      <c r="B1474" s="263"/>
      <c r="C1474" s="275"/>
      <c r="D1474" s="98"/>
      <c r="E1474" s="240"/>
      <c r="F1474" s="240"/>
      <c r="G1474" s="240"/>
      <c r="H1474" s="240"/>
      <c r="I1474" s="276"/>
      <c r="J1474" s="251"/>
      <c r="K1474" s="251"/>
      <c r="L1474" s="251"/>
      <c r="M1474" s="251"/>
      <c r="N1474" s="251"/>
      <c r="O1474" s="251"/>
      <c r="P1474" s="251"/>
      <c r="Q1474" s="251"/>
      <c r="R1474" s="251"/>
      <c r="S1474" s="251"/>
      <c r="T1474" s="251"/>
      <c r="U1474" s="251"/>
      <c r="V1474" s="251"/>
      <c r="W1474" s="251"/>
      <c r="X1474" s="251"/>
      <c r="Y1474" s="251"/>
      <c r="Z1474" s="251"/>
      <c r="AA1474" s="251"/>
      <c r="AB1474" s="251"/>
    </row>
    <row r="1475" ht="14.25" customHeight="1">
      <c r="A1475" s="251"/>
      <c r="B1475" s="263"/>
      <c r="C1475" s="275"/>
      <c r="D1475" s="98"/>
      <c r="E1475" s="240"/>
      <c r="F1475" s="240"/>
      <c r="G1475" s="240"/>
      <c r="H1475" s="240"/>
      <c r="I1475" s="276"/>
      <c r="J1475" s="251"/>
      <c r="K1475" s="251"/>
      <c r="L1475" s="251"/>
      <c r="M1475" s="251"/>
      <c r="N1475" s="251"/>
      <c r="O1475" s="251"/>
      <c r="P1475" s="251"/>
      <c r="Q1475" s="251"/>
      <c r="R1475" s="251"/>
      <c r="S1475" s="251"/>
      <c r="T1475" s="251"/>
      <c r="U1475" s="251"/>
      <c r="V1475" s="251"/>
      <c r="W1475" s="251"/>
      <c r="X1475" s="251"/>
      <c r="Y1475" s="251"/>
      <c r="Z1475" s="251"/>
      <c r="AA1475" s="251"/>
      <c r="AB1475" s="251"/>
    </row>
    <row r="1476" ht="14.25" customHeight="1">
      <c r="A1476" s="251"/>
      <c r="B1476" s="263"/>
      <c r="C1476" s="275"/>
      <c r="D1476" s="98"/>
      <c r="E1476" s="240"/>
      <c r="F1476" s="240"/>
      <c r="G1476" s="240"/>
      <c r="H1476" s="240"/>
      <c r="I1476" s="276"/>
      <c r="J1476" s="251"/>
      <c r="K1476" s="251"/>
      <c r="L1476" s="251"/>
      <c r="M1476" s="251"/>
      <c r="N1476" s="251"/>
      <c r="O1476" s="251"/>
      <c r="P1476" s="251"/>
      <c r="Q1476" s="251"/>
      <c r="R1476" s="251"/>
      <c r="S1476" s="251"/>
      <c r="T1476" s="251"/>
      <c r="U1476" s="251"/>
      <c r="V1476" s="251"/>
      <c r="W1476" s="251"/>
      <c r="X1476" s="251"/>
      <c r="Y1476" s="251"/>
      <c r="Z1476" s="251"/>
      <c r="AA1476" s="251"/>
      <c r="AB1476" s="251"/>
    </row>
    <row r="1477" ht="14.25" customHeight="1">
      <c r="A1477" s="251"/>
      <c r="B1477" s="263"/>
      <c r="C1477" s="275"/>
      <c r="D1477" s="98"/>
      <c r="E1477" s="240"/>
      <c r="F1477" s="240"/>
      <c r="G1477" s="240"/>
      <c r="H1477" s="240"/>
      <c r="I1477" s="276"/>
      <c r="J1477" s="251"/>
      <c r="K1477" s="251"/>
      <c r="L1477" s="251"/>
      <c r="M1477" s="251"/>
      <c r="N1477" s="251"/>
      <c r="O1477" s="251"/>
      <c r="P1477" s="251"/>
      <c r="Q1477" s="251"/>
      <c r="R1477" s="251"/>
      <c r="S1477" s="251"/>
      <c r="T1477" s="251"/>
      <c r="U1477" s="251"/>
      <c r="V1477" s="251"/>
      <c r="W1477" s="251"/>
      <c r="X1477" s="251"/>
      <c r="Y1477" s="251"/>
      <c r="Z1477" s="251"/>
      <c r="AA1477" s="251"/>
      <c r="AB1477" s="251"/>
    </row>
    <row r="1478" ht="14.25" customHeight="1">
      <c r="A1478" s="251"/>
      <c r="B1478" s="263"/>
      <c r="C1478" s="275"/>
      <c r="D1478" s="98"/>
      <c r="E1478" s="240"/>
      <c r="F1478" s="240"/>
      <c r="G1478" s="240"/>
      <c r="H1478" s="240"/>
      <c r="I1478" s="276"/>
      <c r="J1478" s="251"/>
      <c r="K1478" s="251"/>
      <c r="L1478" s="251"/>
      <c r="M1478" s="251"/>
      <c r="N1478" s="251"/>
      <c r="O1478" s="251"/>
      <c r="P1478" s="251"/>
      <c r="Q1478" s="251"/>
      <c r="R1478" s="251"/>
      <c r="S1478" s="251"/>
      <c r="T1478" s="251"/>
      <c r="U1478" s="251"/>
      <c r="V1478" s="251"/>
      <c r="W1478" s="251"/>
      <c r="X1478" s="251"/>
      <c r="Y1478" s="251"/>
      <c r="Z1478" s="251"/>
      <c r="AA1478" s="251"/>
      <c r="AB1478" s="251"/>
    </row>
    <row r="1479" ht="14.25" customHeight="1">
      <c r="A1479" s="251"/>
      <c r="B1479" s="263"/>
      <c r="C1479" s="275"/>
      <c r="D1479" s="98"/>
      <c r="E1479" s="240"/>
      <c r="F1479" s="240"/>
      <c r="G1479" s="240"/>
      <c r="H1479" s="240"/>
      <c r="I1479" s="276"/>
      <c r="J1479" s="251"/>
      <c r="K1479" s="251"/>
      <c r="L1479" s="251"/>
      <c r="M1479" s="251"/>
      <c r="N1479" s="251"/>
      <c r="O1479" s="251"/>
      <c r="P1479" s="251"/>
      <c r="Q1479" s="251"/>
      <c r="R1479" s="251"/>
      <c r="S1479" s="251"/>
      <c r="T1479" s="251"/>
      <c r="U1479" s="251"/>
      <c r="V1479" s="251"/>
      <c r="W1479" s="251"/>
      <c r="X1479" s="251"/>
      <c r="Y1479" s="251"/>
      <c r="Z1479" s="251"/>
      <c r="AA1479" s="251"/>
      <c r="AB1479" s="251"/>
    </row>
    <row r="1480" ht="14.25" customHeight="1">
      <c r="A1480" s="251"/>
      <c r="B1480" s="263"/>
      <c r="C1480" s="275"/>
      <c r="D1480" s="98"/>
      <c r="E1480" s="240"/>
      <c r="F1480" s="240"/>
      <c r="G1480" s="240"/>
      <c r="H1480" s="240"/>
      <c r="I1480" s="276"/>
      <c r="J1480" s="251"/>
      <c r="K1480" s="251"/>
      <c r="L1480" s="251"/>
      <c r="M1480" s="251"/>
      <c r="N1480" s="251"/>
      <c r="O1480" s="251"/>
      <c r="P1480" s="251"/>
      <c r="Q1480" s="251"/>
      <c r="R1480" s="251"/>
      <c r="S1480" s="251"/>
      <c r="T1480" s="251"/>
      <c r="U1480" s="251"/>
      <c r="V1480" s="251"/>
      <c r="W1480" s="251"/>
      <c r="X1480" s="251"/>
      <c r="Y1480" s="251"/>
      <c r="Z1480" s="251"/>
      <c r="AA1480" s="251"/>
      <c r="AB1480" s="251"/>
    </row>
    <row r="1481" ht="14.25" customHeight="1">
      <c r="A1481" s="251"/>
      <c r="B1481" s="263"/>
      <c r="C1481" s="275"/>
      <c r="D1481" s="98"/>
      <c r="E1481" s="240"/>
      <c r="F1481" s="240"/>
      <c r="G1481" s="240"/>
      <c r="H1481" s="240"/>
      <c r="I1481" s="276"/>
      <c r="J1481" s="251"/>
      <c r="K1481" s="251"/>
      <c r="L1481" s="251"/>
      <c r="M1481" s="251"/>
      <c r="N1481" s="251"/>
      <c r="O1481" s="251"/>
      <c r="P1481" s="251"/>
      <c r="Q1481" s="251"/>
      <c r="R1481" s="251"/>
      <c r="S1481" s="251"/>
      <c r="T1481" s="251"/>
      <c r="U1481" s="251"/>
      <c r="V1481" s="251"/>
      <c r="W1481" s="251"/>
      <c r="X1481" s="251"/>
      <c r="Y1481" s="251"/>
      <c r="Z1481" s="251"/>
      <c r="AA1481" s="251"/>
      <c r="AB1481" s="251"/>
    </row>
    <row r="1482" ht="14.25" customHeight="1">
      <c r="A1482" s="251"/>
      <c r="B1482" s="263"/>
      <c r="C1482" s="275"/>
      <c r="D1482" s="98"/>
      <c r="E1482" s="240"/>
      <c r="F1482" s="240"/>
      <c r="G1482" s="240"/>
      <c r="H1482" s="240"/>
      <c r="I1482" s="276"/>
      <c r="J1482" s="251"/>
      <c r="K1482" s="251"/>
      <c r="L1482" s="251"/>
      <c r="M1482" s="251"/>
      <c r="N1482" s="251"/>
      <c r="O1482" s="251"/>
      <c r="P1482" s="251"/>
      <c r="Q1482" s="251"/>
      <c r="R1482" s="251"/>
      <c r="S1482" s="251"/>
      <c r="T1482" s="251"/>
      <c r="U1482" s="251"/>
      <c r="V1482" s="251"/>
      <c r="W1482" s="251"/>
      <c r="X1482" s="251"/>
      <c r="Y1482" s="251"/>
      <c r="Z1482" s="251"/>
      <c r="AA1482" s="251"/>
      <c r="AB1482" s="251"/>
    </row>
    <row r="1483" ht="14.25" customHeight="1">
      <c r="A1483" s="251"/>
      <c r="B1483" s="263"/>
      <c r="C1483" s="275"/>
      <c r="D1483" s="98"/>
      <c r="E1483" s="240"/>
      <c r="F1483" s="240"/>
      <c r="G1483" s="240"/>
      <c r="H1483" s="240"/>
      <c r="I1483" s="276"/>
      <c r="J1483" s="251"/>
      <c r="K1483" s="251"/>
      <c r="L1483" s="251"/>
      <c r="M1483" s="251"/>
      <c r="N1483" s="251"/>
      <c r="O1483" s="251"/>
      <c r="P1483" s="251"/>
      <c r="Q1483" s="251"/>
      <c r="R1483" s="251"/>
      <c r="S1483" s="251"/>
      <c r="T1483" s="251"/>
      <c r="U1483" s="251"/>
      <c r="V1483" s="251"/>
      <c r="W1483" s="251"/>
      <c r="X1483" s="251"/>
      <c r="Y1483" s="251"/>
      <c r="Z1483" s="251"/>
      <c r="AA1483" s="251"/>
      <c r="AB1483" s="251"/>
    </row>
    <row r="1484" ht="14.25" customHeight="1">
      <c r="A1484" s="251"/>
      <c r="B1484" s="263"/>
      <c r="C1484" s="275"/>
      <c r="D1484" s="98"/>
      <c r="E1484" s="240"/>
      <c r="F1484" s="240"/>
      <c r="G1484" s="240"/>
      <c r="H1484" s="240"/>
      <c r="I1484" s="276"/>
      <c r="J1484" s="251"/>
      <c r="K1484" s="251"/>
      <c r="L1484" s="251"/>
      <c r="M1484" s="251"/>
      <c r="N1484" s="251"/>
      <c r="O1484" s="251"/>
      <c r="P1484" s="251"/>
      <c r="Q1484" s="251"/>
      <c r="R1484" s="251"/>
      <c r="S1484" s="251"/>
      <c r="T1484" s="251"/>
      <c r="U1484" s="251"/>
      <c r="V1484" s="251"/>
      <c r="W1484" s="251"/>
      <c r="X1484" s="251"/>
      <c r="Y1484" s="251"/>
      <c r="Z1484" s="251"/>
      <c r="AA1484" s="251"/>
      <c r="AB1484" s="251"/>
    </row>
    <row r="1485" ht="14.25" customHeight="1">
      <c r="A1485" s="251"/>
      <c r="B1485" s="263"/>
      <c r="C1485" s="275"/>
      <c r="D1485" s="98"/>
      <c r="E1485" s="240"/>
      <c r="F1485" s="240"/>
      <c r="G1485" s="240"/>
      <c r="H1485" s="240"/>
      <c r="I1485" s="276"/>
      <c r="J1485" s="251"/>
      <c r="K1485" s="251"/>
      <c r="L1485" s="251"/>
      <c r="M1485" s="251"/>
      <c r="N1485" s="251"/>
      <c r="O1485" s="251"/>
      <c r="P1485" s="251"/>
      <c r="Q1485" s="251"/>
      <c r="R1485" s="251"/>
      <c r="S1485" s="251"/>
      <c r="T1485" s="251"/>
      <c r="U1485" s="251"/>
      <c r="V1485" s="251"/>
      <c r="W1485" s="251"/>
      <c r="X1485" s="251"/>
      <c r="Y1485" s="251"/>
      <c r="Z1485" s="251"/>
      <c r="AA1485" s="251"/>
      <c r="AB1485" s="251"/>
    </row>
    <row r="1486" ht="14.25" customHeight="1">
      <c r="A1486" s="251"/>
      <c r="B1486" s="263"/>
      <c r="C1486" s="275"/>
      <c r="D1486" s="98"/>
      <c r="E1486" s="240"/>
      <c r="F1486" s="240"/>
      <c r="G1486" s="240"/>
      <c r="H1486" s="240"/>
      <c r="I1486" s="276"/>
      <c r="J1486" s="251"/>
      <c r="K1486" s="251"/>
      <c r="L1486" s="251"/>
      <c r="M1486" s="251"/>
      <c r="N1486" s="251"/>
      <c r="O1486" s="251"/>
      <c r="P1486" s="251"/>
      <c r="Q1486" s="251"/>
      <c r="R1486" s="251"/>
      <c r="S1486" s="251"/>
      <c r="T1486" s="251"/>
      <c r="U1486" s="251"/>
      <c r="V1486" s="251"/>
      <c r="W1486" s="251"/>
      <c r="X1486" s="251"/>
      <c r="Y1486" s="251"/>
      <c r="Z1486" s="251"/>
      <c r="AA1486" s="251"/>
      <c r="AB1486" s="251"/>
    </row>
    <row r="1487" ht="14.25" customHeight="1">
      <c r="A1487" s="251"/>
      <c r="B1487" s="263"/>
      <c r="C1487" s="275"/>
      <c r="D1487" s="98"/>
      <c r="E1487" s="240"/>
      <c r="F1487" s="240"/>
      <c r="G1487" s="240"/>
      <c r="H1487" s="240"/>
      <c r="I1487" s="276"/>
      <c r="J1487" s="251"/>
      <c r="K1487" s="251"/>
      <c r="L1487" s="251"/>
      <c r="M1487" s="251"/>
      <c r="N1487" s="251"/>
      <c r="O1487" s="251"/>
      <c r="P1487" s="251"/>
      <c r="Q1487" s="251"/>
      <c r="R1487" s="251"/>
      <c r="S1487" s="251"/>
      <c r="T1487" s="251"/>
      <c r="U1487" s="251"/>
      <c r="V1487" s="251"/>
      <c r="W1487" s="251"/>
      <c r="X1487" s="251"/>
      <c r="Y1487" s="251"/>
      <c r="Z1487" s="251"/>
      <c r="AA1487" s="251"/>
      <c r="AB1487" s="251"/>
    </row>
    <row r="1488" ht="14.25" customHeight="1">
      <c r="A1488" s="251"/>
      <c r="B1488" s="263"/>
      <c r="C1488" s="275"/>
      <c r="D1488" s="98"/>
      <c r="E1488" s="240"/>
      <c r="F1488" s="240"/>
      <c r="G1488" s="240"/>
      <c r="H1488" s="240"/>
      <c r="I1488" s="276"/>
      <c r="J1488" s="251"/>
      <c r="K1488" s="251"/>
      <c r="L1488" s="251"/>
      <c r="M1488" s="251"/>
      <c r="N1488" s="251"/>
      <c r="O1488" s="251"/>
      <c r="P1488" s="251"/>
      <c r="Q1488" s="251"/>
      <c r="R1488" s="251"/>
      <c r="S1488" s="251"/>
      <c r="T1488" s="251"/>
      <c r="U1488" s="251"/>
      <c r="V1488" s="251"/>
      <c r="W1488" s="251"/>
      <c r="X1488" s="251"/>
      <c r="Y1488" s="251"/>
      <c r="Z1488" s="251"/>
      <c r="AA1488" s="251"/>
      <c r="AB1488" s="251"/>
    </row>
    <row r="1489" ht="14.25" customHeight="1">
      <c r="A1489" s="251"/>
      <c r="B1489" s="263"/>
      <c r="C1489" s="275"/>
      <c r="D1489" s="98"/>
      <c r="E1489" s="240"/>
      <c r="F1489" s="240"/>
      <c r="G1489" s="240"/>
      <c r="H1489" s="240"/>
      <c r="I1489" s="276"/>
      <c r="J1489" s="251"/>
      <c r="K1489" s="251"/>
      <c r="L1489" s="251"/>
      <c r="M1489" s="251"/>
      <c r="N1489" s="251"/>
      <c r="O1489" s="251"/>
      <c r="P1489" s="251"/>
      <c r="Q1489" s="251"/>
      <c r="R1489" s="251"/>
      <c r="S1489" s="251"/>
      <c r="T1489" s="251"/>
      <c r="U1489" s="251"/>
      <c r="V1489" s="251"/>
      <c r="W1489" s="251"/>
      <c r="X1489" s="251"/>
      <c r="Y1489" s="251"/>
      <c r="Z1489" s="251"/>
      <c r="AA1489" s="251"/>
      <c r="AB1489" s="251"/>
    </row>
    <row r="1490" ht="14.25" customHeight="1">
      <c r="A1490" s="251"/>
      <c r="B1490" s="263"/>
      <c r="C1490" s="275"/>
      <c r="D1490" s="98"/>
      <c r="E1490" s="240"/>
      <c r="F1490" s="240"/>
      <c r="G1490" s="240"/>
      <c r="H1490" s="240"/>
      <c r="I1490" s="276"/>
      <c r="J1490" s="251"/>
      <c r="K1490" s="251"/>
      <c r="L1490" s="251"/>
      <c r="M1490" s="251"/>
      <c r="N1490" s="251"/>
      <c r="O1490" s="251"/>
      <c r="P1490" s="251"/>
      <c r="Q1490" s="251"/>
      <c r="R1490" s="251"/>
      <c r="S1490" s="251"/>
      <c r="T1490" s="251"/>
      <c r="U1490" s="251"/>
      <c r="V1490" s="251"/>
      <c r="W1490" s="251"/>
      <c r="X1490" s="251"/>
      <c r="Y1490" s="251"/>
      <c r="Z1490" s="251"/>
      <c r="AA1490" s="251"/>
      <c r="AB1490" s="251"/>
    </row>
    <row r="1491" ht="14.25" customHeight="1">
      <c r="A1491" s="251"/>
      <c r="B1491" s="263"/>
      <c r="C1491" s="275"/>
      <c r="D1491" s="98"/>
      <c r="E1491" s="240"/>
      <c r="F1491" s="240"/>
      <c r="G1491" s="240"/>
      <c r="H1491" s="240"/>
      <c r="I1491" s="276"/>
      <c r="J1491" s="251"/>
      <c r="K1491" s="251"/>
      <c r="L1491" s="251"/>
      <c r="M1491" s="251"/>
      <c r="N1491" s="251"/>
      <c r="O1491" s="251"/>
      <c r="P1491" s="251"/>
      <c r="Q1491" s="251"/>
      <c r="R1491" s="251"/>
      <c r="S1491" s="251"/>
      <c r="T1491" s="251"/>
      <c r="U1491" s="251"/>
      <c r="V1491" s="251"/>
      <c r="W1491" s="251"/>
      <c r="X1491" s="251"/>
      <c r="Y1491" s="251"/>
      <c r="Z1491" s="251"/>
      <c r="AA1491" s="251"/>
      <c r="AB1491" s="251"/>
    </row>
    <row r="1492" ht="14.25" customHeight="1">
      <c r="A1492" s="251"/>
      <c r="B1492" s="263"/>
      <c r="C1492" s="275"/>
      <c r="D1492" s="98"/>
      <c r="E1492" s="240"/>
      <c r="F1492" s="240"/>
      <c r="G1492" s="240"/>
      <c r="H1492" s="240"/>
      <c r="I1492" s="276"/>
      <c r="J1492" s="251"/>
      <c r="K1492" s="251"/>
      <c r="L1492" s="251"/>
      <c r="M1492" s="251"/>
      <c r="N1492" s="251"/>
      <c r="O1492" s="251"/>
      <c r="P1492" s="251"/>
      <c r="Q1492" s="251"/>
      <c r="R1492" s="251"/>
      <c r="S1492" s="251"/>
      <c r="T1492" s="251"/>
      <c r="U1492" s="251"/>
      <c r="V1492" s="251"/>
      <c r="W1492" s="251"/>
      <c r="X1492" s="251"/>
      <c r="Y1492" s="251"/>
      <c r="Z1492" s="251"/>
      <c r="AA1492" s="251"/>
      <c r="AB1492" s="251"/>
    </row>
    <row r="1493" ht="14.25" customHeight="1">
      <c r="A1493" s="251"/>
      <c r="B1493" s="263"/>
      <c r="C1493" s="275"/>
      <c r="D1493" s="98"/>
      <c r="E1493" s="240"/>
      <c r="F1493" s="240"/>
      <c r="G1493" s="240"/>
      <c r="H1493" s="240"/>
      <c r="I1493" s="276"/>
      <c r="J1493" s="251"/>
      <c r="K1493" s="251"/>
      <c r="L1493" s="251"/>
      <c r="M1493" s="251"/>
      <c r="N1493" s="251"/>
      <c r="O1493" s="251"/>
      <c r="P1493" s="251"/>
      <c r="Q1493" s="251"/>
      <c r="R1493" s="251"/>
      <c r="S1493" s="251"/>
      <c r="T1493" s="251"/>
      <c r="U1493" s="251"/>
      <c r="V1493" s="251"/>
      <c r="W1493" s="251"/>
      <c r="X1493" s="251"/>
      <c r="Y1493" s="251"/>
      <c r="Z1493" s="251"/>
      <c r="AA1493" s="251"/>
      <c r="AB1493" s="251"/>
    </row>
    <row r="1494" ht="14.25" customHeight="1">
      <c r="A1494" s="251"/>
      <c r="B1494" s="263"/>
      <c r="C1494" s="275"/>
      <c r="D1494" s="98"/>
      <c r="E1494" s="240"/>
      <c r="F1494" s="240"/>
      <c r="G1494" s="240"/>
      <c r="H1494" s="240"/>
      <c r="I1494" s="276"/>
      <c r="J1494" s="251"/>
      <c r="K1494" s="251"/>
      <c r="L1494" s="251"/>
      <c r="M1494" s="251"/>
      <c r="N1494" s="251"/>
      <c r="O1494" s="251"/>
      <c r="P1494" s="251"/>
      <c r="Q1494" s="251"/>
      <c r="R1494" s="251"/>
      <c r="S1494" s="251"/>
      <c r="T1494" s="251"/>
      <c r="U1494" s="251"/>
      <c r="V1494" s="251"/>
      <c r="W1494" s="251"/>
      <c r="X1494" s="251"/>
      <c r="Y1494" s="251"/>
      <c r="Z1494" s="251"/>
      <c r="AA1494" s="251"/>
      <c r="AB1494" s="251"/>
    </row>
    <row r="1495" ht="14.25" customHeight="1">
      <c r="A1495" s="251"/>
      <c r="B1495" s="263"/>
      <c r="C1495" s="275"/>
      <c r="D1495" s="98"/>
      <c r="E1495" s="240"/>
      <c r="F1495" s="240"/>
      <c r="G1495" s="240"/>
      <c r="H1495" s="240"/>
      <c r="I1495" s="276"/>
      <c r="J1495" s="251"/>
      <c r="K1495" s="251"/>
      <c r="L1495" s="251"/>
      <c r="M1495" s="251"/>
      <c r="N1495" s="251"/>
      <c r="O1495" s="251"/>
      <c r="P1495" s="251"/>
      <c r="Q1495" s="251"/>
      <c r="R1495" s="251"/>
      <c r="S1495" s="251"/>
      <c r="T1495" s="251"/>
      <c r="U1495" s="251"/>
      <c r="V1495" s="251"/>
      <c r="W1495" s="251"/>
      <c r="X1495" s="251"/>
      <c r="Y1495" s="251"/>
      <c r="Z1495" s="251"/>
      <c r="AA1495" s="251"/>
      <c r="AB1495" s="251"/>
    </row>
    <row r="1496" ht="14.25" customHeight="1">
      <c r="A1496" s="251"/>
      <c r="B1496" s="263"/>
      <c r="C1496" s="275"/>
      <c r="D1496" s="98"/>
      <c r="E1496" s="240"/>
      <c r="F1496" s="240"/>
      <c r="G1496" s="240"/>
      <c r="H1496" s="240"/>
      <c r="I1496" s="276"/>
      <c r="J1496" s="251"/>
      <c r="K1496" s="251"/>
      <c r="L1496" s="251"/>
      <c r="M1496" s="251"/>
      <c r="N1496" s="251"/>
      <c r="O1496" s="251"/>
      <c r="P1496" s="251"/>
      <c r="Q1496" s="251"/>
      <c r="R1496" s="251"/>
      <c r="S1496" s="251"/>
      <c r="T1496" s="251"/>
      <c r="U1496" s="251"/>
      <c r="V1496" s="251"/>
      <c r="W1496" s="251"/>
      <c r="X1496" s="251"/>
      <c r="Y1496" s="251"/>
      <c r="Z1496" s="251"/>
      <c r="AA1496" s="251"/>
      <c r="AB1496" s="251"/>
    </row>
    <row r="1497" ht="14.25" customHeight="1">
      <c r="A1497" s="251"/>
      <c r="B1497" s="263"/>
      <c r="C1497" s="275"/>
      <c r="D1497" s="98"/>
      <c r="E1497" s="240"/>
      <c r="F1497" s="240"/>
      <c r="G1497" s="240"/>
      <c r="H1497" s="240"/>
      <c r="I1497" s="276"/>
      <c r="J1497" s="251"/>
      <c r="K1497" s="251"/>
      <c r="L1497" s="251"/>
      <c r="M1497" s="251"/>
      <c r="N1497" s="251"/>
      <c r="O1497" s="251"/>
      <c r="P1497" s="251"/>
      <c r="Q1497" s="251"/>
      <c r="R1497" s="251"/>
      <c r="S1497" s="251"/>
      <c r="T1497" s="251"/>
      <c r="U1497" s="251"/>
      <c r="V1497" s="251"/>
      <c r="W1497" s="251"/>
      <c r="X1497" s="251"/>
      <c r="Y1497" s="251"/>
      <c r="Z1497" s="251"/>
      <c r="AA1497" s="251"/>
      <c r="AB1497" s="251"/>
    </row>
    <row r="1498" ht="14.25" customHeight="1">
      <c r="A1498" s="251"/>
      <c r="B1498" s="263"/>
      <c r="C1498" s="275"/>
      <c r="D1498" s="98"/>
      <c r="E1498" s="240"/>
      <c r="F1498" s="240"/>
      <c r="G1498" s="240"/>
      <c r="H1498" s="240"/>
      <c r="I1498" s="276"/>
      <c r="J1498" s="251"/>
      <c r="K1498" s="251"/>
      <c r="L1498" s="251"/>
      <c r="M1498" s="251"/>
      <c r="N1498" s="251"/>
      <c r="O1498" s="251"/>
      <c r="P1498" s="251"/>
      <c r="Q1498" s="251"/>
      <c r="R1498" s="251"/>
      <c r="S1498" s="251"/>
      <c r="T1498" s="251"/>
      <c r="U1498" s="251"/>
      <c r="V1498" s="251"/>
      <c r="W1498" s="251"/>
      <c r="X1498" s="251"/>
      <c r="Y1498" s="251"/>
      <c r="Z1498" s="251"/>
      <c r="AA1498" s="251"/>
      <c r="AB1498" s="251"/>
    </row>
    <row r="1499" ht="14.25" customHeight="1">
      <c r="A1499" s="251"/>
      <c r="B1499" s="263"/>
      <c r="C1499" s="275"/>
      <c r="D1499" s="98"/>
      <c r="E1499" s="240"/>
      <c r="F1499" s="240"/>
      <c r="G1499" s="240"/>
      <c r="H1499" s="240"/>
      <c r="I1499" s="276"/>
      <c r="J1499" s="251"/>
      <c r="K1499" s="251"/>
      <c r="L1499" s="251"/>
      <c r="M1499" s="251"/>
      <c r="N1499" s="251"/>
      <c r="O1499" s="251"/>
      <c r="P1499" s="251"/>
      <c r="Q1499" s="251"/>
      <c r="R1499" s="251"/>
      <c r="S1499" s="251"/>
      <c r="T1499" s="251"/>
      <c r="U1499" s="251"/>
      <c r="V1499" s="251"/>
      <c r="W1499" s="251"/>
      <c r="X1499" s="251"/>
      <c r="Y1499" s="251"/>
      <c r="Z1499" s="251"/>
      <c r="AA1499" s="251"/>
      <c r="AB1499" s="251"/>
    </row>
    <row r="1500" ht="14.25" customHeight="1">
      <c r="A1500" s="251"/>
      <c r="B1500" s="263"/>
      <c r="C1500" s="275"/>
      <c r="D1500" s="98"/>
      <c r="E1500" s="240"/>
      <c r="F1500" s="240"/>
      <c r="G1500" s="240"/>
      <c r="H1500" s="240"/>
      <c r="I1500" s="276"/>
      <c r="J1500" s="251"/>
      <c r="K1500" s="251"/>
      <c r="L1500" s="251"/>
      <c r="M1500" s="251"/>
      <c r="N1500" s="251"/>
      <c r="O1500" s="251"/>
      <c r="P1500" s="251"/>
      <c r="Q1500" s="251"/>
      <c r="R1500" s="251"/>
      <c r="S1500" s="251"/>
      <c r="T1500" s="251"/>
      <c r="U1500" s="251"/>
      <c r="V1500" s="251"/>
      <c r="W1500" s="251"/>
      <c r="X1500" s="251"/>
      <c r="Y1500" s="251"/>
      <c r="Z1500" s="251"/>
      <c r="AA1500" s="251"/>
      <c r="AB1500" s="251"/>
    </row>
    <row r="1501" ht="14.25" customHeight="1">
      <c r="A1501" s="251"/>
      <c r="B1501" s="263"/>
      <c r="C1501" s="275"/>
      <c r="D1501" s="98"/>
      <c r="E1501" s="240"/>
      <c r="F1501" s="240"/>
      <c r="G1501" s="240"/>
      <c r="H1501" s="240"/>
      <c r="I1501" s="276"/>
      <c r="J1501" s="251"/>
      <c r="K1501" s="251"/>
      <c r="L1501" s="251"/>
      <c r="M1501" s="251"/>
      <c r="N1501" s="251"/>
      <c r="O1501" s="251"/>
      <c r="P1501" s="251"/>
      <c r="Q1501" s="251"/>
      <c r="R1501" s="251"/>
      <c r="S1501" s="251"/>
      <c r="T1501" s="251"/>
      <c r="U1501" s="251"/>
      <c r="V1501" s="251"/>
      <c r="W1501" s="251"/>
      <c r="X1501" s="251"/>
      <c r="Y1501" s="251"/>
      <c r="Z1501" s="251"/>
      <c r="AA1501" s="251"/>
      <c r="AB1501" s="251"/>
    </row>
    <row r="1502" ht="14.25" customHeight="1">
      <c r="A1502" s="251"/>
      <c r="B1502" s="263"/>
      <c r="C1502" s="275"/>
      <c r="D1502" s="98"/>
      <c r="E1502" s="240"/>
      <c r="F1502" s="240"/>
      <c r="G1502" s="240"/>
      <c r="H1502" s="240"/>
      <c r="I1502" s="276"/>
      <c r="J1502" s="251"/>
      <c r="K1502" s="251"/>
      <c r="L1502" s="251"/>
      <c r="M1502" s="251"/>
      <c r="N1502" s="251"/>
      <c r="O1502" s="251"/>
      <c r="P1502" s="251"/>
      <c r="Q1502" s="251"/>
      <c r="R1502" s="251"/>
      <c r="S1502" s="251"/>
      <c r="T1502" s="251"/>
      <c r="U1502" s="251"/>
      <c r="V1502" s="251"/>
      <c r="W1502" s="251"/>
      <c r="X1502" s="251"/>
      <c r="Y1502" s="251"/>
      <c r="Z1502" s="251"/>
      <c r="AA1502" s="251"/>
      <c r="AB1502" s="251"/>
    </row>
    <row r="1503" ht="14.25" customHeight="1">
      <c r="A1503" s="251"/>
      <c r="B1503" s="263"/>
      <c r="C1503" s="275"/>
      <c r="D1503" s="98"/>
      <c r="E1503" s="240"/>
      <c r="F1503" s="240"/>
      <c r="G1503" s="240"/>
      <c r="H1503" s="240"/>
      <c r="I1503" s="276"/>
      <c r="J1503" s="251"/>
      <c r="K1503" s="251"/>
      <c r="L1503" s="251"/>
      <c r="M1503" s="251"/>
      <c r="N1503" s="251"/>
      <c r="O1503" s="251"/>
      <c r="P1503" s="251"/>
      <c r="Q1503" s="251"/>
      <c r="R1503" s="251"/>
      <c r="S1503" s="251"/>
      <c r="T1503" s="251"/>
      <c r="U1503" s="251"/>
      <c r="V1503" s="251"/>
      <c r="W1503" s="251"/>
      <c r="X1503" s="251"/>
      <c r="Y1503" s="251"/>
      <c r="Z1503" s="251"/>
      <c r="AA1503" s="251"/>
      <c r="AB1503" s="251"/>
    </row>
    <row r="1504" ht="14.25" customHeight="1">
      <c r="A1504" s="251"/>
      <c r="B1504" s="263"/>
      <c r="C1504" s="275"/>
      <c r="D1504" s="98"/>
      <c r="E1504" s="240"/>
      <c r="F1504" s="240"/>
      <c r="G1504" s="240"/>
      <c r="H1504" s="240"/>
      <c r="I1504" s="276"/>
      <c r="J1504" s="251"/>
      <c r="K1504" s="251"/>
      <c r="L1504" s="251"/>
      <c r="M1504" s="251"/>
      <c r="N1504" s="251"/>
      <c r="O1504" s="251"/>
      <c r="P1504" s="251"/>
      <c r="Q1504" s="251"/>
      <c r="R1504" s="251"/>
      <c r="S1504" s="251"/>
      <c r="T1504" s="251"/>
      <c r="U1504" s="251"/>
      <c r="V1504" s="251"/>
      <c r="W1504" s="251"/>
      <c r="X1504" s="251"/>
      <c r="Y1504" s="251"/>
      <c r="Z1504" s="251"/>
      <c r="AA1504" s="251"/>
      <c r="AB1504" s="251"/>
    </row>
    <row r="1505" ht="14.25" customHeight="1">
      <c r="A1505" s="251"/>
      <c r="B1505" s="263"/>
      <c r="C1505" s="275"/>
      <c r="D1505" s="98"/>
      <c r="E1505" s="240"/>
      <c r="F1505" s="240"/>
      <c r="G1505" s="240"/>
      <c r="H1505" s="240"/>
      <c r="I1505" s="276"/>
      <c r="J1505" s="251"/>
      <c r="K1505" s="251"/>
      <c r="L1505" s="251"/>
      <c r="M1505" s="251"/>
      <c r="N1505" s="251"/>
      <c r="O1505" s="251"/>
      <c r="P1505" s="251"/>
      <c r="Q1505" s="251"/>
      <c r="R1505" s="251"/>
      <c r="S1505" s="251"/>
      <c r="T1505" s="251"/>
      <c r="U1505" s="251"/>
      <c r="V1505" s="251"/>
      <c r="W1505" s="251"/>
      <c r="X1505" s="251"/>
      <c r="Y1505" s="251"/>
      <c r="Z1505" s="251"/>
      <c r="AA1505" s="251"/>
      <c r="AB1505" s="251"/>
    </row>
    <row r="1506" ht="14.25" customHeight="1">
      <c r="A1506" s="251"/>
      <c r="B1506" s="263"/>
      <c r="C1506" s="275"/>
      <c r="D1506" s="98"/>
      <c r="E1506" s="240"/>
      <c r="F1506" s="240"/>
      <c r="G1506" s="240"/>
      <c r="H1506" s="240"/>
      <c r="I1506" s="276"/>
      <c r="J1506" s="251"/>
      <c r="K1506" s="251"/>
      <c r="L1506" s="251"/>
      <c r="M1506" s="251"/>
      <c r="N1506" s="251"/>
      <c r="O1506" s="251"/>
      <c r="P1506" s="251"/>
      <c r="Q1506" s="251"/>
      <c r="R1506" s="251"/>
      <c r="S1506" s="251"/>
      <c r="T1506" s="251"/>
      <c r="U1506" s="251"/>
      <c r="V1506" s="251"/>
      <c r="W1506" s="251"/>
      <c r="X1506" s="251"/>
      <c r="Y1506" s="251"/>
      <c r="Z1506" s="251"/>
      <c r="AA1506" s="251"/>
      <c r="AB1506" s="251"/>
    </row>
    <row r="1507" ht="14.25" customHeight="1">
      <c r="A1507" s="251"/>
      <c r="B1507" s="263"/>
      <c r="C1507" s="275"/>
      <c r="D1507" s="98"/>
      <c r="E1507" s="240"/>
      <c r="F1507" s="240"/>
      <c r="G1507" s="240"/>
      <c r="H1507" s="240"/>
      <c r="I1507" s="276"/>
      <c r="J1507" s="251"/>
      <c r="K1507" s="251"/>
      <c r="L1507" s="251"/>
      <c r="M1507" s="251"/>
      <c r="N1507" s="251"/>
      <c r="O1507" s="251"/>
      <c r="P1507" s="251"/>
      <c r="Q1507" s="251"/>
      <c r="R1507" s="251"/>
      <c r="S1507" s="251"/>
      <c r="T1507" s="251"/>
      <c r="U1507" s="251"/>
      <c r="V1507" s="251"/>
      <c r="W1507" s="251"/>
      <c r="X1507" s="251"/>
      <c r="Y1507" s="251"/>
      <c r="Z1507" s="251"/>
      <c r="AA1507" s="251"/>
      <c r="AB1507" s="251"/>
    </row>
    <row r="1508" ht="14.25" customHeight="1">
      <c r="A1508" s="251"/>
      <c r="B1508" s="263"/>
      <c r="C1508" s="275"/>
      <c r="D1508" s="98"/>
      <c r="E1508" s="240"/>
      <c r="F1508" s="240"/>
      <c r="G1508" s="240"/>
      <c r="H1508" s="240"/>
      <c r="I1508" s="276"/>
      <c r="J1508" s="251"/>
      <c r="K1508" s="251"/>
      <c r="L1508" s="251"/>
      <c r="M1508" s="251"/>
      <c r="N1508" s="251"/>
      <c r="O1508" s="251"/>
      <c r="P1508" s="251"/>
      <c r="Q1508" s="251"/>
      <c r="R1508" s="251"/>
      <c r="S1508" s="251"/>
      <c r="T1508" s="251"/>
      <c r="U1508" s="251"/>
      <c r="V1508" s="251"/>
      <c r="W1508" s="251"/>
      <c r="X1508" s="251"/>
      <c r="Y1508" s="251"/>
      <c r="Z1508" s="251"/>
      <c r="AA1508" s="251"/>
      <c r="AB1508" s="251"/>
    </row>
    <row r="1509" ht="14.25" customHeight="1">
      <c r="A1509" s="251"/>
      <c r="B1509" s="263"/>
      <c r="C1509" s="275"/>
      <c r="D1509" s="98"/>
      <c r="E1509" s="240"/>
      <c r="F1509" s="240"/>
      <c r="G1509" s="240"/>
      <c r="H1509" s="240"/>
      <c r="I1509" s="276"/>
      <c r="J1509" s="251"/>
      <c r="K1509" s="251"/>
      <c r="L1509" s="251"/>
      <c r="M1509" s="251"/>
      <c r="N1509" s="251"/>
      <c r="O1509" s="251"/>
      <c r="P1509" s="251"/>
      <c r="Q1509" s="251"/>
      <c r="R1509" s="251"/>
      <c r="S1509" s="251"/>
      <c r="T1509" s="251"/>
      <c r="U1509" s="251"/>
      <c r="V1509" s="251"/>
      <c r="W1509" s="251"/>
      <c r="X1509" s="251"/>
      <c r="Y1509" s="251"/>
      <c r="Z1509" s="251"/>
      <c r="AA1509" s="251"/>
      <c r="AB1509" s="251"/>
    </row>
    <row r="1510" ht="14.25" customHeight="1">
      <c r="A1510" s="251"/>
      <c r="B1510" s="263"/>
      <c r="C1510" s="275"/>
      <c r="D1510" s="98"/>
      <c r="E1510" s="240"/>
      <c r="F1510" s="240"/>
      <c r="G1510" s="240"/>
      <c r="H1510" s="240"/>
      <c r="I1510" s="276"/>
      <c r="J1510" s="251"/>
      <c r="K1510" s="251"/>
      <c r="L1510" s="251"/>
      <c r="M1510" s="251"/>
      <c r="N1510" s="251"/>
      <c r="O1510" s="251"/>
      <c r="P1510" s="251"/>
      <c r="Q1510" s="251"/>
      <c r="R1510" s="251"/>
      <c r="S1510" s="251"/>
      <c r="T1510" s="251"/>
      <c r="U1510" s="251"/>
      <c r="V1510" s="251"/>
      <c r="W1510" s="251"/>
      <c r="X1510" s="251"/>
      <c r="Y1510" s="251"/>
      <c r="Z1510" s="251"/>
      <c r="AA1510" s="251"/>
      <c r="AB1510" s="251"/>
    </row>
    <row r="1511" ht="14.25" customHeight="1">
      <c r="A1511" s="251"/>
      <c r="B1511" s="263"/>
      <c r="C1511" s="275"/>
      <c r="D1511" s="98"/>
      <c r="E1511" s="240"/>
      <c r="F1511" s="240"/>
      <c r="G1511" s="240"/>
      <c r="H1511" s="240"/>
      <c r="I1511" s="276"/>
      <c r="J1511" s="251"/>
      <c r="K1511" s="251"/>
      <c r="L1511" s="251"/>
      <c r="M1511" s="251"/>
      <c r="N1511" s="251"/>
      <c r="O1511" s="251"/>
      <c r="P1511" s="251"/>
      <c r="Q1511" s="251"/>
      <c r="R1511" s="251"/>
      <c r="S1511" s="251"/>
      <c r="T1511" s="251"/>
      <c r="U1511" s="251"/>
      <c r="V1511" s="251"/>
      <c r="W1511" s="251"/>
      <c r="X1511" s="251"/>
      <c r="Y1511" s="251"/>
      <c r="Z1511" s="251"/>
      <c r="AA1511" s="251"/>
      <c r="AB1511" s="251"/>
    </row>
    <row r="1512" ht="14.25" customHeight="1">
      <c r="A1512" s="251"/>
      <c r="B1512" s="263"/>
      <c r="C1512" s="275"/>
      <c r="D1512" s="98"/>
      <c r="E1512" s="240"/>
      <c r="F1512" s="240"/>
      <c r="G1512" s="240"/>
      <c r="H1512" s="240"/>
      <c r="I1512" s="276"/>
      <c r="J1512" s="251"/>
      <c r="K1512" s="251"/>
      <c r="L1512" s="251"/>
      <c r="M1512" s="251"/>
      <c r="N1512" s="251"/>
      <c r="O1512" s="251"/>
      <c r="P1512" s="251"/>
      <c r="Q1512" s="251"/>
      <c r="R1512" s="251"/>
      <c r="S1512" s="251"/>
      <c r="T1512" s="251"/>
      <c r="U1512" s="251"/>
      <c r="V1512" s="251"/>
      <c r="W1512" s="251"/>
      <c r="X1512" s="251"/>
      <c r="Y1512" s="251"/>
      <c r="Z1512" s="251"/>
      <c r="AA1512" s="251"/>
      <c r="AB1512" s="251"/>
    </row>
    <row r="1513" ht="14.25" customHeight="1">
      <c r="A1513" s="251"/>
      <c r="B1513" s="263"/>
      <c r="C1513" s="275"/>
      <c r="D1513" s="98"/>
      <c r="E1513" s="240"/>
      <c r="F1513" s="240"/>
      <c r="G1513" s="240"/>
      <c r="H1513" s="240"/>
      <c r="I1513" s="276"/>
      <c r="J1513" s="251"/>
      <c r="K1513" s="251"/>
      <c r="L1513" s="251"/>
      <c r="M1513" s="251"/>
      <c r="N1513" s="251"/>
      <c r="O1513" s="251"/>
      <c r="P1513" s="251"/>
      <c r="Q1513" s="251"/>
      <c r="R1513" s="251"/>
      <c r="S1513" s="251"/>
      <c r="T1513" s="251"/>
      <c r="U1513" s="251"/>
      <c r="V1513" s="251"/>
      <c r="W1513" s="251"/>
      <c r="X1513" s="251"/>
      <c r="Y1513" s="251"/>
      <c r="Z1513" s="251"/>
      <c r="AA1513" s="251"/>
      <c r="AB1513" s="251"/>
    </row>
    <row r="1514" ht="14.25" customHeight="1">
      <c r="A1514" s="251"/>
      <c r="B1514" s="263"/>
      <c r="C1514" s="275"/>
      <c r="D1514" s="98"/>
      <c r="E1514" s="240"/>
      <c r="F1514" s="240"/>
      <c r="G1514" s="240"/>
      <c r="H1514" s="240"/>
      <c r="I1514" s="276"/>
      <c r="J1514" s="251"/>
      <c r="K1514" s="251"/>
      <c r="L1514" s="251"/>
      <c r="M1514" s="251"/>
      <c r="N1514" s="251"/>
      <c r="O1514" s="251"/>
      <c r="P1514" s="251"/>
      <c r="Q1514" s="251"/>
      <c r="R1514" s="251"/>
      <c r="S1514" s="251"/>
      <c r="T1514" s="251"/>
      <c r="U1514" s="251"/>
      <c r="V1514" s="251"/>
      <c r="W1514" s="251"/>
      <c r="X1514" s="251"/>
      <c r="Y1514" s="251"/>
      <c r="Z1514" s="251"/>
      <c r="AA1514" s="251"/>
      <c r="AB1514" s="251"/>
    </row>
    <row r="1515" ht="14.25" customHeight="1">
      <c r="A1515" s="251"/>
      <c r="B1515" s="263"/>
      <c r="C1515" s="275"/>
      <c r="D1515" s="98"/>
      <c r="E1515" s="240"/>
      <c r="F1515" s="240"/>
      <c r="G1515" s="240"/>
      <c r="H1515" s="240"/>
      <c r="I1515" s="276"/>
      <c r="J1515" s="251"/>
      <c r="K1515" s="251"/>
      <c r="L1515" s="251"/>
      <c r="M1515" s="251"/>
      <c r="N1515" s="251"/>
      <c r="O1515" s="251"/>
      <c r="P1515" s="251"/>
      <c r="Q1515" s="251"/>
      <c r="R1515" s="251"/>
      <c r="S1515" s="251"/>
      <c r="T1515" s="251"/>
      <c r="U1515" s="251"/>
      <c r="V1515" s="251"/>
      <c r="W1515" s="251"/>
      <c r="X1515" s="251"/>
      <c r="Y1515" s="251"/>
      <c r="Z1515" s="251"/>
      <c r="AA1515" s="251"/>
      <c r="AB1515" s="251"/>
    </row>
    <row r="1516" ht="14.25" customHeight="1">
      <c r="A1516" s="251"/>
      <c r="B1516" s="263"/>
      <c r="C1516" s="275"/>
      <c r="D1516" s="98"/>
      <c r="E1516" s="240"/>
      <c r="F1516" s="240"/>
      <c r="G1516" s="240"/>
      <c r="H1516" s="240"/>
      <c r="I1516" s="276"/>
      <c r="J1516" s="251"/>
      <c r="K1516" s="251"/>
      <c r="L1516" s="251"/>
      <c r="M1516" s="251"/>
      <c r="N1516" s="251"/>
      <c r="O1516" s="251"/>
      <c r="P1516" s="251"/>
      <c r="Q1516" s="251"/>
      <c r="R1516" s="251"/>
      <c r="S1516" s="251"/>
      <c r="T1516" s="251"/>
      <c r="U1516" s="251"/>
      <c r="V1516" s="251"/>
      <c r="W1516" s="251"/>
      <c r="X1516" s="251"/>
      <c r="Y1516" s="251"/>
      <c r="Z1516" s="251"/>
      <c r="AA1516" s="251"/>
      <c r="AB1516" s="251"/>
    </row>
    <row r="1517" ht="14.25" customHeight="1">
      <c r="A1517" s="251"/>
      <c r="B1517" s="263"/>
      <c r="C1517" s="275"/>
      <c r="D1517" s="98"/>
      <c r="E1517" s="240"/>
      <c r="F1517" s="240"/>
      <c r="G1517" s="240"/>
      <c r="H1517" s="240"/>
      <c r="I1517" s="276"/>
      <c r="J1517" s="251"/>
      <c r="K1517" s="251"/>
      <c r="L1517" s="251"/>
      <c r="M1517" s="251"/>
      <c r="N1517" s="251"/>
      <c r="O1517" s="251"/>
      <c r="P1517" s="251"/>
      <c r="Q1517" s="251"/>
      <c r="R1517" s="251"/>
      <c r="S1517" s="251"/>
      <c r="T1517" s="251"/>
      <c r="U1517" s="251"/>
      <c r="V1517" s="251"/>
      <c r="W1517" s="251"/>
      <c r="X1517" s="251"/>
      <c r="Y1517" s="251"/>
      <c r="Z1517" s="251"/>
      <c r="AA1517" s="251"/>
      <c r="AB1517" s="251"/>
    </row>
    <row r="1518" ht="14.25" customHeight="1">
      <c r="A1518" s="251"/>
      <c r="B1518" s="263"/>
      <c r="C1518" s="275"/>
      <c r="D1518" s="98"/>
      <c r="E1518" s="240"/>
      <c r="F1518" s="240"/>
      <c r="G1518" s="240"/>
      <c r="H1518" s="240"/>
      <c r="I1518" s="276"/>
      <c r="J1518" s="251"/>
      <c r="K1518" s="251"/>
      <c r="L1518" s="251"/>
      <c r="M1518" s="251"/>
      <c r="N1518" s="251"/>
      <c r="O1518" s="251"/>
      <c r="P1518" s="251"/>
      <c r="Q1518" s="251"/>
      <c r="R1518" s="251"/>
      <c r="S1518" s="251"/>
      <c r="T1518" s="251"/>
      <c r="U1518" s="251"/>
      <c r="V1518" s="251"/>
      <c r="W1518" s="251"/>
      <c r="X1518" s="251"/>
      <c r="Y1518" s="251"/>
      <c r="Z1518" s="251"/>
      <c r="AA1518" s="251"/>
      <c r="AB1518" s="251"/>
    </row>
    <row r="1519" ht="14.25" customHeight="1">
      <c r="A1519" s="251"/>
      <c r="B1519" s="263"/>
      <c r="C1519" s="275"/>
      <c r="D1519" s="98"/>
      <c r="E1519" s="240"/>
      <c r="F1519" s="240"/>
      <c r="G1519" s="240"/>
      <c r="H1519" s="240"/>
      <c r="I1519" s="276"/>
      <c r="J1519" s="251"/>
      <c r="K1519" s="251"/>
      <c r="L1519" s="251"/>
      <c r="M1519" s="251"/>
      <c r="N1519" s="251"/>
      <c r="O1519" s="251"/>
      <c r="P1519" s="251"/>
      <c r="Q1519" s="251"/>
      <c r="R1519" s="251"/>
      <c r="S1519" s="251"/>
      <c r="T1519" s="251"/>
      <c r="U1519" s="251"/>
      <c r="V1519" s="251"/>
      <c r="W1519" s="251"/>
      <c r="X1519" s="251"/>
      <c r="Y1519" s="251"/>
      <c r="Z1519" s="251"/>
      <c r="AA1519" s="251"/>
      <c r="AB1519" s="251"/>
    </row>
    <row r="1520" ht="14.25" customHeight="1">
      <c r="A1520" s="251"/>
      <c r="B1520" s="263"/>
      <c r="C1520" s="275"/>
      <c r="D1520" s="98"/>
      <c r="E1520" s="240"/>
      <c r="F1520" s="240"/>
      <c r="G1520" s="240"/>
      <c r="H1520" s="240"/>
      <c r="I1520" s="276"/>
      <c r="J1520" s="251"/>
      <c r="K1520" s="251"/>
      <c r="L1520" s="251"/>
      <c r="M1520" s="251"/>
      <c r="N1520" s="251"/>
      <c r="O1520" s="251"/>
      <c r="P1520" s="251"/>
      <c r="Q1520" s="251"/>
      <c r="R1520" s="251"/>
      <c r="S1520" s="251"/>
      <c r="T1520" s="251"/>
      <c r="U1520" s="251"/>
      <c r="V1520" s="251"/>
      <c r="W1520" s="251"/>
      <c r="X1520" s="251"/>
      <c r="Y1520" s="251"/>
      <c r="Z1520" s="251"/>
      <c r="AA1520" s="251"/>
      <c r="AB1520" s="251"/>
    </row>
    <row r="1521" ht="14.25" customHeight="1">
      <c r="A1521" s="251"/>
      <c r="B1521" s="263"/>
      <c r="C1521" s="275"/>
      <c r="D1521" s="98"/>
      <c r="E1521" s="240"/>
      <c r="F1521" s="240"/>
      <c r="G1521" s="240"/>
      <c r="H1521" s="240"/>
      <c r="I1521" s="276"/>
      <c r="J1521" s="251"/>
      <c r="K1521" s="251"/>
      <c r="L1521" s="251"/>
      <c r="M1521" s="251"/>
      <c r="N1521" s="251"/>
      <c r="O1521" s="251"/>
      <c r="P1521" s="251"/>
      <c r="Q1521" s="251"/>
      <c r="R1521" s="251"/>
      <c r="S1521" s="251"/>
      <c r="T1521" s="251"/>
      <c r="U1521" s="251"/>
      <c r="V1521" s="251"/>
      <c r="W1521" s="251"/>
      <c r="X1521" s="251"/>
      <c r="Y1521" s="251"/>
      <c r="Z1521" s="251"/>
      <c r="AA1521" s="251"/>
      <c r="AB1521" s="251"/>
    </row>
    <row r="1522" ht="14.25" customHeight="1">
      <c r="A1522" s="251"/>
      <c r="B1522" s="263"/>
      <c r="C1522" s="275"/>
      <c r="D1522" s="98"/>
      <c r="E1522" s="240"/>
      <c r="F1522" s="240"/>
      <c r="G1522" s="240"/>
      <c r="H1522" s="240"/>
      <c r="I1522" s="276"/>
      <c r="J1522" s="251"/>
      <c r="K1522" s="251"/>
      <c r="L1522" s="251"/>
      <c r="M1522" s="251"/>
      <c r="N1522" s="251"/>
      <c r="O1522" s="251"/>
      <c r="P1522" s="251"/>
      <c r="Q1522" s="251"/>
      <c r="R1522" s="251"/>
      <c r="S1522" s="251"/>
      <c r="T1522" s="251"/>
      <c r="U1522" s="251"/>
      <c r="V1522" s="251"/>
      <c r="W1522" s="251"/>
      <c r="X1522" s="251"/>
      <c r="Y1522" s="251"/>
      <c r="Z1522" s="251"/>
      <c r="AA1522" s="251"/>
      <c r="AB1522" s="251"/>
    </row>
    <row r="1523" ht="14.25" customHeight="1">
      <c r="A1523" s="251"/>
      <c r="B1523" s="263"/>
      <c r="C1523" s="275"/>
      <c r="D1523" s="98"/>
      <c r="E1523" s="240"/>
      <c r="F1523" s="240"/>
      <c r="G1523" s="240"/>
      <c r="H1523" s="240"/>
      <c r="I1523" s="276"/>
      <c r="J1523" s="251"/>
      <c r="K1523" s="251"/>
      <c r="L1523" s="251"/>
      <c r="M1523" s="251"/>
      <c r="N1523" s="251"/>
      <c r="O1523" s="251"/>
      <c r="P1523" s="251"/>
      <c r="Q1523" s="251"/>
      <c r="R1523" s="251"/>
      <c r="S1523" s="251"/>
      <c r="T1523" s="251"/>
      <c r="U1523" s="251"/>
      <c r="V1523" s="251"/>
      <c r="W1523" s="251"/>
      <c r="X1523" s="251"/>
      <c r="Y1523" s="251"/>
      <c r="Z1523" s="251"/>
      <c r="AA1523" s="251"/>
      <c r="AB1523" s="251"/>
    </row>
    <row r="1524" ht="14.25" customHeight="1">
      <c r="A1524" s="251"/>
      <c r="B1524" s="263"/>
      <c r="C1524" s="275"/>
      <c r="D1524" s="98"/>
      <c r="E1524" s="240"/>
      <c r="F1524" s="240"/>
      <c r="G1524" s="240"/>
      <c r="H1524" s="240"/>
      <c r="I1524" s="276"/>
      <c r="J1524" s="251"/>
      <c r="K1524" s="251"/>
      <c r="L1524" s="251"/>
      <c r="M1524" s="251"/>
      <c r="N1524" s="251"/>
      <c r="O1524" s="251"/>
      <c r="P1524" s="251"/>
      <c r="Q1524" s="251"/>
      <c r="R1524" s="251"/>
      <c r="S1524" s="251"/>
      <c r="T1524" s="251"/>
      <c r="U1524" s="251"/>
      <c r="V1524" s="251"/>
      <c r="W1524" s="251"/>
      <c r="X1524" s="251"/>
      <c r="Y1524" s="251"/>
      <c r="Z1524" s="251"/>
      <c r="AA1524" s="251"/>
      <c r="AB1524" s="251"/>
    </row>
    <row r="1525" ht="14.25" customHeight="1">
      <c r="A1525" s="251"/>
      <c r="B1525" s="263"/>
      <c r="C1525" s="275"/>
      <c r="D1525" s="98"/>
      <c r="E1525" s="240"/>
      <c r="F1525" s="240"/>
      <c r="G1525" s="240"/>
      <c r="H1525" s="240"/>
      <c r="I1525" s="276"/>
      <c r="J1525" s="251"/>
      <c r="K1525" s="251"/>
      <c r="L1525" s="251"/>
      <c r="M1525" s="251"/>
      <c r="N1525" s="251"/>
      <c r="O1525" s="251"/>
      <c r="P1525" s="251"/>
      <c r="Q1525" s="251"/>
      <c r="R1525" s="251"/>
      <c r="S1525" s="251"/>
      <c r="T1525" s="251"/>
      <c r="U1525" s="251"/>
      <c r="V1525" s="251"/>
      <c r="W1525" s="251"/>
      <c r="X1525" s="251"/>
      <c r="Y1525" s="251"/>
      <c r="Z1525" s="251"/>
      <c r="AA1525" s="251"/>
      <c r="AB1525" s="251"/>
    </row>
    <row r="1526" ht="14.25" customHeight="1">
      <c r="A1526" s="251"/>
      <c r="B1526" s="263"/>
      <c r="C1526" s="275"/>
      <c r="D1526" s="98"/>
      <c r="E1526" s="240"/>
      <c r="F1526" s="240"/>
      <c r="G1526" s="240"/>
      <c r="H1526" s="240"/>
      <c r="I1526" s="276"/>
      <c r="J1526" s="251"/>
      <c r="K1526" s="251"/>
      <c r="L1526" s="251"/>
      <c r="M1526" s="251"/>
      <c r="N1526" s="251"/>
      <c r="O1526" s="251"/>
      <c r="P1526" s="251"/>
      <c r="Q1526" s="251"/>
      <c r="R1526" s="251"/>
      <c r="S1526" s="251"/>
      <c r="T1526" s="251"/>
      <c r="U1526" s="251"/>
      <c r="V1526" s="251"/>
      <c r="W1526" s="251"/>
      <c r="X1526" s="251"/>
      <c r="Y1526" s="251"/>
      <c r="Z1526" s="251"/>
      <c r="AA1526" s="251"/>
      <c r="AB1526" s="251"/>
    </row>
    <row r="1527" ht="14.25" customHeight="1">
      <c r="A1527" s="251"/>
      <c r="B1527" s="263"/>
      <c r="C1527" s="275"/>
      <c r="D1527" s="98"/>
      <c r="E1527" s="240"/>
      <c r="F1527" s="240"/>
      <c r="G1527" s="240"/>
      <c r="H1527" s="240"/>
      <c r="I1527" s="276"/>
      <c r="J1527" s="251"/>
      <c r="K1527" s="251"/>
      <c r="L1527" s="251"/>
      <c r="M1527" s="251"/>
      <c r="N1527" s="251"/>
      <c r="O1527" s="251"/>
      <c r="P1527" s="251"/>
      <c r="Q1527" s="251"/>
      <c r="R1527" s="251"/>
      <c r="S1527" s="251"/>
      <c r="T1527" s="251"/>
      <c r="U1527" s="251"/>
      <c r="V1527" s="251"/>
      <c r="W1527" s="251"/>
      <c r="X1527" s="251"/>
      <c r="Y1527" s="251"/>
      <c r="Z1527" s="251"/>
      <c r="AA1527" s="251"/>
      <c r="AB1527" s="251"/>
    </row>
    <row r="1528" ht="14.25" customHeight="1">
      <c r="A1528" s="251"/>
      <c r="B1528" s="263"/>
      <c r="C1528" s="275"/>
      <c r="D1528" s="98"/>
      <c r="E1528" s="240"/>
      <c r="F1528" s="240"/>
      <c r="G1528" s="240"/>
      <c r="H1528" s="240"/>
      <c r="I1528" s="276"/>
      <c r="J1528" s="251"/>
      <c r="K1528" s="251"/>
      <c r="L1528" s="251"/>
      <c r="M1528" s="251"/>
      <c r="N1528" s="251"/>
      <c r="O1528" s="251"/>
      <c r="P1528" s="251"/>
      <c r="Q1528" s="251"/>
      <c r="R1528" s="251"/>
      <c r="S1528" s="251"/>
      <c r="T1528" s="251"/>
      <c r="U1528" s="251"/>
      <c r="V1528" s="251"/>
      <c r="W1528" s="251"/>
      <c r="X1528" s="251"/>
      <c r="Y1528" s="251"/>
      <c r="Z1528" s="251"/>
      <c r="AA1528" s="251"/>
      <c r="AB1528" s="251"/>
    </row>
    <row r="1529" ht="14.25" customHeight="1">
      <c r="A1529" s="251"/>
      <c r="B1529" s="263"/>
      <c r="C1529" s="275"/>
      <c r="D1529" s="98"/>
      <c r="E1529" s="240"/>
      <c r="F1529" s="240"/>
      <c r="G1529" s="240"/>
      <c r="H1529" s="240"/>
      <c r="I1529" s="276"/>
      <c r="J1529" s="251"/>
      <c r="K1529" s="251"/>
      <c r="L1529" s="251"/>
      <c r="M1529" s="251"/>
      <c r="N1529" s="251"/>
      <c r="O1529" s="251"/>
      <c r="P1529" s="251"/>
      <c r="Q1529" s="251"/>
      <c r="R1529" s="251"/>
      <c r="S1529" s="251"/>
      <c r="T1529" s="251"/>
      <c r="U1529" s="251"/>
      <c r="V1529" s="251"/>
      <c r="W1529" s="251"/>
      <c r="X1529" s="251"/>
      <c r="Y1529" s="251"/>
      <c r="Z1529" s="251"/>
      <c r="AA1529" s="251"/>
      <c r="AB1529" s="251"/>
    </row>
    <row r="1530" ht="14.25" customHeight="1">
      <c r="A1530" s="251"/>
      <c r="B1530" s="263"/>
      <c r="C1530" s="275"/>
      <c r="D1530" s="98"/>
      <c r="E1530" s="240"/>
      <c r="F1530" s="240"/>
      <c r="G1530" s="240"/>
      <c r="H1530" s="240"/>
      <c r="I1530" s="276"/>
      <c r="J1530" s="251"/>
      <c r="K1530" s="251"/>
      <c r="L1530" s="251"/>
      <c r="M1530" s="251"/>
      <c r="N1530" s="251"/>
      <c r="O1530" s="251"/>
      <c r="P1530" s="251"/>
      <c r="Q1530" s="251"/>
      <c r="R1530" s="251"/>
      <c r="S1530" s="251"/>
      <c r="T1530" s="251"/>
      <c r="U1530" s="251"/>
      <c r="V1530" s="251"/>
      <c r="W1530" s="251"/>
      <c r="X1530" s="251"/>
      <c r="Y1530" s="251"/>
      <c r="Z1530" s="251"/>
      <c r="AA1530" s="251"/>
      <c r="AB1530" s="251"/>
    </row>
    <row r="1531" ht="14.25" customHeight="1">
      <c r="A1531" s="251"/>
      <c r="B1531" s="263"/>
      <c r="C1531" s="275"/>
      <c r="D1531" s="98"/>
      <c r="E1531" s="240"/>
      <c r="F1531" s="240"/>
      <c r="G1531" s="240"/>
      <c r="H1531" s="240"/>
      <c r="I1531" s="276"/>
      <c r="J1531" s="251"/>
      <c r="K1531" s="251"/>
      <c r="L1531" s="251"/>
      <c r="M1531" s="251"/>
      <c r="N1531" s="251"/>
      <c r="O1531" s="251"/>
      <c r="P1531" s="251"/>
      <c r="Q1531" s="251"/>
      <c r="R1531" s="251"/>
      <c r="S1531" s="251"/>
      <c r="T1531" s="251"/>
      <c r="U1531" s="251"/>
      <c r="V1531" s="251"/>
      <c r="W1531" s="251"/>
      <c r="X1531" s="251"/>
      <c r="Y1531" s="251"/>
      <c r="Z1531" s="251"/>
      <c r="AA1531" s="251"/>
      <c r="AB1531" s="251"/>
    </row>
    <row r="1532" ht="14.25" customHeight="1">
      <c r="A1532" s="251"/>
      <c r="B1532" s="263"/>
      <c r="C1532" s="275"/>
      <c r="D1532" s="98"/>
      <c r="E1532" s="240"/>
      <c r="F1532" s="240"/>
      <c r="G1532" s="240"/>
      <c r="H1532" s="240"/>
      <c r="I1532" s="276"/>
      <c r="J1532" s="251"/>
      <c r="K1532" s="251"/>
      <c r="L1532" s="251"/>
      <c r="M1532" s="251"/>
      <c r="N1532" s="251"/>
      <c r="O1532" s="251"/>
      <c r="P1532" s="251"/>
      <c r="Q1532" s="251"/>
      <c r="R1532" s="251"/>
      <c r="S1532" s="251"/>
      <c r="T1532" s="251"/>
      <c r="U1532" s="251"/>
      <c r="V1532" s="251"/>
      <c r="W1532" s="251"/>
      <c r="X1532" s="251"/>
      <c r="Y1532" s="251"/>
      <c r="Z1532" s="251"/>
      <c r="AA1532" s="251"/>
      <c r="AB1532" s="251"/>
    </row>
    <row r="1533" ht="14.25" customHeight="1">
      <c r="A1533" s="251"/>
      <c r="B1533" s="263"/>
      <c r="C1533" s="275"/>
      <c r="D1533" s="98"/>
      <c r="E1533" s="240"/>
      <c r="F1533" s="240"/>
      <c r="G1533" s="240"/>
      <c r="H1533" s="240"/>
      <c r="I1533" s="276"/>
      <c r="J1533" s="251"/>
      <c r="K1533" s="251"/>
      <c r="L1533" s="251"/>
      <c r="M1533" s="251"/>
      <c r="N1533" s="251"/>
      <c r="O1533" s="251"/>
      <c r="P1533" s="251"/>
      <c r="Q1533" s="251"/>
      <c r="R1533" s="251"/>
      <c r="S1533" s="251"/>
      <c r="T1533" s="251"/>
      <c r="U1533" s="251"/>
      <c r="V1533" s="251"/>
      <c r="W1533" s="251"/>
      <c r="X1533" s="251"/>
      <c r="Y1533" s="251"/>
      <c r="Z1533" s="251"/>
      <c r="AA1533" s="251"/>
      <c r="AB1533" s="251"/>
    </row>
    <row r="1534" ht="14.25" customHeight="1">
      <c r="A1534" s="251"/>
      <c r="B1534" s="263"/>
      <c r="C1534" s="275"/>
      <c r="D1534" s="98"/>
      <c r="E1534" s="240"/>
      <c r="F1534" s="240"/>
      <c r="G1534" s="240"/>
      <c r="H1534" s="240"/>
      <c r="I1534" s="276"/>
      <c r="J1534" s="251"/>
      <c r="K1534" s="251"/>
      <c r="L1534" s="251"/>
      <c r="M1534" s="251"/>
      <c r="N1534" s="251"/>
      <c r="O1534" s="251"/>
      <c r="P1534" s="251"/>
      <c r="Q1534" s="251"/>
      <c r="R1534" s="251"/>
      <c r="S1534" s="251"/>
      <c r="T1534" s="251"/>
      <c r="U1534" s="251"/>
      <c r="V1534" s="251"/>
      <c r="W1534" s="251"/>
      <c r="X1534" s="251"/>
      <c r="Y1534" s="251"/>
      <c r="Z1534" s="251"/>
      <c r="AA1534" s="251"/>
      <c r="AB1534" s="251"/>
    </row>
    <row r="1535" ht="14.25" customHeight="1">
      <c r="A1535" s="251"/>
      <c r="B1535" s="263"/>
      <c r="C1535" s="275"/>
      <c r="D1535" s="98"/>
      <c r="E1535" s="240"/>
      <c r="F1535" s="240"/>
      <c r="G1535" s="240"/>
      <c r="H1535" s="240"/>
      <c r="I1535" s="276"/>
      <c r="J1535" s="251"/>
      <c r="K1535" s="251"/>
      <c r="L1535" s="251"/>
      <c r="M1535" s="251"/>
      <c r="N1535" s="251"/>
      <c r="O1535" s="251"/>
      <c r="P1535" s="251"/>
      <c r="Q1535" s="251"/>
      <c r="R1535" s="251"/>
      <c r="S1535" s="251"/>
      <c r="T1535" s="251"/>
      <c r="U1535" s="251"/>
      <c r="V1535" s="251"/>
      <c r="W1535" s="251"/>
      <c r="X1535" s="251"/>
      <c r="Y1535" s="251"/>
      <c r="Z1535" s="251"/>
      <c r="AA1535" s="251"/>
      <c r="AB1535" s="251"/>
    </row>
    <row r="1536" ht="14.25" customHeight="1">
      <c r="A1536" s="251"/>
      <c r="B1536" s="263"/>
      <c r="C1536" s="275"/>
      <c r="D1536" s="98"/>
      <c r="E1536" s="240"/>
      <c r="F1536" s="240"/>
      <c r="G1536" s="240"/>
      <c r="H1536" s="240"/>
      <c r="I1536" s="276"/>
      <c r="J1536" s="251"/>
      <c r="K1536" s="251"/>
      <c r="L1536" s="251"/>
      <c r="M1536" s="251"/>
      <c r="N1536" s="251"/>
      <c r="O1536" s="251"/>
      <c r="P1536" s="251"/>
      <c r="Q1536" s="251"/>
      <c r="R1536" s="251"/>
      <c r="S1536" s="251"/>
      <c r="T1536" s="251"/>
      <c r="U1536" s="251"/>
      <c r="V1536" s="251"/>
      <c r="W1536" s="251"/>
      <c r="X1536" s="251"/>
      <c r="Y1536" s="251"/>
      <c r="Z1536" s="251"/>
      <c r="AA1536" s="251"/>
      <c r="AB1536" s="251"/>
    </row>
    <row r="1537" ht="14.25" customHeight="1">
      <c r="A1537" s="251"/>
      <c r="B1537" s="263"/>
      <c r="C1537" s="275"/>
      <c r="D1537" s="98"/>
      <c r="E1537" s="240"/>
      <c r="F1537" s="240"/>
      <c r="G1537" s="240"/>
      <c r="H1537" s="240"/>
      <c r="I1537" s="276"/>
      <c r="J1537" s="251"/>
      <c r="K1537" s="251"/>
      <c r="L1537" s="251"/>
      <c r="M1537" s="251"/>
      <c r="N1537" s="251"/>
      <c r="O1537" s="251"/>
      <c r="P1537" s="251"/>
      <c r="Q1537" s="251"/>
      <c r="R1537" s="251"/>
      <c r="S1537" s="251"/>
      <c r="T1537" s="251"/>
      <c r="U1537" s="251"/>
      <c r="V1537" s="251"/>
      <c r="W1537" s="251"/>
      <c r="X1537" s="251"/>
      <c r="Y1537" s="251"/>
      <c r="Z1537" s="251"/>
      <c r="AA1537" s="251"/>
      <c r="AB1537" s="251"/>
    </row>
    <row r="1538" ht="14.25" customHeight="1">
      <c r="A1538" s="251"/>
      <c r="B1538" s="263"/>
      <c r="C1538" s="275"/>
      <c r="D1538" s="98"/>
      <c r="E1538" s="240"/>
      <c r="F1538" s="240"/>
      <c r="G1538" s="240"/>
      <c r="H1538" s="240"/>
      <c r="I1538" s="276"/>
      <c r="J1538" s="251"/>
      <c r="K1538" s="251"/>
      <c r="L1538" s="251"/>
      <c r="M1538" s="251"/>
      <c r="N1538" s="251"/>
      <c r="O1538" s="251"/>
      <c r="P1538" s="251"/>
      <c r="Q1538" s="251"/>
      <c r="R1538" s="251"/>
      <c r="S1538" s="251"/>
      <c r="T1538" s="251"/>
      <c r="U1538" s="251"/>
      <c r="V1538" s="251"/>
      <c r="W1538" s="251"/>
      <c r="X1538" s="251"/>
      <c r="Y1538" s="251"/>
      <c r="Z1538" s="251"/>
      <c r="AA1538" s="251"/>
      <c r="AB1538" s="251"/>
    </row>
    <row r="1539" ht="14.25" customHeight="1">
      <c r="A1539" s="251"/>
      <c r="B1539" s="263"/>
      <c r="C1539" s="275"/>
      <c r="D1539" s="98"/>
      <c r="E1539" s="240"/>
      <c r="F1539" s="240"/>
      <c r="G1539" s="240"/>
      <c r="H1539" s="240"/>
      <c r="I1539" s="276"/>
      <c r="J1539" s="251"/>
      <c r="K1539" s="251"/>
      <c r="L1539" s="251"/>
      <c r="M1539" s="251"/>
      <c r="N1539" s="251"/>
      <c r="O1539" s="251"/>
      <c r="P1539" s="251"/>
      <c r="Q1539" s="251"/>
      <c r="R1539" s="251"/>
      <c r="S1539" s="251"/>
      <c r="T1539" s="251"/>
      <c r="U1539" s="251"/>
      <c r="V1539" s="251"/>
      <c r="W1539" s="251"/>
      <c r="X1539" s="251"/>
      <c r="Y1539" s="251"/>
      <c r="Z1539" s="251"/>
      <c r="AA1539" s="251"/>
      <c r="AB1539" s="251"/>
    </row>
    <row r="1540" ht="14.25" customHeight="1">
      <c r="A1540" s="251"/>
      <c r="B1540" s="263"/>
      <c r="C1540" s="275"/>
      <c r="D1540" s="98"/>
      <c r="E1540" s="240"/>
      <c r="F1540" s="240"/>
      <c r="G1540" s="240"/>
      <c r="H1540" s="240"/>
      <c r="I1540" s="276"/>
      <c r="J1540" s="251"/>
      <c r="K1540" s="251"/>
      <c r="L1540" s="251"/>
      <c r="M1540" s="251"/>
      <c r="N1540" s="251"/>
      <c r="O1540" s="251"/>
      <c r="P1540" s="251"/>
      <c r="Q1540" s="251"/>
      <c r="R1540" s="251"/>
      <c r="S1540" s="251"/>
      <c r="T1540" s="251"/>
      <c r="U1540" s="251"/>
      <c r="V1540" s="251"/>
      <c r="W1540" s="251"/>
      <c r="X1540" s="251"/>
      <c r="Y1540" s="251"/>
      <c r="Z1540" s="251"/>
      <c r="AA1540" s="251"/>
      <c r="AB1540" s="251"/>
    </row>
    <row r="1541" ht="14.25" customHeight="1">
      <c r="A1541" s="251"/>
      <c r="B1541" s="263"/>
      <c r="C1541" s="275"/>
      <c r="D1541" s="98"/>
      <c r="E1541" s="240"/>
      <c r="F1541" s="240"/>
      <c r="G1541" s="240"/>
      <c r="H1541" s="240"/>
      <c r="I1541" s="276"/>
      <c r="J1541" s="251"/>
      <c r="K1541" s="251"/>
      <c r="L1541" s="251"/>
      <c r="M1541" s="251"/>
      <c r="N1541" s="251"/>
      <c r="O1541" s="251"/>
      <c r="P1541" s="251"/>
      <c r="Q1541" s="251"/>
      <c r="R1541" s="251"/>
      <c r="S1541" s="251"/>
      <c r="T1541" s="251"/>
      <c r="U1541" s="251"/>
      <c r="V1541" s="251"/>
      <c r="W1541" s="251"/>
      <c r="X1541" s="251"/>
      <c r="Y1541" s="251"/>
      <c r="Z1541" s="251"/>
      <c r="AA1541" s="251"/>
      <c r="AB1541" s="251"/>
    </row>
    <row r="1542" ht="14.25" customHeight="1">
      <c r="A1542" s="251"/>
      <c r="B1542" s="263"/>
      <c r="C1542" s="275"/>
      <c r="D1542" s="98"/>
      <c r="E1542" s="240"/>
      <c r="F1542" s="240"/>
      <c r="G1542" s="240"/>
      <c r="H1542" s="240"/>
      <c r="I1542" s="276"/>
      <c r="J1542" s="251"/>
      <c r="K1542" s="251"/>
      <c r="L1542" s="251"/>
      <c r="M1542" s="251"/>
      <c r="N1542" s="251"/>
      <c r="O1542" s="251"/>
      <c r="P1542" s="251"/>
      <c r="Q1542" s="251"/>
      <c r="R1542" s="251"/>
      <c r="S1542" s="251"/>
      <c r="T1542" s="251"/>
      <c r="U1542" s="251"/>
      <c r="V1542" s="251"/>
      <c r="W1542" s="251"/>
      <c r="X1542" s="251"/>
      <c r="Y1542" s="251"/>
      <c r="Z1542" s="251"/>
      <c r="AA1542" s="251"/>
      <c r="AB1542" s="251"/>
    </row>
    <row r="1543" ht="14.25" customHeight="1">
      <c r="A1543" s="251"/>
      <c r="B1543" s="263"/>
      <c r="C1543" s="275"/>
      <c r="D1543" s="98"/>
      <c r="E1543" s="240"/>
      <c r="F1543" s="240"/>
      <c r="G1543" s="240"/>
      <c r="H1543" s="240"/>
      <c r="I1543" s="276"/>
      <c r="J1543" s="251"/>
      <c r="K1543" s="251"/>
      <c r="L1543" s="251"/>
      <c r="M1543" s="251"/>
      <c r="N1543" s="251"/>
      <c r="O1543" s="251"/>
      <c r="P1543" s="251"/>
      <c r="Q1543" s="251"/>
      <c r="R1543" s="251"/>
      <c r="S1543" s="251"/>
      <c r="T1543" s="251"/>
      <c r="U1543" s="251"/>
      <c r="V1543" s="251"/>
      <c r="W1543" s="251"/>
      <c r="X1543" s="251"/>
      <c r="Y1543" s="251"/>
      <c r="Z1543" s="251"/>
      <c r="AA1543" s="251"/>
      <c r="AB1543" s="251"/>
    </row>
    <row r="1544" ht="14.25" customHeight="1">
      <c r="A1544" s="251"/>
      <c r="B1544" s="263"/>
      <c r="C1544" s="275"/>
      <c r="D1544" s="98"/>
      <c r="E1544" s="240"/>
      <c r="F1544" s="240"/>
      <c r="G1544" s="240"/>
      <c r="H1544" s="240"/>
      <c r="I1544" s="276"/>
      <c r="J1544" s="251"/>
      <c r="K1544" s="251"/>
      <c r="L1544" s="251"/>
      <c r="M1544" s="251"/>
      <c r="N1544" s="251"/>
      <c r="O1544" s="251"/>
      <c r="P1544" s="251"/>
      <c r="Q1544" s="251"/>
      <c r="R1544" s="251"/>
      <c r="S1544" s="251"/>
      <c r="T1544" s="251"/>
      <c r="U1544" s="251"/>
      <c r="V1544" s="251"/>
      <c r="W1544" s="251"/>
      <c r="X1544" s="251"/>
      <c r="Y1544" s="251"/>
      <c r="Z1544" s="251"/>
      <c r="AA1544" s="251"/>
      <c r="AB1544" s="251"/>
    </row>
    <row r="1545" ht="14.25" customHeight="1">
      <c r="A1545" s="251"/>
      <c r="B1545" s="263"/>
      <c r="C1545" s="275"/>
      <c r="D1545" s="98"/>
      <c r="E1545" s="240"/>
      <c r="F1545" s="240"/>
      <c r="G1545" s="240"/>
      <c r="H1545" s="240"/>
      <c r="I1545" s="276"/>
      <c r="J1545" s="251"/>
      <c r="K1545" s="251"/>
      <c r="L1545" s="251"/>
      <c r="M1545" s="251"/>
      <c r="N1545" s="251"/>
      <c r="O1545" s="251"/>
      <c r="P1545" s="251"/>
      <c r="Q1545" s="251"/>
      <c r="R1545" s="251"/>
      <c r="S1545" s="251"/>
      <c r="T1545" s="251"/>
      <c r="U1545" s="251"/>
      <c r="V1545" s="251"/>
      <c r="W1545" s="251"/>
      <c r="X1545" s="251"/>
      <c r="Y1545" s="251"/>
      <c r="Z1545" s="251"/>
      <c r="AA1545" s="251"/>
      <c r="AB1545" s="251"/>
    </row>
    <row r="1546" ht="14.25" customHeight="1">
      <c r="A1546" s="251"/>
      <c r="B1546" s="263"/>
      <c r="C1546" s="275"/>
      <c r="D1546" s="98"/>
      <c r="E1546" s="240"/>
      <c r="F1546" s="240"/>
      <c r="G1546" s="240"/>
      <c r="H1546" s="240"/>
      <c r="I1546" s="276"/>
      <c r="J1546" s="251"/>
      <c r="K1546" s="251"/>
      <c r="L1546" s="251"/>
      <c r="M1546" s="251"/>
      <c r="N1546" s="251"/>
      <c r="O1546" s="251"/>
      <c r="P1546" s="251"/>
      <c r="Q1546" s="251"/>
      <c r="R1546" s="251"/>
      <c r="S1546" s="251"/>
      <c r="T1546" s="251"/>
      <c r="U1546" s="251"/>
      <c r="V1546" s="251"/>
      <c r="W1546" s="251"/>
      <c r="X1546" s="251"/>
      <c r="Y1546" s="251"/>
      <c r="Z1546" s="251"/>
      <c r="AA1546" s="251"/>
      <c r="AB1546" s="251"/>
    </row>
    <row r="1547" ht="14.25" customHeight="1">
      <c r="A1547" s="251"/>
      <c r="B1547" s="263"/>
      <c r="C1547" s="275"/>
      <c r="D1547" s="98"/>
      <c r="E1547" s="240"/>
      <c r="F1547" s="240"/>
      <c r="G1547" s="240"/>
      <c r="H1547" s="240"/>
      <c r="I1547" s="276"/>
      <c r="J1547" s="251"/>
      <c r="K1547" s="251"/>
      <c r="L1547" s="251"/>
      <c r="M1547" s="251"/>
      <c r="N1547" s="251"/>
      <c r="O1547" s="251"/>
      <c r="P1547" s="251"/>
      <c r="Q1547" s="251"/>
      <c r="R1547" s="251"/>
      <c r="S1547" s="251"/>
      <c r="T1547" s="251"/>
      <c r="U1547" s="251"/>
      <c r="V1547" s="251"/>
      <c r="W1547" s="251"/>
      <c r="X1547" s="251"/>
      <c r="Y1547" s="251"/>
      <c r="Z1547" s="251"/>
      <c r="AA1547" s="251"/>
      <c r="AB1547" s="251"/>
    </row>
    <row r="1548" ht="14.25" customHeight="1">
      <c r="A1548" s="251"/>
      <c r="B1548" s="263"/>
      <c r="C1548" s="275"/>
      <c r="D1548" s="98"/>
      <c r="E1548" s="240"/>
      <c r="F1548" s="240"/>
      <c r="G1548" s="240"/>
      <c r="H1548" s="240"/>
      <c r="I1548" s="276"/>
      <c r="J1548" s="251"/>
      <c r="K1548" s="251"/>
      <c r="L1548" s="251"/>
      <c r="M1548" s="251"/>
      <c r="N1548" s="251"/>
      <c r="O1548" s="251"/>
      <c r="P1548" s="251"/>
      <c r="Q1548" s="251"/>
      <c r="R1548" s="251"/>
      <c r="S1548" s="251"/>
      <c r="T1548" s="251"/>
      <c r="U1548" s="251"/>
      <c r="V1548" s="251"/>
      <c r="W1548" s="251"/>
      <c r="X1548" s="251"/>
      <c r="Y1548" s="251"/>
      <c r="Z1548" s="251"/>
      <c r="AA1548" s="251"/>
      <c r="AB1548" s="251"/>
    </row>
    <row r="1549" ht="14.25" customHeight="1">
      <c r="A1549" s="251"/>
      <c r="B1549" s="263"/>
      <c r="C1549" s="275"/>
      <c r="D1549" s="98"/>
      <c r="E1549" s="240"/>
      <c r="F1549" s="240"/>
      <c r="G1549" s="240"/>
      <c r="H1549" s="240"/>
      <c r="I1549" s="276"/>
      <c r="J1549" s="251"/>
      <c r="K1549" s="251"/>
      <c r="L1549" s="251"/>
      <c r="M1549" s="251"/>
      <c r="N1549" s="251"/>
      <c r="O1549" s="251"/>
      <c r="P1549" s="251"/>
      <c r="Q1549" s="251"/>
      <c r="R1549" s="251"/>
      <c r="S1549" s="251"/>
      <c r="T1549" s="251"/>
      <c r="U1549" s="251"/>
      <c r="V1549" s="251"/>
      <c r="W1549" s="251"/>
      <c r="X1549" s="251"/>
      <c r="Y1549" s="251"/>
      <c r="Z1549" s="251"/>
      <c r="AA1549" s="251"/>
      <c r="AB1549" s="251"/>
    </row>
    <row r="1550" ht="14.25" customHeight="1">
      <c r="A1550" s="251"/>
      <c r="B1550" s="263"/>
      <c r="C1550" s="275"/>
      <c r="D1550" s="98"/>
      <c r="E1550" s="240"/>
      <c r="F1550" s="240"/>
      <c r="G1550" s="240"/>
      <c r="H1550" s="240"/>
      <c r="I1550" s="276"/>
      <c r="J1550" s="251"/>
      <c r="K1550" s="251"/>
      <c r="L1550" s="251"/>
      <c r="M1550" s="251"/>
      <c r="N1550" s="251"/>
      <c r="O1550" s="251"/>
      <c r="P1550" s="251"/>
      <c r="Q1550" s="251"/>
      <c r="R1550" s="251"/>
      <c r="S1550" s="251"/>
      <c r="T1550" s="251"/>
      <c r="U1550" s="251"/>
      <c r="V1550" s="251"/>
      <c r="W1550" s="251"/>
      <c r="X1550" s="251"/>
      <c r="Y1550" s="251"/>
      <c r="Z1550" s="251"/>
      <c r="AA1550" s="251"/>
      <c r="AB1550" s="251"/>
    </row>
    <row r="1551" ht="14.25" customHeight="1">
      <c r="A1551" s="251"/>
      <c r="B1551" s="263"/>
      <c r="C1551" s="275"/>
      <c r="D1551" s="98"/>
      <c r="E1551" s="240"/>
      <c r="F1551" s="240"/>
      <c r="G1551" s="240"/>
      <c r="H1551" s="240"/>
      <c r="I1551" s="276"/>
      <c r="J1551" s="251"/>
      <c r="K1551" s="251"/>
      <c r="L1551" s="251"/>
      <c r="M1551" s="251"/>
      <c r="N1551" s="251"/>
      <c r="O1551" s="251"/>
      <c r="P1551" s="251"/>
      <c r="Q1551" s="251"/>
      <c r="R1551" s="251"/>
      <c r="S1551" s="251"/>
      <c r="T1551" s="251"/>
      <c r="U1551" s="251"/>
      <c r="V1551" s="251"/>
      <c r="W1551" s="251"/>
      <c r="X1551" s="251"/>
      <c r="Y1551" s="251"/>
      <c r="Z1551" s="251"/>
      <c r="AA1551" s="251"/>
      <c r="AB1551" s="251"/>
    </row>
    <row r="1552" ht="14.25" customHeight="1">
      <c r="A1552" s="251"/>
      <c r="B1552" s="263"/>
      <c r="C1552" s="275"/>
      <c r="D1552" s="98"/>
      <c r="E1552" s="240"/>
      <c r="F1552" s="240"/>
      <c r="G1552" s="240"/>
      <c r="H1552" s="240"/>
      <c r="I1552" s="276"/>
      <c r="J1552" s="251"/>
      <c r="K1552" s="251"/>
      <c r="L1552" s="251"/>
      <c r="M1552" s="251"/>
      <c r="N1552" s="251"/>
      <c r="O1552" s="251"/>
      <c r="P1552" s="251"/>
      <c r="Q1552" s="251"/>
      <c r="R1552" s="251"/>
      <c r="S1552" s="251"/>
      <c r="T1552" s="251"/>
      <c r="U1552" s="251"/>
      <c r="V1552" s="251"/>
      <c r="W1552" s="251"/>
      <c r="X1552" s="251"/>
      <c r="Y1552" s="251"/>
      <c r="Z1552" s="251"/>
      <c r="AA1552" s="251"/>
      <c r="AB1552" s="251"/>
    </row>
    <row r="1553" ht="14.25" customHeight="1">
      <c r="A1553" s="251"/>
      <c r="B1553" s="263"/>
      <c r="C1553" s="275"/>
      <c r="D1553" s="98"/>
      <c r="E1553" s="240"/>
      <c r="F1553" s="240"/>
      <c r="G1553" s="240"/>
      <c r="H1553" s="240"/>
      <c r="I1553" s="276"/>
      <c r="J1553" s="251"/>
      <c r="K1553" s="251"/>
      <c r="L1553" s="251"/>
      <c r="M1553" s="251"/>
      <c r="N1553" s="251"/>
      <c r="O1553" s="251"/>
      <c r="P1553" s="251"/>
      <c r="Q1553" s="251"/>
      <c r="R1553" s="251"/>
      <c r="S1553" s="251"/>
      <c r="T1553" s="251"/>
      <c r="U1553" s="251"/>
      <c r="V1553" s="251"/>
      <c r="W1553" s="251"/>
      <c r="X1553" s="251"/>
      <c r="Y1553" s="251"/>
      <c r="Z1553" s="251"/>
      <c r="AA1553" s="251"/>
      <c r="AB1553" s="251"/>
    </row>
    <row r="1554" ht="14.25" customHeight="1">
      <c r="A1554" s="251"/>
      <c r="B1554" s="263"/>
      <c r="C1554" s="275"/>
      <c r="D1554" s="98"/>
      <c r="E1554" s="240"/>
      <c r="F1554" s="240"/>
      <c r="G1554" s="240"/>
      <c r="H1554" s="240"/>
      <c r="I1554" s="276"/>
      <c r="J1554" s="251"/>
      <c r="K1554" s="251"/>
      <c r="L1554" s="251"/>
      <c r="M1554" s="251"/>
      <c r="N1554" s="251"/>
      <c r="O1554" s="251"/>
      <c r="P1554" s="251"/>
      <c r="Q1554" s="251"/>
      <c r="R1554" s="251"/>
      <c r="S1554" s="251"/>
      <c r="T1554" s="251"/>
      <c r="U1554" s="251"/>
      <c r="V1554" s="251"/>
      <c r="W1554" s="251"/>
      <c r="X1554" s="251"/>
      <c r="Y1554" s="251"/>
      <c r="Z1554" s="251"/>
      <c r="AA1554" s="251"/>
      <c r="AB1554" s="251"/>
    </row>
    <row r="1555" ht="14.25" customHeight="1">
      <c r="A1555" s="251"/>
      <c r="B1555" s="263"/>
      <c r="C1555" s="275"/>
      <c r="D1555" s="98"/>
      <c r="E1555" s="240"/>
      <c r="F1555" s="240"/>
      <c r="G1555" s="240"/>
      <c r="H1555" s="240"/>
      <c r="I1555" s="276"/>
      <c r="J1555" s="251"/>
      <c r="K1555" s="251"/>
      <c r="L1555" s="251"/>
      <c r="M1555" s="251"/>
      <c r="N1555" s="251"/>
      <c r="O1555" s="251"/>
      <c r="P1555" s="251"/>
      <c r="Q1555" s="251"/>
      <c r="R1555" s="251"/>
      <c r="S1555" s="251"/>
      <c r="T1555" s="251"/>
      <c r="U1555" s="251"/>
      <c r="V1555" s="251"/>
      <c r="W1555" s="251"/>
      <c r="X1555" s="251"/>
      <c r="Y1555" s="251"/>
      <c r="Z1555" s="251"/>
      <c r="AA1555" s="251"/>
      <c r="AB1555" s="251"/>
    </row>
    <row r="1556" ht="14.25" customHeight="1">
      <c r="A1556" s="251"/>
      <c r="B1556" s="263"/>
      <c r="C1556" s="275"/>
      <c r="D1556" s="98"/>
      <c r="E1556" s="240"/>
      <c r="F1556" s="240"/>
      <c r="G1556" s="240"/>
      <c r="H1556" s="240"/>
      <c r="I1556" s="276"/>
      <c r="J1556" s="251"/>
      <c r="K1556" s="251"/>
      <c r="L1556" s="251"/>
      <c r="M1556" s="251"/>
      <c r="N1556" s="251"/>
      <c r="O1556" s="251"/>
      <c r="P1556" s="251"/>
      <c r="Q1556" s="251"/>
      <c r="R1556" s="251"/>
      <c r="S1556" s="251"/>
      <c r="T1556" s="251"/>
      <c r="U1556" s="251"/>
      <c r="V1556" s="251"/>
      <c r="W1556" s="251"/>
      <c r="X1556" s="251"/>
      <c r="Y1556" s="251"/>
      <c r="Z1556" s="251"/>
      <c r="AA1556" s="251"/>
      <c r="AB1556" s="251"/>
    </row>
    <row r="1557" ht="14.25" customHeight="1">
      <c r="A1557" s="251"/>
      <c r="B1557" s="263"/>
      <c r="C1557" s="275"/>
      <c r="D1557" s="98"/>
      <c r="E1557" s="240"/>
      <c r="F1557" s="240"/>
      <c r="G1557" s="240"/>
      <c r="H1557" s="240"/>
      <c r="I1557" s="276"/>
      <c r="J1557" s="251"/>
      <c r="K1557" s="251"/>
      <c r="L1557" s="251"/>
      <c r="M1557" s="251"/>
      <c r="N1557" s="251"/>
      <c r="O1557" s="251"/>
      <c r="P1557" s="251"/>
      <c r="Q1557" s="251"/>
      <c r="R1557" s="251"/>
      <c r="S1557" s="251"/>
      <c r="T1557" s="251"/>
      <c r="U1557" s="251"/>
      <c r="V1557" s="251"/>
      <c r="W1557" s="251"/>
      <c r="X1557" s="251"/>
      <c r="Y1557" s="251"/>
      <c r="Z1557" s="251"/>
      <c r="AA1557" s="251"/>
      <c r="AB1557" s="251"/>
    </row>
    <row r="1558" ht="14.25" customHeight="1">
      <c r="A1558" s="251"/>
      <c r="B1558" s="263"/>
      <c r="C1558" s="275"/>
      <c r="D1558" s="98"/>
      <c r="E1558" s="240"/>
      <c r="F1558" s="240"/>
      <c r="G1558" s="240"/>
      <c r="H1558" s="240"/>
      <c r="I1558" s="276"/>
      <c r="J1558" s="251"/>
      <c r="K1558" s="251"/>
      <c r="L1558" s="251"/>
      <c r="M1558" s="251"/>
      <c r="N1558" s="251"/>
      <c r="O1558" s="251"/>
      <c r="P1558" s="251"/>
      <c r="Q1558" s="251"/>
      <c r="R1558" s="251"/>
      <c r="S1558" s="251"/>
      <c r="T1558" s="251"/>
      <c r="U1558" s="251"/>
      <c r="V1558" s="251"/>
      <c r="W1558" s="251"/>
      <c r="X1558" s="251"/>
      <c r="Y1558" s="251"/>
      <c r="Z1558" s="251"/>
      <c r="AA1558" s="251"/>
      <c r="AB1558" s="251"/>
    </row>
    <row r="1559" ht="14.25" customHeight="1">
      <c r="A1559" s="251"/>
      <c r="B1559" s="263"/>
      <c r="C1559" s="275"/>
      <c r="D1559" s="98"/>
      <c r="E1559" s="240"/>
      <c r="F1559" s="240"/>
      <c r="G1559" s="240"/>
      <c r="H1559" s="240"/>
      <c r="I1559" s="276"/>
      <c r="J1559" s="251"/>
      <c r="K1559" s="251"/>
      <c r="L1559" s="251"/>
      <c r="M1559" s="251"/>
      <c r="N1559" s="251"/>
      <c r="O1559" s="251"/>
      <c r="P1559" s="251"/>
      <c r="Q1559" s="251"/>
      <c r="R1559" s="251"/>
      <c r="S1559" s="251"/>
      <c r="T1559" s="251"/>
      <c r="U1559" s="251"/>
      <c r="V1559" s="251"/>
      <c r="W1559" s="251"/>
      <c r="X1559" s="251"/>
      <c r="Y1559" s="251"/>
      <c r="Z1559" s="251"/>
      <c r="AA1559" s="251"/>
      <c r="AB1559" s="251"/>
    </row>
    <row r="1560" ht="14.25" customHeight="1">
      <c r="A1560" s="251"/>
      <c r="B1560" s="263"/>
      <c r="C1560" s="275"/>
      <c r="D1560" s="98"/>
      <c r="E1560" s="240"/>
      <c r="F1560" s="240"/>
      <c r="G1560" s="240"/>
      <c r="H1560" s="240"/>
      <c r="I1560" s="276"/>
      <c r="J1560" s="251"/>
      <c r="K1560" s="251"/>
      <c r="L1560" s="251"/>
      <c r="M1560" s="251"/>
      <c r="N1560" s="251"/>
      <c r="O1560" s="251"/>
      <c r="P1560" s="251"/>
      <c r="Q1560" s="251"/>
      <c r="R1560" s="251"/>
      <c r="S1560" s="251"/>
      <c r="T1560" s="251"/>
      <c r="U1560" s="251"/>
      <c r="V1560" s="251"/>
      <c r="W1560" s="251"/>
      <c r="X1560" s="251"/>
      <c r="Y1560" s="251"/>
      <c r="Z1560" s="251"/>
      <c r="AA1560" s="251"/>
      <c r="AB1560" s="251"/>
    </row>
    <row r="1561" ht="14.25" customHeight="1">
      <c r="A1561" s="251"/>
      <c r="B1561" s="263"/>
      <c r="C1561" s="275"/>
      <c r="D1561" s="98"/>
      <c r="E1561" s="240"/>
      <c r="F1561" s="240"/>
      <c r="G1561" s="240"/>
      <c r="H1561" s="240"/>
      <c r="I1561" s="276"/>
      <c r="J1561" s="251"/>
      <c r="K1561" s="251"/>
      <c r="L1561" s="251"/>
      <c r="M1561" s="251"/>
      <c r="N1561" s="251"/>
      <c r="O1561" s="251"/>
      <c r="P1561" s="251"/>
      <c r="Q1561" s="251"/>
      <c r="R1561" s="251"/>
      <c r="S1561" s="251"/>
      <c r="T1561" s="251"/>
      <c r="U1561" s="251"/>
      <c r="V1561" s="251"/>
      <c r="W1561" s="251"/>
      <c r="X1561" s="251"/>
      <c r="Y1561" s="251"/>
      <c r="Z1561" s="251"/>
      <c r="AA1561" s="251"/>
      <c r="AB1561" s="251"/>
    </row>
    <row r="1562" ht="14.25" customHeight="1">
      <c r="A1562" s="251"/>
      <c r="B1562" s="263"/>
      <c r="C1562" s="275"/>
      <c r="D1562" s="98"/>
      <c r="E1562" s="240"/>
      <c r="F1562" s="240"/>
      <c r="G1562" s="240"/>
      <c r="H1562" s="240"/>
      <c r="I1562" s="276"/>
      <c r="J1562" s="251"/>
      <c r="K1562" s="251"/>
      <c r="L1562" s="251"/>
      <c r="M1562" s="251"/>
      <c r="N1562" s="251"/>
      <c r="O1562" s="251"/>
      <c r="P1562" s="251"/>
      <c r="Q1562" s="251"/>
      <c r="R1562" s="251"/>
      <c r="S1562" s="251"/>
      <c r="T1562" s="251"/>
      <c r="U1562" s="251"/>
      <c r="V1562" s="251"/>
      <c r="W1562" s="251"/>
      <c r="X1562" s="251"/>
      <c r="Y1562" s="251"/>
      <c r="Z1562" s="251"/>
      <c r="AA1562" s="251"/>
      <c r="AB1562" s="251"/>
    </row>
    <row r="1563" ht="14.25" customHeight="1">
      <c r="A1563" s="251"/>
      <c r="B1563" s="263"/>
      <c r="C1563" s="275"/>
      <c r="D1563" s="98"/>
      <c r="E1563" s="240"/>
      <c r="F1563" s="240"/>
      <c r="G1563" s="240"/>
      <c r="H1563" s="240"/>
      <c r="I1563" s="276"/>
      <c r="J1563" s="251"/>
      <c r="K1563" s="251"/>
      <c r="L1563" s="251"/>
      <c r="M1563" s="251"/>
      <c r="N1563" s="251"/>
      <c r="O1563" s="251"/>
      <c r="P1563" s="251"/>
      <c r="Q1563" s="251"/>
      <c r="R1563" s="251"/>
      <c r="S1563" s="251"/>
      <c r="T1563" s="251"/>
      <c r="U1563" s="251"/>
      <c r="V1563" s="251"/>
      <c r="W1563" s="251"/>
      <c r="X1563" s="251"/>
      <c r="Y1563" s="251"/>
      <c r="Z1563" s="251"/>
      <c r="AA1563" s="251"/>
      <c r="AB1563" s="251"/>
    </row>
    <row r="1564" ht="14.25" customHeight="1">
      <c r="A1564" s="251"/>
      <c r="B1564" s="263"/>
      <c r="C1564" s="275"/>
      <c r="D1564" s="98"/>
      <c r="E1564" s="240"/>
      <c r="F1564" s="240"/>
      <c r="G1564" s="240"/>
      <c r="H1564" s="240"/>
      <c r="I1564" s="276"/>
      <c r="J1564" s="251"/>
      <c r="K1564" s="251"/>
      <c r="L1564" s="251"/>
      <c r="M1564" s="251"/>
      <c r="N1564" s="251"/>
      <c r="O1564" s="251"/>
      <c r="P1564" s="251"/>
      <c r="Q1564" s="251"/>
      <c r="R1564" s="251"/>
      <c r="S1564" s="251"/>
      <c r="T1564" s="251"/>
      <c r="U1564" s="251"/>
      <c r="V1564" s="251"/>
      <c r="W1564" s="251"/>
      <c r="X1564" s="251"/>
      <c r="Y1564" s="251"/>
      <c r="Z1564" s="251"/>
      <c r="AA1564" s="251"/>
      <c r="AB1564" s="251"/>
    </row>
    <row r="1565" ht="14.25" customHeight="1">
      <c r="A1565" s="251"/>
      <c r="B1565" s="263"/>
      <c r="C1565" s="275"/>
      <c r="D1565" s="98"/>
      <c r="E1565" s="240"/>
      <c r="F1565" s="240"/>
      <c r="G1565" s="240"/>
      <c r="H1565" s="240"/>
      <c r="I1565" s="276"/>
      <c r="J1565" s="251"/>
      <c r="K1565" s="251"/>
      <c r="L1565" s="251"/>
      <c r="M1565" s="251"/>
      <c r="N1565" s="251"/>
      <c r="O1565" s="251"/>
      <c r="P1565" s="251"/>
      <c r="Q1565" s="251"/>
      <c r="R1565" s="251"/>
      <c r="S1565" s="251"/>
      <c r="T1565" s="251"/>
      <c r="U1565" s="251"/>
      <c r="V1565" s="251"/>
      <c r="W1565" s="251"/>
      <c r="X1565" s="251"/>
      <c r="Y1565" s="251"/>
      <c r="Z1565" s="251"/>
      <c r="AA1565" s="251"/>
      <c r="AB1565" s="251"/>
    </row>
    <row r="1566" ht="14.25" customHeight="1">
      <c r="A1566" s="251"/>
      <c r="B1566" s="263"/>
      <c r="C1566" s="275"/>
      <c r="D1566" s="98"/>
      <c r="E1566" s="240"/>
      <c r="F1566" s="240"/>
      <c r="G1566" s="240"/>
      <c r="H1566" s="240"/>
      <c r="I1566" s="276"/>
      <c r="J1566" s="251"/>
      <c r="K1566" s="251"/>
      <c r="L1566" s="251"/>
      <c r="M1566" s="251"/>
      <c r="N1566" s="251"/>
      <c r="O1566" s="251"/>
      <c r="P1566" s="251"/>
      <c r="Q1566" s="251"/>
      <c r="R1566" s="251"/>
      <c r="S1566" s="251"/>
      <c r="T1566" s="251"/>
      <c r="U1566" s="251"/>
      <c r="V1566" s="251"/>
      <c r="W1566" s="251"/>
      <c r="X1566" s="251"/>
      <c r="Y1566" s="251"/>
      <c r="Z1566" s="251"/>
      <c r="AA1566" s="251"/>
      <c r="AB1566" s="251"/>
    </row>
    <row r="1567" ht="14.25" customHeight="1">
      <c r="A1567" s="251"/>
      <c r="B1567" s="263"/>
      <c r="C1567" s="275"/>
      <c r="D1567" s="98"/>
      <c r="E1567" s="240"/>
      <c r="F1567" s="240"/>
      <c r="G1567" s="240"/>
      <c r="H1567" s="240"/>
      <c r="I1567" s="276"/>
      <c r="J1567" s="251"/>
      <c r="K1567" s="251"/>
      <c r="L1567" s="251"/>
      <c r="M1567" s="251"/>
      <c r="N1567" s="251"/>
      <c r="O1567" s="251"/>
      <c r="P1567" s="251"/>
      <c r="Q1567" s="251"/>
      <c r="R1567" s="251"/>
      <c r="S1567" s="251"/>
      <c r="T1567" s="251"/>
      <c r="U1567" s="251"/>
      <c r="V1567" s="251"/>
      <c r="W1567" s="251"/>
      <c r="X1567" s="251"/>
      <c r="Y1567" s="251"/>
      <c r="Z1567" s="251"/>
      <c r="AA1567" s="251"/>
      <c r="AB1567" s="251"/>
    </row>
    <row r="1568" ht="14.25" customHeight="1">
      <c r="A1568" s="251"/>
      <c r="B1568" s="263"/>
      <c r="C1568" s="275"/>
      <c r="D1568" s="98"/>
      <c r="E1568" s="240"/>
      <c r="F1568" s="240"/>
      <c r="G1568" s="240"/>
      <c r="H1568" s="240"/>
      <c r="I1568" s="276"/>
      <c r="J1568" s="251"/>
      <c r="K1568" s="251"/>
      <c r="L1568" s="251"/>
      <c r="M1568" s="251"/>
      <c r="N1568" s="251"/>
      <c r="O1568" s="251"/>
      <c r="P1568" s="251"/>
      <c r="Q1568" s="251"/>
      <c r="R1568" s="251"/>
      <c r="S1568" s="251"/>
      <c r="T1568" s="251"/>
      <c r="U1568" s="251"/>
      <c r="V1568" s="251"/>
      <c r="W1568" s="251"/>
      <c r="X1568" s="251"/>
      <c r="Y1568" s="251"/>
      <c r="Z1568" s="251"/>
      <c r="AA1568" s="251"/>
      <c r="AB1568" s="251"/>
    </row>
    <row r="1569" ht="14.25" customHeight="1">
      <c r="A1569" s="251"/>
      <c r="B1569" s="263"/>
      <c r="C1569" s="275"/>
      <c r="D1569" s="98"/>
      <c r="E1569" s="240"/>
      <c r="F1569" s="240"/>
      <c r="G1569" s="240"/>
      <c r="H1569" s="240"/>
      <c r="I1569" s="276"/>
      <c r="J1569" s="251"/>
      <c r="K1569" s="251"/>
      <c r="L1569" s="251"/>
      <c r="M1569" s="251"/>
      <c r="N1569" s="251"/>
      <c r="O1569" s="251"/>
      <c r="P1569" s="251"/>
      <c r="Q1569" s="251"/>
      <c r="R1569" s="251"/>
      <c r="S1569" s="251"/>
      <c r="T1569" s="251"/>
      <c r="U1569" s="251"/>
      <c r="V1569" s="251"/>
      <c r="W1569" s="251"/>
      <c r="X1569" s="251"/>
      <c r="Y1569" s="251"/>
      <c r="Z1569" s="251"/>
      <c r="AA1569" s="251"/>
      <c r="AB1569" s="251"/>
    </row>
    <row r="1570" ht="14.25" customHeight="1">
      <c r="A1570" s="251"/>
      <c r="B1570" s="263"/>
      <c r="C1570" s="275"/>
      <c r="D1570" s="98"/>
      <c r="E1570" s="240"/>
      <c r="F1570" s="240"/>
      <c r="G1570" s="240"/>
      <c r="H1570" s="240"/>
      <c r="I1570" s="276"/>
      <c r="J1570" s="251"/>
      <c r="K1570" s="251"/>
      <c r="L1570" s="251"/>
      <c r="M1570" s="251"/>
      <c r="N1570" s="251"/>
      <c r="O1570" s="251"/>
      <c r="P1570" s="251"/>
      <c r="Q1570" s="251"/>
      <c r="R1570" s="251"/>
      <c r="S1570" s="251"/>
      <c r="T1570" s="251"/>
      <c r="U1570" s="251"/>
      <c r="V1570" s="251"/>
      <c r="W1570" s="251"/>
      <c r="X1570" s="251"/>
      <c r="Y1570" s="251"/>
      <c r="Z1570" s="251"/>
      <c r="AA1570" s="251"/>
      <c r="AB1570" s="251"/>
    </row>
    <row r="1571" ht="14.25" customHeight="1">
      <c r="A1571" s="251"/>
      <c r="B1571" s="263"/>
      <c r="C1571" s="275"/>
      <c r="D1571" s="98"/>
      <c r="E1571" s="240"/>
      <c r="F1571" s="240"/>
      <c r="G1571" s="240"/>
      <c r="H1571" s="240"/>
      <c r="I1571" s="276"/>
      <c r="J1571" s="251"/>
      <c r="K1571" s="251"/>
      <c r="L1571" s="251"/>
      <c r="M1571" s="251"/>
      <c r="N1571" s="251"/>
      <c r="O1571" s="251"/>
      <c r="P1571" s="251"/>
      <c r="Q1571" s="251"/>
      <c r="R1571" s="251"/>
      <c r="S1571" s="251"/>
      <c r="T1571" s="251"/>
      <c r="U1571" s="251"/>
      <c r="V1571" s="251"/>
      <c r="W1571" s="251"/>
      <c r="X1571" s="251"/>
      <c r="Y1571" s="251"/>
      <c r="Z1571" s="251"/>
      <c r="AA1571" s="251"/>
      <c r="AB1571" s="251"/>
    </row>
    <row r="1572" ht="14.25" customHeight="1">
      <c r="A1572" s="251"/>
      <c r="B1572" s="263"/>
      <c r="C1572" s="275"/>
      <c r="D1572" s="98"/>
      <c r="E1572" s="240"/>
      <c r="F1572" s="240"/>
      <c r="G1572" s="240"/>
      <c r="H1572" s="240"/>
      <c r="I1572" s="276"/>
      <c r="J1572" s="251"/>
      <c r="K1572" s="251"/>
      <c r="L1572" s="251"/>
      <c r="M1572" s="251"/>
      <c r="N1572" s="251"/>
      <c r="O1572" s="251"/>
      <c r="P1572" s="251"/>
      <c r="Q1572" s="251"/>
      <c r="R1572" s="251"/>
      <c r="S1572" s="251"/>
      <c r="T1572" s="251"/>
      <c r="U1572" s="251"/>
      <c r="V1572" s="251"/>
      <c r="W1572" s="251"/>
      <c r="X1572" s="251"/>
      <c r="Y1572" s="251"/>
      <c r="Z1572" s="251"/>
      <c r="AA1572" s="251"/>
      <c r="AB1572" s="251"/>
    </row>
    <row r="1573" ht="14.25" customHeight="1">
      <c r="A1573" s="251"/>
      <c r="B1573" s="263"/>
      <c r="C1573" s="275"/>
      <c r="D1573" s="98"/>
      <c r="E1573" s="240"/>
      <c r="F1573" s="240"/>
      <c r="G1573" s="240"/>
      <c r="H1573" s="240"/>
      <c r="I1573" s="276"/>
      <c r="J1573" s="251"/>
      <c r="K1573" s="251"/>
      <c r="L1573" s="251"/>
      <c r="M1573" s="251"/>
      <c r="N1573" s="251"/>
      <c r="O1573" s="251"/>
      <c r="P1573" s="251"/>
      <c r="Q1573" s="251"/>
      <c r="R1573" s="251"/>
      <c r="S1573" s="251"/>
      <c r="T1573" s="251"/>
      <c r="U1573" s="251"/>
      <c r="V1573" s="251"/>
      <c r="W1573" s="251"/>
      <c r="X1573" s="251"/>
      <c r="Y1573" s="251"/>
      <c r="Z1573" s="251"/>
      <c r="AA1573" s="251"/>
      <c r="AB1573" s="251"/>
    </row>
    <row r="1574" ht="14.25" customHeight="1">
      <c r="A1574" s="251"/>
      <c r="B1574" s="263"/>
      <c r="C1574" s="275"/>
      <c r="D1574" s="98"/>
      <c r="E1574" s="240"/>
      <c r="F1574" s="240"/>
      <c r="G1574" s="240"/>
      <c r="H1574" s="240"/>
      <c r="I1574" s="276"/>
      <c r="J1574" s="251"/>
      <c r="K1574" s="251"/>
      <c r="L1574" s="251"/>
      <c r="M1574" s="251"/>
      <c r="N1574" s="251"/>
      <c r="O1574" s="251"/>
      <c r="P1574" s="251"/>
      <c r="Q1574" s="251"/>
      <c r="R1574" s="251"/>
      <c r="S1574" s="251"/>
      <c r="T1574" s="251"/>
      <c r="U1574" s="251"/>
      <c r="V1574" s="251"/>
      <c r="W1574" s="251"/>
      <c r="X1574" s="251"/>
      <c r="Y1574" s="251"/>
      <c r="Z1574" s="251"/>
      <c r="AA1574" s="251"/>
      <c r="AB1574" s="251"/>
    </row>
    <row r="1575" ht="14.25" customHeight="1">
      <c r="A1575" s="251"/>
      <c r="B1575" s="263"/>
      <c r="C1575" s="275"/>
      <c r="D1575" s="98"/>
      <c r="E1575" s="240"/>
      <c r="F1575" s="240"/>
      <c r="G1575" s="240"/>
      <c r="H1575" s="240"/>
      <c r="I1575" s="276"/>
      <c r="J1575" s="251"/>
      <c r="K1575" s="251"/>
      <c r="L1575" s="251"/>
      <c r="M1575" s="251"/>
      <c r="N1575" s="251"/>
      <c r="O1575" s="251"/>
      <c r="P1575" s="251"/>
      <c r="Q1575" s="251"/>
      <c r="R1575" s="251"/>
      <c r="S1575" s="251"/>
      <c r="T1575" s="251"/>
      <c r="U1575" s="251"/>
      <c r="V1575" s="251"/>
      <c r="W1575" s="251"/>
      <c r="X1575" s="251"/>
      <c r="Y1575" s="251"/>
      <c r="Z1575" s="251"/>
      <c r="AA1575" s="251"/>
      <c r="AB1575" s="251"/>
    </row>
    <row r="1576" ht="14.25" customHeight="1">
      <c r="A1576" s="251"/>
      <c r="B1576" s="263"/>
      <c r="C1576" s="275"/>
      <c r="D1576" s="98"/>
      <c r="E1576" s="240"/>
      <c r="F1576" s="240"/>
      <c r="G1576" s="240"/>
      <c r="H1576" s="240"/>
      <c r="I1576" s="276"/>
      <c r="J1576" s="251"/>
      <c r="K1576" s="251"/>
      <c r="L1576" s="251"/>
      <c r="M1576" s="251"/>
      <c r="N1576" s="251"/>
      <c r="O1576" s="251"/>
      <c r="P1576" s="251"/>
      <c r="Q1576" s="251"/>
      <c r="R1576" s="251"/>
      <c r="S1576" s="251"/>
      <c r="T1576" s="251"/>
      <c r="U1576" s="251"/>
      <c r="V1576" s="251"/>
      <c r="W1576" s="251"/>
      <c r="X1576" s="251"/>
      <c r="Y1576" s="251"/>
      <c r="Z1576" s="251"/>
      <c r="AA1576" s="251"/>
      <c r="AB1576" s="251"/>
    </row>
    <row r="1577" ht="14.25" customHeight="1">
      <c r="A1577" s="251"/>
      <c r="B1577" s="263"/>
      <c r="C1577" s="275"/>
      <c r="D1577" s="98"/>
      <c r="E1577" s="240"/>
      <c r="F1577" s="240"/>
      <c r="G1577" s="240"/>
      <c r="H1577" s="240"/>
      <c r="I1577" s="276"/>
      <c r="J1577" s="251"/>
      <c r="K1577" s="251"/>
      <c r="L1577" s="251"/>
      <c r="M1577" s="251"/>
      <c r="N1577" s="251"/>
      <c r="O1577" s="251"/>
      <c r="P1577" s="251"/>
      <c r="Q1577" s="251"/>
      <c r="R1577" s="251"/>
      <c r="S1577" s="251"/>
      <c r="T1577" s="251"/>
      <c r="U1577" s="251"/>
      <c r="V1577" s="251"/>
      <c r="W1577" s="251"/>
      <c r="X1577" s="251"/>
      <c r="Y1577" s="251"/>
      <c r="Z1577" s="251"/>
      <c r="AA1577" s="251"/>
      <c r="AB1577" s="251"/>
    </row>
    <row r="1578" ht="14.25" customHeight="1">
      <c r="A1578" s="251"/>
      <c r="B1578" s="263"/>
      <c r="C1578" s="275"/>
      <c r="D1578" s="98"/>
      <c r="E1578" s="240"/>
      <c r="F1578" s="240"/>
      <c r="G1578" s="240"/>
      <c r="H1578" s="240"/>
      <c r="I1578" s="276"/>
      <c r="J1578" s="251"/>
      <c r="K1578" s="251"/>
      <c r="L1578" s="251"/>
      <c r="M1578" s="251"/>
      <c r="N1578" s="251"/>
      <c r="O1578" s="251"/>
      <c r="P1578" s="251"/>
      <c r="Q1578" s="251"/>
      <c r="R1578" s="251"/>
      <c r="S1578" s="251"/>
      <c r="T1578" s="251"/>
      <c r="U1578" s="251"/>
      <c r="V1578" s="251"/>
      <c r="W1578" s="251"/>
      <c r="X1578" s="251"/>
      <c r="Y1578" s="251"/>
      <c r="Z1578" s="251"/>
      <c r="AA1578" s="251"/>
      <c r="AB1578" s="251"/>
    </row>
    <row r="1579" ht="14.25" customHeight="1">
      <c r="A1579" s="251"/>
      <c r="B1579" s="263"/>
      <c r="C1579" s="275"/>
      <c r="D1579" s="98"/>
      <c r="E1579" s="240"/>
      <c r="F1579" s="240"/>
      <c r="G1579" s="240"/>
      <c r="H1579" s="240"/>
      <c r="I1579" s="276"/>
      <c r="J1579" s="251"/>
      <c r="K1579" s="251"/>
      <c r="L1579" s="251"/>
      <c r="M1579" s="251"/>
      <c r="N1579" s="251"/>
      <c r="O1579" s="251"/>
      <c r="P1579" s="251"/>
      <c r="Q1579" s="251"/>
      <c r="R1579" s="251"/>
      <c r="S1579" s="251"/>
      <c r="T1579" s="251"/>
      <c r="U1579" s="251"/>
      <c r="V1579" s="251"/>
      <c r="W1579" s="251"/>
      <c r="X1579" s="251"/>
      <c r="Y1579" s="251"/>
      <c r="Z1579" s="251"/>
      <c r="AA1579" s="251"/>
      <c r="AB1579" s="251"/>
    </row>
    <row r="1580" ht="14.25" customHeight="1">
      <c r="A1580" s="251"/>
      <c r="B1580" s="263"/>
      <c r="C1580" s="275"/>
      <c r="D1580" s="98"/>
      <c r="E1580" s="240"/>
      <c r="F1580" s="240"/>
      <c r="G1580" s="240"/>
      <c r="H1580" s="240"/>
      <c r="I1580" s="276"/>
      <c r="J1580" s="251"/>
      <c r="K1580" s="251"/>
      <c r="L1580" s="251"/>
      <c r="M1580" s="251"/>
      <c r="N1580" s="251"/>
      <c r="O1580" s="251"/>
      <c r="P1580" s="251"/>
      <c r="Q1580" s="251"/>
      <c r="R1580" s="251"/>
      <c r="S1580" s="251"/>
      <c r="T1580" s="251"/>
      <c r="U1580" s="251"/>
      <c r="V1580" s="251"/>
      <c r="W1580" s="251"/>
      <c r="X1580" s="251"/>
      <c r="Y1580" s="251"/>
      <c r="Z1580" s="251"/>
      <c r="AA1580" s="251"/>
      <c r="AB1580" s="251"/>
    </row>
    <row r="1581" ht="14.25" customHeight="1">
      <c r="A1581" s="251"/>
      <c r="B1581" s="263"/>
      <c r="C1581" s="275"/>
      <c r="D1581" s="98"/>
      <c r="E1581" s="240"/>
      <c r="F1581" s="240"/>
      <c r="G1581" s="240"/>
      <c r="H1581" s="240"/>
      <c r="I1581" s="276"/>
      <c r="J1581" s="251"/>
      <c r="K1581" s="251"/>
      <c r="L1581" s="251"/>
      <c r="M1581" s="251"/>
      <c r="N1581" s="251"/>
      <c r="O1581" s="251"/>
      <c r="P1581" s="251"/>
      <c r="Q1581" s="251"/>
      <c r="R1581" s="251"/>
      <c r="S1581" s="251"/>
      <c r="T1581" s="251"/>
      <c r="U1581" s="251"/>
      <c r="V1581" s="251"/>
      <c r="W1581" s="251"/>
      <c r="X1581" s="251"/>
      <c r="Y1581" s="251"/>
      <c r="Z1581" s="251"/>
      <c r="AA1581" s="251"/>
      <c r="AB1581" s="251"/>
    </row>
    <row r="1582" ht="14.25" customHeight="1">
      <c r="A1582" s="251"/>
      <c r="B1582" s="263"/>
      <c r="C1582" s="275"/>
      <c r="D1582" s="98"/>
      <c r="E1582" s="240"/>
      <c r="F1582" s="240"/>
      <c r="G1582" s="240"/>
      <c r="H1582" s="240"/>
      <c r="I1582" s="276"/>
      <c r="J1582" s="251"/>
      <c r="K1582" s="251"/>
      <c r="L1582" s="251"/>
      <c r="M1582" s="251"/>
      <c r="N1582" s="251"/>
      <c r="O1582" s="251"/>
      <c r="P1582" s="251"/>
      <c r="Q1582" s="251"/>
      <c r="R1582" s="251"/>
      <c r="S1582" s="251"/>
      <c r="T1582" s="251"/>
      <c r="U1582" s="251"/>
      <c r="V1582" s="251"/>
      <c r="W1582" s="251"/>
      <c r="X1582" s="251"/>
      <c r="Y1582" s="251"/>
      <c r="Z1582" s="251"/>
      <c r="AA1582" s="251"/>
      <c r="AB1582" s="251"/>
    </row>
    <row r="1583" ht="14.25" customHeight="1">
      <c r="A1583" s="251"/>
      <c r="B1583" s="263"/>
      <c r="C1583" s="275"/>
      <c r="D1583" s="98"/>
      <c r="E1583" s="240"/>
      <c r="F1583" s="240"/>
      <c r="G1583" s="240"/>
      <c r="H1583" s="240"/>
      <c r="I1583" s="276"/>
      <c r="J1583" s="251"/>
      <c r="K1583" s="251"/>
      <c r="L1583" s="251"/>
      <c r="M1583" s="251"/>
      <c r="N1583" s="251"/>
      <c r="O1583" s="251"/>
      <c r="P1583" s="251"/>
      <c r="Q1583" s="251"/>
      <c r="R1583" s="251"/>
      <c r="S1583" s="251"/>
      <c r="T1583" s="251"/>
      <c r="U1583" s="251"/>
      <c r="V1583" s="251"/>
      <c r="W1583" s="251"/>
      <c r="X1583" s="251"/>
      <c r="Y1583" s="251"/>
      <c r="Z1583" s="251"/>
      <c r="AA1583" s="251"/>
      <c r="AB1583" s="251"/>
    </row>
    <row r="1584" ht="14.25" customHeight="1">
      <c r="A1584" s="251"/>
      <c r="B1584" s="263"/>
      <c r="C1584" s="275"/>
      <c r="D1584" s="98"/>
      <c r="E1584" s="240"/>
      <c r="F1584" s="240"/>
      <c r="G1584" s="240"/>
      <c r="H1584" s="240"/>
      <c r="I1584" s="276"/>
      <c r="J1584" s="251"/>
      <c r="K1584" s="251"/>
      <c r="L1584" s="251"/>
      <c r="M1584" s="251"/>
      <c r="N1584" s="251"/>
      <c r="O1584" s="251"/>
      <c r="P1584" s="251"/>
      <c r="Q1584" s="251"/>
      <c r="R1584" s="251"/>
      <c r="S1584" s="251"/>
      <c r="T1584" s="251"/>
      <c r="U1584" s="251"/>
      <c r="V1584" s="251"/>
      <c r="W1584" s="251"/>
      <c r="X1584" s="251"/>
      <c r="Y1584" s="251"/>
      <c r="Z1584" s="251"/>
      <c r="AA1584" s="251"/>
      <c r="AB1584" s="251"/>
    </row>
    <row r="1585" ht="14.25" customHeight="1">
      <c r="A1585" s="251"/>
      <c r="B1585" s="263"/>
      <c r="C1585" s="275"/>
      <c r="D1585" s="98"/>
      <c r="E1585" s="240"/>
      <c r="F1585" s="240"/>
      <c r="G1585" s="240"/>
      <c r="H1585" s="240"/>
      <c r="I1585" s="276"/>
      <c r="J1585" s="251"/>
      <c r="K1585" s="251"/>
      <c r="L1585" s="251"/>
      <c r="M1585" s="251"/>
      <c r="N1585" s="251"/>
      <c r="O1585" s="251"/>
      <c r="P1585" s="251"/>
      <c r="Q1585" s="251"/>
      <c r="R1585" s="251"/>
      <c r="S1585" s="251"/>
      <c r="T1585" s="251"/>
      <c r="U1585" s="251"/>
      <c r="V1585" s="251"/>
      <c r="W1585" s="251"/>
      <c r="X1585" s="251"/>
      <c r="Y1585" s="251"/>
      <c r="Z1585" s="251"/>
      <c r="AA1585" s="251"/>
      <c r="AB1585" s="251"/>
    </row>
    <row r="1586" ht="14.25" customHeight="1">
      <c r="A1586" s="251"/>
      <c r="B1586" s="263"/>
      <c r="C1586" s="275"/>
      <c r="D1586" s="98"/>
      <c r="E1586" s="240"/>
      <c r="F1586" s="240"/>
      <c r="G1586" s="240"/>
      <c r="H1586" s="240"/>
      <c r="I1586" s="276"/>
      <c r="J1586" s="251"/>
      <c r="K1586" s="251"/>
      <c r="L1586" s="251"/>
      <c r="M1586" s="251"/>
      <c r="N1586" s="251"/>
      <c r="O1586" s="251"/>
      <c r="P1586" s="251"/>
      <c r="Q1586" s="251"/>
      <c r="R1586" s="251"/>
      <c r="S1586" s="251"/>
      <c r="T1586" s="251"/>
      <c r="U1586" s="251"/>
      <c r="V1586" s="251"/>
      <c r="W1586" s="251"/>
      <c r="X1586" s="251"/>
      <c r="Y1586" s="251"/>
      <c r="Z1586" s="251"/>
      <c r="AA1586" s="251"/>
      <c r="AB1586" s="251"/>
    </row>
    <row r="1587" ht="14.25" customHeight="1">
      <c r="A1587" s="251"/>
      <c r="B1587" s="263"/>
      <c r="C1587" s="275"/>
      <c r="D1587" s="98"/>
      <c r="E1587" s="240"/>
      <c r="F1587" s="240"/>
      <c r="G1587" s="240"/>
      <c r="H1587" s="240"/>
      <c r="I1587" s="276"/>
      <c r="J1587" s="251"/>
      <c r="K1587" s="251"/>
      <c r="L1587" s="251"/>
      <c r="M1587" s="251"/>
      <c r="N1587" s="251"/>
      <c r="O1587" s="251"/>
      <c r="P1587" s="251"/>
      <c r="Q1587" s="251"/>
      <c r="R1587" s="251"/>
      <c r="S1587" s="251"/>
      <c r="T1587" s="251"/>
      <c r="U1587" s="251"/>
      <c r="V1587" s="251"/>
      <c r="W1587" s="251"/>
      <c r="X1587" s="251"/>
      <c r="Y1587" s="251"/>
      <c r="Z1587" s="251"/>
      <c r="AA1587" s="251"/>
      <c r="AB1587" s="251"/>
    </row>
    <row r="1588" ht="14.25" customHeight="1">
      <c r="A1588" s="251"/>
      <c r="B1588" s="263"/>
      <c r="C1588" s="275"/>
      <c r="D1588" s="98"/>
      <c r="E1588" s="240"/>
      <c r="F1588" s="240"/>
      <c r="G1588" s="240"/>
      <c r="H1588" s="240"/>
      <c r="I1588" s="276"/>
      <c r="J1588" s="251"/>
      <c r="K1588" s="251"/>
      <c r="L1588" s="251"/>
      <c r="M1588" s="251"/>
      <c r="N1588" s="251"/>
      <c r="O1588" s="251"/>
      <c r="P1588" s="251"/>
      <c r="Q1588" s="251"/>
      <c r="R1588" s="251"/>
      <c r="S1588" s="251"/>
      <c r="T1588" s="251"/>
      <c r="U1588" s="251"/>
      <c r="V1588" s="251"/>
      <c r="W1588" s="251"/>
      <c r="X1588" s="251"/>
      <c r="Y1588" s="251"/>
      <c r="Z1588" s="251"/>
      <c r="AA1588" s="251"/>
      <c r="AB1588" s="251"/>
    </row>
    <row r="1589" ht="14.25" customHeight="1">
      <c r="A1589" s="251"/>
      <c r="B1589" s="263"/>
      <c r="C1589" s="275"/>
      <c r="D1589" s="98"/>
      <c r="E1589" s="240"/>
      <c r="F1589" s="240"/>
      <c r="G1589" s="240"/>
      <c r="H1589" s="240"/>
      <c r="I1589" s="276"/>
      <c r="J1589" s="251"/>
      <c r="K1589" s="251"/>
      <c r="L1589" s="251"/>
      <c r="M1589" s="251"/>
      <c r="N1589" s="251"/>
      <c r="O1589" s="251"/>
      <c r="P1589" s="251"/>
      <c r="Q1589" s="251"/>
      <c r="R1589" s="251"/>
      <c r="S1589" s="251"/>
      <c r="T1589" s="251"/>
      <c r="U1589" s="251"/>
      <c r="V1589" s="251"/>
      <c r="W1589" s="251"/>
      <c r="X1589" s="251"/>
      <c r="Y1589" s="251"/>
      <c r="Z1589" s="251"/>
      <c r="AA1589" s="251"/>
      <c r="AB1589" s="251"/>
    </row>
    <row r="1590" ht="14.25" customHeight="1">
      <c r="A1590" s="251"/>
      <c r="B1590" s="263"/>
      <c r="C1590" s="275"/>
      <c r="D1590" s="98"/>
      <c r="E1590" s="240"/>
      <c r="F1590" s="240"/>
      <c r="G1590" s="240"/>
      <c r="H1590" s="240"/>
      <c r="I1590" s="276"/>
      <c r="J1590" s="251"/>
      <c r="K1590" s="251"/>
      <c r="L1590" s="251"/>
      <c r="M1590" s="251"/>
      <c r="N1590" s="251"/>
      <c r="O1590" s="251"/>
      <c r="P1590" s="251"/>
      <c r="Q1590" s="251"/>
      <c r="R1590" s="251"/>
      <c r="S1590" s="251"/>
      <c r="T1590" s="251"/>
      <c r="U1590" s="251"/>
      <c r="V1590" s="251"/>
      <c r="W1590" s="251"/>
      <c r="X1590" s="251"/>
      <c r="Y1590" s="251"/>
      <c r="Z1590" s="251"/>
      <c r="AA1590" s="251"/>
      <c r="AB1590" s="251"/>
    </row>
    <row r="1591" ht="14.25" customHeight="1">
      <c r="A1591" s="251"/>
      <c r="B1591" s="263"/>
      <c r="C1591" s="275"/>
      <c r="D1591" s="98"/>
      <c r="E1591" s="240"/>
      <c r="F1591" s="240"/>
      <c r="G1591" s="240"/>
      <c r="H1591" s="240"/>
      <c r="I1591" s="276"/>
      <c r="J1591" s="251"/>
      <c r="K1591" s="251"/>
      <c r="L1591" s="251"/>
      <c r="M1591" s="251"/>
      <c r="N1591" s="251"/>
      <c r="O1591" s="251"/>
      <c r="P1591" s="251"/>
      <c r="Q1591" s="251"/>
      <c r="R1591" s="251"/>
      <c r="S1591" s="251"/>
      <c r="T1591" s="251"/>
      <c r="U1591" s="251"/>
      <c r="V1591" s="251"/>
      <c r="W1591" s="251"/>
      <c r="X1591" s="251"/>
      <c r="Y1591" s="251"/>
      <c r="Z1591" s="251"/>
      <c r="AA1591" s="251"/>
      <c r="AB1591" s="251"/>
    </row>
    <row r="1592" ht="14.25" customHeight="1">
      <c r="A1592" s="251"/>
      <c r="B1592" s="263"/>
      <c r="C1592" s="275"/>
      <c r="D1592" s="98"/>
      <c r="E1592" s="240"/>
      <c r="F1592" s="240"/>
      <c r="G1592" s="240"/>
      <c r="H1592" s="240"/>
      <c r="I1592" s="276"/>
      <c r="J1592" s="251"/>
      <c r="K1592" s="251"/>
      <c r="L1592" s="251"/>
      <c r="M1592" s="251"/>
      <c r="N1592" s="251"/>
      <c r="O1592" s="251"/>
      <c r="P1592" s="251"/>
      <c r="Q1592" s="251"/>
      <c r="R1592" s="251"/>
      <c r="S1592" s="251"/>
      <c r="T1592" s="251"/>
      <c r="U1592" s="251"/>
      <c r="V1592" s="251"/>
      <c r="W1592" s="251"/>
      <c r="X1592" s="251"/>
      <c r="Y1592" s="251"/>
      <c r="Z1592" s="251"/>
      <c r="AA1592" s="251"/>
      <c r="AB1592" s="251"/>
    </row>
    <row r="1593" ht="14.25" customHeight="1">
      <c r="A1593" s="251"/>
      <c r="B1593" s="263"/>
      <c r="C1593" s="275"/>
      <c r="D1593" s="98"/>
      <c r="E1593" s="240"/>
      <c r="F1593" s="240"/>
      <c r="G1593" s="240"/>
      <c r="H1593" s="240"/>
      <c r="I1593" s="276"/>
      <c r="J1593" s="251"/>
      <c r="K1593" s="251"/>
      <c r="L1593" s="251"/>
      <c r="M1593" s="251"/>
      <c r="N1593" s="251"/>
      <c r="O1593" s="251"/>
      <c r="P1593" s="251"/>
      <c r="Q1593" s="251"/>
      <c r="R1593" s="251"/>
      <c r="S1593" s="251"/>
      <c r="T1593" s="251"/>
      <c r="U1593" s="251"/>
      <c r="V1593" s="251"/>
      <c r="W1593" s="251"/>
      <c r="X1593" s="251"/>
      <c r="Y1593" s="251"/>
      <c r="Z1593" s="251"/>
      <c r="AA1593" s="251"/>
      <c r="AB1593" s="251"/>
    </row>
    <row r="1594" ht="14.25" customHeight="1">
      <c r="A1594" s="251"/>
      <c r="B1594" s="263"/>
      <c r="C1594" s="275"/>
      <c r="D1594" s="98"/>
      <c r="E1594" s="240"/>
      <c r="F1594" s="240"/>
      <c r="G1594" s="240"/>
      <c r="H1594" s="240"/>
      <c r="I1594" s="276"/>
      <c r="J1594" s="251"/>
      <c r="K1594" s="251"/>
      <c r="L1594" s="251"/>
      <c r="M1594" s="251"/>
      <c r="N1594" s="251"/>
      <c r="O1594" s="251"/>
      <c r="P1594" s="251"/>
      <c r="Q1594" s="251"/>
      <c r="R1594" s="251"/>
      <c r="S1594" s="251"/>
      <c r="T1594" s="251"/>
      <c r="U1594" s="251"/>
      <c r="V1594" s="251"/>
      <c r="W1594" s="251"/>
      <c r="X1594" s="251"/>
      <c r="Y1594" s="251"/>
      <c r="Z1594" s="251"/>
      <c r="AA1594" s="251"/>
      <c r="AB1594" s="251"/>
    </row>
    <row r="1595" ht="14.25" customHeight="1">
      <c r="A1595" s="251"/>
      <c r="B1595" s="263"/>
      <c r="C1595" s="275"/>
      <c r="D1595" s="98"/>
      <c r="E1595" s="240"/>
      <c r="F1595" s="240"/>
      <c r="G1595" s="240"/>
      <c r="H1595" s="240"/>
      <c r="I1595" s="276"/>
      <c r="J1595" s="251"/>
      <c r="K1595" s="251"/>
      <c r="L1595" s="251"/>
      <c r="M1595" s="251"/>
      <c r="N1595" s="251"/>
      <c r="O1595" s="251"/>
      <c r="P1595" s="251"/>
      <c r="Q1595" s="251"/>
      <c r="R1595" s="251"/>
      <c r="S1595" s="251"/>
      <c r="T1595" s="251"/>
      <c r="U1595" s="251"/>
      <c r="V1595" s="251"/>
      <c r="W1595" s="251"/>
      <c r="X1595" s="251"/>
      <c r="Y1595" s="251"/>
      <c r="Z1595" s="251"/>
      <c r="AA1595" s="251"/>
      <c r="AB1595" s="251"/>
    </row>
    <row r="1596" ht="14.25" customHeight="1">
      <c r="A1596" s="251"/>
      <c r="B1596" s="263"/>
      <c r="C1596" s="275"/>
      <c r="D1596" s="98"/>
      <c r="E1596" s="240"/>
      <c r="F1596" s="240"/>
      <c r="G1596" s="240"/>
      <c r="H1596" s="240"/>
      <c r="I1596" s="276"/>
      <c r="J1596" s="251"/>
      <c r="K1596" s="251"/>
      <c r="L1596" s="251"/>
      <c r="M1596" s="251"/>
      <c r="N1596" s="251"/>
      <c r="O1596" s="251"/>
      <c r="P1596" s="251"/>
      <c r="Q1596" s="251"/>
      <c r="R1596" s="251"/>
      <c r="S1596" s="251"/>
      <c r="T1596" s="251"/>
      <c r="U1596" s="251"/>
      <c r="V1596" s="251"/>
      <c r="W1596" s="251"/>
      <c r="X1596" s="251"/>
      <c r="Y1596" s="251"/>
      <c r="Z1596" s="251"/>
      <c r="AA1596" s="251"/>
      <c r="AB1596" s="251"/>
    </row>
    <row r="1597" ht="14.25" customHeight="1">
      <c r="A1597" s="251"/>
      <c r="B1597" s="263"/>
      <c r="C1597" s="275"/>
      <c r="D1597" s="98"/>
      <c r="E1597" s="240"/>
      <c r="F1597" s="240"/>
      <c r="G1597" s="240"/>
      <c r="H1597" s="240"/>
      <c r="I1597" s="276"/>
      <c r="J1597" s="251"/>
      <c r="K1597" s="251"/>
      <c r="L1597" s="251"/>
      <c r="M1597" s="251"/>
      <c r="N1597" s="251"/>
      <c r="O1597" s="251"/>
      <c r="P1597" s="251"/>
      <c r="Q1597" s="251"/>
      <c r="R1597" s="251"/>
      <c r="S1597" s="251"/>
      <c r="T1597" s="251"/>
      <c r="U1597" s="251"/>
      <c r="V1597" s="251"/>
      <c r="W1597" s="251"/>
      <c r="X1597" s="251"/>
      <c r="Y1597" s="251"/>
      <c r="Z1597" s="251"/>
      <c r="AA1597" s="251"/>
      <c r="AB1597" s="251"/>
    </row>
    <row r="1598" ht="14.25" customHeight="1">
      <c r="A1598" s="251"/>
      <c r="B1598" s="263"/>
      <c r="C1598" s="275"/>
      <c r="D1598" s="98"/>
      <c r="E1598" s="240"/>
      <c r="F1598" s="240"/>
      <c r="G1598" s="240"/>
      <c r="H1598" s="240"/>
      <c r="I1598" s="276"/>
      <c r="J1598" s="251"/>
      <c r="K1598" s="251"/>
      <c r="L1598" s="251"/>
      <c r="M1598" s="251"/>
      <c r="N1598" s="251"/>
      <c r="O1598" s="251"/>
      <c r="P1598" s="251"/>
      <c r="Q1598" s="251"/>
      <c r="R1598" s="251"/>
      <c r="S1598" s="251"/>
      <c r="T1598" s="251"/>
      <c r="U1598" s="251"/>
      <c r="V1598" s="251"/>
      <c r="W1598" s="251"/>
      <c r="X1598" s="251"/>
      <c r="Y1598" s="251"/>
      <c r="Z1598" s="251"/>
      <c r="AA1598" s="251"/>
      <c r="AB1598" s="251"/>
    </row>
    <row r="1599" ht="14.25" customHeight="1">
      <c r="A1599" s="251"/>
      <c r="B1599" s="263"/>
      <c r="C1599" s="275"/>
      <c r="D1599" s="98"/>
      <c r="E1599" s="240"/>
      <c r="F1599" s="240"/>
      <c r="G1599" s="240"/>
      <c r="H1599" s="240"/>
      <c r="I1599" s="276"/>
      <c r="J1599" s="251"/>
      <c r="K1599" s="251"/>
      <c r="L1599" s="251"/>
      <c r="M1599" s="251"/>
      <c r="N1599" s="251"/>
      <c r="O1599" s="251"/>
      <c r="P1599" s="251"/>
      <c r="Q1599" s="251"/>
      <c r="R1599" s="251"/>
      <c r="S1599" s="251"/>
      <c r="T1599" s="251"/>
      <c r="U1599" s="251"/>
      <c r="V1599" s="251"/>
      <c r="W1599" s="251"/>
      <c r="X1599" s="251"/>
      <c r="Y1599" s="251"/>
      <c r="Z1599" s="251"/>
      <c r="AA1599" s="251"/>
      <c r="AB1599" s="251"/>
    </row>
    <row r="1600" ht="14.25" customHeight="1">
      <c r="A1600" s="251"/>
      <c r="B1600" s="263"/>
      <c r="C1600" s="275"/>
      <c r="D1600" s="98"/>
      <c r="E1600" s="240"/>
      <c r="F1600" s="240"/>
      <c r="G1600" s="240"/>
      <c r="H1600" s="240"/>
      <c r="I1600" s="276"/>
      <c r="J1600" s="251"/>
      <c r="K1600" s="251"/>
      <c r="L1600" s="251"/>
      <c r="M1600" s="251"/>
      <c r="N1600" s="251"/>
      <c r="O1600" s="251"/>
      <c r="P1600" s="251"/>
      <c r="Q1600" s="251"/>
      <c r="R1600" s="251"/>
      <c r="S1600" s="251"/>
      <c r="T1600" s="251"/>
      <c r="U1600" s="251"/>
      <c r="V1600" s="251"/>
      <c r="W1600" s="251"/>
      <c r="X1600" s="251"/>
      <c r="Y1600" s="251"/>
      <c r="Z1600" s="251"/>
      <c r="AA1600" s="251"/>
      <c r="AB1600" s="251"/>
    </row>
    <row r="1601" ht="14.25" customHeight="1">
      <c r="A1601" s="251"/>
      <c r="B1601" s="263"/>
      <c r="C1601" s="275"/>
      <c r="D1601" s="98"/>
      <c r="E1601" s="240"/>
      <c r="F1601" s="240"/>
      <c r="G1601" s="240"/>
      <c r="H1601" s="240"/>
      <c r="I1601" s="276"/>
      <c r="J1601" s="251"/>
      <c r="K1601" s="251"/>
      <c r="L1601" s="251"/>
      <c r="M1601" s="251"/>
      <c r="N1601" s="251"/>
      <c r="O1601" s="251"/>
      <c r="P1601" s="251"/>
      <c r="Q1601" s="251"/>
      <c r="R1601" s="251"/>
      <c r="S1601" s="251"/>
      <c r="T1601" s="251"/>
      <c r="U1601" s="251"/>
      <c r="V1601" s="251"/>
      <c r="W1601" s="251"/>
      <c r="X1601" s="251"/>
      <c r="Y1601" s="251"/>
      <c r="Z1601" s="251"/>
      <c r="AA1601" s="251"/>
      <c r="AB1601" s="251"/>
    </row>
    <row r="1602" ht="14.25" customHeight="1">
      <c r="A1602" s="251"/>
      <c r="B1602" s="263"/>
      <c r="C1602" s="275"/>
      <c r="D1602" s="98"/>
      <c r="E1602" s="240"/>
      <c r="F1602" s="240"/>
      <c r="G1602" s="240"/>
      <c r="H1602" s="240"/>
      <c r="I1602" s="276"/>
      <c r="J1602" s="251"/>
      <c r="K1602" s="251"/>
      <c r="L1602" s="251"/>
      <c r="M1602" s="251"/>
      <c r="N1602" s="251"/>
      <c r="O1602" s="251"/>
      <c r="P1602" s="251"/>
      <c r="Q1602" s="251"/>
      <c r="R1602" s="251"/>
      <c r="S1602" s="251"/>
      <c r="T1602" s="251"/>
      <c r="U1602" s="251"/>
      <c r="V1602" s="251"/>
      <c r="W1602" s="251"/>
      <c r="X1602" s="251"/>
      <c r="Y1602" s="251"/>
      <c r="Z1602" s="251"/>
      <c r="AA1602" s="251"/>
      <c r="AB1602" s="251"/>
    </row>
    <row r="1603" ht="14.25" customHeight="1">
      <c r="A1603" s="251"/>
      <c r="B1603" s="263"/>
      <c r="C1603" s="275"/>
      <c r="D1603" s="98"/>
      <c r="E1603" s="240"/>
      <c r="F1603" s="240"/>
      <c r="G1603" s="240"/>
      <c r="H1603" s="240"/>
      <c r="I1603" s="276"/>
      <c r="J1603" s="251"/>
      <c r="K1603" s="251"/>
      <c r="L1603" s="251"/>
      <c r="M1603" s="251"/>
      <c r="N1603" s="251"/>
      <c r="O1603" s="251"/>
      <c r="P1603" s="251"/>
      <c r="Q1603" s="251"/>
      <c r="R1603" s="251"/>
      <c r="S1603" s="251"/>
      <c r="T1603" s="251"/>
      <c r="U1603" s="251"/>
      <c r="V1603" s="251"/>
      <c r="W1603" s="251"/>
      <c r="X1603" s="251"/>
      <c r="Y1603" s="251"/>
      <c r="Z1603" s="251"/>
      <c r="AA1603" s="251"/>
      <c r="AB1603" s="251"/>
    </row>
    <row r="1604" ht="14.25" customHeight="1">
      <c r="A1604" s="251"/>
      <c r="B1604" s="263"/>
      <c r="C1604" s="275"/>
      <c r="D1604" s="98"/>
      <c r="E1604" s="240"/>
      <c r="F1604" s="240"/>
      <c r="G1604" s="240"/>
      <c r="H1604" s="240"/>
      <c r="I1604" s="276"/>
      <c r="J1604" s="251"/>
      <c r="K1604" s="251"/>
      <c r="L1604" s="251"/>
      <c r="M1604" s="251"/>
      <c r="N1604" s="251"/>
      <c r="O1604" s="251"/>
      <c r="P1604" s="251"/>
      <c r="Q1604" s="251"/>
      <c r="R1604" s="251"/>
      <c r="S1604" s="251"/>
      <c r="T1604" s="251"/>
      <c r="U1604" s="251"/>
      <c r="V1604" s="251"/>
      <c r="W1604" s="251"/>
      <c r="X1604" s="251"/>
      <c r="Y1604" s="251"/>
      <c r="Z1604" s="251"/>
      <c r="AA1604" s="251"/>
      <c r="AB1604" s="251"/>
    </row>
    <row r="1605" ht="14.25" customHeight="1">
      <c r="A1605" s="251"/>
      <c r="B1605" s="263"/>
      <c r="C1605" s="275"/>
      <c r="D1605" s="98"/>
      <c r="E1605" s="240"/>
      <c r="F1605" s="240"/>
      <c r="G1605" s="240"/>
      <c r="H1605" s="240"/>
      <c r="I1605" s="276"/>
      <c r="J1605" s="251"/>
      <c r="K1605" s="251"/>
      <c r="L1605" s="251"/>
      <c r="M1605" s="251"/>
      <c r="N1605" s="251"/>
      <c r="O1605" s="251"/>
      <c r="P1605" s="251"/>
      <c r="Q1605" s="251"/>
      <c r="R1605" s="251"/>
      <c r="S1605" s="251"/>
      <c r="T1605" s="251"/>
      <c r="U1605" s="251"/>
      <c r="V1605" s="251"/>
      <c r="W1605" s="251"/>
      <c r="X1605" s="251"/>
      <c r="Y1605" s="251"/>
      <c r="Z1605" s="251"/>
      <c r="AA1605" s="251"/>
      <c r="AB1605" s="251"/>
    </row>
    <row r="1606" ht="14.25" customHeight="1">
      <c r="A1606" s="251"/>
      <c r="B1606" s="263"/>
      <c r="C1606" s="275"/>
      <c r="D1606" s="98"/>
      <c r="E1606" s="240"/>
      <c r="F1606" s="240"/>
      <c r="G1606" s="240"/>
      <c r="H1606" s="240"/>
      <c r="I1606" s="276"/>
      <c r="J1606" s="251"/>
      <c r="K1606" s="251"/>
      <c r="L1606" s="251"/>
      <c r="M1606" s="251"/>
      <c r="N1606" s="251"/>
      <c r="O1606" s="251"/>
      <c r="P1606" s="251"/>
      <c r="Q1606" s="251"/>
      <c r="R1606" s="251"/>
      <c r="S1606" s="251"/>
      <c r="T1606" s="251"/>
      <c r="U1606" s="251"/>
      <c r="V1606" s="251"/>
      <c r="W1606" s="251"/>
      <c r="X1606" s="251"/>
      <c r="Y1606" s="251"/>
      <c r="Z1606" s="251"/>
      <c r="AA1606" s="251"/>
      <c r="AB1606" s="251"/>
    </row>
    <row r="1607" ht="14.25" customHeight="1">
      <c r="A1607" s="251"/>
      <c r="B1607" s="263"/>
      <c r="C1607" s="275"/>
      <c r="D1607" s="98"/>
      <c r="E1607" s="240"/>
      <c r="F1607" s="240"/>
      <c r="G1607" s="240"/>
      <c r="H1607" s="240"/>
      <c r="I1607" s="276"/>
      <c r="J1607" s="251"/>
      <c r="K1607" s="251"/>
      <c r="L1607" s="251"/>
      <c r="M1607" s="251"/>
      <c r="N1607" s="251"/>
      <c r="O1607" s="251"/>
      <c r="P1607" s="251"/>
      <c r="Q1607" s="251"/>
      <c r="R1607" s="251"/>
      <c r="S1607" s="251"/>
      <c r="T1607" s="251"/>
      <c r="U1607" s="251"/>
      <c r="V1607" s="251"/>
      <c r="W1607" s="251"/>
      <c r="X1607" s="251"/>
      <c r="Y1607" s="251"/>
      <c r="Z1607" s="251"/>
      <c r="AA1607" s="251"/>
      <c r="AB1607" s="251"/>
    </row>
    <row r="1608" ht="14.25" customHeight="1">
      <c r="A1608" s="251"/>
      <c r="B1608" s="263"/>
      <c r="C1608" s="275"/>
      <c r="D1608" s="98"/>
      <c r="E1608" s="240"/>
      <c r="F1608" s="240"/>
      <c r="G1608" s="240"/>
      <c r="H1608" s="240"/>
      <c r="I1608" s="276"/>
      <c r="J1608" s="251"/>
      <c r="K1608" s="251"/>
      <c r="L1608" s="251"/>
      <c r="M1608" s="251"/>
      <c r="N1608" s="251"/>
      <c r="O1608" s="251"/>
      <c r="P1608" s="251"/>
      <c r="Q1608" s="251"/>
      <c r="R1608" s="251"/>
      <c r="S1608" s="251"/>
      <c r="T1608" s="251"/>
      <c r="U1608" s="251"/>
      <c r="V1608" s="251"/>
      <c r="W1608" s="251"/>
      <c r="X1608" s="251"/>
      <c r="Y1608" s="251"/>
      <c r="Z1608" s="251"/>
      <c r="AA1608" s="251"/>
      <c r="AB1608" s="251"/>
    </row>
    <row r="1609" ht="14.25" customHeight="1">
      <c r="A1609" s="251"/>
      <c r="B1609" s="263"/>
      <c r="C1609" s="275"/>
      <c r="D1609" s="98"/>
      <c r="E1609" s="240"/>
      <c r="F1609" s="240"/>
      <c r="G1609" s="240"/>
      <c r="H1609" s="240"/>
      <c r="I1609" s="276"/>
      <c r="J1609" s="251"/>
      <c r="K1609" s="251"/>
      <c r="L1609" s="251"/>
      <c r="M1609" s="251"/>
      <c r="N1609" s="251"/>
      <c r="O1609" s="251"/>
      <c r="P1609" s="251"/>
      <c r="Q1609" s="251"/>
      <c r="R1609" s="251"/>
      <c r="S1609" s="251"/>
      <c r="T1609" s="251"/>
      <c r="U1609" s="251"/>
      <c r="V1609" s="251"/>
      <c r="W1609" s="251"/>
      <c r="X1609" s="251"/>
      <c r="Y1609" s="251"/>
      <c r="Z1609" s="251"/>
      <c r="AA1609" s="251"/>
      <c r="AB1609" s="251"/>
    </row>
    <row r="1610" ht="14.25" customHeight="1">
      <c r="A1610" s="251"/>
      <c r="B1610" s="263"/>
      <c r="C1610" s="275"/>
      <c r="D1610" s="98"/>
      <c r="E1610" s="240"/>
      <c r="F1610" s="240"/>
      <c r="G1610" s="240"/>
      <c r="H1610" s="240"/>
      <c r="I1610" s="276"/>
      <c r="J1610" s="251"/>
      <c r="K1610" s="251"/>
      <c r="L1610" s="251"/>
      <c r="M1610" s="251"/>
      <c r="N1610" s="251"/>
      <c r="O1610" s="251"/>
      <c r="P1610" s="251"/>
      <c r="Q1610" s="251"/>
      <c r="R1610" s="251"/>
      <c r="S1610" s="251"/>
      <c r="T1610" s="251"/>
      <c r="U1610" s="251"/>
      <c r="V1610" s="251"/>
      <c r="W1610" s="251"/>
      <c r="X1610" s="251"/>
      <c r="Y1610" s="251"/>
      <c r="Z1610" s="251"/>
      <c r="AA1610" s="251"/>
      <c r="AB1610" s="251"/>
    </row>
    <row r="1611" ht="14.25" customHeight="1">
      <c r="A1611" s="251"/>
      <c r="B1611" s="263"/>
      <c r="C1611" s="275"/>
      <c r="D1611" s="98"/>
      <c r="E1611" s="240"/>
      <c r="F1611" s="240"/>
      <c r="G1611" s="240"/>
      <c r="H1611" s="240"/>
      <c r="I1611" s="276"/>
      <c r="J1611" s="251"/>
      <c r="K1611" s="251"/>
      <c r="L1611" s="251"/>
      <c r="M1611" s="251"/>
      <c r="N1611" s="251"/>
      <c r="O1611" s="251"/>
      <c r="P1611" s="251"/>
      <c r="Q1611" s="251"/>
      <c r="R1611" s="251"/>
      <c r="S1611" s="251"/>
      <c r="T1611" s="251"/>
      <c r="U1611" s="251"/>
      <c r="V1611" s="251"/>
      <c r="W1611" s="251"/>
      <c r="X1611" s="251"/>
      <c r="Y1611" s="251"/>
      <c r="Z1611" s="251"/>
      <c r="AA1611" s="251"/>
      <c r="AB1611" s="251"/>
    </row>
    <row r="1612" ht="14.25" customHeight="1">
      <c r="A1612" s="251"/>
      <c r="B1612" s="263"/>
      <c r="C1612" s="275"/>
      <c r="D1612" s="98"/>
      <c r="E1612" s="240"/>
      <c r="F1612" s="240"/>
      <c r="G1612" s="240"/>
      <c r="H1612" s="240"/>
      <c r="I1612" s="276"/>
      <c r="J1612" s="251"/>
      <c r="K1612" s="251"/>
      <c r="L1612" s="251"/>
      <c r="M1612" s="251"/>
      <c r="N1612" s="251"/>
      <c r="O1612" s="251"/>
      <c r="P1612" s="251"/>
      <c r="Q1612" s="251"/>
      <c r="R1612" s="251"/>
      <c r="S1612" s="251"/>
      <c r="T1612" s="251"/>
      <c r="U1612" s="251"/>
      <c r="V1612" s="251"/>
      <c r="W1612" s="251"/>
      <c r="X1612" s="251"/>
      <c r="Y1612" s="251"/>
      <c r="Z1612" s="251"/>
      <c r="AA1612" s="251"/>
      <c r="AB1612" s="251"/>
    </row>
    <row r="1613" ht="14.25" customHeight="1">
      <c r="A1613" s="251"/>
      <c r="B1613" s="263"/>
      <c r="C1613" s="275"/>
      <c r="D1613" s="98"/>
      <c r="E1613" s="240"/>
      <c r="F1613" s="240"/>
      <c r="G1613" s="240"/>
      <c r="H1613" s="240"/>
      <c r="I1613" s="276"/>
      <c r="J1613" s="251"/>
      <c r="K1613" s="251"/>
      <c r="L1613" s="251"/>
      <c r="M1613" s="251"/>
      <c r="N1613" s="251"/>
      <c r="O1613" s="251"/>
      <c r="P1613" s="251"/>
      <c r="Q1613" s="251"/>
      <c r="R1613" s="251"/>
      <c r="S1613" s="251"/>
      <c r="T1613" s="251"/>
      <c r="U1613" s="251"/>
      <c r="V1613" s="251"/>
      <c r="W1613" s="251"/>
      <c r="X1613" s="251"/>
      <c r="Y1613" s="251"/>
      <c r="Z1613" s="251"/>
      <c r="AA1613" s="251"/>
      <c r="AB1613" s="251"/>
    </row>
    <row r="1614" ht="14.25" customHeight="1">
      <c r="A1614" s="251"/>
      <c r="B1614" s="263"/>
      <c r="C1614" s="275"/>
      <c r="D1614" s="98"/>
      <c r="E1614" s="240"/>
      <c r="F1614" s="240"/>
      <c r="G1614" s="240"/>
      <c r="H1614" s="240"/>
      <c r="I1614" s="276"/>
      <c r="J1614" s="251"/>
      <c r="K1614" s="251"/>
      <c r="L1614" s="251"/>
      <c r="M1614" s="251"/>
      <c r="N1614" s="251"/>
      <c r="O1614" s="251"/>
      <c r="P1614" s="251"/>
      <c r="Q1614" s="251"/>
      <c r="R1614" s="251"/>
      <c r="S1614" s="251"/>
      <c r="T1614" s="251"/>
      <c r="U1614" s="251"/>
      <c r="V1614" s="251"/>
      <c r="W1614" s="251"/>
      <c r="X1614" s="251"/>
      <c r="Y1614" s="251"/>
      <c r="Z1614" s="251"/>
      <c r="AA1614" s="251"/>
      <c r="AB1614" s="251"/>
    </row>
    <row r="1615" ht="14.25" customHeight="1">
      <c r="A1615" s="251"/>
      <c r="B1615" s="263"/>
      <c r="C1615" s="275"/>
      <c r="D1615" s="98"/>
      <c r="E1615" s="240"/>
      <c r="F1615" s="240"/>
      <c r="G1615" s="240"/>
      <c r="H1615" s="240"/>
      <c r="I1615" s="276"/>
      <c r="J1615" s="251"/>
      <c r="K1615" s="251"/>
      <c r="L1615" s="251"/>
      <c r="M1615" s="251"/>
      <c r="N1615" s="251"/>
      <c r="O1615" s="251"/>
      <c r="P1615" s="251"/>
      <c r="Q1615" s="251"/>
      <c r="R1615" s="251"/>
      <c r="S1615" s="251"/>
      <c r="T1615" s="251"/>
      <c r="U1615" s="251"/>
      <c r="V1615" s="251"/>
      <c r="W1615" s="251"/>
      <c r="X1615" s="251"/>
      <c r="Y1615" s="251"/>
      <c r="Z1615" s="251"/>
      <c r="AA1615" s="251"/>
      <c r="AB1615" s="251"/>
    </row>
    <row r="1616" ht="14.25" customHeight="1">
      <c r="A1616" s="251"/>
      <c r="B1616" s="263"/>
      <c r="C1616" s="275"/>
      <c r="D1616" s="98"/>
      <c r="E1616" s="240"/>
      <c r="F1616" s="240"/>
      <c r="G1616" s="240"/>
      <c r="H1616" s="240"/>
      <c r="I1616" s="276"/>
      <c r="J1616" s="251"/>
      <c r="K1616" s="251"/>
      <c r="L1616" s="251"/>
      <c r="M1616" s="251"/>
      <c r="N1616" s="251"/>
      <c r="O1616" s="251"/>
      <c r="P1616" s="251"/>
      <c r="Q1616" s="251"/>
      <c r="R1616" s="251"/>
      <c r="S1616" s="251"/>
      <c r="T1616" s="251"/>
      <c r="U1616" s="251"/>
      <c r="V1616" s="251"/>
      <c r="W1616" s="251"/>
      <c r="X1616" s="251"/>
      <c r="Y1616" s="251"/>
      <c r="Z1616" s="251"/>
      <c r="AA1616" s="251"/>
      <c r="AB1616" s="251"/>
    </row>
    <row r="1617" ht="14.25" customHeight="1">
      <c r="A1617" s="251"/>
      <c r="B1617" s="263"/>
      <c r="C1617" s="275"/>
      <c r="D1617" s="98"/>
      <c r="E1617" s="240"/>
      <c r="F1617" s="240"/>
      <c r="G1617" s="240"/>
      <c r="H1617" s="240"/>
      <c r="I1617" s="276"/>
      <c r="J1617" s="251"/>
      <c r="K1617" s="251"/>
      <c r="L1617" s="251"/>
      <c r="M1617" s="251"/>
      <c r="N1617" s="251"/>
      <c r="O1617" s="251"/>
      <c r="P1617" s="251"/>
      <c r="Q1617" s="251"/>
      <c r="R1617" s="251"/>
      <c r="S1617" s="251"/>
      <c r="T1617" s="251"/>
      <c r="U1617" s="251"/>
      <c r="V1617" s="251"/>
      <c r="W1617" s="251"/>
      <c r="X1617" s="251"/>
      <c r="Y1617" s="251"/>
      <c r="Z1617" s="251"/>
      <c r="AA1617" s="251"/>
      <c r="AB1617" s="251"/>
    </row>
    <row r="1618" ht="14.25" customHeight="1">
      <c r="A1618" s="251"/>
      <c r="B1618" s="263"/>
      <c r="C1618" s="275"/>
      <c r="D1618" s="98"/>
      <c r="E1618" s="240"/>
      <c r="F1618" s="240"/>
      <c r="G1618" s="240"/>
      <c r="H1618" s="240"/>
      <c r="I1618" s="276"/>
      <c r="J1618" s="251"/>
      <c r="K1618" s="251"/>
      <c r="L1618" s="251"/>
      <c r="M1618" s="251"/>
      <c r="N1618" s="251"/>
      <c r="O1618" s="251"/>
      <c r="P1618" s="251"/>
      <c r="Q1618" s="251"/>
      <c r="R1618" s="251"/>
      <c r="S1618" s="251"/>
      <c r="T1618" s="251"/>
      <c r="U1618" s="251"/>
      <c r="V1618" s="251"/>
      <c r="W1618" s="251"/>
      <c r="X1618" s="251"/>
      <c r="Y1618" s="251"/>
      <c r="Z1618" s="251"/>
      <c r="AA1618" s="251"/>
      <c r="AB1618" s="251"/>
    </row>
    <row r="1619" ht="14.25" customHeight="1">
      <c r="A1619" s="251"/>
      <c r="B1619" s="263"/>
      <c r="C1619" s="275"/>
      <c r="D1619" s="98"/>
      <c r="E1619" s="240"/>
      <c r="F1619" s="240"/>
      <c r="G1619" s="240"/>
      <c r="H1619" s="240"/>
      <c r="I1619" s="276"/>
      <c r="J1619" s="251"/>
      <c r="K1619" s="251"/>
      <c r="L1619" s="251"/>
      <c r="M1619" s="251"/>
      <c r="N1619" s="251"/>
      <c r="O1619" s="251"/>
      <c r="P1619" s="251"/>
      <c r="Q1619" s="251"/>
      <c r="R1619" s="251"/>
      <c r="S1619" s="251"/>
      <c r="T1619" s="251"/>
      <c r="U1619" s="251"/>
      <c r="V1619" s="251"/>
      <c r="W1619" s="251"/>
      <c r="X1619" s="251"/>
      <c r="Y1619" s="251"/>
      <c r="Z1619" s="251"/>
      <c r="AA1619" s="251"/>
      <c r="AB1619" s="251"/>
    </row>
    <row r="1620" ht="14.25" customHeight="1">
      <c r="A1620" s="251"/>
      <c r="B1620" s="263"/>
      <c r="C1620" s="275"/>
      <c r="D1620" s="98"/>
      <c r="E1620" s="240"/>
      <c r="F1620" s="240"/>
      <c r="G1620" s="240"/>
      <c r="H1620" s="240"/>
      <c r="I1620" s="276"/>
      <c r="J1620" s="251"/>
      <c r="K1620" s="251"/>
      <c r="L1620" s="251"/>
      <c r="M1620" s="251"/>
      <c r="N1620" s="251"/>
      <c r="O1620" s="251"/>
      <c r="P1620" s="251"/>
      <c r="Q1620" s="251"/>
      <c r="R1620" s="251"/>
      <c r="S1620" s="251"/>
      <c r="T1620" s="251"/>
      <c r="U1620" s="251"/>
      <c r="V1620" s="251"/>
      <c r="W1620" s="251"/>
      <c r="X1620" s="251"/>
      <c r="Y1620" s="251"/>
      <c r="Z1620" s="251"/>
      <c r="AA1620" s="251"/>
      <c r="AB1620" s="251"/>
    </row>
    <row r="1621" ht="14.25" customHeight="1">
      <c r="A1621" s="251"/>
      <c r="B1621" s="263"/>
      <c r="C1621" s="275"/>
      <c r="D1621" s="98"/>
      <c r="E1621" s="240"/>
      <c r="F1621" s="240"/>
      <c r="G1621" s="240"/>
      <c r="H1621" s="240"/>
      <c r="I1621" s="276"/>
      <c r="J1621" s="251"/>
      <c r="K1621" s="251"/>
      <c r="L1621" s="251"/>
      <c r="M1621" s="251"/>
      <c r="N1621" s="251"/>
      <c r="O1621" s="251"/>
      <c r="P1621" s="251"/>
      <c r="Q1621" s="251"/>
      <c r="R1621" s="251"/>
      <c r="S1621" s="251"/>
      <c r="T1621" s="251"/>
      <c r="U1621" s="251"/>
      <c r="V1621" s="251"/>
      <c r="W1621" s="251"/>
      <c r="X1621" s="251"/>
      <c r="Y1621" s="251"/>
      <c r="Z1621" s="251"/>
      <c r="AA1621" s="251"/>
      <c r="AB1621" s="251"/>
    </row>
    <row r="1622" ht="14.25" customHeight="1">
      <c r="A1622" s="251"/>
      <c r="B1622" s="263"/>
      <c r="C1622" s="275"/>
      <c r="D1622" s="98"/>
      <c r="E1622" s="240"/>
      <c r="F1622" s="240"/>
      <c r="G1622" s="240"/>
      <c r="H1622" s="240"/>
      <c r="I1622" s="276"/>
      <c r="J1622" s="251"/>
      <c r="K1622" s="251"/>
      <c r="L1622" s="251"/>
      <c r="M1622" s="251"/>
      <c r="N1622" s="251"/>
      <c r="O1622" s="251"/>
      <c r="P1622" s="251"/>
      <c r="Q1622" s="251"/>
      <c r="R1622" s="251"/>
      <c r="S1622" s="251"/>
      <c r="T1622" s="251"/>
      <c r="U1622" s="251"/>
      <c r="V1622" s="251"/>
      <c r="W1622" s="251"/>
      <c r="X1622" s="251"/>
      <c r="Y1622" s="251"/>
      <c r="Z1622" s="251"/>
      <c r="AA1622" s="251"/>
      <c r="AB1622" s="251"/>
    </row>
    <row r="1623" ht="14.25" customHeight="1">
      <c r="A1623" s="251"/>
      <c r="B1623" s="263"/>
      <c r="C1623" s="275"/>
      <c r="D1623" s="98"/>
      <c r="E1623" s="240"/>
      <c r="F1623" s="240"/>
      <c r="G1623" s="240"/>
      <c r="H1623" s="240"/>
      <c r="I1623" s="276"/>
      <c r="J1623" s="251"/>
      <c r="K1623" s="251"/>
      <c r="L1623" s="251"/>
      <c r="M1623" s="251"/>
      <c r="N1623" s="251"/>
      <c r="O1623" s="251"/>
      <c r="P1623" s="251"/>
      <c r="Q1623" s="251"/>
      <c r="R1623" s="251"/>
      <c r="S1623" s="251"/>
      <c r="T1623" s="251"/>
      <c r="U1623" s="251"/>
      <c r="V1623" s="251"/>
      <c r="W1623" s="251"/>
      <c r="X1623" s="251"/>
      <c r="Y1623" s="251"/>
      <c r="Z1623" s="251"/>
      <c r="AA1623" s="251"/>
      <c r="AB1623" s="251"/>
    </row>
    <row r="1624" ht="14.25" customHeight="1">
      <c r="A1624" s="251"/>
      <c r="B1624" s="263"/>
      <c r="C1624" s="275"/>
      <c r="D1624" s="98"/>
      <c r="E1624" s="240"/>
      <c r="F1624" s="240"/>
      <c r="G1624" s="240"/>
      <c r="H1624" s="240"/>
      <c r="I1624" s="276"/>
      <c r="J1624" s="251"/>
      <c r="K1624" s="251"/>
      <c r="L1624" s="251"/>
      <c r="M1624" s="251"/>
      <c r="N1624" s="251"/>
      <c r="O1624" s="251"/>
      <c r="P1624" s="251"/>
      <c r="Q1624" s="251"/>
      <c r="R1624" s="251"/>
      <c r="S1624" s="251"/>
      <c r="T1624" s="251"/>
      <c r="U1624" s="251"/>
      <c r="V1624" s="251"/>
      <c r="W1624" s="251"/>
      <c r="X1624" s="251"/>
      <c r="Y1624" s="251"/>
      <c r="Z1624" s="251"/>
      <c r="AA1624" s="251"/>
      <c r="AB1624" s="251"/>
    </row>
    <row r="1625" ht="14.25" customHeight="1">
      <c r="A1625" s="251"/>
      <c r="B1625" s="263"/>
      <c r="C1625" s="275"/>
      <c r="D1625" s="98"/>
      <c r="E1625" s="240"/>
      <c r="F1625" s="240"/>
      <c r="G1625" s="240"/>
      <c r="H1625" s="240"/>
      <c r="I1625" s="276"/>
      <c r="J1625" s="251"/>
      <c r="K1625" s="251"/>
      <c r="L1625" s="251"/>
      <c r="M1625" s="251"/>
      <c r="N1625" s="251"/>
      <c r="O1625" s="251"/>
      <c r="P1625" s="251"/>
      <c r="Q1625" s="251"/>
      <c r="R1625" s="251"/>
      <c r="S1625" s="251"/>
      <c r="T1625" s="251"/>
      <c r="U1625" s="251"/>
      <c r="V1625" s="251"/>
      <c r="W1625" s="251"/>
      <c r="X1625" s="251"/>
      <c r="Y1625" s="251"/>
      <c r="Z1625" s="251"/>
      <c r="AA1625" s="251"/>
      <c r="AB1625" s="251"/>
    </row>
    <row r="1626" ht="14.25" customHeight="1">
      <c r="A1626" s="251"/>
      <c r="B1626" s="263"/>
      <c r="C1626" s="275"/>
      <c r="D1626" s="98"/>
      <c r="E1626" s="240"/>
      <c r="F1626" s="240"/>
      <c r="G1626" s="240"/>
      <c r="H1626" s="240"/>
      <c r="I1626" s="276"/>
      <c r="J1626" s="251"/>
      <c r="K1626" s="251"/>
      <c r="L1626" s="251"/>
      <c r="M1626" s="251"/>
      <c r="N1626" s="251"/>
      <c r="O1626" s="251"/>
      <c r="P1626" s="251"/>
      <c r="Q1626" s="251"/>
      <c r="R1626" s="251"/>
      <c r="S1626" s="251"/>
      <c r="T1626" s="251"/>
      <c r="U1626" s="251"/>
      <c r="V1626" s="251"/>
      <c r="W1626" s="251"/>
      <c r="X1626" s="251"/>
      <c r="Y1626" s="251"/>
      <c r="Z1626" s="251"/>
      <c r="AA1626" s="251"/>
      <c r="AB1626" s="251"/>
    </row>
    <row r="1627" ht="14.25" customHeight="1">
      <c r="A1627" s="251"/>
      <c r="B1627" s="263"/>
      <c r="C1627" s="275"/>
      <c r="D1627" s="98"/>
      <c r="E1627" s="240"/>
      <c r="F1627" s="240"/>
      <c r="G1627" s="240"/>
      <c r="H1627" s="240"/>
      <c r="I1627" s="276"/>
      <c r="J1627" s="251"/>
      <c r="K1627" s="251"/>
      <c r="L1627" s="251"/>
      <c r="M1627" s="251"/>
      <c r="N1627" s="251"/>
      <c r="O1627" s="251"/>
      <c r="P1627" s="251"/>
      <c r="Q1627" s="251"/>
      <c r="R1627" s="251"/>
      <c r="S1627" s="251"/>
      <c r="T1627" s="251"/>
      <c r="U1627" s="251"/>
      <c r="V1627" s="251"/>
      <c r="W1627" s="251"/>
      <c r="X1627" s="251"/>
      <c r="Y1627" s="251"/>
      <c r="Z1627" s="251"/>
      <c r="AA1627" s="251"/>
      <c r="AB1627" s="251"/>
    </row>
    <row r="1628" ht="14.25" customHeight="1">
      <c r="A1628" s="251"/>
      <c r="B1628" s="263"/>
      <c r="C1628" s="275"/>
      <c r="D1628" s="98"/>
      <c r="E1628" s="240"/>
      <c r="F1628" s="240"/>
      <c r="G1628" s="240"/>
      <c r="H1628" s="240"/>
      <c r="I1628" s="276"/>
      <c r="J1628" s="251"/>
      <c r="K1628" s="251"/>
      <c r="L1628" s="251"/>
      <c r="M1628" s="251"/>
      <c r="N1628" s="251"/>
      <c r="O1628" s="251"/>
      <c r="P1628" s="251"/>
      <c r="Q1628" s="251"/>
      <c r="R1628" s="251"/>
      <c r="S1628" s="251"/>
      <c r="T1628" s="251"/>
      <c r="U1628" s="251"/>
      <c r="V1628" s="251"/>
      <c r="W1628" s="251"/>
      <c r="X1628" s="251"/>
      <c r="Y1628" s="251"/>
      <c r="Z1628" s="251"/>
      <c r="AA1628" s="251"/>
      <c r="AB1628" s="251"/>
    </row>
    <row r="1629" ht="14.25" customHeight="1">
      <c r="A1629" s="251"/>
      <c r="B1629" s="263"/>
      <c r="C1629" s="275"/>
      <c r="D1629" s="98"/>
      <c r="E1629" s="240"/>
      <c r="F1629" s="240"/>
      <c r="G1629" s="240"/>
      <c r="H1629" s="240"/>
      <c r="I1629" s="276"/>
      <c r="J1629" s="251"/>
      <c r="K1629" s="251"/>
      <c r="L1629" s="251"/>
      <c r="M1629" s="251"/>
      <c r="N1629" s="251"/>
      <c r="O1629" s="251"/>
      <c r="P1629" s="251"/>
      <c r="Q1629" s="251"/>
      <c r="R1629" s="251"/>
      <c r="S1629" s="251"/>
      <c r="T1629" s="251"/>
      <c r="U1629" s="251"/>
      <c r="V1629" s="251"/>
      <c r="W1629" s="251"/>
      <c r="X1629" s="251"/>
      <c r="Y1629" s="251"/>
      <c r="Z1629" s="251"/>
      <c r="AA1629" s="251"/>
      <c r="AB1629" s="251"/>
    </row>
    <row r="1630" ht="14.25" customHeight="1">
      <c r="A1630" s="251"/>
      <c r="B1630" s="263"/>
      <c r="C1630" s="275"/>
      <c r="D1630" s="98"/>
      <c r="E1630" s="240"/>
      <c r="F1630" s="240"/>
      <c r="G1630" s="240"/>
      <c r="H1630" s="240"/>
      <c r="I1630" s="276"/>
      <c r="J1630" s="251"/>
      <c r="K1630" s="251"/>
      <c r="L1630" s="251"/>
      <c r="M1630" s="251"/>
      <c r="N1630" s="251"/>
      <c r="O1630" s="251"/>
      <c r="P1630" s="251"/>
      <c r="Q1630" s="251"/>
      <c r="R1630" s="251"/>
      <c r="S1630" s="251"/>
      <c r="T1630" s="251"/>
      <c r="U1630" s="251"/>
      <c r="V1630" s="251"/>
      <c r="W1630" s="251"/>
      <c r="X1630" s="251"/>
      <c r="Y1630" s="251"/>
      <c r="Z1630" s="251"/>
      <c r="AA1630" s="251"/>
      <c r="AB1630" s="251"/>
    </row>
    <row r="1631" ht="14.25" customHeight="1">
      <c r="A1631" s="251"/>
      <c r="B1631" s="263"/>
      <c r="C1631" s="275"/>
      <c r="D1631" s="98"/>
      <c r="E1631" s="240"/>
      <c r="F1631" s="240"/>
      <c r="G1631" s="240"/>
      <c r="H1631" s="240"/>
      <c r="I1631" s="276"/>
      <c r="J1631" s="251"/>
      <c r="K1631" s="251"/>
      <c r="L1631" s="251"/>
      <c r="M1631" s="251"/>
      <c r="N1631" s="251"/>
      <c r="O1631" s="251"/>
      <c r="P1631" s="251"/>
      <c r="Q1631" s="251"/>
      <c r="R1631" s="251"/>
      <c r="S1631" s="251"/>
      <c r="T1631" s="251"/>
      <c r="U1631" s="251"/>
      <c r="V1631" s="251"/>
      <c r="W1631" s="251"/>
      <c r="X1631" s="251"/>
      <c r="Y1631" s="251"/>
      <c r="Z1631" s="251"/>
      <c r="AA1631" s="251"/>
      <c r="AB1631" s="251"/>
    </row>
    <row r="1632" ht="14.25" customHeight="1">
      <c r="A1632" s="251"/>
      <c r="B1632" s="263"/>
      <c r="C1632" s="275"/>
      <c r="D1632" s="98"/>
      <c r="E1632" s="240"/>
      <c r="F1632" s="240"/>
      <c r="G1632" s="240"/>
      <c r="H1632" s="240"/>
      <c r="I1632" s="276"/>
      <c r="J1632" s="251"/>
      <c r="K1632" s="251"/>
      <c r="L1632" s="251"/>
      <c r="M1632" s="251"/>
      <c r="N1632" s="251"/>
      <c r="O1632" s="251"/>
      <c r="P1632" s="251"/>
      <c r="Q1632" s="251"/>
      <c r="R1632" s="251"/>
      <c r="S1632" s="251"/>
      <c r="T1632" s="251"/>
      <c r="U1632" s="251"/>
      <c r="V1632" s="251"/>
      <c r="W1632" s="251"/>
      <c r="X1632" s="251"/>
      <c r="Y1632" s="251"/>
      <c r="Z1632" s="251"/>
      <c r="AA1632" s="251"/>
      <c r="AB1632" s="251"/>
    </row>
    <row r="1633" ht="14.25" customHeight="1">
      <c r="A1633" s="251"/>
      <c r="B1633" s="263"/>
      <c r="C1633" s="275"/>
      <c r="D1633" s="98"/>
      <c r="E1633" s="240"/>
      <c r="F1633" s="240"/>
      <c r="G1633" s="240"/>
      <c r="H1633" s="240"/>
      <c r="I1633" s="276"/>
      <c r="J1633" s="251"/>
      <c r="K1633" s="251"/>
      <c r="L1633" s="251"/>
      <c r="M1633" s="251"/>
      <c r="N1633" s="251"/>
      <c r="O1633" s="251"/>
      <c r="P1633" s="251"/>
      <c r="Q1633" s="251"/>
      <c r="R1633" s="251"/>
      <c r="S1633" s="251"/>
      <c r="T1633" s="251"/>
      <c r="U1633" s="251"/>
      <c r="V1633" s="251"/>
      <c r="W1633" s="251"/>
      <c r="X1633" s="251"/>
      <c r="Y1633" s="251"/>
      <c r="Z1633" s="251"/>
      <c r="AA1633" s="251"/>
      <c r="AB1633" s="251"/>
    </row>
    <row r="1634" ht="14.25" customHeight="1">
      <c r="A1634" s="251"/>
      <c r="B1634" s="263"/>
      <c r="C1634" s="275"/>
      <c r="D1634" s="98"/>
      <c r="E1634" s="240"/>
      <c r="F1634" s="240"/>
      <c r="G1634" s="240"/>
      <c r="H1634" s="240"/>
      <c r="I1634" s="276"/>
      <c r="J1634" s="251"/>
      <c r="K1634" s="251"/>
      <c r="L1634" s="251"/>
      <c r="M1634" s="251"/>
      <c r="N1634" s="251"/>
      <c r="O1634" s="251"/>
      <c r="P1634" s="251"/>
      <c r="Q1634" s="251"/>
      <c r="R1634" s="251"/>
      <c r="S1634" s="251"/>
      <c r="T1634" s="251"/>
      <c r="U1634" s="251"/>
      <c r="V1634" s="251"/>
      <c r="W1634" s="251"/>
      <c r="X1634" s="251"/>
      <c r="Y1634" s="251"/>
      <c r="Z1634" s="251"/>
      <c r="AA1634" s="251"/>
      <c r="AB1634" s="251"/>
    </row>
    <row r="1635" ht="14.25" customHeight="1">
      <c r="A1635" s="251"/>
      <c r="B1635" s="263"/>
      <c r="C1635" s="275"/>
      <c r="D1635" s="98"/>
      <c r="E1635" s="240"/>
      <c r="F1635" s="240"/>
      <c r="G1635" s="240"/>
      <c r="H1635" s="240"/>
      <c r="I1635" s="276"/>
      <c r="J1635" s="251"/>
      <c r="K1635" s="251"/>
      <c r="L1635" s="251"/>
      <c r="M1635" s="251"/>
      <c r="N1635" s="251"/>
      <c r="O1635" s="251"/>
      <c r="P1635" s="251"/>
      <c r="Q1635" s="251"/>
      <c r="R1635" s="251"/>
      <c r="S1635" s="251"/>
      <c r="T1635" s="251"/>
      <c r="U1635" s="251"/>
      <c r="V1635" s="251"/>
      <c r="W1635" s="251"/>
      <c r="X1635" s="251"/>
      <c r="Y1635" s="251"/>
      <c r="Z1635" s="251"/>
      <c r="AA1635" s="251"/>
      <c r="AB1635" s="251"/>
    </row>
    <row r="1636" ht="14.25" customHeight="1">
      <c r="A1636" s="251"/>
      <c r="B1636" s="263"/>
      <c r="C1636" s="275"/>
      <c r="D1636" s="98"/>
      <c r="E1636" s="240"/>
      <c r="F1636" s="240"/>
      <c r="G1636" s="240"/>
      <c r="H1636" s="240"/>
      <c r="I1636" s="276"/>
      <c r="J1636" s="251"/>
      <c r="K1636" s="251"/>
      <c r="L1636" s="251"/>
      <c r="M1636" s="251"/>
      <c r="N1636" s="251"/>
      <c r="O1636" s="251"/>
      <c r="P1636" s="251"/>
      <c r="Q1636" s="251"/>
      <c r="R1636" s="251"/>
      <c r="S1636" s="251"/>
      <c r="T1636" s="251"/>
      <c r="U1636" s="251"/>
      <c r="V1636" s="251"/>
      <c r="W1636" s="251"/>
      <c r="X1636" s="251"/>
      <c r="Y1636" s="251"/>
      <c r="Z1636" s="251"/>
      <c r="AA1636" s="251"/>
      <c r="AB1636" s="251"/>
    </row>
    <row r="1637" ht="14.25" customHeight="1">
      <c r="A1637" s="251"/>
      <c r="B1637" s="263"/>
      <c r="C1637" s="275"/>
      <c r="D1637" s="98"/>
      <c r="E1637" s="240"/>
      <c r="F1637" s="240"/>
      <c r="G1637" s="240"/>
      <c r="H1637" s="240"/>
      <c r="I1637" s="276"/>
      <c r="J1637" s="251"/>
      <c r="K1637" s="251"/>
      <c r="L1637" s="251"/>
      <c r="M1637" s="251"/>
      <c r="N1637" s="251"/>
      <c r="O1637" s="251"/>
      <c r="P1637" s="251"/>
      <c r="Q1637" s="251"/>
      <c r="R1637" s="251"/>
      <c r="S1637" s="251"/>
      <c r="T1637" s="251"/>
      <c r="U1637" s="251"/>
      <c r="V1637" s="251"/>
      <c r="W1637" s="251"/>
      <c r="X1637" s="251"/>
      <c r="Y1637" s="251"/>
      <c r="Z1637" s="251"/>
      <c r="AA1637" s="251"/>
      <c r="AB1637" s="251"/>
    </row>
    <row r="1638" ht="14.25" customHeight="1">
      <c r="A1638" s="251"/>
      <c r="B1638" s="263"/>
      <c r="C1638" s="275"/>
      <c r="D1638" s="98"/>
      <c r="E1638" s="240"/>
      <c r="F1638" s="240"/>
      <c r="G1638" s="240"/>
      <c r="H1638" s="240"/>
      <c r="I1638" s="276"/>
      <c r="J1638" s="251"/>
      <c r="K1638" s="251"/>
      <c r="L1638" s="251"/>
      <c r="M1638" s="251"/>
      <c r="N1638" s="251"/>
      <c r="O1638" s="251"/>
      <c r="P1638" s="251"/>
      <c r="Q1638" s="251"/>
      <c r="R1638" s="251"/>
      <c r="S1638" s="251"/>
      <c r="T1638" s="251"/>
      <c r="U1638" s="251"/>
      <c r="V1638" s="251"/>
      <c r="W1638" s="251"/>
      <c r="X1638" s="251"/>
      <c r="Y1638" s="251"/>
      <c r="Z1638" s="251"/>
      <c r="AA1638" s="251"/>
      <c r="AB1638" s="251"/>
    </row>
    <row r="1639" ht="14.25" customHeight="1">
      <c r="A1639" s="251"/>
      <c r="B1639" s="263"/>
      <c r="C1639" s="275"/>
      <c r="D1639" s="98"/>
      <c r="E1639" s="240"/>
      <c r="F1639" s="240"/>
      <c r="G1639" s="240"/>
      <c r="H1639" s="240"/>
      <c r="I1639" s="276"/>
      <c r="J1639" s="251"/>
      <c r="K1639" s="251"/>
      <c r="L1639" s="251"/>
      <c r="M1639" s="251"/>
      <c r="N1639" s="251"/>
      <c r="O1639" s="251"/>
      <c r="P1639" s="251"/>
      <c r="Q1639" s="251"/>
      <c r="R1639" s="251"/>
      <c r="S1639" s="251"/>
      <c r="T1639" s="251"/>
      <c r="U1639" s="251"/>
      <c r="V1639" s="251"/>
      <c r="W1639" s="251"/>
      <c r="X1639" s="251"/>
      <c r="Y1639" s="251"/>
      <c r="Z1639" s="251"/>
      <c r="AA1639" s="251"/>
      <c r="AB1639" s="251"/>
    </row>
    <row r="1640" ht="14.25" customHeight="1">
      <c r="A1640" s="251"/>
      <c r="B1640" s="263"/>
      <c r="C1640" s="275"/>
      <c r="D1640" s="98"/>
      <c r="E1640" s="240"/>
      <c r="F1640" s="240"/>
      <c r="G1640" s="240"/>
      <c r="H1640" s="240"/>
      <c r="I1640" s="276"/>
      <c r="J1640" s="251"/>
      <c r="K1640" s="251"/>
      <c r="L1640" s="251"/>
      <c r="M1640" s="251"/>
      <c r="N1640" s="251"/>
      <c r="O1640" s="251"/>
      <c r="P1640" s="251"/>
      <c r="Q1640" s="251"/>
      <c r="R1640" s="251"/>
      <c r="S1640" s="251"/>
      <c r="T1640" s="251"/>
      <c r="U1640" s="251"/>
      <c r="V1640" s="251"/>
      <c r="W1640" s="251"/>
      <c r="X1640" s="251"/>
      <c r="Y1640" s="251"/>
      <c r="Z1640" s="251"/>
      <c r="AA1640" s="251"/>
      <c r="AB1640" s="251"/>
    </row>
    <row r="1641" ht="14.25" customHeight="1">
      <c r="A1641" s="251"/>
      <c r="B1641" s="263"/>
      <c r="C1641" s="275"/>
      <c r="D1641" s="98"/>
      <c r="E1641" s="240"/>
      <c r="F1641" s="240"/>
      <c r="G1641" s="240"/>
      <c r="H1641" s="240"/>
      <c r="I1641" s="276"/>
      <c r="J1641" s="251"/>
      <c r="K1641" s="251"/>
      <c r="L1641" s="251"/>
      <c r="M1641" s="251"/>
      <c r="N1641" s="251"/>
      <c r="O1641" s="251"/>
      <c r="P1641" s="251"/>
      <c r="Q1641" s="251"/>
      <c r="R1641" s="251"/>
      <c r="S1641" s="251"/>
      <c r="T1641" s="251"/>
      <c r="U1641" s="251"/>
      <c r="V1641" s="251"/>
      <c r="W1641" s="251"/>
      <c r="X1641" s="251"/>
      <c r="Y1641" s="251"/>
      <c r="Z1641" s="251"/>
      <c r="AA1641" s="251"/>
      <c r="AB1641" s="251"/>
    </row>
    <row r="1642" ht="14.25" customHeight="1">
      <c r="A1642" s="251"/>
      <c r="B1642" s="263"/>
      <c r="C1642" s="275"/>
      <c r="D1642" s="98"/>
      <c r="E1642" s="240"/>
      <c r="F1642" s="240"/>
      <c r="G1642" s="240"/>
      <c r="H1642" s="240"/>
      <c r="I1642" s="276"/>
      <c r="J1642" s="251"/>
      <c r="K1642" s="251"/>
      <c r="L1642" s="251"/>
      <c r="M1642" s="251"/>
      <c r="N1642" s="251"/>
      <c r="O1642" s="251"/>
      <c r="P1642" s="251"/>
      <c r="Q1642" s="251"/>
      <c r="R1642" s="251"/>
      <c r="S1642" s="251"/>
      <c r="T1642" s="251"/>
      <c r="U1642" s="251"/>
      <c r="V1642" s="251"/>
      <c r="W1642" s="251"/>
      <c r="X1642" s="251"/>
      <c r="Y1642" s="251"/>
      <c r="Z1642" s="251"/>
      <c r="AA1642" s="251"/>
      <c r="AB1642" s="251"/>
    </row>
    <row r="1643" ht="14.25" customHeight="1">
      <c r="A1643" s="251"/>
      <c r="B1643" s="263"/>
      <c r="C1643" s="275"/>
      <c r="D1643" s="98"/>
      <c r="E1643" s="240"/>
      <c r="F1643" s="240"/>
      <c r="G1643" s="240"/>
      <c r="H1643" s="240"/>
      <c r="I1643" s="276"/>
      <c r="J1643" s="251"/>
      <c r="K1643" s="251"/>
      <c r="L1643" s="251"/>
      <c r="M1643" s="251"/>
      <c r="N1643" s="251"/>
      <c r="O1643" s="251"/>
      <c r="P1643" s="251"/>
      <c r="Q1643" s="251"/>
      <c r="R1643" s="251"/>
      <c r="S1643" s="251"/>
      <c r="T1643" s="251"/>
      <c r="U1643" s="251"/>
      <c r="V1643" s="251"/>
      <c r="W1643" s="251"/>
      <c r="X1643" s="251"/>
      <c r="Y1643" s="251"/>
      <c r="Z1643" s="251"/>
      <c r="AA1643" s="251"/>
      <c r="AB1643" s="251"/>
    </row>
    <row r="1644" ht="14.25" customHeight="1">
      <c r="A1644" s="251"/>
      <c r="B1644" s="263"/>
      <c r="C1644" s="275"/>
      <c r="D1644" s="98"/>
      <c r="E1644" s="240"/>
      <c r="F1644" s="240"/>
      <c r="G1644" s="240"/>
      <c r="H1644" s="240"/>
      <c r="I1644" s="276"/>
      <c r="J1644" s="251"/>
      <c r="K1644" s="251"/>
      <c r="L1644" s="251"/>
      <c r="M1644" s="251"/>
      <c r="N1644" s="251"/>
      <c r="O1644" s="251"/>
      <c r="P1644" s="251"/>
      <c r="Q1644" s="251"/>
      <c r="R1644" s="251"/>
      <c r="S1644" s="251"/>
      <c r="T1644" s="251"/>
      <c r="U1644" s="251"/>
      <c r="V1644" s="251"/>
      <c r="W1644" s="251"/>
      <c r="X1644" s="251"/>
      <c r="Y1644" s="251"/>
      <c r="Z1644" s="251"/>
      <c r="AA1644" s="251"/>
      <c r="AB1644" s="251"/>
    </row>
    <row r="1645" ht="14.25" customHeight="1">
      <c r="A1645" s="251"/>
      <c r="B1645" s="263"/>
      <c r="C1645" s="275"/>
      <c r="D1645" s="98"/>
      <c r="E1645" s="240"/>
      <c r="F1645" s="240"/>
      <c r="G1645" s="240"/>
      <c r="H1645" s="240"/>
      <c r="I1645" s="276"/>
      <c r="J1645" s="251"/>
      <c r="K1645" s="251"/>
      <c r="L1645" s="251"/>
      <c r="M1645" s="251"/>
      <c r="N1645" s="251"/>
      <c r="O1645" s="251"/>
      <c r="P1645" s="251"/>
      <c r="Q1645" s="251"/>
      <c r="R1645" s="251"/>
      <c r="S1645" s="251"/>
      <c r="T1645" s="251"/>
      <c r="U1645" s="251"/>
      <c r="V1645" s="251"/>
      <c r="W1645" s="251"/>
      <c r="X1645" s="251"/>
      <c r="Y1645" s="251"/>
      <c r="Z1645" s="251"/>
      <c r="AA1645" s="251"/>
      <c r="AB1645" s="251"/>
    </row>
    <row r="1646" ht="14.25" customHeight="1">
      <c r="A1646" s="251"/>
      <c r="B1646" s="263"/>
      <c r="C1646" s="275"/>
      <c r="D1646" s="98"/>
      <c r="E1646" s="240"/>
      <c r="F1646" s="240"/>
      <c r="G1646" s="240"/>
      <c r="H1646" s="240"/>
      <c r="I1646" s="276"/>
      <c r="J1646" s="251"/>
      <c r="K1646" s="251"/>
      <c r="L1646" s="251"/>
      <c r="M1646" s="251"/>
      <c r="N1646" s="251"/>
      <c r="O1646" s="251"/>
      <c r="P1646" s="251"/>
      <c r="Q1646" s="251"/>
      <c r="R1646" s="251"/>
      <c r="S1646" s="251"/>
      <c r="T1646" s="251"/>
      <c r="U1646" s="251"/>
      <c r="V1646" s="251"/>
      <c r="W1646" s="251"/>
      <c r="X1646" s="251"/>
      <c r="Y1646" s="251"/>
      <c r="Z1646" s="251"/>
      <c r="AA1646" s="251"/>
      <c r="AB1646" s="251"/>
    </row>
    <row r="1647" ht="14.25" customHeight="1">
      <c r="A1647" s="251"/>
      <c r="B1647" s="263"/>
      <c r="C1647" s="275"/>
      <c r="D1647" s="98"/>
      <c r="E1647" s="240"/>
      <c r="F1647" s="240"/>
      <c r="G1647" s="240"/>
      <c r="H1647" s="240"/>
      <c r="I1647" s="276"/>
      <c r="J1647" s="251"/>
      <c r="K1647" s="251"/>
      <c r="L1647" s="251"/>
      <c r="M1647" s="251"/>
      <c r="N1647" s="251"/>
      <c r="O1647" s="251"/>
      <c r="P1647" s="251"/>
      <c r="Q1647" s="251"/>
      <c r="R1647" s="251"/>
      <c r="S1647" s="251"/>
      <c r="T1647" s="251"/>
      <c r="U1647" s="251"/>
      <c r="V1647" s="251"/>
      <c r="W1647" s="251"/>
      <c r="X1647" s="251"/>
      <c r="Y1647" s="251"/>
      <c r="Z1647" s="251"/>
      <c r="AA1647" s="251"/>
      <c r="AB1647" s="251"/>
    </row>
    <row r="1648" ht="14.25" customHeight="1">
      <c r="A1648" s="251"/>
      <c r="B1648" s="263"/>
      <c r="C1648" s="275"/>
      <c r="D1648" s="98"/>
      <c r="E1648" s="240"/>
      <c r="F1648" s="240"/>
      <c r="G1648" s="240"/>
      <c r="H1648" s="240"/>
      <c r="I1648" s="276"/>
      <c r="J1648" s="251"/>
      <c r="K1648" s="251"/>
      <c r="L1648" s="251"/>
      <c r="M1648" s="251"/>
      <c r="N1648" s="251"/>
      <c r="O1648" s="251"/>
      <c r="P1648" s="251"/>
      <c r="Q1648" s="251"/>
      <c r="R1648" s="251"/>
      <c r="S1648" s="251"/>
      <c r="T1648" s="251"/>
      <c r="U1648" s="251"/>
      <c r="V1648" s="251"/>
      <c r="W1648" s="251"/>
      <c r="X1648" s="251"/>
      <c r="Y1648" s="251"/>
      <c r="Z1648" s="251"/>
      <c r="AA1648" s="251"/>
      <c r="AB1648" s="251"/>
    </row>
    <row r="1649" ht="14.25" customHeight="1">
      <c r="A1649" s="251"/>
      <c r="B1649" s="263"/>
      <c r="C1649" s="275"/>
      <c r="D1649" s="98"/>
      <c r="E1649" s="240"/>
      <c r="F1649" s="240"/>
      <c r="G1649" s="240"/>
      <c r="H1649" s="240"/>
      <c r="I1649" s="276"/>
      <c r="J1649" s="251"/>
      <c r="K1649" s="251"/>
      <c r="L1649" s="251"/>
      <c r="M1649" s="251"/>
      <c r="N1649" s="251"/>
      <c r="O1649" s="251"/>
      <c r="P1649" s="251"/>
      <c r="Q1649" s="251"/>
      <c r="R1649" s="251"/>
      <c r="S1649" s="251"/>
      <c r="T1649" s="251"/>
      <c r="U1649" s="251"/>
      <c r="V1649" s="251"/>
      <c r="W1649" s="251"/>
      <c r="X1649" s="251"/>
      <c r="Y1649" s="251"/>
      <c r="Z1649" s="251"/>
      <c r="AA1649" s="251"/>
      <c r="AB1649" s="251"/>
    </row>
    <row r="1650" ht="14.25" customHeight="1">
      <c r="A1650" s="251"/>
      <c r="B1650" s="263"/>
      <c r="C1650" s="275"/>
      <c r="D1650" s="98"/>
      <c r="E1650" s="240"/>
      <c r="F1650" s="240"/>
      <c r="G1650" s="240"/>
      <c r="H1650" s="240"/>
      <c r="I1650" s="276"/>
      <c r="J1650" s="251"/>
      <c r="K1650" s="251"/>
      <c r="L1650" s="251"/>
      <c r="M1650" s="251"/>
      <c r="N1650" s="251"/>
      <c r="O1650" s="251"/>
      <c r="P1650" s="251"/>
      <c r="Q1650" s="251"/>
      <c r="R1650" s="251"/>
      <c r="S1650" s="251"/>
      <c r="T1650" s="251"/>
      <c r="U1650" s="251"/>
      <c r="V1650" s="251"/>
      <c r="W1650" s="251"/>
      <c r="X1650" s="251"/>
      <c r="Y1650" s="251"/>
      <c r="Z1650" s="251"/>
      <c r="AA1650" s="251"/>
      <c r="AB1650" s="251"/>
    </row>
    <row r="1651" ht="14.25" customHeight="1">
      <c r="A1651" s="251"/>
      <c r="B1651" s="263"/>
      <c r="C1651" s="275"/>
      <c r="D1651" s="98"/>
      <c r="E1651" s="240"/>
      <c r="F1651" s="240"/>
      <c r="G1651" s="240"/>
      <c r="H1651" s="240"/>
      <c r="I1651" s="276"/>
      <c r="J1651" s="251"/>
      <c r="K1651" s="251"/>
      <c r="L1651" s="251"/>
      <c r="M1651" s="251"/>
      <c r="N1651" s="251"/>
      <c r="O1651" s="251"/>
      <c r="P1651" s="251"/>
      <c r="Q1651" s="251"/>
      <c r="R1651" s="251"/>
      <c r="S1651" s="251"/>
      <c r="T1651" s="251"/>
      <c r="U1651" s="251"/>
      <c r="V1651" s="251"/>
      <c r="W1651" s="251"/>
      <c r="X1651" s="251"/>
      <c r="Y1651" s="251"/>
      <c r="Z1651" s="251"/>
      <c r="AA1651" s="251"/>
      <c r="AB1651" s="251"/>
    </row>
    <row r="1652" ht="14.25" customHeight="1">
      <c r="A1652" s="251"/>
      <c r="B1652" s="263"/>
      <c r="C1652" s="275"/>
      <c r="D1652" s="98"/>
      <c r="E1652" s="240"/>
      <c r="F1652" s="240"/>
      <c r="G1652" s="240"/>
      <c r="H1652" s="240"/>
      <c r="I1652" s="276"/>
      <c r="J1652" s="251"/>
      <c r="K1652" s="251"/>
      <c r="L1652" s="251"/>
      <c r="M1652" s="251"/>
      <c r="N1652" s="251"/>
      <c r="O1652" s="251"/>
      <c r="P1652" s="251"/>
      <c r="Q1652" s="251"/>
      <c r="R1652" s="251"/>
      <c r="S1652" s="251"/>
      <c r="T1652" s="251"/>
      <c r="U1652" s="251"/>
      <c r="V1652" s="251"/>
      <c r="W1652" s="251"/>
      <c r="X1652" s="251"/>
      <c r="Y1652" s="251"/>
      <c r="Z1652" s="251"/>
      <c r="AA1652" s="251"/>
      <c r="AB1652" s="251"/>
    </row>
    <row r="1653" ht="14.25" customHeight="1">
      <c r="A1653" s="251"/>
      <c r="B1653" s="263"/>
      <c r="C1653" s="275"/>
      <c r="D1653" s="98"/>
      <c r="E1653" s="240"/>
      <c r="F1653" s="240"/>
      <c r="G1653" s="240"/>
      <c r="H1653" s="240"/>
      <c r="I1653" s="276"/>
      <c r="J1653" s="251"/>
      <c r="K1653" s="251"/>
      <c r="L1653" s="251"/>
      <c r="M1653" s="251"/>
      <c r="N1653" s="251"/>
      <c r="O1653" s="251"/>
      <c r="P1653" s="251"/>
      <c r="Q1653" s="251"/>
      <c r="R1653" s="251"/>
      <c r="S1653" s="251"/>
      <c r="T1653" s="251"/>
      <c r="U1653" s="251"/>
      <c r="V1653" s="251"/>
      <c r="W1653" s="251"/>
      <c r="X1653" s="251"/>
      <c r="Y1653" s="251"/>
      <c r="Z1653" s="251"/>
      <c r="AA1653" s="251"/>
      <c r="AB1653" s="251"/>
    </row>
    <row r="1654" ht="14.25" customHeight="1">
      <c r="A1654" s="251"/>
      <c r="B1654" s="263"/>
      <c r="C1654" s="275"/>
      <c r="D1654" s="98"/>
      <c r="E1654" s="240"/>
      <c r="F1654" s="240"/>
      <c r="G1654" s="240"/>
      <c r="H1654" s="240"/>
      <c r="I1654" s="276"/>
      <c r="J1654" s="251"/>
      <c r="K1654" s="251"/>
      <c r="L1654" s="251"/>
      <c r="M1654" s="251"/>
      <c r="N1654" s="251"/>
      <c r="O1654" s="251"/>
      <c r="P1654" s="251"/>
      <c r="Q1654" s="251"/>
      <c r="R1654" s="251"/>
      <c r="S1654" s="251"/>
      <c r="T1654" s="251"/>
      <c r="U1654" s="251"/>
      <c r="V1654" s="251"/>
      <c r="W1654" s="251"/>
      <c r="X1654" s="251"/>
      <c r="Y1654" s="251"/>
      <c r="Z1654" s="251"/>
      <c r="AA1654" s="251"/>
      <c r="AB1654" s="251"/>
    </row>
    <row r="1655" ht="14.25" customHeight="1">
      <c r="A1655" s="251"/>
      <c r="B1655" s="263"/>
      <c r="C1655" s="275"/>
      <c r="D1655" s="98"/>
      <c r="E1655" s="240"/>
      <c r="F1655" s="240"/>
      <c r="G1655" s="240"/>
      <c r="H1655" s="240"/>
      <c r="I1655" s="276"/>
      <c r="J1655" s="251"/>
      <c r="K1655" s="251"/>
      <c r="L1655" s="251"/>
      <c r="M1655" s="251"/>
      <c r="N1655" s="251"/>
      <c r="O1655" s="251"/>
      <c r="P1655" s="251"/>
      <c r="Q1655" s="251"/>
      <c r="R1655" s="251"/>
      <c r="S1655" s="251"/>
      <c r="T1655" s="251"/>
      <c r="U1655" s="251"/>
      <c r="V1655" s="251"/>
      <c r="W1655" s="251"/>
      <c r="X1655" s="251"/>
      <c r="Y1655" s="251"/>
      <c r="Z1655" s="251"/>
      <c r="AA1655" s="251"/>
      <c r="AB1655" s="251"/>
    </row>
    <row r="1656" ht="14.25" customHeight="1">
      <c r="A1656" s="251"/>
      <c r="B1656" s="263"/>
      <c r="C1656" s="275"/>
      <c r="D1656" s="98"/>
      <c r="E1656" s="240"/>
      <c r="F1656" s="240"/>
      <c r="G1656" s="240"/>
      <c r="H1656" s="240"/>
      <c r="I1656" s="276"/>
      <c r="J1656" s="251"/>
      <c r="K1656" s="251"/>
      <c r="L1656" s="251"/>
      <c r="M1656" s="251"/>
      <c r="N1656" s="251"/>
      <c r="O1656" s="251"/>
      <c r="P1656" s="251"/>
      <c r="Q1656" s="251"/>
      <c r="R1656" s="251"/>
      <c r="S1656" s="251"/>
      <c r="T1656" s="251"/>
      <c r="U1656" s="251"/>
      <c r="V1656" s="251"/>
      <c r="W1656" s="251"/>
      <c r="X1656" s="251"/>
      <c r="Y1656" s="251"/>
      <c r="Z1656" s="251"/>
      <c r="AA1656" s="251"/>
      <c r="AB1656" s="251"/>
    </row>
    <row r="1657" ht="14.25" customHeight="1">
      <c r="A1657" s="251"/>
      <c r="B1657" s="263"/>
      <c r="C1657" s="275"/>
      <c r="D1657" s="98"/>
      <c r="E1657" s="240"/>
      <c r="F1657" s="240"/>
      <c r="G1657" s="240"/>
      <c r="H1657" s="240"/>
      <c r="I1657" s="276"/>
      <c r="J1657" s="251"/>
      <c r="K1657" s="251"/>
      <c r="L1657" s="251"/>
      <c r="M1657" s="251"/>
      <c r="N1657" s="251"/>
      <c r="O1657" s="251"/>
      <c r="P1657" s="251"/>
      <c r="Q1657" s="251"/>
      <c r="R1657" s="251"/>
      <c r="S1657" s="251"/>
      <c r="T1657" s="251"/>
      <c r="U1657" s="251"/>
      <c r="V1657" s="251"/>
      <c r="W1657" s="251"/>
      <c r="X1657" s="251"/>
      <c r="Y1657" s="251"/>
      <c r="Z1657" s="251"/>
      <c r="AA1657" s="251"/>
      <c r="AB1657" s="251"/>
    </row>
    <row r="1658" ht="14.25" customHeight="1">
      <c r="A1658" s="251"/>
      <c r="B1658" s="263"/>
      <c r="C1658" s="275"/>
      <c r="D1658" s="98"/>
      <c r="E1658" s="240"/>
      <c r="F1658" s="240"/>
      <c r="G1658" s="240"/>
      <c r="H1658" s="240"/>
      <c r="I1658" s="276"/>
      <c r="J1658" s="251"/>
      <c r="K1658" s="251"/>
      <c r="L1658" s="251"/>
      <c r="M1658" s="251"/>
      <c r="N1658" s="251"/>
      <c r="O1658" s="251"/>
      <c r="P1658" s="251"/>
      <c r="Q1658" s="251"/>
      <c r="R1658" s="251"/>
      <c r="S1658" s="251"/>
      <c r="T1658" s="251"/>
      <c r="U1658" s="251"/>
      <c r="V1658" s="251"/>
      <c r="W1658" s="251"/>
      <c r="X1658" s="251"/>
      <c r="Y1658" s="251"/>
      <c r="Z1658" s="251"/>
      <c r="AA1658" s="251"/>
      <c r="AB1658" s="251"/>
    </row>
    <row r="1659" ht="14.25" customHeight="1">
      <c r="A1659" s="251"/>
      <c r="B1659" s="263"/>
      <c r="C1659" s="275"/>
      <c r="D1659" s="98"/>
      <c r="E1659" s="240"/>
      <c r="F1659" s="240"/>
      <c r="G1659" s="240"/>
      <c r="H1659" s="240"/>
      <c r="I1659" s="276"/>
      <c r="J1659" s="251"/>
      <c r="K1659" s="251"/>
      <c r="L1659" s="251"/>
      <c r="M1659" s="251"/>
      <c r="N1659" s="251"/>
      <c r="O1659" s="251"/>
      <c r="P1659" s="251"/>
      <c r="Q1659" s="251"/>
      <c r="R1659" s="251"/>
      <c r="S1659" s="251"/>
      <c r="T1659" s="251"/>
      <c r="U1659" s="251"/>
      <c r="V1659" s="251"/>
      <c r="W1659" s="251"/>
      <c r="X1659" s="251"/>
      <c r="Y1659" s="251"/>
      <c r="Z1659" s="251"/>
      <c r="AA1659" s="251"/>
      <c r="AB1659" s="251"/>
    </row>
    <row r="1660" ht="14.25" customHeight="1">
      <c r="A1660" s="251"/>
      <c r="B1660" s="263"/>
      <c r="C1660" s="275"/>
      <c r="D1660" s="98"/>
      <c r="E1660" s="240"/>
      <c r="F1660" s="240"/>
      <c r="G1660" s="240"/>
      <c r="H1660" s="240"/>
      <c r="I1660" s="276"/>
      <c r="J1660" s="251"/>
      <c r="K1660" s="251"/>
      <c r="L1660" s="251"/>
      <c r="M1660" s="251"/>
      <c r="N1660" s="251"/>
      <c r="O1660" s="251"/>
      <c r="P1660" s="251"/>
      <c r="Q1660" s="251"/>
      <c r="R1660" s="251"/>
      <c r="S1660" s="251"/>
      <c r="T1660" s="251"/>
      <c r="U1660" s="251"/>
      <c r="V1660" s="251"/>
      <c r="W1660" s="251"/>
      <c r="X1660" s="251"/>
      <c r="Y1660" s="251"/>
      <c r="Z1660" s="251"/>
      <c r="AA1660" s="251"/>
      <c r="AB1660" s="251"/>
    </row>
    <row r="1661" ht="14.25" customHeight="1">
      <c r="A1661" s="251"/>
      <c r="B1661" s="263"/>
      <c r="C1661" s="275"/>
      <c r="D1661" s="98"/>
      <c r="E1661" s="240"/>
      <c r="F1661" s="240"/>
      <c r="G1661" s="240"/>
      <c r="H1661" s="240"/>
      <c r="I1661" s="276"/>
      <c r="J1661" s="251"/>
      <c r="K1661" s="251"/>
      <c r="L1661" s="251"/>
      <c r="M1661" s="251"/>
      <c r="N1661" s="251"/>
      <c r="O1661" s="251"/>
      <c r="P1661" s="251"/>
      <c r="Q1661" s="251"/>
      <c r="R1661" s="251"/>
      <c r="S1661" s="251"/>
      <c r="T1661" s="251"/>
      <c r="U1661" s="251"/>
      <c r="V1661" s="251"/>
      <c r="W1661" s="251"/>
      <c r="X1661" s="251"/>
      <c r="Y1661" s="251"/>
      <c r="Z1661" s="251"/>
      <c r="AA1661" s="251"/>
      <c r="AB1661" s="251"/>
    </row>
    <row r="1662" ht="14.25" customHeight="1">
      <c r="A1662" s="251"/>
      <c r="B1662" s="263"/>
      <c r="C1662" s="275"/>
      <c r="D1662" s="98"/>
      <c r="E1662" s="240"/>
      <c r="F1662" s="240"/>
      <c r="G1662" s="240"/>
      <c r="H1662" s="240"/>
      <c r="I1662" s="276"/>
      <c r="J1662" s="251"/>
      <c r="K1662" s="251"/>
      <c r="L1662" s="251"/>
      <c r="M1662" s="251"/>
      <c r="N1662" s="251"/>
      <c r="O1662" s="251"/>
      <c r="P1662" s="251"/>
      <c r="Q1662" s="251"/>
      <c r="R1662" s="251"/>
      <c r="S1662" s="251"/>
      <c r="T1662" s="251"/>
      <c r="U1662" s="251"/>
      <c r="V1662" s="251"/>
      <c r="W1662" s="251"/>
      <c r="X1662" s="251"/>
      <c r="Y1662" s="251"/>
      <c r="Z1662" s="251"/>
      <c r="AA1662" s="251"/>
      <c r="AB1662" s="251"/>
    </row>
    <row r="1663" ht="14.25" customHeight="1">
      <c r="A1663" s="251"/>
      <c r="B1663" s="263"/>
      <c r="C1663" s="275"/>
      <c r="D1663" s="98"/>
      <c r="E1663" s="240"/>
      <c r="F1663" s="240"/>
      <c r="G1663" s="240"/>
      <c r="H1663" s="240"/>
      <c r="I1663" s="276"/>
      <c r="J1663" s="251"/>
      <c r="K1663" s="251"/>
      <c r="L1663" s="251"/>
      <c r="M1663" s="251"/>
      <c r="N1663" s="251"/>
      <c r="O1663" s="251"/>
      <c r="P1663" s="251"/>
      <c r="Q1663" s="251"/>
      <c r="R1663" s="251"/>
      <c r="S1663" s="251"/>
      <c r="T1663" s="251"/>
      <c r="U1663" s="251"/>
      <c r="V1663" s="251"/>
      <c r="W1663" s="251"/>
      <c r="X1663" s="251"/>
      <c r="Y1663" s="251"/>
      <c r="Z1663" s="251"/>
      <c r="AA1663" s="251"/>
      <c r="AB1663" s="251"/>
    </row>
    <row r="1664" ht="14.25" customHeight="1">
      <c r="A1664" s="251"/>
      <c r="B1664" s="263"/>
      <c r="C1664" s="275"/>
      <c r="D1664" s="98"/>
      <c r="E1664" s="240"/>
      <c r="F1664" s="240"/>
      <c r="G1664" s="240"/>
      <c r="H1664" s="240"/>
      <c r="I1664" s="276"/>
      <c r="J1664" s="251"/>
      <c r="K1664" s="251"/>
      <c r="L1664" s="251"/>
      <c r="M1664" s="251"/>
      <c r="N1664" s="251"/>
      <c r="O1664" s="251"/>
      <c r="P1664" s="251"/>
      <c r="Q1664" s="251"/>
      <c r="R1664" s="251"/>
      <c r="S1664" s="251"/>
      <c r="T1664" s="251"/>
      <c r="U1664" s="251"/>
      <c r="V1664" s="251"/>
      <c r="W1664" s="251"/>
      <c r="X1664" s="251"/>
      <c r="Y1664" s="251"/>
      <c r="Z1664" s="251"/>
      <c r="AA1664" s="251"/>
      <c r="AB1664" s="251"/>
    </row>
    <row r="1665" ht="14.25" customHeight="1">
      <c r="A1665" s="251"/>
      <c r="B1665" s="263"/>
      <c r="C1665" s="275"/>
      <c r="D1665" s="98"/>
      <c r="E1665" s="240"/>
      <c r="F1665" s="240"/>
      <c r="G1665" s="240"/>
      <c r="H1665" s="240"/>
      <c r="I1665" s="276"/>
      <c r="J1665" s="251"/>
      <c r="K1665" s="251"/>
      <c r="L1665" s="251"/>
      <c r="M1665" s="251"/>
      <c r="N1665" s="251"/>
      <c r="O1665" s="251"/>
      <c r="P1665" s="251"/>
      <c r="Q1665" s="251"/>
      <c r="R1665" s="251"/>
      <c r="S1665" s="251"/>
      <c r="T1665" s="251"/>
      <c r="U1665" s="251"/>
      <c r="V1665" s="251"/>
      <c r="W1665" s="251"/>
      <c r="X1665" s="251"/>
      <c r="Y1665" s="251"/>
      <c r="Z1665" s="251"/>
      <c r="AA1665" s="251"/>
      <c r="AB1665" s="251"/>
    </row>
    <row r="1666" ht="14.25" customHeight="1">
      <c r="A1666" s="251"/>
      <c r="B1666" s="263"/>
      <c r="C1666" s="275"/>
      <c r="D1666" s="98"/>
      <c r="E1666" s="240"/>
      <c r="F1666" s="240"/>
      <c r="G1666" s="240"/>
      <c r="H1666" s="240"/>
      <c r="I1666" s="276"/>
      <c r="J1666" s="251"/>
      <c r="K1666" s="251"/>
      <c r="L1666" s="251"/>
      <c r="M1666" s="251"/>
      <c r="N1666" s="251"/>
      <c r="O1666" s="251"/>
      <c r="P1666" s="251"/>
      <c r="Q1666" s="251"/>
      <c r="R1666" s="251"/>
      <c r="S1666" s="251"/>
      <c r="T1666" s="251"/>
      <c r="U1666" s="251"/>
      <c r="V1666" s="251"/>
      <c r="W1666" s="251"/>
      <c r="X1666" s="251"/>
      <c r="Y1666" s="251"/>
      <c r="Z1666" s="251"/>
      <c r="AA1666" s="251"/>
      <c r="AB1666" s="251"/>
    </row>
    <row r="1667" ht="14.25" customHeight="1">
      <c r="A1667" s="251"/>
      <c r="B1667" s="263"/>
      <c r="C1667" s="275"/>
      <c r="D1667" s="98"/>
      <c r="E1667" s="240"/>
      <c r="F1667" s="240"/>
      <c r="G1667" s="240"/>
      <c r="H1667" s="240"/>
      <c r="I1667" s="276"/>
      <c r="J1667" s="251"/>
      <c r="K1667" s="251"/>
      <c r="L1667" s="251"/>
      <c r="M1667" s="251"/>
      <c r="N1667" s="251"/>
      <c r="O1667" s="251"/>
      <c r="P1667" s="251"/>
      <c r="Q1667" s="251"/>
      <c r="R1667" s="251"/>
      <c r="S1667" s="251"/>
      <c r="T1667" s="251"/>
      <c r="U1667" s="251"/>
      <c r="V1667" s="251"/>
      <c r="W1667" s="251"/>
      <c r="X1667" s="251"/>
      <c r="Y1667" s="251"/>
      <c r="Z1667" s="251"/>
      <c r="AA1667" s="251"/>
      <c r="AB1667" s="251"/>
    </row>
    <row r="1668" ht="14.25" customHeight="1">
      <c r="A1668" s="251"/>
      <c r="B1668" s="263"/>
      <c r="C1668" s="275"/>
      <c r="D1668" s="98"/>
      <c r="E1668" s="240"/>
      <c r="F1668" s="240"/>
      <c r="G1668" s="240"/>
      <c r="H1668" s="240"/>
      <c r="I1668" s="276"/>
      <c r="J1668" s="251"/>
      <c r="K1668" s="251"/>
      <c r="L1668" s="251"/>
      <c r="M1668" s="251"/>
      <c r="N1668" s="251"/>
      <c r="O1668" s="251"/>
      <c r="P1668" s="251"/>
      <c r="Q1668" s="251"/>
      <c r="R1668" s="251"/>
      <c r="S1668" s="251"/>
      <c r="T1668" s="251"/>
      <c r="U1668" s="251"/>
      <c r="V1668" s="251"/>
      <c r="W1668" s="251"/>
      <c r="X1668" s="251"/>
      <c r="Y1668" s="251"/>
      <c r="Z1668" s="251"/>
      <c r="AA1668" s="251"/>
      <c r="AB1668" s="251"/>
    </row>
    <row r="1669" ht="14.25" customHeight="1">
      <c r="A1669" s="251"/>
      <c r="B1669" s="263"/>
      <c r="C1669" s="275"/>
      <c r="D1669" s="98"/>
      <c r="E1669" s="240"/>
      <c r="F1669" s="240"/>
      <c r="G1669" s="240"/>
      <c r="H1669" s="240"/>
      <c r="I1669" s="276"/>
      <c r="J1669" s="251"/>
      <c r="K1669" s="251"/>
      <c r="L1669" s="251"/>
      <c r="M1669" s="251"/>
      <c r="N1669" s="251"/>
      <c r="O1669" s="251"/>
      <c r="P1669" s="251"/>
      <c r="Q1669" s="251"/>
      <c r="R1669" s="251"/>
      <c r="S1669" s="251"/>
      <c r="T1669" s="251"/>
      <c r="U1669" s="251"/>
      <c r="V1669" s="251"/>
      <c r="W1669" s="251"/>
      <c r="X1669" s="251"/>
      <c r="Y1669" s="251"/>
      <c r="Z1669" s="251"/>
      <c r="AA1669" s="251"/>
      <c r="AB1669" s="251"/>
    </row>
    <row r="1670" ht="14.25" customHeight="1">
      <c r="A1670" s="251"/>
      <c r="B1670" s="263"/>
      <c r="C1670" s="275"/>
      <c r="D1670" s="98"/>
      <c r="E1670" s="240"/>
      <c r="F1670" s="240"/>
      <c r="G1670" s="240"/>
      <c r="H1670" s="240"/>
      <c r="I1670" s="276"/>
      <c r="J1670" s="251"/>
      <c r="K1670" s="251"/>
      <c r="L1670" s="251"/>
      <c r="M1670" s="251"/>
      <c r="N1670" s="251"/>
      <c r="O1670" s="251"/>
      <c r="P1670" s="251"/>
      <c r="Q1670" s="251"/>
      <c r="R1670" s="251"/>
      <c r="S1670" s="251"/>
      <c r="T1670" s="251"/>
      <c r="U1670" s="251"/>
      <c r="V1670" s="251"/>
      <c r="W1670" s="251"/>
      <c r="X1670" s="251"/>
      <c r="Y1670" s="251"/>
      <c r="Z1670" s="251"/>
      <c r="AA1670" s="251"/>
      <c r="AB1670" s="251"/>
    </row>
    <row r="1671" ht="14.25" customHeight="1">
      <c r="A1671" s="251"/>
      <c r="B1671" s="263"/>
      <c r="C1671" s="275"/>
      <c r="D1671" s="98"/>
      <c r="E1671" s="240"/>
      <c r="F1671" s="240"/>
      <c r="G1671" s="240"/>
      <c r="H1671" s="240"/>
      <c r="I1671" s="276"/>
      <c r="J1671" s="251"/>
      <c r="K1671" s="251"/>
      <c r="L1671" s="251"/>
      <c r="M1671" s="251"/>
      <c r="N1671" s="251"/>
      <c r="O1671" s="251"/>
      <c r="P1671" s="251"/>
      <c r="Q1671" s="251"/>
      <c r="R1671" s="251"/>
      <c r="S1671" s="251"/>
      <c r="T1671" s="251"/>
      <c r="U1671" s="251"/>
      <c r="V1671" s="251"/>
      <c r="W1671" s="251"/>
      <c r="X1671" s="251"/>
      <c r="Y1671" s="251"/>
      <c r="Z1671" s="251"/>
      <c r="AA1671" s="251"/>
      <c r="AB1671" s="251"/>
    </row>
    <row r="1672" ht="14.25" customHeight="1">
      <c r="A1672" s="251"/>
      <c r="B1672" s="263"/>
      <c r="C1672" s="275"/>
      <c r="D1672" s="98"/>
      <c r="E1672" s="240"/>
      <c r="F1672" s="240"/>
      <c r="G1672" s="240"/>
      <c r="H1672" s="240"/>
      <c r="I1672" s="276"/>
      <c r="J1672" s="251"/>
      <c r="K1672" s="251"/>
      <c r="L1672" s="251"/>
      <c r="M1672" s="251"/>
      <c r="N1672" s="251"/>
      <c r="O1672" s="251"/>
      <c r="P1672" s="251"/>
      <c r="Q1672" s="251"/>
      <c r="R1672" s="251"/>
      <c r="S1672" s="251"/>
      <c r="T1672" s="251"/>
      <c r="U1672" s="251"/>
      <c r="V1672" s="251"/>
      <c r="W1672" s="251"/>
      <c r="X1672" s="251"/>
      <c r="Y1672" s="251"/>
      <c r="Z1672" s="251"/>
      <c r="AA1672" s="251"/>
      <c r="AB1672" s="251"/>
    </row>
    <row r="1673" ht="14.25" customHeight="1">
      <c r="A1673" s="251"/>
      <c r="B1673" s="263"/>
      <c r="C1673" s="275"/>
      <c r="D1673" s="98"/>
      <c r="E1673" s="240"/>
      <c r="F1673" s="240"/>
      <c r="G1673" s="240"/>
      <c r="H1673" s="240"/>
      <c r="I1673" s="276"/>
      <c r="J1673" s="251"/>
      <c r="K1673" s="251"/>
      <c r="L1673" s="251"/>
      <c r="M1673" s="251"/>
      <c r="N1673" s="251"/>
      <c r="O1673" s="251"/>
      <c r="P1673" s="251"/>
      <c r="Q1673" s="251"/>
      <c r="R1673" s="251"/>
      <c r="S1673" s="251"/>
      <c r="T1673" s="251"/>
      <c r="U1673" s="251"/>
      <c r="V1673" s="251"/>
      <c r="W1673" s="251"/>
      <c r="X1673" s="251"/>
      <c r="Y1673" s="251"/>
      <c r="Z1673" s="251"/>
      <c r="AA1673" s="251"/>
      <c r="AB1673" s="251"/>
    </row>
    <row r="1674" ht="14.25" customHeight="1">
      <c r="A1674" s="251"/>
      <c r="B1674" s="263"/>
      <c r="C1674" s="275"/>
      <c r="D1674" s="98"/>
      <c r="E1674" s="240"/>
      <c r="F1674" s="240"/>
      <c r="G1674" s="240"/>
      <c r="H1674" s="240"/>
      <c r="I1674" s="276"/>
      <c r="J1674" s="251"/>
      <c r="K1674" s="251"/>
      <c r="L1674" s="251"/>
      <c r="M1674" s="251"/>
      <c r="N1674" s="251"/>
      <c r="O1674" s="251"/>
      <c r="P1674" s="251"/>
      <c r="Q1674" s="251"/>
      <c r="R1674" s="251"/>
      <c r="S1674" s="251"/>
      <c r="T1674" s="251"/>
      <c r="U1674" s="251"/>
      <c r="V1674" s="251"/>
      <c r="W1674" s="251"/>
      <c r="X1674" s="251"/>
      <c r="Y1674" s="251"/>
      <c r="Z1674" s="251"/>
      <c r="AA1674" s="251"/>
      <c r="AB1674" s="251"/>
    </row>
    <row r="1675" ht="14.25" customHeight="1">
      <c r="A1675" s="251"/>
      <c r="B1675" s="263"/>
      <c r="C1675" s="275"/>
      <c r="D1675" s="98"/>
      <c r="E1675" s="240"/>
      <c r="F1675" s="240"/>
      <c r="G1675" s="240"/>
      <c r="H1675" s="240"/>
      <c r="I1675" s="276"/>
      <c r="J1675" s="251"/>
      <c r="K1675" s="251"/>
      <c r="L1675" s="251"/>
      <c r="M1675" s="251"/>
      <c r="N1675" s="251"/>
      <c r="O1675" s="251"/>
      <c r="P1675" s="251"/>
      <c r="Q1675" s="251"/>
      <c r="R1675" s="251"/>
      <c r="S1675" s="251"/>
      <c r="T1675" s="251"/>
      <c r="U1675" s="251"/>
      <c r="V1675" s="251"/>
      <c r="W1675" s="251"/>
      <c r="X1675" s="251"/>
      <c r="Y1675" s="251"/>
      <c r="Z1675" s="251"/>
      <c r="AA1675" s="251"/>
      <c r="AB1675" s="251"/>
    </row>
    <row r="1676" ht="14.25" customHeight="1">
      <c r="A1676" s="251"/>
      <c r="B1676" s="263"/>
      <c r="C1676" s="275"/>
      <c r="D1676" s="98"/>
      <c r="E1676" s="240"/>
      <c r="F1676" s="240"/>
      <c r="G1676" s="240"/>
      <c r="H1676" s="240"/>
      <c r="I1676" s="276"/>
      <c r="J1676" s="251"/>
      <c r="K1676" s="251"/>
      <c r="L1676" s="251"/>
      <c r="M1676" s="251"/>
      <c r="N1676" s="251"/>
      <c r="O1676" s="251"/>
      <c r="P1676" s="251"/>
      <c r="Q1676" s="251"/>
      <c r="R1676" s="251"/>
      <c r="S1676" s="251"/>
      <c r="T1676" s="251"/>
      <c r="U1676" s="251"/>
      <c r="V1676" s="251"/>
      <c r="W1676" s="251"/>
      <c r="X1676" s="251"/>
      <c r="Y1676" s="251"/>
      <c r="Z1676" s="251"/>
      <c r="AA1676" s="251"/>
      <c r="AB1676" s="251"/>
    </row>
    <row r="1677" ht="14.25" customHeight="1">
      <c r="A1677" s="251"/>
      <c r="B1677" s="263"/>
      <c r="C1677" s="275"/>
      <c r="D1677" s="98"/>
      <c r="E1677" s="240"/>
      <c r="F1677" s="240"/>
      <c r="G1677" s="240"/>
      <c r="H1677" s="240"/>
      <c r="I1677" s="276"/>
      <c r="J1677" s="251"/>
      <c r="K1677" s="251"/>
      <c r="L1677" s="251"/>
      <c r="M1677" s="251"/>
      <c r="N1677" s="251"/>
      <c r="O1677" s="251"/>
      <c r="P1677" s="251"/>
      <c r="Q1677" s="251"/>
      <c r="R1677" s="251"/>
      <c r="S1677" s="251"/>
      <c r="T1677" s="251"/>
      <c r="U1677" s="251"/>
      <c r="V1677" s="251"/>
      <c r="W1677" s="251"/>
      <c r="X1677" s="251"/>
      <c r="Y1677" s="251"/>
      <c r="Z1677" s="251"/>
      <c r="AA1677" s="251"/>
      <c r="AB1677" s="251"/>
    </row>
    <row r="1678" ht="14.25" customHeight="1">
      <c r="A1678" s="251"/>
      <c r="B1678" s="263"/>
      <c r="C1678" s="275"/>
      <c r="D1678" s="98"/>
      <c r="E1678" s="240"/>
      <c r="F1678" s="240"/>
      <c r="G1678" s="240"/>
      <c r="H1678" s="240"/>
      <c r="I1678" s="276"/>
      <c r="J1678" s="251"/>
      <c r="K1678" s="251"/>
      <c r="L1678" s="251"/>
      <c r="M1678" s="251"/>
      <c r="N1678" s="251"/>
      <c r="O1678" s="251"/>
      <c r="P1678" s="251"/>
      <c r="Q1678" s="251"/>
      <c r="R1678" s="251"/>
      <c r="S1678" s="251"/>
      <c r="T1678" s="251"/>
      <c r="U1678" s="251"/>
      <c r="V1678" s="251"/>
      <c r="W1678" s="251"/>
      <c r="X1678" s="251"/>
      <c r="Y1678" s="251"/>
      <c r="Z1678" s="251"/>
      <c r="AA1678" s="251"/>
      <c r="AB1678" s="251"/>
    </row>
    <row r="1679" ht="14.25" customHeight="1">
      <c r="A1679" s="251"/>
      <c r="B1679" s="263"/>
      <c r="C1679" s="275"/>
      <c r="D1679" s="98"/>
      <c r="E1679" s="240"/>
      <c r="F1679" s="240"/>
      <c r="G1679" s="240"/>
      <c r="H1679" s="240"/>
      <c r="I1679" s="276"/>
      <c r="J1679" s="251"/>
      <c r="K1679" s="251"/>
      <c r="L1679" s="251"/>
      <c r="M1679" s="251"/>
      <c r="N1679" s="251"/>
      <c r="O1679" s="251"/>
      <c r="P1679" s="251"/>
      <c r="Q1679" s="251"/>
      <c r="R1679" s="251"/>
      <c r="S1679" s="251"/>
      <c r="T1679" s="251"/>
      <c r="U1679" s="251"/>
      <c r="V1679" s="251"/>
      <c r="W1679" s="251"/>
      <c r="X1679" s="251"/>
      <c r="Y1679" s="251"/>
      <c r="Z1679" s="251"/>
      <c r="AA1679" s="251"/>
      <c r="AB1679" s="251"/>
    </row>
    <row r="1680" ht="14.25" customHeight="1">
      <c r="A1680" s="251"/>
      <c r="B1680" s="263"/>
      <c r="C1680" s="275"/>
      <c r="D1680" s="98"/>
      <c r="E1680" s="240"/>
      <c r="F1680" s="240"/>
      <c r="G1680" s="240"/>
      <c r="H1680" s="240"/>
      <c r="I1680" s="276"/>
      <c r="J1680" s="251"/>
      <c r="K1680" s="251"/>
      <c r="L1680" s="251"/>
      <c r="M1680" s="251"/>
      <c r="N1680" s="251"/>
      <c r="O1680" s="251"/>
      <c r="P1680" s="251"/>
      <c r="Q1680" s="251"/>
      <c r="R1680" s="251"/>
      <c r="S1680" s="251"/>
      <c r="T1680" s="251"/>
      <c r="U1680" s="251"/>
      <c r="V1680" s="251"/>
      <c r="W1680" s="251"/>
      <c r="X1680" s="251"/>
      <c r="Y1680" s="251"/>
      <c r="Z1680" s="251"/>
      <c r="AA1680" s="251"/>
      <c r="AB1680" s="251"/>
    </row>
    <row r="1681" ht="14.25" customHeight="1">
      <c r="A1681" s="251"/>
      <c r="B1681" s="263"/>
      <c r="C1681" s="275"/>
      <c r="D1681" s="98"/>
      <c r="E1681" s="240"/>
      <c r="F1681" s="240"/>
      <c r="G1681" s="240"/>
      <c r="H1681" s="240"/>
      <c r="I1681" s="276"/>
      <c r="J1681" s="251"/>
      <c r="K1681" s="251"/>
      <c r="L1681" s="251"/>
      <c r="M1681" s="251"/>
      <c r="N1681" s="251"/>
      <c r="O1681" s="251"/>
      <c r="P1681" s="251"/>
      <c r="Q1681" s="251"/>
      <c r="R1681" s="251"/>
      <c r="S1681" s="251"/>
      <c r="T1681" s="251"/>
      <c r="U1681" s="251"/>
      <c r="V1681" s="251"/>
      <c r="W1681" s="251"/>
      <c r="X1681" s="251"/>
      <c r="Y1681" s="251"/>
      <c r="Z1681" s="251"/>
      <c r="AA1681" s="251"/>
      <c r="AB1681" s="251"/>
    </row>
    <row r="1682" ht="14.25" customHeight="1">
      <c r="A1682" s="251"/>
      <c r="B1682" s="263"/>
      <c r="C1682" s="275"/>
      <c r="D1682" s="98"/>
      <c r="E1682" s="240"/>
      <c r="F1682" s="240"/>
      <c r="G1682" s="240"/>
      <c r="H1682" s="240"/>
      <c r="I1682" s="276"/>
      <c r="J1682" s="251"/>
      <c r="K1682" s="251"/>
      <c r="L1682" s="251"/>
      <c r="M1682" s="251"/>
      <c r="N1682" s="251"/>
      <c r="O1682" s="251"/>
      <c r="P1682" s="251"/>
      <c r="Q1682" s="251"/>
      <c r="R1682" s="251"/>
      <c r="S1682" s="251"/>
      <c r="T1682" s="251"/>
      <c r="U1682" s="251"/>
      <c r="V1682" s="251"/>
      <c r="W1682" s="251"/>
      <c r="X1682" s="251"/>
      <c r="Y1682" s="251"/>
      <c r="Z1682" s="251"/>
      <c r="AA1682" s="251"/>
      <c r="AB1682" s="251"/>
    </row>
    <row r="1683" ht="14.25" customHeight="1">
      <c r="A1683" s="251"/>
      <c r="B1683" s="263"/>
      <c r="C1683" s="275"/>
      <c r="D1683" s="98"/>
      <c r="E1683" s="240"/>
      <c r="F1683" s="240"/>
      <c r="G1683" s="240"/>
      <c r="H1683" s="240"/>
      <c r="I1683" s="276"/>
      <c r="J1683" s="251"/>
      <c r="K1683" s="251"/>
      <c r="L1683" s="251"/>
      <c r="M1683" s="251"/>
      <c r="N1683" s="251"/>
      <c r="O1683" s="251"/>
      <c r="P1683" s="251"/>
      <c r="Q1683" s="251"/>
      <c r="R1683" s="251"/>
      <c r="S1683" s="251"/>
      <c r="T1683" s="251"/>
      <c r="U1683" s="251"/>
      <c r="V1683" s="251"/>
      <c r="W1683" s="251"/>
      <c r="X1683" s="251"/>
      <c r="Y1683" s="251"/>
      <c r="Z1683" s="251"/>
      <c r="AA1683" s="251"/>
      <c r="AB1683" s="251"/>
    </row>
    <row r="1684" ht="14.25" customHeight="1">
      <c r="A1684" s="251"/>
      <c r="B1684" s="263"/>
      <c r="C1684" s="275"/>
      <c r="D1684" s="98"/>
      <c r="E1684" s="240"/>
      <c r="F1684" s="240"/>
      <c r="G1684" s="240"/>
      <c r="H1684" s="240"/>
      <c r="I1684" s="276"/>
      <c r="J1684" s="251"/>
      <c r="K1684" s="251"/>
      <c r="L1684" s="251"/>
      <c r="M1684" s="251"/>
      <c r="N1684" s="251"/>
      <c r="O1684" s="251"/>
      <c r="P1684" s="251"/>
      <c r="Q1684" s="251"/>
      <c r="R1684" s="251"/>
      <c r="S1684" s="251"/>
      <c r="T1684" s="251"/>
      <c r="U1684" s="251"/>
      <c r="V1684" s="251"/>
      <c r="W1684" s="251"/>
      <c r="X1684" s="251"/>
      <c r="Y1684" s="251"/>
      <c r="Z1684" s="251"/>
      <c r="AA1684" s="251"/>
      <c r="AB1684" s="251"/>
    </row>
    <row r="1685" ht="14.25" customHeight="1">
      <c r="A1685" s="251"/>
      <c r="B1685" s="263"/>
      <c r="C1685" s="275"/>
      <c r="D1685" s="98"/>
      <c r="E1685" s="240"/>
      <c r="F1685" s="240"/>
      <c r="G1685" s="240"/>
      <c r="H1685" s="240"/>
      <c r="I1685" s="276"/>
      <c r="J1685" s="251"/>
      <c r="K1685" s="251"/>
      <c r="L1685" s="251"/>
      <c r="M1685" s="251"/>
      <c r="N1685" s="251"/>
      <c r="O1685" s="251"/>
      <c r="P1685" s="251"/>
      <c r="Q1685" s="251"/>
      <c r="R1685" s="251"/>
      <c r="S1685" s="251"/>
      <c r="T1685" s="251"/>
      <c r="U1685" s="251"/>
      <c r="V1685" s="251"/>
      <c r="W1685" s="251"/>
      <c r="X1685" s="251"/>
      <c r="Y1685" s="251"/>
      <c r="Z1685" s="251"/>
      <c r="AA1685" s="251"/>
      <c r="AB1685" s="251"/>
    </row>
    <row r="1686" ht="14.25" customHeight="1">
      <c r="A1686" s="251"/>
      <c r="B1686" s="263"/>
      <c r="C1686" s="275"/>
      <c r="D1686" s="98"/>
      <c r="E1686" s="240"/>
      <c r="F1686" s="240"/>
      <c r="G1686" s="240"/>
      <c r="H1686" s="240"/>
      <c r="I1686" s="276"/>
      <c r="J1686" s="251"/>
      <c r="K1686" s="251"/>
      <c r="L1686" s="251"/>
      <c r="M1686" s="251"/>
      <c r="N1686" s="251"/>
      <c r="O1686" s="251"/>
      <c r="P1686" s="251"/>
      <c r="Q1686" s="251"/>
      <c r="R1686" s="251"/>
      <c r="S1686" s="251"/>
      <c r="T1686" s="251"/>
      <c r="U1686" s="251"/>
      <c r="V1686" s="251"/>
      <c r="W1686" s="251"/>
      <c r="X1686" s="251"/>
      <c r="Y1686" s="251"/>
      <c r="Z1686" s="251"/>
      <c r="AA1686" s="251"/>
      <c r="AB1686" s="251"/>
    </row>
    <row r="1687" ht="14.25" customHeight="1">
      <c r="A1687" s="251"/>
      <c r="B1687" s="263"/>
      <c r="C1687" s="275"/>
      <c r="D1687" s="98"/>
      <c r="E1687" s="240"/>
      <c r="F1687" s="240"/>
      <c r="G1687" s="240"/>
      <c r="H1687" s="240"/>
      <c r="I1687" s="276"/>
      <c r="J1687" s="251"/>
      <c r="K1687" s="251"/>
      <c r="L1687" s="251"/>
      <c r="M1687" s="251"/>
      <c r="N1687" s="251"/>
      <c r="O1687" s="251"/>
      <c r="P1687" s="251"/>
      <c r="Q1687" s="251"/>
      <c r="R1687" s="251"/>
      <c r="S1687" s="251"/>
      <c r="T1687" s="251"/>
      <c r="U1687" s="251"/>
      <c r="V1687" s="251"/>
      <c r="W1687" s="251"/>
      <c r="X1687" s="251"/>
      <c r="Y1687" s="251"/>
      <c r="Z1687" s="251"/>
      <c r="AA1687" s="251"/>
      <c r="AB1687" s="251"/>
    </row>
    <row r="1688" ht="14.25" customHeight="1">
      <c r="A1688" s="251"/>
      <c r="B1688" s="263"/>
      <c r="C1688" s="275"/>
      <c r="D1688" s="98"/>
      <c r="E1688" s="240"/>
      <c r="F1688" s="240"/>
      <c r="G1688" s="240"/>
      <c r="H1688" s="240"/>
      <c r="I1688" s="276"/>
      <c r="J1688" s="251"/>
      <c r="K1688" s="251"/>
      <c r="L1688" s="251"/>
      <c r="M1688" s="251"/>
      <c r="N1688" s="251"/>
      <c r="O1688" s="251"/>
      <c r="P1688" s="251"/>
      <c r="Q1688" s="251"/>
      <c r="R1688" s="251"/>
      <c r="S1688" s="251"/>
      <c r="T1688" s="251"/>
      <c r="U1688" s="251"/>
      <c r="V1688" s="251"/>
      <c r="W1688" s="251"/>
      <c r="X1688" s="251"/>
      <c r="Y1688" s="251"/>
      <c r="Z1688" s="251"/>
      <c r="AA1688" s="251"/>
      <c r="AB1688" s="251"/>
    </row>
    <row r="1689" ht="14.25" customHeight="1">
      <c r="A1689" s="251"/>
      <c r="B1689" s="263"/>
      <c r="C1689" s="275"/>
      <c r="D1689" s="98"/>
      <c r="E1689" s="240"/>
      <c r="F1689" s="240"/>
      <c r="G1689" s="240"/>
      <c r="H1689" s="240"/>
      <c r="I1689" s="276"/>
      <c r="J1689" s="251"/>
      <c r="K1689" s="251"/>
      <c r="L1689" s="251"/>
      <c r="M1689" s="251"/>
      <c r="N1689" s="251"/>
      <c r="O1689" s="251"/>
      <c r="P1689" s="251"/>
      <c r="Q1689" s="251"/>
      <c r="R1689" s="251"/>
      <c r="S1689" s="251"/>
      <c r="T1689" s="251"/>
      <c r="U1689" s="251"/>
      <c r="V1689" s="251"/>
      <c r="W1689" s="251"/>
      <c r="X1689" s="251"/>
      <c r="Y1689" s="251"/>
      <c r="Z1689" s="251"/>
      <c r="AA1689" s="251"/>
      <c r="AB1689" s="251"/>
    </row>
    <row r="1690" ht="14.25" customHeight="1">
      <c r="A1690" s="251"/>
      <c r="B1690" s="263"/>
      <c r="C1690" s="275"/>
      <c r="D1690" s="98"/>
      <c r="E1690" s="240"/>
      <c r="F1690" s="240"/>
      <c r="G1690" s="240"/>
      <c r="H1690" s="240"/>
      <c r="I1690" s="276"/>
      <c r="J1690" s="251"/>
      <c r="K1690" s="251"/>
      <c r="L1690" s="251"/>
      <c r="M1690" s="251"/>
      <c r="N1690" s="251"/>
      <c r="O1690" s="251"/>
      <c r="P1690" s="251"/>
      <c r="Q1690" s="251"/>
      <c r="R1690" s="251"/>
      <c r="S1690" s="251"/>
      <c r="T1690" s="251"/>
      <c r="U1690" s="251"/>
      <c r="V1690" s="251"/>
      <c r="W1690" s="251"/>
      <c r="X1690" s="251"/>
      <c r="Y1690" s="251"/>
      <c r="Z1690" s="251"/>
      <c r="AA1690" s="251"/>
      <c r="AB1690" s="251"/>
    </row>
    <row r="1691" ht="14.25" customHeight="1">
      <c r="A1691" s="251"/>
      <c r="B1691" s="263"/>
      <c r="C1691" s="275"/>
      <c r="D1691" s="98"/>
      <c r="E1691" s="240"/>
      <c r="F1691" s="240"/>
      <c r="G1691" s="240"/>
      <c r="H1691" s="240"/>
      <c r="I1691" s="276"/>
      <c r="J1691" s="251"/>
      <c r="K1691" s="251"/>
      <c r="L1691" s="251"/>
      <c r="M1691" s="251"/>
      <c r="N1691" s="251"/>
      <c r="O1691" s="251"/>
      <c r="P1691" s="251"/>
      <c r="Q1691" s="251"/>
      <c r="R1691" s="251"/>
      <c r="S1691" s="251"/>
      <c r="T1691" s="251"/>
      <c r="U1691" s="251"/>
      <c r="V1691" s="251"/>
      <c r="W1691" s="251"/>
      <c r="X1691" s="251"/>
      <c r="Y1691" s="251"/>
      <c r="Z1691" s="251"/>
      <c r="AA1691" s="251"/>
      <c r="AB1691" s="251"/>
    </row>
    <row r="1692" ht="14.25" customHeight="1">
      <c r="A1692" s="251"/>
      <c r="B1692" s="263"/>
      <c r="C1692" s="275"/>
      <c r="D1692" s="98"/>
      <c r="E1692" s="240"/>
      <c r="F1692" s="240"/>
      <c r="G1692" s="240"/>
      <c r="H1692" s="240"/>
      <c r="I1692" s="276"/>
      <c r="J1692" s="251"/>
      <c r="K1692" s="251"/>
      <c r="L1692" s="251"/>
      <c r="M1692" s="251"/>
      <c r="N1692" s="251"/>
      <c r="O1692" s="251"/>
      <c r="P1692" s="251"/>
      <c r="Q1692" s="251"/>
      <c r="R1692" s="251"/>
      <c r="S1692" s="251"/>
      <c r="T1692" s="251"/>
      <c r="U1692" s="251"/>
      <c r="V1692" s="251"/>
      <c r="W1692" s="251"/>
      <c r="X1692" s="251"/>
      <c r="Y1692" s="251"/>
      <c r="Z1692" s="251"/>
      <c r="AA1692" s="251"/>
      <c r="AB1692" s="251"/>
    </row>
    <row r="1693" ht="14.25" customHeight="1">
      <c r="A1693" s="251"/>
      <c r="B1693" s="263"/>
      <c r="C1693" s="275"/>
      <c r="D1693" s="98"/>
      <c r="E1693" s="240"/>
      <c r="F1693" s="240"/>
      <c r="G1693" s="240"/>
      <c r="H1693" s="240"/>
      <c r="I1693" s="276"/>
      <c r="J1693" s="251"/>
      <c r="K1693" s="251"/>
      <c r="L1693" s="251"/>
      <c r="M1693" s="251"/>
      <c r="N1693" s="251"/>
      <c r="O1693" s="251"/>
      <c r="P1693" s="251"/>
      <c r="Q1693" s="251"/>
      <c r="R1693" s="251"/>
      <c r="S1693" s="251"/>
      <c r="T1693" s="251"/>
      <c r="U1693" s="251"/>
      <c r="V1693" s="251"/>
      <c r="W1693" s="251"/>
      <c r="X1693" s="251"/>
      <c r="Y1693" s="251"/>
      <c r="Z1693" s="251"/>
      <c r="AA1693" s="251"/>
      <c r="AB1693" s="251"/>
    </row>
    <row r="1694" ht="14.25" customHeight="1">
      <c r="A1694" s="251"/>
      <c r="B1694" s="263"/>
      <c r="C1694" s="275"/>
      <c r="D1694" s="98"/>
      <c r="E1694" s="240"/>
      <c r="F1694" s="240"/>
      <c r="G1694" s="240"/>
      <c r="H1694" s="240"/>
      <c r="I1694" s="276"/>
      <c r="J1694" s="251"/>
      <c r="K1694" s="251"/>
      <c r="L1694" s="251"/>
      <c r="M1694" s="251"/>
      <c r="N1694" s="251"/>
      <c r="O1694" s="251"/>
      <c r="P1694" s="251"/>
      <c r="Q1694" s="251"/>
      <c r="R1694" s="251"/>
      <c r="S1694" s="251"/>
      <c r="T1694" s="251"/>
      <c r="U1694" s="251"/>
      <c r="V1694" s="251"/>
      <c r="W1694" s="251"/>
      <c r="X1694" s="251"/>
      <c r="Y1694" s="251"/>
      <c r="Z1694" s="251"/>
      <c r="AA1694" s="251"/>
      <c r="AB1694" s="251"/>
    </row>
    <row r="1695" ht="14.25" customHeight="1">
      <c r="A1695" s="251"/>
      <c r="B1695" s="263"/>
      <c r="C1695" s="275"/>
      <c r="D1695" s="98"/>
      <c r="E1695" s="240"/>
      <c r="F1695" s="240"/>
      <c r="G1695" s="240"/>
      <c r="H1695" s="240"/>
      <c r="I1695" s="276"/>
      <c r="J1695" s="251"/>
      <c r="K1695" s="251"/>
      <c r="L1695" s="251"/>
      <c r="M1695" s="251"/>
      <c r="N1695" s="251"/>
      <c r="O1695" s="251"/>
      <c r="P1695" s="251"/>
      <c r="Q1695" s="251"/>
      <c r="R1695" s="251"/>
      <c r="S1695" s="251"/>
      <c r="T1695" s="251"/>
      <c r="U1695" s="251"/>
      <c r="V1695" s="251"/>
      <c r="W1695" s="251"/>
      <c r="X1695" s="251"/>
      <c r="Y1695" s="251"/>
      <c r="Z1695" s="251"/>
      <c r="AA1695" s="251"/>
      <c r="AB1695" s="251"/>
    </row>
    <row r="1696" ht="14.25" customHeight="1">
      <c r="A1696" s="251"/>
      <c r="B1696" s="263"/>
      <c r="C1696" s="275"/>
      <c r="D1696" s="98"/>
      <c r="E1696" s="240"/>
      <c r="F1696" s="240"/>
      <c r="G1696" s="240"/>
      <c r="H1696" s="240"/>
      <c r="I1696" s="276"/>
      <c r="J1696" s="251"/>
      <c r="K1696" s="251"/>
      <c r="L1696" s="251"/>
      <c r="M1696" s="251"/>
      <c r="N1696" s="251"/>
      <c r="O1696" s="251"/>
      <c r="P1696" s="251"/>
      <c r="Q1696" s="251"/>
      <c r="R1696" s="251"/>
      <c r="S1696" s="251"/>
      <c r="T1696" s="251"/>
      <c r="U1696" s="251"/>
      <c r="V1696" s="251"/>
      <c r="W1696" s="251"/>
      <c r="X1696" s="251"/>
      <c r="Y1696" s="251"/>
      <c r="Z1696" s="251"/>
      <c r="AA1696" s="251"/>
      <c r="AB1696" s="251"/>
    </row>
    <row r="1697" ht="14.25" customHeight="1">
      <c r="A1697" s="251"/>
      <c r="B1697" s="263"/>
      <c r="C1697" s="275"/>
      <c r="D1697" s="98"/>
      <c r="E1697" s="240"/>
      <c r="F1697" s="240"/>
      <c r="G1697" s="240"/>
      <c r="H1697" s="240"/>
      <c r="I1697" s="276"/>
      <c r="J1697" s="251"/>
      <c r="K1697" s="251"/>
      <c r="L1697" s="251"/>
      <c r="M1697" s="251"/>
      <c r="N1697" s="251"/>
      <c r="O1697" s="251"/>
      <c r="P1697" s="251"/>
      <c r="Q1697" s="251"/>
      <c r="R1697" s="251"/>
      <c r="S1697" s="251"/>
      <c r="T1697" s="251"/>
      <c r="U1697" s="251"/>
      <c r="V1697" s="251"/>
      <c r="W1697" s="251"/>
      <c r="X1697" s="251"/>
      <c r="Y1697" s="251"/>
      <c r="Z1697" s="251"/>
      <c r="AA1697" s="251"/>
      <c r="AB1697" s="251"/>
    </row>
    <row r="1698" ht="14.25" customHeight="1">
      <c r="A1698" s="251"/>
      <c r="B1698" s="263"/>
      <c r="C1698" s="275"/>
      <c r="D1698" s="98"/>
      <c r="E1698" s="240"/>
      <c r="F1698" s="240"/>
      <c r="G1698" s="240"/>
      <c r="H1698" s="240"/>
      <c r="I1698" s="276"/>
      <c r="J1698" s="251"/>
      <c r="K1698" s="251"/>
      <c r="L1698" s="251"/>
      <c r="M1698" s="251"/>
      <c r="N1698" s="251"/>
      <c r="O1698" s="251"/>
      <c r="P1698" s="251"/>
      <c r="Q1698" s="251"/>
      <c r="R1698" s="251"/>
      <c r="S1698" s="251"/>
      <c r="T1698" s="251"/>
      <c r="U1698" s="251"/>
      <c r="V1698" s="251"/>
      <c r="W1698" s="251"/>
      <c r="X1698" s="251"/>
      <c r="Y1698" s="251"/>
      <c r="Z1698" s="251"/>
      <c r="AA1698" s="251"/>
      <c r="AB1698" s="251"/>
    </row>
    <row r="1699" ht="14.25" customHeight="1">
      <c r="A1699" s="251"/>
      <c r="B1699" s="263"/>
      <c r="C1699" s="275"/>
      <c r="D1699" s="98"/>
      <c r="E1699" s="240"/>
      <c r="F1699" s="240"/>
      <c r="G1699" s="240"/>
      <c r="H1699" s="240"/>
      <c r="I1699" s="276"/>
      <c r="J1699" s="251"/>
      <c r="K1699" s="251"/>
      <c r="L1699" s="251"/>
      <c r="M1699" s="251"/>
      <c r="N1699" s="251"/>
      <c r="O1699" s="251"/>
      <c r="P1699" s="251"/>
      <c r="Q1699" s="251"/>
      <c r="R1699" s="251"/>
      <c r="S1699" s="251"/>
      <c r="T1699" s="251"/>
      <c r="U1699" s="251"/>
      <c r="V1699" s="251"/>
      <c r="W1699" s="251"/>
      <c r="X1699" s="251"/>
      <c r="Y1699" s="251"/>
      <c r="Z1699" s="251"/>
      <c r="AA1699" s="251"/>
      <c r="AB1699" s="251"/>
    </row>
    <row r="1700" ht="14.25" customHeight="1">
      <c r="A1700" s="251"/>
      <c r="B1700" s="263"/>
      <c r="C1700" s="275"/>
      <c r="D1700" s="98"/>
      <c r="E1700" s="240"/>
      <c r="F1700" s="240"/>
      <c r="G1700" s="240"/>
      <c r="H1700" s="240"/>
      <c r="I1700" s="276"/>
      <c r="J1700" s="251"/>
      <c r="K1700" s="251"/>
      <c r="L1700" s="251"/>
      <c r="M1700" s="251"/>
      <c r="N1700" s="251"/>
      <c r="O1700" s="251"/>
      <c r="P1700" s="251"/>
      <c r="Q1700" s="251"/>
      <c r="R1700" s="251"/>
      <c r="S1700" s="251"/>
      <c r="T1700" s="251"/>
      <c r="U1700" s="251"/>
      <c r="V1700" s="251"/>
      <c r="W1700" s="251"/>
      <c r="X1700" s="251"/>
      <c r="Y1700" s="251"/>
      <c r="Z1700" s="251"/>
      <c r="AA1700" s="251"/>
      <c r="AB1700" s="251"/>
    </row>
    <row r="1701" ht="14.25" customHeight="1">
      <c r="A1701" s="251"/>
      <c r="B1701" s="263"/>
      <c r="C1701" s="275"/>
      <c r="D1701" s="98"/>
      <c r="E1701" s="240"/>
      <c r="F1701" s="240"/>
      <c r="G1701" s="240"/>
      <c r="H1701" s="240"/>
      <c r="I1701" s="276"/>
      <c r="J1701" s="251"/>
      <c r="K1701" s="251"/>
      <c r="L1701" s="251"/>
      <c r="M1701" s="251"/>
      <c r="N1701" s="251"/>
      <c r="O1701" s="251"/>
      <c r="P1701" s="251"/>
      <c r="Q1701" s="251"/>
      <c r="R1701" s="251"/>
      <c r="S1701" s="251"/>
      <c r="T1701" s="251"/>
      <c r="U1701" s="251"/>
      <c r="V1701" s="251"/>
      <c r="W1701" s="251"/>
      <c r="X1701" s="251"/>
      <c r="Y1701" s="251"/>
      <c r="Z1701" s="251"/>
      <c r="AA1701" s="251"/>
      <c r="AB1701" s="251"/>
    </row>
    <row r="1702" ht="14.25" customHeight="1">
      <c r="A1702" s="251"/>
      <c r="B1702" s="263"/>
      <c r="C1702" s="275"/>
      <c r="D1702" s="98"/>
      <c r="E1702" s="240"/>
      <c r="F1702" s="240"/>
      <c r="G1702" s="240"/>
      <c r="H1702" s="240"/>
      <c r="I1702" s="276"/>
      <c r="J1702" s="251"/>
      <c r="K1702" s="251"/>
      <c r="L1702" s="251"/>
      <c r="M1702" s="251"/>
      <c r="N1702" s="251"/>
      <c r="O1702" s="251"/>
      <c r="P1702" s="251"/>
      <c r="Q1702" s="251"/>
      <c r="R1702" s="251"/>
      <c r="S1702" s="251"/>
      <c r="T1702" s="251"/>
      <c r="U1702" s="251"/>
      <c r="V1702" s="251"/>
      <c r="W1702" s="251"/>
      <c r="X1702" s="251"/>
      <c r="Y1702" s="251"/>
      <c r="Z1702" s="251"/>
      <c r="AA1702" s="251"/>
      <c r="AB1702" s="251"/>
    </row>
    <row r="1703" ht="14.25" customHeight="1">
      <c r="A1703" s="251"/>
      <c r="B1703" s="263"/>
      <c r="C1703" s="275"/>
      <c r="D1703" s="98"/>
      <c r="E1703" s="240"/>
      <c r="F1703" s="240"/>
      <c r="G1703" s="240"/>
      <c r="H1703" s="240"/>
      <c r="I1703" s="276"/>
      <c r="J1703" s="251"/>
      <c r="K1703" s="251"/>
      <c r="L1703" s="251"/>
      <c r="M1703" s="251"/>
      <c r="N1703" s="251"/>
      <c r="O1703" s="251"/>
      <c r="P1703" s="251"/>
      <c r="Q1703" s="251"/>
      <c r="R1703" s="251"/>
      <c r="S1703" s="251"/>
      <c r="T1703" s="251"/>
      <c r="U1703" s="251"/>
      <c r="V1703" s="251"/>
      <c r="W1703" s="251"/>
      <c r="X1703" s="251"/>
      <c r="Y1703" s="251"/>
      <c r="Z1703" s="251"/>
      <c r="AA1703" s="251"/>
      <c r="AB1703" s="251"/>
    </row>
    <row r="1704" ht="14.25" customHeight="1">
      <c r="A1704" s="251"/>
      <c r="B1704" s="263"/>
      <c r="C1704" s="275"/>
      <c r="D1704" s="98"/>
      <c r="E1704" s="240"/>
      <c r="F1704" s="240"/>
      <c r="G1704" s="240"/>
      <c r="H1704" s="240"/>
      <c r="I1704" s="276"/>
      <c r="J1704" s="251"/>
      <c r="K1704" s="251"/>
      <c r="L1704" s="251"/>
      <c r="M1704" s="251"/>
      <c r="N1704" s="251"/>
      <c r="O1704" s="251"/>
      <c r="P1704" s="251"/>
      <c r="Q1704" s="251"/>
      <c r="R1704" s="251"/>
      <c r="S1704" s="251"/>
      <c r="T1704" s="251"/>
      <c r="U1704" s="251"/>
      <c r="V1704" s="251"/>
      <c r="W1704" s="251"/>
      <c r="X1704" s="251"/>
      <c r="Y1704" s="251"/>
      <c r="Z1704" s="251"/>
      <c r="AA1704" s="251"/>
      <c r="AB1704" s="251"/>
    </row>
    <row r="1705" ht="14.25" customHeight="1">
      <c r="A1705" s="251"/>
      <c r="B1705" s="263"/>
      <c r="C1705" s="275"/>
      <c r="D1705" s="98"/>
      <c r="E1705" s="240"/>
      <c r="F1705" s="240"/>
      <c r="G1705" s="240"/>
      <c r="H1705" s="240"/>
      <c r="I1705" s="276"/>
      <c r="J1705" s="251"/>
      <c r="K1705" s="251"/>
      <c r="L1705" s="251"/>
      <c r="M1705" s="251"/>
      <c r="N1705" s="251"/>
      <c r="O1705" s="251"/>
      <c r="P1705" s="251"/>
      <c r="Q1705" s="251"/>
      <c r="R1705" s="251"/>
      <c r="S1705" s="251"/>
      <c r="T1705" s="251"/>
      <c r="U1705" s="251"/>
      <c r="V1705" s="251"/>
      <c r="W1705" s="251"/>
      <c r="X1705" s="251"/>
      <c r="Y1705" s="251"/>
      <c r="Z1705" s="251"/>
      <c r="AA1705" s="251"/>
      <c r="AB1705" s="251"/>
    </row>
    <row r="1706" ht="14.25" customHeight="1">
      <c r="A1706" s="251"/>
      <c r="B1706" s="263"/>
      <c r="C1706" s="275"/>
      <c r="D1706" s="98"/>
      <c r="E1706" s="240"/>
      <c r="F1706" s="240"/>
      <c r="G1706" s="240"/>
      <c r="H1706" s="240"/>
      <c r="I1706" s="276"/>
      <c r="J1706" s="251"/>
      <c r="K1706" s="251"/>
      <c r="L1706" s="251"/>
      <c r="M1706" s="251"/>
      <c r="N1706" s="251"/>
      <c r="O1706" s="251"/>
      <c r="P1706" s="251"/>
      <c r="Q1706" s="251"/>
      <c r="R1706" s="251"/>
      <c r="S1706" s="251"/>
      <c r="T1706" s="251"/>
      <c r="U1706" s="251"/>
      <c r="V1706" s="251"/>
      <c r="W1706" s="251"/>
      <c r="X1706" s="251"/>
      <c r="Y1706" s="251"/>
      <c r="Z1706" s="251"/>
      <c r="AA1706" s="251"/>
      <c r="AB1706" s="251"/>
    </row>
    <row r="1707" ht="14.25" customHeight="1">
      <c r="A1707" s="251"/>
      <c r="B1707" s="263"/>
      <c r="C1707" s="275"/>
      <c r="D1707" s="98"/>
      <c r="E1707" s="240"/>
      <c r="F1707" s="240"/>
      <c r="G1707" s="240"/>
      <c r="H1707" s="240"/>
      <c r="I1707" s="276"/>
      <c r="J1707" s="251"/>
      <c r="K1707" s="251"/>
      <c r="L1707" s="251"/>
      <c r="M1707" s="251"/>
      <c r="N1707" s="251"/>
      <c r="O1707" s="251"/>
      <c r="P1707" s="251"/>
      <c r="Q1707" s="251"/>
      <c r="R1707" s="251"/>
      <c r="S1707" s="251"/>
      <c r="T1707" s="251"/>
      <c r="U1707" s="251"/>
      <c r="V1707" s="251"/>
      <c r="W1707" s="251"/>
      <c r="X1707" s="251"/>
      <c r="Y1707" s="251"/>
      <c r="Z1707" s="251"/>
      <c r="AA1707" s="251"/>
      <c r="AB1707" s="251"/>
    </row>
    <row r="1708" ht="14.25" customHeight="1">
      <c r="A1708" s="251"/>
      <c r="B1708" s="263"/>
      <c r="C1708" s="275"/>
      <c r="D1708" s="98"/>
      <c r="E1708" s="240"/>
      <c r="F1708" s="240"/>
      <c r="G1708" s="240"/>
      <c r="H1708" s="240"/>
      <c r="I1708" s="276"/>
      <c r="J1708" s="251"/>
      <c r="K1708" s="251"/>
      <c r="L1708" s="251"/>
      <c r="M1708" s="251"/>
      <c r="N1708" s="251"/>
      <c r="O1708" s="251"/>
      <c r="P1708" s="251"/>
      <c r="Q1708" s="251"/>
      <c r="R1708" s="251"/>
      <c r="S1708" s="251"/>
      <c r="T1708" s="251"/>
      <c r="U1708" s="251"/>
      <c r="V1708" s="251"/>
      <c r="W1708" s="251"/>
      <c r="X1708" s="251"/>
      <c r="Y1708" s="251"/>
      <c r="Z1708" s="251"/>
      <c r="AA1708" s="251"/>
      <c r="AB1708" s="251"/>
    </row>
    <row r="1709" ht="14.25" customHeight="1">
      <c r="A1709" s="251"/>
      <c r="B1709" s="263"/>
      <c r="C1709" s="275"/>
      <c r="D1709" s="98"/>
      <c r="E1709" s="240"/>
      <c r="F1709" s="240"/>
      <c r="G1709" s="240"/>
      <c r="H1709" s="240"/>
      <c r="I1709" s="276"/>
      <c r="J1709" s="251"/>
      <c r="K1709" s="251"/>
      <c r="L1709" s="251"/>
      <c r="M1709" s="251"/>
      <c r="N1709" s="251"/>
      <c r="O1709" s="251"/>
      <c r="P1709" s="251"/>
      <c r="Q1709" s="251"/>
      <c r="R1709" s="251"/>
      <c r="S1709" s="251"/>
      <c r="T1709" s="251"/>
      <c r="U1709" s="251"/>
      <c r="V1709" s="251"/>
      <c r="W1709" s="251"/>
      <c r="X1709" s="251"/>
      <c r="Y1709" s="251"/>
      <c r="Z1709" s="251"/>
      <c r="AA1709" s="251"/>
      <c r="AB1709" s="251"/>
    </row>
    <row r="1710" ht="14.25" customHeight="1">
      <c r="A1710" s="251"/>
      <c r="B1710" s="263"/>
      <c r="C1710" s="275"/>
      <c r="D1710" s="98"/>
      <c r="E1710" s="240"/>
      <c r="F1710" s="240"/>
      <c r="G1710" s="240"/>
      <c r="H1710" s="240"/>
      <c r="I1710" s="276"/>
      <c r="J1710" s="251"/>
      <c r="K1710" s="251"/>
      <c r="L1710" s="251"/>
      <c r="M1710" s="251"/>
      <c r="N1710" s="251"/>
      <c r="O1710" s="251"/>
      <c r="P1710" s="251"/>
      <c r="Q1710" s="251"/>
      <c r="R1710" s="251"/>
      <c r="S1710" s="251"/>
      <c r="T1710" s="251"/>
      <c r="U1710" s="251"/>
      <c r="V1710" s="251"/>
      <c r="W1710" s="251"/>
      <c r="X1710" s="251"/>
      <c r="Y1710" s="251"/>
      <c r="Z1710" s="251"/>
      <c r="AA1710" s="251"/>
      <c r="AB1710" s="251"/>
    </row>
    <row r="1711" ht="14.25" customHeight="1">
      <c r="A1711" s="251"/>
      <c r="B1711" s="263"/>
      <c r="C1711" s="275"/>
      <c r="D1711" s="98"/>
      <c r="E1711" s="240"/>
      <c r="F1711" s="240"/>
      <c r="G1711" s="240"/>
      <c r="H1711" s="240"/>
      <c r="I1711" s="276"/>
      <c r="J1711" s="251"/>
      <c r="K1711" s="251"/>
      <c r="L1711" s="251"/>
      <c r="M1711" s="251"/>
      <c r="N1711" s="251"/>
      <c r="O1711" s="251"/>
      <c r="P1711" s="251"/>
      <c r="Q1711" s="251"/>
      <c r="R1711" s="251"/>
      <c r="S1711" s="251"/>
      <c r="T1711" s="251"/>
      <c r="U1711" s="251"/>
      <c r="V1711" s="251"/>
      <c r="W1711" s="251"/>
      <c r="X1711" s="251"/>
      <c r="Y1711" s="251"/>
      <c r="Z1711" s="251"/>
      <c r="AA1711" s="251"/>
      <c r="AB1711" s="251"/>
    </row>
    <row r="1712" ht="14.25" customHeight="1">
      <c r="A1712" s="251"/>
      <c r="B1712" s="263"/>
      <c r="C1712" s="275"/>
      <c r="D1712" s="98"/>
      <c r="E1712" s="240"/>
      <c r="F1712" s="240"/>
      <c r="G1712" s="240"/>
      <c r="H1712" s="240"/>
      <c r="I1712" s="276"/>
      <c r="J1712" s="251"/>
      <c r="K1712" s="251"/>
      <c r="L1712" s="251"/>
      <c r="M1712" s="251"/>
      <c r="N1712" s="251"/>
      <c r="O1712" s="251"/>
      <c r="P1712" s="251"/>
      <c r="Q1712" s="251"/>
      <c r="R1712" s="251"/>
      <c r="S1712" s="251"/>
      <c r="T1712" s="251"/>
      <c r="U1712" s="251"/>
      <c r="V1712" s="251"/>
      <c r="W1712" s="251"/>
      <c r="X1712" s="251"/>
      <c r="Y1712" s="251"/>
      <c r="Z1712" s="251"/>
      <c r="AA1712" s="251"/>
      <c r="AB1712" s="251"/>
    </row>
    <row r="1713" ht="14.25" customHeight="1">
      <c r="A1713" s="251"/>
      <c r="B1713" s="263"/>
      <c r="C1713" s="275"/>
      <c r="D1713" s="98"/>
      <c r="E1713" s="240"/>
      <c r="F1713" s="240"/>
      <c r="G1713" s="240"/>
      <c r="H1713" s="240"/>
      <c r="I1713" s="276"/>
      <c r="J1713" s="251"/>
      <c r="K1713" s="251"/>
      <c r="L1713" s="251"/>
      <c r="M1713" s="251"/>
      <c r="N1713" s="251"/>
      <c r="O1713" s="251"/>
      <c r="P1713" s="251"/>
      <c r="Q1713" s="251"/>
      <c r="R1713" s="251"/>
      <c r="S1713" s="251"/>
      <c r="T1713" s="251"/>
      <c r="U1713" s="251"/>
      <c r="V1713" s="251"/>
      <c r="W1713" s="251"/>
      <c r="X1713" s="251"/>
      <c r="Y1713" s="251"/>
      <c r="Z1713" s="251"/>
      <c r="AA1713" s="251"/>
      <c r="AB1713" s="251"/>
    </row>
    <row r="1714" ht="14.25" customHeight="1">
      <c r="A1714" s="251"/>
      <c r="B1714" s="263"/>
      <c r="C1714" s="275"/>
      <c r="D1714" s="98"/>
      <c r="E1714" s="240"/>
      <c r="F1714" s="240"/>
      <c r="G1714" s="240"/>
      <c r="H1714" s="240"/>
      <c r="I1714" s="276"/>
      <c r="J1714" s="251"/>
      <c r="K1714" s="251"/>
      <c r="L1714" s="251"/>
      <c r="M1714" s="251"/>
      <c r="N1714" s="251"/>
      <c r="O1714" s="251"/>
      <c r="P1714" s="251"/>
      <c r="Q1714" s="251"/>
      <c r="R1714" s="251"/>
      <c r="S1714" s="251"/>
      <c r="T1714" s="251"/>
      <c r="U1714" s="251"/>
      <c r="V1714" s="251"/>
      <c r="W1714" s="251"/>
      <c r="X1714" s="251"/>
      <c r="Y1714" s="251"/>
      <c r="Z1714" s="251"/>
      <c r="AA1714" s="251"/>
      <c r="AB1714" s="251"/>
    </row>
    <row r="1715" ht="14.25" customHeight="1">
      <c r="A1715" s="251"/>
      <c r="B1715" s="263"/>
      <c r="C1715" s="275"/>
      <c r="D1715" s="98"/>
      <c r="E1715" s="240"/>
      <c r="F1715" s="240"/>
      <c r="G1715" s="240"/>
      <c r="H1715" s="240"/>
      <c r="I1715" s="276"/>
      <c r="J1715" s="251"/>
      <c r="K1715" s="251"/>
      <c r="L1715" s="251"/>
      <c r="M1715" s="251"/>
      <c r="N1715" s="251"/>
      <c r="O1715" s="251"/>
      <c r="P1715" s="251"/>
      <c r="Q1715" s="251"/>
      <c r="R1715" s="251"/>
      <c r="S1715" s="251"/>
      <c r="T1715" s="251"/>
      <c r="U1715" s="251"/>
      <c r="V1715" s="251"/>
      <c r="W1715" s="251"/>
      <c r="X1715" s="251"/>
      <c r="Y1715" s="251"/>
      <c r="Z1715" s="251"/>
      <c r="AA1715" s="251"/>
      <c r="AB1715" s="251"/>
    </row>
    <row r="1716" ht="14.25" customHeight="1">
      <c r="A1716" s="251"/>
      <c r="B1716" s="263"/>
      <c r="C1716" s="275"/>
      <c r="D1716" s="98"/>
      <c r="E1716" s="240"/>
      <c r="F1716" s="240"/>
      <c r="G1716" s="240"/>
      <c r="H1716" s="240"/>
      <c r="I1716" s="276"/>
      <c r="J1716" s="251"/>
      <c r="K1716" s="251"/>
      <c r="L1716" s="251"/>
      <c r="M1716" s="251"/>
      <c r="N1716" s="251"/>
      <c r="O1716" s="251"/>
      <c r="P1716" s="251"/>
      <c r="Q1716" s="251"/>
      <c r="R1716" s="251"/>
      <c r="S1716" s="251"/>
      <c r="T1716" s="251"/>
      <c r="U1716" s="251"/>
      <c r="V1716" s="251"/>
      <c r="W1716" s="251"/>
      <c r="X1716" s="251"/>
      <c r="Y1716" s="251"/>
      <c r="Z1716" s="251"/>
      <c r="AA1716" s="251"/>
      <c r="AB1716" s="251"/>
    </row>
    <row r="1717" ht="14.25" customHeight="1">
      <c r="A1717" s="251"/>
      <c r="B1717" s="263"/>
      <c r="C1717" s="275"/>
      <c r="D1717" s="98"/>
      <c r="E1717" s="240"/>
      <c r="F1717" s="240"/>
      <c r="G1717" s="240"/>
      <c r="H1717" s="240"/>
      <c r="I1717" s="276"/>
      <c r="J1717" s="251"/>
      <c r="K1717" s="251"/>
      <c r="L1717" s="251"/>
      <c r="M1717" s="251"/>
      <c r="N1717" s="251"/>
      <c r="O1717" s="251"/>
      <c r="P1717" s="251"/>
      <c r="Q1717" s="251"/>
      <c r="R1717" s="251"/>
      <c r="S1717" s="251"/>
      <c r="T1717" s="251"/>
      <c r="U1717" s="251"/>
      <c r="V1717" s="251"/>
      <c r="W1717" s="251"/>
      <c r="X1717" s="251"/>
      <c r="Y1717" s="251"/>
      <c r="Z1717" s="251"/>
      <c r="AA1717" s="251"/>
      <c r="AB1717" s="251"/>
    </row>
    <row r="1718" ht="14.25" customHeight="1">
      <c r="A1718" s="251"/>
      <c r="B1718" s="263"/>
      <c r="C1718" s="275"/>
      <c r="D1718" s="98"/>
      <c r="E1718" s="240"/>
      <c r="F1718" s="240"/>
      <c r="G1718" s="240"/>
      <c r="H1718" s="240"/>
      <c r="I1718" s="276"/>
      <c r="J1718" s="251"/>
      <c r="K1718" s="251"/>
      <c r="L1718" s="251"/>
      <c r="M1718" s="251"/>
      <c r="N1718" s="251"/>
      <c r="O1718" s="251"/>
      <c r="P1718" s="251"/>
      <c r="Q1718" s="251"/>
      <c r="R1718" s="251"/>
      <c r="S1718" s="251"/>
      <c r="T1718" s="251"/>
      <c r="U1718" s="251"/>
      <c r="V1718" s="251"/>
      <c r="W1718" s="251"/>
      <c r="X1718" s="251"/>
      <c r="Y1718" s="251"/>
      <c r="Z1718" s="251"/>
      <c r="AA1718" s="251"/>
      <c r="AB1718" s="251"/>
    </row>
    <row r="1719" ht="14.25" customHeight="1">
      <c r="A1719" s="251"/>
      <c r="B1719" s="263"/>
      <c r="C1719" s="275"/>
      <c r="D1719" s="98"/>
      <c r="E1719" s="240"/>
      <c r="F1719" s="240"/>
      <c r="G1719" s="240"/>
      <c r="H1719" s="240"/>
      <c r="I1719" s="276"/>
      <c r="J1719" s="251"/>
      <c r="K1719" s="251"/>
      <c r="L1719" s="251"/>
      <c r="M1719" s="251"/>
      <c r="N1719" s="251"/>
      <c r="O1719" s="251"/>
      <c r="P1719" s="251"/>
      <c r="Q1719" s="251"/>
      <c r="R1719" s="251"/>
      <c r="S1719" s="251"/>
      <c r="T1719" s="251"/>
      <c r="U1719" s="251"/>
      <c r="V1719" s="251"/>
      <c r="W1719" s="251"/>
      <c r="X1719" s="251"/>
      <c r="Y1719" s="251"/>
      <c r="Z1719" s="251"/>
      <c r="AA1719" s="251"/>
      <c r="AB1719" s="251"/>
    </row>
    <row r="1720" ht="14.25" customHeight="1">
      <c r="A1720" s="251"/>
      <c r="B1720" s="263"/>
      <c r="C1720" s="275"/>
      <c r="D1720" s="98"/>
      <c r="E1720" s="240"/>
      <c r="F1720" s="240"/>
      <c r="G1720" s="240"/>
      <c r="H1720" s="240"/>
      <c r="I1720" s="276"/>
      <c r="J1720" s="251"/>
      <c r="K1720" s="251"/>
      <c r="L1720" s="251"/>
      <c r="M1720" s="251"/>
      <c r="N1720" s="251"/>
      <c r="O1720" s="251"/>
      <c r="P1720" s="251"/>
      <c r="Q1720" s="251"/>
      <c r="R1720" s="251"/>
      <c r="S1720" s="251"/>
      <c r="T1720" s="251"/>
      <c r="U1720" s="251"/>
      <c r="V1720" s="251"/>
      <c r="W1720" s="251"/>
      <c r="X1720" s="251"/>
      <c r="Y1720" s="251"/>
      <c r="Z1720" s="251"/>
      <c r="AA1720" s="251"/>
      <c r="AB1720" s="251"/>
    </row>
    <row r="1721" ht="14.25" customHeight="1">
      <c r="A1721" s="251"/>
      <c r="B1721" s="263"/>
      <c r="C1721" s="275"/>
      <c r="D1721" s="98"/>
      <c r="E1721" s="240"/>
      <c r="F1721" s="240"/>
      <c r="G1721" s="240"/>
      <c r="H1721" s="240"/>
      <c r="I1721" s="276"/>
      <c r="J1721" s="251"/>
      <c r="K1721" s="251"/>
      <c r="L1721" s="251"/>
      <c r="M1721" s="251"/>
      <c r="N1721" s="251"/>
      <c r="O1721" s="251"/>
      <c r="P1721" s="251"/>
      <c r="Q1721" s="251"/>
      <c r="R1721" s="251"/>
      <c r="S1721" s="251"/>
      <c r="T1721" s="251"/>
      <c r="U1721" s="251"/>
      <c r="V1721" s="251"/>
      <c r="W1721" s="251"/>
      <c r="X1721" s="251"/>
      <c r="Y1721" s="251"/>
      <c r="Z1721" s="251"/>
      <c r="AA1721" s="251"/>
      <c r="AB1721" s="251"/>
    </row>
    <row r="1722" ht="14.25" customHeight="1">
      <c r="A1722" s="251"/>
      <c r="B1722" s="263"/>
      <c r="C1722" s="275"/>
      <c r="D1722" s="98"/>
      <c r="E1722" s="240"/>
      <c r="F1722" s="240"/>
      <c r="G1722" s="240"/>
      <c r="H1722" s="240"/>
      <c r="I1722" s="276"/>
      <c r="J1722" s="251"/>
      <c r="K1722" s="251"/>
      <c r="L1722" s="251"/>
      <c r="M1722" s="251"/>
      <c r="N1722" s="251"/>
      <c r="O1722" s="251"/>
      <c r="P1722" s="251"/>
      <c r="Q1722" s="251"/>
      <c r="R1722" s="251"/>
      <c r="S1722" s="251"/>
      <c r="T1722" s="251"/>
      <c r="U1722" s="251"/>
      <c r="V1722" s="251"/>
      <c r="W1722" s="251"/>
      <c r="X1722" s="251"/>
      <c r="Y1722" s="251"/>
      <c r="Z1722" s="251"/>
      <c r="AA1722" s="251"/>
      <c r="AB1722" s="251"/>
    </row>
    <row r="1723" ht="14.25" customHeight="1">
      <c r="A1723" s="251"/>
      <c r="B1723" s="263"/>
      <c r="C1723" s="275"/>
      <c r="D1723" s="98"/>
      <c r="E1723" s="240"/>
      <c r="F1723" s="240"/>
      <c r="G1723" s="240"/>
      <c r="H1723" s="240"/>
      <c r="I1723" s="276"/>
      <c r="J1723" s="251"/>
      <c r="K1723" s="251"/>
      <c r="L1723" s="251"/>
      <c r="M1723" s="251"/>
      <c r="N1723" s="251"/>
      <c r="O1723" s="251"/>
      <c r="P1723" s="251"/>
      <c r="Q1723" s="251"/>
      <c r="R1723" s="251"/>
      <c r="S1723" s="251"/>
      <c r="T1723" s="251"/>
      <c r="U1723" s="251"/>
      <c r="V1723" s="251"/>
      <c r="W1723" s="251"/>
      <c r="X1723" s="251"/>
      <c r="Y1723" s="251"/>
      <c r="Z1723" s="251"/>
      <c r="AA1723" s="251"/>
      <c r="AB1723" s="251"/>
    </row>
    <row r="1724" ht="14.25" customHeight="1">
      <c r="A1724" s="251"/>
      <c r="B1724" s="263"/>
      <c r="C1724" s="275"/>
      <c r="D1724" s="98"/>
      <c r="E1724" s="240"/>
      <c r="F1724" s="240"/>
      <c r="G1724" s="240"/>
      <c r="H1724" s="240"/>
      <c r="I1724" s="276"/>
      <c r="J1724" s="251"/>
      <c r="K1724" s="251"/>
      <c r="L1724" s="251"/>
      <c r="M1724" s="251"/>
      <c r="N1724" s="251"/>
      <c r="O1724" s="251"/>
      <c r="P1724" s="251"/>
      <c r="Q1724" s="251"/>
      <c r="R1724" s="251"/>
      <c r="S1724" s="251"/>
      <c r="T1724" s="251"/>
      <c r="U1724" s="251"/>
      <c r="V1724" s="251"/>
      <c r="W1724" s="251"/>
      <c r="X1724" s="251"/>
      <c r="Y1724" s="251"/>
      <c r="Z1724" s="251"/>
      <c r="AA1724" s="251"/>
      <c r="AB1724" s="251"/>
    </row>
    <row r="1725" ht="14.25" customHeight="1">
      <c r="A1725" s="251"/>
      <c r="B1725" s="263"/>
      <c r="C1725" s="275"/>
      <c r="D1725" s="98"/>
      <c r="E1725" s="240"/>
      <c r="F1725" s="240"/>
      <c r="G1725" s="240"/>
      <c r="H1725" s="240"/>
      <c r="I1725" s="276"/>
      <c r="J1725" s="251"/>
      <c r="K1725" s="251"/>
      <c r="L1725" s="251"/>
      <c r="M1725" s="251"/>
      <c r="N1725" s="251"/>
      <c r="O1725" s="251"/>
      <c r="P1725" s="251"/>
      <c r="Q1725" s="251"/>
      <c r="R1725" s="251"/>
      <c r="S1725" s="251"/>
      <c r="T1725" s="251"/>
      <c r="U1725" s="251"/>
      <c r="V1725" s="251"/>
      <c r="W1725" s="251"/>
      <c r="X1725" s="251"/>
      <c r="Y1725" s="251"/>
      <c r="Z1725" s="251"/>
      <c r="AA1725" s="251"/>
      <c r="AB1725" s="251"/>
    </row>
    <row r="1726" ht="14.25" customHeight="1">
      <c r="A1726" s="251"/>
      <c r="B1726" s="263"/>
      <c r="C1726" s="275"/>
      <c r="D1726" s="98"/>
      <c r="E1726" s="240"/>
      <c r="F1726" s="240"/>
      <c r="G1726" s="240"/>
      <c r="H1726" s="240"/>
      <c r="I1726" s="276"/>
      <c r="J1726" s="251"/>
      <c r="K1726" s="251"/>
      <c r="L1726" s="251"/>
      <c r="M1726" s="251"/>
      <c r="N1726" s="251"/>
      <c r="O1726" s="251"/>
      <c r="P1726" s="251"/>
      <c r="Q1726" s="251"/>
      <c r="R1726" s="251"/>
      <c r="S1726" s="251"/>
      <c r="T1726" s="251"/>
      <c r="U1726" s="251"/>
      <c r="V1726" s="251"/>
      <c r="W1726" s="251"/>
      <c r="X1726" s="251"/>
      <c r="Y1726" s="251"/>
      <c r="Z1726" s="251"/>
      <c r="AA1726" s="251"/>
      <c r="AB1726" s="251"/>
    </row>
    <row r="1727" ht="14.25" customHeight="1">
      <c r="A1727" s="251"/>
      <c r="B1727" s="263"/>
      <c r="C1727" s="275"/>
      <c r="D1727" s="98"/>
      <c r="E1727" s="240"/>
      <c r="F1727" s="240"/>
      <c r="G1727" s="240"/>
      <c r="H1727" s="240"/>
      <c r="I1727" s="276"/>
      <c r="J1727" s="251"/>
      <c r="K1727" s="251"/>
      <c r="L1727" s="251"/>
      <c r="M1727" s="251"/>
      <c r="N1727" s="251"/>
      <c r="O1727" s="251"/>
      <c r="P1727" s="251"/>
      <c r="Q1727" s="251"/>
      <c r="R1727" s="251"/>
      <c r="S1727" s="251"/>
      <c r="T1727" s="251"/>
      <c r="U1727" s="251"/>
      <c r="V1727" s="251"/>
      <c r="W1727" s="251"/>
      <c r="X1727" s="251"/>
      <c r="Y1727" s="251"/>
      <c r="Z1727" s="251"/>
      <c r="AA1727" s="251"/>
      <c r="AB1727" s="251"/>
    </row>
    <row r="1728" ht="14.25" customHeight="1">
      <c r="A1728" s="251"/>
      <c r="B1728" s="263"/>
      <c r="C1728" s="275"/>
      <c r="D1728" s="98"/>
      <c r="E1728" s="240"/>
      <c r="F1728" s="240"/>
      <c r="G1728" s="240"/>
      <c r="H1728" s="240"/>
      <c r="I1728" s="276"/>
      <c r="J1728" s="251"/>
      <c r="K1728" s="251"/>
      <c r="L1728" s="251"/>
      <c r="M1728" s="251"/>
      <c r="N1728" s="251"/>
      <c r="O1728" s="251"/>
      <c r="P1728" s="251"/>
      <c r="Q1728" s="251"/>
      <c r="R1728" s="251"/>
      <c r="S1728" s="251"/>
      <c r="T1728" s="251"/>
      <c r="U1728" s="251"/>
      <c r="V1728" s="251"/>
      <c r="W1728" s="251"/>
      <c r="X1728" s="251"/>
      <c r="Y1728" s="251"/>
      <c r="Z1728" s="251"/>
      <c r="AA1728" s="251"/>
      <c r="AB1728" s="251"/>
    </row>
    <row r="1729" ht="14.25" customHeight="1">
      <c r="A1729" s="251"/>
      <c r="B1729" s="263"/>
      <c r="C1729" s="275"/>
      <c r="D1729" s="98"/>
      <c r="E1729" s="240"/>
      <c r="F1729" s="240"/>
      <c r="G1729" s="240"/>
      <c r="H1729" s="240"/>
      <c r="I1729" s="276"/>
      <c r="J1729" s="251"/>
      <c r="K1729" s="251"/>
      <c r="L1729" s="251"/>
      <c r="M1729" s="251"/>
      <c r="N1729" s="251"/>
      <c r="O1729" s="251"/>
      <c r="P1729" s="251"/>
      <c r="Q1729" s="251"/>
      <c r="R1729" s="251"/>
      <c r="S1729" s="251"/>
      <c r="T1729" s="251"/>
      <c r="U1729" s="251"/>
      <c r="V1729" s="251"/>
      <c r="W1729" s="251"/>
      <c r="X1729" s="251"/>
      <c r="Y1729" s="251"/>
      <c r="Z1729" s="251"/>
      <c r="AA1729" s="251"/>
      <c r="AB1729" s="251"/>
    </row>
    <row r="1730" ht="14.25" customHeight="1">
      <c r="A1730" s="251"/>
      <c r="B1730" s="263"/>
      <c r="C1730" s="275"/>
      <c r="D1730" s="98"/>
      <c r="E1730" s="240"/>
      <c r="F1730" s="240"/>
      <c r="G1730" s="240"/>
      <c r="H1730" s="240"/>
      <c r="I1730" s="276"/>
      <c r="J1730" s="251"/>
      <c r="K1730" s="251"/>
      <c r="L1730" s="251"/>
      <c r="M1730" s="251"/>
      <c r="N1730" s="251"/>
      <c r="O1730" s="251"/>
      <c r="P1730" s="251"/>
      <c r="Q1730" s="251"/>
      <c r="R1730" s="251"/>
      <c r="S1730" s="251"/>
      <c r="T1730" s="251"/>
      <c r="U1730" s="251"/>
      <c r="V1730" s="251"/>
      <c r="W1730" s="251"/>
      <c r="X1730" s="251"/>
      <c r="Y1730" s="251"/>
      <c r="Z1730" s="251"/>
      <c r="AA1730" s="251"/>
      <c r="AB1730" s="251"/>
    </row>
    <row r="1731" ht="14.25" customHeight="1">
      <c r="A1731" s="251"/>
      <c r="B1731" s="263"/>
      <c r="C1731" s="275"/>
      <c r="D1731" s="98"/>
      <c r="E1731" s="240"/>
      <c r="F1731" s="240"/>
      <c r="G1731" s="240"/>
      <c r="H1731" s="240"/>
      <c r="I1731" s="276"/>
      <c r="J1731" s="251"/>
      <c r="K1731" s="251"/>
      <c r="L1731" s="251"/>
      <c r="M1731" s="251"/>
      <c r="N1731" s="251"/>
      <c r="O1731" s="251"/>
      <c r="P1731" s="251"/>
      <c r="Q1731" s="251"/>
      <c r="R1731" s="251"/>
      <c r="S1731" s="251"/>
      <c r="T1731" s="251"/>
      <c r="U1731" s="251"/>
      <c r="V1731" s="251"/>
      <c r="W1731" s="251"/>
      <c r="X1731" s="251"/>
      <c r="Y1731" s="251"/>
      <c r="Z1731" s="251"/>
      <c r="AA1731" s="251"/>
      <c r="AB1731" s="251"/>
    </row>
    <row r="1732" ht="14.25" customHeight="1">
      <c r="A1732" s="251"/>
      <c r="B1732" s="263"/>
      <c r="C1732" s="275"/>
      <c r="D1732" s="98"/>
      <c r="E1732" s="240"/>
      <c r="F1732" s="240"/>
      <c r="G1732" s="240"/>
      <c r="H1732" s="240"/>
      <c r="I1732" s="276"/>
      <c r="J1732" s="251"/>
      <c r="K1732" s="251"/>
      <c r="L1732" s="251"/>
      <c r="M1732" s="251"/>
      <c r="N1732" s="251"/>
      <c r="O1732" s="251"/>
      <c r="P1732" s="251"/>
      <c r="Q1732" s="251"/>
      <c r="R1732" s="251"/>
      <c r="S1732" s="251"/>
      <c r="T1732" s="251"/>
      <c r="U1732" s="251"/>
      <c r="V1732" s="251"/>
      <c r="W1732" s="251"/>
      <c r="X1732" s="251"/>
      <c r="Y1732" s="251"/>
      <c r="Z1732" s="251"/>
      <c r="AA1732" s="251"/>
      <c r="AB1732" s="251"/>
    </row>
    <row r="1733" ht="14.25" customHeight="1">
      <c r="A1733" s="251"/>
      <c r="B1733" s="263"/>
      <c r="C1733" s="275"/>
      <c r="D1733" s="98"/>
      <c r="E1733" s="240"/>
      <c r="F1733" s="240"/>
      <c r="G1733" s="240"/>
      <c r="H1733" s="240"/>
      <c r="I1733" s="276"/>
      <c r="J1733" s="251"/>
      <c r="K1733" s="251"/>
      <c r="L1733" s="251"/>
      <c r="M1733" s="251"/>
      <c r="N1733" s="251"/>
      <c r="O1733" s="251"/>
      <c r="P1733" s="251"/>
      <c r="Q1733" s="251"/>
      <c r="R1733" s="251"/>
      <c r="S1733" s="251"/>
      <c r="T1733" s="251"/>
      <c r="U1733" s="251"/>
      <c r="V1733" s="251"/>
      <c r="W1733" s="251"/>
      <c r="X1733" s="251"/>
      <c r="Y1733" s="251"/>
      <c r="Z1733" s="251"/>
      <c r="AA1733" s="251"/>
      <c r="AB1733" s="251"/>
    </row>
    <row r="1734" ht="14.25" customHeight="1">
      <c r="A1734" s="251"/>
      <c r="B1734" s="263"/>
      <c r="C1734" s="275"/>
      <c r="D1734" s="98"/>
      <c r="E1734" s="240"/>
      <c r="F1734" s="240"/>
      <c r="G1734" s="240"/>
      <c r="H1734" s="240"/>
      <c r="I1734" s="276"/>
      <c r="J1734" s="251"/>
      <c r="K1734" s="251"/>
      <c r="L1734" s="251"/>
      <c r="M1734" s="251"/>
      <c r="N1734" s="251"/>
      <c r="O1734" s="251"/>
      <c r="P1734" s="251"/>
      <c r="Q1734" s="251"/>
      <c r="R1734" s="251"/>
      <c r="S1734" s="251"/>
      <c r="T1734" s="251"/>
      <c r="U1734" s="251"/>
      <c r="V1734" s="251"/>
      <c r="W1734" s="251"/>
      <c r="X1734" s="251"/>
      <c r="Y1734" s="251"/>
      <c r="Z1734" s="251"/>
      <c r="AA1734" s="251"/>
      <c r="AB1734" s="251"/>
    </row>
    <row r="1735" ht="14.25" customHeight="1">
      <c r="A1735" s="251"/>
      <c r="B1735" s="263"/>
      <c r="C1735" s="275"/>
      <c r="D1735" s="98"/>
      <c r="E1735" s="240"/>
      <c r="F1735" s="240"/>
      <c r="G1735" s="240"/>
      <c r="H1735" s="240"/>
      <c r="I1735" s="276"/>
      <c r="J1735" s="251"/>
      <c r="K1735" s="251"/>
      <c r="L1735" s="251"/>
      <c r="M1735" s="251"/>
      <c r="N1735" s="251"/>
      <c r="O1735" s="251"/>
      <c r="P1735" s="251"/>
      <c r="Q1735" s="251"/>
      <c r="R1735" s="251"/>
      <c r="S1735" s="251"/>
      <c r="T1735" s="251"/>
      <c r="U1735" s="251"/>
      <c r="V1735" s="251"/>
      <c r="W1735" s="251"/>
      <c r="X1735" s="251"/>
      <c r="Y1735" s="251"/>
      <c r="Z1735" s="251"/>
      <c r="AA1735" s="251"/>
      <c r="AB1735" s="251"/>
    </row>
    <row r="1736" ht="14.25" customHeight="1">
      <c r="A1736" s="251"/>
      <c r="B1736" s="263"/>
      <c r="C1736" s="275"/>
      <c r="D1736" s="98"/>
      <c r="E1736" s="240"/>
      <c r="F1736" s="240"/>
      <c r="G1736" s="240"/>
      <c r="H1736" s="240"/>
      <c r="I1736" s="276"/>
      <c r="J1736" s="251"/>
      <c r="K1736" s="251"/>
      <c r="L1736" s="251"/>
      <c r="M1736" s="251"/>
      <c r="N1736" s="251"/>
      <c r="O1736" s="251"/>
      <c r="P1736" s="251"/>
      <c r="Q1736" s="251"/>
      <c r="R1736" s="251"/>
      <c r="S1736" s="251"/>
      <c r="T1736" s="251"/>
      <c r="U1736" s="251"/>
      <c r="V1736" s="251"/>
      <c r="W1736" s="251"/>
      <c r="X1736" s="251"/>
      <c r="Y1736" s="251"/>
      <c r="Z1736" s="251"/>
      <c r="AA1736" s="251"/>
      <c r="AB1736" s="251"/>
    </row>
    <row r="1737" ht="14.25" customHeight="1">
      <c r="A1737" s="251"/>
      <c r="B1737" s="263"/>
      <c r="C1737" s="275"/>
      <c r="D1737" s="98"/>
      <c r="E1737" s="240"/>
      <c r="F1737" s="240"/>
      <c r="G1737" s="240"/>
      <c r="H1737" s="240"/>
      <c r="I1737" s="276"/>
      <c r="J1737" s="251"/>
      <c r="K1737" s="251"/>
      <c r="L1737" s="251"/>
      <c r="M1737" s="251"/>
      <c r="N1737" s="251"/>
      <c r="O1737" s="251"/>
      <c r="P1737" s="251"/>
      <c r="Q1737" s="251"/>
      <c r="R1737" s="251"/>
      <c r="S1737" s="251"/>
      <c r="T1737" s="251"/>
      <c r="U1737" s="251"/>
      <c r="V1737" s="251"/>
      <c r="W1737" s="251"/>
      <c r="X1737" s="251"/>
      <c r="Y1737" s="251"/>
      <c r="Z1737" s="251"/>
      <c r="AA1737" s="251"/>
      <c r="AB1737" s="251"/>
    </row>
    <row r="1738" ht="14.25" customHeight="1">
      <c r="A1738" s="251"/>
      <c r="B1738" s="263"/>
      <c r="C1738" s="275"/>
      <c r="D1738" s="98"/>
      <c r="E1738" s="240"/>
      <c r="F1738" s="240"/>
      <c r="G1738" s="240"/>
      <c r="H1738" s="240"/>
      <c r="I1738" s="276"/>
      <c r="J1738" s="251"/>
      <c r="K1738" s="251"/>
      <c r="L1738" s="251"/>
      <c r="M1738" s="251"/>
      <c r="N1738" s="251"/>
      <c r="O1738" s="251"/>
      <c r="P1738" s="251"/>
      <c r="Q1738" s="251"/>
      <c r="R1738" s="251"/>
      <c r="S1738" s="251"/>
      <c r="T1738" s="251"/>
      <c r="U1738" s="251"/>
      <c r="V1738" s="251"/>
      <c r="W1738" s="251"/>
      <c r="X1738" s="251"/>
      <c r="Y1738" s="251"/>
      <c r="Z1738" s="251"/>
      <c r="AA1738" s="251"/>
      <c r="AB1738" s="251"/>
    </row>
    <row r="1739" ht="14.25" customHeight="1">
      <c r="A1739" s="251"/>
      <c r="B1739" s="263"/>
      <c r="C1739" s="275"/>
      <c r="D1739" s="98"/>
      <c r="E1739" s="240"/>
      <c r="F1739" s="240"/>
      <c r="G1739" s="240"/>
      <c r="H1739" s="240"/>
      <c r="I1739" s="276"/>
      <c r="J1739" s="251"/>
      <c r="K1739" s="251"/>
      <c r="L1739" s="251"/>
      <c r="M1739" s="251"/>
      <c r="N1739" s="251"/>
      <c r="O1739" s="251"/>
      <c r="P1739" s="251"/>
      <c r="Q1739" s="251"/>
      <c r="R1739" s="251"/>
      <c r="S1739" s="251"/>
      <c r="T1739" s="251"/>
      <c r="U1739" s="251"/>
      <c r="V1739" s="251"/>
      <c r="W1739" s="251"/>
      <c r="X1739" s="251"/>
      <c r="Y1739" s="251"/>
      <c r="Z1739" s="251"/>
      <c r="AA1739" s="251"/>
      <c r="AB1739" s="251"/>
    </row>
    <row r="1740" ht="14.25" customHeight="1">
      <c r="A1740" s="251"/>
      <c r="B1740" s="263"/>
      <c r="C1740" s="275"/>
      <c r="D1740" s="98"/>
      <c r="E1740" s="240"/>
      <c r="F1740" s="240"/>
      <c r="G1740" s="240"/>
      <c r="H1740" s="240"/>
      <c r="I1740" s="276"/>
      <c r="J1740" s="251"/>
      <c r="K1740" s="251"/>
      <c r="L1740" s="251"/>
      <c r="M1740" s="251"/>
      <c r="N1740" s="251"/>
      <c r="O1740" s="251"/>
      <c r="P1740" s="251"/>
      <c r="Q1740" s="251"/>
      <c r="R1740" s="251"/>
      <c r="S1740" s="251"/>
      <c r="T1740" s="251"/>
      <c r="U1740" s="251"/>
      <c r="V1740" s="251"/>
      <c r="W1740" s="251"/>
      <c r="X1740" s="251"/>
      <c r="Y1740" s="251"/>
      <c r="Z1740" s="251"/>
      <c r="AA1740" s="251"/>
      <c r="AB1740" s="251"/>
    </row>
    <row r="1741" ht="14.25" customHeight="1">
      <c r="A1741" s="251"/>
      <c r="B1741" s="263"/>
      <c r="C1741" s="275"/>
      <c r="D1741" s="98"/>
      <c r="E1741" s="240"/>
      <c r="F1741" s="240"/>
      <c r="G1741" s="240"/>
      <c r="H1741" s="240"/>
      <c r="I1741" s="276"/>
      <c r="J1741" s="251"/>
      <c r="K1741" s="251"/>
      <c r="L1741" s="251"/>
      <c r="M1741" s="251"/>
      <c r="N1741" s="251"/>
      <c r="O1741" s="251"/>
      <c r="P1741" s="251"/>
      <c r="Q1741" s="251"/>
      <c r="R1741" s="251"/>
      <c r="S1741" s="251"/>
      <c r="T1741" s="251"/>
      <c r="U1741" s="251"/>
      <c r="V1741" s="251"/>
      <c r="W1741" s="251"/>
      <c r="X1741" s="251"/>
      <c r="Y1741" s="251"/>
      <c r="Z1741" s="251"/>
      <c r="AA1741" s="251"/>
      <c r="AB1741" s="251"/>
    </row>
    <row r="1742" ht="14.25" customHeight="1">
      <c r="A1742" s="251"/>
      <c r="B1742" s="263"/>
      <c r="C1742" s="275"/>
      <c r="D1742" s="98"/>
      <c r="E1742" s="240"/>
      <c r="F1742" s="240"/>
      <c r="G1742" s="240"/>
      <c r="H1742" s="240"/>
      <c r="I1742" s="276"/>
      <c r="J1742" s="251"/>
      <c r="K1742" s="251"/>
      <c r="L1742" s="251"/>
      <c r="M1742" s="251"/>
      <c r="N1742" s="251"/>
      <c r="O1742" s="251"/>
      <c r="P1742" s="251"/>
      <c r="Q1742" s="251"/>
      <c r="R1742" s="251"/>
      <c r="S1742" s="251"/>
      <c r="T1742" s="251"/>
      <c r="U1742" s="251"/>
      <c r="V1742" s="251"/>
      <c r="W1742" s="251"/>
      <c r="X1742" s="251"/>
      <c r="Y1742" s="251"/>
      <c r="Z1742" s="251"/>
      <c r="AA1742" s="251"/>
      <c r="AB1742" s="251"/>
    </row>
    <row r="1743" ht="14.25" customHeight="1">
      <c r="A1743" s="251"/>
      <c r="B1743" s="263"/>
      <c r="C1743" s="275"/>
      <c r="D1743" s="98"/>
      <c r="E1743" s="240"/>
      <c r="F1743" s="240"/>
      <c r="G1743" s="240"/>
      <c r="H1743" s="240"/>
      <c r="I1743" s="276"/>
      <c r="J1743" s="251"/>
      <c r="K1743" s="251"/>
      <c r="L1743" s="251"/>
      <c r="M1743" s="251"/>
      <c r="N1743" s="251"/>
      <c r="O1743" s="251"/>
      <c r="P1743" s="251"/>
      <c r="Q1743" s="251"/>
      <c r="R1743" s="251"/>
      <c r="S1743" s="251"/>
      <c r="T1743" s="251"/>
      <c r="U1743" s="251"/>
      <c r="V1743" s="251"/>
      <c r="W1743" s="251"/>
      <c r="X1743" s="251"/>
      <c r="Y1743" s="251"/>
      <c r="Z1743" s="251"/>
      <c r="AA1743" s="251"/>
      <c r="AB1743" s="251"/>
    </row>
    <row r="1744" ht="14.25" customHeight="1">
      <c r="A1744" s="251"/>
      <c r="B1744" s="263"/>
      <c r="C1744" s="275"/>
      <c r="D1744" s="98"/>
      <c r="E1744" s="240"/>
      <c r="F1744" s="240"/>
      <c r="G1744" s="240"/>
      <c r="H1744" s="240"/>
      <c r="I1744" s="276"/>
      <c r="J1744" s="251"/>
      <c r="K1744" s="251"/>
      <c r="L1744" s="251"/>
      <c r="M1744" s="251"/>
      <c r="N1744" s="251"/>
      <c r="O1744" s="251"/>
      <c r="P1744" s="251"/>
      <c r="Q1744" s="251"/>
      <c r="R1744" s="251"/>
      <c r="S1744" s="251"/>
      <c r="T1744" s="251"/>
      <c r="U1744" s="251"/>
      <c r="V1744" s="251"/>
      <c r="W1744" s="251"/>
      <c r="X1744" s="251"/>
      <c r="Y1744" s="251"/>
      <c r="Z1744" s="251"/>
      <c r="AA1744" s="251"/>
      <c r="AB1744" s="251"/>
    </row>
    <row r="1745" ht="14.25" customHeight="1">
      <c r="A1745" s="251"/>
      <c r="B1745" s="263"/>
      <c r="C1745" s="275"/>
      <c r="D1745" s="98"/>
      <c r="E1745" s="240"/>
      <c r="F1745" s="240"/>
      <c r="G1745" s="240"/>
      <c r="H1745" s="240"/>
      <c r="I1745" s="276"/>
      <c r="J1745" s="251"/>
      <c r="K1745" s="251"/>
      <c r="L1745" s="251"/>
      <c r="M1745" s="251"/>
      <c r="N1745" s="251"/>
      <c r="O1745" s="251"/>
      <c r="P1745" s="251"/>
      <c r="Q1745" s="251"/>
      <c r="R1745" s="251"/>
      <c r="S1745" s="251"/>
      <c r="T1745" s="251"/>
      <c r="U1745" s="251"/>
      <c r="V1745" s="251"/>
      <c r="W1745" s="251"/>
      <c r="X1745" s="251"/>
      <c r="Y1745" s="251"/>
      <c r="Z1745" s="251"/>
      <c r="AA1745" s="251"/>
      <c r="AB1745" s="251"/>
    </row>
    <row r="1746" ht="14.25" customHeight="1">
      <c r="A1746" s="251"/>
      <c r="B1746" s="263"/>
      <c r="C1746" s="275"/>
      <c r="D1746" s="98"/>
      <c r="E1746" s="240"/>
      <c r="F1746" s="240"/>
      <c r="G1746" s="240"/>
      <c r="H1746" s="240"/>
      <c r="I1746" s="276"/>
      <c r="J1746" s="251"/>
      <c r="K1746" s="251"/>
      <c r="L1746" s="251"/>
      <c r="M1746" s="251"/>
      <c r="N1746" s="251"/>
      <c r="O1746" s="251"/>
      <c r="P1746" s="251"/>
      <c r="Q1746" s="251"/>
      <c r="R1746" s="251"/>
      <c r="S1746" s="251"/>
      <c r="T1746" s="251"/>
      <c r="U1746" s="251"/>
      <c r="V1746" s="251"/>
      <c r="W1746" s="251"/>
      <c r="X1746" s="251"/>
      <c r="Y1746" s="251"/>
      <c r="Z1746" s="251"/>
      <c r="AA1746" s="251"/>
      <c r="AB1746" s="251"/>
    </row>
    <row r="1747" ht="14.25" customHeight="1">
      <c r="A1747" s="251"/>
      <c r="B1747" s="263"/>
      <c r="C1747" s="275"/>
      <c r="D1747" s="98"/>
      <c r="E1747" s="240"/>
      <c r="F1747" s="240"/>
      <c r="G1747" s="240"/>
      <c r="H1747" s="240"/>
      <c r="I1747" s="276"/>
      <c r="J1747" s="251"/>
      <c r="K1747" s="251"/>
      <c r="L1747" s="251"/>
      <c r="M1747" s="251"/>
      <c r="N1747" s="251"/>
      <c r="O1747" s="251"/>
      <c r="P1747" s="251"/>
      <c r="Q1747" s="251"/>
      <c r="R1747" s="251"/>
      <c r="S1747" s="251"/>
      <c r="T1747" s="251"/>
      <c r="U1747" s="251"/>
      <c r="V1747" s="251"/>
      <c r="W1747" s="251"/>
      <c r="X1747" s="251"/>
      <c r="Y1747" s="251"/>
      <c r="Z1747" s="251"/>
      <c r="AA1747" s="251"/>
      <c r="AB1747" s="251"/>
    </row>
    <row r="1748" ht="14.25" customHeight="1">
      <c r="A1748" s="251"/>
      <c r="B1748" s="263"/>
      <c r="C1748" s="275"/>
      <c r="D1748" s="98"/>
      <c r="E1748" s="240"/>
      <c r="F1748" s="240"/>
      <c r="G1748" s="240"/>
      <c r="H1748" s="240"/>
      <c r="I1748" s="276"/>
      <c r="J1748" s="251"/>
      <c r="K1748" s="251"/>
      <c r="L1748" s="251"/>
      <c r="M1748" s="251"/>
      <c r="N1748" s="251"/>
      <c r="O1748" s="251"/>
      <c r="P1748" s="251"/>
      <c r="Q1748" s="251"/>
      <c r="R1748" s="251"/>
      <c r="S1748" s="251"/>
      <c r="T1748" s="251"/>
      <c r="U1748" s="251"/>
      <c r="V1748" s="251"/>
      <c r="W1748" s="251"/>
      <c r="X1748" s="251"/>
      <c r="Y1748" s="251"/>
      <c r="Z1748" s="251"/>
      <c r="AA1748" s="251"/>
      <c r="AB1748" s="251"/>
    </row>
    <row r="1749" ht="14.25" customHeight="1">
      <c r="A1749" s="251"/>
      <c r="B1749" s="263"/>
      <c r="C1749" s="275"/>
      <c r="D1749" s="98"/>
      <c r="E1749" s="240"/>
      <c r="F1749" s="240"/>
      <c r="G1749" s="240"/>
      <c r="H1749" s="240"/>
      <c r="I1749" s="276"/>
      <c r="J1749" s="251"/>
      <c r="K1749" s="251"/>
      <c r="L1749" s="251"/>
      <c r="M1749" s="251"/>
      <c r="N1749" s="251"/>
      <c r="O1749" s="251"/>
      <c r="P1749" s="251"/>
      <c r="Q1749" s="251"/>
      <c r="R1749" s="251"/>
      <c r="S1749" s="251"/>
      <c r="T1749" s="251"/>
      <c r="U1749" s="251"/>
      <c r="V1749" s="251"/>
      <c r="W1749" s="251"/>
      <c r="X1749" s="251"/>
      <c r="Y1749" s="251"/>
      <c r="Z1749" s="251"/>
      <c r="AA1749" s="251"/>
      <c r="AB1749" s="251"/>
    </row>
    <row r="1750" ht="14.25" customHeight="1">
      <c r="A1750" s="251"/>
      <c r="B1750" s="263"/>
      <c r="C1750" s="275"/>
      <c r="D1750" s="98"/>
      <c r="E1750" s="240"/>
      <c r="F1750" s="240"/>
      <c r="G1750" s="240"/>
      <c r="H1750" s="240"/>
      <c r="I1750" s="276"/>
      <c r="J1750" s="251"/>
      <c r="K1750" s="251"/>
      <c r="L1750" s="251"/>
      <c r="M1750" s="251"/>
      <c r="N1750" s="251"/>
      <c r="O1750" s="251"/>
      <c r="P1750" s="251"/>
      <c r="Q1750" s="251"/>
      <c r="R1750" s="251"/>
      <c r="S1750" s="251"/>
      <c r="T1750" s="251"/>
      <c r="U1750" s="251"/>
      <c r="V1750" s="251"/>
      <c r="W1750" s="251"/>
      <c r="X1750" s="251"/>
      <c r="Y1750" s="251"/>
      <c r="Z1750" s="251"/>
      <c r="AA1750" s="251"/>
      <c r="AB1750" s="251"/>
    </row>
    <row r="1751" ht="14.25" customHeight="1">
      <c r="A1751" s="251"/>
      <c r="B1751" s="263"/>
      <c r="C1751" s="275"/>
      <c r="D1751" s="98"/>
      <c r="E1751" s="240"/>
      <c r="F1751" s="240"/>
      <c r="G1751" s="240"/>
      <c r="H1751" s="240"/>
      <c r="I1751" s="276"/>
      <c r="J1751" s="251"/>
      <c r="K1751" s="251"/>
      <c r="L1751" s="251"/>
      <c r="M1751" s="251"/>
      <c r="N1751" s="251"/>
      <c r="O1751" s="251"/>
      <c r="P1751" s="251"/>
      <c r="Q1751" s="251"/>
      <c r="R1751" s="251"/>
      <c r="S1751" s="251"/>
      <c r="T1751" s="251"/>
      <c r="U1751" s="251"/>
      <c r="V1751" s="251"/>
      <c r="W1751" s="251"/>
      <c r="X1751" s="251"/>
      <c r="Y1751" s="251"/>
      <c r="Z1751" s="251"/>
      <c r="AA1751" s="251"/>
      <c r="AB1751" s="251"/>
    </row>
    <row r="1752" ht="14.25" customHeight="1">
      <c r="A1752" s="251"/>
      <c r="B1752" s="263"/>
      <c r="C1752" s="275"/>
      <c r="D1752" s="98"/>
      <c r="E1752" s="240"/>
      <c r="F1752" s="240"/>
      <c r="G1752" s="240"/>
      <c r="H1752" s="240"/>
      <c r="I1752" s="276"/>
      <c r="J1752" s="251"/>
      <c r="K1752" s="251"/>
      <c r="L1752" s="251"/>
      <c r="M1752" s="251"/>
      <c r="N1752" s="251"/>
      <c r="O1752" s="251"/>
      <c r="P1752" s="251"/>
      <c r="Q1752" s="251"/>
      <c r="R1752" s="251"/>
      <c r="S1752" s="251"/>
      <c r="T1752" s="251"/>
      <c r="U1752" s="251"/>
      <c r="V1752" s="251"/>
      <c r="W1752" s="251"/>
      <c r="X1752" s="251"/>
      <c r="Y1752" s="251"/>
      <c r="Z1752" s="251"/>
      <c r="AA1752" s="251"/>
      <c r="AB1752" s="251"/>
    </row>
    <row r="1753" ht="14.25" customHeight="1">
      <c r="A1753" s="251"/>
      <c r="B1753" s="263"/>
      <c r="C1753" s="275"/>
      <c r="D1753" s="98"/>
      <c r="E1753" s="240"/>
      <c r="F1753" s="240"/>
      <c r="G1753" s="240"/>
      <c r="H1753" s="240"/>
      <c r="I1753" s="276"/>
      <c r="J1753" s="251"/>
      <c r="K1753" s="251"/>
      <c r="L1753" s="251"/>
      <c r="M1753" s="251"/>
      <c r="N1753" s="251"/>
      <c r="O1753" s="251"/>
      <c r="P1753" s="251"/>
      <c r="Q1753" s="251"/>
      <c r="R1753" s="251"/>
      <c r="S1753" s="251"/>
      <c r="T1753" s="251"/>
      <c r="U1753" s="251"/>
      <c r="V1753" s="251"/>
      <c r="W1753" s="251"/>
      <c r="X1753" s="251"/>
      <c r="Y1753" s="251"/>
      <c r="Z1753" s="251"/>
      <c r="AA1753" s="251"/>
      <c r="AB1753" s="251"/>
    </row>
    <row r="1754" ht="14.25" customHeight="1">
      <c r="A1754" s="251"/>
      <c r="B1754" s="263"/>
      <c r="C1754" s="275"/>
      <c r="D1754" s="98"/>
      <c r="E1754" s="240"/>
      <c r="F1754" s="240"/>
      <c r="G1754" s="240"/>
      <c r="H1754" s="240"/>
      <c r="I1754" s="276"/>
      <c r="J1754" s="251"/>
      <c r="K1754" s="251"/>
      <c r="L1754" s="251"/>
      <c r="M1754" s="251"/>
      <c r="N1754" s="251"/>
      <c r="O1754" s="251"/>
      <c r="P1754" s="251"/>
      <c r="Q1754" s="251"/>
      <c r="R1754" s="251"/>
      <c r="S1754" s="251"/>
      <c r="T1754" s="251"/>
      <c r="U1754" s="251"/>
      <c r="V1754" s="251"/>
      <c r="W1754" s="251"/>
      <c r="X1754" s="251"/>
      <c r="Y1754" s="251"/>
      <c r="Z1754" s="251"/>
      <c r="AA1754" s="251"/>
      <c r="AB1754" s="251"/>
    </row>
    <row r="1755" ht="14.25" customHeight="1">
      <c r="A1755" s="251"/>
      <c r="B1755" s="263"/>
      <c r="C1755" s="275"/>
      <c r="D1755" s="98"/>
      <c r="E1755" s="240"/>
      <c r="F1755" s="240"/>
      <c r="G1755" s="240"/>
      <c r="H1755" s="240"/>
      <c r="I1755" s="276"/>
      <c r="J1755" s="251"/>
      <c r="K1755" s="251"/>
      <c r="L1755" s="251"/>
      <c r="M1755" s="251"/>
      <c r="N1755" s="251"/>
      <c r="O1755" s="251"/>
      <c r="P1755" s="251"/>
      <c r="Q1755" s="251"/>
      <c r="R1755" s="251"/>
      <c r="S1755" s="251"/>
      <c r="T1755" s="251"/>
      <c r="U1755" s="251"/>
      <c r="V1755" s="251"/>
      <c r="W1755" s="251"/>
      <c r="X1755" s="251"/>
      <c r="Y1755" s="251"/>
      <c r="Z1755" s="251"/>
      <c r="AA1755" s="251"/>
      <c r="AB1755" s="251"/>
    </row>
    <row r="1756" ht="14.25" customHeight="1">
      <c r="A1756" s="251"/>
      <c r="B1756" s="263"/>
      <c r="C1756" s="275"/>
      <c r="D1756" s="98"/>
      <c r="E1756" s="240"/>
      <c r="F1756" s="240"/>
      <c r="G1756" s="240"/>
      <c r="H1756" s="240"/>
      <c r="I1756" s="276"/>
      <c r="J1756" s="251"/>
      <c r="K1756" s="251"/>
      <c r="L1756" s="251"/>
      <c r="M1756" s="251"/>
      <c r="N1756" s="251"/>
      <c r="O1756" s="251"/>
      <c r="P1756" s="251"/>
      <c r="Q1756" s="251"/>
      <c r="R1756" s="251"/>
      <c r="S1756" s="251"/>
      <c r="T1756" s="251"/>
      <c r="U1756" s="251"/>
      <c r="V1756" s="251"/>
      <c r="W1756" s="251"/>
      <c r="X1756" s="251"/>
      <c r="Y1756" s="251"/>
      <c r="Z1756" s="251"/>
      <c r="AA1756" s="251"/>
      <c r="AB1756" s="251"/>
    </row>
    <row r="1757" ht="14.25" customHeight="1">
      <c r="A1757" s="251"/>
      <c r="B1757" s="263"/>
      <c r="C1757" s="275"/>
      <c r="D1757" s="98"/>
      <c r="E1757" s="240"/>
      <c r="F1757" s="240"/>
      <c r="G1757" s="240"/>
      <c r="H1757" s="240"/>
      <c r="I1757" s="276"/>
      <c r="J1757" s="251"/>
      <c r="K1757" s="251"/>
      <c r="L1757" s="251"/>
      <c r="M1757" s="251"/>
      <c r="N1757" s="251"/>
      <c r="O1757" s="251"/>
      <c r="P1757" s="251"/>
      <c r="Q1757" s="251"/>
      <c r="R1757" s="251"/>
      <c r="S1757" s="251"/>
      <c r="T1757" s="251"/>
      <c r="U1757" s="251"/>
      <c r="V1757" s="251"/>
      <c r="W1757" s="251"/>
      <c r="X1757" s="251"/>
      <c r="Y1757" s="251"/>
      <c r="Z1757" s="251"/>
      <c r="AA1757" s="251"/>
      <c r="AB1757" s="251"/>
    </row>
    <row r="1758" ht="14.25" customHeight="1">
      <c r="A1758" s="251"/>
      <c r="B1758" s="263"/>
      <c r="C1758" s="275"/>
      <c r="D1758" s="98"/>
      <c r="E1758" s="240"/>
      <c r="F1758" s="240"/>
      <c r="G1758" s="240"/>
      <c r="H1758" s="240"/>
      <c r="I1758" s="276"/>
      <c r="J1758" s="251"/>
      <c r="K1758" s="251"/>
      <c r="L1758" s="251"/>
      <c r="M1758" s="251"/>
      <c r="N1758" s="251"/>
      <c r="O1758" s="251"/>
      <c r="P1758" s="251"/>
      <c r="Q1758" s="251"/>
      <c r="R1758" s="251"/>
      <c r="S1758" s="251"/>
      <c r="T1758" s="251"/>
      <c r="U1758" s="251"/>
      <c r="V1758" s="251"/>
      <c r="W1758" s="251"/>
      <c r="X1758" s="251"/>
      <c r="Y1758" s="251"/>
      <c r="Z1758" s="251"/>
      <c r="AA1758" s="251"/>
      <c r="AB1758" s="251"/>
    </row>
    <row r="1759" ht="14.25" customHeight="1">
      <c r="A1759" s="251"/>
      <c r="B1759" s="263"/>
      <c r="C1759" s="275"/>
      <c r="D1759" s="98"/>
      <c r="E1759" s="240"/>
      <c r="F1759" s="240"/>
      <c r="G1759" s="240"/>
      <c r="H1759" s="240"/>
      <c r="I1759" s="276"/>
      <c r="J1759" s="251"/>
      <c r="K1759" s="251"/>
      <c r="L1759" s="251"/>
      <c r="M1759" s="251"/>
      <c r="N1759" s="251"/>
      <c r="O1759" s="251"/>
      <c r="P1759" s="251"/>
      <c r="Q1759" s="251"/>
      <c r="R1759" s="251"/>
      <c r="S1759" s="251"/>
      <c r="T1759" s="251"/>
      <c r="U1759" s="251"/>
      <c r="V1759" s="251"/>
      <c r="W1759" s="251"/>
      <c r="X1759" s="251"/>
      <c r="Y1759" s="251"/>
      <c r="Z1759" s="251"/>
      <c r="AA1759" s="251"/>
      <c r="AB1759" s="251"/>
    </row>
    <row r="1760" ht="14.25" customHeight="1">
      <c r="A1760" s="251"/>
      <c r="B1760" s="263"/>
      <c r="C1760" s="275"/>
      <c r="D1760" s="98"/>
      <c r="E1760" s="240"/>
      <c r="F1760" s="240"/>
      <c r="G1760" s="240"/>
      <c r="H1760" s="240"/>
      <c r="I1760" s="276"/>
      <c r="J1760" s="251"/>
      <c r="K1760" s="251"/>
      <c r="L1760" s="251"/>
      <c r="M1760" s="251"/>
      <c r="N1760" s="251"/>
      <c r="O1760" s="251"/>
      <c r="P1760" s="251"/>
      <c r="Q1760" s="251"/>
      <c r="R1760" s="251"/>
      <c r="S1760" s="251"/>
      <c r="T1760" s="251"/>
      <c r="U1760" s="251"/>
      <c r="V1760" s="251"/>
      <c r="W1760" s="251"/>
      <c r="X1760" s="251"/>
      <c r="Y1760" s="251"/>
      <c r="Z1760" s="251"/>
      <c r="AA1760" s="251"/>
      <c r="AB1760" s="251"/>
    </row>
    <row r="1761" ht="14.25" customHeight="1">
      <c r="A1761" s="251"/>
      <c r="B1761" s="263"/>
      <c r="C1761" s="275"/>
      <c r="D1761" s="98"/>
      <c r="E1761" s="240"/>
      <c r="F1761" s="240"/>
      <c r="G1761" s="240"/>
      <c r="H1761" s="240"/>
      <c r="I1761" s="276"/>
      <c r="J1761" s="251"/>
      <c r="K1761" s="251"/>
      <c r="L1761" s="251"/>
      <c r="M1761" s="251"/>
      <c r="N1761" s="251"/>
      <c r="O1761" s="251"/>
      <c r="P1761" s="251"/>
      <c r="Q1761" s="251"/>
      <c r="R1761" s="251"/>
      <c r="S1761" s="251"/>
      <c r="T1761" s="251"/>
      <c r="U1761" s="251"/>
      <c r="V1761" s="251"/>
      <c r="W1761" s="251"/>
      <c r="X1761" s="251"/>
      <c r="Y1761" s="251"/>
      <c r="Z1761" s="251"/>
      <c r="AA1761" s="251"/>
      <c r="AB1761" s="251"/>
    </row>
    <row r="1762" ht="14.25" customHeight="1">
      <c r="A1762" s="251"/>
      <c r="B1762" s="263"/>
      <c r="C1762" s="275"/>
      <c r="D1762" s="98"/>
      <c r="E1762" s="240"/>
      <c r="F1762" s="240"/>
      <c r="G1762" s="240"/>
      <c r="H1762" s="240"/>
      <c r="I1762" s="276"/>
      <c r="J1762" s="251"/>
      <c r="K1762" s="251"/>
      <c r="L1762" s="251"/>
      <c r="M1762" s="251"/>
      <c r="N1762" s="251"/>
      <c r="O1762" s="251"/>
      <c r="P1762" s="251"/>
      <c r="Q1762" s="251"/>
      <c r="R1762" s="251"/>
      <c r="S1762" s="251"/>
      <c r="T1762" s="251"/>
      <c r="U1762" s="251"/>
      <c r="V1762" s="251"/>
      <c r="W1762" s="251"/>
      <c r="X1762" s="251"/>
      <c r="Y1762" s="251"/>
      <c r="Z1762" s="251"/>
      <c r="AA1762" s="251"/>
      <c r="AB1762" s="251"/>
    </row>
    <row r="1763" ht="14.25" customHeight="1">
      <c r="A1763" s="251"/>
      <c r="B1763" s="263"/>
      <c r="C1763" s="275"/>
      <c r="D1763" s="98"/>
      <c r="E1763" s="240"/>
      <c r="F1763" s="240"/>
      <c r="G1763" s="240"/>
      <c r="H1763" s="240"/>
      <c r="I1763" s="276"/>
      <c r="J1763" s="251"/>
      <c r="K1763" s="251"/>
      <c r="L1763" s="251"/>
      <c r="M1763" s="251"/>
      <c r="N1763" s="251"/>
      <c r="O1763" s="251"/>
      <c r="P1763" s="251"/>
      <c r="Q1763" s="251"/>
      <c r="R1763" s="251"/>
      <c r="S1763" s="251"/>
      <c r="T1763" s="251"/>
      <c r="U1763" s="251"/>
      <c r="V1763" s="251"/>
      <c r="W1763" s="251"/>
      <c r="X1763" s="251"/>
      <c r="Y1763" s="251"/>
      <c r="Z1763" s="251"/>
      <c r="AA1763" s="251"/>
      <c r="AB1763" s="251"/>
    </row>
    <row r="1764" ht="14.25" customHeight="1">
      <c r="A1764" s="251"/>
      <c r="B1764" s="263"/>
      <c r="C1764" s="275"/>
      <c r="D1764" s="98"/>
      <c r="E1764" s="240"/>
      <c r="F1764" s="240"/>
      <c r="G1764" s="240"/>
      <c r="H1764" s="240"/>
      <c r="I1764" s="276"/>
      <c r="J1764" s="251"/>
      <c r="K1764" s="251"/>
      <c r="L1764" s="251"/>
      <c r="M1764" s="251"/>
      <c r="N1764" s="251"/>
      <c r="O1764" s="251"/>
      <c r="P1764" s="251"/>
      <c r="Q1764" s="251"/>
      <c r="R1764" s="251"/>
      <c r="S1764" s="251"/>
      <c r="T1764" s="251"/>
      <c r="U1764" s="251"/>
      <c r="V1764" s="251"/>
      <c r="W1764" s="251"/>
      <c r="X1764" s="251"/>
      <c r="Y1764" s="251"/>
      <c r="Z1764" s="251"/>
      <c r="AA1764" s="251"/>
      <c r="AB1764" s="251"/>
    </row>
    <row r="1765" ht="14.25" customHeight="1">
      <c r="A1765" s="251"/>
      <c r="B1765" s="263"/>
      <c r="C1765" s="275"/>
      <c r="D1765" s="98"/>
      <c r="E1765" s="240"/>
      <c r="F1765" s="240"/>
      <c r="G1765" s="240"/>
      <c r="H1765" s="240"/>
      <c r="I1765" s="276"/>
      <c r="J1765" s="251"/>
      <c r="K1765" s="251"/>
      <c r="L1765" s="251"/>
      <c r="M1765" s="251"/>
      <c r="N1765" s="251"/>
      <c r="O1765" s="251"/>
      <c r="P1765" s="251"/>
      <c r="Q1765" s="251"/>
      <c r="R1765" s="251"/>
      <c r="S1765" s="251"/>
      <c r="T1765" s="251"/>
      <c r="U1765" s="251"/>
      <c r="V1765" s="251"/>
      <c r="W1765" s="251"/>
      <c r="X1765" s="251"/>
      <c r="Y1765" s="251"/>
      <c r="Z1765" s="251"/>
      <c r="AA1765" s="251"/>
      <c r="AB1765" s="251"/>
    </row>
    <row r="1766" ht="14.25" customHeight="1">
      <c r="A1766" s="251"/>
      <c r="B1766" s="263"/>
      <c r="C1766" s="275"/>
      <c r="D1766" s="98"/>
      <c r="E1766" s="240"/>
      <c r="F1766" s="240"/>
      <c r="G1766" s="240"/>
      <c r="H1766" s="240"/>
      <c r="I1766" s="276"/>
      <c r="J1766" s="251"/>
      <c r="K1766" s="251"/>
      <c r="L1766" s="251"/>
      <c r="M1766" s="251"/>
      <c r="N1766" s="251"/>
      <c r="O1766" s="251"/>
      <c r="P1766" s="251"/>
      <c r="Q1766" s="251"/>
      <c r="R1766" s="251"/>
      <c r="S1766" s="251"/>
      <c r="T1766" s="251"/>
      <c r="U1766" s="251"/>
      <c r="V1766" s="251"/>
      <c r="W1766" s="251"/>
      <c r="X1766" s="251"/>
      <c r="Y1766" s="251"/>
      <c r="Z1766" s="251"/>
      <c r="AA1766" s="251"/>
      <c r="AB1766" s="251"/>
    </row>
    <row r="1767" ht="14.25" customHeight="1">
      <c r="A1767" s="251"/>
      <c r="B1767" s="263"/>
      <c r="C1767" s="275"/>
      <c r="D1767" s="98"/>
      <c r="E1767" s="240"/>
      <c r="F1767" s="240"/>
      <c r="G1767" s="240"/>
      <c r="H1767" s="240"/>
      <c r="I1767" s="276"/>
      <c r="J1767" s="251"/>
      <c r="K1767" s="251"/>
      <c r="L1767" s="251"/>
      <c r="M1767" s="251"/>
      <c r="N1767" s="251"/>
      <c r="O1767" s="251"/>
      <c r="P1767" s="251"/>
      <c r="Q1767" s="251"/>
      <c r="R1767" s="251"/>
      <c r="S1767" s="251"/>
      <c r="T1767" s="251"/>
      <c r="U1767" s="251"/>
      <c r="V1767" s="251"/>
      <c r="W1767" s="251"/>
      <c r="X1767" s="251"/>
      <c r="Y1767" s="251"/>
      <c r="Z1767" s="251"/>
      <c r="AA1767" s="251"/>
      <c r="AB1767" s="251"/>
    </row>
    <row r="1768" ht="14.25" customHeight="1">
      <c r="A1768" s="251"/>
      <c r="B1768" s="263"/>
      <c r="C1768" s="275"/>
      <c r="D1768" s="98"/>
      <c r="E1768" s="240"/>
      <c r="F1768" s="240"/>
      <c r="G1768" s="240"/>
      <c r="H1768" s="240"/>
      <c r="I1768" s="276"/>
      <c r="J1768" s="251"/>
      <c r="K1768" s="251"/>
      <c r="L1768" s="251"/>
      <c r="M1768" s="251"/>
      <c r="N1768" s="251"/>
      <c r="O1768" s="251"/>
      <c r="P1768" s="251"/>
      <c r="Q1768" s="251"/>
      <c r="R1768" s="251"/>
      <c r="S1768" s="251"/>
      <c r="T1768" s="251"/>
      <c r="U1768" s="251"/>
      <c r="V1768" s="251"/>
      <c r="W1768" s="251"/>
      <c r="X1768" s="251"/>
      <c r="Y1768" s="251"/>
      <c r="Z1768" s="251"/>
      <c r="AA1768" s="251"/>
      <c r="AB1768" s="251"/>
    </row>
    <row r="1769" ht="14.25" customHeight="1">
      <c r="A1769" s="251"/>
      <c r="B1769" s="263"/>
      <c r="C1769" s="275"/>
      <c r="D1769" s="98"/>
      <c r="E1769" s="240"/>
      <c r="F1769" s="240"/>
      <c r="G1769" s="240"/>
      <c r="H1769" s="240"/>
      <c r="I1769" s="276"/>
      <c r="J1769" s="251"/>
      <c r="K1769" s="251"/>
      <c r="L1769" s="251"/>
      <c r="M1769" s="251"/>
      <c r="N1769" s="251"/>
      <c r="O1769" s="251"/>
      <c r="P1769" s="251"/>
      <c r="Q1769" s="251"/>
      <c r="R1769" s="251"/>
      <c r="S1769" s="251"/>
      <c r="T1769" s="251"/>
      <c r="U1769" s="251"/>
      <c r="V1769" s="251"/>
      <c r="W1769" s="251"/>
      <c r="X1769" s="251"/>
      <c r="Y1769" s="251"/>
      <c r="Z1769" s="251"/>
      <c r="AA1769" s="251"/>
      <c r="AB1769" s="251"/>
    </row>
    <row r="1770" ht="14.25" customHeight="1">
      <c r="A1770" s="251"/>
      <c r="B1770" s="263"/>
      <c r="C1770" s="275"/>
      <c r="D1770" s="98"/>
      <c r="E1770" s="240"/>
      <c r="F1770" s="240"/>
      <c r="G1770" s="240"/>
      <c r="H1770" s="240"/>
      <c r="I1770" s="276"/>
      <c r="J1770" s="251"/>
      <c r="K1770" s="251"/>
      <c r="L1770" s="251"/>
      <c r="M1770" s="251"/>
      <c r="N1770" s="251"/>
      <c r="O1770" s="251"/>
      <c r="P1770" s="251"/>
      <c r="Q1770" s="251"/>
      <c r="R1770" s="251"/>
      <c r="S1770" s="251"/>
      <c r="T1770" s="251"/>
      <c r="U1770" s="251"/>
      <c r="V1770" s="251"/>
      <c r="W1770" s="251"/>
      <c r="X1770" s="251"/>
      <c r="Y1770" s="251"/>
      <c r="Z1770" s="251"/>
      <c r="AA1770" s="251"/>
      <c r="AB1770" s="251"/>
    </row>
    <row r="1771" ht="14.25" customHeight="1">
      <c r="A1771" s="251"/>
      <c r="B1771" s="263"/>
      <c r="C1771" s="275"/>
      <c r="D1771" s="98"/>
      <c r="E1771" s="240"/>
      <c r="F1771" s="240"/>
      <c r="G1771" s="240"/>
      <c r="H1771" s="240"/>
      <c r="I1771" s="276"/>
      <c r="J1771" s="251"/>
      <c r="K1771" s="251"/>
      <c r="L1771" s="251"/>
      <c r="M1771" s="251"/>
      <c r="N1771" s="251"/>
      <c r="O1771" s="251"/>
      <c r="P1771" s="251"/>
      <c r="Q1771" s="251"/>
      <c r="R1771" s="251"/>
      <c r="S1771" s="251"/>
      <c r="T1771" s="251"/>
      <c r="U1771" s="251"/>
      <c r="V1771" s="251"/>
      <c r="W1771" s="251"/>
      <c r="X1771" s="251"/>
      <c r="Y1771" s="251"/>
      <c r="Z1771" s="251"/>
      <c r="AA1771" s="251"/>
      <c r="AB1771" s="251"/>
    </row>
    <row r="1772" ht="14.25" customHeight="1">
      <c r="A1772" s="251"/>
      <c r="B1772" s="263"/>
      <c r="C1772" s="275"/>
      <c r="D1772" s="98"/>
      <c r="E1772" s="240"/>
      <c r="F1772" s="240"/>
      <c r="G1772" s="240"/>
      <c r="H1772" s="240"/>
      <c r="I1772" s="276"/>
      <c r="J1772" s="251"/>
      <c r="K1772" s="251"/>
      <c r="L1772" s="251"/>
      <c r="M1772" s="251"/>
      <c r="N1772" s="251"/>
      <c r="O1772" s="251"/>
      <c r="P1772" s="251"/>
      <c r="Q1772" s="251"/>
      <c r="R1772" s="251"/>
      <c r="S1772" s="251"/>
      <c r="T1772" s="251"/>
      <c r="U1772" s="251"/>
      <c r="V1772" s="251"/>
      <c r="W1772" s="251"/>
      <c r="X1772" s="251"/>
      <c r="Y1772" s="251"/>
      <c r="Z1772" s="251"/>
      <c r="AA1772" s="251"/>
      <c r="AB1772" s="251"/>
    </row>
    <row r="1773" ht="14.25" customHeight="1">
      <c r="A1773" s="251"/>
      <c r="B1773" s="263"/>
      <c r="C1773" s="275"/>
      <c r="D1773" s="98"/>
      <c r="E1773" s="240"/>
      <c r="F1773" s="240"/>
      <c r="G1773" s="240"/>
      <c r="H1773" s="240"/>
      <c r="I1773" s="276"/>
      <c r="J1773" s="251"/>
      <c r="K1773" s="251"/>
      <c r="L1773" s="251"/>
      <c r="M1773" s="251"/>
      <c r="N1773" s="251"/>
      <c r="O1773" s="251"/>
      <c r="P1773" s="251"/>
      <c r="Q1773" s="251"/>
      <c r="R1773" s="251"/>
      <c r="S1773" s="251"/>
      <c r="T1773" s="251"/>
      <c r="U1773" s="251"/>
      <c r="V1773" s="251"/>
      <c r="W1773" s="251"/>
      <c r="X1773" s="251"/>
      <c r="Y1773" s="251"/>
      <c r="Z1773" s="251"/>
      <c r="AA1773" s="251"/>
      <c r="AB1773" s="251"/>
    </row>
    <row r="1774" ht="14.25" customHeight="1">
      <c r="A1774" s="251"/>
      <c r="B1774" s="263"/>
      <c r="C1774" s="275"/>
      <c r="D1774" s="98"/>
      <c r="E1774" s="240"/>
      <c r="F1774" s="240"/>
      <c r="G1774" s="240"/>
      <c r="H1774" s="240"/>
      <c r="I1774" s="276"/>
      <c r="J1774" s="251"/>
      <c r="K1774" s="251"/>
      <c r="L1774" s="251"/>
      <c r="M1774" s="251"/>
      <c r="N1774" s="251"/>
      <c r="O1774" s="251"/>
      <c r="P1774" s="251"/>
      <c r="Q1774" s="251"/>
      <c r="R1774" s="251"/>
      <c r="S1774" s="251"/>
      <c r="T1774" s="251"/>
      <c r="U1774" s="251"/>
      <c r="V1774" s="251"/>
      <c r="W1774" s="251"/>
      <c r="X1774" s="251"/>
      <c r="Y1774" s="251"/>
      <c r="Z1774" s="251"/>
      <c r="AA1774" s="251"/>
      <c r="AB1774" s="251"/>
    </row>
    <row r="1775" ht="14.25" customHeight="1">
      <c r="A1775" s="251"/>
      <c r="B1775" s="263"/>
      <c r="C1775" s="275"/>
      <c r="D1775" s="98"/>
      <c r="E1775" s="240"/>
      <c r="F1775" s="240"/>
      <c r="G1775" s="240"/>
      <c r="H1775" s="240"/>
      <c r="I1775" s="276"/>
      <c r="J1775" s="251"/>
      <c r="K1775" s="251"/>
      <c r="L1775" s="251"/>
      <c r="M1775" s="251"/>
      <c r="N1775" s="251"/>
      <c r="O1775" s="251"/>
      <c r="P1775" s="251"/>
      <c r="Q1775" s="251"/>
      <c r="R1775" s="251"/>
      <c r="S1775" s="251"/>
      <c r="T1775" s="251"/>
      <c r="U1775" s="251"/>
      <c r="V1775" s="251"/>
      <c r="W1775" s="251"/>
      <c r="X1775" s="251"/>
      <c r="Y1775" s="251"/>
      <c r="Z1775" s="251"/>
      <c r="AA1775" s="251"/>
      <c r="AB1775" s="251"/>
    </row>
    <row r="1776" ht="14.25" customHeight="1">
      <c r="A1776" s="251"/>
      <c r="B1776" s="263"/>
      <c r="C1776" s="275"/>
      <c r="D1776" s="98"/>
      <c r="E1776" s="240"/>
      <c r="F1776" s="240"/>
      <c r="G1776" s="240"/>
      <c r="H1776" s="240"/>
      <c r="I1776" s="276"/>
      <c r="J1776" s="251"/>
      <c r="K1776" s="251"/>
      <c r="L1776" s="251"/>
      <c r="M1776" s="251"/>
      <c r="N1776" s="251"/>
      <c r="O1776" s="251"/>
      <c r="P1776" s="251"/>
      <c r="Q1776" s="251"/>
      <c r="R1776" s="251"/>
      <c r="S1776" s="251"/>
      <c r="T1776" s="251"/>
      <c r="U1776" s="251"/>
      <c r="V1776" s="251"/>
      <c r="W1776" s="251"/>
      <c r="X1776" s="251"/>
      <c r="Y1776" s="251"/>
      <c r="Z1776" s="251"/>
      <c r="AA1776" s="251"/>
      <c r="AB1776" s="251"/>
    </row>
    <row r="1777" ht="14.25" customHeight="1">
      <c r="A1777" s="251"/>
      <c r="B1777" s="263"/>
      <c r="C1777" s="275"/>
      <c r="D1777" s="98"/>
      <c r="E1777" s="240"/>
      <c r="F1777" s="240"/>
      <c r="G1777" s="240"/>
      <c r="H1777" s="240"/>
      <c r="I1777" s="276"/>
      <c r="J1777" s="251"/>
      <c r="K1777" s="251"/>
      <c r="L1777" s="251"/>
      <c r="M1777" s="251"/>
      <c r="N1777" s="251"/>
      <c r="O1777" s="251"/>
      <c r="P1777" s="251"/>
      <c r="Q1777" s="251"/>
      <c r="R1777" s="251"/>
      <c r="S1777" s="251"/>
      <c r="T1777" s="251"/>
      <c r="U1777" s="251"/>
      <c r="V1777" s="251"/>
      <c r="W1777" s="251"/>
      <c r="X1777" s="251"/>
      <c r="Y1777" s="251"/>
      <c r="Z1777" s="251"/>
      <c r="AA1777" s="251"/>
      <c r="AB1777" s="251"/>
    </row>
    <row r="1778" ht="14.25" customHeight="1">
      <c r="A1778" s="251"/>
      <c r="B1778" s="263"/>
      <c r="C1778" s="275"/>
      <c r="D1778" s="98"/>
      <c r="E1778" s="240"/>
      <c r="F1778" s="240"/>
      <c r="G1778" s="240"/>
      <c r="H1778" s="240"/>
      <c r="I1778" s="276"/>
      <c r="J1778" s="251"/>
      <c r="K1778" s="251"/>
      <c r="L1778" s="251"/>
      <c r="M1778" s="251"/>
      <c r="N1778" s="251"/>
      <c r="O1778" s="251"/>
      <c r="P1778" s="251"/>
      <c r="Q1778" s="251"/>
      <c r="R1778" s="251"/>
      <c r="S1778" s="251"/>
      <c r="T1778" s="251"/>
      <c r="U1778" s="251"/>
      <c r="V1778" s="251"/>
      <c r="W1778" s="251"/>
      <c r="X1778" s="251"/>
      <c r="Y1778" s="251"/>
      <c r="Z1778" s="251"/>
      <c r="AA1778" s="251"/>
      <c r="AB1778" s="251"/>
    </row>
    <row r="1779" ht="14.25" customHeight="1">
      <c r="A1779" s="251"/>
      <c r="B1779" s="263"/>
      <c r="C1779" s="275"/>
      <c r="D1779" s="98"/>
      <c r="E1779" s="240"/>
      <c r="F1779" s="240"/>
      <c r="G1779" s="240"/>
      <c r="H1779" s="240"/>
      <c r="I1779" s="276"/>
      <c r="J1779" s="251"/>
      <c r="K1779" s="251"/>
      <c r="L1779" s="251"/>
      <c r="M1779" s="251"/>
      <c r="N1779" s="251"/>
      <c r="O1779" s="251"/>
      <c r="P1779" s="251"/>
      <c r="Q1779" s="251"/>
      <c r="R1779" s="251"/>
      <c r="S1779" s="251"/>
      <c r="T1779" s="251"/>
      <c r="U1779" s="251"/>
      <c r="V1779" s="251"/>
      <c r="W1779" s="251"/>
      <c r="X1779" s="251"/>
      <c r="Y1779" s="251"/>
      <c r="Z1779" s="251"/>
      <c r="AA1779" s="251"/>
      <c r="AB1779" s="251"/>
    </row>
    <row r="1780" ht="14.25" customHeight="1">
      <c r="A1780" s="251"/>
      <c r="B1780" s="263"/>
      <c r="C1780" s="275"/>
      <c r="D1780" s="98"/>
      <c r="E1780" s="240"/>
      <c r="F1780" s="240"/>
      <c r="G1780" s="240"/>
      <c r="H1780" s="240"/>
      <c r="I1780" s="276"/>
      <c r="J1780" s="251"/>
      <c r="K1780" s="251"/>
      <c r="L1780" s="251"/>
      <c r="M1780" s="251"/>
      <c r="N1780" s="251"/>
      <c r="O1780" s="251"/>
      <c r="P1780" s="251"/>
      <c r="Q1780" s="251"/>
      <c r="R1780" s="251"/>
      <c r="S1780" s="251"/>
      <c r="T1780" s="251"/>
      <c r="U1780" s="251"/>
      <c r="V1780" s="251"/>
      <c r="W1780" s="251"/>
      <c r="X1780" s="251"/>
      <c r="Y1780" s="251"/>
      <c r="Z1780" s="251"/>
      <c r="AA1780" s="251"/>
      <c r="AB1780" s="251"/>
    </row>
    <row r="1781" ht="14.25" customHeight="1">
      <c r="A1781" s="251"/>
      <c r="B1781" s="263"/>
      <c r="C1781" s="275"/>
      <c r="D1781" s="98"/>
      <c r="E1781" s="240"/>
      <c r="F1781" s="240"/>
      <c r="G1781" s="240"/>
      <c r="H1781" s="240"/>
      <c r="I1781" s="276"/>
      <c r="J1781" s="251"/>
      <c r="K1781" s="251"/>
      <c r="L1781" s="251"/>
      <c r="M1781" s="251"/>
      <c r="N1781" s="251"/>
      <c r="O1781" s="251"/>
      <c r="P1781" s="251"/>
      <c r="Q1781" s="251"/>
      <c r="R1781" s="251"/>
      <c r="S1781" s="251"/>
      <c r="T1781" s="251"/>
      <c r="U1781" s="251"/>
      <c r="V1781" s="251"/>
      <c r="W1781" s="251"/>
      <c r="X1781" s="251"/>
      <c r="Y1781" s="251"/>
      <c r="Z1781" s="251"/>
      <c r="AA1781" s="251"/>
      <c r="AB1781" s="251"/>
    </row>
    <row r="1782" ht="14.25" customHeight="1">
      <c r="A1782" s="251"/>
      <c r="B1782" s="263"/>
      <c r="C1782" s="275"/>
      <c r="D1782" s="98"/>
      <c r="E1782" s="240"/>
      <c r="F1782" s="240"/>
      <c r="G1782" s="240"/>
      <c r="H1782" s="240"/>
      <c r="I1782" s="276"/>
      <c r="J1782" s="251"/>
      <c r="K1782" s="251"/>
      <c r="L1782" s="251"/>
      <c r="M1782" s="251"/>
      <c r="N1782" s="251"/>
      <c r="O1782" s="251"/>
      <c r="P1782" s="251"/>
      <c r="Q1782" s="251"/>
      <c r="R1782" s="251"/>
      <c r="S1782" s="251"/>
      <c r="T1782" s="251"/>
      <c r="U1782" s="251"/>
      <c r="V1782" s="251"/>
      <c r="W1782" s="251"/>
      <c r="X1782" s="251"/>
      <c r="Y1782" s="251"/>
      <c r="Z1782" s="251"/>
      <c r="AA1782" s="251"/>
      <c r="AB1782" s="251"/>
    </row>
    <row r="1783" ht="14.25" customHeight="1">
      <c r="A1783" s="251"/>
      <c r="B1783" s="263"/>
      <c r="C1783" s="275"/>
      <c r="D1783" s="98"/>
      <c r="E1783" s="240"/>
      <c r="F1783" s="240"/>
      <c r="G1783" s="240"/>
      <c r="H1783" s="240"/>
      <c r="I1783" s="276"/>
      <c r="J1783" s="251"/>
      <c r="K1783" s="251"/>
      <c r="L1783" s="251"/>
      <c r="M1783" s="251"/>
      <c r="N1783" s="251"/>
      <c r="O1783" s="251"/>
      <c r="P1783" s="251"/>
      <c r="Q1783" s="251"/>
      <c r="R1783" s="251"/>
      <c r="S1783" s="251"/>
      <c r="T1783" s="251"/>
      <c r="U1783" s="251"/>
      <c r="V1783" s="251"/>
      <c r="W1783" s="251"/>
      <c r="X1783" s="251"/>
      <c r="Y1783" s="251"/>
      <c r="Z1783" s="251"/>
      <c r="AA1783" s="251"/>
      <c r="AB1783" s="251"/>
    </row>
  </sheetData>
  <customSheetViews>
    <customSheetView guid="{7EA75EEB-CF8F-4056-9ACB-7CDB960478BB}" filter="1" showAutoFilter="1">
      <autoFilter ref="$J$1:$J$680"/>
      <extLst>
        <ext uri="GoogleSheetsCustomDataVersion1">
          <go:sheetsCustomData xmlns:go="http://customooxmlschemas.google.com/" filterViewId="931646461"/>
        </ext>
      </extLst>
    </customSheetView>
  </customSheetViews>
  <mergeCells count="35">
    <mergeCell ref="B17:B19"/>
    <mergeCell ref="B21:B59"/>
    <mergeCell ref="E144:E145"/>
    <mergeCell ref="G144:G145"/>
    <mergeCell ref="E146:E147"/>
    <mergeCell ref="G146:G147"/>
    <mergeCell ref="E148:E149"/>
    <mergeCell ref="G148:G149"/>
    <mergeCell ref="B7:B16"/>
    <mergeCell ref="B109:B157"/>
    <mergeCell ref="B3:B6"/>
    <mergeCell ref="E150:E151"/>
    <mergeCell ref="E152:E153"/>
    <mergeCell ref="E154:E155"/>
    <mergeCell ref="E156:E157"/>
    <mergeCell ref="G152:G153"/>
    <mergeCell ref="G150:G151"/>
    <mergeCell ref="B752:B753"/>
    <mergeCell ref="B754:B781"/>
    <mergeCell ref="B784:B796"/>
    <mergeCell ref="B680:B705"/>
    <mergeCell ref="B706:B713"/>
    <mergeCell ref="B715:B734"/>
    <mergeCell ref="B744:B748"/>
    <mergeCell ref="B749:B751"/>
    <mergeCell ref="B738:B739"/>
    <mergeCell ref="B158:B201"/>
    <mergeCell ref="B585:B591"/>
    <mergeCell ref="B623:B631"/>
    <mergeCell ref="B663:B671"/>
    <mergeCell ref="B672:B679"/>
    <mergeCell ref="B60:B87"/>
    <mergeCell ref="B88:B108"/>
    <mergeCell ref="G154:G155"/>
    <mergeCell ref="G156:G157"/>
  </mergeCells>
  <dataValidations>
    <dataValidation type="list" allowBlank="1" showErrorMessage="1" sqref="I1:I797 I799:I1783">
      <formula1>"Pass,Fail,On-hold,NA"</formula1>
    </dataValidation>
    <dataValidation type="list" allowBlank="1" showErrorMessage="1" sqref="K1:K796 K799:K1783">
      <formula1>"Yes,No"</formula1>
    </dataValidation>
    <dataValidation type="list" allowBlank="1" showErrorMessage="1" sqref="D1:D797 D799:D1783">
      <formula1>"Functional,UI,Smoke,Regression,Integration"</formula1>
    </dataValidation>
  </dataValidations>
  <hyperlinks>
    <hyperlink r:id="rId1" ref="F592"/>
    <hyperlink r:id="rId2" ref="F593"/>
  </hyperlinks>
  <printOptions/>
  <pageMargins bottom="0.75" footer="0.0" header="0.0" left="0.7" right="0.7" top="0.75"/>
  <pageSetup orientation="landscape"/>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5.75"/>
    <col customWidth="1" min="2" max="2" width="20.38"/>
    <col customWidth="1" min="3" max="3" width="65.13"/>
  </cols>
  <sheetData>
    <row r="1">
      <c r="A1" s="277" t="s">
        <v>145</v>
      </c>
      <c r="B1" s="278" t="s">
        <v>8507</v>
      </c>
      <c r="C1" s="279" t="s">
        <v>30</v>
      </c>
      <c r="D1" s="280"/>
      <c r="E1" s="280"/>
      <c r="F1" s="280"/>
      <c r="G1" s="280"/>
      <c r="H1" s="280"/>
      <c r="I1" s="280"/>
      <c r="J1" s="280"/>
      <c r="K1" s="280"/>
      <c r="L1" s="280"/>
      <c r="M1" s="280"/>
      <c r="N1" s="280"/>
      <c r="O1" s="280"/>
      <c r="P1" s="280"/>
      <c r="Q1" s="280"/>
      <c r="R1" s="280"/>
      <c r="S1" s="280"/>
      <c r="T1" s="280"/>
      <c r="U1" s="280"/>
      <c r="V1" s="280"/>
      <c r="W1" s="280"/>
      <c r="X1" s="280"/>
      <c r="Y1" s="280"/>
    </row>
    <row r="2">
      <c r="A2" s="281" t="s">
        <v>8508</v>
      </c>
      <c r="B2" s="282"/>
      <c r="C2" s="265" t="s">
        <v>8509</v>
      </c>
    </row>
    <row r="3">
      <c r="A3" s="108"/>
      <c r="B3" s="282"/>
      <c r="C3" s="265" t="s">
        <v>8510</v>
      </c>
    </row>
    <row r="4">
      <c r="A4" s="109"/>
      <c r="B4" s="282"/>
      <c r="C4" s="265" t="s">
        <v>8511</v>
      </c>
    </row>
    <row r="5">
      <c r="A5" s="281" t="s">
        <v>8512</v>
      </c>
      <c r="B5" s="282"/>
      <c r="C5" s="265" t="s">
        <v>8513</v>
      </c>
    </row>
    <row r="6">
      <c r="A6" s="108"/>
      <c r="B6" s="282"/>
      <c r="C6" s="265" t="s">
        <v>8514</v>
      </c>
    </row>
    <row r="7">
      <c r="A7" s="108"/>
      <c r="B7" s="282"/>
      <c r="C7" s="265" t="s">
        <v>8515</v>
      </c>
    </row>
    <row r="8">
      <c r="A8" s="108"/>
      <c r="B8" s="282"/>
      <c r="C8" s="265" t="s">
        <v>8516</v>
      </c>
    </row>
    <row r="9">
      <c r="A9" s="108"/>
      <c r="B9" s="282"/>
      <c r="C9" s="283" t="s">
        <v>8517</v>
      </c>
    </row>
    <row r="10">
      <c r="A10" s="108"/>
      <c r="B10" s="282"/>
      <c r="C10" s="283" t="s">
        <v>8518</v>
      </c>
    </row>
    <row r="11">
      <c r="A11" s="108"/>
      <c r="B11" s="282"/>
      <c r="C11" s="265" t="s">
        <v>8519</v>
      </c>
    </row>
    <row r="12">
      <c r="A12" s="109"/>
      <c r="B12" s="282"/>
      <c r="C12" s="265" t="s">
        <v>8520</v>
      </c>
    </row>
    <row r="13">
      <c r="A13" s="281" t="s">
        <v>8521</v>
      </c>
      <c r="B13" s="284" t="s">
        <v>8522</v>
      </c>
      <c r="C13" s="265" t="s">
        <v>8523</v>
      </c>
    </row>
    <row r="14">
      <c r="A14" s="108"/>
      <c r="B14" s="282"/>
      <c r="C14" s="265" t="s">
        <v>8524</v>
      </c>
    </row>
    <row r="15">
      <c r="A15" s="108"/>
      <c r="B15" s="282"/>
      <c r="C15" s="265" t="s">
        <v>8525</v>
      </c>
    </row>
    <row r="16">
      <c r="A16" s="108"/>
      <c r="B16" s="282"/>
      <c r="C16" s="265" t="s">
        <v>8526</v>
      </c>
    </row>
    <row r="17">
      <c r="A17" s="108"/>
      <c r="B17" s="285" t="s">
        <v>8527</v>
      </c>
      <c r="C17" s="265" t="s">
        <v>8528</v>
      </c>
    </row>
    <row r="18">
      <c r="A18" s="108"/>
      <c r="B18" s="285" t="s">
        <v>8529</v>
      </c>
      <c r="C18" s="265" t="s">
        <v>8530</v>
      </c>
    </row>
    <row r="19">
      <c r="A19" s="108"/>
      <c r="B19" s="284" t="s">
        <v>8531</v>
      </c>
      <c r="C19" s="265" t="s">
        <v>8532</v>
      </c>
    </row>
    <row r="20">
      <c r="A20" s="109"/>
      <c r="B20" s="282"/>
      <c r="C20" s="265" t="s">
        <v>8533</v>
      </c>
    </row>
    <row r="21">
      <c r="A21" s="281" t="s">
        <v>8534</v>
      </c>
      <c r="B21" s="284" t="s">
        <v>8535</v>
      </c>
      <c r="C21" s="265" t="s">
        <v>8536</v>
      </c>
    </row>
    <row r="22">
      <c r="A22" s="108"/>
      <c r="B22" s="282"/>
      <c r="C22" s="265" t="s">
        <v>8537</v>
      </c>
    </row>
    <row r="23">
      <c r="A23" s="108"/>
      <c r="B23" s="284" t="s">
        <v>8538</v>
      </c>
      <c r="C23" s="265" t="s">
        <v>8539</v>
      </c>
    </row>
    <row r="24">
      <c r="A24" s="108"/>
      <c r="B24" s="282"/>
      <c r="C24" s="265" t="s">
        <v>8540</v>
      </c>
    </row>
    <row r="25">
      <c r="A25" s="108"/>
      <c r="B25" s="285" t="s">
        <v>8541</v>
      </c>
      <c r="C25" s="265" t="s">
        <v>8542</v>
      </c>
    </row>
    <row r="26">
      <c r="A26" s="108"/>
      <c r="B26" s="282"/>
      <c r="C26" s="265" t="s">
        <v>8543</v>
      </c>
    </row>
    <row r="27">
      <c r="A27" s="108"/>
      <c r="B27" s="282"/>
      <c r="C27" s="265" t="s">
        <v>8544</v>
      </c>
    </row>
    <row r="28">
      <c r="A28" s="109"/>
      <c r="B28" s="282"/>
      <c r="C28" s="265" t="s">
        <v>8545</v>
      </c>
    </row>
    <row r="29">
      <c r="A29" s="286"/>
      <c r="B29" s="284" t="s">
        <v>8546</v>
      </c>
      <c r="C29" s="265" t="s">
        <v>8547</v>
      </c>
    </row>
    <row r="30">
      <c r="A30" s="286"/>
      <c r="B30" s="284" t="s">
        <v>8548</v>
      </c>
      <c r="C30" s="265" t="s">
        <v>8549</v>
      </c>
    </row>
    <row r="31">
      <c r="A31" s="286"/>
      <c r="B31" s="282"/>
      <c r="C31" s="265" t="s">
        <v>8550</v>
      </c>
    </row>
    <row r="32">
      <c r="A32" s="286"/>
      <c r="B32" s="282"/>
      <c r="C32" s="265" t="s">
        <v>8551</v>
      </c>
    </row>
    <row r="33">
      <c r="A33" s="286"/>
      <c r="B33" s="284" t="s">
        <v>8552</v>
      </c>
      <c r="C33" s="265" t="s">
        <v>8553</v>
      </c>
    </row>
    <row r="34">
      <c r="A34" s="286"/>
      <c r="B34" s="282"/>
      <c r="C34" s="265" t="s">
        <v>8554</v>
      </c>
    </row>
    <row r="35">
      <c r="A35" s="286"/>
      <c r="B35" s="284" t="s">
        <v>8555</v>
      </c>
      <c r="C35" s="265" t="s">
        <v>8556</v>
      </c>
    </row>
    <row r="36">
      <c r="A36" s="286"/>
      <c r="B36" s="282"/>
      <c r="C36" s="265" t="s">
        <v>8557</v>
      </c>
    </row>
    <row r="37">
      <c r="A37" s="287"/>
      <c r="C37" s="288"/>
    </row>
    <row r="38">
      <c r="A38" s="287"/>
      <c r="C38" s="288"/>
    </row>
    <row r="39">
      <c r="A39" s="287"/>
      <c r="C39" s="288"/>
    </row>
    <row r="40">
      <c r="A40" s="287"/>
      <c r="C40" s="288"/>
    </row>
    <row r="41">
      <c r="A41" s="287"/>
      <c r="C41" s="288"/>
    </row>
    <row r="42">
      <c r="A42" s="287"/>
      <c r="C42" s="288"/>
    </row>
    <row r="43">
      <c r="A43" s="287"/>
      <c r="C43" s="288"/>
    </row>
    <row r="44">
      <c r="A44" s="287"/>
      <c r="C44" s="288"/>
    </row>
    <row r="45">
      <c r="A45" s="287"/>
      <c r="C45" s="288"/>
    </row>
    <row r="46">
      <c r="A46" s="287"/>
      <c r="C46" s="288"/>
    </row>
    <row r="47">
      <c r="A47" s="287"/>
      <c r="C47" s="288"/>
    </row>
    <row r="48">
      <c r="A48" s="287"/>
      <c r="C48" s="288"/>
    </row>
    <row r="49">
      <c r="A49" s="287"/>
      <c r="C49" s="288"/>
    </row>
    <row r="50">
      <c r="A50" s="287"/>
      <c r="C50" s="288"/>
    </row>
    <row r="51">
      <c r="A51" s="287"/>
      <c r="C51" s="288"/>
    </row>
    <row r="52">
      <c r="A52" s="287"/>
      <c r="C52" s="288"/>
    </row>
    <row r="53">
      <c r="A53" s="287"/>
      <c r="C53" s="288"/>
    </row>
    <row r="54">
      <c r="A54" s="287"/>
      <c r="C54" s="288"/>
    </row>
    <row r="55">
      <c r="A55" s="287"/>
      <c r="C55" s="288"/>
    </row>
    <row r="56">
      <c r="A56" s="287"/>
      <c r="C56" s="288"/>
    </row>
    <row r="57">
      <c r="A57" s="287"/>
      <c r="C57" s="288"/>
    </row>
    <row r="58">
      <c r="A58" s="287"/>
      <c r="C58" s="288"/>
    </row>
    <row r="59">
      <c r="A59" s="287"/>
      <c r="C59" s="288"/>
    </row>
    <row r="60">
      <c r="A60" s="287"/>
      <c r="C60" s="288"/>
    </row>
    <row r="61">
      <c r="A61" s="287"/>
      <c r="C61" s="288"/>
    </row>
    <row r="62">
      <c r="A62" s="287"/>
      <c r="C62" s="288"/>
    </row>
    <row r="63">
      <c r="A63" s="287"/>
      <c r="C63" s="288"/>
    </row>
    <row r="64">
      <c r="A64" s="287"/>
      <c r="C64" s="288"/>
    </row>
    <row r="65">
      <c r="A65" s="287"/>
      <c r="C65" s="288"/>
    </row>
    <row r="66">
      <c r="A66" s="287"/>
      <c r="C66" s="288"/>
    </row>
    <row r="67">
      <c r="A67" s="287"/>
      <c r="C67" s="288"/>
    </row>
    <row r="68">
      <c r="A68" s="287"/>
      <c r="C68" s="288"/>
    </row>
    <row r="69">
      <c r="A69" s="287"/>
      <c r="C69" s="288"/>
    </row>
    <row r="70">
      <c r="A70" s="287"/>
      <c r="C70" s="288"/>
    </row>
    <row r="71">
      <c r="A71" s="287"/>
      <c r="C71" s="288"/>
    </row>
    <row r="72">
      <c r="A72" s="287"/>
      <c r="C72" s="288"/>
    </row>
    <row r="73">
      <c r="A73" s="287"/>
      <c r="C73" s="288"/>
    </row>
    <row r="74">
      <c r="A74" s="287"/>
      <c r="C74" s="288"/>
    </row>
    <row r="75">
      <c r="A75" s="287"/>
      <c r="C75" s="288"/>
    </row>
    <row r="76">
      <c r="A76" s="287"/>
      <c r="C76" s="288"/>
    </row>
    <row r="77">
      <c r="A77" s="287"/>
      <c r="C77" s="288"/>
    </row>
    <row r="78">
      <c r="A78" s="287"/>
      <c r="C78" s="288"/>
    </row>
    <row r="79">
      <c r="A79" s="287"/>
      <c r="C79" s="288"/>
    </row>
    <row r="80">
      <c r="A80" s="287"/>
      <c r="C80" s="288"/>
    </row>
    <row r="81">
      <c r="A81" s="287"/>
      <c r="C81" s="288"/>
    </row>
    <row r="82">
      <c r="A82" s="287"/>
      <c r="C82" s="288"/>
    </row>
    <row r="83">
      <c r="A83" s="287"/>
      <c r="C83" s="288"/>
    </row>
    <row r="84">
      <c r="A84" s="287"/>
      <c r="C84" s="288"/>
    </row>
    <row r="85">
      <c r="A85" s="287"/>
      <c r="C85" s="288"/>
    </row>
    <row r="86">
      <c r="A86" s="287"/>
      <c r="C86" s="288"/>
    </row>
    <row r="87">
      <c r="A87" s="287"/>
      <c r="C87" s="288"/>
    </row>
    <row r="88">
      <c r="A88" s="287"/>
      <c r="C88" s="288"/>
    </row>
    <row r="89">
      <c r="A89" s="287"/>
      <c r="C89" s="288"/>
    </row>
    <row r="90">
      <c r="A90" s="287"/>
      <c r="C90" s="288"/>
    </row>
    <row r="91">
      <c r="A91" s="287"/>
      <c r="C91" s="288"/>
    </row>
    <row r="92">
      <c r="A92" s="287"/>
      <c r="C92" s="288"/>
    </row>
    <row r="93">
      <c r="A93" s="287"/>
      <c r="C93" s="288"/>
    </row>
    <row r="94">
      <c r="A94" s="287"/>
      <c r="C94" s="288"/>
    </row>
    <row r="95">
      <c r="A95" s="287"/>
      <c r="C95" s="288"/>
    </row>
    <row r="96">
      <c r="A96" s="287"/>
      <c r="C96" s="288"/>
    </row>
    <row r="97">
      <c r="A97" s="287"/>
      <c r="C97" s="288"/>
    </row>
    <row r="98">
      <c r="A98" s="287"/>
      <c r="C98" s="288"/>
    </row>
    <row r="99">
      <c r="A99" s="287"/>
      <c r="C99" s="288"/>
    </row>
    <row r="100">
      <c r="A100" s="287"/>
      <c r="C100" s="288"/>
    </row>
    <row r="101">
      <c r="A101" s="287"/>
      <c r="C101" s="288"/>
    </row>
    <row r="102">
      <c r="A102" s="287"/>
      <c r="C102" s="288"/>
    </row>
    <row r="103">
      <c r="A103" s="287"/>
      <c r="C103" s="288"/>
    </row>
    <row r="104">
      <c r="A104" s="287"/>
      <c r="C104" s="288"/>
    </row>
    <row r="105">
      <c r="A105" s="287"/>
      <c r="C105" s="288"/>
    </row>
    <row r="106">
      <c r="A106" s="287"/>
      <c r="C106" s="288"/>
    </row>
    <row r="107">
      <c r="A107" s="287"/>
      <c r="C107" s="288"/>
    </row>
    <row r="108">
      <c r="A108" s="287"/>
      <c r="C108" s="288"/>
    </row>
    <row r="109">
      <c r="A109" s="287"/>
      <c r="C109" s="288"/>
    </row>
    <row r="110">
      <c r="A110" s="287"/>
      <c r="C110" s="288"/>
    </row>
    <row r="111">
      <c r="A111" s="287"/>
      <c r="C111" s="288"/>
    </row>
    <row r="112">
      <c r="A112" s="287"/>
      <c r="C112" s="288"/>
    </row>
    <row r="113">
      <c r="A113" s="287"/>
      <c r="C113" s="288"/>
    </row>
    <row r="114">
      <c r="A114" s="287"/>
      <c r="C114" s="288"/>
    </row>
    <row r="115">
      <c r="A115" s="287"/>
      <c r="C115" s="288"/>
    </row>
    <row r="116">
      <c r="A116" s="287"/>
      <c r="C116" s="288"/>
    </row>
    <row r="117">
      <c r="A117" s="287"/>
      <c r="C117" s="288"/>
    </row>
    <row r="118">
      <c r="A118" s="287"/>
      <c r="C118" s="288"/>
    </row>
    <row r="119">
      <c r="A119" s="287"/>
      <c r="C119" s="288"/>
    </row>
    <row r="120">
      <c r="A120" s="287"/>
      <c r="C120" s="288"/>
    </row>
    <row r="121">
      <c r="A121" s="287"/>
      <c r="C121" s="288"/>
    </row>
    <row r="122">
      <c r="A122" s="287"/>
      <c r="C122" s="288"/>
    </row>
    <row r="123">
      <c r="A123" s="287"/>
      <c r="C123" s="288"/>
    </row>
    <row r="124">
      <c r="A124" s="287"/>
      <c r="C124" s="288"/>
    </row>
    <row r="125">
      <c r="A125" s="287"/>
      <c r="C125" s="288"/>
    </row>
    <row r="126">
      <c r="A126" s="287"/>
      <c r="C126" s="288"/>
    </row>
    <row r="127">
      <c r="A127" s="287"/>
      <c r="C127" s="288"/>
    </row>
    <row r="128">
      <c r="A128" s="287"/>
      <c r="C128" s="288"/>
    </row>
    <row r="129">
      <c r="A129" s="287"/>
      <c r="C129" s="288"/>
    </row>
    <row r="130">
      <c r="A130" s="287"/>
      <c r="C130" s="288"/>
    </row>
    <row r="131">
      <c r="A131" s="287"/>
      <c r="C131" s="288"/>
    </row>
    <row r="132">
      <c r="A132" s="287"/>
      <c r="C132" s="288"/>
    </row>
    <row r="133">
      <c r="A133" s="287"/>
      <c r="C133" s="288"/>
    </row>
    <row r="134">
      <c r="A134" s="287"/>
      <c r="C134" s="288"/>
    </row>
    <row r="135">
      <c r="A135" s="287"/>
      <c r="C135" s="288"/>
    </row>
    <row r="136">
      <c r="A136" s="287"/>
      <c r="C136" s="288"/>
    </row>
    <row r="137">
      <c r="A137" s="287"/>
      <c r="C137" s="288"/>
    </row>
    <row r="138">
      <c r="A138" s="287"/>
      <c r="C138" s="288"/>
    </row>
    <row r="139">
      <c r="A139" s="287"/>
      <c r="C139" s="288"/>
    </row>
    <row r="140">
      <c r="A140" s="287"/>
      <c r="C140" s="288"/>
    </row>
    <row r="141">
      <c r="A141" s="287"/>
      <c r="C141" s="288"/>
    </row>
    <row r="142">
      <c r="A142" s="287"/>
      <c r="C142" s="288"/>
    </row>
    <row r="143">
      <c r="A143" s="287"/>
      <c r="C143" s="288"/>
    </row>
    <row r="144">
      <c r="A144" s="287"/>
      <c r="C144" s="288"/>
    </row>
    <row r="145">
      <c r="A145" s="287"/>
      <c r="C145" s="288"/>
    </row>
    <row r="146">
      <c r="A146" s="287"/>
      <c r="C146" s="288"/>
    </row>
    <row r="147">
      <c r="A147" s="287"/>
      <c r="C147" s="288"/>
    </row>
    <row r="148">
      <c r="A148" s="287"/>
      <c r="C148" s="288"/>
    </row>
    <row r="149">
      <c r="A149" s="287"/>
      <c r="C149" s="288"/>
    </row>
    <row r="150">
      <c r="A150" s="287"/>
      <c r="C150" s="288"/>
    </row>
    <row r="151">
      <c r="A151" s="287"/>
      <c r="C151" s="288"/>
    </row>
    <row r="152">
      <c r="A152" s="287"/>
      <c r="C152" s="288"/>
    </row>
    <row r="153">
      <c r="A153" s="287"/>
      <c r="C153" s="288"/>
    </row>
    <row r="154">
      <c r="A154" s="287"/>
      <c r="C154" s="288"/>
    </row>
    <row r="155">
      <c r="A155" s="287"/>
      <c r="C155" s="288"/>
    </row>
    <row r="156">
      <c r="A156" s="287"/>
      <c r="C156" s="288"/>
    </row>
    <row r="157">
      <c r="A157" s="287"/>
      <c r="C157" s="288"/>
    </row>
    <row r="158">
      <c r="A158" s="287"/>
      <c r="C158" s="288"/>
    </row>
    <row r="159">
      <c r="A159" s="287"/>
      <c r="C159" s="288"/>
    </row>
    <row r="160">
      <c r="A160" s="287"/>
      <c r="C160" s="288"/>
    </row>
    <row r="161">
      <c r="A161" s="287"/>
      <c r="C161" s="288"/>
    </row>
    <row r="162">
      <c r="A162" s="287"/>
      <c r="C162" s="288"/>
    </row>
    <row r="163">
      <c r="A163" s="287"/>
      <c r="C163" s="288"/>
    </row>
    <row r="164">
      <c r="A164" s="287"/>
      <c r="C164" s="288"/>
    </row>
    <row r="165">
      <c r="A165" s="287"/>
      <c r="C165" s="288"/>
    </row>
    <row r="166">
      <c r="A166" s="287"/>
      <c r="C166" s="288"/>
    </row>
    <row r="167">
      <c r="A167" s="287"/>
      <c r="C167" s="288"/>
    </row>
    <row r="168">
      <c r="A168" s="287"/>
      <c r="C168" s="288"/>
    </row>
    <row r="169">
      <c r="A169" s="287"/>
      <c r="C169" s="288"/>
    </row>
    <row r="170">
      <c r="A170" s="287"/>
      <c r="C170" s="288"/>
    </row>
    <row r="171">
      <c r="A171" s="287"/>
      <c r="C171" s="288"/>
    </row>
    <row r="172">
      <c r="A172" s="287"/>
      <c r="C172" s="288"/>
    </row>
    <row r="173">
      <c r="A173" s="287"/>
      <c r="C173" s="288"/>
    </row>
    <row r="174">
      <c r="A174" s="287"/>
      <c r="C174" s="288"/>
    </row>
    <row r="175">
      <c r="A175" s="287"/>
      <c r="C175" s="288"/>
    </row>
    <row r="176">
      <c r="A176" s="287"/>
      <c r="C176" s="288"/>
    </row>
    <row r="177">
      <c r="A177" s="287"/>
      <c r="C177" s="288"/>
    </row>
    <row r="178">
      <c r="A178" s="287"/>
      <c r="C178" s="288"/>
    </row>
    <row r="179">
      <c r="A179" s="287"/>
      <c r="C179" s="288"/>
    </row>
    <row r="180">
      <c r="A180" s="287"/>
      <c r="C180" s="288"/>
    </row>
    <row r="181">
      <c r="A181" s="287"/>
      <c r="C181" s="288"/>
    </row>
    <row r="182">
      <c r="A182" s="287"/>
      <c r="C182" s="288"/>
    </row>
    <row r="183">
      <c r="A183" s="287"/>
      <c r="C183" s="288"/>
    </row>
    <row r="184">
      <c r="A184" s="287"/>
      <c r="C184" s="288"/>
    </row>
    <row r="185">
      <c r="A185" s="287"/>
      <c r="C185" s="288"/>
    </row>
    <row r="186">
      <c r="A186" s="287"/>
      <c r="C186" s="288"/>
    </row>
    <row r="187">
      <c r="A187" s="287"/>
      <c r="C187" s="288"/>
    </row>
    <row r="188">
      <c r="A188" s="287"/>
      <c r="C188" s="288"/>
    </row>
    <row r="189">
      <c r="A189" s="287"/>
      <c r="C189" s="288"/>
    </row>
    <row r="190">
      <c r="A190" s="287"/>
      <c r="C190" s="288"/>
    </row>
    <row r="191">
      <c r="A191" s="287"/>
      <c r="C191" s="288"/>
    </row>
    <row r="192">
      <c r="A192" s="287"/>
      <c r="C192" s="288"/>
    </row>
    <row r="193">
      <c r="A193" s="287"/>
      <c r="C193" s="288"/>
    </row>
    <row r="194">
      <c r="A194" s="287"/>
      <c r="C194" s="288"/>
    </row>
    <row r="195">
      <c r="A195" s="287"/>
      <c r="C195" s="288"/>
    </row>
    <row r="196">
      <c r="A196" s="287"/>
      <c r="C196" s="288"/>
    </row>
    <row r="197">
      <c r="A197" s="287"/>
      <c r="C197" s="288"/>
    </row>
    <row r="198">
      <c r="A198" s="287"/>
      <c r="C198" s="288"/>
    </row>
    <row r="199">
      <c r="A199" s="287"/>
      <c r="C199" s="288"/>
    </row>
    <row r="200">
      <c r="A200" s="287"/>
      <c r="C200" s="288"/>
    </row>
    <row r="201">
      <c r="A201" s="287"/>
      <c r="C201" s="288"/>
    </row>
    <row r="202">
      <c r="A202" s="287"/>
      <c r="C202" s="288"/>
    </row>
    <row r="203">
      <c r="A203" s="287"/>
      <c r="C203" s="288"/>
    </row>
    <row r="204">
      <c r="A204" s="287"/>
      <c r="C204" s="288"/>
    </row>
    <row r="205">
      <c r="A205" s="287"/>
      <c r="C205" s="288"/>
    </row>
    <row r="206">
      <c r="A206" s="287"/>
      <c r="C206" s="288"/>
    </row>
    <row r="207">
      <c r="A207" s="287"/>
      <c r="C207" s="288"/>
    </row>
    <row r="208">
      <c r="A208" s="287"/>
      <c r="C208" s="288"/>
    </row>
    <row r="209">
      <c r="A209" s="287"/>
      <c r="C209" s="288"/>
    </row>
    <row r="210">
      <c r="A210" s="287"/>
      <c r="C210" s="288"/>
    </row>
    <row r="211">
      <c r="A211" s="287"/>
      <c r="C211" s="288"/>
    </row>
    <row r="212">
      <c r="A212" s="287"/>
      <c r="C212" s="288"/>
    </row>
    <row r="213">
      <c r="A213" s="287"/>
      <c r="C213" s="288"/>
    </row>
    <row r="214">
      <c r="A214" s="287"/>
      <c r="C214" s="288"/>
    </row>
    <row r="215">
      <c r="A215" s="287"/>
      <c r="C215" s="288"/>
    </row>
    <row r="216">
      <c r="A216" s="287"/>
      <c r="C216" s="288"/>
    </row>
    <row r="217">
      <c r="A217" s="287"/>
      <c r="C217" s="288"/>
    </row>
    <row r="218">
      <c r="A218" s="287"/>
      <c r="C218" s="288"/>
    </row>
    <row r="219">
      <c r="A219" s="287"/>
      <c r="C219" s="288"/>
    </row>
    <row r="220">
      <c r="A220" s="287"/>
      <c r="C220" s="288"/>
    </row>
    <row r="221">
      <c r="A221" s="287"/>
      <c r="C221" s="288"/>
    </row>
    <row r="222">
      <c r="A222" s="287"/>
      <c r="C222" s="288"/>
    </row>
    <row r="223">
      <c r="A223" s="287"/>
      <c r="C223" s="288"/>
    </row>
    <row r="224">
      <c r="A224" s="287"/>
      <c r="C224" s="288"/>
    </row>
    <row r="225">
      <c r="A225" s="287"/>
      <c r="C225" s="288"/>
    </row>
    <row r="226">
      <c r="A226" s="287"/>
      <c r="C226" s="288"/>
    </row>
    <row r="227">
      <c r="A227" s="287"/>
      <c r="C227" s="288"/>
    </row>
    <row r="228">
      <c r="A228" s="287"/>
      <c r="C228" s="288"/>
    </row>
    <row r="229">
      <c r="A229" s="287"/>
      <c r="C229" s="288"/>
    </row>
    <row r="230">
      <c r="A230" s="287"/>
      <c r="C230" s="288"/>
    </row>
    <row r="231">
      <c r="A231" s="287"/>
      <c r="C231" s="288"/>
    </row>
    <row r="232">
      <c r="A232" s="287"/>
      <c r="C232" s="288"/>
    </row>
    <row r="233">
      <c r="A233" s="287"/>
      <c r="C233" s="288"/>
    </row>
    <row r="234">
      <c r="A234" s="287"/>
      <c r="C234" s="288"/>
    </row>
    <row r="235">
      <c r="A235" s="287"/>
      <c r="C235" s="288"/>
    </row>
    <row r="236">
      <c r="A236" s="287"/>
      <c r="C236" s="288"/>
    </row>
    <row r="237">
      <c r="A237" s="287"/>
      <c r="C237" s="288"/>
    </row>
    <row r="238">
      <c r="A238" s="287"/>
      <c r="C238" s="288"/>
    </row>
    <row r="239">
      <c r="A239" s="287"/>
      <c r="C239" s="288"/>
    </row>
    <row r="240">
      <c r="A240" s="287"/>
      <c r="C240" s="288"/>
    </row>
    <row r="241">
      <c r="A241" s="287"/>
      <c r="C241" s="288"/>
    </row>
    <row r="242">
      <c r="A242" s="287"/>
      <c r="C242" s="288"/>
    </row>
    <row r="243">
      <c r="A243" s="287"/>
      <c r="C243" s="288"/>
    </row>
    <row r="244">
      <c r="A244" s="287"/>
      <c r="C244" s="288"/>
    </row>
    <row r="245">
      <c r="A245" s="287"/>
      <c r="C245" s="288"/>
    </row>
    <row r="246">
      <c r="A246" s="287"/>
      <c r="C246" s="288"/>
    </row>
    <row r="247">
      <c r="A247" s="287"/>
      <c r="C247" s="288"/>
    </row>
    <row r="248">
      <c r="A248" s="287"/>
      <c r="C248" s="288"/>
    </row>
    <row r="249">
      <c r="A249" s="287"/>
      <c r="C249" s="288"/>
    </row>
    <row r="250">
      <c r="A250" s="287"/>
      <c r="C250" s="288"/>
    </row>
    <row r="251">
      <c r="A251" s="287"/>
      <c r="C251" s="288"/>
    </row>
    <row r="252">
      <c r="A252" s="287"/>
      <c r="C252" s="288"/>
    </row>
    <row r="253">
      <c r="A253" s="287"/>
      <c r="C253" s="288"/>
    </row>
    <row r="254">
      <c r="A254" s="287"/>
      <c r="C254" s="288"/>
    </row>
    <row r="255">
      <c r="A255" s="287"/>
      <c r="C255" s="288"/>
    </row>
    <row r="256">
      <c r="A256" s="287"/>
      <c r="C256" s="288"/>
    </row>
    <row r="257">
      <c r="A257" s="287"/>
      <c r="C257" s="288"/>
    </row>
    <row r="258">
      <c r="A258" s="287"/>
      <c r="C258" s="288"/>
    </row>
    <row r="259">
      <c r="A259" s="287"/>
      <c r="C259" s="288"/>
    </row>
    <row r="260">
      <c r="A260" s="287"/>
      <c r="C260" s="288"/>
    </row>
    <row r="261">
      <c r="A261" s="287"/>
      <c r="C261" s="288"/>
    </row>
    <row r="262">
      <c r="A262" s="287"/>
      <c r="C262" s="288"/>
    </row>
    <row r="263">
      <c r="A263" s="287"/>
      <c r="C263" s="288"/>
    </row>
    <row r="264">
      <c r="A264" s="287"/>
      <c r="C264" s="288"/>
    </row>
    <row r="265">
      <c r="A265" s="287"/>
      <c r="C265" s="288"/>
    </row>
    <row r="266">
      <c r="A266" s="287"/>
      <c r="C266" s="288"/>
    </row>
    <row r="267">
      <c r="A267" s="287"/>
      <c r="C267" s="288"/>
    </row>
    <row r="268">
      <c r="A268" s="287"/>
      <c r="C268" s="288"/>
    </row>
    <row r="269">
      <c r="A269" s="287"/>
      <c r="C269" s="288"/>
    </row>
    <row r="270">
      <c r="A270" s="287"/>
      <c r="C270" s="288"/>
    </row>
    <row r="271">
      <c r="A271" s="287"/>
      <c r="C271" s="288"/>
    </row>
    <row r="272">
      <c r="A272" s="287"/>
      <c r="C272" s="288"/>
    </row>
    <row r="273">
      <c r="A273" s="287"/>
      <c r="C273" s="288"/>
    </row>
    <row r="274">
      <c r="A274" s="287"/>
      <c r="C274" s="288"/>
    </row>
    <row r="275">
      <c r="A275" s="287"/>
      <c r="C275" s="288"/>
    </row>
    <row r="276">
      <c r="A276" s="287"/>
      <c r="C276" s="288"/>
    </row>
    <row r="277">
      <c r="A277" s="287"/>
      <c r="C277" s="288"/>
    </row>
    <row r="278">
      <c r="A278" s="287"/>
      <c r="C278" s="288"/>
    </row>
    <row r="279">
      <c r="A279" s="287"/>
      <c r="C279" s="288"/>
    </row>
    <row r="280">
      <c r="A280" s="287"/>
      <c r="C280" s="288"/>
    </row>
    <row r="281">
      <c r="A281" s="287"/>
      <c r="C281" s="288"/>
    </row>
    <row r="282">
      <c r="A282" s="287"/>
      <c r="C282" s="288"/>
    </row>
    <row r="283">
      <c r="A283" s="287"/>
      <c r="C283" s="288"/>
    </row>
    <row r="284">
      <c r="A284" s="287"/>
      <c r="C284" s="288"/>
    </row>
    <row r="285">
      <c r="A285" s="287"/>
      <c r="C285" s="288"/>
    </row>
    <row r="286">
      <c r="A286" s="287"/>
      <c r="C286" s="288"/>
    </row>
    <row r="287">
      <c r="A287" s="287"/>
      <c r="C287" s="288"/>
    </row>
    <row r="288">
      <c r="A288" s="287"/>
      <c r="C288" s="288"/>
    </row>
    <row r="289">
      <c r="A289" s="287"/>
      <c r="C289" s="288"/>
    </row>
    <row r="290">
      <c r="A290" s="287"/>
      <c r="C290" s="288"/>
    </row>
    <row r="291">
      <c r="A291" s="287"/>
      <c r="C291" s="288"/>
    </row>
    <row r="292">
      <c r="A292" s="287"/>
      <c r="C292" s="288"/>
    </row>
    <row r="293">
      <c r="A293" s="287"/>
      <c r="C293" s="288"/>
    </row>
    <row r="294">
      <c r="A294" s="287"/>
      <c r="C294" s="288"/>
    </row>
    <row r="295">
      <c r="A295" s="287"/>
      <c r="C295" s="288"/>
    </row>
    <row r="296">
      <c r="A296" s="287"/>
      <c r="C296" s="288"/>
    </row>
    <row r="297">
      <c r="A297" s="287"/>
      <c r="C297" s="288"/>
    </row>
    <row r="298">
      <c r="A298" s="287"/>
      <c r="C298" s="288"/>
    </row>
    <row r="299">
      <c r="A299" s="287"/>
      <c r="C299" s="288"/>
    </row>
    <row r="300">
      <c r="A300" s="287"/>
      <c r="C300" s="288"/>
    </row>
    <row r="301">
      <c r="A301" s="287"/>
      <c r="C301" s="288"/>
    </row>
    <row r="302">
      <c r="A302" s="287"/>
      <c r="C302" s="288"/>
    </row>
    <row r="303">
      <c r="A303" s="287"/>
      <c r="C303" s="288"/>
    </row>
    <row r="304">
      <c r="A304" s="287"/>
      <c r="C304" s="288"/>
    </row>
    <row r="305">
      <c r="A305" s="287"/>
      <c r="C305" s="288"/>
    </row>
    <row r="306">
      <c r="A306" s="287"/>
      <c r="C306" s="288"/>
    </row>
    <row r="307">
      <c r="A307" s="287"/>
      <c r="C307" s="288"/>
    </row>
    <row r="308">
      <c r="A308" s="287"/>
      <c r="C308" s="288"/>
    </row>
    <row r="309">
      <c r="A309" s="287"/>
      <c r="C309" s="288"/>
    </row>
    <row r="310">
      <c r="A310" s="287"/>
      <c r="C310" s="288"/>
    </row>
    <row r="311">
      <c r="A311" s="287"/>
      <c r="C311" s="288"/>
    </row>
    <row r="312">
      <c r="A312" s="287"/>
      <c r="C312" s="288"/>
    </row>
    <row r="313">
      <c r="A313" s="287"/>
      <c r="C313" s="288"/>
    </row>
    <row r="314">
      <c r="A314" s="287"/>
      <c r="C314" s="288"/>
    </row>
    <row r="315">
      <c r="A315" s="287"/>
      <c r="C315" s="288"/>
    </row>
    <row r="316">
      <c r="A316" s="287"/>
      <c r="C316" s="288"/>
    </row>
    <row r="317">
      <c r="A317" s="287"/>
      <c r="C317" s="288"/>
    </row>
    <row r="318">
      <c r="A318" s="287"/>
      <c r="C318" s="288"/>
    </row>
    <row r="319">
      <c r="A319" s="287"/>
      <c r="C319" s="288"/>
    </row>
    <row r="320">
      <c r="A320" s="287"/>
      <c r="C320" s="288"/>
    </row>
    <row r="321">
      <c r="A321" s="287"/>
      <c r="C321" s="288"/>
    </row>
    <row r="322">
      <c r="A322" s="287"/>
      <c r="C322" s="288"/>
    </row>
    <row r="323">
      <c r="A323" s="287"/>
      <c r="C323" s="288"/>
    </row>
    <row r="324">
      <c r="A324" s="287"/>
      <c r="C324" s="288"/>
    </row>
    <row r="325">
      <c r="A325" s="287"/>
      <c r="C325" s="288"/>
    </row>
    <row r="326">
      <c r="A326" s="287"/>
      <c r="C326" s="288"/>
    </row>
    <row r="327">
      <c r="A327" s="287"/>
      <c r="C327" s="288"/>
    </row>
    <row r="328">
      <c r="A328" s="287"/>
      <c r="C328" s="288"/>
    </row>
    <row r="329">
      <c r="A329" s="287"/>
      <c r="C329" s="288"/>
    </row>
    <row r="330">
      <c r="A330" s="287"/>
      <c r="C330" s="288"/>
    </row>
    <row r="331">
      <c r="A331" s="287"/>
      <c r="C331" s="288"/>
    </row>
    <row r="332">
      <c r="A332" s="287"/>
      <c r="C332" s="288"/>
    </row>
    <row r="333">
      <c r="A333" s="287"/>
      <c r="C333" s="288"/>
    </row>
    <row r="334">
      <c r="A334" s="287"/>
      <c r="C334" s="288"/>
    </row>
    <row r="335">
      <c r="A335" s="287"/>
      <c r="C335" s="288"/>
    </row>
    <row r="336">
      <c r="A336" s="287"/>
      <c r="C336" s="288"/>
    </row>
    <row r="337">
      <c r="A337" s="287"/>
      <c r="C337" s="288"/>
    </row>
    <row r="338">
      <c r="A338" s="287"/>
      <c r="C338" s="288"/>
    </row>
    <row r="339">
      <c r="A339" s="287"/>
      <c r="C339" s="288"/>
    </row>
    <row r="340">
      <c r="A340" s="287"/>
      <c r="C340" s="288"/>
    </row>
    <row r="341">
      <c r="A341" s="287"/>
      <c r="C341" s="288"/>
    </row>
    <row r="342">
      <c r="A342" s="287"/>
      <c r="C342" s="288"/>
    </row>
    <row r="343">
      <c r="A343" s="287"/>
      <c r="C343" s="288"/>
    </row>
    <row r="344">
      <c r="A344" s="287"/>
      <c r="C344" s="288"/>
    </row>
    <row r="345">
      <c r="A345" s="287"/>
      <c r="C345" s="288"/>
    </row>
    <row r="346">
      <c r="A346" s="287"/>
      <c r="C346" s="288"/>
    </row>
    <row r="347">
      <c r="A347" s="287"/>
      <c r="C347" s="288"/>
    </row>
    <row r="348">
      <c r="A348" s="287"/>
      <c r="C348" s="288"/>
    </row>
    <row r="349">
      <c r="A349" s="287"/>
      <c r="C349" s="288"/>
    </row>
    <row r="350">
      <c r="A350" s="287"/>
      <c r="C350" s="288"/>
    </row>
    <row r="351">
      <c r="A351" s="287"/>
      <c r="C351" s="288"/>
    </row>
    <row r="352">
      <c r="A352" s="287"/>
      <c r="C352" s="288"/>
    </row>
    <row r="353">
      <c r="A353" s="287"/>
      <c r="C353" s="288"/>
    </row>
    <row r="354">
      <c r="A354" s="287"/>
      <c r="C354" s="288"/>
    </row>
    <row r="355">
      <c r="A355" s="287"/>
      <c r="C355" s="288"/>
    </row>
    <row r="356">
      <c r="A356" s="287"/>
      <c r="C356" s="288"/>
    </row>
    <row r="357">
      <c r="A357" s="287"/>
      <c r="C357" s="288"/>
    </row>
    <row r="358">
      <c r="A358" s="287"/>
      <c r="C358" s="288"/>
    </row>
    <row r="359">
      <c r="A359" s="287"/>
      <c r="C359" s="288"/>
    </row>
    <row r="360">
      <c r="A360" s="287"/>
      <c r="C360" s="288"/>
    </row>
    <row r="361">
      <c r="A361" s="287"/>
      <c r="C361" s="288"/>
    </row>
    <row r="362">
      <c r="A362" s="287"/>
      <c r="C362" s="288"/>
    </row>
    <row r="363">
      <c r="A363" s="287"/>
      <c r="C363" s="288"/>
    </row>
    <row r="364">
      <c r="A364" s="287"/>
      <c r="C364" s="288"/>
    </row>
    <row r="365">
      <c r="A365" s="287"/>
      <c r="C365" s="288"/>
    </row>
    <row r="366">
      <c r="A366" s="287"/>
      <c r="C366" s="288"/>
    </row>
    <row r="367">
      <c r="A367" s="287"/>
      <c r="C367" s="288"/>
    </row>
    <row r="368">
      <c r="A368" s="287"/>
      <c r="C368" s="288"/>
    </row>
    <row r="369">
      <c r="A369" s="287"/>
      <c r="C369" s="288"/>
    </row>
    <row r="370">
      <c r="A370" s="287"/>
      <c r="C370" s="288"/>
    </row>
    <row r="371">
      <c r="A371" s="287"/>
      <c r="C371" s="288"/>
    </row>
    <row r="372">
      <c r="A372" s="287"/>
      <c r="C372" s="288"/>
    </row>
    <row r="373">
      <c r="A373" s="287"/>
      <c r="C373" s="288"/>
    </row>
    <row r="374">
      <c r="A374" s="287"/>
      <c r="C374" s="288"/>
    </row>
    <row r="375">
      <c r="A375" s="287"/>
      <c r="C375" s="288"/>
    </row>
    <row r="376">
      <c r="A376" s="287"/>
      <c r="C376" s="288"/>
    </row>
    <row r="377">
      <c r="A377" s="287"/>
      <c r="C377" s="288"/>
    </row>
    <row r="378">
      <c r="A378" s="287"/>
      <c r="C378" s="288"/>
    </row>
    <row r="379">
      <c r="A379" s="287"/>
      <c r="C379" s="288"/>
    </row>
    <row r="380">
      <c r="A380" s="287"/>
      <c r="C380" s="288"/>
    </row>
    <row r="381">
      <c r="A381" s="287"/>
      <c r="C381" s="288"/>
    </row>
    <row r="382">
      <c r="A382" s="287"/>
      <c r="C382" s="288"/>
    </row>
    <row r="383">
      <c r="A383" s="287"/>
      <c r="C383" s="288"/>
    </row>
    <row r="384">
      <c r="A384" s="287"/>
      <c r="C384" s="288"/>
    </row>
    <row r="385">
      <c r="A385" s="287"/>
      <c r="C385" s="288"/>
    </row>
    <row r="386">
      <c r="A386" s="287"/>
      <c r="C386" s="288"/>
    </row>
    <row r="387">
      <c r="A387" s="287"/>
      <c r="C387" s="288"/>
    </row>
    <row r="388">
      <c r="A388" s="287"/>
      <c r="C388" s="288"/>
    </row>
    <row r="389">
      <c r="A389" s="287"/>
      <c r="C389" s="288"/>
    </row>
    <row r="390">
      <c r="A390" s="287"/>
      <c r="C390" s="288"/>
    </row>
    <row r="391">
      <c r="A391" s="287"/>
      <c r="C391" s="288"/>
    </row>
    <row r="392">
      <c r="A392" s="287"/>
      <c r="C392" s="288"/>
    </row>
    <row r="393">
      <c r="A393" s="287"/>
      <c r="C393" s="288"/>
    </row>
    <row r="394">
      <c r="A394" s="287"/>
      <c r="C394" s="288"/>
    </row>
    <row r="395">
      <c r="A395" s="287"/>
      <c r="C395" s="288"/>
    </row>
    <row r="396">
      <c r="A396" s="287"/>
      <c r="C396" s="288"/>
    </row>
    <row r="397">
      <c r="A397" s="287"/>
      <c r="C397" s="288"/>
    </row>
    <row r="398">
      <c r="A398" s="287"/>
      <c r="C398" s="288"/>
    </row>
    <row r="399">
      <c r="A399" s="287"/>
      <c r="C399" s="288"/>
    </row>
    <row r="400">
      <c r="A400" s="287"/>
      <c r="C400" s="288"/>
    </row>
    <row r="401">
      <c r="A401" s="287"/>
      <c r="C401" s="288"/>
    </row>
    <row r="402">
      <c r="A402" s="287"/>
      <c r="C402" s="288"/>
    </row>
    <row r="403">
      <c r="A403" s="287"/>
      <c r="C403" s="288"/>
    </row>
    <row r="404">
      <c r="A404" s="287"/>
      <c r="C404" s="288"/>
    </row>
    <row r="405">
      <c r="A405" s="287"/>
      <c r="C405" s="288"/>
    </row>
    <row r="406">
      <c r="A406" s="287"/>
      <c r="C406" s="288"/>
    </row>
    <row r="407">
      <c r="A407" s="287"/>
      <c r="C407" s="288"/>
    </row>
    <row r="408">
      <c r="A408" s="287"/>
      <c r="C408" s="288"/>
    </row>
    <row r="409">
      <c r="A409" s="287"/>
      <c r="C409" s="288"/>
    </row>
    <row r="410">
      <c r="A410" s="287"/>
      <c r="C410" s="288"/>
    </row>
    <row r="411">
      <c r="A411" s="287"/>
      <c r="C411" s="288"/>
    </row>
    <row r="412">
      <c r="A412" s="287"/>
      <c r="C412" s="288"/>
    </row>
    <row r="413">
      <c r="A413" s="287"/>
      <c r="C413" s="288"/>
    </row>
    <row r="414">
      <c r="A414" s="287"/>
      <c r="C414" s="288"/>
    </row>
    <row r="415">
      <c r="A415" s="287"/>
      <c r="C415" s="288"/>
    </row>
    <row r="416">
      <c r="A416" s="287"/>
      <c r="C416" s="288"/>
    </row>
    <row r="417">
      <c r="A417" s="287"/>
      <c r="C417" s="288"/>
    </row>
    <row r="418">
      <c r="A418" s="287"/>
      <c r="C418" s="288"/>
    </row>
    <row r="419">
      <c r="A419" s="287"/>
      <c r="C419" s="288"/>
    </row>
    <row r="420">
      <c r="A420" s="287"/>
      <c r="C420" s="288"/>
    </row>
    <row r="421">
      <c r="A421" s="287"/>
      <c r="C421" s="288"/>
    </row>
    <row r="422">
      <c r="A422" s="287"/>
      <c r="C422" s="288"/>
    </row>
    <row r="423">
      <c r="A423" s="287"/>
      <c r="C423" s="288"/>
    </row>
    <row r="424">
      <c r="A424" s="287"/>
      <c r="C424" s="288"/>
    </row>
    <row r="425">
      <c r="A425" s="287"/>
      <c r="C425" s="288"/>
    </row>
    <row r="426">
      <c r="A426" s="287"/>
      <c r="C426" s="288"/>
    </row>
    <row r="427">
      <c r="A427" s="287"/>
      <c r="C427" s="288"/>
    </row>
    <row r="428">
      <c r="A428" s="287"/>
      <c r="C428" s="288"/>
    </row>
    <row r="429">
      <c r="A429" s="287"/>
      <c r="C429" s="288"/>
    </row>
    <row r="430">
      <c r="A430" s="287"/>
      <c r="C430" s="288"/>
    </row>
    <row r="431">
      <c r="A431" s="287"/>
      <c r="C431" s="288"/>
    </row>
    <row r="432">
      <c r="A432" s="287"/>
      <c r="C432" s="288"/>
    </row>
    <row r="433">
      <c r="A433" s="287"/>
      <c r="C433" s="288"/>
    </row>
    <row r="434">
      <c r="A434" s="287"/>
      <c r="C434" s="288"/>
    </row>
    <row r="435">
      <c r="A435" s="287"/>
      <c r="C435" s="288"/>
    </row>
    <row r="436">
      <c r="A436" s="287"/>
      <c r="C436" s="288"/>
    </row>
    <row r="437">
      <c r="A437" s="287"/>
      <c r="C437" s="288"/>
    </row>
    <row r="438">
      <c r="A438" s="287"/>
      <c r="C438" s="288"/>
    </row>
    <row r="439">
      <c r="A439" s="287"/>
      <c r="C439" s="288"/>
    </row>
    <row r="440">
      <c r="A440" s="287"/>
      <c r="C440" s="288"/>
    </row>
    <row r="441">
      <c r="A441" s="287"/>
      <c r="C441" s="288"/>
    </row>
    <row r="442">
      <c r="A442" s="287"/>
      <c r="C442" s="288"/>
    </row>
    <row r="443">
      <c r="A443" s="287"/>
      <c r="C443" s="288"/>
    </row>
    <row r="444">
      <c r="A444" s="287"/>
      <c r="C444" s="288"/>
    </row>
    <row r="445">
      <c r="A445" s="287"/>
      <c r="C445" s="288"/>
    </row>
    <row r="446">
      <c r="A446" s="287"/>
      <c r="C446" s="288"/>
    </row>
    <row r="447">
      <c r="A447" s="287"/>
      <c r="C447" s="288"/>
    </row>
    <row r="448">
      <c r="A448" s="287"/>
      <c r="C448" s="288"/>
    </row>
    <row r="449">
      <c r="A449" s="287"/>
      <c r="C449" s="288"/>
    </row>
    <row r="450">
      <c r="A450" s="287"/>
      <c r="C450" s="288"/>
    </row>
    <row r="451">
      <c r="A451" s="287"/>
      <c r="C451" s="288"/>
    </row>
    <row r="452">
      <c r="A452" s="287"/>
      <c r="C452" s="288"/>
    </row>
    <row r="453">
      <c r="A453" s="287"/>
      <c r="C453" s="288"/>
    </row>
    <row r="454">
      <c r="A454" s="287"/>
      <c r="C454" s="288"/>
    </row>
    <row r="455">
      <c r="A455" s="287"/>
      <c r="C455" s="288"/>
    </row>
    <row r="456">
      <c r="A456" s="287"/>
      <c r="C456" s="288"/>
    </row>
    <row r="457">
      <c r="A457" s="287"/>
      <c r="C457" s="288"/>
    </row>
    <row r="458">
      <c r="A458" s="287"/>
      <c r="C458" s="288"/>
    </row>
    <row r="459">
      <c r="A459" s="287"/>
      <c r="C459" s="288"/>
    </row>
    <row r="460">
      <c r="A460" s="287"/>
      <c r="C460" s="288"/>
    </row>
    <row r="461">
      <c r="A461" s="287"/>
      <c r="C461" s="288"/>
    </row>
    <row r="462">
      <c r="A462" s="287"/>
      <c r="C462" s="288"/>
    </row>
    <row r="463">
      <c r="A463" s="287"/>
      <c r="C463" s="288"/>
    </row>
    <row r="464">
      <c r="A464" s="287"/>
      <c r="C464" s="288"/>
    </row>
    <row r="465">
      <c r="A465" s="287"/>
      <c r="C465" s="288"/>
    </row>
    <row r="466">
      <c r="A466" s="287"/>
      <c r="C466" s="288"/>
    </row>
    <row r="467">
      <c r="A467" s="287"/>
      <c r="C467" s="288"/>
    </row>
    <row r="468">
      <c r="A468" s="287"/>
      <c r="C468" s="288"/>
    </row>
    <row r="469">
      <c r="A469" s="287"/>
      <c r="C469" s="288"/>
    </row>
    <row r="470">
      <c r="A470" s="287"/>
      <c r="C470" s="288"/>
    </row>
    <row r="471">
      <c r="A471" s="287"/>
      <c r="C471" s="288"/>
    </row>
    <row r="472">
      <c r="A472" s="287"/>
      <c r="C472" s="288"/>
    </row>
    <row r="473">
      <c r="A473" s="287"/>
      <c r="C473" s="288"/>
    </row>
    <row r="474">
      <c r="A474" s="287"/>
      <c r="C474" s="288"/>
    </row>
    <row r="475">
      <c r="A475" s="287"/>
      <c r="C475" s="288"/>
    </row>
    <row r="476">
      <c r="A476" s="287"/>
      <c r="C476" s="288"/>
    </row>
    <row r="477">
      <c r="A477" s="287"/>
      <c r="C477" s="288"/>
    </row>
    <row r="478">
      <c r="A478" s="287"/>
      <c r="C478" s="288"/>
    </row>
    <row r="479">
      <c r="A479" s="287"/>
      <c r="C479" s="288"/>
    </row>
    <row r="480">
      <c r="A480" s="287"/>
      <c r="C480" s="288"/>
    </row>
    <row r="481">
      <c r="A481" s="287"/>
      <c r="C481" s="288"/>
    </row>
    <row r="482">
      <c r="A482" s="287"/>
      <c r="C482" s="288"/>
    </row>
    <row r="483">
      <c r="A483" s="287"/>
      <c r="C483" s="288"/>
    </row>
    <row r="484">
      <c r="A484" s="287"/>
      <c r="C484" s="288"/>
    </row>
    <row r="485">
      <c r="A485" s="287"/>
      <c r="C485" s="288"/>
    </row>
    <row r="486">
      <c r="A486" s="287"/>
      <c r="C486" s="288"/>
    </row>
    <row r="487">
      <c r="A487" s="287"/>
      <c r="C487" s="288"/>
    </row>
    <row r="488">
      <c r="A488" s="287"/>
      <c r="C488" s="288"/>
    </row>
    <row r="489">
      <c r="A489" s="287"/>
      <c r="C489" s="288"/>
    </row>
    <row r="490">
      <c r="A490" s="287"/>
      <c r="C490" s="288"/>
    </row>
    <row r="491">
      <c r="A491" s="287"/>
      <c r="C491" s="288"/>
    </row>
    <row r="492">
      <c r="A492" s="287"/>
      <c r="C492" s="288"/>
    </row>
    <row r="493">
      <c r="A493" s="287"/>
      <c r="C493" s="288"/>
    </row>
    <row r="494">
      <c r="A494" s="287"/>
      <c r="C494" s="288"/>
    </row>
    <row r="495">
      <c r="A495" s="287"/>
      <c r="C495" s="288"/>
    </row>
    <row r="496">
      <c r="A496" s="287"/>
      <c r="C496" s="288"/>
    </row>
    <row r="497">
      <c r="A497" s="287"/>
      <c r="C497" s="288"/>
    </row>
    <row r="498">
      <c r="A498" s="287"/>
      <c r="C498" s="288"/>
    </row>
    <row r="499">
      <c r="A499" s="287"/>
      <c r="C499" s="288"/>
    </row>
    <row r="500">
      <c r="A500" s="287"/>
      <c r="C500" s="288"/>
    </row>
    <row r="501">
      <c r="A501" s="287"/>
      <c r="C501" s="288"/>
    </row>
    <row r="502">
      <c r="A502" s="287"/>
      <c r="C502" s="288"/>
    </row>
    <row r="503">
      <c r="A503" s="287"/>
      <c r="C503" s="288"/>
    </row>
    <row r="504">
      <c r="A504" s="287"/>
      <c r="C504" s="288"/>
    </row>
    <row r="505">
      <c r="A505" s="287"/>
      <c r="C505" s="288"/>
    </row>
    <row r="506">
      <c r="A506" s="287"/>
      <c r="C506" s="288"/>
    </row>
    <row r="507">
      <c r="A507" s="287"/>
      <c r="C507" s="288"/>
    </row>
    <row r="508">
      <c r="A508" s="287"/>
      <c r="C508" s="288"/>
    </row>
    <row r="509">
      <c r="A509" s="287"/>
      <c r="C509" s="288"/>
    </row>
    <row r="510">
      <c r="A510" s="287"/>
      <c r="C510" s="288"/>
    </row>
    <row r="511">
      <c r="A511" s="287"/>
      <c r="C511" s="288"/>
    </row>
    <row r="512">
      <c r="A512" s="287"/>
      <c r="C512" s="288"/>
    </row>
    <row r="513">
      <c r="A513" s="287"/>
      <c r="C513" s="288"/>
    </row>
    <row r="514">
      <c r="A514" s="287"/>
      <c r="C514" s="288"/>
    </row>
    <row r="515">
      <c r="A515" s="287"/>
      <c r="C515" s="288"/>
    </row>
    <row r="516">
      <c r="A516" s="287"/>
      <c r="C516" s="288"/>
    </row>
    <row r="517">
      <c r="A517" s="287"/>
      <c r="C517" s="288"/>
    </row>
    <row r="518">
      <c r="A518" s="287"/>
      <c r="C518" s="288"/>
    </row>
    <row r="519">
      <c r="A519" s="287"/>
      <c r="C519" s="288"/>
    </row>
    <row r="520">
      <c r="A520" s="287"/>
      <c r="C520" s="288"/>
    </row>
    <row r="521">
      <c r="A521" s="287"/>
      <c r="C521" s="288"/>
    </row>
    <row r="522">
      <c r="A522" s="287"/>
      <c r="C522" s="288"/>
    </row>
    <row r="523">
      <c r="A523" s="287"/>
      <c r="C523" s="288"/>
    </row>
    <row r="524">
      <c r="A524" s="287"/>
      <c r="C524" s="288"/>
    </row>
    <row r="525">
      <c r="A525" s="287"/>
      <c r="C525" s="288"/>
    </row>
    <row r="526">
      <c r="A526" s="287"/>
      <c r="C526" s="288"/>
    </row>
    <row r="527">
      <c r="A527" s="287"/>
      <c r="C527" s="288"/>
    </row>
    <row r="528">
      <c r="A528" s="287"/>
      <c r="C528" s="288"/>
    </row>
    <row r="529">
      <c r="A529" s="287"/>
      <c r="C529" s="288"/>
    </row>
    <row r="530">
      <c r="A530" s="287"/>
      <c r="C530" s="288"/>
    </row>
    <row r="531">
      <c r="A531" s="287"/>
      <c r="C531" s="288"/>
    </row>
    <row r="532">
      <c r="A532" s="287"/>
      <c r="C532" s="288"/>
    </row>
    <row r="533">
      <c r="A533" s="287"/>
      <c r="C533" s="288"/>
    </row>
    <row r="534">
      <c r="A534" s="287"/>
      <c r="C534" s="288"/>
    </row>
    <row r="535">
      <c r="A535" s="287"/>
      <c r="C535" s="288"/>
    </row>
    <row r="536">
      <c r="A536" s="287"/>
      <c r="C536" s="288"/>
    </row>
    <row r="537">
      <c r="A537" s="287"/>
      <c r="C537" s="288"/>
    </row>
    <row r="538">
      <c r="A538" s="287"/>
      <c r="C538" s="288"/>
    </row>
    <row r="539">
      <c r="A539" s="287"/>
      <c r="C539" s="288"/>
    </row>
    <row r="540">
      <c r="A540" s="287"/>
      <c r="C540" s="288"/>
    </row>
    <row r="541">
      <c r="A541" s="287"/>
      <c r="C541" s="288"/>
    </row>
    <row r="542">
      <c r="A542" s="287"/>
      <c r="C542" s="288"/>
    </row>
    <row r="543">
      <c r="A543" s="287"/>
      <c r="C543" s="288"/>
    </row>
    <row r="544">
      <c r="A544" s="287"/>
      <c r="C544" s="288"/>
    </row>
    <row r="545">
      <c r="A545" s="287"/>
      <c r="C545" s="288"/>
    </row>
    <row r="546">
      <c r="A546" s="287"/>
      <c r="C546" s="288"/>
    </row>
    <row r="547">
      <c r="A547" s="287"/>
      <c r="C547" s="288"/>
    </row>
    <row r="548">
      <c r="A548" s="287"/>
      <c r="C548" s="288"/>
    </row>
    <row r="549">
      <c r="A549" s="287"/>
      <c r="C549" s="288"/>
    </row>
    <row r="550">
      <c r="A550" s="287"/>
      <c r="C550" s="288"/>
    </row>
    <row r="551">
      <c r="A551" s="287"/>
      <c r="C551" s="288"/>
    </row>
    <row r="552">
      <c r="A552" s="287"/>
      <c r="C552" s="288"/>
    </row>
    <row r="553">
      <c r="A553" s="287"/>
      <c r="C553" s="288"/>
    </row>
    <row r="554">
      <c r="A554" s="287"/>
      <c r="C554" s="288"/>
    </row>
    <row r="555">
      <c r="A555" s="287"/>
      <c r="C555" s="288"/>
    </row>
    <row r="556">
      <c r="A556" s="287"/>
      <c r="C556" s="288"/>
    </row>
    <row r="557">
      <c r="A557" s="287"/>
      <c r="C557" s="288"/>
    </row>
    <row r="558">
      <c r="A558" s="287"/>
      <c r="C558" s="288"/>
    </row>
    <row r="559">
      <c r="A559" s="287"/>
      <c r="C559" s="288"/>
    </row>
    <row r="560">
      <c r="A560" s="287"/>
      <c r="C560" s="288"/>
    </row>
    <row r="561">
      <c r="A561" s="287"/>
      <c r="C561" s="288"/>
    </row>
    <row r="562">
      <c r="A562" s="287"/>
      <c r="C562" s="288"/>
    </row>
    <row r="563">
      <c r="A563" s="287"/>
      <c r="C563" s="288"/>
    </row>
    <row r="564">
      <c r="A564" s="287"/>
      <c r="C564" s="288"/>
    </row>
    <row r="565">
      <c r="A565" s="287"/>
      <c r="C565" s="288"/>
    </row>
    <row r="566">
      <c r="A566" s="287"/>
      <c r="C566" s="288"/>
    </row>
    <row r="567">
      <c r="A567" s="287"/>
      <c r="C567" s="288"/>
    </row>
    <row r="568">
      <c r="A568" s="287"/>
      <c r="C568" s="288"/>
    </row>
    <row r="569">
      <c r="A569" s="287"/>
      <c r="C569" s="288"/>
    </row>
    <row r="570">
      <c r="A570" s="287"/>
      <c r="C570" s="288"/>
    </row>
    <row r="571">
      <c r="A571" s="287"/>
      <c r="C571" s="288"/>
    </row>
    <row r="572">
      <c r="A572" s="287"/>
      <c r="C572" s="288"/>
    </row>
    <row r="573">
      <c r="A573" s="287"/>
      <c r="C573" s="288"/>
    </row>
    <row r="574">
      <c r="A574" s="287"/>
      <c r="C574" s="288"/>
    </row>
    <row r="575">
      <c r="A575" s="287"/>
      <c r="C575" s="288"/>
    </row>
    <row r="576">
      <c r="A576" s="287"/>
      <c r="C576" s="288"/>
    </row>
    <row r="577">
      <c r="A577" s="287"/>
      <c r="C577" s="288"/>
    </row>
    <row r="578">
      <c r="A578" s="287"/>
      <c r="C578" s="288"/>
    </row>
    <row r="579">
      <c r="A579" s="287"/>
      <c r="C579" s="288"/>
    </row>
    <row r="580">
      <c r="A580" s="287"/>
      <c r="C580" s="288"/>
    </row>
    <row r="581">
      <c r="A581" s="287"/>
      <c r="C581" s="288"/>
    </row>
    <row r="582">
      <c r="A582" s="287"/>
      <c r="C582" s="288"/>
    </row>
    <row r="583">
      <c r="A583" s="287"/>
      <c r="C583" s="288"/>
    </row>
    <row r="584">
      <c r="A584" s="287"/>
      <c r="C584" s="288"/>
    </row>
    <row r="585">
      <c r="A585" s="287"/>
      <c r="C585" s="288"/>
    </row>
    <row r="586">
      <c r="A586" s="287"/>
      <c r="C586" s="288"/>
    </row>
    <row r="587">
      <c r="A587" s="287"/>
      <c r="C587" s="288"/>
    </row>
    <row r="588">
      <c r="A588" s="287"/>
      <c r="C588" s="288"/>
    </row>
    <row r="589">
      <c r="A589" s="287"/>
      <c r="C589" s="288"/>
    </row>
    <row r="590">
      <c r="A590" s="287"/>
      <c r="C590" s="288"/>
    </row>
    <row r="591">
      <c r="A591" s="287"/>
      <c r="C591" s="288"/>
    </row>
    <row r="592">
      <c r="A592" s="287"/>
      <c r="C592" s="288"/>
    </row>
    <row r="593">
      <c r="A593" s="287"/>
      <c r="C593" s="288"/>
    </row>
    <row r="594">
      <c r="A594" s="287"/>
      <c r="C594" s="288"/>
    </row>
    <row r="595">
      <c r="A595" s="287"/>
      <c r="C595" s="288"/>
    </row>
    <row r="596">
      <c r="A596" s="287"/>
      <c r="C596" s="288"/>
    </row>
    <row r="597">
      <c r="A597" s="287"/>
      <c r="C597" s="288"/>
    </row>
    <row r="598">
      <c r="A598" s="287"/>
      <c r="C598" s="288"/>
    </row>
    <row r="599">
      <c r="A599" s="287"/>
      <c r="C599" s="288"/>
    </row>
    <row r="600">
      <c r="A600" s="287"/>
      <c r="C600" s="288"/>
    </row>
    <row r="601">
      <c r="A601" s="287"/>
      <c r="C601" s="288"/>
    </row>
    <row r="602">
      <c r="A602" s="287"/>
      <c r="C602" s="288"/>
    </row>
    <row r="603">
      <c r="A603" s="287"/>
      <c r="C603" s="288"/>
    </row>
    <row r="604">
      <c r="A604" s="287"/>
      <c r="C604" s="288"/>
    </row>
    <row r="605">
      <c r="A605" s="287"/>
      <c r="C605" s="288"/>
    </row>
    <row r="606">
      <c r="A606" s="287"/>
      <c r="C606" s="288"/>
    </row>
    <row r="607">
      <c r="A607" s="287"/>
      <c r="C607" s="288"/>
    </row>
    <row r="608">
      <c r="A608" s="287"/>
      <c r="C608" s="288"/>
    </row>
    <row r="609">
      <c r="A609" s="287"/>
      <c r="C609" s="288"/>
    </row>
    <row r="610">
      <c r="A610" s="287"/>
      <c r="C610" s="288"/>
    </row>
    <row r="611">
      <c r="A611" s="287"/>
      <c r="C611" s="288"/>
    </row>
    <row r="612">
      <c r="A612" s="287"/>
      <c r="C612" s="288"/>
    </row>
    <row r="613">
      <c r="A613" s="287"/>
      <c r="C613" s="288"/>
    </row>
    <row r="614">
      <c r="A614" s="287"/>
      <c r="C614" s="288"/>
    </row>
    <row r="615">
      <c r="A615" s="287"/>
      <c r="C615" s="288"/>
    </row>
    <row r="616">
      <c r="A616" s="287"/>
      <c r="C616" s="288"/>
    </row>
    <row r="617">
      <c r="A617" s="287"/>
      <c r="C617" s="288"/>
    </row>
    <row r="618">
      <c r="A618" s="287"/>
      <c r="C618" s="288"/>
    </row>
    <row r="619">
      <c r="A619" s="287"/>
      <c r="C619" s="288"/>
    </row>
    <row r="620">
      <c r="A620" s="287"/>
      <c r="C620" s="288"/>
    </row>
    <row r="621">
      <c r="A621" s="287"/>
      <c r="C621" s="288"/>
    </row>
    <row r="622">
      <c r="A622" s="287"/>
      <c r="C622" s="288"/>
    </row>
    <row r="623">
      <c r="A623" s="287"/>
      <c r="C623" s="288"/>
    </row>
    <row r="624">
      <c r="A624" s="287"/>
      <c r="C624" s="288"/>
    </row>
    <row r="625">
      <c r="A625" s="287"/>
      <c r="C625" s="288"/>
    </row>
    <row r="626">
      <c r="A626" s="287"/>
      <c r="C626" s="288"/>
    </row>
    <row r="627">
      <c r="A627" s="287"/>
      <c r="C627" s="288"/>
    </row>
    <row r="628">
      <c r="A628" s="287"/>
      <c r="C628" s="288"/>
    </row>
    <row r="629">
      <c r="A629" s="287"/>
      <c r="C629" s="288"/>
    </row>
    <row r="630">
      <c r="A630" s="287"/>
      <c r="C630" s="288"/>
    </row>
    <row r="631">
      <c r="A631" s="287"/>
      <c r="C631" s="288"/>
    </row>
    <row r="632">
      <c r="A632" s="287"/>
      <c r="C632" s="288"/>
    </row>
    <row r="633">
      <c r="A633" s="287"/>
      <c r="C633" s="288"/>
    </row>
    <row r="634">
      <c r="A634" s="287"/>
      <c r="C634" s="288"/>
    </row>
    <row r="635">
      <c r="A635" s="287"/>
      <c r="C635" s="288"/>
    </row>
    <row r="636">
      <c r="A636" s="287"/>
      <c r="C636" s="288"/>
    </row>
    <row r="637">
      <c r="A637" s="287"/>
      <c r="C637" s="288"/>
    </row>
    <row r="638">
      <c r="A638" s="287"/>
      <c r="C638" s="288"/>
    </row>
    <row r="639">
      <c r="A639" s="287"/>
      <c r="C639" s="288"/>
    </row>
    <row r="640">
      <c r="A640" s="287"/>
      <c r="C640" s="288"/>
    </row>
    <row r="641">
      <c r="A641" s="287"/>
      <c r="C641" s="288"/>
    </row>
    <row r="642">
      <c r="A642" s="287"/>
      <c r="C642" s="288"/>
    </row>
    <row r="643">
      <c r="A643" s="287"/>
      <c r="C643" s="288"/>
    </row>
    <row r="644">
      <c r="A644" s="287"/>
      <c r="C644" s="288"/>
    </row>
    <row r="645">
      <c r="A645" s="287"/>
      <c r="C645" s="288"/>
    </row>
    <row r="646">
      <c r="A646" s="287"/>
      <c r="C646" s="288"/>
    </row>
    <row r="647">
      <c r="A647" s="287"/>
      <c r="C647" s="288"/>
    </row>
    <row r="648">
      <c r="A648" s="287"/>
      <c r="C648" s="288"/>
    </row>
    <row r="649">
      <c r="A649" s="287"/>
      <c r="C649" s="288"/>
    </row>
    <row r="650">
      <c r="A650" s="287"/>
      <c r="C650" s="288"/>
    </row>
    <row r="651">
      <c r="A651" s="287"/>
      <c r="C651" s="288"/>
    </row>
    <row r="652">
      <c r="A652" s="287"/>
      <c r="C652" s="288"/>
    </row>
    <row r="653">
      <c r="A653" s="287"/>
      <c r="C653" s="288"/>
    </row>
    <row r="654">
      <c r="A654" s="287"/>
      <c r="C654" s="288"/>
    </row>
    <row r="655">
      <c r="A655" s="287"/>
      <c r="C655" s="288"/>
    </row>
    <row r="656">
      <c r="A656" s="287"/>
      <c r="C656" s="288"/>
    </row>
    <row r="657">
      <c r="A657" s="287"/>
      <c r="C657" s="288"/>
    </row>
    <row r="658">
      <c r="A658" s="287"/>
      <c r="C658" s="288"/>
    </row>
    <row r="659">
      <c r="A659" s="287"/>
      <c r="C659" s="288"/>
    </row>
    <row r="660">
      <c r="A660" s="287"/>
      <c r="C660" s="288"/>
    </row>
    <row r="661">
      <c r="A661" s="287"/>
      <c r="C661" s="288"/>
    </row>
    <row r="662">
      <c r="A662" s="287"/>
      <c r="C662" s="288"/>
    </row>
    <row r="663">
      <c r="A663" s="287"/>
      <c r="C663" s="288"/>
    </row>
    <row r="664">
      <c r="A664" s="287"/>
      <c r="C664" s="288"/>
    </row>
    <row r="665">
      <c r="A665" s="287"/>
      <c r="C665" s="288"/>
    </row>
    <row r="666">
      <c r="A666" s="287"/>
      <c r="C666" s="288"/>
    </row>
    <row r="667">
      <c r="A667" s="287"/>
      <c r="C667" s="288"/>
    </row>
    <row r="668">
      <c r="A668" s="287"/>
      <c r="C668" s="288"/>
    </row>
    <row r="669">
      <c r="A669" s="287"/>
      <c r="C669" s="288"/>
    </row>
    <row r="670">
      <c r="A670" s="287"/>
      <c r="C670" s="288"/>
    </row>
    <row r="671">
      <c r="A671" s="287"/>
      <c r="C671" s="288"/>
    </row>
    <row r="672">
      <c r="A672" s="287"/>
      <c r="C672" s="288"/>
    </row>
    <row r="673">
      <c r="A673" s="287"/>
      <c r="C673" s="288"/>
    </row>
    <row r="674">
      <c r="A674" s="287"/>
      <c r="C674" s="288"/>
    </row>
    <row r="675">
      <c r="A675" s="287"/>
      <c r="C675" s="288"/>
    </row>
    <row r="676">
      <c r="A676" s="287"/>
      <c r="C676" s="288"/>
    </row>
    <row r="677">
      <c r="A677" s="287"/>
      <c r="C677" s="288"/>
    </row>
    <row r="678">
      <c r="A678" s="287"/>
      <c r="C678" s="288"/>
    </row>
    <row r="679">
      <c r="A679" s="287"/>
      <c r="C679" s="288"/>
    </row>
    <row r="680">
      <c r="A680" s="287"/>
      <c r="C680" s="288"/>
    </row>
    <row r="681">
      <c r="A681" s="287"/>
      <c r="C681" s="288"/>
    </row>
    <row r="682">
      <c r="A682" s="287"/>
      <c r="C682" s="288"/>
    </row>
    <row r="683">
      <c r="A683" s="287"/>
      <c r="C683" s="288"/>
    </row>
    <row r="684">
      <c r="A684" s="287"/>
      <c r="C684" s="288"/>
    </row>
    <row r="685">
      <c r="A685" s="287"/>
      <c r="C685" s="288"/>
    </row>
    <row r="686">
      <c r="A686" s="287"/>
      <c r="C686" s="288"/>
    </row>
    <row r="687">
      <c r="A687" s="287"/>
      <c r="C687" s="288"/>
    </row>
    <row r="688">
      <c r="A688" s="287"/>
      <c r="C688" s="288"/>
    </row>
    <row r="689">
      <c r="A689" s="287"/>
      <c r="C689" s="288"/>
    </row>
    <row r="690">
      <c r="A690" s="287"/>
      <c r="C690" s="288"/>
    </row>
    <row r="691">
      <c r="A691" s="287"/>
      <c r="C691" s="288"/>
    </row>
    <row r="692">
      <c r="A692" s="287"/>
      <c r="C692" s="288"/>
    </row>
    <row r="693">
      <c r="A693" s="287"/>
      <c r="C693" s="288"/>
    </row>
    <row r="694">
      <c r="A694" s="287"/>
      <c r="C694" s="288"/>
    </row>
    <row r="695">
      <c r="A695" s="287"/>
      <c r="C695" s="288"/>
    </row>
    <row r="696">
      <c r="A696" s="287"/>
      <c r="C696" s="288"/>
    </row>
    <row r="697">
      <c r="A697" s="287"/>
      <c r="C697" s="288"/>
    </row>
    <row r="698">
      <c r="A698" s="287"/>
      <c r="C698" s="288"/>
    </row>
    <row r="699">
      <c r="A699" s="287"/>
      <c r="C699" s="288"/>
    </row>
    <row r="700">
      <c r="A700" s="287"/>
      <c r="C700" s="288"/>
    </row>
    <row r="701">
      <c r="A701" s="287"/>
      <c r="C701" s="288"/>
    </row>
    <row r="702">
      <c r="A702" s="287"/>
      <c r="C702" s="288"/>
    </row>
    <row r="703">
      <c r="A703" s="287"/>
      <c r="C703" s="288"/>
    </row>
    <row r="704">
      <c r="A704" s="287"/>
      <c r="C704" s="288"/>
    </row>
    <row r="705">
      <c r="A705" s="287"/>
      <c r="C705" s="288"/>
    </row>
    <row r="706">
      <c r="A706" s="287"/>
      <c r="C706" s="288"/>
    </row>
    <row r="707">
      <c r="A707" s="287"/>
      <c r="C707" s="288"/>
    </row>
    <row r="708">
      <c r="A708" s="287"/>
      <c r="C708" s="288"/>
    </row>
    <row r="709">
      <c r="A709" s="287"/>
      <c r="C709" s="288"/>
    </row>
    <row r="710">
      <c r="A710" s="287"/>
      <c r="C710" s="288"/>
    </row>
    <row r="711">
      <c r="A711" s="287"/>
      <c r="C711" s="288"/>
    </row>
    <row r="712">
      <c r="A712" s="287"/>
      <c r="C712" s="288"/>
    </row>
    <row r="713">
      <c r="A713" s="287"/>
      <c r="C713" s="288"/>
    </row>
    <row r="714">
      <c r="A714" s="287"/>
      <c r="C714" s="288"/>
    </row>
    <row r="715">
      <c r="A715" s="287"/>
      <c r="C715" s="288"/>
    </row>
    <row r="716">
      <c r="A716" s="287"/>
      <c r="C716" s="288"/>
    </row>
    <row r="717">
      <c r="A717" s="287"/>
      <c r="C717" s="288"/>
    </row>
    <row r="718">
      <c r="A718" s="287"/>
      <c r="C718" s="288"/>
    </row>
    <row r="719">
      <c r="A719" s="287"/>
      <c r="C719" s="288"/>
    </row>
    <row r="720">
      <c r="A720" s="287"/>
      <c r="C720" s="288"/>
    </row>
    <row r="721">
      <c r="A721" s="287"/>
      <c r="C721" s="288"/>
    </row>
    <row r="722">
      <c r="A722" s="287"/>
      <c r="C722" s="288"/>
    </row>
    <row r="723">
      <c r="A723" s="287"/>
      <c r="C723" s="288"/>
    </row>
    <row r="724">
      <c r="A724" s="287"/>
      <c r="C724" s="288"/>
    </row>
    <row r="725">
      <c r="A725" s="287"/>
      <c r="C725" s="288"/>
    </row>
    <row r="726">
      <c r="A726" s="287"/>
      <c r="C726" s="288"/>
    </row>
    <row r="727">
      <c r="A727" s="287"/>
      <c r="C727" s="288"/>
    </row>
    <row r="728">
      <c r="A728" s="287"/>
      <c r="C728" s="288"/>
    </row>
    <row r="729">
      <c r="A729" s="287"/>
      <c r="C729" s="288"/>
    </row>
    <row r="730">
      <c r="A730" s="287"/>
      <c r="C730" s="288"/>
    </row>
    <row r="731">
      <c r="A731" s="287"/>
      <c r="C731" s="288"/>
    </row>
    <row r="732">
      <c r="A732" s="287"/>
      <c r="C732" s="288"/>
    </row>
    <row r="733">
      <c r="A733" s="287"/>
      <c r="C733" s="288"/>
    </row>
    <row r="734">
      <c r="A734" s="287"/>
      <c r="C734" s="288"/>
    </row>
    <row r="735">
      <c r="A735" s="287"/>
      <c r="C735" s="288"/>
    </row>
    <row r="736">
      <c r="A736" s="287"/>
      <c r="C736" s="288"/>
    </row>
    <row r="737">
      <c r="A737" s="287"/>
      <c r="C737" s="288"/>
    </row>
    <row r="738">
      <c r="A738" s="287"/>
      <c r="C738" s="288"/>
    </row>
    <row r="739">
      <c r="A739" s="287"/>
      <c r="C739" s="288"/>
    </row>
    <row r="740">
      <c r="A740" s="287"/>
      <c r="C740" s="288"/>
    </row>
    <row r="741">
      <c r="A741" s="287"/>
      <c r="C741" s="288"/>
    </row>
    <row r="742">
      <c r="A742" s="287"/>
      <c r="C742" s="288"/>
    </row>
    <row r="743">
      <c r="A743" s="287"/>
      <c r="C743" s="288"/>
    </row>
    <row r="744">
      <c r="A744" s="287"/>
      <c r="C744" s="288"/>
    </row>
    <row r="745">
      <c r="A745" s="287"/>
      <c r="C745" s="288"/>
    </row>
    <row r="746">
      <c r="A746" s="287"/>
      <c r="C746" s="288"/>
    </row>
    <row r="747">
      <c r="A747" s="287"/>
      <c r="C747" s="288"/>
    </row>
    <row r="748">
      <c r="A748" s="287"/>
      <c r="C748" s="288"/>
    </row>
    <row r="749">
      <c r="A749" s="287"/>
      <c r="C749" s="288"/>
    </row>
    <row r="750">
      <c r="A750" s="287"/>
      <c r="C750" s="288"/>
    </row>
    <row r="751">
      <c r="A751" s="287"/>
      <c r="C751" s="288"/>
    </row>
    <row r="752">
      <c r="A752" s="287"/>
      <c r="C752" s="288"/>
    </row>
    <row r="753">
      <c r="A753" s="287"/>
      <c r="C753" s="288"/>
    </row>
    <row r="754">
      <c r="A754" s="287"/>
      <c r="C754" s="288"/>
    </row>
    <row r="755">
      <c r="A755" s="287"/>
      <c r="C755" s="288"/>
    </row>
    <row r="756">
      <c r="A756" s="287"/>
      <c r="C756" s="288"/>
    </row>
    <row r="757">
      <c r="A757" s="287"/>
      <c r="C757" s="288"/>
    </row>
    <row r="758">
      <c r="A758" s="287"/>
      <c r="C758" s="288"/>
    </row>
    <row r="759">
      <c r="A759" s="287"/>
      <c r="C759" s="288"/>
    </row>
    <row r="760">
      <c r="A760" s="287"/>
      <c r="C760" s="288"/>
    </row>
    <row r="761">
      <c r="A761" s="287"/>
      <c r="C761" s="288"/>
    </row>
    <row r="762">
      <c r="A762" s="287"/>
      <c r="C762" s="288"/>
    </row>
    <row r="763">
      <c r="A763" s="287"/>
      <c r="C763" s="288"/>
    </row>
    <row r="764">
      <c r="A764" s="287"/>
      <c r="C764" s="288"/>
    </row>
    <row r="765">
      <c r="A765" s="287"/>
      <c r="C765" s="288"/>
    </row>
    <row r="766">
      <c r="A766" s="287"/>
      <c r="C766" s="288"/>
    </row>
    <row r="767">
      <c r="A767" s="287"/>
      <c r="C767" s="288"/>
    </row>
    <row r="768">
      <c r="A768" s="287"/>
      <c r="C768" s="288"/>
    </row>
    <row r="769">
      <c r="A769" s="287"/>
      <c r="C769" s="288"/>
    </row>
    <row r="770">
      <c r="A770" s="287"/>
      <c r="C770" s="288"/>
    </row>
    <row r="771">
      <c r="A771" s="287"/>
      <c r="C771" s="288"/>
    </row>
    <row r="772">
      <c r="A772" s="287"/>
      <c r="C772" s="288"/>
    </row>
    <row r="773">
      <c r="A773" s="287"/>
      <c r="C773" s="288"/>
    </row>
    <row r="774">
      <c r="A774" s="287"/>
      <c r="C774" s="288"/>
    </row>
    <row r="775">
      <c r="A775" s="287"/>
      <c r="C775" s="288"/>
    </row>
    <row r="776">
      <c r="A776" s="287"/>
      <c r="C776" s="288"/>
    </row>
    <row r="777">
      <c r="A777" s="287"/>
      <c r="C777" s="288"/>
    </row>
    <row r="778">
      <c r="A778" s="287"/>
      <c r="C778" s="288"/>
    </row>
    <row r="779">
      <c r="A779" s="287"/>
      <c r="C779" s="288"/>
    </row>
    <row r="780">
      <c r="A780" s="287"/>
      <c r="C780" s="288"/>
    </row>
    <row r="781">
      <c r="A781" s="287"/>
      <c r="C781" s="288"/>
    </row>
    <row r="782">
      <c r="A782" s="287"/>
      <c r="C782" s="288"/>
    </row>
    <row r="783">
      <c r="A783" s="287"/>
      <c r="C783" s="288"/>
    </row>
    <row r="784">
      <c r="A784" s="287"/>
      <c r="C784" s="288"/>
    </row>
    <row r="785">
      <c r="A785" s="287"/>
      <c r="C785" s="288"/>
    </row>
    <row r="786">
      <c r="A786" s="287"/>
      <c r="C786" s="288"/>
    </row>
    <row r="787">
      <c r="A787" s="287"/>
      <c r="C787" s="288"/>
    </row>
    <row r="788">
      <c r="A788" s="287"/>
      <c r="C788" s="288"/>
    </row>
    <row r="789">
      <c r="A789" s="287"/>
      <c r="C789" s="288"/>
    </row>
    <row r="790">
      <c r="A790" s="287"/>
      <c r="C790" s="288"/>
    </row>
    <row r="791">
      <c r="A791" s="287"/>
      <c r="C791" s="288"/>
    </row>
    <row r="792">
      <c r="A792" s="287"/>
      <c r="C792" s="288"/>
    </row>
    <row r="793">
      <c r="A793" s="287"/>
      <c r="C793" s="288"/>
    </row>
    <row r="794">
      <c r="A794" s="287"/>
      <c r="C794" s="288"/>
    </row>
    <row r="795">
      <c r="A795" s="287"/>
      <c r="C795" s="288"/>
    </row>
    <row r="796">
      <c r="A796" s="287"/>
      <c r="C796" s="288"/>
    </row>
    <row r="797">
      <c r="A797" s="287"/>
      <c r="C797" s="288"/>
    </row>
    <row r="798">
      <c r="A798" s="287"/>
      <c r="C798" s="288"/>
    </row>
    <row r="799">
      <c r="A799" s="287"/>
      <c r="C799" s="288"/>
    </row>
    <row r="800">
      <c r="A800" s="287"/>
      <c r="C800" s="288"/>
    </row>
    <row r="801">
      <c r="A801" s="287"/>
      <c r="C801" s="288"/>
    </row>
    <row r="802">
      <c r="A802" s="287"/>
      <c r="C802" s="288"/>
    </row>
    <row r="803">
      <c r="A803" s="287"/>
      <c r="C803" s="288"/>
    </row>
    <row r="804">
      <c r="A804" s="287"/>
      <c r="C804" s="288"/>
    </row>
    <row r="805">
      <c r="A805" s="287"/>
      <c r="C805" s="288"/>
    </row>
    <row r="806">
      <c r="A806" s="287"/>
      <c r="C806" s="288"/>
    </row>
    <row r="807">
      <c r="A807" s="287"/>
      <c r="C807" s="288"/>
    </row>
    <row r="808">
      <c r="A808" s="287"/>
      <c r="C808" s="288"/>
    </row>
    <row r="809">
      <c r="A809" s="287"/>
      <c r="C809" s="288"/>
    </row>
    <row r="810">
      <c r="A810" s="287"/>
      <c r="C810" s="288"/>
    </row>
    <row r="811">
      <c r="A811" s="287"/>
      <c r="C811" s="288"/>
    </row>
    <row r="812">
      <c r="A812" s="287"/>
      <c r="C812" s="288"/>
    </row>
    <row r="813">
      <c r="A813" s="287"/>
      <c r="C813" s="288"/>
    </row>
    <row r="814">
      <c r="A814" s="287"/>
      <c r="C814" s="288"/>
    </row>
    <row r="815">
      <c r="A815" s="287"/>
      <c r="C815" s="288"/>
    </row>
    <row r="816">
      <c r="A816" s="287"/>
      <c r="C816" s="288"/>
    </row>
    <row r="817">
      <c r="A817" s="287"/>
      <c r="C817" s="288"/>
    </row>
    <row r="818">
      <c r="A818" s="287"/>
      <c r="C818" s="288"/>
    </row>
    <row r="819">
      <c r="A819" s="287"/>
      <c r="C819" s="288"/>
    </row>
    <row r="820">
      <c r="A820" s="287"/>
      <c r="C820" s="288"/>
    </row>
    <row r="821">
      <c r="A821" s="287"/>
      <c r="C821" s="288"/>
    </row>
    <row r="822">
      <c r="A822" s="287"/>
      <c r="C822" s="288"/>
    </row>
    <row r="823">
      <c r="A823" s="287"/>
      <c r="C823" s="288"/>
    </row>
    <row r="824">
      <c r="A824" s="287"/>
      <c r="C824" s="288"/>
    </row>
    <row r="825">
      <c r="A825" s="287"/>
      <c r="C825" s="288"/>
    </row>
    <row r="826">
      <c r="A826" s="287"/>
      <c r="C826" s="288"/>
    </row>
    <row r="827">
      <c r="A827" s="287"/>
      <c r="C827" s="288"/>
    </row>
    <row r="828">
      <c r="A828" s="287"/>
      <c r="C828" s="288"/>
    </row>
    <row r="829">
      <c r="A829" s="287"/>
      <c r="C829" s="288"/>
    </row>
    <row r="830">
      <c r="A830" s="287"/>
      <c r="C830" s="288"/>
    </row>
    <row r="831">
      <c r="A831" s="287"/>
      <c r="C831" s="288"/>
    </row>
    <row r="832">
      <c r="A832" s="287"/>
      <c r="C832" s="288"/>
    </row>
    <row r="833">
      <c r="A833" s="287"/>
      <c r="C833" s="288"/>
    </row>
    <row r="834">
      <c r="A834" s="287"/>
      <c r="C834" s="288"/>
    </row>
    <row r="835">
      <c r="A835" s="287"/>
      <c r="C835" s="288"/>
    </row>
    <row r="836">
      <c r="A836" s="287"/>
      <c r="C836" s="288"/>
    </row>
    <row r="837">
      <c r="A837" s="287"/>
      <c r="C837" s="288"/>
    </row>
    <row r="838">
      <c r="A838" s="287"/>
      <c r="C838" s="288"/>
    </row>
    <row r="839">
      <c r="A839" s="287"/>
      <c r="C839" s="288"/>
    </row>
    <row r="840">
      <c r="A840" s="287"/>
      <c r="C840" s="288"/>
    </row>
    <row r="841">
      <c r="A841" s="287"/>
      <c r="C841" s="288"/>
    </row>
    <row r="842">
      <c r="A842" s="287"/>
      <c r="C842" s="288"/>
    </row>
    <row r="843">
      <c r="A843" s="287"/>
      <c r="C843" s="288"/>
    </row>
    <row r="844">
      <c r="A844" s="287"/>
      <c r="C844" s="288"/>
    </row>
    <row r="845">
      <c r="A845" s="287"/>
      <c r="C845" s="288"/>
    </row>
    <row r="846">
      <c r="A846" s="287"/>
      <c r="C846" s="288"/>
    </row>
    <row r="847">
      <c r="A847" s="287"/>
      <c r="C847" s="288"/>
    </row>
    <row r="848">
      <c r="A848" s="287"/>
      <c r="C848" s="288"/>
    </row>
    <row r="849">
      <c r="A849" s="287"/>
      <c r="C849" s="288"/>
    </row>
    <row r="850">
      <c r="A850" s="287"/>
      <c r="C850" s="288"/>
    </row>
    <row r="851">
      <c r="A851" s="287"/>
      <c r="C851" s="288"/>
    </row>
    <row r="852">
      <c r="A852" s="287"/>
      <c r="C852" s="288"/>
    </row>
    <row r="853">
      <c r="A853" s="287"/>
      <c r="C853" s="288"/>
    </row>
    <row r="854">
      <c r="A854" s="287"/>
      <c r="C854" s="288"/>
    </row>
    <row r="855">
      <c r="A855" s="287"/>
      <c r="C855" s="288"/>
    </row>
    <row r="856">
      <c r="A856" s="287"/>
      <c r="C856" s="288"/>
    </row>
    <row r="857">
      <c r="A857" s="287"/>
      <c r="C857" s="288"/>
    </row>
    <row r="858">
      <c r="A858" s="287"/>
      <c r="C858" s="288"/>
    </row>
    <row r="859">
      <c r="A859" s="287"/>
      <c r="C859" s="288"/>
    </row>
    <row r="860">
      <c r="A860" s="287"/>
      <c r="C860" s="288"/>
    </row>
    <row r="861">
      <c r="A861" s="287"/>
      <c r="C861" s="288"/>
    </row>
    <row r="862">
      <c r="A862" s="287"/>
      <c r="C862" s="288"/>
    </row>
    <row r="863">
      <c r="A863" s="287"/>
      <c r="C863" s="288"/>
    </row>
    <row r="864">
      <c r="A864" s="287"/>
      <c r="C864" s="288"/>
    </row>
    <row r="865">
      <c r="A865" s="287"/>
      <c r="C865" s="288"/>
    </row>
    <row r="866">
      <c r="A866" s="287"/>
      <c r="C866" s="288"/>
    </row>
    <row r="867">
      <c r="A867" s="287"/>
      <c r="C867" s="288"/>
    </row>
    <row r="868">
      <c r="A868" s="287"/>
      <c r="C868" s="288"/>
    </row>
    <row r="869">
      <c r="A869" s="287"/>
      <c r="C869" s="288"/>
    </row>
    <row r="870">
      <c r="A870" s="287"/>
      <c r="C870" s="288"/>
    </row>
    <row r="871">
      <c r="A871" s="287"/>
      <c r="C871" s="288"/>
    </row>
    <row r="872">
      <c r="A872" s="287"/>
      <c r="C872" s="288"/>
    </row>
    <row r="873">
      <c r="A873" s="287"/>
      <c r="C873" s="288"/>
    </row>
    <row r="874">
      <c r="A874" s="287"/>
      <c r="C874" s="288"/>
    </row>
    <row r="875">
      <c r="A875" s="287"/>
      <c r="C875" s="288"/>
    </row>
    <row r="876">
      <c r="A876" s="287"/>
      <c r="C876" s="288"/>
    </row>
    <row r="877">
      <c r="A877" s="287"/>
      <c r="C877" s="288"/>
    </row>
    <row r="878">
      <c r="A878" s="287"/>
      <c r="C878" s="288"/>
    </row>
    <row r="879">
      <c r="A879" s="287"/>
      <c r="C879" s="288"/>
    </row>
    <row r="880">
      <c r="A880" s="287"/>
      <c r="C880" s="288"/>
    </row>
    <row r="881">
      <c r="A881" s="287"/>
      <c r="C881" s="288"/>
    </row>
    <row r="882">
      <c r="A882" s="287"/>
      <c r="C882" s="288"/>
    </row>
    <row r="883">
      <c r="A883" s="287"/>
      <c r="C883" s="288"/>
    </row>
    <row r="884">
      <c r="A884" s="287"/>
      <c r="C884" s="288"/>
    </row>
    <row r="885">
      <c r="A885" s="287"/>
      <c r="C885" s="288"/>
    </row>
    <row r="886">
      <c r="A886" s="287"/>
      <c r="C886" s="288"/>
    </row>
    <row r="887">
      <c r="A887" s="287"/>
      <c r="C887" s="288"/>
    </row>
    <row r="888">
      <c r="A888" s="287"/>
      <c r="C888" s="288"/>
    </row>
    <row r="889">
      <c r="A889" s="287"/>
      <c r="C889" s="288"/>
    </row>
    <row r="890">
      <c r="A890" s="287"/>
      <c r="C890" s="288"/>
    </row>
    <row r="891">
      <c r="A891" s="287"/>
      <c r="C891" s="288"/>
    </row>
    <row r="892">
      <c r="A892" s="287"/>
      <c r="C892" s="288"/>
    </row>
    <row r="893">
      <c r="A893" s="287"/>
      <c r="C893" s="288"/>
    </row>
    <row r="894">
      <c r="A894" s="287"/>
      <c r="C894" s="288"/>
    </row>
    <row r="895">
      <c r="A895" s="287"/>
      <c r="C895" s="288"/>
    </row>
    <row r="896">
      <c r="A896" s="287"/>
      <c r="C896" s="288"/>
    </row>
    <row r="897">
      <c r="A897" s="287"/>
      <c r="C897" s="288"/>
    </row>
    <row r="898">
      <c r="A898" s="287"/>
      <c r="C898" s="288"/>
    </row>
    <row r="899">
      <c r="A899" s="287"/>
      <c r="C899" s="288"/>
    </row>
    <row r="900">
      <c r="A900" s="287"/>
      <c r="C900" s="288"/>
    </row>
    <row r="901">
      <c r="A901" s="287"/>
      <c r="C901" s="288"/>
    </row>
    <row r="902">
      <c r="A902" s="287"/>
      <c r="C902" s="288"/>
    </row>
    <row r="903">
      <c r="A903" s="287"/>
      <c r="C903" s="288"/>
    </row>
    <row r="904">
      <c r="A904" s="287"/>
      <c r="C904" s="288"/>
    </row>
    <row r="905">
      <c r="A905" s="287"/>
      <c r="C905" s="288"/>
    </row>
    <row r="906">
      <c r="A906" s="287"/>
      <c r="C906" s="288"/>
    </row>
    <row r="907">
      <c r="A907" s="287"/>
      <c r="C907" s="288"/>
    </row>
    <row r="908">
      <c r="A908" s="287"/>
      <c r="C908" s="288"/>
    </row>
    <row r="909">
      <c r="A909" s="287"/>
      <c r="C909" s="288"/>
    </row>
    <row r="910">
      <c r="A910" s="287"/>
      <c r="C910" s="288"/>
    </row>
    <row r="911">
      <c r="A911" s="287"/>
      <c r="C911" s="288"/>
    </row>
    <row r="912">
      <c r="A912" s="287"/>
      <c r="C912" s="288"/>
    </row>
    <row r="913">
      <c r="A913" s="287"/>
      <c r="C913" s="288"/>
    </row>
    <row r="914">
      <c r="A914" s="287"/>
      <c r="C914" s="288"/>
    </row>
    <row r="915">
      <c r="A915" s="287"/>
      <c r="C915" s="288"/>
    </row>
    <row r="916">
      <c r="A916" s="287"/>
      <c r="C916" s="288"/>
    </row>
    <row r="917">
      <c r="A917" s="287"/>
      <c r="C917" s="288"/>
    </row>
    <row r="918">
      <c r="A918" s="287"/>
      <c r="C918" s="288"/>
    </row>
    <row r="919">
      <c r="A919" s="287"/>
      <c r="C919" s="288"/>
    </row>
    <row r="920">
      <c r="A920" s="287"/>
      <c r="C920" s="288"/>
    </row>
    <row r="921">
      <c r="A921" s="287"/>
      <c r="C921" s="288"/>
    </row>
    <row r="922">
      <c r="A922" s="287"/>
      <c r="C922" s="288"/>
    </row>
    <row r="923">
      <c r="A923" s="287"/>
      <c r="C923" s="288"/>
    </row>
    <row r="924">
      <c r="A924" s="287"/>
      <c r="C924" s="288"/>
    </row>
    <row r="925">
      <c r="A925" s="287"/>
      <c r="C925" s="288"/>
    </row>
    <row r="926">
      <c r="A926" s="287"/>
      <c r="C926" s="288"/>
    </row>
    <row r="927">
      <c r="A927" s="287"/>
      <c r="C927" s="288"/>
    </row>
    <row r="928">
      <c r="A928" s="287"/>
      <c r="C928" s="288"/>
    </row>
    <row r="929">
      <c r="A929" s="287"/>
      <c r="C929" s="288"/>
    </row>
    <row r="930">
      <c r="A930" s="287"/>
      <c r="C930" s="288"/>
    </row>
    <row r="931">
      <c r="A931" s="287"/>
      <c r="C931" s="288"/>
    </row>
    <row r="932">
      <c r="A932" s="287"/>
      <c r="C932" s="288"/>
    </row>
    <row r="933">
      <c r="A933" s="287"/>
      <c r="C933" s="288"/>
    </row>
    <row r="934">
      <c r="A934" s="287"/>
      <c r="C934" s="288"/>
    </row>
    <row r="935">
      <c r="A935" s="287"/>
      <c r="C935" s="288"/>
    </row>
    <row r="936">
      <c r="A936" s="287"/>
      <c r="C936" s="288"/>
    </row>
    <row r="937">
      <c r="A937" s="287"/>
      <c r="C937" s="288"/>
    </row>
    <row r="938">
      <c r="A938" s="287"/>
      <c r="C938" s="288"/>
    </row>
    <row r="939">
      <c r="A939" s="287"/>
      <c r="C939" s="288"/>
    </row>
    <row r="940">
      <c r="A940" s="287"/>
      <c r="C940" s="288"/>
    </row>
    <row r="941">
      <c r="A941" s="287"/>
      <c r="C941" s="288"/>
    </row>
    <row r="942">
      <c r="A942" s="287"/>
      <c r="C942" s="288"/>
    </row>
    <row r="943">
      <c r="A943" s="287"/>
      <c r="C943" s="288"/>
    </row>
    <row r="944">
      <c r="A944" s="287"/>
      <c r="C944" s="288"/>
    </row>
    <row r="945">
      <c r="A945" s="287"/>
      <c r="C945" s="288"/>
    </row>
    <row r="946">
      <c r="A946" s="287"/>
      <c r="C946" s="288"/>
    </row>
    <row r="947">
      <c r="A947" s="287"/>
      <c r="C947" s="288"/>
    </row>
    <row r="948">
      <c r="A948" s="287"/>
      <c r="C948" s="288"/>
    </row>
    <row r="949">
      <c r="A949" s="287"/>
      <c r="C949" s="288"/>
    </row>
    <row r="950">
      <c r="A950" s="287"/>
      <c r="C950" s="288"/>
    </row>
    <row r="951">
      <c r="A951" s="287"/>
      <c r="C951" s="288"/>
    </row>
    <row r="952">
      <c r="A952" s="287"/>
      <c r="C952" s="288"/>
    </row>
    <row r="953">
      <c r="A953" s="287"/>
      <c r="C953" s="288"/>
    </row>
    <row r="954">
      <c r="A954" s="287"/>
      <c r="C954" s="288"/>
    </row>
    <row r="955">
      <c r="A955" s="287"/>
      <c r="C955" s="288"/>
    </row>
    <row r="956">
      <c r="A956" s="287"/>
      <c r="C956" s="288"/>
    </row>
    <row r="957">
      <c r="A957" s="287"/>
      <c r="C957" s="288"/>
    </row>
    <row r="958">
      <c r="A958" s="287"/>
      <c r="C958" s="288"/>
    </row>
    <row r="959">
      <c r="A959" s="287"/>
      <c r="C959" s="288"/>
    </row>
    <row r="960">
      <c r="A960" s="287"/>
      <c r="C960" s="288"/>
    </row>
    <row r="961">
      <c r="A961" s="287"/>
      <c r="C961" s="288"/>
    </row>
    <row r="962">
      <c r="A962" s="287"/>
      <c r="C962" s="288"/>
    </row>
    <row r="963">
      <c r="A963" s="287"/>
      <c r="C963" s="288"/>
    </row>
    <row r="964">
      <c r="A964" s="287"/>
      <c r="C964" s="288"/>
    </row>
    <row r="965">
      <c r="A965" s="287"/>
      <c r="C965" s="288"/>
    </row>
    <row r="966">
      <c r="A966" s="287"/>
      <c r="C966" s="288"/>
    </row>
    <row r="967">
      <c r="A967" s="287"/>
      <c r="C967" s="288"/>
    </row>
    <row r="968">
      <c r="A968" s="287"/>
      <c r="C968" s="288"/>
    </row>
    <row r="969">
      <c r="A969" s="287"/>
      <c r="C969" s="288"/>
    </row>
    <row r="970">
      <c r="A970" s="287"/>
      <c r="C970" s="288"/>
    </row>
    <row r="971">
      <c r="A971" s="287"/>
      <c r="C971" s="288"/>
    </row>
    <row r="972">
      <c r="A972" s="287"/>
      <c r="C972" s="288"/>
    </row>
    <row r="973">
      <c r="A973" s="287"/>
      <c r="C973" s="288"/>
    </row>
    <row r="974">
      <c r="A974" s="287"/>
      <c r="C974" s="288"/>
    </row>
    <row r="975">
      <c r="A975" s="287"/>
      <c r="C975" s="288"/>
    </row>
    <row r="976">
      <c r="A976" s="287"/>
      <c r="C976" s="288"/>
    </row>
    <row r="977">
      <c r="A977" s="287"/>
      <c r="C977" s="288"/>
    </row>
    <row r="978">
      <c r="A978" s="287"/>
      <c r="C978" s="288"/>
    </row>
    <row r="979">
      <c r="A979" s="287"/>
      <c r="C979" s="288"/>
    </row>
    <row r="980">
      <c r="A980" s="287"/>
      <c r="C980" s="288"/>
    </row>
    <row r="981">
      <c r="A981" s="287"/>
      <c r="C981" s="288"/>
    </row>
    <row r="982">
      <c r="A982" s="287"/>
      <c r="C982" s="288"/>
    </row>
    <row r="983">
      <c r="A983" s="287"/>
      <c r="C983" s="288"/>
    </row>
    <row r="984">
      <c r="A984" s="287"/>
      <c r="C984" s="288"/>
    </row>
    <row r="985">
      <c r="A985" s="287"/>
      <c r="C985" s="288"/>
    </row>
    <row r="986">
      <c r="A986" s="287"/>
      <c r="C986" s="288"/>
    </row>
    <row r="987">
      <c r="A987" s="287"/>
      <c r="C987" s="288"/>
    </row>
    <row r="988">
      <c r="A988" s="287"/>
      <c r="C988" s="288"/>
    </row>
    <row r="989">
      <c r="A989" s="287"/>
      <c r="C989" s="288"/>
    </row>
    <row r="990">
      <c r="A990" s="287"/>
      <c r="C990" s="288"/>
    </row>
    <row r="991">
      <c r="A991" s="287"/>
      <c r="C991" s="288"/>
    </row>
    <row r="992">
      <c r="A992" s="287"/>
      <c r="C992" s="288"/>
    </row>
    <row r="993">
      <c r="A993" s="287"/>
      <c r="C993" s="288"/>
    </row>
    <row r="994">
      <c r="A994" s="287"/>
      <c r="C994" s="288"/>
    </row>
    <row r="995">
      <c r="A995" s="287"/>
      <c r="C995" s="288"/>
    </row>
    <row r="996">
      <c r="A996" s="287"/>
      <c r="C996" s="288"/>
    </row>
    <row r="997">
      <c r="A997" s="287"/>
      <c r="C997" s="288"/>
    </row>
    <row r="998">
      <c r="A998" s="287"/>
      <c r="C998" s="288"/>
    </row>
    <row r="999">
      <c r="A999" s="287"/>
      <c r="C999" s="288"/>
    </row>
    <row r="1000">
      <c r="A1000" s="287"/>
      <c r="C1000" s="288"/>
    </row>
  </sheetData>
  <mergeCells count="4">
    <mergeCell ref="A2:A4"/>
    <mergeCell ref="A5:A12"/>
    <mergeCell ref="A13:A20"/>
    <mergeCell ref="A21:A28"/>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1.5"/>
    <col customWidth="1" min="2" max="2" width="35.0"/>
    <col customWidth="1" min="3" max="3" width="21.38"/>
    <col customWidth="1" min="4" max="4" width="12.25"/>
    <col customWidth="1" min="5" max="5" width="10.63"/>
    <col customWidth="1" min="6" max="6" width="37.5"/>
    <col customWidth="1" min="7" max="7" width="33.38"/>
    <col customWidth="1" min="8" max="8" width="41.0"/>
    <col customWidth="1" min="9" max="9" width="41.75"/>
    <col customWidth="1" min="10" max="10" width="9.88"/>
    <col customWidth="1" min="13" max="13" width="19.13"/>
  </cols>
  <sheetData>
    <row r="1">
      <c r="A1" s="289" t="s">
        <v>268</v>
      </c>
      <c r="B1" s="290" t="s">
        <v>269</v>
      </c>
      <c r="C1" s="290" t="s">
        <v>270</v>
      </c>
      <c r="D1" s="290" t="s">
        <v>8558</v>
      </c>
      <c r="E1" s="290" t="s">
        <v>145</v>
      </c>
      <c r="F1" s="291" t="s">
        <v>30</v>
      </c>
      <c r="G1" s="94" t="s">
        <v>8559</v>
      </c>
      <c r="H1" s="94" t="s">
        <v>8560</v>
      </c>
      <c r="I1" s="291" t="s">
        <v>273</v>
      </c>
      <c r="J1" s="290" t="s">
        <v>32</v>
      </c>
      <c r="K1" s="292" t="s">
        <v>33</v>
      </c>
      <c r="L1" s="290" t="s">
        <v>274</v>
      </c>
      <c r="M1" s="293"/>
      <c r="N1" s="293"/>
      <c r="O1" s="293"/>
      <c r="P1" s="293"/>
      <c r="Q1" s="293"/>
      <c r="R1" s="293"/>
      <c r="S1" s="293"/>
      <c r="T1" s="293"/>
      <c r="U1" s="293"/>
      <c r="V1" s="293"/>
      <c r="W1" s="293"/>
      <c r="X1" s="293"/>
      <c r="Y1" s="293"/>
      <c r="Z1" s="293"/>
      <c r="AA1" s="293"/>
      <c r="AB1" s="293"/>
    </row>
    <row r="2">
      <c r="A2" s="294" t="s">
        <v>8561</v>
      </c>
      <c r="B2" s="295" t="s">
        <v>8562</v>
      </c>
      <c r="C2" s="296" t="s">
        <v>8563</v>
      </c>
      <c r="D2" s="297" t="s">
        <v>271</v>
      </c>
      <c r="E2" s="296" t="s">
        <v>8564</v>
      </c>
      <c r="F2" s="298" t="s">
        <v>8565</v>
      </c>
      <c r="G2" s="100" t="s">
        <v>8566</v>
      </c>
      <c r="H2" s="299" t="s">
        <v>8567</v>
      </c>
      <c r="I2" s="298" t="s">
        <v>8568</v>
      </c>
      <c r="J2" s="300" t="s">
        <v>36</v>
      </c>
      <c r="K2" s="296" t="s">
        <v>2062</v>
      </c>
      <c r="L2" s="301"/>
      <c r="M2" s="302"/>
      <c r="N2" s="302"/>
      <c r="O2" s="302"/>
      <c r="P2" s="302"/>
      <c r="Q2" s="302"/>
      <c r="R2" s="302"/>
      <c r="S2" s="302"/>
      <c r="T2" s="302"/>
      <c r="U2" s="302"/>
      <c r="V2" s="302"/>
      <c r="W2" s="302"/>
      <c r="X2" s="302"/>
      <c r="Y2" s="302"/>
      <c r="Z2" s="302"/>
      <c r="AA2" s="302"/>
      <c r="AB2" s="302"/>
    </row>
    <row r="3">
      <c r="A3" s="294" t="s">
        <v>8561</v>
      </c>
      <c r="B3" s="108"/>
      <c r="C3" s="296" t="s">
        <v>8569</v>
      </c>
      <c r="D3" s="297" t="s">
        <v>271</v>
      </c>
      <c r="E3" s="296" t="s">
        <v>8564</v>
      </c>
      <c r="F3" s="298" t="s">
        <v>8570</v>
      </c>
      <c r="G3" s="100" t="s">
        <v>8566</v>
      </c>
      <c r="H3" s="299" t="s">
        <v>8571</v>
      </c>
      <c r="I3" s="298" t="s">
        <v>8572</v>
      </c>
      <c r="J3" s="300" t="s">
        <v>36</v>
      </c>
      <c r="K3" s="296" t="s">
        <v>2062</v>
      </c>
      <c r="L3" s="301"/>
      <c r="M3" s="302"/>
      <c r="N3" s="302"/>
      <c r="O3" s="302"/>
      <c r="P3" s="302"/>
      <c r="Q3" s="302"/>
      <c r="R3" s="302"/>
      <c r="S3" s="302"/>
      <c r="T3" s="302"/>
      <c r="U3" s="302"/>
      <c r="V3" s="302"/>
      <c r="W3" s="302"/>
      <c r="X3" s="302"/>
      <c r="Y3" s="302"/>
      <c r="Z3" s="302"/>
      <c r="AA3" s="302"/>
      <c r="AB3" s="302"/>
    </row>
    <row r="4">
      <c r="A4" s="294" t="s">
        <v>8561</v>
      </c>
      <c r="B4" s="108"/>
      <c r="C4" s="296" t="s">
        <v>8573</v>
      </c>
      <c r="D4" s="297" t="s">
        <v>271</v>
      </c>
      <c r="E4" s="296" t="s">
        <v>8564</v>
      </c>
      <c r="F4" s="298" t="s">
        <v>8574</v>
      </c>
      <c r="G4" s="100" t="s">
        <v>8566</v>
      </c>
      <c r="H4" s="299" t="s">
        <v>8575</v>
      </c>
      <c r="I4" s="298" t="s">
        <v>8576</v>
      </c>
      <c r="J4" s="300" t="s">
        <v>36</v>
      </c>
      <c r="K4" s="296" t="s">
        <v>2062</v>
      </c>
      <c r="L4" s="301"/>
      <c r="M4" s="302"/>
      <c r="N4" s="302"/>
      <c r="O4" s="302"/>
      <c r="P4" s="302"/>
      <c r="Q4" s="302"/>
      <c r="R4" s="302"/>
      <c r="S4" s="302"/>
      <c r="T4" s="302"/>
      <c r="U4" s="302"/>
      <c r="V4" s="302"/>
      <c r="W4" s="302"/>
      <c r="X4" s="302"/>
      <c r="Y4" s="302"/>
      <c r="Z4" s="302"/>
      <c r="AA4" s="302"/>
      <c r="AB4" s="302"/>
    </row>
    <row r="5">
      <c r="A5" s="294" t="s">
        <v>8561</v>
      </c>
      <c r="B5" s="108"/>
      <c r="C5" s="296" t="s">
        <v>8577</v>
      </c>
      <c r="D5" s="297" t="s">
        <v>271</v>
      </c>
      <c r="E5" s="296" t="s">
        <v>8564</v>
      </c>
      <c r="F5" s="298" t="s">
        <v>8578</v>
      </c>
      <c r="G5" s="100" t="s">
        <v>8579</v>
      </c>
      <c r="H5" s="299" t="s">
        <v>8580</v>
      </c>
      <c r="I5" s="298" t="s">
        <v>8581</v>
      </c>
      <c r="J5" s="300" t="s">
        <v>36</v>
      </c>
      <c r="K5" s="296" t="s">
        <v>2062</v>
      </c>
      <c r="L5" s="301"/>
      <c r="M5" s="302"/>
      <c r="N5" s="302"/>
      <c r="O5" s="302"/>
      <c r="P5" s="302"/>
      <c r="Q5" s="302"/>
      <c r="R5" s="302"/>
      <c r="S5" s="302"/>
      <c r="T5" s="302"/>
      <c r="U5" s="302"/>
      <c r="V5" s="302"/>
      <c r="W5" s="302"/>
      <c r="X5" s="302"/>
      <c r="Y5" s="302"/>
      <c r="Z5" s="302"/>
      <c r="AA5" s="302"/>
      <c r="AB5" s="302"/>
    </row>
    <row r="6">
      <c r="A6" s="294" t="s">
        <v>8561</v>
      </c>
      <c r="B6" s="108"/>
      <c r="C6" s="296" t="s">
        <v>8582</v>
      </c>
      <c r="D6" s="297" t="s">
        <v>271</v>
      </c>
      <c r="E6" s="296" t="s">
        <v>8583</v>
      </c>
      <c r="F6" s="298" t="s">
        <v>8584</v>
      </c>
      <c r="G6" s="100" t="s">
        <v>8585</v>
      </c>
      <c r="H6" s="299" t="s">
        <v>8586</v>
      </c>
      <c r="I6" s="298" t="s">
        <v>8587</v>
      </c>
      <c r="J6" s="300" t="s">
        <v>36</v>
      </c>
      <c r="K6" s="296" t="s">
        <v>2062</v>
      </c>
      <c r="L6" s="301"/>
      <c r="M6" s="302"/>
      <c r="N6" s="302"/>
      <c r="O6" s="302"/>
      <c r="P6" s="302"/>
      <c r="Q6" s="302"/>
      <c r="R6" s="302"/>
      <c r="S6" s="302"/>
      <c r="T6" s="302"/>
      <c r="U6" s="302"/>
      <c r="V6" s="302"/>
      <c r="W6" s="302"/>
      <c r="X6" s="302"/>
      <c r="Y6" s="302"/>
      <c r="Z6" s="302"/>
      <c r="AA6" s="302"/>
      <c r="AB6" s="302"/>
    </row>
    <row r="7">
      <c r="A7" s="294" t="s">
        <v>8561</v>
      </c>
      <c r="B7" s="108"/>
      <c r="C7" s="296" t="s">
        <v>8588</v>
      </c>
      <c r="D7" s="297" t="s">
        <v>271</v>
      </c>
      <c r="E7" s="296" t="s">
        <v>8583</v>
      </c>
      <c r="F7" s="298" t="s">
        <v>8589</v>
      </c>
      <c r="G7" s="100" t="s">
        <v>8585</v>
      </c>
      <c r="H7" s="299" t="s">
        <v>8590</v>
      </c>
      <c r="I7" s="298" t="s">
        <v>8591</v>
      </c>
      <c r="J7" s="300" t="s">
        <v>36</v>
      </c>
      <c r="K7" s="296" t="s">
        <v>2062</v>
      </c>
      <c r="L7" s="301"/>
      <c r="M7" s="302"/>
      <c r="N7" s="302"/>
      <c r="O7" s="302"/>
      <c r="P7" s="302"/>
      <c r="Q7" s="302"/>
      <c r="R7" s="302"/>
      <c r="S7" s="302"/>
      <c r="T7" s="302"/>
      <c r="U7" s="302"/>
      <c r="V7" s="302"/>
      <c r="W7" s="302"/>
      <c r="X7" s="302"/>
      <c r="Y7" s="302"/>
      <c r="Z7" s="302"/>
      <c r="AA7" s="302"/>
      <c r="AB7" s="302"/>
    </row>
    <row r="8">
      <c r="A8" s="294" t="s">
        <v>8561</v>
      </c>
      <c r="B8" s="108"/>
      <c r="C8" s="296" t="s">
        <v>8592</v>
      </c>
      <c r="D8" s="297" t="s">
        <v>271</v>
      </c>
      <c r="E8" s="296" t="s">
        <v>8583</v>
      </c>
      <c r="F8" s="298" t="s">
        <v>8593</v>
      </c>
      <c r="G8" s="100" t="s">
        <v>8585</v>
      </c>
      <c r="H8" s="299" t="s">
        <v>8594</v>
      </c>
      <c r="I8" s="298" t="s">
        <v>8595</v>
      </c>
      <c r="J8" s="300" t="s">
        <v>36</v>
      </c>
      <c r="K8" s="296" t="s">
        <v>2062</v>
      </c>
      <c r="L8" s="301"/>
      <c r="M8" s="302"/>
      <c r="N8" s="302"/>
      <c r="O8" s="302"/>
      <c r="P8" s="302"/>
      <c r="Q8" s="302"/>
      <c r="R8" s="302"/>
      <c r="S8" s="302"/>
      <c r="T8" s="302"/>
      <c r="U8" s="302"/>
      <c r="V8" s="302"/>
      <c r="W8" s="302"/>
      <c r="X8" s="302"/>
      <c r="Y8" s="302"/>
      <c r="Z8" s="302"/>
      <c r="AA8" s="302"/>
      <c r="AB8" s="302"/>
    </row>
    <row r="9">
      <c r="A9" s="294" t="s">
        <v>8561</v>
      </c>
      <c r="B9" s="108"/>
      <c r="C9" s="296" t="s">
        <v>8596</v>
      </c>
      <c r="D9" s="297" t="s">
        <v>271</v>
      </c>
      <c r="E9" s="296" t="s">
        <v>8583</v>
      </c>
      <c r="F9" s="298" t="s">
        <v>8597</v>
      </c>
      <c r="G9" s="100" t="s">
        <v>8585</v>
      </c>
      <c r="H9" s="299" t="s">
        <v>8598</v>
      </c>
      <c r="I9" s="298" t="s">
        <v>8599</v>
      </c>
      <c r="J9" s="300" t="s">
        <v>36</v>
      </c>
      <c r="K9" s="296" t="s">
        <v>2062</v>
      </c>
      <c r="L9" s="301"/>
      <c r="M9" s="302"/>
      <c r="N9" s="302"/>
      <c r="O9" s="302"/>
      <c r="P9" s="302"/>
      <c r="Q9" s="302"/>
      <c r="R9" s="302"/>
      <c r="S9" s="302"/>
      <c r="T9" s="302"/>
      <c r="U9" s="302"/>
      <c r="V9" s="302"/>
      <c r="W9" s="302"/>
      <c r="X9" s="302"/>
      <c r="Y9" s="302"/>
      <c r="Z9" s="302"/>
      <c r="AA9" s="302"/>
      <c r="AB9" s="302"/>
    </row>
    <row r="10">
      <c r="A10" s="294" t="s">
        <v>8561</v>
      </c>
      <c r="B10" s="109"/>
      <c r="C10" s="296" t="s">
        <v>8600</v>
      </c>
      <c r="D10" s="303" t="s">
        <v>271</v>
      </c>
      <c r="E10" s="296" t="s">
        <v>8583</v>
      </c>
      <c r="F10" s="298" t="s">
        <v>8601</v>
      </c>
      <c r="G10" s="100" t="s">
        <v>8602</v>
      </c>
      <c r="H10" s="299" t="s">
        <v>8603</v>
      </c>
      <c r="I10" s="298" t="s">
        <v>8604</v>
      </c>
      <c r="J10" s="300" t="s">
        <v>36</v>
      </c>
      <c r="K10" s="296" t="s">
        <v>2062</v>
      </c>
      <c r="L10" s="304"/>
      <c r="M10" s="302"/>
      <c r="N10" s="302"/>
      <c r="O10" s="302"/>
      <c r="P10" s="302"/>
      <c r="Q10" s="302"/>
      <c r="R10" s="302"/>
      <c r="S10" s="302"/>
      <c r="T10" s="302"/>
      <c r="U10" s="302"/>
      <c r="V10" s="302"/>
      <c r="W10" s="302"/>
      <c r="X10" s="302"/>
      <c r="Y10" s="302"/>
      <c r="Z10" s="302"/>
      <c r="AA10" s="302"/>
      <c r="AB10" s="302"/>
    </row>
    <row r="11">
      <c r="A11" s="294" t="s">
        <v>8605</v>
      </c>
      <c r="B11" s="295" t="s">
        <v>8606</v>
      </c>
      <c r="C11" s="296" t="s">
        <v>8607</v>
      </c>
      <c r="D11" s="303" t="s">
        <v>271</v>
      </c>
      <c r="E11" s="296" t="s">
        <v>8608</v>
      </c>
      <c r="F11" s="298" t="s">
        <v>8609</v>
      </c>
      <c r="G11" s="296"/>
      <c r="H11" s="296" t="s">
        <v>8610</v>
      </c>
      <c r="I11" s="298" t="s">
        <v>8611</v>
      </c>
      <c r="J11" s="300" t="s">
        <v>36</v>
      </c>
      <c r="K11" s="296" t="s">
        <v>1784</v>
      </c>
      <c r="L11" s="305"/>
      <c r="M11" s="302"/>
      <c r="N11" s="302"/>
      <c r="O11" s="302"/>
      <c r="P11" s="302"/>
      <c r="Q11" s="302"/>
      <c r="R11" s="302"/>
      <c r="S11" s="302"/>
      <c r="T11" s="302"/>
      <c r="U11" s="302"/>
      <c r="V11" s="302"/>
      <c r="W11" s="302"/>
      <c r="X11" s="302"/>
      <c r="Y11" s="302"/>
      <c r="Z11" s="302"/>
      <c r="AA11" s="302"/>
      <c r="AB11" s="302"/>
    </row>
    <row r="12">
      <c r="A12" s="294" t="s">
        <v>8605</v>
      </c>
      <c r="B12" s="108"/>
      <c r="C12" s="296" t="s">
        <v>8612</v>
      </c>
      <c r="D12" s="303" t="s">
        <v>271</v>
      </c>
      <c r="E12" s="296" t="s">
        <v>8608</v>
      </c>
      <c r="F12" s="298" t="s">
        <v>8613</v>
      </c>
      <c r="G12" s="296"/>
      <c r="H12" s="298" t="s">
        <v>8610</v>
      </c>
      <c r="I12" s="298" t="s">
        <v>8614</v>
      </c>
      <c r="J12" s="300" t="s">
        <v>36</v>
      </c>
      <c r="K12" s="296" t="s">
        <v>8615</v>
      </c>
      <c r="L12" s="301"/>
      <c r="M12" s="302"/>
      <c r="N12" s="302"/>
      <c r="O12" s="302"/>
      <c r="P12" s="302"/>
      <c r="Q12" s="302"/>
      <c r="R12" s="302"/>
      <c r="S12" s="302"/>
      <c r="T12" s="302"/>
      <c r="U12" s="302"/>
      <c r="V12" s="302"/>
      <c r="W12" s="302"/>
      <c r="X12" s="302"/>
      <c r="Y12" s="302"/>
      <c r="Z12" s="302"/>
      <c r="AA12" s="302"/>
      <c r="AB12" s="302"/>
    </row>
    <row r="13">
      <c r="A13" s="294" t="s">
        <v>8605</v>
      </c>
      <c r="B13" s="108"/>
      <c r="C13" s="296" t="s">
        <v>8616</v>
      </c>
      <c r="D13" s="303" t="s">
        <v>271</v>
      </c>
      <c r="E13" s="296" t="s">
        <v>8608</v>
      </c>
      <c r="F13" s="298" t="s">
        <v>8617</v>
      </c>
      <c r="G13" s="296"/>
      <c r="H13" s="296" t="s">
        <v>8618</v>
      </c>
      <c r="I13" s="298" t="s">
        <v>8619</v>
      </c>
      <c r="J13" s="300" t="s">
        <v>36</v>
      </c>
      <c r="K13" s="296" t="s">
        <v>8620</v>
      </c>
      <c r="L13" s="301"/>
      <c r="M13" s="302"/>
      <c r="N13" s="302"/>
      <c r="O13" s="302"/>
      <c r="P13" s="302"/>
      <c r="Q13" s="302"/>
      <c r="R13" s="302"/>
      <c r="S13" s="302"/>
      <c r="T13" s="302"/>
      <c r="U13" s="302"/>
      <c r="V13" s="302"/>
      <c r="W13" s="302"/>
      <c r="X13" s="302"/>
      <c r="Y13" s="302"/>
      <c r="Z13" s="302"/>
      <c r="AA13" s="302"/>
      <c r="AB13" s="302"/>
    </row>
    <row r="14">
      <c r="A14" s="294" t="s">
        <v>8605</v>
      </c>
      <c r="B14" s="109"/>
      <c r="C14" s="296" t="s">
        <v>8621</v>
      </c>
      <c r="D14" s="303" t="s">
        <v>271</v>
      </c>
      <c r="E14" s="296" t="s">
        <v>8608</v>
      </c>
      <c r="F14" s="298" t="s">
        <v>8622</v>
      </c>
      <c r="G14" s="296"/>
      <c r="H14" s="296" t="s">
        <v>8623</v>
      </c>
      <c r="I14" s="298" t="s">
        <v>8624</v>
      </c>
      <c r="J14" s="300" t="s">
        <v>36</v>
      </c>
      <c r="K14" s="296" t="s">
        <v>8625</v>
      </c>
      <c r="L14" s="301"/>
      <c r="M14" s="302"/>
      <c r="N14" s="302"/>
      <c r="O14" s="302"/>
      <c r="P14" s="302"/>
      <c r="Q14" s="302"/>
      <c r="R14" s="302"/>
      <c r="S14" s="302"/>
      <c r="T14" s="302"/>
      <c r="U14" s="302"/>
      <c r="V14" s="302"/>
      <c r="W14" s="302"/>
      <c r="X14" s="302"/>
      <c r="Y14" s="302"/>
      <c r="Z14" s="302"/>
      <c r="AA14" s="302"/>
      <c r="AB14" s="302"/>
    </row>
    <row r="15">
      <c r="A15" s="294" t="s">
        <v>8626</v>
      </c>
      <c r="B15" s="295" t="s">
        <v>8627</v>
      </c>
      <c r="C15" s="296" t="s">
        <v>8628</v>
      </c>
      <c r="D15" s="303" t="s">
        <v>271</v>
      </c>
      <c r="E15" s="296" t="s">
        <v>8629</v>
      </c>
      <c r="F15" s="298" t="s">
        <v>8630</v>
      </c>
      <c r="G15" s="296"/>
      <c r="H15" s="296"/>
      <c r="I15" s="298" t="s">
        <v>8631</v>
      </c>
      <c r="J15" s="300" t="s">
        <v>317</v>
      </c>
      <c r="K15" s="296" t="s">
        <v>1784</v>
      </c>
      <c r="L15" s="296" t="s">
        <v>8632</v>
      </c>
      <c r="M15" s="302"/>
      <c r="N15" s="302"/>
      <c r="O15" s="302"/>
      <c r="P15" s="302"/>
      <c r="Q15" s="302"/>
      <c r="R15" s="302"/>
      <c r="S15" s="302"/>
      <c r="T15" s="302"/>
      <c r="U15" s="302"/>
      <c r="V15" s="302"/>
      <c r="W15" s="302"/>
      <c r="X15" s="302"/>
      <c r="Y15" s="302"/>
      <c r="Z15" s="302"/>
      <c r="AA15" s="302"/>
      <c r="AB15" s="302"/>
    </row>
    <row r="16">
      <c r="A16" s="294" t="s">
        <v>8626</v>
      </c>
      <c r="B16" s="108"/>
      <c r="C16" s="296" t="s">
        <v>8633</v>
      </c>
      <c r="D16" s="303" t="s">
        <v>271</v>
      </c>
      <c r="E16" s="296" t="s">
        <v>8634</v>
      </c>
      <c r="F16" s="298" t="s">
        <v>8635</v>
      </c>
      <c r="G16" s="296"/>
      <c r="H16" s="296"/>
      <c r="I16" s="298" t="s">
        <v>8636</v>
      </c>
      <c r="J16" s="300" t="s">
        <v>36</v>
      </c>
      <c r="K16" s="296" t="s">
        <v>1784</v>
      </c>
      <c r="L16" s="301"/>
      <c r="M16" s="302"/>
      <c r="N16" s="302"/>
      <c r="O16" s="302"/>
      <c r="P16" s="302"/>
      <c r="Q16" s="302"/>
      <c r="R16" s="302"/>
      <c r="S16" s="302"/>
      <c r="T16" s="302"/>
      <c r="U16" s="302"/>
      <c r="V16" s="302"/>
      <c r="W16" s="302"/>
      <c r="X16" s="302"/>
      <c r="Y16" s="302"/>
      <c r="Z16" s="302"/>
      <c r="AA16" s="302"/>
      <c r="AB16" s="302"/>
    </row>
    <row r="17">
      <c r="A17" s="294" t="s">
        <v>8626</v>
      </c>
      <c r="B17" s="109"/>
      <c r="C17" s="296" t="s">
        <v>8637</v>
      </c>
      <c r="D17" s="303" t="s">
        <v>271</v>
      </c>
      <c r="E17" s="296" t="s">
        <v>8634</v>
      </c>
      <c r="F17" s="298" t="s">
        <v>8638</v>
      </c>
      <c r="G17" s="296"/>
      <c r="H17" s="296"/>
      <c r="I17" s="298" t="s">
        <v>8639</v>
      </c>
      <c r="J17" s="300" t="s">
        <v>36</v>
      </c>
      <c r="K17" s="296" t="s">
        <v>1784</v>
      </c>
      <c r="L17" s="301"/>
      <c r="M17" s="302"/>
      <c r="N17" s="302"/>
      <c r="O17" s="302"/>
      <c r="P17" s="302"/>
      <c r="Q17" s="302"/>
      <c r="R17" s="302"/>
      <c r="S17" s="302"/>
      <c r="T17" s="302"/>
      <c r="U17" s="302"/>
      <c r="V17" s="302"/>
      <c r="W17" s="302"/>
      <c r="X17" s="302"/>
      <c r="Y17" s="302"/>
      <c r="Z17" s="302"/>
      <c r="AA17" s="302"/>
      <c r="AB17" s="302"/>
    </row>
    <row r="18">
      <c r="A18" s="294" t="s">
        <v>8640</v>
      </c>
      <c r="B18" s="295" t="s">
        <v>8641</v>
      </c>
      <c r="C18" s="296" t="s">
        <v>8642</v>
      </c>
      <c r="D18" s="303" t="s">
        <v>271</v>
      </c>
      <c r="E18" s="296" t="s">
        <v>2994</v>
      </c>
      <c r="F18" s="298" t="s">
        <v>8643</v>
      </c>
      <c r="G18" s="296" t="s">
        <v>8644</v>
      </c>
      <c r="H18" s="296" t="s">
        <v>8645</v>
      </c>
      <c r="I18" s="298" t="s">
        <v>8646</v>
      </c>
      <c r="J18" s="300" t="s">
        <v>36</v>
      </c>
      <c r="K18" s="296" t="s">
        <v>8647</v>
      </c>
      <c r="L18" s="301"/>
      <c r="M18" s="302"/>
      <c r="N18" s="302"/>
      <c r="O18" s="302"/>
      <c r="P18" s="302"/>
      <c r="Q18" s="302"/>
      <c r="R18" s="302"/>
      <c r="S18" s="302"/>
      <c r="T18" s="302"/>
      <c r="U18" s="302"/>
      <c r="V18" s="302"/>
      <c r="W18" s="302"/>
      <c r="X18" s="302"/>
      <c r="Y18" s="302"/>
      <c r="Z18" s="302"/>
      <c r="AA18" s="302"/>
      <c r="AB18" s="302"/>
    </row>
    <row r="19">
      <c r="A19" s="294" t="s">
        <v>8640</v>
      </c>
      <c r="B19" s="108"/>
      <c r="C19" s="296" t="s">
        <v>8648</v>
      </c>
      <c r="D19" s="303" t="s">
        <v>271</v>
      </c>
      <c r="E19" s="296" t="s">
        <v>2994</v>
      </c>
      <c r="F19" s="298" t="s">
        <v>8649</v>
      </c>
      <c r="G19" s="296" t="s">
        <v>8650</v>
      </c>
      <c r="H19" s="296" t="s">
        <v>8651</v>
      </c>
      <c r="I19" s="298" t="s">
        <v>8652</v>
      </c>
      <c r="J19" s="300" t="s">
        <v>36</v>
      </c>
      <c r="K19" s="296" t="s">
        <v>8647</v>
      </c>
      <c r="L19" s="301"/>
      <c r="M19" s="302"/>
      <c r="N19" s="302"/>
      <c r="O19" s="302"/>
      <c r="P19" s="302"/>
      <c r="Q19" s="302"/>
      <c r="R19" s="302"/>
      <c r="S19" s="302"/>
      <c r="T19" s="302"/>
      <c r="U19" s="302"/>
      <c r="V19" s="302"/>
      <c r="W19" s="302"/>
      <c r="X19" s="302"/>
      <c r="Y19" s="302"/>
      <c r="Z19" s="302"/>
      <c r="AA19" s="302"/>
      <c r="AB19" s="302"/>
    </row>
    <row r="20">
      <c r="A20" s="294" t="s">
        <v>8640</v>
      </c>
      <c r="B20" s="109"/>
      <c r="C20" s="296" t="s">
        <v>8653</v>
      </c>
      <c r="D20" s="303" t="s">
        <v>271</v>
      </c>
      <c r="E20" s="296" t="s">
        <v>2994</v>
      </c>
      <c r="F20" s="298" t="s">
        <v>8654</v>
      </c>
      <c r="G20" s="296" t="s">
        <v>8655</v>
      </c>
      <c r="H20" s="296" t="s">
        <v>8656</v>
      </c>
      <c r="I20" s="298" t="s">
        <v>8646</v>
      </c>
      <c r="J20" s="300" t="s">
        <v>36</v>
      </c>
      <c r="K20" s="296" t="s">
        <v>8647</v>
      </c>
      <c r="L20" s="301"/>
      <c r="M20" s="302"/>
      <c r="N20" s="302"/>
      <c r="O20" s="302"/>
      <c r="P20" s="302"/>
      <c r="Q20" s="302"/>
      <c r="R20" s="302"/>
      <c r="S20" s="302"/>
      <c r="T20" s="302"/>
      <c r="U20" s="302"/>
      <c r="V20" s="302"/>
      <c r="W20" s="302"/>
      <c r="X20" s="302"/>
      <c r="Y20" s="302"/>
      <c r="Z20" s="302"/>
      <c r="AA20" s="302"/>
      <c r="AB20" s="302"/>
    </row>
    <row r="21">
      <c r="A21" s="294" t="s">
        <v>8657</v>
      </c>
      <c r="B21" s="295" t="s">
        <v>8658</v>
      </c>
      <c r="C21" s="296" t="s">
        <v>8659</v>
      </c>
      <c r="D21" s="303" t="s">
        <v>271</v>
      </c>
      <c r="E21" s="296" t="s">
        <v>8660</v>
      </c>
      <c r="F21" s="298" t="s">
        <v>8661</v>
      </c>
      <c r="G21" s="296"/>
      <c r="H21" s="306" t="s">
        <v>8662</v>
      </c>
      <c r="I21" s="298" t="s">
        <v>8663</v>
      </c>
      <c r="J21" s="300" t="s">
        <v>36</v>
      </c>
      <c r="K21" s="296" t="s">
        <v>8647</v>
      </c>
      <c r="L21" s="301"/>
      <c r="M21" s="302"/>
      <c r="N21" s="302"/>
      <c r="O21" s="302"/>
      <c r="P21" s="302"/>
      <c r="Q21" s="302"/>
      <c r="R21" s="302"/>
      <c r="S21" s="302"/>
      <c r="T21" s="302"/>
      <c r="U21" s="302"/>
      <c r="V21" s="302"/>
      <c r="W21" s="302"/>
      <c r="X21" s="302"/>
      <c r="Y21" s="302"/>
      <c r="Z21" s="302"/>
      <c r="AA21" s="302"/>
      <c r="AB21" s="302"/>
    </row>
    <row r="22">
      <c r="A22" s="294" t="s">
        <v>8657</v>
      </c>
      <c r="B22" s="108"/>
      <c r="C22" s="296" t="s">
        <v>8664</v>
      </c>
      <c r="D22" s="303" t="s">
        <v>271</v>
      </c>
      <c r="E22" s="296" t="s">
        <v>8660</v>
      </c>
      <c r="F22" s="298" t="s">
        <v>8665</v>
      </c>
      <c r="G22" s="296"/>
      <c r="H22" s="306" t="s">
        <v>8666</v>
      </c>
      <c r="I22" s="298" t="s">
        <v>8667</v>
      </c>
      <c r="J22" s="300" t="s">
        <v>36</v>
      </c>
      <c r="K22" s="296" t="s">
        <v>8647</v>
      </c>
      <c r="L22" s="301"/>
      <c r="M22" s="302"/>
      <c r="N22" s="302"/>
      <c r="O22" s="302"/>
      <c r="P22" s="302"/>
      <c r="Q22" s="302"/>
      <c r="R22" s="302"/>
      <c r="S22" s="302"/>
      <c r="T22" s="302"/>
      <c r="U22" s="302"/>
      <c r="V22" s="302"/>
      <c r="W22" s="302"/>
      <c r="X22" s="302"/>
      <c r="Y22" s="302"/>
      <c r="Z22" s="302"/>
      <c r="AA22" s="302"/>
      <c r="AB22" s="302"/>
    </row>
    <row r="23">
      <c r="A23" s="294" t="s">
        <v>8657</v>
      </c>
      <c r="B23" s="108"/>
      <c r="C23" s="296" t="s">
        <v>8668</v>
      </c>
      <c r="D23" s="303" t="s">
        <v>271</v>
      </c>
      <c r="E23" s="296" t="s">
        <v>8660</v>
      </c>
      <c r="F23" s="298" t="s">
        <v>8669</v>
      </c>
      <c r="G23" s="296"/>
      <c r="H23" s="306" t="s">
        <v>8670</v>
      </c>
      <c r="I23" s="298" t="s">
        <v>8667</v>
      </c>
      <c r="J23" s="300" t="s">
        <v>36</v>
      </c>
      <c r="K23" s="296" t="s">
        <v>8647</v>
      </c>
      <c r="L23" s="301"/>
      <c r="M23" s="302"/>
      <c r="N23" s="302"/>
      <c r="O23" s="302"/>
      <c r="P23" s="302"/>
      <c r="Q23" s="302"/>
      <c r="R23" s="302"/>
      <c r="S23" s="302"/>
      <c r="T23" s="302"/>
      <c r="U23" s="302"/>
      <c r="V23" s="302"/>
      <c r="W23" s="302"/>
      <c r="X23" s="302"/>
      <c r="Y23" s="302"/>
      <c r="Z23" s="302"/>
      <c r="AA23" s="302"/>
      <c r="AB23" s="302"/>
    </row>
    <row r="24">
      <c r="A24" s="294" t="s">
        <v>8657</v>
      </c>
      <c r="B24" s="109"/>
      <c r="C24" s="296" t="s">
        <v>8671</v>
      </c>
      <c r="D24" s="303" t="s">
        <v>271</v>
      </c>
      <c r="E24" s="296" t="s">
        <v>8660</v>
      </c>
      <c r="F24" s="298" t="s">
        <v>8672</v>
      </c>
      <c r="G24" s="296"/>
      <c r="H24" s="306" t="s">
        <v>8673</v>
      </c>
      <c r="I24" s="298" t="s">
        <v>8667</v>
      </c>
      <c r="J24" s="300" t="s">
        <v>36</v>
      </c>
      <c r="K24" s="296" t="s">
        <v>8647</v>
      </c>
      <c r="L24" s="296"/>
      <c r="M24" s="302"/>
      <c r="N24" s="302"/>
      <c r="O24" s="302"/>
      <c r="P24" s="302"/>
      <c r="Q24" s="302"/>
      <c r="R24" s="302"/>
      <c r="S24" s="302"/>
      <c r="T24" s="302"/>
      <c r="U24" s="302"/>
      <c r="V24" s="302"/>
      <c r="W24" s="302"/>
      <c r="X24" s="302"/>
      <c r="Y24" s="302"/>
      <c r="Z24" s="302"/>
      <c r="AA24" s="302"/>
      <c r="AB24" s="302"/>
    </row>
    <row r="25">
      <c r="A25" s="307" t="s">
        <v>8674</v>
      </c>
      <c r="B25" s="295" t="s">
        <v>8675</v>
      </c>
      <c r="C25" s="296" t="s">
        <v>8676</v>
      </c>
      <c r="D25" s="303" t="s">
        <v>271</v>
      </c>
      <c r="E25" s="296" t="s">
        <v>8677</v>
      </c>
      <c r="F25" s="298" t="s">
        <v>8678</v>
      </c>
      <c r="G25" s="100" t="s">
        <v>8679</v>
      </c>
      <c r="H25" s="298" t="s">
        <v>8680</v>
      </c>
      <c r="I25" s="298" t="s">
        <v>8681</v>
      </c>
      <c r="J25" s="300" t="s">
        <v>36</v>
      </c>
      <c r="K25" s="301"/>
      <c r="L25" s="296"/>
      <c r="M25" s="302"/>
      <c r="N25" s="302"/>
      <c r="O25" s="302"/>
      <c r="P25" s="302"/>
      <c r="Q25" s="302"/>
      <c r="R25" s="302"/>
      <c r="S25" s="302"/>
      <c r="T25" s="302"/>
      <c r="U25" s="302"/>
      <c r="V25" s="302"/>
      <c r="W25" s="302"/>
      <c r="X25" s="302"/>
      <c r="Y25" s="302"/>
      <c r="Z25" s="302"/>
      <c r="AA25" s="302"/>
      <c r="AB25" s="302"/>
    </row>
    <row r="26">
      <c r="A26" s="307" t="s">
        <v>8674</v>
      </c>
      <c r="B26" s="108"/>
      <c r="C26" s="296" t="s">
        <v>8682</v>
      </c>
      <c r="D26" s="303" t="s">
        <v>271</v>
      </c>
      <c r="E26" s="296" t="s">
        <v>8677</v>
      </c>
      <c r="F26" s="298" t="s">
        <v>8683</v>
      </c>
      <c r="G26" s="100" t="s">
        <v>8684</v>
      </c>
      <c r="H26" s="298" t="s">
        <v>8685</v>
      </c>
      <c r="I26" s="298" t="s">
        <v>8686</v>
      </c>
      <c r="J26" s="300" t="s">
        <v>36</v>
      </c>
      <c r="K26" s="301"/>
      <c r="L26" s="296"/>
      <c r="M26" s="302"/>
      <c r="N26" s="302"/>
      <c r="O26" s="302"/>
      <c r="P26" s="302"/>
      <c r="Q26" s="302"/>
      <c r="R26" s="302"/>
      <c r="S26" s="302"/>
      <c r="T26" s="302"/>
      <c r="U26" s="302"/>
      <c r="V26" s="302"/>
      <c r="W26" s="302"/>
      <c r="X26" s="302"/>
      <c r="Y26" s="302"/>
      <c r="Z26" s="302"/>
      <c r="AA26" s="302"/>
      <c r="AB26" s="302"/>
    </row>
    <row r="27">
      <c r="A27" s="307" t="s">
        <v>8674</v>
      </c>
      <c r="B27" s="108"/>
      <c r="C27" s="296" t="s">
        <v>8687</v>
      </c>
      <c r="D27" s="303" t="s">
        <v>271</v>
      </c>
      <c r="E27" s="296" t="s">
        <v>8677</v>
      </c>
      <c r="F27" s="298" t="s">
        <v>8688</v>
      </c>
      <c r="G27" s="100" t="s">
        <v>8689</v>
      </c>
      <c r="H27" s="298" t="s">
        <v>8690</v>
      </c>
      <c r="I27" s="298" t="s">
        <v>8691</v>
      </c>
      <c r="J27" s="300" t="s">
        <v>36</v>
      </c>
      <c r="K27" s="296"/>
      <c r="L27" s="296"/>
      <c r="M27" s="302"/>
      <c r="N27" s="302"/>
      <c r="O27" s="302"/>
      <c r="P27" s="302"/>
      <c r="Q27" s="302"/>
      <c r="R27" s="302"/>
      <c r="S27" s="302"/>
      <c r="T27" s="302"/>
      <c r="U27" s="302"/>
      <c r="V27" s="302"/>
      <c r="W27" s="302"/>
      <c r="X27" s="302"/>
      <c r="Y27" s="302"/>
      <c r="Z27" s="302"/>
      <c r="AA27" s="302"/>
      <c r="AB27" s="302"/>
    </row>
    <row r="28">
      <c r="A28" s="307" t="s">
        <v>8674</v>
      </c>
      <c r="B28" s="108"/>
      <c r="C28" s="296" t="s">
        <v>8692</v>
      </c>
      <c r="D28" s="303" t="s">
        <v>271</v>
      </c>
      <c r="E28" s="296" t="s">
        <v>8677</v>
      </c>
      <c r="F28" s="298" t="s">
        <v>8693</v>
      </c>
      <c r="G28" s="100" t="s">
        <v>8694</v>
      </c>
      <c r="H28" s="298" t="s">
        <v>8695</v>
      </c>
      <c r="I28" s="298" t="s">
        <v>8696</v>
      </c>
      <c r="J28" s="300" t="s">
        <v>36</v>
      </c>
      <c r="K28" s="301"/>
      <c r="L28" s="296"/>
      <c r="M28" s="302"/>
      <c r="N28" s="302"/>
      <c r="O28" s="302"/>
      <c r="P28" s="302"/>
      <c r="Q28" s="302"/>
      <c r="R28" s="302"/>
      <c r="S28" s="302"/>
      <c r="T28" s="302"/>
      <c r="U28" s="302"/>
      <c r="V28" s="302"/>
      <c r="W28" s="302"/>
      <c r="X28" s="302"/>
      <c r="Y28" s="302"/>
      <c r="Z28" s="302"/>
      <c r="AA28" s="302"/>
      <c r="AB28" s="302"/>
    </row>
    <row r="29">
      <c r="A29" s="307" t="s">
        <v>8674</v>
      </c>
      <c r="B29" s="108"/>
      <c r="C29" s="296" t="s">
        <v>8697</v>
      </c>
      <c r="D29" s="303" t="s">
        <v>271</v>
      </c>
      <c r="E29" s="296" t="s">
        <v>8677</v>
      </c>
      <c r="F29" s="298" t="s">
        <v>8698</v>
      </c>
      <c r="G29" s="100" t="s">
        <v>8699</v>
      </c>
      <c r="H29" s="298" t="s">
        <v>8700</v>
      </c>
      <c r="I29" s="298" t="s">
        <v>8701</v>
      </c>
      <c r="J29" s="300" t="s">
        <v>36</v>
      </c>
      <c r="K29" s="301"/>
      <c r="L29" s="296"/>
      <c r="M29" s="302"/>
      <c r="N29" s="302"/>
      <c r="O29" s="302"/>
      <c r="P29" s="302"/>
      <c r="Q29" s="302"/>
      <c r="R29" s="302"/>
      <c r="S29" s="302"/>
      <c r="T29" s="302"/>
      <c r="U29" s="302"/>
      <c r="V29" s="302"/>
      <c r="W29" s="302"/>
      <c r="X29" s="302"/>
      <c r="Y29" s="302"/>
      <c r="Z29" s="302"/>
      <c r="AA29" s="302"/>
      <c r="AB29" s="302"/>
    </row>
    <row r="30">
      <c r="A30" s="307" t="s">
        <v>8674</v>
      </c>
      <c r="B30" s="108"/>
      <c r="C30" s="296" t="s">
        <v>8702</v>
      </c>
      <c r="D30" s="303" t="s">
        <v>271</v>
      </c>
      <c r="E30" s="296" t="s">
        <v>8677</v>
      </c>
      <c r="F30" s="298" t="s">
        <v>8703</v>
      </c>
      <c r="G30" s="100" t="s">
        <v>8704</v>
      </c>
      <c r="H30" s="298" t="s">
        <v>8705</v>
      </c>
      <c r="I30" s="298" t="s">
        <v>8706</v>
      </c>
      <c r="J30" s="300" t="s">
        <v>36</v>
      </c>
      <c r="K30" s="301"/>
      <c r="L30" s="296"/>
      <c r="M30" s="302"/>
      <c r="N30" s="302"/>
      <c r="O30" s="302"/>
      <c r="P30" s="302"/>
      <c r="Q30" s="302"/>
      <c r="R30" s="302"/>
      <c r="S30" s="302"/>
      <c r="T30" s="302"/>
      <c r="U30" s="302"/>
      <c r="V30" s="302"/>
      <c r="W30" s="302"/>
      <c r="X30" s="302"/>
      <c r="Y30" s="302"/>
      <c r="Z30" s="302"/>
      <c r="AA30" s="302"/>
      <c r="AB30" s="302"/>
    </row>
    <row r="31">
      <c r="A31" s="307" t="s">
        <v>8674</v>
      </c>
      <c r="B31" s="108"/>
      <c r="C31" s="296" t="s">
        <v>8707</v>
      </c>
      <c r="D31" s="303" t="s">
        <v>271</v>
      </c>
      <c r="E31" s="296" t="s">
        <v>8677</v>
      </c>
      <c r="F31" s="298" t="s">
        <v>8708</v>
      </c>
      <c r="G31" s="100" t="s">
        <v>8709</v>
      </c>
      <c r="H31" s="298" t="s">
        <v>8685</v>
      </c>
      <c r="I31" s="298" t="s">
        <v>8686</v>
      </c>
      <c r="J31" s="300" t="s">
        <v>36</v>
      </c>
      <c r="K31" s="296"/>
      <c r="L31" s="296"/>
      <c r="M31" s="302"/>
      <c r="N31" s="302"/>
      <c r="O31" s="302"/>
      <c r="P31" s="302"/>
      <c r="Q31" s="302"/>
      <c r="R31" s="302"/>
      <c r="S31" s="302"/>
      <c r="T31" s="302"/>
      <c r="U31" s="302"/>
      <c r="V31" s="302"/>
      <c r="W31" s="302"/>
      <c r="X31" s="302"/>
      <c r="Y31" s="302"/>
      <c r="Z31" s="302"/>
      <c r="AA31" s="302"/>
      <c r="AB31" s="302"/>
    </row>
    <row r="32">
      <c r="A32" s="307" t="s">
        <v>8674</v>
      </c>
      <c r="B32" s="108"/>
      <c r="C32" s="296" t="s">
        <v>8710</v>
      </c>
      <c r="D32" s="303" t="s">
        <v>271</v>
      </c>
      <c r="E32" s="296" t="s">
        <v>8677</v>
      </c>
      <c r="F32" s="298" t="s">
        <v>8711</v>
      </c>
      <c r="G32" s="100" t="s">
        <v>8712</v>
      </c>
      <c r="H32" s="298" t="s">
        <v>8690</v>
      </c>
      <c r="I32" s="298" t="s">
        <v>8713</v>
      </c>
      <c r="J32" s="300" t="s">
        <v>317</v>
      </c>
      <c r="K32" s="296" t="s">
        <v>8714</v>
      </c>
      <c r="L32" s="296"/>
      <c r="M32" s="302"/>
      <c r="N32" s="302"/>
      <c r="O32" s="302"/>
      <c r="P32" s="302"/>
      <c r="Q32" s="302"/>
      <c r="R32" s="302"/>
      <c r="S32" s="302"/>
      <c r="T32" s="302"/>
      <c r="U32" s="302"/>
      <c r="V32" s="302"/>
      <c r="W32" s="302"/>
      <c r="X32" s="302"/>
      <c r="Y32" s="302"/>
      <c r="Z32" s="302"/>
      <c r="AA32" s="302"/>
      <c r="AB32" s="302"/>
    </row>
    <row r="33">
      <c r="A33" s="307" t="s">
        <v>8674</v>
      </c>
      <c r="B33" s="108"/>
      <c r="C33" s="296" t="s">
        <v>8715</v>
      </c>
      <c r="D33" s="303" t="s">
        <v>271</v>
      </c>
      <c r="E33" s="296" t="s">
        <v>8677</v>
      </c>
      <c r="F33" s="298" t="s">
        <v>8716</v>
      </c>
      <c r="G33" s="100" t="s">
        <v>8717</v>
      </c>
      <c r="H33" s="298" t="s">
        <v>8695</v>
      </c>
      <c r="I33" s="298" t="s">
        <v>8696</v>
      </c>
      <c r="J33" s="300" t="s">
        <v>36</v>
      </c>
      <c r="K33" s="301"/>
      <c r="L33" s="296"/>
      <c r="M33" s="302"/>
      <c r="N33" s="302"/>
      <c r="O33" s="302"/>
      <c r="P33" s="302"/>
      <c r="Q33" s="302"/>
      <c r="R33" s="302"/>
      <c r="S33" s="302"/>
      <c r="T33" s="302"/>
      <c r="U33" s="302"/>
      <c r="V33" s="302"/>
      <c r="W33" s="302"/>
      <c r="X33" s="302"/>
      <c r="Y33" s="302"/>
      <c r="Z33" s="302"/>
      <c r="AA33" s="302"/>
      <c r="AB33" s="302"/>
    </row>
    <row r="34">
      <c r="A34" s="307" t="s">
        <v>8674</v>
      </c>
      <c r="B34" s="109"/>
      <c r="C34" s="296" t="s">
        <v>8718</v>
      </c>
      <c r="D34" s="303" t="s">
        <v>271</v>
      </c>
      <c r="E34" s="296" t="s">
        <v>8677</v>
      </c>
      <c r="F34" s="298" t="s">
        <v>8719</v>
      </c>
      <c r="G34" s="100" t="s">
        <v>8720</v>
      </c>
      <c r="H34" s="298" t="s">
        <v>8721</v>
      </c>
      <c r="I34" s="298" t="s">
        <v>8686</v>
      </c>
      <c r="J34" s="300" t="s">
        <v>36</v>
      </c>
      <c r="K34" s="301"/>
      <c r="L34" s="296" t="s">
        <v>8722</v>
      </c>
      <c r="M34" s="302"/>
      <c r="N34" s="302"/>
      <c r="O34" s="302"/>
      <c r="P34" s="302"/>
      <c r="Q34" s="302"/>
      <c r="R34" s="302"/>
      <c r="S34" s="302"/>
      <c r="T34" s="302"/>
      <c r="U34" s="302"/>
      <c r="V34" s="302"/>
      <c r="W34" s="302"/>
      <c r="X34" s="302"/>
      <c r="Y34" s="302"/>
      <c r="Z34" s="302"/>
      <c r="AA34" s="302"/>
      <c r="AB34" s="302"/>
    </row>
    <row r="35">
      <c r="A35" s="307" t="s">
        <v>8723</v>
      </c>
      <c r="B35" s="308" t="s">
        <v>8724</v>
      </c>
      <c r="C35" s="296" t="s">
        <v>8725</v>
      </c>
      <c r="D35" s="303" t="s">
        <v>271</v>
      </c>
      <c r="E35" s="296" t="s">
        <v>8508</v>
      </c>
      <c r="F35" s="298" t="s">
        <v>8726</v>
      </c>
      <c r="G35" s="204"/>
      <c r="H35" s="296" t="s">
        <v>8727</v>
      </c>
      <c r="I35" s="298" t="s">
        <v>8728</v>
      </c>
      <c r="J35" s="300" t="s">
        <v>36</v>
      </c>
      <c r="K35" s="296" t="s">
        <v>1784</v>
      </c>
      <c r="L35" s="301"/>
      <c r="M35" s="302"/>
      <c r="N35" s="302"/>
      <c r="O35" s="302"/>
      <c r="P35" s="302"/>
      <c r="Q35" s="302"/>
      <c r="R35" s="302"/>
      <c r="S35" s="302"/>
      <c r="T35" s="302"/>
      <c r="U35" s="302"/>
      <c r="V35" s="302"/>
      <c r="W35" s="302"/>
      <c r="X35" s="302"/>
      <c r="Y35" s="302"/>
      <c r="Z35" s="302"/>
      <c r="AA35" s="302"/>
      <c r="AB35" s="302"/>
    </row>
    <row r="36">
      <c r="A36" s="307" t="s">
        <v>8723</v>
      </c>
      <c r="B36" s="108"/>
      <c r="C36" s="296" t="s">
        <v>8729</v>
      </c>
      <c r="D36" s="303" t="s">
        <v>271</v>
      </c>
      <c r="E36" s="296" t="s">
        <v>8508</v>
      </c>
      <c r="F36" s="298" t="s">
        <v>8730</v>
      </c>
      <c r="G36" s="204"/>
      <c r="H36" s="296" t="s">
        <v>8731</v>
      </c>
      <c r="I36" s="298" t="s">
        <v>8732</v>
      </c>
      <c r="J36" s="300" t="s">
        <v>36</v>
      </c>
      <c r="K36" s="296" t="s">
        <v>1784</v>
      </c>
      <c r="L36" s="301"/>
      <c r="M36" s="302"/>
      <c r="N36" s="302"/>
      <c r="O36" s="302"/>
      <c r="P36" s="302"/>
      <c r="Q36" s="302"/>
      <c r="R36" s="302"/>
      <c r="S36" s="302"/>
      <c r="T36" s="302"/>
      <c r="U36" s="302"/>
      <c r="V36" s="302"/>
      <c r="W36" s="302"/>
      <c r="X36" s="302"/>
      <c r="Y36" s="302"/>
      <c r="Z36" s="302"/>
      <c r="AA36" s="302"/>
      <c r="AB36" s="302"/>
    </row>
    <row r="37">
      <c r="A37" s="307" t="s">
        <v>8723</v>
      </c>
      <c r="B37" s="108"/>
      <c r="C37" s="296" t="s">
        <v>8733</v>
      </c>
      <c r="D37" s="303" t="s">
        <v>271</v>
      </c>
      <c r="E37" s="296" t="s">
        <v>8508</v>
      </c>
      <c r="F37" s="298" t="s">
        <v>8734</v>
      </c>
      <c r="G37" s="204"/>
      <c r="H37" s="296" t="s">
        <v>8727</v>
      </c>
      <c r="I37" s="298" t="s">
        <v>8735</v>
      </c>
      <c r="J37" s="300" t="s">
        <v>36</v>
      </c>
      <c r="K37" s="296" t="s">
        <v>1784</v>
      </c>
      <c r="L37" s="301"/>
      <c r="M37" s="302"/>
      <c r="N37" s="302"/>
      <c r="O37" s="302"/>
      <c r="P37" s="302"/>
      <c r="Q37" s="302"/>
      <c r="R37" s="302"/>
      <c r="S37" s="302"/>
      <c r="T37" s="302"/>
      <c r="U37" s="302"/>
      <c r="V37" s="302"/>
      <c r="W37" s="302"/>
      <c r="X37" s="302"/>
      <c r="Y37" s="302"/>
      <c r="Z37" s="302"/>
      <c r="AA37" s="302"/>
      <c r="AB37" s="302"/>
    </row>
    <row r="38">
      <c r="A38" s="307" t="s">
        <v>8723</v>
      </c>
      <c r="B38" s="108"/>
      <c r="C38" s="296" t="s">
        <v>8736</v>
      </c>
      <c r="D38" s="303" t="s">
        <v>271</v>
      </c>
      <c r="E38" s="296" t="s">
        <v>8508</v>
      </c>
      <c r="F38" s="298" t="s">
        <v>8737</v>
      </c>
      <c r="G38" s="204"/>
      <c r="H38" s="296" t="s">
        <v>8738</v>
      </c>
      <c r="I38" s="298" t="s">
        <v>8739</v>
      </c>
      <c r="J38" s="300" t="s">
        <v>36</v>
      </c>
      <c r="K38" s="296" t="s">
        <v>1784</v>
      </c>
      <c r="L38" s="301"/>
      <c r="M38" s="302"/>
      <c r="N38" s="302"/>
      <c r="O38" s="302"/>
      <c r="P38" s="302"/>
      <c r="Q38" s="302"/>
      <c r="R38" s="302"/>
      <c r="S38" s="302"/>
      <c r="T38" s="302"/>
      <c r="U38" s="302"/>
      <c r="V38" s="302"/>
      <c r="W38" s="302"/>
      <c r="X38" s="302"/>
      <c r="Y38" s="302"/>
      <c r="Z38" s="302"/>
      <c r="AA38" s="302"/>
      <c r="AB38" s="302"/>
    </row>
    <row r="39">
      <c r="A39" s="307" t="s">
        <v>8723</v>
      </c>
      <c r="B39" s="108"/>
      <c r="C39" s="296" t="s">
        <v>8740</v>
      </c>
      <c r="D39" s="303" t="s">
        <v>271</v>
      </c>
      <c r="E39" s="296" t="s">
        <v>8508</v>
      </c>
      <c r="F39" s="298" t="s">
        <v>8741</v>
      </c>
      <c r="G39" s="204"/>
      <c r="H39" s="296" t="s">
        <v>8742</v>
      </c>
      <c r="I39" s="298" t="s">
        <v>8743</v>
      </c>
      <c r="J39" s="300" t="s">
        <v>36</v>
      </c>
      <c r="K39" s="296" t="s">
        <v>1784</v>
      </c>
      <c r="L39" s="301"/>
      <c r="M39" s="302"/>
      <c r="N39" s="302"/>
      <c r="O39" s="302"/>
      <c r="P39" s="302"/>
      <c r="Q39" s="302"/>
      <c r="R39" s="302"/>
      <c r="S39" s="302"/>
      <c r="T39" s="302"/>
      <c r="U39" s="302"/>
      <c r="V39" s="302"/>
      <c r="W39" s="302"/>
      <c r="X39" s="302"/>
      <c r="Y39" s="302"/>
      <c r="Z39" s="302"/>
      <c r="AA39" s="302"/>
      <c r="AB39" s="302"/>
    </row>
    <row r="40">
      <c r="A40" s="307" t="s">
        <v>8723</v>
      </c>
      <c r="B40" s="108"/>
      <c r="C40" s="296" t="s">
        <v>8744</v>
      </c>
      <c r="D40" s="303" t="s">
        <v>271</v>
      </c>
      <c r="E40" s="296" t="s">
        <v>8508</v>
      </c>
      <c r="F40" s="298" t="s">
        <v>8734</v>
      </c>
      <c r="G40" s="204"/>
      <c r="H40" s="296" t="s">
        <v>8745</v>
      </c>
      <c r="I40" s="298" t="s">
        <v>8746</v>
      </c>
      <c r="J40" s="300" t="s">
        <v>36</v>
      </c>
      <c r="K40" s="296" t="s">
        <v>1784</v>
      </c>
      <c r="L40" s="301"/>
      <c r="M40" s="302"/>
      <c r="N40" s="302"/>
      <c r="O40" s="302"/>
      <c r="P40" s="302"/>
      <c r="Q40" s="302"/>
      <c r="R40" s="302"/>
      <c r="S40" s="302"/>
      <c r="T40" s="302"/>
      <c r="U40" s="302"/>
      <c r="V40" s="302"/>
      <c r="W40" s="302"/>
      <c r="X40" s="302"/>
      <c r="Y40" s="302"/>
      <c r="Z40" s="302"/>
      <c r="AA40" s="302"/>
      <c r="AB40" s="302"/>
    </row>
    <row r="41">
      <c r="A41" s="307" t="s">
        <v>8723</v>
      </c>
      <c r="B41" s="109"/>
      <c r="C41" s="296" t="s">
        <v>8747</v>
      </c>
      <c r="D41" s="303" t="s">
        <v>271</v>
      </c>
      <c r="E41" s="296" t="s">
        <v>8748</v>
      </c>
      <c r="F41" s="298" t="s">
        <v>8749</v>
      </c>
      <c r="G41" s="204"/>
      <c r="H41" s="296" t="s">
        <v>8750</v>
      </c>
      <c r="I41" s="298" t="s">
        <v>8751</v>
      </c>
      <c r="J41" s="300" t="s">
        <v>36</v>
      </c>
      <c r="K41" s="296" t="s">
        <v>1784</v>
      </c>
      <c r="L41" s="301"/>
      <c r="M41" s="302"/>
      <c r="N41" s="302"/>
      <c r="O41" s="302"/>
      <c r="P41" s="302"/>
      <c r="Q41" s="302"/>
      <c r="R41" s="302"/>
      <c r="S41" s="302"/>
      <c r="T41" s="302"/>
      <c r="U41" s="302"/>
      <c r="V41" s="302"/>
      <c r="W41" s="302"/>
      <c r="X41" s="302"/>
      <c r="Y41" s="302"/>
      <c r="Z41" s="302"/>
      <c r="AA41" s="302"/>
      <c r="AB41" s="302"/>
    </row>
    <row r="42">
      <c r="A42" s="307" t="s">
        <v>8752</v>
      </c>
      <c r="B42" s="308" t="s">
        <v>8753</v>
      </c>
      <c r="C42" s="296" t="s">
        <v>8725</v>
      </c>
      <c r="D42" s="303" t="s">
        <v>271</v>
      </c>
      <c r="E42" s="296" t="s">
        <v>8531</v>
      </c>
      <c r="F42" s="309" t="s">
        <v>8754</v>
      </c>
      <c r="G42" s="296" t="s">
        <v>8755</v>
      </c>
      <c r="H42" s="296" t="s">
        <v>8756</v>
      </c>
      <c r="I42" s="298" t="s">
        <v>8757</v>
      </c>
      <c r="J42" s="300" t="s">
        <v>36</v>
      </c>
      <c r="K42" s="296" t="s">
        <v>2034</v>
      </c>
      <c r="L42" s="296"/>
      <c r="M42" s="302"/>
      <c r="N42" s="302"/>
      <c r="O42" s="302"/>
      <c r="P42" s="302"/>
      <c r="Q42" s="302"/>
      <c r="R42" s="302"/>
      <c r="S42" s="302"/>
      <c r="T42" s="302"/>
      <c r="U42" s="302"/>
      <c r="V42" s="302"/>
      <c r="W42" s="302"/>
      <c r="X42" s="302"/>
      <c r="Y42" s="302"/>
      <c r="Z42" s="302"/>
      <c r="AA42" s="302"/>
      <c r="AB42" s="302"/>
    </row>
    <row r="43">
      <c r="A43" s="307" t="s">
        <v>8752</v>
      </c>
      <c r="B43" s="108"/>
      <c r="C43" s="296" t="s">
        <v>8729</v>
      </c>
      <c r="D43" s="303" t="s">
        <v>271</v>
      </c>
      <c r="E43" s="296" t="s">
        <v>8531</v>
      </c>
      <c r="F43" s="310"/>
      <c r="G43" s="296" t="s">
        <v>8758</v>
      </c>
      <c r="H43" s="296" t="s">
        <v>8759</v>
      </c>
      <c r="I43" s="298" t="s">
        <v>8757</v>
      </c>
      <c r="J43" s="300" t="s">
        <v>36</v>
      </c>
      <c r="K43" s="296" t="s">
        <v>2034</v>
      </c>
      <c r="L43" s="301"/>
      <c r="M43" s="302"/>
      <c r="N43" s="302"/>
      <c r="O43" s="302"/>
      <c r="P43" s="302"/>
      <c r="Q43" s="302"/>
      <c r="R43" s="302"/>
      <c r="S43" s="302"/>
      <c r="T43" s="302"/>
      <c r="U43" s="302"/>
      <c r="V43" s="302"/>
      <c r="W43" s="302"/>
      <c r="X43" s="302"/>
      <c r="Y43" s="302"/>
      <c r="Z43" s="302"/>
      <c r="AA43" s="302"/>
      <c r="AB43" s="302"/>
    </row>
    <row r="44">
      <c r="A44" s="307" t="s">
        <v>8752</v>
      </c>
      <c r="B44" s="108"/>
      <c r="C44" s="296" t="s">
        <v>8733</v>
      </c>
      <c r="D44" s="303" t="s">
        <v>271</v>
      </c>
      <c r="E44" s="296" t="s">
        <v>8531</v>
      </c>
      <c r="F44" s="310"/>
      <c r="G44" s="296" t="s">
        <v>8755</v>
      </c>
      <c r="H44" s="296" t="s">
        <v>8760</v>
      </c>
      <c r="I44" s="298" t="s">
        <v>8761</v>
      </c>
      <c r="J44" s="300" t="s">
        <v>36</v>
      </c>
      <c r="K44" s="296" t="s">
        <v>2034</v>
      </c>
      <c r="L44" s="301"/>
      <c r="M44" s="302"/>
      <c r="N44" s="302"/>
      <c r="O44" s="302"/>
      <c r="P44" s="302"/>
      <c r="Q44" s="302"/>
      <c r="R44" s="302"/>
      <c r="S44" s="302"/>
      <c r="T44" s="302"/>
      <c r="U44" s="302"/>
      <c r="V44" s="302"/>
      <c r="W44" s="302"/>
      <c r="X44" s="302"/>
      <c r="Y44" s="302"/>
      <c r="Z44" s="302"/>
      <c r="AA44" s="302"/>
      <c r="AB44" s="302"/>
    </row>
    <row r="45">
      <c r="A45" s="307" t="s">
        <v>8752</v>
      </c>
      <c r="B45" s="108"/>
      <c r="C45" s="296" t="s">
        <v>8736</v>
      </c>
      <c r="D45" s="303" t="s">
        <v>271</v>
      </c>
      <c r="E45" s="296" t="s">
        <v>8531</v>
      </c>
      <c r="F45" s="310"/>
      <c r="G45" s="296" t="s">
        <v>8758</v>
      </c>
      <c r="H45" s="296" t="s">
        <v>8762</v>
      </c>
      <c r="I45" s="298" t="s">
        <v>8761</v>
      </c>
      <c r="J45" s="300" t="s">
        <v>36</v>
      </c>
      <c r="K45" s="296" t="s">
        <v>2034</v>
      </c>
      <c r="L45" s="301"/>
      <c r="M45" s="302"/>
      <c r="N45" s="302"/>
      <c r="O45" s="302"/>
      <c r="P45" s="302"/>
      <c r="Q45" s="302"/>
      <c r="R45" s="302"/>
      <c r="S45" s="302"/>
      <c r="T45" s="302"/>
      <c r="U45" s="302"/>
      <c r="V45" s="302"/>
      <c r="W45" s="302"/>
      <c r="X45" s="302"/>
      <c r="Y45" s="302"/>
      <c r="Z45" s="302"/>
      <c r="AA45" s="302"/>
      <c r="AB45" s="302"/>
    </row>
    <row r="46">
      <c r="A46" s="307" t="s">
        <v>8752</v>
      </c>
      <c r="B46" s="108"/>
      <c r="C46" s="296" t="s">
        <v>8740</v>
      </c>
      <c r="D46" s="303" t="s">
        <v>271</v>
      </c>
      <c r="E46" s="296" t="s">
        <v>8531</v>
      </c>
      <c r="F46" s="310"/>
      <c r="G46" s="296" t="s">
        <v>8755</v>
      </c>
      <c r="H46" s="296" t="s">
        <v>8763</v>
      </c>
      <c r="I46" s="298" t="s">
        <v>8761</v>
      </c>
      <c r="J46" s="300" t="s">
        <v>36</v>
      </c>
      <c r="K46" s="296" t="s">
        <v>2034</v>
      </c>
      <c r="L46" s="301"/>
      <c r="M46" s="302"/>
      <c r="N46" s="302"/>
      <c r="O46" s="302"/>
      <c r="P46" s="302"/>
      <c r="Q46" s="302"/>
      <c r="R46" s="302"/>
      <c r="S46" s="302"/>
      <c r="T46" s="302"/>
      <c r="U46" s="302"/>
      <c r="V46" s="302"/>
      <c r="W46" s="302"/>
      <c r="X46" s="302"/>
      <c r="Y46" s="302"/>
      <c r="Z46" s="302"/>
      <c r="AA46" s="302"/>
      <c r="AB46" s="302"/>
    </row>
    <row r="47">
      <c r="A47" s="307" t="s">
        <v>8752</v>
      </c>
      <c r="B47" s="108"/>
      <c r="C47" s="296" t="s">
        <v>8744</v>
      </c>
      <c r="D47" s="303" t="s">
        <v>271</v>
      </c>
      <c r="E47" s="296" t="s">
        <v>8531</v>
      </c>
      <c r="F47" s="310"/>
      <c r="G47" s="296" t="s">
        <v>8758</v>
      </c>
      <c r="H47" s="296" t="s">
        <v>8764</v>
      </c>
      <c r="I47" s="298" t="s">
        <v>8761</v>
      </c>
      <c r="J47" s="300" t="s">
        <v>36</v>
      </c>
      <c r="K47" s="296" t="s">
        <v>2034</v>
      </c>
      <c r="L47" s="301"/>
      <c r="M47" s="302"/>
      <c r="N47" s="302"/>
      <c r="O47" s="302"/>
      <c r="P47" s="302"/>
      <c r="Q47" s="302"/>
      <c r="R47" s="302"/>
      <c r="S47" s="302"/>
      <c r="T47" s="302"/>
      <c r="U47" s="302"/>
      <c r="V47" s="302"/>
      <c r="W47" s="302"/>
      <c r="X47" s="302"/>
      <c r="Y47" s="302"/>
      <c r="Z47" s="302"/>
      <c r="AA47" s="302"/>
      <c r="AB47" s="302"/>
    </row>
    <row r="48">
      <c r="A48" s="307" t="s">
        <v>8752</v>
      </c>
      <c r="B48" s="108"/>
      <c r="C48" s="296" t="s">
        <v>8747</v>
      </c>
      <c r="D48" s="303" t="s">
        <v>271</v>
      </c>
      <c r="E48" s="296" t="s">
        <v>8531</v>
      </c>
      <c r="F48" s="310"/>
      <c r="G48" s="296" t="s">
        <v>8765</v>
      </c>
      <c r="H48" s="296" t="s">
        <v>8766</v>
      </c>
      <c r="I48" s="298" t="s">
        <v>8767</v>
      </c>
      <c r="J48" s="300" t="s">
        <v>36</v>
      </c>
      <c r="K48" s="296" t="s">
        <v>2034</v>
      </c>
      <c r="L48" s="301"/>
      <c r="M48" s="302"/>
      <c r="N48" s="302"/>
      <c r="O48" s="302"/>
      <c r="P48" s="302"/>
      <c r="Q48" s="302"/>
      <c r="R48" s="302"/>
      <c r="S48" s="302"/>
      <c r="T48" s="302"/>
      <c r="U48" s="302"/>
      <c r="V48" s="302"/>
      <c r="W48" s="302"/>
      <c r="X48" s="302"/>
      <c r="Y48" s="302"/>
      <c r="Z48" s="302"/>
      <c r="AA48" s="302"/>
      <c r="AB48" s="302"/>
    </row>
    <row r="49">
      <c r="A49" s="307" t="s">
        <v>8752</v>
      </c>
      <c r="B49" s="109"/>
      <c r="C49" s="296" t="s">
        <v>8768</v>
      </c>
      <c r="D49" s="303" t="s">
        <v>271</v>
      </c>
      <c r="E49" s="296" t="s">
        <v>8531</v>
      </c>
      <c r="F49" s="310"/>
      <c r="G49" s="296" t="s">
        <v>8769</v>
      </c>
      <c r="H49" s="296" t="s">
        <v>8770</v>
      </c>
      <c r="I49" s="298" t="s">
        <v>8767</v>
      </c>
      <c r="J49" s="300" t="s">
        <v>36</v>
      </c>
      <c r="K49" s="296" t="s">
        <v>2034</v>
      </c>
      <c r="L49" s="301"/>
      <c r="M49" s="302"/>
      <c r="N49" s="302"/>
      <c r="O49" s="302"/>
      <c r="P49" s="302"/>
      <c r="Q49" s="302"/>
      <c r="R49" s="302"/>
      <c r="S49" s="302"/>
      <c r="T49" s="302"/>
      <c r="U49" s="302"/>
      <c r="V49" s="302"/>
      <c r="W49" s="302"/>
      <c r="X49" s="302"/>
      <c r="Y49" s="302"/>
      <c r="Z49" s="302"/>
      <c r="AA49" s="302"/>
      <c r="AB49" s="302"/>
    </row>
    <row r="50">
      <c r="A50" s="307" t="s">
        <v>8771</v>
      </c>
      <c r="B50" s="308" t="s">
        <v>8772</v>
      </c>
      <c r="C50" s="296" t="s">
        <v>8773</v>
      </c>
      <c r="D50" s="303" t="s">
        <v>271</v>
      </c>
      <c r="E50" s="296" t="s">
        <v>8774</v>
      </c>
      <c r="F50" s="309" t="s">
        <v>8775</v>
      </c>
      <c r="G50" s="296" t="s">
        <v>8776</v>
      </c>
      <c r="H50" s="296" t="s">
        <v>8777</v>
      </c>
      <c r="I50" s="298" t="s">
        <v>8778</v>
      </c>
      <c r="J50" s="300" t="s">
        <v>317</v>
      </c>
      <c r="K50" s="296" t="s">
        <v>2034</v>
      </c>
      <c r="L50" s="296" t="s">
        <v>8779</v>
      </c>
      <c r="M50" s="302"/>
      <c r="N50" s="302"/>
      <c r="O50" s="302"/>
      <c r="P50" s="302"/>
      <c r="Q50" s="302"/>
      <c r="R50" s="302"/>
      <c r="S50" s="302"/>
      <c r="T50" s="302"/>
      <c r="U50" s="302"/>
      <c r="V50" s="302"/>
      <c r="W50" s="302"/>
      <c r="X50" s="302"/>
      <c r="Y50" s="302"/>
      <c r="Z50" s="302"/>
      <c r="AA50" s="302"/>
      <c r="AB50" s="302"/>
    </row>
    <row r="51">
      <c r="A51" s="307" t="s">
        <v>8771</v>
      </c>
      <c r="B51" s="108"/>
      <c r="C51" s="296" t="s">
        <v>8780</v>
      </c>
      <c r="D51" s="303" t="s">
        <v>271</v>
      </c>
      <c r="E51" s="296" t="s">
        <v>8774</v>
      </c>
      <c r="F51" s="310"/>
      <c r="G51" s="296" t="s">
        <v>8781</v>
      </c>
      <c r="H51" s="296" t="s">
        <v>8782</v>
      </c>
      <c r="I51" s="298" t="s">
        <v>8783</v>
      </c>
      <c r="J51" s="300" t="s">
        <v>317</v>
      </c>
      <c r="K51" s="296" t="s">
        <v>2034</v>
      </c>
      <c r="L51" s="296" t="s">
        <v>8779</v>
      </c>
      <c r="M51" s="302"/>
      <c r="N51" s="302"/>
      <c r="O51" s="302"/>
      <c r="P51" s="302"/>
      <c r="Q51" s="302"/>
      <c r="R51" s="302"/>
      <c r="S51" s="302"/>
      <c r="T51" s="302"/>
      <c r="U51" s="302"/>
      <c r="V51" s="302"/>
      <c r="W51" s="302"/>
      <c r="X51" s="302"/>
      <c r="Y51" s="302"/>
      <c r="Z51" s="302"/>
      <c r="AA51" s="302"/>
      <c r="AB51" s="302"/>
    </row>
    <row r="52">
      <c r="A52" s="307" t="s">
        <v>8771</v>
      </c>
      <c r="B52" s="108"/>
      <c r="C52" s="296" t="s">
        <v>8784</v>
      </c>
      <c r="D52" s="303" t="s">
        <v>271</v>
      </c>
      <c r="E52" s="296" t="s">
        <v>8774</v>
      </c>
      <c r="F52" s="310"/>
      <c r="G52" s="296" t="s">
        <v>8785</v>
      </c>
      <c r="H52" s="296" t="s">
        <v>8786</v>
      </c>
      <c r="I52" s="298" t="s">
        <v>8787</v>
      </c>
      <c r="J52" s="300" t="s">
        <v>317</v>
      </c>
      <c r="K52" s="296" t="s">
        <v>2034</v>
      </c>
      <c r="L52" s="296" t="s">
        <v>8779</v>
      </c>
      <c r="M52" s="302"/>
      <c r="N52" s="302"/>
      <c r="O52" s="302"/>
      <c r="P52" s="302"/>
      <c r="Q52" s="302"/>
      <c r="R52" s="302"/>
      <c r="S52" s="302"/>
      <c r="T52" s="302"/>
      <c r="U52" s="302"/>
      <c r="V52" s="302"/>
      <c r="W52" s="302"/>
      <c r="X52" s="302"/>
      <c r="Y52" s="302"/>
      <c r="Z52" s="302"/>
      <c r="AA52" s="302"/>
      <c r="AB52" s="302"/>
    </row>
    <row r="53">
      <c r="A53" s="307" t="s">
        <v>8771</v>
      </c>
      <c r="B53" s="108"/>
      <c r="C53" s="296" t="s">
        <v>8788</v>
      </c>
      <c r="D53" s="303" t="s">
        <v>271</v>
      </c>
      <c r="E53" s="296" t="s">
        <v>8774</v>
      </c>
      <c r="F53" s="310"/>
      <c r="G53" s="296" t="s">
        <v>8789</v>
      </c>
      <c r="H53" s="296" t="s">
        <v>8790</v>
      </c>
      <c r="I53" s="298" t="s">
        <v>8791</v>
      </c>
      <c r="J53" s="300" t="s">
        <v>317</v>
      </c>
      <c r="K53" s="296" t="s">
        <v>2034</v>
      </c>
      <c r="L53" s="296" t="s">
        <v>8779</v>
      </c>
      <c r="M53" s="302"/>
      <c r="N53" s="302"/>
      <c r="O53" s="302"/>
      <c r="P53" s="302"/>
      <c r="Q53" s="302"/>
      <c r="R53" s="302"/>
      <c r="S53" s="302"/>
      <c r="T53" s="302"/>
      <c r="U53" s="302"/>
      <c r="V53" s="302"/>
      <c r="W53" s="302"/>
      <c r="X53" s="302"/>
      <c r="Y53" s="302"/>
      <c r="Z53" s="302"/>
      <c r="AA53" s="302"/>
      <c r="AB53" s="302"/>
    </row>
    <row r="54">
      <c r="A54" s="307" t="s">
        <v>8771</v>
      </c>
      <c r="B54" s="108"/>
      <c r="C54" s="296" t="s">
        <v>8792</v>
      </c>
      <c r="D54" s="303" t="s">
        <v>271</v>
      </c>
      <c r="E54" s="296" t="s">
        <v>8774</v>
      </c>
      <c r="F54" s="310"/>
      <c r="G54" s="296" t="s">
        <v>8793</v>
      </c>
      <c r="H54" s="296" t="s">
        <v>8794</v>
      </c>
      <c r="I54" s="298" t="s">
        <v>8795</v>
      </c>
      <c r="J54" s="300" t="s">
        <v>317</v>
      </c>
      <c r="K54" s="296" t="s">
        <v>2034</v>
      </c>
      <c r="L54" s="296" t="s">
        <v>8779</v>
      </c>
      <c r="M54" s="302"/>
      <c r="N54" s="302"/>
      <c r="O54" s="302"/>
      <c r="P54" s="302"/>
      <c r="Q54" s="302"/>
      <c r="R54" s="302"/>
      <c r="S54" s="302"/>
      <c r="T54" s="302"/>
      <c r="U54" s="302"/>
      <c r="V54" s="302"/>
      <c r="W54" s="302"/>
      <c r="X54" s="302"/>
      <c r="Y54" s="302"/>
      <c r="Z54" s="302"/>
      <c r="AA54" s="302"/>
      <c r="AB54" s="302"/>
    </row>
    <row r="55">
      <c r="A55" s="307" t="s">
        <v>8771</v>
      </c>
      <c r="B55" s="109"/>
      <c r="C55" s="296" t="s">
        <v>8796</v>
      </c>
      <c r="D55" s="303" t="s">
        <v>271</v>
      </c>
      <c r="E55" s="296" t="s">
        <v>8774</v>
      </c>
      <c r="F55" s="310"/>
      <c r="G55" s="296" t="s">
        <v>8797</v>
      </c>
      <c r="H55" s="296" t="s">
        <v>8798</v>
      </c>
      <c r="I55" s="298" t="s">
        <v>8799</v>
      </c>
      <c r="J55" s="300" t="s">
        <v>317</v>
      </c>
      <c r="K55" s="296" t="s">
        <v>2034</v>
      </c>
      <c r="L55" s="296" t="s">
        <v>8779</v>
      </c>
      <c r="M55" s="302"/>
      <c r="N55" s="302"/>
      <c r="O55" s="302"/>
      <c r="P55" s="302"/>
      <c r="Q55" s="302"/>
      <c r="R55" s="302"/>
      <c r="S55" s="302"/>
      <c r="T55" s="302"/>
      <c r="U55" s="302"/>
      <c r="V55" s="302"/>
      <c r="W55" s="302"/>
      <c r="X55" s="302"/>
      <c r="Y55" s="302"/>
      <c r="Z55" s="302"/>
      <c r="AA55" s="302"/>
      <c r="AB55" s="302"/>
    </row>
    <row r="56">
      <c r="A56" s="307" t="s">
        <v>8800</v>
      </c>
      <c r="B56" s="308" t="s">
        <v>8801</v>
      </c>
      <c r="C56" s="296" t="s">
        <v>8773</v>
      </c>
      <c r="D56" s="303" t="s">
        <v>271</v>
      </c>
      <c r="E56" s="296" t="s">
        <v>8802</v>
      </c>
      <c r="F56" s="298" t="s">
        <v>8803</v>
      </c>
      <c r="G56" s="204"/>
      <c r="H56" s="296" t="s">
        <v>8804</v>
      </c>
      <c r="I56" s="298" t="s">
        <v>8805</v>
      </c>
      <c r="J56" s="300" t="s">
        <v>36</v>
      </c>
      <c r="K56" s="296" t="s">
        <v>2034</v>
      </c>
      <c r="L56" s="304"/>
      <c r="M56" s="302"/>
      <c r="N56" s="302"/>
      <c r="O56" s="302"/>
      <c r="P56" s="302"/>
      <c r="Q56" s="302"/>
      <c r="R56" s="302"/>
      <c r="S56" s="302"/>
      <c r="T56" s="302"/>
      <c r="U56" s="302"/>
      <c r="V56" s="302"/>
      <c r="W56" s="302"/>
      <c r="X56" s="302"/>
      <c r="Y56" s="302"/>
      <c r="Z56" s="302"/>
      <c r="AA56" s="302"/>
      <c r="AB56" s="302"/>
    </row>
    <row r="57">
      <c r="A57" s="307" t="s">
        <v>8800</v>
      </c>
      <c r="B57" s="108"/>
      <c r="C57" s="296" t="s">
        <v>8780</v>
      </c>
      <c r="D57" s="303" t="s">
        <v>271</v>
      </c>
      <c r="E57" s="296" t="s">
        <v>8802</v>
      </c>
      <c r="F57" s="298" t="s">
        <v>8806</v>
      </c>
      <c r="G57" s="204"/>
      <c r="H57" s="296" t="s">
        <v>8807</v>
      </c>
      <c r="I57" s="298" t="s">
        <v>8808</v>
      </c>
      <c r="J57" s="300" t="s">
        <v>36</v>
      </c>
      <c r="K57" s="296" t="s">
        <v>2034</v>
      </c>
      <c r="L57" s="304"/>
      <c r="M57" s="302"/>
      <c r="N57" s="302"/>
      <c r="O57" s="302"/>
      <c r="P57" s="302"/>
      <c r="Q57" s="302"/>
      <c r="R57" s="302"/>
      <c r="S57" s="302"/>
      <c r="T57" s="302"/>
      <c r="U57" s="302"/>
      <c r="V57" s="302"/>
      <c r="W57" s="302"/>
      <c r="X57" s="302"/>
      <c r="Y57" s="302"/>
      <c r="Z57" s="302"/>
      <c r="AA57" s="302"/>
      <c r="AB57" s="302"/>
    </row>
    <row r="58">
      <c r="A58" s="307" t="s">
        <v>8800</v>
      </c>
      <c r="B58" s="108"/>
      <c r="C58" s="296" t="s">
        <v>8784</v>
      </c>
      <c r="D58" s="303" t="s">
        <v>271</v>
      </c>
      <c r="E58" s="296" t="s">
        <v>8802</v>
      </c>
      <c r="F58" s="298" t="s">
        <v>8809</v>
      </c>
      <c r="G58" s="204"/>
      <c r="H58" s="296" t="s">
        <v>8810</v>
      </c>
      <c r="I58" s="298" t="s">
        <v>8811</v>
      </c>
      <c r="J58" s="300" t="s">
        <v>36</v>
      </c>
      <c r="K58" s="296" t="s">
        <v>2034</v>
      </c>
      <c r="L58" s="296"/>
      <c r="M58" s="302"/>
      <c r="N58" s="302"/>
      <c r="O58" s="302"/>
      <c r="P58" s="302"/>
      <c r="Q58" s="302"/>
      <c r="R58" s="302"/>
      <c r="S58" s="302"/>
      <c r="T58" s="302"/>
      <c r="U58" s="302"/>
      <c r="V58" s="302"/>
      <c r="W58" s="302"/>
      <c r="X58" s="302"/>
      <c r="Y58" s="302"/>
      <c r="Z58" s="302"/>
      <c r="AA58" s="302"/>
      <c r="AB58" s="302"/>
    </row>
    <row r="59">
      <c r="A59" s="307" t="s">
        <v>8800</v>
      </c>
      <c r="B59" s="108"/>
      <c r="C59" s="296" t="s">
        <v>8788</v>
      </c>
      <c r="D59" s="303" t="s">
        <v>271</v>
      </c>
      <c r="E59" s="296" t="s">
        <v>8802</v>
      </c>
      <c r="F59" s="298" t="s">
        <v>8812</v>
      </c>
      <c r="G59" s="204"/>
      <c r="H59" s="296" t="s">
        <v>8813</v>
      </c>
      <c r="I59" s="298" t="s">
        <v>8814</v>
      </c>
      <c r="J59" s="300" t="s">
        <v>317</v>
      </c>
      <c r="K59" s="296"/>
      <c r="L59" s="296"/>
      <c r="M59" s="302"/>
      <c r="N59" s="302"/>
      <c r="O59" s="302"/>
      <c r="P59" s="302"/>
      <c r="Q59" s="302"/>
      <c r="R59" s="302"/>
      <c r="S59" s="302"/>
      <c r="T59" s="302"/>
      <c r="U59" s="302"/>
      <c r="V59" s="302"/>
      <c r="W59" s="302"/>
      <c r="X59" s="302"/>
      <c r="Y59" s="302"/>
      <c r="Z59" s="302"/>
      <c r="AA59" s="302"/>
      <c r="AB59" s="302"/>
    </row>
    <row r="60">
      <c r="A60" s="307" t="s">
        <v>8800</v>
      </c>
      <c r="B60" s="108"/>
      <c r="C60" s="296" t="s">
        <v>8792</v>
      </c>
      <c r="D60" s="303" t="s">
        <v>271</v>
      </c>
      <c r="E60" s="296" t="s">
        <v>8802</v>
      </c>
      <c r="F60" s="298" t="s">
        <v>8815</v>
      </c>
      <c r="G60" s="204"/>
      <c r="H60" s="296" t="s">
        <v>8816</v>
      </c>
      <c r="I60" s="298" t="s">
        <v>8817</v>
      </c>
      <c r="J60" s="300" t="s">
        <v>36</v>
      </c>
      <c r="K60" s="296" t="s">
        <v>2034</v>
      </c>
      <c r="L60" s="304"/>
      <c r="M60" s="302"/>
      <c r="N60" s="302"/>
      <c r="O60" s="302"/>
      <c r="P60" s="302"/>
      <c r="Q60" s="302"/>
      <c r="R60" s="302"/>
      <c r="S60" s="302"/>
      <c r="T60" s="302"/>
      <c r="U60" s="302"/>
      <c r="V60" s="302"/>
      <c r="W60" s="302"/>
      <c r="X60" s="302"/>
      <c r="Y60" s="302"/>
      <c r="Z60" s="302"/>
      <c r="AA60" s="302"/>
      <c r="AB60" s="302"/>
    </row>
    <row r="61">
      <c r="A61" s="307" t="s">
        <v>8800</v>
      </c>
      <c r="B61" s="109"/>
      <c r="C61" s="296" t="s">
        <v>8796</v>
      </c>
      <c r="D61" s="303" t="s">
        <v>271</v>
      </c>
      <c r="E61" s="296" t="s">
        <v>8802</v>
      </c>
      <c r="F61" s="298" t="s">
        <v>8818</v>
      </c>
      <c r="G61" s="204"/>
      <c r="H61" s="296" t="s">
        <v>8819</v>
      </c>
      <c r="I61" s="298" t="s">
        <v>8820</v>
      </c>
      <c r="J61" s="300" t="s">
        <v>36</v>
      </c>
      <c r="K61" s="296" t="s">
        <v>1784</v>
      </c>
      <c r="L61" s="304"/>
      <c r="M61" s="302"/>
      <c r="N61" s="302"/>
      <c r="O61" s="302"/>
      <c r="P61" s="302"/>
      <c r="Q61" s="302"/>
      <c r="R61" s="302"/>
      <c r="S61" s="302"/>
      <c r="T61" s="302"/>
      <c r="U61" s="302"/>
      <c r="V61" s="302"/>
      <c r="W61" s="302"/>
      <c r="X61" s="302"/>
      <c r="Y61" s="302"/>
      <c r="Z61" s="302"/>
      <c r="AA61" s="302"/>
      <c r="AB61" s="302"/>
    </row>
    <row r="62">
      <c r="A62" s="307" t="s">
        <v>8821</v>
      </c>
      <c r="B62" s="308" t="s">
        <v>8822</v>
      </c>
      <c r="C62" s="296" t="s">
        <v>8773</v>
      </c>
      <c r="D62" s="303" t="s">
        <v>271</v>
      </c>
      <c r="E62" s="296" t="s">
        <v>8823</v>
      </c>
      <c r="F62" s="298" t="s">
        <v>8824</v>
      </c>
      <c r="G62" s="204"/>
      <c r="H62" s="311" t="s">
        <v>8825</v>
      </c>
      <c r="I62" s="298" t="s">
        <v>8826</v>
      </c>
      <c r="J62" s="303" t="s">
        <v>36</v>
      </c>
      <c r="K62" s="296" t="s">
        <v>2034</v>
      </c>
      <c r="L62" s="304"/>
      <c r="M62" s="302"/>
      <c r="N62" s="302"/>
      <c r="O62" s="302"/>
      <c r="P62" s="302"/>
      <c r="Q62" s="302"/>
      <c r="R62" s="302"/>
      <c r="S62" s="302"/>
      <c r="T62" s="302"/>
      <c r="U62" s="302"/>
      <c r="V62" s="302"/>
      <c r="W62" s="302"/>
      <c r="X62" s="302"/>
      <c r="Y62" s="302"/>
      <c r="Z62" s="302"/>
      <c r="AA62" s="302"/>
      <c r="AB62" s="302"/>
    </row>
    <row r="63">
      <c r="A63" s="307" t="s">
        <v>8821</v>
      </c>
      <c r="B63" s="108"/>
      <c r="C63" s="296" t="s">
        <v>8780</v>
      </c>
      <c r="D63" s="303" t="s">
        <v>271</v>
      </c>
      <c r="E63" s="296" t="s">
        <v>8823</v>
      </c>
      <c r="F63" s="298" t="s">
        <v>8827</v>
      </c>
      <c r="G63" s="204"/>
      <c r="H63" s="298" t="s">
        <v>8828</v>
      </c>
      <c r="I63" s="298" t="s">
        <v>8829</v>
      </c>
      <c r="J63" s="303" t="s">
        <v>36</v>
      </c>
      <c r="K63" s="296" t="s">
        <v>2034</v>
      </c>
      <c r="L63" s="304"/>
      <c r="M63" s="302"/>
      <c r="N63" s="302"/>
      <c r="O63" s="302"/>
      <c r="P63" s="302"/>
      <c r="Q63" s="302"/>
      <c r="R63" s="302"/>
      <c r="S63" s="302"/>
      <c r="T63" s="302"/>
      <c r="U63" s="302"/>
      <c r="V63" s="302"/>
      <c r="W63" s="302"/>
      <c r="X63" s="302"/>
      <c r="Y63" s="302"/>
      <c r="Z63" s="302"/>
      <c r="AA63" s="302"/>
      <c r="AB63" s="302"/>
    </row>
    <row r="64">
      <c r="A64" s="307" t="s">
        <v>8821</v>
      </c>
      <c r="B64" s="108"/>
      <c r="C64" s="296" t="s">
        <v>8784</v>
      </c>
      <c r="D64" s="303" t="s">
        <v>271</v>
      </c>
      <c r="E64" s="296" t="s">
        <v>8823</v>
      </c>
      <c r="F64" s="298" t="s">
        <v>8830</v>
      </c>
      <c r="G64" s="204"/>
      <c r="H64" s="298" t="s">
        <v>8831</v>
      </c>
      <c r="I64" s="298" t="s">
        <v>8832</v>
      </c>
      <c r="J64" s="303" t="s">
        <v>36</v>
      </c>
      <c r="K64" s="296" t="s">
        <v>2034</v>
      </c>
      <c r="L64" s="304"/>
      <c r="M64" s="302"/>
      <c r="N64" s="302"/>
      <c r="O64" s="302"/>
      <c r="P64" s="302"/>
      <c r="Q64" s="302"/>
      <c r="R64" s="302"/>
      <c r="S64" s="302"/>
      <c r="T64" s="302"/>
      <c r="U64" s="302"/>
      <c r="V64" s="302"/>
      <c r="W64" s="302"/>
      <c r="X64" s="302"/>
      <c r="Y64" s="302"/>
      <c r="Z64" s="302"/>
      <c r="AA64" s="302"/>
      <c r="AB64" s="302"/>
    </row>
    <row r="65">
      <c r="A65" s="307" t="s">
        <v>8821</v>
      </c>
      <c r="B65" s="108"/>
      <c r="C65" s="296" t="s">
        <v>8788</v>
      </c>
      <c r="D65" s="303" t="s">
        <v>271</v>
      </c>
      <c r="E65" s="296" t="s">
        <v>8823</v>
      </c>
      <c r="F65" s="298" t="s">
        <v>8833</v>
      </c>
      <c r="G65" s="204"/>
      <c r="H65" s="298" t="s">
        <v>8834</v>
      </c>
      <c r="I65" s="298" t="s">
        <v>8832</v>
      </c>
      <c r="J65" s="303" t="s">
        <v>36</v>
      </c>
      <c r="K65" s="296" t="s">
        <v>2034</v>
      </c>
      <c r="L65" s="304"/>
      <c r="M65" s="302"/>
      <c r="N65" s="302"/>
      <c r="O65" s="302"/>
      <c r="P65" s="302"/>
      <c r="Q65" s="302"/>
      <c r="R65" s="302"/>
      <c r="S65" s="302"/>
      <c r="T65" s="302"/>
      <c r="U65" s="302"/>
      <c r="V65" s="302"/>
      <c r="W65" s="302"/>
      <c r="X65" s="302"/>
      <c r="Y65" s="302"/>
      <c r="Z65" s="302"/>
      <c r="AA65" s="302"/>
      <c r="AB65" s="302"/>
    </row>
    <row r="66">
      <c r="A66" s="307" t="s">
        <v>8821</v>
      </c>
      <c r="B66" s="108"/>
      <c r="C66" s="296" t="s">
        <v>8792</v>
      </c>
      <c r="D66" s="303" t="s">
        <v>271</v>
      </c>
      <c r="E66" s="296" t="s">
        <v>8823</v>
      </c>
      <c r="F66" s="298" t="s">
        <v>8835</v>
      </c>
      <c r="G66" s="204"/>
      <c r="H66" s="298" t="s">
        <v>8836</v>
      </c>
      <c r="I66" s="298" t="s">
        <v>8832</v>
      </c>
      <c r="J66" s="303" t="s">
        <v>36</v>
      </c>
      <c r="K66" s="296" t="s">
        <v>2034</v>
      </c>
      <c r="L66" s="304"/>
      <c r="M66" s="302"/>
      <c r="N66" s="302"/>
      <c r="O66" s="302"/>
      <c r="P66" s="302"/>
      <c r="Q66" s="302"/>
      <c r="R66" s="302"/>
      <c r="S66" s="302"/>
      <c r="T66" s="302"/>
      <c r="U66" s="302"/>
      <c r="V66" s="302"/>
      <c r="W66" s="302"/>
      <c r="X66" s="302"/>
      <c r="Y66" s="302"/>
      <c r="Z66" s="302"/>
      <c r="AA66" s="302"/>
      <c r="AB66" s="302"/>
    </row>
    <row r="67">
      <c r="A67" s="307" t="s">
        <v>8821</v>
      </c>
      <c r="B67" s="109"/>
      <c r="C67" s="296" t="s">
        <v>8796</v>
      </c>
      <c r="D67" s="303" t="s">
        <v>271</v>
      </c>
      <c r="E67" s="296" t="s">
        <v>8823</v>
      </c>
      <c r="F67" s="298" t="s">
        <v>8837</v>
      </c>
      <c r="G67" s="204"/>
      <c r="H67" s="298" t="s">
        <v>8838</v>
      </c>
      <c r="I67" s="298" t="s">
        <v>8839</v>
      </c>
      <c r="J67" s="303" t="s">
        <v>36</v>
      </c>
      <c r="K67" s="296" t="s">
        <v>2034</v>
      </c>
      <c r="L67" s="304"/>
      <c r="M67" s="302"/>
      <c r="N67" s="302"/>
      <c r="O67" s="302"/>
      <c r="P67" s="302"/>
      <c r="Q67" s="302"/>
      <c r="R67" s="302"/>
      <c r="S67" s="302"/>
      <c r="T67" s="302"/>
      <c r="U67" s="302"/>
      <c r="V67" s="302"/>
      <c r="W67" s="302"/>
      <c r="X67" s="302"/>
      <c r="Y67" s="302"/>
      <c r="Z67" s="302"/>
      <c r="AA67" s="302"/>
      <c r="AB67" s="302"/>
    </row>
    <row r="68">
      <c r="A68" s="307" t="s">
        <v>8840</v>
      </c>
      <c r="B68" s="303" t="s">
        <v>8841</v>
      </c>
      <c r="C68" s="296" t="s">
        <v>8773</v>
      </c>
      <c r="D68" s="303" t="s">
        <v>271</v>
      </c>
      <c r="E68" s="296" t="s">
        <v>8802</v>
      </c>
      <c r="F68" s="298" t="s">
        <v>8842</v>
      </c>
      <c r="G68" s="304"/>
      <c r="H68" s="298" t="s">
        <v>8843</v>
      </c>
      <c r="I68" s="298" t="s">
        <v>8844</v>
      </c>
      <c r="J68" s="300" t="s">
        <v>36</v>
      </c>
      <c r="K68" s="296" t="s">
        <v>2034</v>
      </c>
      <c r="L68" s="304"/>
      <c r="M68" s="302"/>
      <c r="N68" s="302"/>
      <c r="O68" s="302"/>
      <c r="P68" s="302"/>
      <c r="Q68" s="302"/>
      <c r="R68" s="302"/>
      <c r="S68" s="302"/>
      <c r="T68" s="302"/>
      <c r="U68" s="302"/>
      <c r="V68" s="302"/>
      <c r="W68" s="302"/>
      <c r="X68" s="302"/>
      <c r="Y68" s="302"/>
      <c r="Z68" s="302"/>
      <c r="AA68" s="302"/>
      <c r="AB68" s="302"/>
    </row>
    <row r="69">
      <c r="A69" s="312" t="s">
        <v>8845</v>
      </c>
      <c r="B69" s="137" t="s">
        <v>8846</v>
      </c>
      <c r="C69" s="313" t="s">
        <v>8773</v>
      </c>
      <c r="D69" s="314" t="s">
        <v>271</v>
      </c>
      <c r="E69" s="315" t="s">
        <v>8522</v>
      </c>
      <c r="F69" s="311" t="s">
        <v>8847</v>
      </c>
      <c r="G69" s="315" t="s">
        <v>8848</v>
      </c>
      <c r="H69" s="315" t="s">
        <v>8849</v>
      </c>
      <c r="I69" s="311" t="s">
        <v>8850</v>
      </c>
      <c r="J69" s="300" t="s">
        <v>36</v>
      </c>
      <c r="K69" s="296" t="s">
        <v>1784</v>
      </c>
      <c r="L69" s="316"/>
      <c r="M69" s="302"/>
      <c r="N69" s="302"/>
      <c r="O69" s="302"/>
      <c r="P69" s="302"/>
      <c r="Q69" s="302"/>
      <c r="R69" s="302"/>
      <c r="S69" s="302"/>
      <c r="T69" s="302"/>
      <c r="U69" s="302"/>
      <c r="V69" s="302"/>
      <c r="W69" s="302"/>
      <c r="X69" s="302"/>
      <c r="Y69" s="302"/>
      <c r="Z69" s="302"/>
      <c r="AA69" s="302"/>
      <c r="AB69" s="302"/>
    </row>
    <row r="70">
      <c r="A70" s="99"/>
      <c r="B70" s="317"/>
      <c r="C70" s="296" t="s">
        <v>8773</v>
      </c>
      <c r="D70" s="303" t="s">
        <v>271</v>
      </c>
      <c r="E70" s="318" t="s">
        <v>8851</v>
      </c>
      <c r="F70" s="258" t="s">
        <v>8852</v>
      </c>
      <c r="G70" s="265" t="s">
        <v>8853</v>
      </c>
      <c r="H70" s="265" t="s">
        <v>8854</v>
      </c>
      <c r="I70" s="258" t="s">
        <v>8855</v>
      </c>
      <c r="J70" s="319" t="s">
        <v>36</v>
      </c>
      <c r="K70" s="301"/>
      <c r="L70" s="301"/>
      <c r="M70" s="302"/>
      <c r="N70" s="302"/>
      <c r="O70" s="302"/>
      <c r="P70" s="302"/>
      <c r="Q70" s="302"/>
      <c r="R70" s="302"/>
      <c r="S70" s="302"/>
      <c r="T70" s="302"/>
      <c r="U70" s="302"/>
      <c r="V70" s="302"/>
      <c r="W70" s="302"/>
      <c r="X70" s="302"/>
      <c r="Y70" s="302"/>
      <c r="Z70" s="302"/>
      <c r="AA70" s="302"/>
      <c r="AB70" s="302"/>
    </row>
    <row r="71">
      <c r="A71" s="320"/>
      <c r="B71" s="317"/>
      <c r="C71" s="296" t="s">
        <v>8780</v>
      </c>
      <c r="D71" s="302"/>
      <c r="E71" s="321"/>
      <c r="F71" s="322"/>
      <c r="G71" s="265" t="s">
        <v>8856</v>
      </c>
      <c r="H71" s="265" t="s">
        <v>8857</v>
      </c>
      <c r="I71" s="258" t="s">
        <v>8858</v>
      </c>
      <c r="J71" s="319" t="s">
        <v>36</v>
      </c>
      <c r="K71" s="301"/>
      <c r="L71" s="301"/>
      <c r="M71" s="302"/>
      <c r="N71" s="302"/>
      <c r="O71" s="302"/>
      <c r="P71" s="302"/>
      <c r="Q71" s="302"/>
      <c r="R71" s="302"/>
      <c r="S71" s="302"/>
      <c r="T71" s="302"/>
      <c r="U71" s="302"/>
      <c r="V71" s="302"/>
      <c r="W71" s="302"/>
      <c r="X71" s="302"/>
      <c r="Y71" s="302"/>
      <c r="Z71" s="302"/>
      <c r="AA71" s="302"/>
      <c r="AB71" s="302"/>
    </row>
    <row r="72">
      <c r="A72" s="320"/>
      <c r="B72" s="317"/>
      <c r="C72" s="296" t="s">
        <v>8784</v>
      </c>
      <c r="D72" s="302"/>
      <c r="E72" s="321"/>
      <c r="F72" s="322"/>
      <c r="G72" s="265" t="s">
        <v>8859</v>
      </c>
      <c r="H72" s="265" t="s">
        <v>8860</v>
      </c>
      <c r="I72" s="258" t="s">
        <v>8861</v>
      </c>
      <c r="J72" s="319" t="s">
        <v>36</v>
      </c>
      <c r="K72" s="301"/>
      <c r="L72" s="301"/>
      <c r="M72" s="302"/>
      <c r="N72" s="302"/>
      <c r="O72" s="302"/>
      <c r="P72" s="302"/>
      <c r="Q72" s="302"/>
      <c r="R72" s="302"/>
      <c r="S72" s="302"/>
      <c r="T72" s="302"/>
      <c r="U72" s="302"/>
      <c r="V72" s="302"/>
      <c r="W72" s="302"/>
      <c r="X72" s="302"/>
      <c r="Y72" s="302"/>
      <c r="Z72" s="302"/>
      <c r="AA72" s="302"/>
      <c r="AB72" s="302"/>
    </row>
    <row r="73">
      <c r="A73" s="320"/>
      <c r="B73" s="317"/>
      <c r="C73" s="296" t="s">
        <v>8788</v>
      </c>
      <c r="D73" s="302"/>
      <c r="E73" s="321"/>
      <c r="F73" s="322"/>
      <c r="G73" s="265" t="s">
        <v>8862</v>
      </c>
      <c r="H73" s="265" t="s">
        <v>8863</v>
      </c>
      <c r="I73" s="258" t="s">
        <v>8864</v>
      </c>
      <c r="J73" s="319" t="s">
        <v>36</v>
      </c>
      <c r="K73" s="301"/>
      <c r="L73" s="301"/>
      <c r="M73" s="302"/>
      <c r="N73" s="302"/>
      <c r="O73" s="302"/>
      <c r="P73" s="302"/>
      <c r="Q73" s="302"/>
      <c r="R73" s="302"/>
      <c r="S73" s="302"/>
      <c r="T73" s="302"/>
      <c r="U73" s="302"/>
      <c r="V73" s="302"/>
      <c r="W73" s="302"/>
      <c r="X73" s="302"/>
      <c r="Y73" s="302"/>
      <c r="Z73" s="302"/>
      <c r="AA73" s="302"/>
      <c r="AB73" s="302"/>
    </row>
    <row r="74">
      <c r="A74" s="320"/>
      <c r="B74" s="317"/>
      <c r="C74" s="296" t="s">
        <v>8792</v>
      </c>
      <c r="D74" s="302"/>
      <c r="E74" s="321"/>
      <c r="F74" s="322"/>
      <c r="G74" s="265" t="s">
        <v>8865</v>
      </c>
      <c r="H74" s="265" t="s">
        <v>8866</v>
      </c>
      <c r="I74" s="258" t="s">
        <v>8867</v>
      </c>
      <c r="J74" s="319" t="s">
        <v>36</v>
      </c>
      <c r="K74" s="301"/>
      <c r="L74" s="301"/>
      <c r="M74" s="302"/>
      <c r="N74" s="302"/>
      <c r="O74" s="302"/>
      <c r="P74" s="302"/>
      <c r="Q74" s="302"/>
      <c r="R74" s="302"/>
      <c r="S74" s="302"/>
      <c r="T74" s="302"/>
      <c r="U74" s="302"/>
      <c r="V74" s="302"/>
      <c r="W74" s="302"/>
      <c r="X74" s="302"/>
      <c r="Y74" s="302"/>
      <c r="Z74" s="302"/>
      <c r="AA74" s="302"/>
      <c r="AB74" s="302"/>
    </row>
    <row r="75">
      <c r="A75" s="320"/>
      <c r="B75" s="317"/>
      <c r="C75" s="296" t="s">
        <v>8796</v>
      </c>
      <c r="D75" s="302"/>
      <c r="E75" s="321"/>
      <c r="F75" s="322"/>
      <c r="G75" s="265" t="s">
        <v>8868</v>
      </c>
      <c r="H75" s="265" t="s">
        <v>8869</v>
      </c>
      <c r="I75" s="258" t="s">
        <v>8867</v>
      </c>
      <c r="J75" s="319" t="s">
        <v>36</v>
      </c>
      <c r="K75" s="301"/>
      <c r="L75" s="301"/>
      <c r="M75" s="302"/>
      <c r="N75" s="302"/>
      <c r="O75" s="302"/>
      <c r="P75" s="302"/>
      <c r="Q75" s="302"/>
      <c r="R75" s="302"/>
      <c r="S75" s="302"/>
      <c r="T75" s="302"/>
      <c r="U75" s="302"/>
      <c r="V75" s="302"/>
      <c r="W75" s="302"/>
      <c r="X75" s="302"/>
      <c r="Y75" s="302"/>
      <c r="Z75" s="302"/>
      <c r="AA75" s="302"/>
      <c r="AB75" s="302"/>
    </row>
    <row r="76">
      <c r="A76" s="320"/>
      <c r="B76" s="317"/>
      <c r="C76" s="296" t="s">
        <v>8870</v>
      </c>
      <c r="D76" s="302"/>
      <c r="E76" s="321"/>
      <c r="F76" s="322"/>
      <c r="G76" s="265" t="s">
        <v>8871</v>
      </c>
      <c r="H76" s="265" t="s">
        <v>8869</v>
      </c>
      <c r="I76" s="258" t="s">
        <v>8867</v>
      </c>
      <c r="J76" s="319" t="s">
        <v>36</v>
      </c>
      <c r="K76" s="301"/>
      <c r="L76" s="301"/>
      <c r="M76" s="302"/>
      <c r="N76" s="302"/>
      <c r="O76" s="302"/>
      <c r="P76" s="302"/>
      <c r="Q76" s="302"/>
      <c r="R76" s="302"/>
      <c r="S76" s="302"/>
      <c r="T76" s="302"/>
      <c r="U76" s="302"/>
      <c r="V76" s="302"/>
      <c r="W76" s="302"/>
      <c r="X76" s="302"/>
      <c r="Y76" s="302"/>
      <c r="Z76" s="302"/>
      <c r="AA76" s="302"/>
      <c r="AB76" s="302"/>
    </row>
    <row r="77">
      <c r="A77" s="320"/>
      <c r="B77" s="317"/>
      <c r="C77" s="296" t="s">
        <v>8872</v>
      </c>
      <c r="D77" s="302"/>
      <c r="E77" s="321"/>
      <c r="F77" s="258" t="s">
        <v>8873</v>
      </c>
      <c r="G77" s="265" t="s">
        <v>8874</v>
      </c>
      <c r="H77" s="265" t="s">
        <v>8875</v>
      </c>
      <c r="I77" s="258" t="s">
        <v>8876</v>
      </c>
      <c r="J77" s="319" t="s">
        <v>36</v>
      </c>
      <c r="K77" s="301"/>
      <c r="L77" s="301"/>
      <c r="M77" s="302"/>
      <c r="N77" s="302"/>
      <c r="O77" s="302"/>
      <c r="P77" s="302"/>
      <c r="Q77" s="302"/>
      <c r="R77" s="302"/>
      <c r="S77" s="302"/>
      <c r="T77" s="302"/>
      <c r="U77" s="302"/>
      <c r="V77" s="302"/>
      <c r="W77" s="302"/>
      <c r="X77" s="302"/>
      <c r="Y77" s="302"/>
      <c r="Z77" s="302"/>
      <c r="AA77" s="302"/>
      <c r="AB77" s="302"/>
    </row>
    <row r="78">
      <c r="A78" s="320"/>
      <c r="B78" s="317"/>
      <c r="C78" s="296" t="s">
        <v>8877</v>
      </c>
      <c r="D78" s="302"/>
      <c r="E78" s="321"/>
      <c r="F78" s="322"/>
      <c r="G78" s="265" t="s">
        <v>8878</v>
      </c>
      <c r="H78" s="265" t="s">
        <v>8879</v>
      </c>
      <c r="I78" s="258" t="s">
        <v>8880</v>
      </c>
      <c r="J78" s="319" t="s">
        <v>317</v>
      </c>
      <c r="K78" s="296" t="s">
        <v>8881</v>
      </c>
      <c r="L78" s="301"/>
      <c r="M78" s="302"/>
      <c r="N78" s="302"/>
      <c r="O78" s="302"/>
      <c r="P78" s="302"/>
      <c r="Q78" s="302"/>
      <c r="R78" s="302"/>
      <c r="S78" s="302"/>
      <c r="T78" s="302"/>
      <c r="U78" s="302"/>
      <c r="V78" s="302"/>
      <c r="W78" s="302"/>
      <c r="X78" s="302"/>
      <c r="Y78" s="302"/>
      <c r="Z78" s="302"/>
      <c r="AA78" s="302"/>
      <c r="AB78" s="302"/>
    </row>
    <row r="79">
      <c r="A79" s="320"/>
      <c r="B79" s="317"/>
      <c r="C79" s="296" t="s">
        <v>8882</v>
      </c>
      <c r="D79" s="302"/>
      <c r="E79" s="321"/>
      <c r="F79" s="322"/>
      <c r="G79" s="265" t="s">
        <v>8883</v>
      </c>
      <c r="H79" s="265" t="s">
        <v>8884</v>
      </c>
      <c r="I79" s="258" t="s">
        <v>8885</v>
      </c>
      <c r="J79" s="319" t="s">
        <v>317</v>
      </c>
      <c r="K79" s="296" t="s">
        <v>8881</v>
      </c>
      <c r="L79" s="301"/>
      <c r="M79" s="302"/>
      <c r="N79" s="302"/>
      <c r="O79" s="302"/>
      <c r="P79" s="302"/>
      <c r="Q79" s="302"/>
      <c r="R79" s="302"/>
      <c r="S79" s="302"/>
      <c r="T79" s="302"/>
      <c r="U79" s="302"/>
      <c r="V79" s="302"/>
      <c r="W79" s="302"/>
      <c r="X79" s="302"/>
      <c r="Y79" s="302"/>
      <c r="Z79" s="302"/>
      <c r="AA79" s="302"/>
      <c r="AB79" s="302"/>
    </row>
    <row r="80">
      <c r="A80" s="320"/>
      <c r="B80" s="317"/>
      <c r="C80" s="296" t="s">
        <v>8886</v>
      </c>
      <c r="D80" s="302"/>
      <c r="E80" s="321"/>
      <c r="F80" s="322"/>
      <c r="G80" s="265" t="s">
        <v>8887</v>
      </c>
      <c r="H80" s="265" t="s">
        <v>8888</v>
      </c>
      <c r="I80" s="258" t="s">
        <v>8889</v>
      </c>
      <c r="J80" s="319" t="s">
        <v>36</v>
      </c>
      <c r="K80" s="301"/>
      <c r="L80" s="301"/>
      <c r="M80" s="302"/>
      <c r="N80" s="302"/>
      <c r="O80" s="302"/>
      <c r="P80" s="302"/>
      <c r="Q80" s="302"/>
      <c r="R80" s="302"/>
      <c r="S80" s="302"/>
      <c r="T80" s="302"/>
      <c r="U80" s="302"/>
      <c r="V80" s="302"/>
      <c r="W80" s="302"/>
      <c r="X80" s="302"/>
      <c r="Y80" s="302"/>
      <c r="Z80" s="302"/>
      <c r="AA80" s="302"/>
      <c r="AB80" s="302"/>
    </row>
    <row r="81">
      <c r="A81" s="320"/>
      <c r="B81" s="317"/>
      <c r="C81" s="296" t="s">
        <v>8890</v>
      </c>
      <c r="D81" s="302"/>
      <c r="E81" s="321"/>
      <c r="F81" s="258" t="s">
        <v>8891</v>
      </c>
      <c r="G81" s="265" t="s">
        <v>8892</v>
      </c>
      <c r="H81" s="268" t="s">
        <v>8893</v>
      </c>
      <c r="I81" s="258" t="s">
        <v>8894</v>
      </c>
      <c r="J81" s="319" t="s">
        <v>36</v>
      </c>
      <c r="K81" s="301"/>
      <c r="L81" s="301"/>
      <c r="M81" s="302"/>
      <c r="N81" s="302"/>
      <c r="O81" s="302"/>
      <c r="P81" s="302"/>
      <c r="Q81" s="302"/>
      <c r="R81" s="302"/>
      <c r="S81" s="302"/>
      <c r="T81" s="302"/>
      <c r="U81" s="302"/>
      <c r="V81" s="302"/>
      <c r="W81" s="302"/>
      <c r="X81" s="302"/>
      <c r="Y81" s="302"/>
      <c r="Z81" s="302"/>
      <c r="AA81" s="302"/>
      <c r="AB81" s="302"/>
    </row>
    <row r="82">
      <c r="A82" s="320"/>
      <c r="B82" s="317"/>
      <c r="C82" s="296" t="s">
        <v>8895</v>
      </c>
      <c r="D82" s="302"/>
      <c r="E82" s="321"/>
      <c r="F82" s="322"/>
      <c r="G82" s="265" t="s">
        <v>8896</v>
      </c>
      <c r="H82" s="268" t="s">
        <v>8897</v>
      </c>
      <c r="I82" s="258" t="s">
        <v>8898</v>
      </c>
      <c r="J82" s="319" t="s">
        <v>36</v>
      </c>
      <c r="K82" s="301"/>
      <c r="L82" s="301"/>
      <c r="M82" s="302"/>
      <c r="N82" s="302"/>
      <c r="O82" s="302"/>
      <c r="P82" s="302"/>
      <c r="Q82" s="302"/>
      <c r="R82" s="302"/>
      <c r="S82" s="302"/>
      <c r="T82" s="302"/>
      <c r="U82" s="302"/>
      <c r="V82" s="302"/>
      <c r="W82" s="302"/>
      <c r="X82" s="302"/>
      <c r="Y82" s="302"/>
      <c r="Z82" s="302"/>
      <c r="AA82" s="302"/>
      <c r="AB82" s="302"/>
    </row>
    <row r="83">
      <c r="A83" s="320"/>
      <c r="B83" s="317"/>
      <c r="C83" s="296" t="s">
        <v>8899</v>
      </c>
      <c r="D83" s="302"/>
      <c r="E83" s="321"/>
      <c r="F83" s="322"/>
      <c r="G83" s="265" t="s">
        <v>8900</v>
      </c>
      <c r="H83" s="268" t="s">
        <v>8901</v>
      </c>
      <c r="I83" s="258" t="s">
        <v>8902</v>
      </c>
      <c r="J83" s="319" t="s">
        <v>36</v>
      </c>
      <c r="K83" s="301"/>
      <c r="L83" s="301"/>
      <c r="M83" s="302"/>
      <c r="N83" s="302"/>
      <c r="O83" s="302"/>
      <c r="P83" s="302"/>
      <c r="Q83" s="302"/>
      <c r="R83" s="302"/>
      <c r="S83" s="302"/>
      <c r="T83" s="302"/>
      <c r="U83" s="302"/>
      <c r="V83" s="302"/>
      <c r="W83" s="302"/>
      <c r="X83" s="302"/>
      <c r="Y83" s="302"/>
      <c r="Z83" s="302"/>
      <c r="AA83" s="302"/>
      <c r="AB83" s="302"/>
    </row>
    <row r="84">
      <c r="A84" s="320"/>
      <c r="B84" s="317"/>
      <c r="C84" s="296" t="s">
        <v>8903</v>
      </c>
      <c r="D84" s="302"/>
      <c r="E84" s="321"/>
      <c r="F84" s="322"/>
      <c r="G84" s="265" t="s">
        <v>8904</v>
      </c>
      <c r="H84" s="268" t="s">
        <v>8905</v>
      </c>
      <c r="I84" s="258" t="s">
        <v>8906</v>
      </c>
      <c r="J84" s="319" t="s">
        <v>36</v>
      </c>
      <c r="K84" s="301"/>
      <c r="L84" s="301"/>
      <c r="M84" s="302"/>
      <c r="N84" s="302"/>
      <c r="O84" s="302"/>
      <c r="P84" s="302"/>
      <c r="Q84" s="302"/>
      <c r="R84" s="302"/>
      <c r="S84" s="302"/>
      <c r="T84" s="302"/>
      <c r="U84" s="302"/>
      <c r="V84" s="302"/>
      <c r="W84" s="302"/>
      <c r="X84" s="302"/>
      <c r="Y84" s="302"/>
      <c r="Z84" s="302"/>
      <c r="AA84" s="302"/>
      <c r="AB84" s="302"/>
    </row>
    <row r="85">
      <c r="A85" s="320"/>
      <c r="B85" s="317"/>
      <c r="C85" s="296" t="s">
        <v>8907</v>
      </c>
      <c r="D85" s="302"/>
      <c r="E85" s="321"/>
      <c r="F85" s="322"/>
      <c r="G85" s="265" t="s">
        <v>8908</v>
      </c>
      <c r="H85" s="268" t="s">
        <v>8909</v>
      </c>
      <c r="I85" s="258" t="s">
        <v>8910</v>
      </c>
      <c r="J85" s="319" t="s">
        <v>317</v>
      </c>
      <c r="K85" s="296" t="s">
        <v>8911</v>
      </c>
      <c r="L85" s="301"/>
      <c r="M85" s="302"/>
      <c r="N85" s="302"/>
      <c r="O85" s="302"/>
      <c r="P85" s="302"/>
      <c r="Q85" s="302"/>
      <c r="R85" s="302"/>
      <c r="S85" s="302"/>
      <c r="T85" s="302"/>
      <c r="U85" s="302"/>
      <c r="V85" s="302"/>
      <c r="W85" s="302"/>
      <c r="X85" s="302"/>
      <c r="Y85" s="302"/>
      <c r="Z85" s="302"/>
      <c r="AA85" s="302"/>
      <c r="AB85" s="302"/>
    </row>
    <row r="86">
      <c r="A86" s="320"/>
      <c r="B86" s="317"/>
      <c r="C86" s="296" t="s">
        <v>8912</v>
      </c>
      <c r="D86" s="302"/>
      <c r="E86" s="321"/>
      <c r="F86" s="322"/>
      <c r="G86" s="265" t="s">
        <v>8913</v>
      </c>
      <c r="H86" s="268" t="s">
        <v>8914</v>
      </c>
      <c r="I86" s="258" t="s">
        <v>8915</v>
      </c>
      <c r="J86" s="319" t="s">
        <v>36</v>
      </c>
      <c r="K86" s="301"/>
      <c r="L86" s="301"/>
      <c r="M86" s="302"/>
      <c r="N86" s="302"/>
      <c r="O86" s="302"/>
      <c r="P86" s="302"/>
      <c r="Q86" s="302"/>
      <c r="R86" s="302"/>
      <c r="S86" s="302"/>
      <c r="T86" s="302"/>
      <c r="U86" s="302"/>
      <c r="V86" s="302"/>
      <c r="W86" s="302"/>
      <c r="X86" s="302"/>
      <c r="Y86" s="302"/>
      <c r="Z86" s="302"/>
      <c r="AA86" s="302"/>
      <c r="AB86" s="302"/>
    </row>
    <row r="87">
      <c r="A87" s="320"/>
      <c r="B87" s="317"/>
      <c r="C87" s="296" t="s">
        <v>8916</v>
      </c>
      <c r="D87" s="302"/>
      <c r="E87" s="321"/>
      <c r="F87" s="322"/>
      <c r="G87" s="265" t="s">
        <v>8917</v>
      </c>
      <c r="H87" s="268" t="s">
        <v>8918</v>
      </c>
      <c r="I87" s="258" t="s">
        <v>8919</v>
      </c>
      <c r="J87" s="319" t="s">
        <v>36</v>
      </c>
      <c r="K87" s="301"/>
      <c r="L87" s="301"/>
      <c r="M87" s="302"/>
      <c r="N87" s="302"/>
      <c r="O87" s="302"/>
      <c r="P87" s="302"/>
      <c r="Q87" s="302"/>
      <c r="R87" s="302"/>
      <c r="S87" s="302"/>
      <c r="T87" s="302"/>
      <c r="U87" s="302"/>
      <c r="V87" s="302"/>
      <c r="W87" s="302"/>
      <c r="X87" s="302"/>
      <c r="Y87" s="302"/>
      <c r="Z87" s="302"/>
      <c r="AA87" s="302"/>
      <c r="AB87" s="302"/>
    </row>
    <row r="88">
      <c r="A88" s="320"/>
      <c r="B88" s="317"/>
      <c r="C88" s="296" t="s">
        <v>8920</v>
      </c>
      <c r="D88" s="302"/>
      <c r="E88" s="321"/>
      <c r="F88" s="322"/>
      <c r="G88" s="265" t="s">
        <v>8921</v>
      </c>
      <c r="H88" s="268" t="s">
        <v>8922</v>
      </c>
      <c r="I88" s="258" t="s">
        <v>8923</v>
      </c>
      <c r="J88" s="319" t="s">
        <v>317</v>
      </c>
      <c r="K88" s="296" t="s">
        <v>8924</v>
      </c>
      <c r="L88" s="301"/>
      <c r="M88" s="302"/>
      <c r="N88" s="302"/>
      <c r="O88" s="302"/>
      <c r="P88" s="302"/>
      <c r="Q88" s="302"/>
      <c r="R88" s="302"/>
      <c r="S88" s="302"/>
      <c r="T88" s="302"/>
      <c r="U88" s="302"/>
      <c r="V88" s="302"/>
      <c r="W88" s="302"/>
      <c r="X88" s="302"/>
      <c r="Y88" s="302"/>
      <c r="Z88" s="302"/>
      <c r="AA88" s="302"/>
      <c r="AB88" s="302"/>
    </row>
    <row r="89">
      <c r="A89" s="320"/>
      <c r="B89" s="317"/>
      <c r="C89" s="296" t="s">
        <v>8925</v>
      </c>
      <c r="D89" s="302"/>
      <c r="E89" s="321"/>
      <c r="F89" s="322"/>
      <c r="G89" s="265" t="s">
        <v>8926</v>
      </c>
      <c r="H89" s="268" t="s">
        <v>8927</v>
      </c>
      <c r="I89" s="258" t="s">
        <v>8928</v>
      </c>
      <c r="J89" s="319" t="s">
        <v>36</v>
      </c>
      <c r="K89" s="301"/>
      <c r="L89" s="301"/>
      <c r="M89" s="302"/>
      <c r="N89" s="302"/>
      <c r="O89" s="302"/>
      <c r="P89" s="302"/>
      <c r="Q89" s="302"/>
      <c r="R89" s="302"/>
      <c r="S89" s="302"/>
      <c r="T89" s="302"/>
      <c r="U89" s="302"/>
      <c r="V89" s="302"/>
      <c r="W89" s="302"/>
      <c r="X89" s="302"/>
      <c r="Y89" s="302"/>
      <c r="Z89" s="302"/>
      <c r="AA89" s="302"/>
      <c r="AB89" s="302"/>
    </row>
    <row r="90">
      <c r="A90" s="320"/>
      <c r="B90" s="317"/>
      <c r="C90" s="296" t="s">
        <v>8929</v>
      </c>
      <c r="D90" s="302"/>
      <c r="E90" s="321"/>
      <c r="F90" s="258" t="s">
        <v>8930</v>
      </c>
      <c r="G90" s="265" t="s">
        <v>8931</v>
      </c>
      <c r="H90" s="265" t="s">
        <v>8932</v>
      </c>
      <c r="I90" s="258" t="s">
        <v>8933</v>
      </c>
      <c r="J90" s="319" t="s">
        <v>36</v>
      </c>
      <c r="K90" s="301"/>
      <c r="L90" s="301"/>
      <c r="M90" s="302"/>
      <c r="N90" s="302"/>
      <c r="O90" s="302"/>
      <c r="P90" s="302"/>
      <c r="Q90" s="302"/>
      <c r="R90" s="302"/>
      <c r="S90" s="302"/>
      <c r="T90" s="302"/>
      <c r="U90" s="302"/>
      <c r="V90" s="302"/>
      <c r="W90" s="302"/>
      <c r="X90" s="302"/>
      <c r="Y90" s="302"/>
      <c r="Z90" s="302"/>
      <c r="AA90" s="302"/>
      <c r="AB90" s="302"/>
    </row>
    <row r="91">
      <c r="A91" s="320"/>
      <c r="B91" s="317"/>
      <c r="C91" s="296" t="s">
        <v>8934</v>
      </c>
      <c r="D91" s="302"/>
      <c r="E91" s="321"/>
      <c r="F91" s="322"/>
      <c r="G91" s="265" t="s">
        <v>8856</v>
      </c>
      <c r="H91" s="265" t="s">
        <v>8935</v>
      </c>
      <c r="I91" s="258" t="s">
        <v>8936</v>
      </c>
      <c r="J91" s="319" t="s">
        <v>36</v>
      </c>
      <c r="K91" s="301"/>
      <c r="L91" s="301"/>
      <c r="M91" s="302"/>
      <c r="N91" s="302"/>
      <c r="O91" s="302"/>
      <c r="P91" s="302"/>
      <c r="Q91" s="302"/>
      <c r="R91" s="302"/>
      <c r="S91" s="302"/>
      <c r="T91" s="302"/>
      <c r="U91" s="302"/>
      <c r="V91" s="302"/>
      <c r="W91" s="302"/>
      <c r="X91" s="302"/>
      <c r="Y91" s="302"/>
      <c r="Z91" s="302"/>
      <c r="AA91" s="302"/>
      <c r="AB91" s="302"/>
    </row>
    <row r="92">
      <c r="A92" s="320"/>
      <c r="B92" s="317"/>
      <c r="C92" s="296" t="s">
        <v>8937</v>
      </c>
      <c r="D92" s="302"/>
      <c r="E92" s="321"/>
      <c r="F92" s="322"/>
      <c r="G92" s="265" t="s">
        <v>8938</v>
      </c>
      <c r="H92" s="265" t="s">
        <v>8939</v>
      </c>
      <c r="I92" s="258" t="s">
        <v>8940</v>
      </c>
      <c r="J92" s="319" t="s">
        <v>36</v>
      </c>
      <c r="K92" s="301"/>
      <c r="L92" s="301"/>
      <c r="M92" s="302"/>
      <c r="N92" s="302"/>
      <c r="O92" s="302"/>
      <c r="P92" s="302"/>
      <c r="Q92" s="302"/>
      <c r="R92" s="302"/>
      <c r="S92" s="302"/>
      <c r="T92" s="302"/>
      <c r="U92" s="302"/>
      <c r="V92" s="302"/>
      <c r="W92" s="302"/>
      <c r="X92" s="302"/>
      <c r="Y92" s="302"/>
      <c r="Z92" s="302"/>
      <c r="AA92" s="302"/>
      <c r="AB92" s="302"/>
    </row>
    <row r="93">
      <c r="A93" s="320"/>
      <c r="B93" s="317"/>
      <c r="C93" s="296" t="s">
        <v>8941</v>
      </c>
      <c r="D93" s="302"/>
      <c r="E93" s="321"/>
      <c r="F93" s="322"/>
      <c r="G93" s="265" t="s">
        <v>8862</v>
      </c>
      <c r="H93" s="265" t="s">
        <v>8942</v>
      </c>
      <c r="I93" s="258" t="s">
        <v>8943</v>
      </c>
      <c r="J93" s="319" t="s">
        <v>36</v>
      </c>
      <c r="K93" s="301"/>
      <c r="L93" s="301"/>
      <c r="M93" s="302"/>
      <c r="N93" s="302"/>
      <c r="O93" s="302"/>
      <c r="P93" s="302"/>
      <c r="Q93" s="302"/>
      <c r="R93" s="302"/>
      <c r="S93" s="302"/>
      <c r="T93" s="302"/>
      <c r="U93" s="302"/>
      <c r="V93" s="302"/>
      <c r="W93" s="302"/>
      <c r="X93" s="302"/>
      <c r="Y93" s="302"/>
      <c r="Z93" s="302"/>
      <c r="AA93" s="302"/>
      <c r="AB93" s="302"/>
    </row>
    <row r="94">
      <c r="A94" s="320"/>
      <c r="B94" s="317"/>
      <c r="C94" s="296" t="s">
        <v>8944</v>
      </c>
      <c r="D94" s="302"/>
      <c r="E94" s="321"/>
      <c r="F94" s="322"/>
      <c r="G94" s="265" t="s">
        <v>8945</v>
      </c>
      <c r="H94" s="265" t="s">
        <v>8946</v>
      </c>
      <c r="I94" s="258" t="s">
        <v>8947</v>
      </c>
      <c r="J94" s="319" t="s">
        <v>36</v>
      </c>
      <c r="K94" s="301"/>
      <c r="L94" s="301"/>
      <c r="M94" s="302"/>
      <c r="N94" s="302"/>
      <c r="O94" s="302"/>
      <c r="P94" s="302"/>
      <c r="Q94" s="302"/>
      <c r="R94" s="302"/>
      <c r="S94" s="302"/>
      <c r="T94" s="302"/>
      <c r="U94" s="302"/>
      <c r="V94" s="302"/>
      <c r="W94" s="302"/>
      <c r="X94" s="302"/>
      <c r="Y94" s="302"/>
      <c r="Z94" s="302"/>
      <c r="AA94" s="302"/>
      <c r="AB94" s="302"/>
    </row>
    <row r="95">
      <c r="A95" s="320"/>
      <c r="B95" s="317"/>
      <c r="C95" s="296" t="s">
        <v>8948</v>
      </c>
      <c r="D95" s="302"/>
      <c r="E95" s="321"/>
      <c r="F95" s="322"/>
      <c r="G95" s="265" t="s">
        <v>8949</v>
      </c>
      <c r="H95" s="265" t="s">
        <v>8950</v>
      </c>
      <c r="I95" s="258" t="s">
        <v>8947</v>
      </c>
      <c r="J95" s="319" t="s">
        <v>36</v>
      </c>
      <c r="K95" s="301"/>
      <c r="L95" s="301"/>
      <c r="M95" s="302"/>
      <c r="N95" s="302"/>
      <c r="O95" s="302"/>
      <c r="P95" s="302"/>
      <c r="Q95" s="302"/>
      <c r="R95" s="302"/>
      <c r="S95" s="302"/>
      <c r="T95" s="302"/>
      <c r="U95" s="302"/>
      <c r="V95" s="302"/>
      <c r="W95" s="302"/>
      <c r="X95" s="302"/>
      <c r="Y95" s="302"/>
      <c r="Z95" s="302"/>
      <c r="AA95" s="302"/>
      <c r="AB95" s="302"/>
    </row>
    <row r="96">
      <c r="A96" s="320"/>
      <c r="B96" s="317"/>
      <c r="C96" s="296" t="s">
        <v>8951</v>
      </c>
      <c r="D96" s="302"/>
      <c r="E96" s="321"/>
      <c r="F96" s="322"/>
      <c r="G96" s="265" t="s">
        <v>8952</v>
      </c>
      <c r="H96" s="265" t="s">
        <v>8953</v>
      </c>
      <c r="I96" s="258" t="s">
        <v>8947</v>
      </c>
      <c r="J96" s="319" t="s">
        <v>36</v>
      </c>
      <c r="K96" s="301"/>
      <c r="L96" s="301"/>
      <c r="M96" s="302"/>
      <c r="N96" s="302"/>
      <c r="O96" s="302"/>
      <c r="P96" s="302"/>
      <c r="Q96" s="302"/>
      <c r="R96" s="302"/>
      <c r="S96" s="302"/>
      <c r="T96" s="302"/>
      <c r="U96" s="302"/>
      <c r="V96" s="302"/>
      <c r="W96" s="302"/>
      <c r="X96" s="302"/>
      <c r="Y96" s="302"/>
      <c r="Z96" s="302"/>
      <c r="AA96" s="302"/>
      <c r="AB96" s="302"/>
    </row>
    <row r="97">
      <c r="A97" s="320"/>
      <c r="B97" s="317"/>
      <c r="C97" s="296" t="s">
        <v>8954</v>
      </c>
      <c r="D97" s="302"/>
      <c r="E97" s="321"/>
      <c r="F97" s="258" t="s">
        <v>8955</v>
      </c>
      <c r="G97" s="265" t="s">
        <v>8956</v>
      </c>
      <c r="H97" s="265" t="s">
        <v>8957</v>
      </c>
      <c r="I97" s="258" t="s">
        <v>8958</v>
      </c>
      <c r="J97" s="319" t="s">
        <v>36</v>
      </c>
      <c r="K97" s="301"/>
      <c r="L97" s="301"/>
      <c r="M97" s="302"/>
      <c r="N97" s="302"/>
      <c r="O97" s="302"/>
      <c r="P97" s="302"/>
      <c r="Q97" s="302"/>
      <c r="R97" s="302"/>
      <c r="S97" s="302"/>
      <c r="T97" s="302"/>
      <c r="U97" s="302"/>
      <c r="V97" s="302"/>
      <c r="W97" s="302"/>
      <c r="X97" s="302"/>
      <c r="Y97" s="302"/>
      <c r="Z97" s="302"/>
      <c r="AA97" s="302"/>
      <c r="AB97" s="302"/>
    </row>
    <row r="98">
      <c r="A98" s="320"/>
      <c r="B98" s="317"/>
      <c r="C98" s="296" t="s">
        <v>8959</v>
      </c>
      <c r="D98" s="302"/>
      <c r="E98" s="321"/>
      <c r="F98" s="322"/>
      <c r="G98" s="265" t="s">
        <v>8960</v>
      </c>
      <c r="H98" s="265" t="s">
        <v>8961</v>
      </c>
      <c r="I98" s="258" t="s">
        <v>8962</v>
      </c>
      <c r="J98" s="319" t="s">
        <v>317</v>
      </c>
      <c r="K98" s="301"/>
      <c r="L98" s="301"/>
      <c r="M98" s="302"/>
      <c r="N98" s="302"/>
      <c r="O98" s="302"/>
      <c r="P98" s="302"/>
      <c r="Q98" s="302"/>
      <c r="R98" s="302"/>
      <c r="S98" s="302"/>
      <c r="T98" s="302"/>
      <c r="U98" s="302"/>
      <c r="V98" s="302"/>
      <c r="W98" s="302"/>
      <c r="X98" s="302"/>
      <c r="Y98" s="302"/>
      <c r="Z98" s="302"/>
      <c r="AA98" s="302"/>
      <c r="AB98" s="302"/>
    </row>
    <row r="99">
      <c r="A99" s="320"/>
      <c r="B99" s="317"/>
      <c r="C99" s="296" t="s">
        <v>8963</v>
      </c>
      <c r="D99" s="302"/>
      <c r="E99" s="321"/>
      <c r="F99" s="322"/>
      <c r="G99" s="265" t="s">
        <v>8964</v>
      </c>
      <c r="H99" s="265" t="s">
        <v>8965</v>
      </c>
      <c r="I99" s="258" t="s">
        <v>8966</v>
      </c>
      <c r="J99" s="319" t="s">
        <v>317</v>
      </c>
      <c r="K99" s="301"/>
      <c r="L99" s="301"/>
      <c r="M99" s="302"/>
      <c r="N99" s="302"/>
      <c r="O99" s="302"/>
      <c r="P99" s="302"/>
      <c r="Q99" s="302"/>
      <c r="R99" s="302"/>
      <c r="S99" s="302"/>
      <c r="T99" s="302"/>
      <c r="U99" s="302"/>
      <c r="V99" s="302"/>
      <c r="W99" s="302"/>
      <c r="X99" s="302"/>
      <c r="Y99" s="302"/>
      <c r="Z99" s="302"/>
      <c r="AA99" s="302"/>
      <c r="AB99" s="302"/>
    </row>
    <row r="100">
      <c r="A100" s="320"/>
      <c r="B100" s="317"/>
      <c r="C100" s="296" t="s">
        <v>8967</v>
      </c>
      <c r="D100" s="302"/>
      <c r="E100" s="321"/>
      <c r="F100" s="322"/>
      <c r="G100" s="265" t="s">
        <v>8968</v>
      </c>
      <c r="H100" s="265" t="s">
        <v>8969</v>
      </c>
      <c r="I100" s="258" t="s">
        <v>8970</v>
      </c>
      <c r="J100" s="319" t="s">
        <v>317</v>
      </c>
      <c r="K100" s="301"/>
      <c r="L100" s="301"/>
      <c r="M100" s="302"/>
      <c r="N100" s="302"/>
      <c r="O100" s="302"/>
      <c r="P100" s="302"/>
      <c r="Q100" s="302"/>
      <c r="R100" s="302"/>
      <c r="S100" s="302"/>
      <c r="T100" s="302"/>
      <c r="U100" s="302"/>
      <c r="V100" s="302"/>
      <c r="W100" s="302"/>
      <c r="X100" s="302"/>
      <c r="Y100" s="302"/>
      <c r="Z100" s="302"/>
      <c r="AA100" s="302"/>
      <c r="AB100" s="302"/>
    </row>
    <row r="101">
      <c r="A101" s="320"/>
      <c r="B101" s="317"/>
      <c r="C101" s="296" t="s">
        <v>8971</v>
      </c>
      <c r="D101" s="302"/>
      <c r="E101" s="321"/>
      <c r="F101" s="258" t="s">
        <v>8972</v>
      </c>
      <c r="G101" s="265" t="s">
        <v>8973</v>
      </c>
      <c r="H101" s="268" t="s">
        <v>8974</v>
      </c>
      <c r="I101" s="258" t="s">
        <v>8975</v>
      </c>
      <c r="J101" s="319" t="s">
        <v>36</v>
      </c>
      <c r="K101" s="301"/>
      <c r="L101" s="301"/>
      <c r="M101" s="302"/>
      <c r="N101" s="302"/>
      <c r="O101" s="302"/>
      <c r="P101" s="302"/>
      <c r="Q101" s="302"/>
      <c r="R101" s="302"/>
      <c r="S101" s="302"/>
      <c r="T101" s="302"/>
      <c r="U101" s="302"/>
      <c r="V101" s="302"/>
      <c r="W101" s="302"/>
      <c r="X101" s="302"/>
      <c r="Y101" s="302"/>
      <c r="Z101" s="302"/>
      <c r="AA101" s="302"/>
      <c r="AB101" s="302"/>
    </row>
    <row r="102">
      <c r="A102" s="320"/>
      <c r="B102" s="317"/>
      <c r="C102" s="296" t="s">
        <v>8976</v>
      </c>
      <c r="D102" s="302"/>
      <c r="E102" s="321"/>
      <c r="F102" s="322"/>
      <c r="G102" s="265" t="s">
        <v>8977</v>
      </c>
      <c r="H102" s="268" t="s">
        <v>8978</v>
      </c>
      <c r="I102" s="258" t="s">
        <v>8979</v>
      </c>
      <c r="J102" s="319" t="s">
        <v>36</v>
      </c>
      <c r="K102" s="301"/>
      <c r="L102" s="301"/>
      <c r="M102" s="302"/>
      <c r="N102" s="302"/>
      <c r="O102" s="302"/>
      <c r="P102" s="302"/>
      <c r="Q102" s="302"/>
      <c r="R102" s="302"/>
      <c r="S102" s="302"/>
      <c r="T102" s="302"/>
      <c r="U102" s="302"/>
      <c r="V102" s="302"/>
      <c r="W102" s="302"/>
      <c r="X102" s="302"/>
      <c r="Y102" s="302"/>
      <c r="Z102" s="302"/>
      <c r="AA102" s="302"/>
      <c r="AB102" s="302"/>
    </row>
    <row r="103">
      <c r="A103" s="320"/>
      <c r="B103" s="317"/>
      <c r="C103" s="296" t="s">
        <v>8980</v>
      </c>
      <c r="D103" s="302"/>
      <c r="E103" s="321"/>
      <c r="F103" s="322"/>
      <c r="G103" s="265" t="s">
        <v>8981</v>
      </c>
      <c r="H103" s="268" t="s">
        <v>8982</v>
      </c>
      <c r="I103" s="258" t="s">
        <v>8983</v>
      </c>
      <c r="J103" s="319" t="s">
        <v>36</v>
      </c>
      <c r="K103" s="301"/>
      <c r="L103" s="301"/>
      <c r="M103" s="302"/>
      <c r="N103" s="302"/>
      <c r="O103" s="302"/>
      <c r="P103" s="302"/>
      <c r="Q103" s="302"/>
      <c r="R103" s="302"/>
      <c r="S103" s="302"/>
      <c r="T103" s="302"/>
      <c r="U103" s="302"/>
      <c r="V103" s="302"/>
      <c r="W103" s="302"/>
      <c r="X103" s="302"/>
      <c r="Y103" s="302"/>
      <c r="Z103" s="302"/>
      <c r="AA103" s="302"/>
      <c r="AB103" s="302"/>
    </row>
    <row r="104">
      <c r="A104" s="320"/>
      <c r="B104" s="317"/>
      <c r="C104" s="296" t="s">
        <v>8984</v>
      </c>
      <c r="D104" s="302"/>
      <c r="E104" s="321"/>
      <c r="F104" s="322"/>
      <c r="G104" s="265" t="s">
        <v>8985</v>
      </c>
      <c r="H104" s="268" t="s">
        <v>8978</v>
      </c>
      <c r="I104" s="258" t="s">
        <v>8986</v>
      </c>
      <c r="J104" s="319" t="s">
        <v>317</v>
      </c>
      <c r="K104" s="296" t="s">
        <v>8987</v>
      </c>
      <c r="L104" s="301"/>
      <c r="M104" s="302"/>
      <c r="N104" s="302"/>
      <c r="O104" s="302"/>
      <c r="P104" s="302"/>
      <c r="Q104" s="302"/>
      <c r="R104" s="302"/>
      <c r="S104" s="302"/>
      <c r="T104" s="302"/>
      <c r="U104" s="302"/>
      <c r="V104" s="302"/>
      <c r="W104" s="302"/>
      <c r="X104" s="302"/>
      <c r="Y104" s="302"/>
      <c r="Z104" s="302"/>
      <c r="AA104" s="302"/>
      <c r="AB104" s="302"/>
    </row>
    <row r="105">
      <c r="A105" s="320"/>
      <c r="B105" s="317"/>
      <c r="C105" s="296" t="s">
        <v>8988</v>
      </c>
      <c r="D105" s="302"/>
      <c r="E105" s="321"/>
      <c r="F105" s="322"/>
      <c r="G105" s="265" t="s">
        <v>8989</v>
      </c>
      <c r="H105" s="268" t="s">
        <v>8990</v>
      </c>
      <c r="I105" s="258" t="s">
        <v>8991</v>
      </c>
      <c r="J105" s="319" t="s">
        <v>317</v>
      </c>
      <c r="K105" s="296" t="s">
        <v>8992</v>
      </c>
      <c r="L105" s="301"/>
      <c r="M105" s="302"/>
      <c r="N105" s="302"/>
      <c r="O105" s="302"/>
      <c r="P105" s="302"/>
      <c r="Q105" s="302"/>
      <c r="R105" s="302"/>
      <c r="S105" s="302"/>
      <c r="T105" s="302"/>
      <c r="U105" s="302"/>
      <c r="V105" s="302"/>
      <c r="W105" s="302"/>
      <c r="X105" s="302"/>
      <c r="Y105" s="302"/>
      <c r="Z105" s="302"/>
      <c r="AA105" s="302"/>
      <c r="AB105" s="302"/>
    </row>
    <row r="106">
      <c r="A106" s="320"/>
      <c r="B106" s="317"/>
      <c r="C106" s="296" t="s">
        <v>8993</v>
      </c>
      <c r="D106" s="302"/>
      <c r="E106" s="321"/>
      <c r="F106" s="322"/>
      <c r="G106" s="265" t="s">
        <v>8994</v>
      </c>
      <c r="H106" s="268" t="s">
        <v>8978</v>
      </c>
      <c r="I106" s="258" t="s">
        <v>8995</v>
      </c>
      <c r="J106" s="319" t="s">
        <v>36</v>
      </c>
      <c r="K106" s="301"/>
      <c r="L106" s="301"/>
      <c r="M106" s="302"/>
      <c r="N106" s="302"/>
      <c r="O106" s="302"/>
      <c r="P106" s="302"/>
      <c r="Q106" s="302"/>
      <c r="R106" s="302"/>
      <c r="S106" s="302"/>
      <c r="T106" s="302"/>
      <c r="U106" s="302"/>
      <c r="V106" s="302"/>
      <c r="W106" s="302"/>
      <c r="X106" s="302"/>
      <c r="Y106" s="302"/>
      <c r="Z106" s="302"/>
      <c r="AA106" s="302"/>
      <c r="AB106" s="302"/>
    </row>
    <row r="107">
      <c r="A107" s="320"/>
      <c r="B107" s="317"/>
      <c r="C107" s="296" t="s">
        <v>8996</v>
      </c>
      <c r="D107" s="302"/>
      <c r="E107" s="321"/>
      <c r="F107" s="322"/>
      <c r="G107" s="265" t="s">
        <v>8997</v>
      </c>
      <c r="H107" s="268" t="s">
        <v>8998</v>
      </c>
      <c r="I107" s="256" t="s">
        <v>8999</v>
      </c>
      <c r="J107" s="319" t="s">
        <v>317</v>
      </c>
      <c r="K107" s="296" t="s">
        <v>9000</v>
      </c>
      <c r="L107" s="301"/>
      <c r="M107" s="302"/>
      <c r="N107" s="302"/>
      <c r="O107" s="302"/>
      <c r="P107" s="302"/>
      <c r="Q107" s="302"/>
      <c r="R107" s="302"/>
      <c r="S107" s="302"/>
      <c r="T107" s="302"/>
      <c r="U107" s="302"/>
      <c r="V107" s="302"/>
      <c r="W107" s="302"/>
      <c r="X107" s="302"/>
      <c r="Y107" s="302"/>
      <c r="Z107" s="302"/>
      <c r="AA107" s="302"/>
      <c r="AB107" s="302"/>
    </row>
    <row r="108">
      <c r="A108" s="320"/>
      <c r="B108" s="317"/>
      <c r="C108" s="296" t="s">
        <v>9001</v>
      </c>
      <c r="D108" s="302"/>
      <c r="E108" s="321"/>
      <c r="F108" s="322"/>
      <c r="G108" s="265" t="s">
        <v>9002</v>
      </c>
      <c r="H108" s="268" t="s">
        <v>9003</v>
      </c>
      <c r="I108" s="258" t="s">
        <v>9004</v>
      </c>
      <c r="J108" s="319" t="s">
        <v>36</v>
      </c>
      <c r="K108" s="301"/>
      <c r="L108" s="301"/>
      <c r="M108" s="302"/>
      <c r="N108" s="302"/>
      <c r="O108" s="302"/>
      <c r="P108" s="302"/>
      <c r="Q108" s="302"/>
      <c r="R108" s="302"/>
      <c r="S108" s="302"/>
      <c r="T108" s="302"/>
      <c r="U108" s="302"/>
      <c r="V108" s="302"/>
      <c r="W108" s="302"/>
      <c r="X108" s="302"/>
      <c r="Y108" s="302"/>
      <c r="Z108" s="302"/>
      <c r="AA108" s="302"/>
      <c r="AB108" s="302"/>
    </row>
    <row r="109">
      <c r="A109" s="320"/>
      <c r="B109" s="317"/>
      <c r="C109" s="296" t="s">
        <v>9005</v>
      </c>
      <c r="D109" s="302"/>
      <c r="E109" s="321"/>
      <c r="F109" s="322"/>
      <c r="G109" s="265" t="s">
        <v>9006</v>
      </c>
      <c r="H109" s="268" t="s">
        <v>9007</v>
      </c>
      <c r="I109" s="258" t="s">
        <v>9008</v>
      </c>
      <c r="J109" s="319" t="s">
        <v>36</v>
      </c>
      <c r="K109" s="301"/>
      <c r="L109" s="301"/>
      <c r="M109" s="302"/>
      <c r="N109" s="302"/>
      <c r="O109" s="302"/>
      <c r="P109" s="302"/>
      <c r="Q109" s="302"/>
      <c r="R109" s="302"/>
      <c r="S109" s="302"/>
      <c r="T109" s="302"/>
      <c r="U109" s="302"/>
      <c r="V109" s="302"/>
      <c r="W109" s="302"/>
      <c r="X109" s="302"/>
      <c r="Y109" s="302"/>
      <c r="Z109" s="302"/>
      <c r="AA109" s="302"/>
      <c r="AB109" s="302"/>
    </row>
    <row r="110">
      <c r="A110" s="320"/>
      <c r="B110" s="317"/>
      <c r="C110" s="296" t="s">
        <v>9009</v>
      </c>
      <c r="D110" s="302"/>
      <c r="E110" s="321"/>
      <c r="F110" s="258" t="s">
        <v>9010</v>
      </c>
      <c r="G110" s="265" t="s">
        <v>9011</v>
      </c>
      <c r="H110" s="265" t="s">
        <v>9012</v>
      </c>
      <c r="I110" s="258" t="s">
        <v>9013</v>
      </c>
      <c r="J110" s="319" t="s">
        <v>317</v>
      </c>
      <c r="K110" s="301"/>
      <c r="L110" s="301"/>
      <c r="M110" s="302"/>
      <c r="N110" s="302"/>
      <c r="O110" s="302"/>
      <c r="P110" s="302"/>
      <c r="Q110" s="302"/>
      <c r="R110" s="302"/>
      <c r="S110" s="302"/>
      <c r="T110" s="302"/>
      <c r="U110" s="302"/>
      <c r="V110" s="302"/>
      <c r="W110" s="302"/>
      <c r="X110" s="302"/>
      <c r="Y110" s="302"/>
      <c r="Z110" s="302"/>
      <c r="AA110" s="302"/>
      <c r="AB110" s="302"/>
    </row>
    <row r="111">
      <c r="A111" s="320"/>
      <c r="B111" s="317"/>
      <c r="C111" s="296" t="s">
        <v>9014</v>
      </c>
      <c r="D111" s="302"/>
      <c r="E111" s="321"/>
      <c r="F111" s="258" t="s">
        <v>9015</v>
      </c>
      <c r="G111" s="265" t="s">
        <v>9016</v>
      </c>
      <c r="H111" s="265" t="s">
        <v>9017</v>
      </c>
      <c r="I111" s="258" t="s">
        <v>9018</v>
      </c>
      <c r="J111" s="319" t="s">
        <v>36</v>
      </c>
      <c r="K111" s="301"/>
      <c r="L111" s="301"/>
      <c r="M111" s="302"/>
      <c r="N111" s="302"/>
      <c r="O111" s="302"/>
      <c r="P111" s="302"/>
      <c r="Q111" s="302"/>
      <c r="R111" s="302"/>
      <c r="S111" s="302"/>
      <c r="T111" s="302"/>
      <c r="U111" s="302"/>
      <c r="V111" s="302"/>
      <c r="W111" s="302"/>
      <c r="X111" s="302"/>
      <c r="Y111" s="302"/>
      <c r="Z111" s="302"/>
      <c r="AA111" s="302"/>
      <c r="AB111" s="302"/>
    </row>
    <row r="112">
      <c r="A112" s="320"/>
      <c r="B112" s="317"/>
      <c r="C112" s="296" t="s">
        <v>9019</v>
      </c>
      <c r="D112" s="302"/>
      <c r="E112" s="321"/>
      <c r="F112" s="258" t="s">
        <v>9020</v>
      </c>
      <c r="G112" s="265" t="s">
        <v>9021</v>
      </c>
      <c r="H112" s="265" t="s">
        <v>9022</v>
      </c>
      <c r="I112" s="258" t="s">
        <v>9023</v>
      </c>
      <c r="J112" s="319" t="s">
        <v>36</v>
      </c>
      <c r="K112" s="301"/>
      <c r="L112" s="301"/>
      <c r="M112" s="302"/>
      <c r="N112" s="302"/>
      <c r="O112" s="302"/>
      <c r="P112" s="302"/>
      <c r="Q112" s="302"/>
      <c r="R112" s="302"/>
      <c r="S112" s="302"/>
      <c r="T112" s="302"/>
      <c r="U112" s="302"/>
      <c r="V112" s="302"/>
      <c r="W112" s="302"/>
      <c r="X112" s="302"/>
      <c r="Y112" s="302"/>
      <c r="Z112" s="302"/>
      <c r="AA112" s="302"/>
      <c r="AB112" s="302"/>
    </row>
    <row r="113">
      <c r="A113" s="320"/>
      <c r="B113" s="317"/>
      <c r="C113" s="296" t="s">
        <v>9024</v>
      </c>
      <c r="D113" s="302"/>
      <c r="E113" s="323" t="s">
        <v>9025</v>
      </c>
      <c r="F113" s="258" t="s">
        <v>9026</v>
      </c>
      <c r="G113" s="265" t="s">
        <v>9027</v>
      </c>
      <c r="H113" s="265" t="s">
        <v>9028</v>
      </c>
      <c r="I113" s="258" t="s">
        <v>9029</v>
      </c>
      <c r="J113" s="284" t="s">
        <v>36</v>
      </c>
      <c r="K113" s="301"/>
      <c r="L113" s="301"/>
      <c r="M113" s="302"/>
      <c r="N113" s="302"/>
      <c r="O113" s="302"/>
      <c r="P113" s="302"/>
      <c r="Q113" s="302"/>
      <c r="R113" s="302"/>
      <c r="S113" s="302"/>
      <c r="T113" s="302"/>
      <c r="U113" s="302"/>
      <c r="V113" s="302"/>
      <c r="W113" s="302"/>
      <c r="X113" s="302"/>
      <c r="Y113" s="302"/>
      <c r="Z113" s="302"/>
      <c r="AA113" s="302"/>
      <c r="AB113" s="302"/>
    </row>
    <row r="114">
      <c r="A114" s="320"/>
      <c r="B114" s="317"/>
      <c r="C114" s="296" t="s">
        <v>9030</v>
      </c>
      <c r="D114" s="302"/>
      <c r="E114" s="324"/>
      <c r="F114" s="322"/>
      <c r="G114" s="265" t="s">
        <v>9031</v>
      </c>
      <c r="H114" s="265" t="s">
        <v>9032</v>
      </c>
      <c r="I114" s="258" t="s">
        <v>9033</v>
      </c>
      <c r="J114" s="284" t="s">
        <v>36</v>
      </c>
      <c r="K114" s="301"/>
      <c r="L114" s="301"/>
      <c r="M114" s="302"/>
      <c r="N114" s="302"/>
      <c r="O114" s="302"/>
      <c r="P114" s="302"/>
      <c r="Q114" s="302"/>
      <c r="R114" s="302"/>
      <c r="S114" s="302"/>
      <c r="T114" s="302"/>
      <c r="U114" s="302"/>
      <c r="V114" s="302"/>
      <c r="W114" s="302"/>
      <c r="X114" s="302"/>
      <c r="Y114" s="302"/>
      <c r="Z114" s="302"/>
      <c r="AA114" s="302"/>
      <c r="AB114" s="302"/>
    </row>
    <row r="115">
      <c r="A115" s="320"/>
      <c r="B115" s="317"/>
      <c r="C115" s="296" t="s">
        <v>9034</v>
      </c>
      <c r="D115" s="302"/>
      <c r="E115" s="324"/>
      <c r="F115" s="322"/>
      <c r="G115" s="265" t="s">
        <v>9035</v>
      </c>
      <c r="H115" s="265" t="s">
        <v>9036</v>
      </c>
      <c r="I115" s="258" t="s">
        <v>9037</v>
      </c>
      <c r="J115" s="284" t="s">
        <v>36</v>
      </c>
      <c r="K115" s="301"/>
      <c r="L115" s="301"/>
      <c r="M115" s="302"/>
      <c r="N115" s="302"/>
      <c r="O115" s="302"/>
      <c r="P115" s="302"/>
      <c r="Q115" s="302"/>
      <c r="R115" s="302"/>
      <c r="S115" s="302"/>
      <c r="T115" s="302"/>
      <c r="U115" s="302"/>
      <c r="V115" s="302"/>
      <c r="W115" s="302"/>
      <c r="X115" s="302"/>
      <c r="Y115" s="302"/>
      <c r="Z115" s="302"/>
      <c r="AA115" s="302"/>
      <c r="AB115" s="302"/>
    </row>
    <row r="116">
      <c r="A116" s="320"/>
      <c r="B116" s="317"/>
      <c r="C116" s="296" t="s">
        <v>9038</v>
      </c>
      <c r="D116" s="302"/>
      <c r="E116" s="324"/>
      <c r="F116" s="322"/>
      <c r="G116" s="265" t="s">
        <v>9039</v>
      </c>
      <c r="H116" s="265" t="s">
        <v>9040</v>
      </c>
      <c r="I116" s="258" t="s">
        <v>9041</v>
      </c>
      <c r="J116" s="284" t="s">
        <v>36</v>
      </c>
      <c r="K116" s="301"/>
      <c r="L116" s="301"/>
      <c r="M116" s="302"/>
      <c r="N116" s="302"/>
      <c r="O116" s="302"/>
      <c r="P116" s="302"/>
      <c r="Q116" s="302"/>
      <c r="R116" s="302"/>
      <c r="S116" s="302"/>
      <c r="T116" s="302"/>
      <c r="U116" s="302"/>
      <c r="V116" s="302"/>
      <c r="W116" s="302"/>
      <c r="X116" s="302"/>
      <c r="Y116" s="302"/>
      <c r="Z116" s="302"/>
      <c r="AA116" s="302"/>
      <c r="AB116" s="302"/>
    </row>
    <row r="117">
      <c r="A117" s="320"/>
      <c r="B117" s="317"/>
      <c r="C117" s="296" t="s">
        <v>9042</v>
      </c>
      <c r="D117" s="302"/>
      <c r="E117" s="324"/>
      <c r="F117" s="258" t="s">
        <v>9043</v>
      </c>
      <c r="G117" s="265" t="s">
        <v>9027</v>
      </c>
      <c r="H117" s="265" t="s">
        <v>9044</v>
      </c>
      <c r="I117" s="258" t="s">
        <v>9029</v>
      </c>
      <c r="J117" s="284" t="s">
        <v>36</v>
      </c>
      <c r="K117" s="301"/>
      <c r="L117" s="301"/>
      <c r="M117" s="302"/>
      <c r="N117" s="302"/>
      <c r="O117" s="302"/>
      <c r="P117" s="302"/>
      <c r="Q117" s="302"/>
      <c r="R117" s="302"/>
      <c r="S117" s="302"/>
      <c r="T117" s="302"/>
      <c r="U117" s="302"/>
      <c r="V117" s="302"/>
      <c r="W117" s="302"/>
      <c r="X117" s="302"/>
      <c r="Y117" s="302"/>
      <c r="Z117" s="302"/>
      <c r="AA117" s="302"/>
      <c r="AB117" s="302"/>
    </row>
    <row r="118">
      <c r="A118" s="320"/>
      <c r="B118" s="317"/>
      <c r="C118" s="296" t="s">
        <v>9045</v>
      </c>
      <c r="D118" s="302"/>
      <c r="E118" s="324"/>
      <c r="F118" s="322"/>
      <c r="G118" s="265" t="s">
        <v>9031</v>
      </c>
      <c r="H118" s="265" t="s">
        <v>9046</v>
      </c>
      <c r="I118" s="258" t="s">
        <v>9033</v>
      </c>
      <c r="J118" s="284" t="s">
        <v>36</v>
      </c>
      <c r="K118" s="301"/>
      <c r="L118" s="301"/>
      <c r="M118" s="302"/>
      <c r="N118" s="302"/>
      <c r="O118" s="302"/>
      <c r="P118" s="302"/>
      <c r="Q118" s="302"/>
      <c r="R118" s="302"/>
      <c r="S118" s="302"/>
      <c r="T118" s="302"/>
      <c r="U118" s="302"/>
      <c r="V118" s="302"/>
      <c r="W118" s="302"/>
      <c r="X118" s="302"/>
      <c r="Y118" s="302"/>
      <c r="Z118" s="302"/>
      <c r="AA118" s="302"/>
      <c r="AB118" s="302"/>
    </row>
    <row r="119">
      <c r="A119" s="320"/>
      <c r="B119" s="317"/>
      <c r="C119" s="296" t="s">
        <v>9047</v>
      </c>
      <c r="D119" s="302"/>
      <c r="E119" s="324"/>
      <c r="F119" s="322"/>
      <c r="G119" s="265" t="s">
        <v>9035</v>
      </c>
      <c r="H119" s="265" t="s">
        <v>9048</v>
      </c>
      <c r="I119" s="258" t="s">
        <v>9037</v>
      </c>
      <c r="J119" s="284" t="s">
        <v>36</v>
      </c>
      <c r="K119" s="301"/>
      <c r="L119" s="301"/>
      <c r="M119" s="302"/>
      <c r="N119" s="302"/>
      <c r="O119" s="302"/>
      <c r="P119" s="302"/>
      <c r="Q119" s="302"/>
      <c r="R119" s="302"/>
      <c r="S119" s="302"/>
      <c r="T119" s="302"/>
      <c r="U119" s="302"/>
      <c r="V119" s="302"/>
      <c r="W119" s="302"/>
      <c r="X119" s="302"/>
      <c r="Y119" s="302"/>
      <c r="Z119" s="302"/>
      <c r="AA119" s="302"/>
      <c r="AB119" s="302"/>
    </row>
    <row r="120">
      <c r="A120" s="320"/>
      <c r="B120" s="317"/>
      <c r="C120" s="296" t="s">
        <v>9049</v>
      </c>
      <c r="D120" s="302"/>
      <c r="E120" s="324"/>
      <c r="F120" s="322"/>
      <c r="G120" s="265" t="s">
        <v>9039</v>
      </c>
      <c r="H120" s="265" t="s">
        <v>9040</v>
      </c>
      <c r="I120" s="258" t="s">
        <v>9041</v>
      </c>
      <c r="J120" s="284" t="s">
        <v>36</v>
      </c>
      <c r="K120" s="301"/>
      <c r="L120" s="301"/>
      <c r="M120" s="302"/>
      <c r="N120" s="302"/>
      <c r="O120" s="302"/>
      <c r="P120" s="302"/>
      <c r="Q120" s="302"/>
      <c r="R120" s="302"/>
      <c r="S120" s="302"/>
      <c r="T120" s="302"/>
      <c r="U120" s="302"/>
      <c r="V120" s="302"/>
      <c r="W120" s="302"/>
      <c r="X120" s="302"/>
      <c r="Y120" s="302"/>
      <c r="Z120" s="302"/>
      <c r="AA120" s="302"/>
      <c r="AB120" s="302"/>
    </row>
    <row r="121">
      <c r="A121" s="320"/>
      <c r="B121" s="317"/>
      <c r="C121" s="296" t="s">
        <v>9050</v>
      </c>
      <c r="D121" s="302"/>
      <c r="E121" s="324"/>
      <c r="F121" s="322"/>
      <c r="G121" s="265" t="s">
        <v>9051</v>
      </c>
      <c r="H121" s="265" t="s">
        <v>9052</v>
      </c>
      <c r="I121" s="258" t="s">
        <v>9053</v>
      </c>
      <c r="J121" s="284" t="s">
        <v>36</v>
      </c>
      <c r="K121" s="301"/>
      <c r="L121" s="301"/>
      <c r="M121" s="302"/>
      <c r="N121" s="302"/>
      <c r="O121" s="302"/>
      <c r="P121" s="302"/>
      <c r="Q121" s="302"/>
      <c r="R121" s="302"/>
      <c r="S121" s="302"/>
      <c r="T121" s="302"/>
      <c r="U121" s="302"/>
      <c r="V121" s="302"/>
      <c r="W121" s="302"/>
      <c r="X121" s="302"/>
      <c r="Y121" s="302"/>
      <c r="Z121" s="302"/>
      <c r="AA121" s="302"/>
      <c r="AB121" s="302"/>
    </row>
    <row r="122">
      <c r="A122" s="320"/>
      <c r="B122" s="317"/>
      <c r="C122" s="296" t="s">
        <v>9054</v>
      </c>
      <c r="D122" s="302"/>
      <c r="E122" s="324"/>
      <c r="F122" s="258" t="s">
        <v>9055</v>
      </c>
      <c r="G122" s="265" t="s">
        <v>9056</v>
      </c>
      <c r="H122" s="265" t="s">
        <v>9036</v>
      </c>
      <c r="I122" s="258" t="s">
        <v>9057</v>
      </c>
      <c r="J122" s="284" t="s">
        <v>36</v>
      </c>
      <c r="K122" s="301"/>
      <c r="L122" s="301"/>
      <c r="M122" s="302"/>
      <c r="N122" s="302"/>
      <c r="O122" s="302"/>
      <c r="P122" s="302"/>
      <c r="Q122" s="302"/>
      <c r="R122" s="302"/>
      <c r="S122" s="302"/>
      <c r="T122" s="302"/>
      <c r="U122" s="302"/>
      <c r="V122" s="302"/>
      <c r="W122" s="302"/>
      <c r="X122" s="302"/>
      <c r="Y122" s="302"/>
      <c r="Z122" s="302"/>
      <c r="AA122" s="302"/>
      <c r="AB122" s="302"/>
    </row>
    <row r="123">
      <c r="A123" s="320"/>
      <c r="B123" s="317"/>
      <c r="C123" s="296" t="s">
        <v>9058</v>
      </c>
      <c r="D123" s="302"/>
      <c r="E123" s="324"/>
      <c r="F123" s="322"/>
      <c r="G123" s="265" t="s">
        <v>9059</v>
      </c>
      <c r="H123" s="265" t="s">
        <v>9032</v>
      </c>
      <c r="I123" s="258" t="s">
        <v>9060</v>
      </c>
      <c r="J123" s="284" t="s">
        <v>36</v>
      </c>
      <c r="K123" s="301"/>
      <c r="L123" s="301"/>
      <c r="M123" s="302"/>
      <c r="N123" s="302"/>
      <c r="O123" s="302"/>
      <c r="P123" s="302"/>
      <c r="Q123" s="302"/>
      <c r="R123" s="302"/>
      <c r="S123" s="302"/>
      <c r="T123" s="302"/>
      <c r="U123" s="302"/>
      <c r="V123" s="302"/>
      <c r="W123" s="302"/>
      <c r="X123" s="302"/>
      <c r="Y123" s="302"/>
      <c r="Z123" s="302"/>
      <c r="AA123" s="302"/>
      <c r="AB123" s="302"/>
    </row>
    <row r="124">
      <c r="A124" s="320"/>
      <c r="B124" s="317"/>
      <c r="C124" s="296" t="s">
        <v>9061</v>
      </c>
      <c r="D124" s="302"/>
      <c r="E124" s="324"/>
      <c r="F124" s="258" t="s">
        <v>9062</v>
      </c>
      <c r="G124" s="265" t="s">
        <v>9063</v>
      </c>
      <c r="H124" s="265" t="s">
        <v>9032</v>
      </c>
      <c r="I124" s="258" t="s">
        <v>9057</v>
      </c>
      <c r="J124" s="284" t="s">
        <v>36</v>
      </c>
      <c r="K124" s="301"/>
      <c r="L124" s="301"/>
      <c r="M124" s="302"/>
      <c r="N124" s="302"/>
      <c r="O124" s="302"/>
      <c r="P124" s="302"/>
      <c r="Q124" s="302"/>
      <c r="R124" s="302"/>
      <c r="S124" s="302"/>
      <c r="T124" s="302"/>
      <c r="U124" s="302"/>
      <c r="V124" s="302"/>
      <c r="W124" s="302"/>
      <c r="X124" s="302"/>
      <c r="Y124" s="302"/>
      <c r="Z124" s="302"/>
      <c r="AA124" s="302"/>
      <c r="AB124" s="302"/>
    </row>
    <row r="125">
      <c r="A125" s="320"/>
      <c r="B125" s="317"/>
      <c r="C125" s="296" t="s">
        <v>9064</v>
      </c>
      <c r="D125" s="302"/>
      <c r="E125" s="324"/>
      <c r="F125" s="322"/>
      <c r="G125" s="265" t="s">
        <v>9065</v>
      </c>
      <c r="H125" s="265" t="s">
        <v>9036</v>
      </c>
      <c r="I125" s="258" t="s">
        <v>9060</v>
      </c>
      <c r="J125" s="284" t="s">
        <v>36</v>
      </c>
      <c r="K125" s="301"/>
      <c r="L125" s="301"/>
      <c r="M125" s="302"/>
      <c r="N125" s="302"/>
      <c r="O125" s="302"/>
      <c r="P125" s="302"/>
      <c r="Q125" s="302"/>
      <c r="R125" s="302"/>
      <c r="S125" s="302"/>
      <c r="T125" s="302"/>
      <c r="U125" s="302"/>
      <c r="V125" s="302"/>
      <c r="W125" s="302"/>
      <c r="X125" s="302"/>
      <c r="Y125" s="302"/>
      <c r="Z125" s="302"/>
      <c r="AA125" s="302"/>
      <c r="AB125" s="302"/>
    </row>
    <row r="126">
      <c r="A126" s="320"/>
      <c r="B126" s="317"/>
      <c r="C126" s="296" t="s">
        <v>9066</v>
      </c>
      <c r="D126" s="302"/>
      <c r="E126" s="324"/>
      <c r="F126" s="258" t="s">
        <v>9067</v>
      </c>
      <c r="G126" s="325" t="s">
        <v>9068</v>
      </c>
      <c r="H126" s="326" t="s">
        <v>9069</v>
      </c>
      <c r="I126" s="325" t="s">
        <v>9070</v>
      </c>
      <c r="J126" s="284" t="s">
        <v>36</v>
      </c>
      <c r="K126" s="301"/>
      <c r="L126" s="301"/>
      <c r="M126" s="302"/>
      <c r="N126" s="302"/>
      <c r="O126" s="302"/>
      <c r="P126" s="302"/>
      <c r="Q126" s="302"/>
      <c r="R126" s="302"/>
      <c r="S126" s="302"/>
      <c r="T126" s="302"/>
      <c r="U126" s="302"/>
      <c r="V126" s="302"/>
      <c r="W126" s="302"/>
      <c r="X126" s="302"/>
      <c r="Y126" s="302"/>
      <c r="Z126" s="302"/>
      <c r="AA126" s="302"/>
      <c r="AB126" s="302"/>
    </row>
    <row r="127">
      <c r="A127" s="320"/>
      <c r="B127" s="317"/>
      <c r="C127" s="296" t="s">
        <v>9071</v>
      </c>
      <c r="D127" s="302"/>
      <c r="E127" s="323" t="s">
        <v>9072</v>
      </c>
      <c r="F127" s="258" t="s">
        <v>9073</v>
      </c>
      <c r="G127" s="265" t="s">
        <v>9074</v>
      </c>
      <c r="H127" s="265" t="s">
        <v>9075</v>
      </c>
      <c r="I127" s="258" t="s">
        <v>9076</v>
      </c>
      <c r="J127" s="284" t="s">
        <v>36</v>
      </c>
      <c r="K127" s="301"/>
      <c r="L127" s="301"/>
      <c r="M127" s="302"/>
      <c r="N127" s="302"/>
      <c r="O127" s="302"/>
      <c r="P127" s="302"/>
      <c r="Q127" s="302"/>
      <c r="R127" s="302"/>
      <c r="S127" s="302"/>
      <c r="T127" s="302"/>
      <c r="U127" s="302"/>
      <c r="V127" s="302"/>
      <c r="W127" s="302"/>
      <c r="X127" s="302"/>
      <c r="Y127" s="302"/>
      <c r="Z127" s="302"/>
      <c r="AA127" s="302"/>
      <c r="AB127" s="302"/>
    </row>
    <row r="128">
      <c r="A128" s="320"/>
      <c r="B128" s="317"/>
      <c r="C128" s="296" t="s">
        <v>9077</v>
      </c>
      <c r="D128" s="302"/>
      <c r="E128" s="324"/>
      <c r="F128" s="322"/>
      <c r="G128" s="265" t="s">
        <v>9078</v>
      </c>
      <c r="H128" s="265" t="s">
        <v>9079</v>
      </c>
      <c r="I128" s="258" t="s">
        <v>9076</v>
      </c>
      <c r="J128" s="284" t="s">
        <v>36</v>
      </c>
      <c r="K128" s="301"/>
      <c r="L128" s="301"/>
      <c r="M128" s="302"/>
      <c r="N128" s="302"/>
      <c r="O128" s="302"/>
      <c r="P128" s="302"/>
      <c r="Q128" s="302"/>
      <c r="R128" s="302"/>
      <c r="S128" s="302"/>
      <c r="T128" s="302"/>
      <c r="U128" s="302"/>
      <c r="V128" s="302"/>
      <c r="W128" s="302"/>
      <c r="X128" s="302"/>
      <c r="Y128" s="302"/>
      <c r="Z128" s="302"/>
      <c r="AA128" s="302"/>
      <c r="AB128" s="302"/>
    </row>
    <row r="129">
      <c r="A129" s="320"/>
      <c r="B129" s="317"/>
      <c r="C129" s="296" t="s">
        <v>9080</v>
      </c>
      <c r="D129" s="302"/>
      <c r="E129" s="324"/>
      <c r="F129" s="322"/>
      <c r="G129" s="265" t="s">
        <v>9081</v>
      </c>
      <c r="H129" s="265" t="s">
        <v>9082</v>
      </c>
      <c r="I129" s="258" t="s">
        <v>9076</v>
      </c>
      <c r="J129" s="284" t="s">
        <v>36</v>
      </c>
      <c r="K129" s="301"/>
      <c r="L129" s="301"/>
      <c r="M129" s="302"/>
      <c r="N129" s="302"/>
      <c r="O129" s="302"/>
      <c r="P129" s="302"/>
      <c r="Q129" s="302"/>
      <c r="R129" s="302"/>
      <c r="S129" s="302"/>
      <c r="T129" s="302"/>
      <c r="U129" s="302"/>
      <c r="V129" s="302"/>
      <c r="W129" s="302"/>
      <c r="X129" s="302"/>
      <c r="Y129" s="302"/>
      <c r="Z129" s="302"/>
      <c r="AA129" s="302"/>
      <c r="AB129" s="302"/>
    </row>
    <row r="130">
      <c r="A130" s="320"/>
      <c r="B130" s="317"/>
      <c r="C130" s="296" t="s">
        <v>9083</v>
      </c>
      <c r="D130" s="302"/>
      <c r="E130" s="324"/>
      <c r="F130" s="322"/>
      <c r="G130" s="265" t="s">
        <v>9084</v>
      </c>
      <c r="H130" s="265" t="s">
        <v>9085</v>
      </c>
      <c r="I130" s="258" t="s">
        <v>9086</v>
      </c>
      <c r="J130" s="284" t="s">
        <v>36</v>
      </c>
      <c r="K130" s="301"/>
      <c r="L130" s="301"/>
      <c r="M130" s="302"/>
      <c r="N130" s="302"/>
      <c r="O130" s="302"/>
      <c r="P130" s="302"/>
      <c r="Q130" s="302"/>
      <c r="R130" s="302"/>
      <c r="S130" s="302"/>
      <c r="T130" s="302"/>
      <c r="U130" s="302"/>
      <c r="V130" s="302"/>
      <c r="W130" s="302"/>
      <c r="X130" s="302"/>
      <c r="Y130" s="302"/>
      <c r="Z130" s="302"/>
      <c r="AA130" s="302"/>
      <c r="AB130" s="302"/>
    </row>
    <row r="131">
      <c r="A131" s="320"/>
      <c r="B131" s="317"/>
      <c r="C131" s="296" t="s">
        <v>9087</v>
      </c>
      <c r="D131" s="302"/>
      <c r="E131" s="324"/>
      <c r="F131" s="322"/>
      <c r="G131" s="265" t="s">
        <v>9088</v>
      </c>
      <c r="H131" s="265" t="s">
        <v>9089</v>
      </c>
      <c r="I131" s="258" t="s">
        <v>9086</v>
      </c>
      <c r="J131" s="284" t="s">
        <v>36</v>
      </c>
      <c r="K131" s="301"/>
      <c r="L131" s="301"/>
      <c r="M131" s="302"/>
      <c r="N131" s="302"/>
      <c r="O131" s="302"/>
      <c r="P131" s="302"/>
      <c r="Q131" s="302"/>
      <c r="R131" s="302"/>
      <c r="S131" s="302"/>
      <c r="T131" s="302"/>
      <c r="U131" s="302"/>
      <c r="V131" s="302"/>
      <c r="W131" s="302"/>
      <c r="X131" s="302"/>
      <c r="Y131" s="302"/>
      <c r="Z131" s="302"/>
      <c r="AA131" s="302"/>
      <c r="AB131" s="302"/>
    </row>
    <row r="132">
      <c r="A132" s="320"/>
      <c r="B132" s="317"/>
      <c r="C132" s="296" t="s">
        <v>9090</v>
      </c>
      <c r="D132" s="302"/>
      <c r="E132" s="324"/>
      <c r="F132" s="322"/>
      <c r="G132" s="265" t="s">
        <v>9091</v>
      </c>
      <c r="H132" s="265" t="s">
        <v>9092</v>
      </c>
      <c r="I132" s="258" t="s">
        <v>9086</v>
      </c>
      <c r="J132" s="284" t="s">
        <v>36</v>
      </c>
      <c r="K132" s="301"/>
      <c r="L132" s="301"/>
      <c r="M132" s="302"/>
      <c r="N132" s="302"/>
      <c r="O132" s="302"/>
      <c r="P132" s="302"/>
      <c r="Q132" s="302"/>
      <c r="R132" s="302"/>
      <c r="S132" s="302"/>
      <c r="T132" s="302"/>
      <c r="U132" s="302"/>
      <c r="V132" s="302"/>
      <c r="W132" s="302"/>
      <c r="X132" s="302"/>
      <c r="Y132" s="302"/>
      <c r="Z132" s="302"/>
      <c r="AA132" s="302"/>
      <c r="AB132" s="302"/>
    </row>
    <row r="133">
      <c r="A133" s="320"/>
      <c r="B133" s="317"/>
      <c r="C133" s="296" t="s">
        <v>9093</v>
      </c>
      <c r="D133" s="302"/>
      <c r="E133" s="324"/>
      <c r="F133" s="322"/>
      <c r="G133" s="265" t="s">
        <v>9094</v>
      </c>
      <c r="H133" s="265" t="s">
        <v>9095</v>
      </c>
      <c r="I133" s="258" t="s">
        <v>9096</v>
      </c>
      <c r="J133" s="284" t="s">
        <v>36</v>
      </c>
      <c r="K133" s="301"/>
      <c r="L133" s="301"/>
      <c r="M133" s="302"/>
      <c r="N133" s="302"/>
      <c r="O133" s="302"/>
      <c r="P133" s="302"/>
      <c r="Q133" s="302"/>
      <c r="R133" s="302"/>
      <c r="S133" s="302"/>
      <c r="T133" s="302"/>
      <c r="U133" s="302"/>
      <c r="V133" s="302"/>
      <c r="W133" s="302"/>
      <c r="X133" s="302"/>
      <c r="Y133" s="302"/>
      <c r="Z133" s="302"/>
      <c r="AA133" s="302"/>
      <c r="AB133" s="302"/>
    </row>
    <row r="134">
      <c r="A134" s="320"/>
      <c r="B134" s="317"/>
      <c r="C134" s="296" t="s">
        <v>9097</v>
      </c>
      <c r="D134" s="302"/>
      <c r="E134" s="324"/>
      <c r="F134" s="322"/>
      <c r="G134" s="265" t="s">
        <v>9098</v>
      </c>
      <c r="H134" s="265" t="s">
        <v>9099</v>
      </c>
      <c r="I134" s="258" t="s">
        <v>9096</v>
      </c>
      <c r="J134" s="284" t="s">
        <v>36</v>
      </c>
      <c r="K134" s="301"/>
      <c r="L134" s="301"/>
      <c r="M134" s="302"/>
      <c r="N134" s="302"/>
      <c r="O134" s="302"/>
      <c r="P134" s="302"/>
      <c r="Q134" s="302"/>
      <c r="R134" s="302"/>
      <c r="S134" s="302"/>
      <c r="T134" s="302"/>
      <c r="U134" s="302"/>
      <c r="V134" s="302"/>
      <c r="W134" s="302"/>
      <c r="X134" s="302"/>
      <c r="Y134" s="302"/>
      <c r="Z134" s="302"/>
      <c r="AA134" s="302"/>
      <c r="AB134" s="302"/>
    </row>
    <row r="135">
      <c r="A135" s="320"/>
      <c r="B135" s="317"/>
      <c r="C135" s="296" t="s">
        <v>9100</v>
      </c>
      <c r="D135" s="302"/>
      <c r="E135" s="324"/>
      <c r="F135" s="322"/>
      <c r="G135" s="265" t="s">
        <v>9101</v>
      </c>
      <c r="H135" s="265" t="s">
        <v>9102</v>
      </c>
      <c r="I135" s="258" t="s">
        <v>9103</v>
      </c>
      <c r="J135" s="284" t="s">
        <v>36</v>
      </c>
      <c r="K135" s="301"/>
      <c r="L135" s="301"/>
      <c r="M135" s="302"/>
      <c r="N135" s="302"/>
      <c r="O135" s="302"/>
      <c r="P135" s="302"/>
      <c r="Q135" s="302"/>
      <c r="R135" s="302"/>
      <c r="S135" s="302"/>
      <c r="T135" s="302"/>
      <c r="U135" s="302"/>
      <c r="V135" s="302"/>
      <c r="W135" s="302"/>
      <c r="X135" s="302"/>
      <c r="Y135" s="302"/>
      <c r="Z135" s="302"/>
      <c r="AA135" s="302"/>
      <c r="AB135" s="302"/>
    </row>
    <row r="136">
      <c r="A136" s="320"/>
      <c r="B136" s="317"/>
      <c r="C136" s="296" t="s">
        <v>9104</v>
      </c>
      <c r="D136" s="302"/>
      <c r="E136" s="324"/>
      <c r="F136" s="322"/>
      <c r="G136" s="265" t="s">
        <v>9105</v>
      </c>
      <c r="H136" s="265" t="s">
        <v>9106</v>
      </c>
      <c r="I136" s="258" t="s">
        <v>9096</v>
      </c>
      <c r="J136" s="284" t="s">
        <v>36</v>
      </c>
      <c r="K136" s="301"/>
      <c r="L136" s="301"/>
      <c r="M136" s="302"/>
      <c r="N136" s="302"/>
      <c r="O136" s="302"/>
      <c r="P136" s="302"/>
      <c r="Q136" s="302"/>
      <c r="R136" s="302"/>
      <c r="S136" s="302"/>
      <c r="T136" s="302"/>
      <c r="U136" s="302"/>
      <c r="V136" s="302"/>
      <c r="W136" s="302"/>
      <c r="X136" s="302"/>
      <c r="Y136" s="302"/>
      <c r="Z136" s="302"/>
      <c r="AA136" s="302"/>
      <c r="AB136" s="302"/>
    </row>
    <row r="137">
      <c r="A137" s="320"/>
      <c r="B137" s="317"/>
      <c r="C137" s="296" t="s">
        <v>9107</v>
      </c>
      <c r="D137" s="302"/>
      <c r="E137" s="324"/>
      <c r="F137" s="322"/>
      <c r="G137" s="265" t="s">
        <v>9108</v>
      </c>
      <c r="H137" s="265" t="s">
        <v>9109</v>
      </c>
      <c r="I137" s="258" t="s">
        <v>9096</v>
      </c>
      <c r="J137" s="284" t="s">
        <v>36</v>
      </c>
      <c r="K137" s="296"/>
      <c r="L137" s="301"/>
      <c r="M137" s="302"/>
      <c r="N137" s="302"/>
      <c r="O137" s="302"/>
      <c r="P137" s="302"/>
      <c r="Q137" s="302"/>
      <c r="R137" s="302"/>
      <c r="S137" s="302"/>
      <c r="T137" s="302"/>
      <c r="U137" s="302"/>
      <c r="V137" s="302"/>
      <c r="W137" s="302"/>
      <c r="X137" s="302"/>
      <c r="Y137" s="302"/>
      <c r="Z137" s="302"/>
      <c r="AA137" s="302"/>
      <c r="AB137" s="302"/>
    </row>
    <row r="138">
      <c r="A138" s="320"/>
      <c r="B138" s="317"/>
      <c r="C138" s="296" t="s">
        <v>9110</v>
      </c>
      <c r="D138" s="302"/>
      <c r="E138" s="324"/>
      <c r="F138" s="322"/>
      <c r="G138" s="265" t="s">
        <v>9111</v>
      </c>
      <c r="H138" s="265" t="s">
        <v>9112</v>
      </c>
      <c r="I138" s="258" t="s">
        <v>9096</v>
      </c>
      <c r="J138" s="284" t="s">
        <v>36</v>
      </c>
      <c r="K138" s="301"/>
      <c r="L138" s="301"/>
      <c r="M138" s="302"/>
      <c r="N138" s="302"/>
      <c r="O138" s="302"/>
      <c r="P138" s="302"/>
      <c r="Q138" s="302"/>
      <c r="R138" s="302"/>
      <c r="S138" s="302"/>
      <c r="T138" s="302"/>
      <c r="U138" s="302"/>
      <c r="V138" s="302"/>
      <c r="W138" s="302"/>
      <c r="X138" s="302"/>
      <c r="Y138" s="302"/>
      <c r="Z138" s="302"/>
      <c r="AA138" s="302"/>
      <c r="AB138" s="302"/>
    </row>
    <row r="139">
      <c r="A139" s="320"/>
      <c r="B139" s="317"/>
      <c r="C139" s="296" t="s">
        <v>9113</v>
      </c>
      <c r="D139" s="302"/>
      <c r="E139" s="324"/>
      <c r="F139" s="258" t="s">
        <v>9114</v>
      </c>
      <c r="G139" s="265" t="s">
        <v>9115</v>
      </c>
      <c r="H139" s="265" t="s">
        <v>9075</v>
      </c>
      <c r="I139" s="258" t="s">
        <v>9076</v>
      </c>
      <c r="J139" s="284" t="s">
        <v>36</v>
      </c>
      <c r="K139" s="301"/>
      <c r="L139" s="301"/>
      <c r="M139" s="302"/>
      <c r="N139" s="302"/>
      <c r="O139" s="302"/>
      <c r="P139" s="302"/>
      <c r="Q139" s="302"/>
      <c r="R139" s="302"/>
      <c r="S139" s="302"/>
      <c r="T139" s="302"/>
      <c r="U139" s="302"/>
      <c r="V139" s="302"/>
      <c r="W139" s="302"/>
      <c r="X139" s="302"/>
      <c r="Y139" s="302"/>
      <c r="Z139" s="302"/>
      <c r="AA139" s="302"/>
      <c r="AB139" s="302"/>
    </row>
    <row r="140">
      <c r="A140" s="320"/>
      <c r="B140" s="317"/>
      <c r="C140" s="296" t="s">
        <v>9116</v>
      </c>
      <c r="D140" s="302"/>
      <c r="E140" s="324"/>
      <c r="F140" s="322"/>
      <c r="G140" s="265" t="s">
        <v>9117</v>
      </c>
      <c r="H140" s="265" t="s">
        <v>9079</v>
      </c>
      <c r="I140" s="258" t="s">
        <v>9076</v>
      </c>
      <c r="J140" s="284" t="s">
        <v>36</v>
      </c>
      <c r="K140" s="301"/>
      <c r="L140" s="301"/>
      <c r="M140" s="302"/>
      <c r="N140" s="302"/>
      <c r="O140" s="302"/>
      <c r="P140" s="302"/>
      <c r="Q140" s="302"/>
      <c r="R140" s="302"/>
      <c r="S140" s="302"/>
      <c r="T140" s="302"/>
      <c r="U140" s="302"/>
      <c r="V140" s="302"/>
      <c r="W140" s="302"/>
      <c r="X140" s="302"/>
      <c r="Y140" s="302"/>
      <c r="Z140" s="302"/>
      <c r="AA140" s="302"/>
      <c r="AB140" s="302"/>
    </row>
    <row r="141">
      <c r="A141" s="320"/>
      <c r="B141" s="317"/>
      <c r="C141" s="296" t="s">
        <v>9118</v>
      </c>
      <c r="D141" s="302"/>
      <c r="E141" s="324"/>
      <c r="F141" s="322"/>
      <c r="G141" s="265" t="s">
        <v>9119</v>
      </c>
      <c r="H141" s="265" t="s">
        <v>9120</v>
      </c>
      <c r="I141" s="258" t="s">
        <v>9076</v>
      </c>
      <c r="J141" s="284" t="s">
        <v>36</v>
      </c>
      <c r="K141" s="301"/>
      <c r="L141" s="301"/>
      <c r="M141" s="302"/>
      <c r="N141" s="302"/>
      <c r="O141" s="302"/>
      <c r="P141" s="302"/>
      <c r="Q141" s="302"/>
      <c r="R141" s="302"/>
      <c r="S141" s="302"/>
      <c r="T141" s="302"/>
      <c r="U141" s="302"/>
      <c r="V141" s="302"/>
      <c r="W141" s="302"/>
      <c r="X141" s="302"/>
      <c r="Y141" s="302"/>
      <c r="Z141" s="302"/>
      <c r="AA141" s="302"/>
      <c r="AB141" s="302"/>
    </row>
    <row r="142">
      <c r="A142" s="320"/>
      <c r="B142" s="317"/>
      <c r="C142" s="296" t="s">
        <v>9121</v>
      </c>
      <c r="D142" s="302"/>
      <c r="E142" s="324"/>
      <c r="F142" s="322"/>
      <c r="G142" s="265" t="s">
        <v>9122</v>
      </c>
      <c r="H142" s="265" t="s">
        <v>9123</v>
      </c>
      <c r="I142" s="258" t="s">
        <v>9086</v>
      </c>
      <c r="J142" s="284" t="s">
        <v>36</v>
      </c>
      <c r="K142" s="301"/>
      <c r="L142" s="301"/>
      <c r="M142" s="302"/>
      <c r="N142" s="302"/>
      <c r="O142" s="302"/>
      <c r="P142" s="302"/>
      <c r="Q142" s="302"/>
      <c r="R142" s="302"/>
      <c r="S142" s="302"/>
      <c r="T142" s="302"/>
      <c r="U142" s="302"/>
      <c r="V142" s="302"/>
      <c r="W142" s="302"/>
      <c r="X142" s="302"/>
      <c r="Y142" s="302"/>
      <c r="Z142" s="302"/>
      <c r="AA142" s="302"/>
      <c r="AB142" s="302"/>
    </row>
    <row r="143">
      <c r="A143" s="320"/>
      <c r="B143" s="317"/>
      <c r="C143" s="296" t="s">
        <v>9124</v>
      </c>
      <c r="D143" s="302"/>
      <c r="E143" s="324"/>
      <c r="F143" s="322"/>
      <c r="G143" s="265" t="s">
        <v>9125</v>
      </c>
      <c r="H143" s="265" t="s">
        <v>9126</v>
      </c>
      <c r="I143" s="258" t="s">
        <v>9086</v>
      </c>
      <c r="J143" s="284" t="s">
        <v>36</v>
      </c>
      <c r="K143" s="301"/>
      <c r="L143" s="301"/>
      <c r="M143" s="302"/>
      <c r="N143" s="302"/>
      <c r="O143" s="302"/>
      <c r="P143" s="302"/>
      <c r="Q143" s="302"/>
      <c r="R143" s="302"/>
      <c r="S143" s="302"/>
      <c r="T143" s="302"/>
      <c r="U143" s="302"/>
      <c r="V143" s="302"/>
      <c r="W143" s="302"/>
      <c r="X143" s="302"/>
      <c r="Y143" s="302"/>
      <c r="Z143" s="302"/>
      <c r="AA143" s="302"/>
      <c r="AB143" s="302"/>
    </row>
    <row r="144">
      <c r="A144" s="320"/>
      <c r="B144" s="317"/>
      <c r="C144" s="296" t="s">
        <v>9127</v>
      </c>
      <c r="D144" s="302"/>
      <c r="E144" s="324"/>
      <c r="F144" s="322"/>
      <c r="G144" s="265" t="s">
        <v>9128</v>
      </c>
      <c r="H144" s="265" t="s">
        <v>9129</v>
      </c>
      <c r="I144" s="258" t="s">
        <v>9086</v>
      </c>
      <c r="J144" s="284" t="s">
        <v>36</v>
      </c>
      <c r="K144" s="301"/>
      <c r="L144" s="301"/>
      <c r="M144" s="302"/>
      <c r="N144" s="302"/>
      <c r="O144" s="302"/>
      <c r="P144" s="302"/>
      <c r="Q144" s="302"/>
      <c r="R144" s="302"/>
      <c r="S144" s="302"/>
      <c r="T144" s="302"/>
      <c r="U144" s="302"/>
      <c r="V144" s="302"/>
      <c r="W144" s="302"/>
      <c r="X144" s="302"/>
      <c r="Y144" s="302"/>
      <c r="Z144" s="302"/>
      <c r="AA144" s="302"/>
      <c r="AB144" s="302"/>
    </row>
    <row r="145">
      <c r="A145" s="320"/>
      <c r="B145" s="317"/>
      <c r="C145" s="296" t="s">
        <v>9130</v>
      </c>
      <c r="D145" s="302"/>
      <c r="E145" s="324"/>
      <c r="F145" s="322"/>
      <c r="G145" s="265" t="s">
        <v>9131</v>
      </c>
      <c r="H145" s="265" t="s">
        <v>9095</v>
      </c>
      <c r="I145" s="258" t="s">
        <v>9096</v>
      </c>
      <c r="J145" s="284" t="s">
        <v>36</v>
      </c>
      <c r="K145" s="301"/>
      <c r="L145" s="301"/>
      <c r="M145" s="302"/>
      <c r="N145" s="302"/>
      <c r="O145" s="302"/>
      <c r="P145" s="302"/>
      <c r="Q145" s="302"/>
      <c r="R145" s="302"/>
      <c r="S145" s="302"/>
      <c r="T145" s="302"/>
      <c r="U145" s="302"/>
      <c r="V145" s="302"/>
      <c r="W145" s="302"/>
      <c r="X145" s="302"/>
      <c r="Y145" s="302"/>
      <c r="Z145" s="302"/>
      <c r="AA145" s="302"/>
      <c r="AB145" s="302"/>
    </row>
    <row r="146">
      <c r="A146" s="320"/>
      <c r="B146" s="317"/>
      <c r="C146" s="296" t="s">
        <v>9132</v>
      </c>
      <c r="D146" s="302"/>
      <c r="E146" s="324"/>
      <c r="F146" s="322"/>
      <c r="G146" s="265" t="s">
        <v>9133</v>
      </c>
      <c r="H146" s="265" t="s">
        <v>9099</v>
      </c>
      <c r="I146" s="258" t="s">
        <v>9096</v>
      </c>
      <c r="J146" s="284" t="s">
        <v>36</v>
      </c>
      <c r="K146" s="301"/>
      <c r="L146" s="301"/>
      <c r="M146" s="302"/>
      <c r="N146" s="302"/>
      <c r="O146" s="302"/>
      <c r="P146" s="302"/>
      <c r="Q146" s="302"/>
      <c r="R146" s="302"/>
      <c r="S146" s="302"/>
      <c r="T146" s="302"/>
      <c r="U146" s="302"/>
      <c r="V146" s="302"/>
      <c r="W146" s="302"/>
      <c r="X146" s="302"/>
      <c r="Y146" s="302"/>
      <c r="Z146" s="302"/>
      <c r="AA146" s="302"/>
      <c r="AB146" s="302"/>
    </row>
    <row r="147">
      <c r="A147" s="320"/>
      <c r="B147" s="317"/>
      <c r="C147" s="296" t="s">
        <v>9134</v>
      </c>
      <c r="D147" s="302"/>
      <c r="E147" s="324"/>
      <c r="F147" s="322"/>
      <c r="G147" s="265" t="s">
        <v>9135</v>
      </c>
      <c r="H147" s="265" t="s">
        <v>9102</v>
      </c>
      <c r="I147" s="258" t="s">
        <v>9086</v>
      </c>
      <c r="J147" s="284" t="s">
        <v>36</v>
      </c>
      <c r="K147" s="301"/>
      <c r="L147" s="301"/>
      <c r="M147" s="302"/>
      <c r="N147" s="302"/>
      <c r="O147" s="302"/>
      <c r="P147" s="302"/>
      <c r="Q147" s="302"/>
      <c r="R147" s="302"/>
      <c r="S147" s="302"/>
      <c r="T147" s="302"/>
      <c r="U147" s="302"/>
      <c r="V147" s="302"/>
      <c r="W147" s="302"/>
      <c r="X147" s="302"/>
      <c r="Y147" s="302"/>
      <c r="Z147" s="302"/>
      <c r="AA147" s="302"/>
      <c r="AB147" s="302"/>
    </row>
    <row r="148">
      <c r="A148" s="320"/>
      <c r="B148" s="317"/>
      <c r="C148" s="296" t="s">
        <v>9136</v>
      </c>
      <c r="D148" s="302"/>
      <c r="E148" s="324"/>
      <c r="F148" s="322"/>
      <c r="G148" s="265" t="s">
        <v>9137</v>
      </c>
      <c r="H148" s="265" t="s">
        <v>9106</v>
      </c>
      <c r="I148" s="258" t="s">
        <v>9096</v>
      </c>
      <c r="J148" s="284" t="s">
        <v>36</v>
      </c>
      <c r="K148" s="301"/>
      <c r="L148" s="301"/>
      <c r="M148" s="302"/>
      <c r="N148" s="302"/>
      <c r="O148" s="302"/>
      <c r="P148" s="302"/>
      <c r="Q148" s="302"/>
      <c r="R148" s="302"/>
      <c r="S148" s="302"/>
      <c r="T148" s="302"/>
      <c r="U148" s="302"/>
      <c r="V148" s="302"/>
      <c r="W148" s="302"/>
      <c r="X148" s="302"/>
      <c r="Y148" s="302"/>
      <c r="Z148" s="302"/>
      <c r="AA148" s="302"/>
      <c r="AB148" s="302"/>
    </row>
    <row r="149">
      <c r="A149" s="320"/>
      <c r="B149" s="317"/>
      <c r="C149" s="296" t="s">
        <v>9138</v>
      </c>
      <c r="D149" s="302"/>
      <c r="E149" s="324"/>
      <c r="F149" s="322"/>
      <c r="G149" s="265" t="s">
        <v>9139</v>
      </c>
      <c r="H149" s="265" t="s">
        <v>9109</v>
      </c>
      <c r="I149" s="258" t="s">
        <v>9096</v>
      </c>
      <c r="J149" s="284" t="s">
        <v>36</v>
      </c>
      <c r="K149" s="296"/>
      <c r="L149" s="301"/>
      <c r="M149" s="302"/>
      <c r="N149" s="302"/>
      <c r="O149" s="302"/>
      <c r="P149" s="302"/>
      <c r="Q149" s="302"/>
      <c r="R149" s="302"/>
      <c r="S149" s="302"/>
      <c r="T149" s="302"/>
      <c r="U149" s="302"/>
      <c r="V149" s="302"/>
      <c r="W149" s="302"/>
      <c r="X149" s="302"/>
      <c r="Y149" s="302"/>
      <c r="Z149" s="302"/>
      <c r="AA149" s="302"/>
      <c r="AB149" s="302"/>
    </row>
    <row r="150">
      <c r="A150" s="320"/>
      <c r="B150" s="317"/>
      <c r="C150" s="296" t="s">
        <v>9140</v>
      </c>
      <c r="D150" s="302"/>
      <c r="E150" s="324"/>
      <c r="F150" s="322"/>
      <c r="G150" s="265" t="s">
        <v>9141</v>
      </c>
      <c r="H150" s="265" t="s">
        <v>9112</v>
      </c>
      <c r="I150" s="258" t="s">
        <v>9096</v>
      </c>
      <c r="J150" s="284" t="s">
        <v>36</v>
      </c>
      <c r="K150" s="301"/>
      <c r="L150" s="301"/>
      <c r="M150" s="302"/>
      <c r="N150" s="302"/>
      <c r="O150" s="302"/>
      <c r="P150" s="302"/>
      <c r="Q150" s="302"/>
      <c r="R150" s="302"/>
      <c r="S150" s="302"/>
      <c r="T150" s="302"/>
      <c r="U150" s="302"/>
      <c r="V150" s="302"/>
      <c r="W150" s="302"/>
      <c r="X150" s="302"/>
      <c r="Y150" s="302"/>
      <c r="Z150" s="302"/>
      <c r="AA150" s="302"/>
      <c r="AB150" s="302"/>
    </row>
    <row r="151">
      <c r="A151" s="320"/>
      <c r="B151" s="317"/>
      <c r="C151" s="296" t="s">
        <v>9142</v>
      </c>
      <c r="D151" s="302"/>
      <c r="E151" s="323" t="s">
        <v>9143</v>
      </c>
      <c r="F151" s="258" t="s">
        <v>9144</v>
      </c>
      <c r="G151" s="265" t="s">
        <v>9145</v>
      </c>
      <c r="H151" s="265" t="s">
        <v>9146</v>
      </c>
      <c r="I151" s="258" t="s">
        <v>9147</v>
      </c>
      <c r="J151" s="284" t="s">
        <v>36</v>
      </c>
      <c r="K151" s="301"/>
      <c r="L151" s="301"/>
      <c r="M151" s="302"/>
      <c r="N151" s="302"/>
      <c r="O151" s="302"/>
      <c r="P151" s="302"/>
      <c r="Q151" s="302"/>
      <c r="R151" s="302"/>
      <c r="S151" s="302"/>
      <c r="T151" s="302"/>
      <c r="U151" s="302"/>
      <c r="V151" s="302"/>
      <c r="W151" s="302"/>
      <c r="X151" s="302"/>
      <c r="Y151" s="302"/>
      <c r="Z151" s="302"/>
      <c r="AA151" s="302"/>
      <c r="AB151" s="302"/>
    </row>
    <row r="152">
      <c r="A152" s="320"/>
      <c r="B152" s="317"/>
      <c r="C152" s="296" t="s">
        <v>9148</v>
      </c>
      <c r="D152" s="302"/>
      <c r="E152" s="324"/>
      <c r="F152" s="258" t="s">
        <v>9149</v>
      </c>
      <c r="G152" s="265" t="s">
        <v>9150</v>
      </c>
      <c r="H152" s="265" t="s">
        <v>9151</v>
      </c>
      <c r="I152" s="258" t="s">
        <v>9147</v>
      </c>
      <c r="J152" s="284" t="s">
        <v>36</v>
      </c>
      <c r="K152" s="301"/>
      <c r="L152" s="301"/>
      <c r="M152" s="302"/>
      <c r="N152" s="302"/>
      <c r="O152" s="302"/>
      <c r="P152" s="302"/>
      <c r="Q152" s="302"/>
      <c r="R152" s="302"/>
      <c r="S152" s="302"/>
      <c r="T152" s="302"/>
      <c r="U152" s="302"/>
      <c r="V152" s="302"/>
      <c r="W152" s="302"/>
      <c r="X152" s="302"/>
      <c r="Y152" s="302"/>
      <c r="Z152" s="302"/>
      <c r="AA152" s="302"/>
      <c r="AB152" s="302"/>
    </row>
    <row r="153">
      <c r="A153" s="320"/>
      <c r="B153" s="317"/>
      <c r="C153" s="296" t="s">
        <v>9152</v>
      </c>
      <c r="D153" s="302"/>
      <c r="E153" s="323" t="s">
        <v>9153</v>
      </c>
      <c r="F153" s="258" t="s">
        <v>9154</v>
      </c>
      <c r="G153" s="265" t="s">
        <v>9155</v>
      </c>
      <c r="H153" s="265" t="s">
        <v>9156</v>
      </c>
      <c r="I153" s="258" t="s">
        <v>9157</v>
      </c>
      <c r="J153" s="284" t="s">
        <v>36</v>
      </c>
      <c r="K153" s="301"/>
      <c r="L153" s="301"/>
      <c r="M153" s="302"/>
      <c r="N153" s="302"/>
      <c r="O153" s="302"/>
      <c r="P153" s="302"/>
      <c r="Q153" s="302"/>
      <c r="R153" s="302"/>
      <c r="S153" s="302"/>
      <c r="T153" s="302"/>
      <c r="U153" s="302"/>
      <c r="V153" s="302"/>
      <c r="W153" s="302"/>
      <c r="X153" s="302"/>
      <c r="Y153" s="302"/>
      <c r="Z153" s="302"/>
      <c r="AA153" s="302"/>
      <c r="AB153" s="302"/>
    </row>
    <row r="154">
      <c r="A154" s="320"/>
      <c r="B154" s="317"/>
      <c r="C154" s="296" t="s">
        <v>9158</v>
      </c>
      <c r="D154" s="302"/>
      <c r="E154" s="324"/>
      <c r="F154" s="322"/>
      <c r="G154" s="265" t="s">
        <v>9159</v>
      </c>
      <c r="H154" s="265" t="s">
        <v>9160</v>
      </c>
      <c r="I154" s="258" t="s">
        <v>9161</v>
      </c>
      <c r="J154" s="284" t="s">
        <v>36</v>
      </c>
      <c r="K154" s="301"/>
      <c r="L154" s="301"/>
      <c r="M154" s="302"/>
      <c r="N154" s="302"/>
      <c r="O154" s="302"/>
      <c r="P154" s="302"/>
      <c r="Q154" s="302"/>
      <c r="R154" s="302"/>
      <c r="S154" s="302"/>
      <c r="T154" s="302"/>
      <c r="U154" s="302"/>
      <c r="V154" s="302"/>
      <c r="W154" s="302"/>
      <c r="X154" s="302"/>
      <c r="Y154" s="302"/>
      <c r="Z154" s="302"/>
      <c r="AA154" s="302"/>
      <c r="AB154" s="302"/>
    </row>
    <row r="155">
      <c r="A155" s="320"/>
      <c r="B155" s="317"/>
      <c r="C155" s="296" t="s">
        <v>9162</v>
      </c>
      <c r="D155" s="302"/>
      <c r="E155" s="324"/>
      <c r="F155" s="322"/>
      <c r="G155" s="265" t="s">
        <v>9163</v>
      </c>
      <c r="H155" s="265" t="s">
        <v>9164</v>
      </c>
      <c r="I155" s="258" t="s">
        <v>9165</v>
      </c>
      <c r="J155" s="284" t="s">
        <v>36</v>
      </c>
      <c r="K155" s="301"/>
      <c r="L155" s="301"/>
      <c r="M155" s="302"/>
      <c r="N155" s="302"/>
      <c r="O155" s="302"/>
      <c r="P155" s="302"/>
      <c r="Q155" s="302"/>
      <c r="R155" s="302"/>
      <c r="S155" s="302"/>
      <c r="T155" s="302"/>
      <c r="U155" s="302"/>
      <c r="V155" s="302"/>
      <c r="W155" s="302"/>
      <c r="X155" s="302"/>
      <c r="Y155" s="302"/>
      <c r="Z155" s="302"/>
      <c r="AA155" s="302"/>
      <c r="AB155" s="302"/>
    </row>
    <row r="156">
      <c r="A156" s="320"/>
      <c r="B156" s="317"/>
      <c r="C156" s="296" t="s">
        <v>9166</v>
      </c>
      <c r="D156" s="302"/>
      <c r="E156" s="324"/>
      <c r="F156" s="258" t="s">
        <v>9167</v>
      </c>
      <c r="G156" s="265" t="s">
        <v>9155</v>
      </c>
      <c r="H156" s="265" t="s">
        <v>9168</v>
      </c>
      <c r="I156" s="258" t="s">
        <v>9157</v>
      </c>
      <c r="J156" s="284" t="s">
        <v>36</v>
      </c>
      <c r="K156" s="301"/>
      <c r="L156" s="301"/>
      <c r="M156" s="302"/>
      <c r="N156" s="302"/>
      <c r="O156" s="302"/>
      <c r="P156" s="302"/>
      <c r="Q156" s="302"/>
      <c r="R156" s="302"/>
      <c r="S156" s="302"/>
      <c r="T156" s="302"/>
      <c r="U156" s="302"/>
      <c r="V156" s="302"/>
      <c r="W156" s="302"/>
      <c r="X156" s="302"/>
      <c r="Y156" s="302"/>
      <c r="Z156" s="302"/>
      <c r="AA156" s="302"/>
      <c r="AB156" s="302"/>
    </row>
    <row r="157">
      <c r="A157" s="320"/>
      <c r="B157" s="317"/>
      <c r="C157" s="296" t="s">
        <v>9169</v>
      </c>
      <c r="D157" s="302"/>
      <c r="E157" s="324"/>
      <c r="F157" s="322"/>
      <c r="G157" s="265" t="s">
        <v>9159</v>
      </c>
      <c r="H157" s="265" t="s">
        <v>9170</v>
      </c>
      <c r="I157" s="258" t="s">
        <v>9161</v>
      </c>
      <c r="J157" s="284" t="s">
        <v>36</v>
      </c>
      <c r="K157" s="301"/>
      <c r="L157" s="301"/>
      <c r="M157" s="302"/>
      <c r="N157" s="302"/>
      <c r="O157" s="302"/>
      <c r="P157" s="302"/>
      <c r="Q157" s="302"/>
      <c r="R157" s="302"/>
      <c r="S157" s="302"/>
      <c r="T157" s="302"/>
      <c r="U157" s="302"/>
      <c r="V157" s="302"/>
      <c r="W157" s="302"/>
      <c r="X157" s="302"/>
      <c r="Y157" s="302"/>
      <c r="Z157" s="302"/>
      <c r="AA157" s="302"/>
      <c r="AB157" s="302"/>
    </row>
    <row r="158">
      <c r="A158" s="320"/>
      <c r="B158" s="317"/>
      <c r="C158" s="296" t="s">
        <v>9171</v>
      </c>
      <c r="D158" s="302"/>
      <c r="E158" s="324"/>
      <c r="F158" s="322"/>
      <c r="G158" s="265" t="s">
        <v>9163</v>
      </c>
      <c r="H158" s="265" t="s">
        <v>9172</v>
      </c>
      <c r="I158" s="258" t="s">
        <v>9165</v>
      </c>
      <c r="J158" s="284" t="s">
        <v>36</v>
      </c>
      <c r="K158" s="301"/>
      <c r="L158" s="301"/>
      <c r="M158" s="302"/>
      <c r="N158" s="302"/>
      <c r="O158" s="302"/>
      <c r="P158" s="302"/>
      <c r="Q158" s="302"/>
      <c r="R158" s="302"/>
      <c r="S158" s="302"/>
      <c r="T158" s="302"/>
      <c r="U158" s="302"/>
      <c r="V158" s="302"/>
      <c r="W158" s="302"/>
      <c r="X158" s="302"/>
      <c r="Y158" s="302"/>
      <c r="Z158" s="302"/>
      <c r="AA158" s="302"/>
      <c r="AB158" s="302"/>
    </row>
    <row r="159">
      <c r="A159" s="320"/>
      <c r="B159" s="317"/>
      <c r="C159" s="296" t="s">
        <v>9173</v>
      </c>
      <c r="D159" s="302"/>
      <c r="E159" s="323" t="s">
        <v>9174</v>
      </c>
      <c r="F159" s="258" t="s">
        <v>9175</v>
      </c>
      <c r="G159" s="265" t="s">
        <v>9176</v>
      </c>
      <c r="H159" s="265" t="s">
        <v>9177</v>
      </c>
      <c r="I159" s="258" t="s">
        <v>9178</v>
      </c>
      <c r="J159" s="284" t="s">
        <v>36</v>
      </c>
      <c r="K159" s="301"/>
      <c r="L159" s="301"/>
      <c r="M159" s="302"/>
      <c r="N159" s="302"/>
      <c r="O159" s="302"/>
      <c r="P159" s="302"/>
      <c r="Q159" s="302"/>
      <c r="R159" s="302"/>
      <c r="S159" s="302"/>
      <c r="T159" s="302"/>
      <c r="U159" s="302"/>
      <c r="V159" s="302"/>
      <c r="W159" s="302"/>
      <c r="X159" s="302"/>
      <c r="Y159" s="302"/>
      <c r="Z159" s="302"/>
      <c r="AA159" s="302"/>
      <c r="AB159" s="302"/>
    </row>
    <row r="160">
      <c r="A160" s="320"/>
      <c r="B160" s="317"/>
      <c r="C160" s="296" t="s">
        <v>9179</v>
      </c>
      <c r="D160" s="302"/>
      <c r="E160" s="324"/>
      <c r="F160" s="322"/>
      <c r="G160" s="265" t="s">
        <v>9180</v>
      </c>
      <c r="H160" s="265" t="s">
        <v>9177</v>
      </c>
      <c r="I160" s="258" t="s">
        <v>9178</v>
      </c>
      <c r="J160" s="284" t="s">
        <v>36</v>
      </c>
      <c r="K160" s="301"/>
      <c r="L160" s="301"/>
      <c r="M160" s="302"/>
      <c r="N160" s="302"/>
      <c r="O160" s="302"/>
      <c r="P160" s="302"/>
      <c r="Q160" s="302"/>
      <c r="R160" s="302"/>
      <c r="S160" s="302"/>
      <c r="T160" s="302"/>
      <c r="U160" s="302"/>
      <c r="V160" s="302"/>
      <c r="W160" s="302"/>
      <c r="X160" s="302"/>
      <c r="Y160" s="302"/>
      <c r="Z160" s="302"/>
      <c r="AA160" s="302"/>
      <c r="AB160" s="302"/>
    </row>
    <row r="161">
      <c r="A161" s="320"/>
      <c r="B161" s="317"/>
      <c r="C161" s="296" t="s">
        <v>9181</v>
      </c>
      <c r="D161" s="302"/>
      <c r="E161" s="324"/>
      <c r="F161" s="322"/>
      <c r="G161" s="265" t="s">
        <v>9182</v>
      </c>
      <c r="H161" s="265" t="s">
        <v>9177</v>
      </c>
      <c r="I161" s="258" t="s">
        <v>9178</v>
      </c>
      <c r="J161" s="284" t="s">
        <v>36</v>
      </c>
      <c r="K161" s="301"/>
      <c r="L161" s="301"/>
      <c r="M161" s="302"/>
      <c r="N161" s="302"/>
      <c r="O161" s="302"/>
      <c r="P161" s="302"/>
      <c r="Q161" s="302"/>
      <c r="R161" s="302"/>
      <c r="S161" s="302"/>
      <c r="T161" s="302"/>
      <c r="U161" s="302"/>
      <c r="V161" s="302"/>
      <c r="W161" s="302"/>
      <c r="X161" s="302"/>
      <c r="Y161" s="302"/>
      <c r="Z161" s="302"/>
      <c r="AA161" s="302"/>
      <c r="AB161" s="302"/>
    </row>
    <row r="162">
      <c r="A162" s="320"/>
      <c r="B162" s="317"/>
      <c r="C162" s="296" t="s">
        <v>9183</v>
      </c>
      <c r="D162" s="302"/>
      <c r="E162" s="324"/>
      <c r="F162" s="322"/>
      <c r="G162" s="265" t="s">
        <v>9184</v>
      </c>
      <c r="H162" s="265" t="s">
        <v>9177</v>
      </c>
      <c r="I162" s="258" t="s">
        <v>9185</v>
      </c>
      <c r="J162" s="284" t="s">
        <v>36</v>
      </c>
      <c r="K162" s="301"/>
      <c r="L162" s="301"/>
      <c r="M162" s="302"/>
      <c r="N162" s="302"/>
      <c r="O162" s="302"/>
      <c r="P162" s="302"/>
      <c r="Q162" s="302"/>
      <c r="R162" s="302"/>
      <c r="S162" s="302"/>
      <c r="T162" s="302"/>
      <c r="U162" s="302"/>
      <c r="V162" s="302"/>
      <c r="W162" s="302"/>
      <c r="X162" s="302"/>
      <c r="Y162" s="302"/>
      <c r="Z162" s="302"/>
      <c r="AA162" s="302"/>
      <c r="AB162" s="302"/>
    </row>
    <row r="163">
      <c r="A163" s="320"/>
      <c r="B163" s="317"/>
      <c r="C163" s="296" t="s">
        <v>9186</v>
      </c>
      <c r="D163" s="302"/>
      <c r="E163" s="324"/>
      <c r="F163" s="258" t="s">
        <v>9187</v>
      </c>
      <c r="G163" s="265" t="s">
        <v>9176</v>
      </c>
      <c r="H163" s="265" t="s">
        <v>9188</v>
      </c>
      <c r="I163" s="258" t="s">
        <v>9178</v>
      </c>
      <c r="J163" s="284" t="s">
        <v>36</v>
      </c>
      <c r="K163" s="301"/>
      <c r="L163" s="301"/>
      <c r="M163" s="302"/>
      <c r="N163" s="302"/>
      <c r="O163" s="302"/>
      <c r="P163" s="302"/>
      <c r="Q163" s="302"/>
      <c r="R163" s="302"/>
      <c r="S163" s="302"/>
      <c r="T163" s="302"/>
      <c r="U163" s="302"/>
      <c r="V163" s="302"/>
      <c r="W163" s="302"/>
      <c r="X163" s="302"/>
      <c r="Y163" s="302"/>
      <c r="Z163" s="302"/>
      <c r="AA163" s="302"/>
      <c r="AB163" s="302"/>
    </row>
    <row r="164">
      <c r="A164" s="320"/>
      <c r="B164" s="317"/>
      <c r="C164" s="296" t="s">
        <v>9189</v>
      </c>
      <c r="D164" s="302"/>
      <c r="E164" s="324"/>
      <c r="F164" s="322"/>
      <c r="G164" s="265" t="s">
        <v>9180</v>
      </c>
      <c r="H164" s="265" t="s">
        <v>9188</v>
      </c>
      <c r="I164" s="258" t="s">
        <v>9178</v>
      </c>
      <c r="J164" s="284" t="s">
        <v>36</v>
      </c>
      <c r="K164" s="301"/>
      <c r="L164" s="301"/>
      <c r="M164" s="302"/>
      <c r="N164" s="302"/>
      <c r="O164" s="302"/>
      <c r="P164" s="302"/>
      <c r="Q164" s="302"/>
      <c r="R164" s="302"/>
      <c r="S164" s="302"/>
      <c r="T164" s="302"/>
      <c r="U164" s="302"/>
      <c r="V164" s="302"/>
      <c r="W164" s="302"/>
      <c r="X164" s="302"/>
      <c r="Y164" s="302"/>
      <c r="Z164" s="302"/>
      <c r="AA164" s="302"/>
      <c r="AB164" s="302"/>
    </row>
    <row r="165">
      <c r="A165" s="320"/>
      <c r="B165" s="317"/>
      <c r="C165" s="296" t="s">
        <v>9190</v>
      </c>
      <c r="D165" s="302"/>
      <c r="E165" s="324"/>
      <c r="F165" s="322"/>
      <c r="G165" s="265" t="s">
        <v>9182</v>
      </c>
      <c r="H165" s="265" t="s">
        <v>9188</v>
      </c>
      <c r="I165" s="258" t="s">
        <v>9178</v>
      </c>
      <c r="J165" s="284" t="s">
        <v>36</v>
      </c>
      <c r="K165" s="301"/>
      <c r="L165" s="301"/>
      <c r="M165" s="302"/>
      <c r="N165" s="302"/>
      <c r="O165" s="302"/>
      <c r="P165" s="302"/>
      <c r="Q165" s="302"/>
      <c r="R165" s="302"/>
      <c r="S165" s="302"/>
      <c r="T165" s="302"/>
      <c r="U165" s="302"/>
      <c r="V165" s="302"/>
      <c r="W165" s="302"/>
      <c r="X165" s="302"/>
      <c r="Y165" s="302"/>
      <c r="Z165" s="302"/>
      <c r="AA165" s="302"/>
      <c r="AB165" s="302"/>
    </row>
    <row r="166">
      <c r="A166" s="320"/>
      <c r="B166" s="317"/>
      <c r="C166" s="296" t="s">
        <v>9191</v>
      </c>
      <c r="D166" s="302"/>
      <c r="E166" s="324"/>
      <c r="F166" s="322"/>
      <c r="G166" s="265" t="s">
        <v>9184</v>
      </c>
      <c r="H166" s="265" t="s">
        <v>9188</v>
      </c>
      <c r="I166" s="258" t="s">
        <v>9185</v>
      </c>
      <c r="J166" s="284" t="s">
        <v>36</v>
      </c>
      <c r="K166" s="301"/>
      <c r="L166" s="301"/>
      <c r="M166" s="302"/>
      <c r="N166" s="302"/>
      <c r="O166" s="302"/>
      <c r="P166" s="302"/>
      <c r="Q166" s="302"/>
      <c r="R166" s="302"/>
      <c r="S166" s="302"/>
      <c r="T166" s="302"/>
      <c r="U166" s="302"/>
      <c r="V166" s="302"/>
      <c r="W166" s="302"/>
      <c r="X166" s="302"/>
      <c r="Y166" s="302"/>
      <c r="Z166" s="302"/>
      <c r="AA166" s="302"/>
      <c r="AB166" s="302"/>
    </row>
    <row r="167">
      <c r="A167" s="320"/>
      <c r="B167" s="317"/>
      <c r="C167" s="296" t="s">
        <v>9192</v>
      </c>
      <c r="D167" s="302"/>
      <c r="E167" s="323" t="s">
        <v>9193</v>
      </c>
      <c r="F167" s="258" t="s">
        <v>9194</v>
      </c>
      <c r="G167" s="265" t="s">
        <v>9195</v>
      </c>
      <c r="H167" s="265" t="s">
        <v>9196</v>
      </c>
      <c r="I167" s="258" t="s">
        <v>9197</v>
      </c>
      <c r="J167" s="284" t="s">
        <v>36</v>
      </c>
      <c r="K167" s="301"/>
      <c r="L167" s="301"/>
      <c r="M167" s="302"/>
      <c r="N167" s="302"/>
      <c r="O167" s="302"/>
      <c r="P167" s="302"/>
      <c r="Q167" s="302"/>
      <c r="R167" s="302"/>
      <c r="S167" s="302"/>
      <c r="T167" s="302"/>
      <c r="U167" s="302"/>
      <c r="V167" s="302"/>
      <c r="W167" s="302"/>
      <c r="X167" s="302"/>
      <c r="Y167" s="302"/>
      <c r="Z167" s="302"/>
      <c r="AA167" s="302"/>
      <c r="AB167" s="302"/>
    </row>
    <row r="168">
      <c r="A168" s="320"/>
      <c r="B168" s="317"/>
      <c r="C168" s="296" t="s">
        <v>9198</v>
      </c>
      <c r="D168" s="302"/>
      <c r="E168" s="327"/>
      <c r="F168" s="322"/>
      <c r="G168" s="265" t="s">
        <v>9199</v>
      </c>
      <c r="H168" s="265" t="s">
        <v>9200</v>
      </c>
      <c r="I168" s="258" t="s">
        <v>9201</v>
      </c>
      <c r="J168" s="284" t="s">
        <v>36</v>
      </c>
      <c r="K168" s="301"/>
      <c r="L168" s="301"/>
      <c r="M168" s="302"/>
      <c r="N168" s="302"/>
      <c r="O168" s="302"/>
      <c r="P168" s="302"/>
      <c r="Q168" s="302"/>
      <c r="R168" s="302"/>
      <c r="S168" s="302"/>
      <c r="T168" s="302"/>
      <c r="U168" s="302"/>
      <c r="V168" s="302"/>
      <c r="W168" s="302"/>
      <c r="X168" s="302"/>
      <c r="Y168" s="302"/>
      <c r="Z168" s="302"/>
      <c r="AA168" s="302"/>
      <c r="AB168" s="302"/>
    </row>
    <row r="169">
      <c r="A169" s="320"/>
      <c r="B169" s="317"/>
      <c r="C169" s="296" t="s">
        <v>9202</v>
      </c>
      <c r="D169" s="302"/>
      <c r="E169" s="327"/>
      <c r="F169" s="322"/>
      <c r="G169" s="265" t="s">
        <v>9203</v>
      </c>
      <c r="H169" s="265" t="s">
        <v>9204</v>
      </c>
      <c r="I169" s="258" t="s">
        <v>9205</v>
      </c>
      <c r="J169" s="284" t="s">
        <v>36</v>
      </c>
      <c r="K169" s="301"/>
      <c r="L169" s="301"/>
      <c r="M169" s="302"/>
      <c r="N169" s="302"/>
      <c r="O169" s="302"/>
      <c r="P169" s="302"/>
      <c r="Q169" s="302"/>
      <c r="R169" s="302"/>
      <c r="S169" s="302"/>
      <c r="T169" s="302"/>
      <c r="U169" s="302"/>
      <c r="V169" s="302"/>
      <c r="W169" s="302"/>
      <c r="X169" s="302"/>
      <c r="Y169" s="302"/>
      <c r="Z169" s="302"/>
      <c r="AA169" s="302"/>
      <c r="AB169" s="302"/>
    </row>
    <row r="170">
      <c r="A170" s="320"/>
      <c r="B170" s="317"/>
      <c r="C170" s="296" t="s">
        <v>9206</v>
      </c>
      <c r="D170" s="302"/>
      <c r="E170" s="327"/>
      <c r="F170" s="322"/>
      <c r="G170" s="265" t="s">
        <v>9207</v>
      </c>
      <c r="H170" s="265" t="s">
        <v>9208</v>
      </c>
      <c r="I170" s="258" t="s">
        <v>9209</v>
      </c>
      <c r="J170" s="284" t="s">
        <v>36</v>
      </c>
      <c r="K170" s="301"/>
      <c r="L170" s="301"/>
      <c r="M170" s="302"/>
      <c r="N170" s="302"/>
      <c r="O170" s="302"/>
      <c r="P170" s="302"/>
      <c r="Q170" s="302"/>
      <c r="R170" s="302"/>
      <c r="S170" s="302"/>
      <c r="T170" s="302"/>
      <c r="U170" s="302"/>
      <c r="V170" s="302"/>
      <c r="W170" s="302"/>
      <c r="X170" s="302"/>
      <c r="Y170" s="302"/>
      <c r="Z170" s="302"/>
      <c r="AA170" s="302"/>
      <c r="AB170" s="302"/>
    </row>
    <row r="171">
      <c r="A171" s="320"/>
      <c r="B171" s="317"/>
      <c r="C171" s="296" t="s">
        <v>9210</v>
      </c>
      <c r="D171" s="302"/>
      <c r="E171" s="327"/>
      <c r="F171" s="322"/>
      <c r="G171" s="265" t="s">
        <v>9211</v>
      </c>
      <c r="H171" s="265" t="s">
        <v>9212</v>
      </c>
      <c r="I171" s="258" t="s">
        <v>9213</v>
      </c>
      <c r="J171" s="284" t="s">
        <v>36</v>
      </c>
      <c r="K171" s="301"/>
      <c r="L171" s="301"/>
      <c r="M171" s="302"/>
      <c r="N171" s="302"/>
      <c r="O171" s="302"/>
      <c r="P171" s="302"/>
      <c r="Q171" s="302"/>
      <c r="R171" s="302"/>
      <c r="S171" s="302"/>
      <c r="T171" s="302"/>
      <c r="U171" s="302"/>
      <c r="V171" s="302"/>
      <c r="W171" s="302"/>
      <c r="X171" s="302"/>
      <c r="Y171" s="302"/>
      <c r="Z171" s="302"/>
      <c r="AA171" s="302"/>
      <c r="AB171" s="302"/>
    </row>
    <row r="172">
      <c r="A172" s="320"/>
      <c r="B172" s="317"/>
      <c r="C172" s="296" t="s">
        <v>9214</v>
      </c>
      <c r="D172" s="302"/>
      <c r="E172" s="327"/>
      <c r="F172" s="322"/>
      <c r="G172" s="265" t="s">
        <v>9215</v>
      </c>
      <c r="H172" s="265" t="s">
        <v>9216</v>
      </c>
      <c r="I172" s="258" t="s">
        <v>9217</v>
      </c>
      <c r="J172" s="284" t="s">
        <v>317</v>
      </c>
      <c r="K172" s="301"/>
      <c r="L172" s="296" t="s">
        <v>9218</v>
      </c>
      <c r="M172" s="302"/>
      <c r="N172" s="302"/>
      <c r="O172" s="302"/>
      <c r="P172" s="302"/>
      <c r="Q172" s="302"/>
      <c r="R172" s="302"/>
      <c r="S172" s="302"/>
      <c r="T172" s="302"/>
      <c r="U172" s="302"/>
      <c r="V172" s="302"/>
      <c r="W172" s="302"/>
      <c r="X172" s="302"/>
      <c r="Y172" s="302"/>
      <c r="Z172" s="302"/>
      <c r="AA172" s="302"/>
      <c r="AB172" s="302"/>
    </row>
    <row r="173">
      <c r="A173" s="320"/>
      <c r="B173" s="317"/>
      <c r="C173" s="296" t="s">
        <v>9219</v>
      </c>
      <c r="D173" s="302"/>
      <c r="E173" s="327"/>
      <c r="F173" s="322"/>
      <c r="G173" s="265" t="s">
        <v>9220</v>
      </c>
      <c r="H173" s="265" t="s">
        <v>9221</v>
      </c>
      <c r="I173" s="258" t="s">
        <v>9222</v>
      </c>
      <c r="J173" s="284" t="s">
        <v>36</v>
      </c>
      <c r="K173" s="301"/>
      <c r="L173" s="301"/>
      <c r="M173" s="302"/>
      <c r="N173" s="302"/>
      <c r="O173" s="302"/>
      <c r="P173" s="302"/>
      <c r="Q173" s="302"/>
      <c r="R173" s="302"/>
      <c r="S173" s="302"/>
      <c r="T173" s="302"/>
      <c r="U173" s="302"/>
      <c r="V173" s="302"/>
      <c r="W173" s="302"/>
      <c r="X173" s="302"/>
      <c r="Y173" s="302"/>
      <c r="Z173" s="302"/>
      <c r="AA173" s="302"/>
      <c r="AB173" s="302"/>
    </row>
    <row r="174">
      <c r="A174" s="320"/>
      <c r="B174" s="317"/>
      <c r="C174" s="296" t="s">
        <v>9223</v>
      </c>
      <c r="D174" s="302"/>
      <c r="E174" s="327"/>
      <c r="F174" s="322"/>
      <c r="G174" s="265" t="s">
        <v>9224</v>
      </c>
      <c r="H174" s="265" t="s">
        <v>9225</v>
      </c>
      <c r="I174" s="258" t="s">
        <v>9222</v>
      </c>
      <c r="J174" s="284" t="s">
        <v>36</v>
      </c>
      <c r="K174" s="301"/>
      <c r="L174" s="301"/>
      <c r="M174" s="302"/>
      <c r="N174" s="302"/>
      <c r="O174" s="302"/>
      <c r="P174" s="302"/>
      <c r="Q174" s="302"/>
      <c r="R174" s="302"/>
      <c r="S174" s="302"/>
      <c r="T174" s="302"/>
      <c r="U174" s="302"/>
      <c r="V174" s="302"/>
      <c r="W174" s="302"/>
      <c r="X174" s="302"/>
      <c r="Y174" s="302"/>
      <c r="Z174" s="302"/>
      <c r="AA174" s="302"/>
      <c r="AB174" s="302"/>
    </row>
    <row r="175">
      <c r="A175" s="320"/>
      <c r="B175" s="317"/>
      <c r="C175" s="296" t="s">
        <v>9226</v>
      </c>
      <c r="D175" s="302"/>
      <c r="E175" s="324"/>
      <c r="F175" s="322"/>
      <c r="G175" s="265" t="s">
        <v>9227</v>
      </c>
      <c r="H175" s="265" t="s">
        <v>9228</v>
      </c>
      <c r="I175" s="258" t="s">
        <v>8928</v>
      </c>
      <c r="J175" s="284" t="s">
        <v>36</v>
      </c>
      <c r="K175" s="301"/>
      <c r="L175" s="301"/>
      <c r="M175" s="302"/>
      <c r="N175" s="302"/>
      <c r="O175" s="302"/>
      <c r="P175" s="302"/>
      <c r="Q175" s="302"/>
      <c r="R175" s="302"/>
      <c r="S175" s="302"/>
      <c r="T175" s="302"/>
      <c r="U175" s="302"/>
      <c r="V175" s="302"/>
      <c r="W175" s="302"/>
      <c r="X175" s="302"/>
      <c r="Y175" s="302"/>
      <c r="Z175" s="302"/>
      <c r="AA175" s="302"/>
      <c r="AB175" s="302"/>
    </row>
    <row r="176">
      <c r="A176" s="320"/>
      <c r="B176" s="317"/>
      <c r="C176" s="296" t="s">
        <v>9229</v>
      </c>
      <c r="D176" s="302"/>
      <c r="E176" s="324"/>
      <c r="F176" s="322"/>
      <c r="G176" s="265" t="s">
        <v>9230</v>
      </c>
      <c r="H176" s="265" t="s">
        <v>9231</v>
      </c>
      <c r="I176" s="258" t="s">
        <v>9232</v>
      </c>
      <c r="J176" s="284" t="s">
        <v>36</v>
      </c>
      <c r="K176" s="301"/>
      <c r="L176" s="301"/>
      <c r="M176" s="302"/>
      <c r="N176" s="302"/>
      <c r="O176" s="302"/>
      <c r="P176" s="302"/>
      <c r="Q176" s="302"/>
      <c r="R176" s="302"/>
      <c r="S176" s="302"/>
      <c r="T176" s="302"/>
      <c r="U176" s="302"/>
      <c r="V176" s="302"/>
      <c r="W176" s="302"/>
      <c r="X176" s="302"/>
      <c r="Y176" s="302"/>
      <c r="Z176" s="302"/>
      <c r="AA176" s="302"/>
      <c r="AB176" s="302"/>
    </row>
    <row r="177">
      <c r="A177" s="320"/>
      <c r="B177" s="317"/>
      <c r="C177" s="296" t="s">
        <v>9233</v>
      </c>
      <c r="D177" s="302"/>
      <c r="E177" s="324"/>
      <c r="F177" s="258" t="s">
        <v>9234</v>
      </c>
      <c r="G177" s="265" t="s">
        <v>9235</v>
      </c>
      <c r="H177" s="265" t="s">
        <v>9196</v>
      </c>
      <c r="I177" s="258" t="s">
        <v>9236</v>
      </c>
      <c r="J177" s="285" t="s">
        <v>36</v>
      </c>
      <c r="K177" s="301"/>
      <c r="L177" s="301"/>
      <c r="M177" s="302"/>
      <c r="N177" s="302"/>
      <c r="O177" s="302"/>
      <c r="P177" s="302"/>
      <c r="Q177" s="302"/>
      <c r="R177" s="302"/>
      <c r="S177" s="302"/>
      <c r="T177" s="302"/>
      <c r="U177" s="302"/>
      <c r="V177" s="302"/>
      <c r="W177" s="302"/>
      <c r="X177" s="302"/>
      <c r="Y177" s="302"/>
      <c r="Z177" s="302"/>
      <c r="AA177" s="302"/>
      <c r="AB177" s="302"/>
    </row>
    <row r="178">
      <c r="A178" s="320"/>
      <c r="B178" s="317"/>
      <c r="C178" s="296" t="s">
        <v>9237</v>
      </c>
      <c r="D178" s="302"/>
      <c r="E178" s="324"/>
      <c r="F178" s="322"/>
      <c r="G178" s="265" t="s">
        <v>9238</v>
      </c>
      <c r="H178" s="265" t="s">
        <v>9200</v>
      </c>
      <c r="I178" s="258" t="s">
        <v>9239</v>
      </c>
      <c r="J178" s="285" t="s">
        <v>36</v>
      </c>
      <c r="K178" s="301"/>
      <c r="L178" s="301"/>
      <c r="M178" s="302"/>
      <c r="N178" s="302"/>
      <c r="O178" s="302"/>
      <c r="P178" s="302"/>
      <c r="Q178" s="302"/>
      <c r="R178" s="302"/>
      <c r="S178" s="302"/>
      <c r="T178" s="302"/>
      <c r="U178" s="302"/>
      <c r="V178" s="302"/>
      <c r="W178" s="302"/>
      <c r="X178" s="302"/>
      <c r="Y178" s="302"/>
      <c r="Z178" s="302"/>
      <c r="AA178" s="302"/>
      <c r="AB178" s="302"/>
    </row>
    <row r="179">
      <c r="A179" s="320"/>
      <c r="B179" s="317"/>
      <c r="C179" s="296" t="s">
        <v>9240</v>
      </c>
      <c r="D179" s="302"/>
      <c r="E179" s="324"/>
      <c r="F179" s="322"/>
      <c r="G179" s="265" t="s">
        <v>9241</v>
      </c>
      <c r="H179" s="265" t="s">
        <v>9242</v>
      </c>
      <c r="I179" s="258" t="s">
        <v>9243</v>
      </c>
      <c r="J179" s="284" t="s">
        <v>317</v>
      </c>
      <c r="K179" s="301"/>
      <c r="L179" s="301"/>
      <c r="M179" s="302"/>
      <c r="N179" s="302"/>
      <c r="O179" s="302"/>
      <c r="P179" s="302"/>
      <c r="Q179" s="302"/>
      <c r="R179" s="302"/>
      <c r="S179" s="302"/>
      <c r="T179" s="302"/>
      <c r="U179" s="302"/>
      <c r="V179" s="302"/>
      <c r="W179" s="302"/>
      <c r="X179" s="302"/>
      <c r="Y179" s="302"/>
      <c r="Z179" s="302"/>
      <c r="AA179" s="302"/>
      <c r="AB179" s="302"/>
    </row>
    <row r="180">
      <c r="A180" s="320"/>
      <c r="B180" s="317"/>
      <c r="C180" s="296" t="s">
        <v>9244</v>
      </c>
      <c r="D180" s="302"/>
      <c r="E180" s="324"/>
      <c r="F180" s="322"/>
      <c r="G180" s="265" t="s">
        <v>9245</v>
      </c>
      <c r="H180" s="265" t="s">
        <v>9208</v>
      </c>
      <c r="I180" s="258" t="s">
        <v>9246</v>
      </c>
      <c r="J180" s="284" t="s">
        <v>36</v>
      </c>
      <c r="K180" s="301"/>
      <c r="L180" s="301"/>
      <c r="M180" s="302"/>
      <c r="N180" s="302"/>
      <c r="O180" s="302"/>
      <c r="P180" s="302"/>
      <c r="Q180" s="302"/>
      <c r="R180" s="302"/>
      <c r="S180" s="302"/>
      <c r="T180" s="302"/>
      <c r="U180" s="302"/>
      <c r="V180" s="302"/>
      <c r="W180" s="302"/>
      <c r="X180" s="302"/>
      <c r="Y180" s="302"/>
      <c r="Z180" s="302"/>
      <c r="AA180" s="302"/>
      <c r="AB180" s="302"/>
    </row>
    <row r="181">
      <c r="A181" s="320"/>
      <c r="B181" s="317"/>
      <c r="C181" s="296" t="s">
        <v>9247</v>
      </c>
      <c r="D181" s="302"/>
      <c r="E181" s="324"/>
      <c r="F181" s="322"/>
      <c r="G181" s="265" t="s">
        <v>9248</v>
      </c>
      <c r="H181" s="265" t="s">
        <v>9249</v>
      </c>
      <c r="I181" s="258" t="s">
        <v>9250</v>
      </c>
      <c r="J181" s="284" t="s">
        <v>36</v>
      </c>
      <c r="K181" s="301"/>
      <c r="L181" s="301"/>
      <c r="M181" s="302"/>
      <c r="N181" s="302"/>
      <c r="O181" s="302"/>
      <c r="P181" s="302"/>
      <c r="Q181" s="302"/>
      <c r="R181" s="302"/>
      <c r="S181" s="302"/>
      <c r="T181" s="302"/>
      <c r="U181" s="302"/>
      <c r="V181" s="302"/>
      <c r="W181" s="302"/>
      <c r="X181" s="302"/>
      <c r="Y181" s="302"/>
      <c r="Z181" s="302"/>
      <c r="AA181" s="302"/>
      <c r="AB181" s="302"/>
    </row>
    <row r="182">
      <c r="A182" s="320"/>
      <c r="B182" s="317"/>
      <c r="C182" s="296" t="s">
        <v>9251</v>
      </c>
      <c r="D182" s="302"/>
      <c r="E182" s="324"/>
      <c r="F182" s="322"/>
      <c r="G182" s="265" t="s">
        <v>9252</v>
      </c>
      <c r="H182" s="265" t="s">
        <v>9253</v>
      </c>
      <c r="I182" s="258" t="s">
        <v>9254</v>
      </c>
      <c r="J182" s="284" t="s">
        <v>36</v>
      </c>
      <c r="K182" s="301"/>
      <c r="L182" s="301"/>
      <c r="M182" s="302"/>
      <c r="N182" s="302"/>
      <c r="O182" s="302"/>
      <c r="P182" s="302"/>
      <c r="Q182" s="302"/>
      <c r="R182" s="302"/>
      <c r="S182" s="302"/>
      <c r="T182" s="302"/>
      <c r="U182" s="302"/>
      <c r="V182" s="302"/>
      <c r="W182" s="302"/>
      <c r="X182" s="302"/>
      <c r="Y182" s="302"/>
      <c r="Z182" s="302"/>
      <c r="AA182" s="302"/>
      <c r="AB182" s="302"/>
    </row>
    <row r="183">
      <c r="A183" s="320"/>
      <c r="B183" s="317"/>
      <c r="C183" s="296" t="s">
        <v>9255</v>
      </c>
      <c r="D183" s="302"/>
      <c r="E183" s="324"/>
      <c r="F183" s="322"/>
      <c r="G183" s="265" t="s">
        <v>9256</v>
      </c>
      <c r="H183" s="265" t="s">
        <v>9257</v>
      </c>
      <c r="I183" s="258" t="s">
        <v>9258</v>
      </c>
      <c r="J183" s="284" t="s">
        <v>36</v>
      </c>
      <c r="K183" s="301"/>
      <c r="L183" s="301"/>
      <c r="M183" s="302"/>
      <c r="N183" s="302"/>
      <c r="O183" s="302"/>
      <c r="P183" s="302"/>
      <c r="Q183" s="302"/>
      <c r="R183" s="302"/>
      <c r="S183" s="302"/>
      <c r="T183" s="302"/>
      <c r="U183" s="302"/>
      <c r="V183" s="302"/>
      <c r="W183" s="302"/>
      <c r="X183" s="302"/>
      <c r="Y183" s="302"/>
      <c r="Z183" s="302"/>
      <c r="AA183" s="302"/>
      <c r="AB183" s="302"/>
    </row>
    <row r="184">
      <c r="A184" s="320"/>
      <c r="B184" s="317"/>
      <c r="C184" s="296" t="s">
        <v>9259</v>
      </c>
      <c r="D184" s="302"/>
      <c r="E184" s="324"/>
      <c r="F184" s="322"/>
      <c r="G184" s="265" t="s">
        <v>9260</v>
      </c>
      <c r="H184" s="265" t="s">
        <v>9221</v>
      </c>
      <c r="I184" s="258" t="s">
        <v>9222</v>
      </c>
      <c r="J184" s="284" t="s">
        <v>36</v>
      </c>
      <c r="K184" s="301"/>
      <c r="L184" s="301"/>
      <c r="M184" s="302"/>
      <c r="N184" s="302"/>
      <c r="O184" s="302"/>
      <c r="P184" s="302"/>
      <c r="Q184" s="302"/>
      <c r="R184" s="302"/>
      <c r="S184" s="302"/>
      <c r="T184" s="302"/>
      <c r="U184" s="302"/>
      <c r="V184" s="302"/>
      <c r="W184" s="302"/>
      <c r="X184" s="302"/>
      <c r="Y184" s="302"/>
      <c r="Z184" s="302"/>
      <c r="AA184" s="302"/>
      <c r="AB184" s="302"/>
    </row>
    <row r="185">
      <c r="A185" s="320"/>
      <c r="B185" s="317"/>
      <c r="C185" s="296" t="s">
        <v>9261</v>
      </c>
      <c r="D185" s="302"/>
      <c r="E185" s="324"/>
      <c r="F185" s="322"/>
      <c r="G185" s="265" t="s">
        <v>9262</v>
      </c>
      <c r="H185" s="265" t="s">
        <v>9225</v>
      </c>
      <c r="I185" s="258" t="s">
        <v>9222</v>
      </c>
      <c r="J185" s="284" t="s">
        <v>36</v>
      </c>
      <c r="K185" s="301"/>
      <c r="L185" s="301"/>
      <c r="M185" s="302"/>
      <c r="N185" s="302"/>
      <c r="O185" s="302"/>
      <c r="P185" s="302"/>
      <c r="Q185" s="302"/>
      <c r="R185" s="302"/>
      <c r="S185" s="302"/>
      <c r="T185" s="302"/>
      <c r="U185" s="302"/>
      <c r="V185" s="302"/>
      <c r="W185" s="302"/>
      <c r="X185" s="302"/>
      <c r="Y185" s="302"/>
      <c r="Z185" s="302"/>
      <c r="AA185" s="302"/>
      <c r="AB185" s="302"/>
    </row>
    <row r="186">
      <c r="A186" s="320"/>
      <c r="B186" s="317"/>
      <c r="C186" s="296" t="s">
        <v>9263</v>
      </c>
      <c r="D186" s="302"/>
      <c r="E186" s="324"/>
      <c r="F186" s="258" t="s">
        <v>9264</v>
      </c>
      <c r="G186" s="265" t="s">
        <v>9265</v>
      </c>
      <c r="H186" s="265" t="s">
        <v>9266</v>
      </c>
      <c r="I186" s="258" t="s">
        <v>9267</v>
      </c>
      <c r="J186" s="284" t="s">
        <v>36</v>
      </c>
      <c r="K186" s="301"/>
      <c r="L186" s="301"/>
      <c r="M186" s="302"/>
      <c r="N186" s="302"/>
      <c r="O186" s="302"/>
      <c r="P186" s="302"/>
      <c r="Q186" s="302"/>
      <c r="R186" s="302"/>
      <c r="S186" s="302"/>
      <c r="T186" s="302"/>
      <c r="U186" s="302"/>
      <c r="V186" s="302"/>
      <c r="W186" s="302"/>
      <c r="X186" s="302"/>
      <c r="Y186" s="302"/>
      <c r="Z186" s="302"/>
      <c r="AA186" s="302"/>
      <c r="AB186" s="302"/>
    </row>
    <row r="187">
      <c r="A187" s="320"/>
      <c r="B187" s="317"/>
      <c r="C187" s="296" t="s">
        <v>9268</v>
      </c>
      <c r="D187" s="302"/>
      <c r="E187" s="324"/>
      <c r="F187" s="322"/>
      <c r="G187" s="265" t="s">
        <v>9269</v>
      </c>
      <c r="H187" s="265" t="s">
        <v>9270</v>
      </c>
      <c r="I187" s="258" t="s">
        <v>9271</v>
      </c>
      <c r="J187" s="284" t="s">
        <v>36</v>
      </c>
      <c r="K187" s="301"/>
      <c r="L187" s="301"/>
      <c r="M187" s="302"/>
      <c r="N187" s="302"/>
      <c r="O187" s="302"/>
      <c r="P187" s="302"/>
      <c r="Q187" s="302"/>
      <c r="R187" s="302"/>
      <c r="S187" s="302"/>
      <c r="T187" s="302"/>
      <c r="U187" s="302"/>
      <c r="V187" s="302"/>
      <c r="W187" s="302"/>
      <c r="X187" s="302"/>
      <c r="Y187" s="302"/>
      <c r="Z187" s="302"/>
      <c r="AA187" s="302"/>
      <c r="AB187" s="302"/>
    </row>
    <row r="188">
      <c r="A188" s="320"/>
      <c r="B188" s="317"/>
      <c r="C188" s="296" t="s">
        <v>9272</v>
      </c>
      <c r="D188" s="302"/>
      <c r="E188" s="324"/>
      <c r="F188" s="322"/>
      <c r="G188" s="265" t="s">
        <v>9273</v>
      </c>
      <c r="H188" s="265" t="s">
        <v>9274</v>
      </c>
      <c r="I188" s="258" t="s">
        <v>9275</v>
      </c>
      <c r="J188" s="284" t="s">
        <v>317</v>
      </c>
      <c r="K188" s="301"/>
      <c r="L188" s="301"/>
      <c r="M188" s="302"/>
      <c r="N188" s="302"/>
      <c r="O188" s="302"/>
      <c r="P188" s="302"/>
      <c r="Q188" s="302"/>
      <c r="R188" s="302"/>
      <c r="S188" s="302"/>
      <c r="T188" s="302"/>
      <c r="U188" s="302"/>
      <c r="V188" s="302"/>
      <c r="W188" s="302"/>
      <c r="X188" s="302"/>
      <c r="Y188" s="302"/>
      <c r="Z188" s="302"/>
      <c r="AA188" s="302"/>
      <c r="AB188" s="302"/>
    </row>
    <row r="189">
      <c r="A189" s="320"/>
      <c r="B189" s="317"/>
      <c r="C189" s="296" t="s">
        <v>9276</v>
      </c>
      <c r="D189" s="302"/>
      <c r="E189" s="324"/>
      <c r="F189" s="322"/>
      <c r="G189" s="265" t="s">
        <v>9207</v>
      </c>
      <c r="H189" s="265" t="s">
        <v>9277</v>
      </c>
      <c r="I189" s="258" t="s">
        <v>9278</v>
      </c>
      <c r="J189" s="284" t="s">
        <v>36</v>
      </c>
      <c r="K189" s="301"/>
      <c r="L189" s="301"/>
      <c r="M189" s="302"/>
      <c r="N189" s="302"/>
      <c r="O189" s="302"/>
      <c r="P189" s="302"/>
      <c r="Q189" s="302"/>
      <c r="R189" s="302"/>
      <c r="S189" s="302"/>
      <c r="T189" s="302"/>
      <c r="U189" s="302"/>
      <c r="V189" s="302"/>
      <c r="W189" s="302"/>
      <c r="X189" s="302"/>
      <c r="Y189" s="302"/>
      <c r="Z189" s="302"/>
      <c r="AA189" s="302"/>
      <c r="AB189" s="302"/>
    </row>
    <row r="190">
      <c r="A190" s="320"/>
      <c r="B190" s="317"/>
      <c r="C190" s="296" t="s">
        <v>9279</v>
      </c>
      <c r="D190" s="302"/>
      <c r="E190" s="324"/>
      <c r="F190" s="322"/>
      <c r="G190" s="265" t="s">
        <v>9280</v>
      </c>
      <c r="H190" s="265" t="s">
        <v>9281</v>
      </c>
      <c r="I190" s="258" t="s">
        <v>9282</v>
      </c>
      <c r="J190" s="284" t="s">
        <v>36</v>
      </c>
      <c r="K190" s="301"/>
      <c r="L190" s="301"/>
      <c r="M190" s="302"/>
      <c r="N190" s="302"/>
      <c r="O190" s="302"/>
      <c r="P190" s="302"/>
      <c r="Q190" s="302"/>
      <c r="R190" s="302"/>
      <c r="S190" s="302"/>
      <c r="T190" s="302"/>
      <c r="U190" s="302"/>
      <c r="V190" s="302"/>
      <c r="W190" s="302"/>
      <c r="X190" s="302"/>
      <c r="Y190" s="302"/>
      <c r="Z190" s="302"/>
      <c r="AA190" s="302"/>
      <c r="AB190" s="302"/>
    </row>
    <row r="191">
      <c r="A191" s="320"/>
      <c r="B191" s="317"/>
      <c r="C191" s="296" t="s">
        <v>9283</v>
      </c>
      <c r="D191" s="302"/>
      <c r="E191" s="324"/>
      <c r="F191" s="322"/>
      <c r="G191" s="265" t="s">
        <v>9284</v>
      </c>
      <c r="H191" s="265" t="s">
        <v>9285</v>
      </c>
      <c r="I191" s="258" t="s">
        <v>9282</v>
      </c>
      <c r="J191" s="284" t="s">
        <v>36</v>
      </c>
      <c r="K191" s="301"/>
      <c r="L191" s="301"/>
      <c r="M191" s="302"/>
      <c r="N191" s="302"/>
      <c r="O191" s="302"/>
      <c r="P191" s="302"/>
      <c r="Q191" s="302"/>
      <c r="R191" s="302"/>
      <c r="S191" s="302"/>
      <c r="T191" s="302"/>
      <c r="U191" s="302"/>
      <c r="V191" s="302"/>
      <c r="W191" s="302"/>
      <c r="X191" s="302"/>
      <c r="Y191" s="302"/>
      <c r="Z191" s="302"/>
      <c r="AA191" s="302"/>
      <c r="AB191" s="302"/>
    </row>
    <row r="192">
      <c r="A192" s="320"/>
      <c r="B192" s="317"/>
      <c r="C192" s="296" t="s">
        <v>9286</v>
      </c>
      <c r="D192" s="302"/>
      <c r="E192" s="324"/>
      <c r="F192" s="322"/>
      <c r="G192" s="265" t="s">
        <v>9287</v>
      </c>
      <c r="H192" s="265" t="s">
        <v>9288</v>
      </c>
      <c r="I192" s="258" t="s">
        <v>9289</v>
      </c>
      <c r="J192" s="284" t="s">
        <v>36</v>
      </c>
      <c r="K192" s="301"/>
      <c r="L192" s="301"/>
      <c r="M192" s="302"/>
      <c r="N192" s="302"/>
      <c r="O192" s="302"/>
      <c r="P192" s="302"/>
      <c r="Q192" s="302"/>
      <c r="R192" s="302"/>
      <c r="S192" s="302"/>
      <c r="T192" s="302"/>
      <c r="U192" s="302"/>
      <c r="V192" s="302"/>
      <c r="W192" s="302"/>
      <c r="X192" s="302"/>
      <c r="Y192" s="302"/>
      <c r="Z192" s="302"/>
      <c r="AA192" s="302"/>
      <c r="AB192" s="302"/>
    </row>
    <row r="193">
      <c r="A193" s="320"/>
      <c r="B193" s="317"/>
      <c r="C193" s="296" t="s">
        <v>9290</v>
      </c>
      <c r="D193" s="302"/>
      <c r="E193" s="324"/>
      <c r="F193" s="322"/>
      <c r="G193" s="265" t="s">
        <v>9291</v>
      </c>
      <c r="H193" s="265" t="s">
        <v>9292</v>
      </c>
      <c r="I193" s="258" t="s">
        <v>9293</v>
      </c>
      <c r="J193" s="284" t="s">
        <v>36</v>
      </c>
      <c r="K193" s="301"/>
      <c r="L193" s="301"/>
      <c r="M193" s="302"/>
      <c r="N193" s="302"/>
      <c r="O193" s="302"/>
      <c r="P193" s="302"/>
      <c r="Q193" s="302"/>
      <c r="R193" s="302"/>
      <c r="S193" s="302"/>
      <c r="T193" s="302"/>
      <c r="U193" s="302"/>
      <c r="V193" s="302"/>
      <c r="W193" s="302"/>
      <c r="X193" s="302"/>
      <c r="Y193" s="302"/>
      <c r="Z193" s="302"/>
      <c r="AA193" s="302"/>
      <c r="AB193" s="302"/>
    </row>
    <row r="194">
      <c r="A194" s="320"/>
      <c r="B194" s="317"/>
      <c r="C194" s="296" t="s">
        <v>9294</v>
      </c>
      <c r="D194" s="302"/>
      <c r="E194" s="324"/>
      <c r="F194" s="258" t="s">
        <v>9295</v>
      </c>
      <c r="G194" s="265" t="s">
        <v>9296</v>
      </c>
      <c r="H194" s="265" t="s">
        <v>9266</v>
      </c>
      <c r="I194" s="258" t="s">
        <v>9297</v>
      </c>
      <c r="J194" s="284" t="s">
        <v>36</v>
      </c>
      <c r="K194" s="301"/>
      <c r="L194" s="301"/>
      <c r="M194" s="302"/>
      <c r="N194" s="302"/>
      <c r="O194" s="302"/>
      <c r="P194" s="302"/>
      <c r="Q194" s="302"/>
      <c r="R194" s="302"/>
      <c r="S194" s="302"/>
      <c r="T194" s="302"/>
      <c r="U194" s="302"/>
      <c r="V194" s="302"/>
      <c r="W194" s="302"/>
      <c r="X194" s="302"/>
      <c r="Y194" s="302"/>
      <c r="Z194" s="302"/>
      <c r="AA194" s="302"/>
      <c r="AB194" s="302"/>
    </row>
    <row r="195">
      <c r="A195" s="320"/>
      <c r="B195" s="317"/>
      <c r="C195" s="296" t="s">
        <v>9298</v>
      </c>
      <c r="D195" s="302"/>
      <c r="E195" s="324"/>
      <c r="F195" s="322"/>
      <c r="G195" s="265" t="s">
        <v>9299</v>
      </c>
      <c r="H195" s="265" t="s">
        <v>9270</v>
      </c>
      <c r="I195" s="258" t="s">
        <v>9300</v>
      </c>
      <c r="J195" s="284" t="s">
        <v>36</v>
      </c>
      <c r="K195" s="301"/>
      <c r="L195" s="301"/>
      <c r="M195" s="302"/>
      <c r="N195" s="302"/>
      <c r="O195" s="302"/>
      <c r="P195" s="302"/>
      <c r="Q195" s="302"/>
      <c r="R195" s="302"/>
      <c r="S195" s="302"/>
      <c r="T195" s="302"/>
      <c r="U195" s="302"/>
      <c r="V195" s="302"/>
      <c r="W195" s="302"/>
      <c r="X195" s="302"/>
      <c r="Y195" s="302"/>
      <c r="Z195" s="302"/>
      <c r="AA195" s="302"/>
      <c r="AB195" s="302"/>
    </row>
    <row r="196">
      <c r="A196" s="320"/>
      <c r="B196" s="317"/>
      <c r="C196" s="296" t="s">
        <v>9301</v>
      </c>
      <c r="D196" s="302"/>
      <c r="E196" s="324"/>
      <c r="F196" s="322"/>
      <c r="G196" s="265" t="s">
        <v>9245</v>
      </c>
      <c r="H196" s="265" t="s">
        <v>9302</v>
      </c>
      <c r="I196" s="258" t="s">
        <v>9303</v>
      </c>
      <c r="J196" s="284" t="s">
        <v>36</v>
      </c>
      <c r="K196" s="301"/>
      <c r="L196" s="301"/>
      <c r="M196" s="302"/>
      <c r="N196" s="302"/>
      <c r="O196" s="302"/>
      <c r="P196" s="302"/>
      <c r="Q196" s="302"/>
      <c r="R196" s="302"/>
      <c r="S196" s="302"/>
      <c r="T196" s="302"/>
      <c r="U196" s="302"/>
      <c r="V196" s="302"/>
      <c r="W196" s="302"/>
      <c r="X196" s="302"/>
      <c r="Y196" s="302"/>
      <c r="Z196" s="302"/>
      <c r="AA196" s="302"/>
      <c r="AB196" s="302"/>
    </row>
    <row r="197">
      <c r="A197" s="320"/>
      <c r="B197" s="317"/>
      <c r="C197" s="296" t="s">
        <v>9304</v>
      </c>
      <c r="D197" s="302"/>
      <c r="E197" s="324"/>
      <c r="F197" s="322"/>
      <c r="G197" s="265" t="s">
        <v>9305</v>
      </c>
      <c r="H197" s="265" t="s">
        <v>9281</v>
      </c>
      <c r="I197" s="258" t="s">
        <v>9282</v>
      </c>
      <c r="J197" s="284" t="s">
        <v>36</v>
      </c>
      <c r="K197" s="301"/>
      <c r="L197" s="301"/>
      <c r="M197" s="302"/>
      <c r="N197" s="302"/>
      <c r="O197" s="302"/>
      <c r="P197" s="302"/>
      <c r="Q197" s="302"/>
      <c r="R197" s="302"/>
      <c r="S197" s="302"/>
      <c r="T197" s="302"/>
      <c r="U197" s="302"/>
      <c r="V197" s="302"/>
      <c r="W197" s="302"/>
      <c r="X197" s="302"/>
      <c r="Y197" s="302"/>
      <c r="Z197" s="302"/>
      <c r="AA197" s="302"/>
      <c r="AB197" s="302"/>
    </row>
    <row r="198">
      <c r="A198" s="320"/>
      <c r="B198" s="317"/>
      <c r="C198" s="296" t="s">
        <v>9306</v>
      </c>
      <c r="D198" s="302"/>
      <c r="E198" s="324"/>
      <c r="F198" s="322"/>
      <c r="G198" s="265" t="s">
        <v>9307</v>
      </c>
      <c r="H198" s="265" t="s">
        <v>9285</v>
      </c>
      <c r="I198" s="258" t="s">
        <v>9282</v>
      </c>
      <c r="J198" s="284" t="s">
        <v>36</v>
      </c>
      <c r="K198" s="301"/>
      <c r="L198" s="301"/>
      <c r="M198" s="302"/>
      <c r="N198" s="302"/>
      <c r="O198" s="302"/>
      <c r="P198" s="302"/>
      <c r="Q198" s="302"/>
      <c r="R198" s="302"/>
      <c r="S198" s="302"/>
      <c r="T198" s="302"/>
      <c r="U198" s="302"/>
      <c r="V198" s="302"/>
      <c r="W198" s="302"/>
      <c r="X198" s="302"/>
      <c r="Y198" s="302"/>
      <c r="Z198" s="302"/>
      <c r="AA198" s="302"/>
      <c r="AB198" s="302"/>
    </row>
    <row r="199">
      <c r="A199" s="320"/>
      <c r="B199" s="317"/>
      <c r="C199" s="296" t="s">
        <v>9308</v>
      </c>
      <c r="D199" s="302"/>
      <c r="E199" s="324"/>
      <c r="F199" s="258" t="s">
        <v>9309</v>
      </c>
      <c r="G199" s="265" t="s">
        <v>9310</v>
      </c>
      <c r="H199" s="265" t="s">
        <v>9311</v>
      </c>
      <c r="I199" s="258" t="s">
        <v>9312</v>
      </c>
      <c r="J199" s="284" t="s">
        <v>36</v>
      </c>
      <c r="K199" s="301"/>
      <c r="L199" s="301"/>
      <c r="M199" s="302"/>
      <c r="N199" s="302"/>
      <c r="O199" s="302"/>
      <c r="P199" s="302"/>
      <c r="Q199" s="302"/>
      <c r="R199" s="302"/>
      <c r="S199" s="302"/>
      <c r="T199" s="302"/>
      <c r="U199" s="302"/>
      <c r="V199" s="302"/>
      <c r="W199" s="302"/>
      <c r="X199" s="302"/>
      <c r="Y199" s="302"/>
      <c r="Z199" s="302"/>
      <c r="AA199" s="302"/>
      <c r="AB199" s="302"/>
    </row>
    <row r="200">
      <c r="A200" s="320"/>
      <c r="B200" s="317"/>
      <c r="C200" s="296" t="s">
        <v>9313</v>
      </c>
      <c r="D200" s="302"/>
      <c r="E200" s="324"/>
      <c r="F200" s="322"/>
      <c r="G200" s="265" t="s">
        <v>9207</v>
      </c>
      <c r="H200" s="265" t="s">
        <v>9314</v>
      </c>
      <c r="I200" s="258" t="s">
        <v>9315</v>
      </c>
      <c r="J200" s="284" t="s">
        <v>36</v>
      </c>
      <c r="K200" s="301"/>
      <c r="L200" s="301"/>
      <c r="M200" s="302"/>
      <c r="N200" s="302"/>
      <c r="O200" s="302"/>
      <c r="P200" s="302"/>
      <c r="Q200" s="302"/>
      <c r="R200" s="302"/>
      <c r="S200" s="302"/>
      <c r="T200" s="302"/>
      <c r="U200" s="302"/>
      <c r="V200" s="302"/>
      <c r="W200" s="302"/>
      <c r="X200" s="302"/>
      <c r="Y200" s="302"/>
      <c r="Z200" s="302"/>
      <c r="AA200" s="302"/>
      <c r="AB200" s="302"/>
    </row>
    <row r="201">
      <c r="A201" s="320"/>
      <c r="B201" s="317"/>
      <c r="C201" s="296" t="s">
        <v>9316</v>
      </c>
      <c r="D201" s="302"/>
      <c r="E201" s="324"/>
      <c r="F201" s="258" t="s">
        <v>9317</v>
      </c>
      <c r="G201" s="265" t="s">
        <v>9310</v>
      </c>
      <c r="H201" s="265" t="s">
        <v>9311</v>
      </c>
      <c r="I201" s="258" t="s">
        <v>9312</v>
      </c>
      <c r="J201" s="284" t="s">
        <v>36</v>
      </c>
      <c r="K201" s="301"/>
      <c r="L201" s="301"/>
      <c r="M201" s="302"/>
      <c r="N201" s="302"/>
      <c r="O201" s="302"/>
      <c r="P201" s="302"/>
      <c r="Q201" s="302"/>
      <c r="R201" s="302"/>
      <c r="S201" s="302"/>
      <c r="T201" s="302"/>
      <c r="U201" s="302"/>
      <c r="V201" s="302"/>
      <c r="W201" s="302"/>
      <c r="X201" s="302"/>
      <c r="Y201" s="302"/>
      <c r="Z201" s="302"/>
      <c r="AA201" s="302"/>
      <c r="AB201" s="302"/>
    </row>
    <row r="202">
      <c r="A202" s="320"/>
      <c r="B202" s="317"/>
      <c r="C202" s="296" t="s">
        <v>9318</v>
      </c>
      <c r="D202" s="302"/>
      <c r="E202" s="324"/>
      <c r="F202" s="322"/>
      <c r="G202" s="265" t="s">
        <v>9245</v>
      </c>
      <c r="H202" s="265" t="s">
        <v>9314</v>
      </c>
      <c r="I202" s="258" t="s">
        <v>9315</v>
      </c>
      <c r="J202" s="284" t="s">
        <v>36</v>
      </c>
      <c r="K202" s="301"/>
      <c r="L202" s="301"/>
      <c r="M202" s="302"/>
      <c r="N202" s="302"/>
      <c r="O202" s="302"/>
      <c r="P202" s="302"/>
      <c r="Q202" s="302"/>
      <c r="R202" s="302"/>
      <c r="S202" s="302"/>
      <c r="T202" s="302"/>
      <c r="U202" s="302"/>
      <c r="V202" s="302"/>
      <c r="W202" s="302"/>
      <c r="X202" s="302"/>
      <c r="Y202" s="302"/>
      <c r="Z202" s="302"/>
      <c r="AA202" s="302"/>
      <c r="AB202" s="302"/>
    </row>
    <row r="203">
      <c r="A203" s="320"/>
      <c r="B203" s="317"/>
      <c r="C203" s="296" t="s">
        <v>9319</v>
      </c>
      <c r="D203" s="302"/>
      <c r="E203" s="323" t="s">
        <v>9320</v>
      </c>
      <c r="F203" s="258" t="s">
        <v>9321</v>
      </c>
      <c r="G203" s="265" t="s">
        <v>9322</v>
      </c>
      <c r="H203" s="265" t="s">
        <v>9323</v>
      </c>
      <c r="I203" s="258" t="s">
        <v>9324</v>
      </c>
      <c r="J203" s="284" t="s">
        <v>317</v>
      </c>
      <c r="K203" s="296" t="s">
        <v>9325</v>
      </c>
      <c r="L203" s="301"/>
      <c r="M203" s="302"/>
      <c r="N203" s="302"/>
      <c r="O203" s="302"/>
      <c r="P203" s="302"/>
      <c r="Q203" s="302"/>
      <c r="R203" s="302"/>
      <c r="S203" s="302"/>
      <c r="T203" s="302"/>
      <c r="U203" s="302"/>
      <c r="V203" s="302"/>
      <c r="W203" s="302"/>
      <c r="X203" s="302"/>
      <c r="Y203" s="302"/>
      <c r="Z203" s="302"/>
      <c r="AA203" s="302"/>
      <c r="AB203" s="302"/>
    </row>
    <row r="204">
      <c r="A204" s="320"/>
      <c r="B204" s="317"/>
      <c r="C204" s="296" t="s">
        <v>9326</v>
      </c>
      <c r="D204" s="302"/>
      <c r="E204" s="327"/>
      <c r="F204" s="322"/>
      <c r="G204" s="265" t="s">
        <v>9327</v>
      </c>
      <c r="H204" s="265" t="s">
        <v>9328</v>
      </c>
      <c r="I204" s="258" t="s">
        <v>9329</v>
      </c>
      <c r="J204" s="284" t="s">
        <v>317</v>
      </c>
      <c r="K204" s="301"/>
      <c r="L204" s="301"/>
      <c r="M204" s="302"/>
      <c r="N204" s="302"/>
      <c r="O204" s="302"/>
      <c r="P204" s="302"/>
      <c r="Q204" s="302"/>
      <c r="R204" s="302"/>
      <c r="S204" s="302"/>
      <c r="T204" s="302"/>
      <c r="U204" s="302"/>
      <c r="V204" s="302"/>
      <c r="W204" s="302"/>
      <c r="X204" s="302"/>
      <c r="Y204" s="302"/>
      <c r="Z204" s="302"/>
      <c r="AA204" s="302"/>
      <c r="AB204" s="302"/>
    </row>
    <row r="205">
      <c r="A205" s="320"/>
      <c r="B205" s="317"/>
      <c r="C205" s="296" t="s">
        <v>9330</v>
      </c>
      <c r="D205" s="302"/>
      <c r="E205" s="324"/>
      <c r="F205" s="322"/>
      <c r="G205" s="265" t="s">
        <v>9331</v>
      </c>
      <c r="H205" s="265" t="s">
        <v>9332</v>
      </c>
      <c r="I205" s="258" t="s">
        <v>9333</v>
      </c>
      <c r="J205" s="284" t="s">
        <v>317</v>
      </c>
      <c r="K205" s="301"/>
      <c r="L205" s="301"/>
      <c r="M205" s="302"/>
      <c r="N205" s="302"/>
      <c r="O205" s="302"/>
      <c r="P205" s="302"/>
      <c r="Q205" s="302"/>
      <c r="R205" s="302"/>
      <c r="S205" s="302"/>
      <c r="T205" s="302"/>
      <c r="U205" s="302"/>
      <c r="V205" s="302"/>
      <c r="W205" s="302"/>
      <c r="X205" s="302"/>
      <c r="Y205" s="302"/>
      <c r="Z205" s="302"/>
      <c r="AA205" s="302"/>
      <c r="AB205" s="302"/>
    </row>
    <row r="206">
      <c r="A206" s="320"/>
      <c r="B206" s="317"/>
      <c r="C206" s="296" t="s">
        <v>9334</v>
      </c>
      <c r="D206" s="302"/>
      <c r="E206" s="324"/>
      <c r="F206" s="322"/>
      <c r="G206" s="265" t="s">
        <v>9335</v>
      </c>
      <c r="H206" s="265" t="s">
        <v>9328</v>
      </c>
      <c r="I206" s="258" t="s">
        <v>9336</v>
      </c>
      <c r="J206" s="284" t="s">
        <v>317</v>
      </c>
      <c r="K206" s="301"/>
      <c r="L206" s="301"/>
      <c r="M206" s="302"/>
      <c r="N206" s="302"/>
      <c r="O206" s="302"/>
      <c r="P206" s="302"/>
      <c r="Q206" s="302"/>
      <c r="R206" s="302"/>
      <c r="S206" s="302"/>
      <c r="T206" s="302"/>
      <c r="U206" s="302"/>
      <c r="V206" s="302"/>
      <c r="W206" s="302"/>
      <c r="X206" s="302"/>
      <c r="Y206" s="302"/>
      <c r="Z206" s="302"/>
      <c r="AA206" s="302"/>
      <c r="AB206" s="302"/>
    </row>
    <row r="207">
      <c r="A207" s="320"/>
      <c r="B207" s="317"/>
      <c r="C207" s="296" t="s">
        <v>9337</v>
      </c>
      <c r="D207" s="302"/>
      <c r="E207" s="324"/>
      <c r="F207" s="322"/>
      <c r="G207" s="265" t="s">
        <v>9338</v>
      </c>
      <c r="H207" s="265" t="s">
        <v>9339</v>
      </c>
      <c r="I207" s="258" t="s">
        <v>9340</v>
      </c>
      <c r="J207" s="284" t="s">
        <v>317</v>
      </c>
      <c r="K207" s="301"/>
      <c r="L207" s="301"/>
      <c r="M207" s="302"/>
      <c r="N207" s="302"/>
      <c r="O207" s="302"/>
      <c r="P207" s="302"/>
      <c r="Q207" s="302"/>
      <c r="R207" s="302"/>
      <c r="S207" s="302"/>
      <c r="T207" s="302"/>
      <c r="U207" s="302"/>
      <c r="V207" s="302"/>
      <c r="W207" s="302"/>
      <c r="X207" s="302"/>
      <c r="Y207" s="302"/>
      <c r="Z207" s="302"/>
      <c r="AA207" s="302"/>
      <c r="AB207" s="302"/>
    </row>
    <row r="208">
      <c r="A208" s="320"/>
      <c r="B208" s="317"/>
      <c r="C208" s="296" t="s">
        <v>9341</v>
      </c>
      <c r="D208" s="302"/>
      <c r="E208" s="324"/>
      <c r="F208" s="322"/>
      <c r="G208" s="265" t="s">
        <v>9342</v>
      </c>
      <c r="H208" s="265" t="s">
        <v>9328</v>
      </c>
      <c r="I208" s="258" t="s">
        <v>9343</v>
      </c>
      <c r="J208" s="284" t="s">
        <v>317</v>
      </c>
      <c r="K208" s="301"/>
      <c r="L208" s="301"/>
      <c r="M208" s="302"/>
      <c r="N208" s="302"/>
      <c r="O208" s="302"/>
      <c r="P208" s="302"/>
      <c r="Q208" s="302"/>
      <c r="R208" s="302"/>
      <c r="S208" s="302"/>
      <c r="T208" s="302"/>
      <c r="U208" s="302"/>
      <c r="V208" s="302"/>
      <c r="W208" s="302"/>
      <c r="X208" s="302"/>
      <c r="Y208" s="302"/>
      <c r="Z208" s="302"/>
      <c r="AA208" s="302"/>
      <c r="AB208" s="302"/>
    </row>
    <row r="209">
      <c r="A209" s="320"/>
      <c r="B209" s="317"/>
      <c r="C209" s="296" t="s">
        <v>9344</v>
      </c>
      <c r="D209" s="302"/>
      <c r="E209" s="324"/>
      <c r="F209" s="322"/>
      <c r="G209" s="265" t="s">
        <v>9345</v>
      </c>
      <c r="H209" s="265" t="s">
        <v>9346</v>
      </c>
      <c r="I209" s="258" t="s">
        <v>9347</v>
      </c>
      <c r="J209" s="284" t="s">
        <v>317</v>
      </c>
      <c r="K209" s="301"/>
      <c r="L209" s="301"/>
      <c r="M209" s="302"/>
      <c r="N209" s="302"/>
      <c r="O209" s="302"/>
      <c r="P209" s="302"/>
      <c r="Q209" s="302"/>
      <c r="R209" s="302"/>
      <c r="S209" s="302"/>
      <c r="T209" s="302"/>
      <c r="U209" s="302"/>
      <c r="V209" s="302"/>
      <c r="W209" s="302"/>
      <c r="X209" s="302"/>
      <c r="Y209" s="302"/>
      <c r="Z209" s="302"/>
      <c r="AA209" s="302"/>
      <c r="AB209" s="302"/>
    </row>
    <row r="210">
      <c r="A210" s="320"/>
      <c r="B210" s="317"/>
      <c r="C210" s="296" t="s">
        <v>9348</v>
      </c>
      <c r="D210" s="302"/>
      <c r="E210" s="324"/>
      <c r="F210" s="322"/>
      <c r="G210" s="265" t="s">
        <v>9349</v>
      </c>
      <c r="H210" s="265" t="s">
        <v>9328</v>
      </c>
      <c r="I210" s="258" t="s">
        <v>9350</v>
      </c>
      <c r="J210" s="284" t="s">
        <v>317</v>
      </c>
      <c r="K210" s="301"/>
      <c r="L210" s="301"/>
      <c r="M210" s="302"/>
      <c r="N210" s="302"/>
      <c r="O210" s="302"/>
      <c r="P210" s="302"/>
      <c r="Q210" s="302"/>
      <c r="R210" s="302"/>
      <c r="S210" s="302"/>
      <c r="T210" s="302"/>
      <c r="U210" s="302"/>
      <c r="V210" s="302"/>
      <c r="W210" s="302"/>
      <c r="X210" s="302"/>
      <c r="Y210" s="302"/>
      <c r="Z210" s="302"/>
      <c r="AA210" s="302"/>
      <c r="AB210" s="302"/>
    </row>
    <row r="211">
      <c r="A211" s="320"/>
      <c r="B211" s="317"/>
      <c r="C211" s="296" t="s">
        <v>9351</v>
      </c>
      <c r="D211" s="302"/>
      <c r="E211" s="324"/>
      <c r="F211" s="322"/>
      <c r="G211" s="265" t="s">
        <v>9352</v>
      </c>
      <c r="H211" s="265" t="s">
        <v>9353</v>
      </c>
      <c r="I211" s="258" t="s">
        <v>9354</v>
      </c>
      <c r="J211" s="284" t="s">
        <v>317</v>
      </c>
      <c r="K211" s="301"/>
      <c r="L211" s="301"/>
      <c r="M211" s="302"/>
      <c r="N211" s="302"/>
      <c r="O211" s="302"/>
      <c r="P211" s="302"/>
      <c r="Q211" s="302"/>
      <c r="R211" s="302"/>
      <c r="S211" s="302"/>
      <c r="T211" s="302"/>
      <c r="U211" s="302"/>
      <c r="V211" s="302"/>
      <c r="W211" s="302"/>
      <c r="X211" s="302"/>
      <c r="Y211" s="302"/>
      <c r="Z211" s="302"/>
      <c r="AA211" s="302"/>
      <c r="AB211" s="302"/>
    </row>
    <row r="212">
      <c r="A212" s="320"/>
      <c r="B212" s="317"/>
      <c r="C212" s="296" t="s">
        <v>9355</v>
      </c>
      <c r="D212" s="302"/>
      <c r="E212" s="323" t="s">
        <v>9356</v>
      </c>
      <c r="F212" s="258" t="s">
        <v>9357</v>
      </c>
      <c r="G212" s="265" t="s">
        <v>9358</v>
      </c>
      <c r="H212" s="265" t="s">
        <v>9359</v>
      </c>
      <c r="I212" s="258" t="s">
        <v>9360</v>
      </c>
      <c r="J212" s="284" t="s">
        <v>317</v>
      </c>
      <c r="K212" s="296" t="s">
        <v>9361</v>
      </c>
      <c r="L212" s="301"/>
      <c r="M212" s="302"/>
      <c r="N212" s="302"/>
      <c r="O212" s="302"/>
      <c r="P212" s="302"/>
      <c r="Q212" s="302"/>
      <c r="R212" s="302"/>
      <c r="S212" s="302"/>
      <c r="T212" s="302"/>
      <c r="U212" s="302"/>
      <c r="V212" s="302"/>
      <c r="W212" s="302"/>
      <c r="X212" s="302"/>
      <c r="Y212" s="302"/>
      <c r="Z212" s="302"/>
      <c r="AA212" s="302"/>
      <c r="AB212" s="302"/>
    </row>
    <row r="213">
      <c r="A213" s="320"/>
      <c r="B213" s="317"/>
      <c r="C213" s="296" t="s">
        <v>9362</v>
      </c>
      <c r="D213" s="302"/>
      <c r="E213" s="324"/>
      <c r="F213" s="322"/>
      <c r="G213" s="265" t="s">
        <v>9363</v>
      </c>
      <c r="H213" s="265" t="s">
        <v>9364</v>
      </c>
      <c r="I213" s="258" t="s">
        <v>9360</v>
      </c>
      <c r="J213" s="284" t="s">
        <v>36</v>
      </c>
      <c r="K213" s="301"/>
      <c r="L213" s="301"/>
      <c r="M213" s="302"/>
      <c r="N213" s="302"/>
      <c r="O213" s="302"/>
      <c r="P213" s="302"/>
      <c r="Q213" s="302"/>
      <c r="R213" s="302"/>
      <c r="S213" s="302"/>
      <c r="T213" s="302"/>
      <c r="U213" s="302"/>
      <c r="V213" s="302"/>
      <c r="W213" s="302"/>
      <c r="X213" s="302"/>
      <c r="Y213" s="302"/>
      <c r="Z213" s="302"/>
      <c r="AA213" s="302"/>
      <c r="AB213" s="302"/>
    </row>
    <row r="214">
      <c r="A214" s="320"/>
      <c r="B214" s="317"/>
      <c r="C214" s="296" t="s">
        <v>9365</v>
      </c>
      <c r="D214" s="302"/>
      <c r="E214" s="324"/>
      <c r="F214" s="322"/>
      <c r="G214" s="265" t="s">
        <v>9366</v>
      </c>
      <c r="H214" s="265" t="s">
        <v>9367</v>
      </c>
      <c r="I214" s="258" t="s">
        <v>9360</v>
      </c>
      <c r="J214" s="284" t="s">
        <v>36</v>
      </c>
      <c r="K214" s="301"/>
      <c r="L214" s="301"/>
      <c r="M214" s="302"/>
      <c r="N214" s="302"/>
      <c r="O214" s="302"/>
      <c r="P214" s="302"/>
      <c r="Q214" s="302"/>
      <c r="R214" s="302"/>
      <c r="S214" s="302"/>
      <c r="T214" s="302"/>
      <c r="U214" s="302"/>
      <c r="V214" s="302"/>
      <c r="W214" s="302"/>
      <c r="X214" s="302"/>
      <c r="Y214" s="302"/>
      <c r="Z214" s="302"/>
      <c r="AA214" s="302"/>
      <c r="AB214" s="302"/>
    </row>
    <row r="215">
      <c r="A215" s="320"/>
      <c r="B215" s="317"/>
      <c r="C215" s="296" t="s">
        <v>9368</v>
      </c>
      <c r="D215" s="302"/>
      <c r="E215" s="324"/>
      <c r="F215" s="322"/>
      <c r="G215" s="265" t="s">
        <v>9369</v>
      </c>
      <c r="H215" s="265" t="s">
        <v>9370</v>
      </c>
      <c r="I215" s="258" t="s">
        <v>9360</v>
      </c>
      <c r="J215" s="284" t="s">
        <v>36</v>
      </c>
      <c r="K215" s="301"/>
      <c r="L215" s="301"/>
      <c r="M215" s="302"/>
      <c r="N215" s="302"/>
      <c r="O215" s="302"/>
      <c r="P215" s="302"/>
      <c r="Q215" s="302"/>
      <c r="R215" s="302"/>
      <c r="S215" s="302"/>
      <c r="T215" s="302"/>
      <c r="U215" s="302"/>
      <c r="V215" s="302"/>
      <c r="W215" s="302"/>
      <c r="X215" s="302"/>
      <c r="Y215" s="302"/>
      <c r="Z215" s="302"/>
      <c r="AA215" s="302"/>
      <c r="AB215" s="302"/>
    </row>
    <row r="216">
      <c r="A216" s="320"/>
      <c r="B216" s="317"/>
      <c r="C216" s="296" t="s">
        <v>9371</v>
      </c>
      <c r="D216" s="302"/>
      <c r="E216" s="324"/>
      <c r="F216" s="322"/>
      <c r="G216" s="265" t="s">
        <v>9372</v>
      </c>
      <c r="H216" s="265" t="s">
        <v>9373</v>
      </c>
      <c r="I216" s="258" t="s">
        <v>9360</v>
      </c>
      <c r="J216" s="284" t="s">
        <v>36</v>
      </c>
      <c r="K216" s="301"/>
      <c r="L216" s="301"/>
      <c r="M216" s="302"/>
      <c r="N216" s="302"/>
      <c r="O216" s="302"/>
      <c r="P216" s="302"/>
      <c r="Q216" s="302"/>
      <c r="R216" s="302"/>
      <c r="S216" s="302"/>
      <c r="T216" s="302"/>
      <c r="U216" s="302"/>
      <c r="V216" s="302"/>
      <c r="W216" s="302"/>
      <c r="X216" s="302"/>
      <c r="Y216" s="302"/>
      <c r="Z216" s="302"/>
      <c r="AA216" s="302"/>
      <c r="AB216" s="302"/>
    </row>
    <row r="217">
      <c r="A217" s="320"/>
      <c r="B217" s="317"/>
      <c r="C217" s="296" t="s">
        <v>9374</v>
      </c>
      <c r="D217" s="302"/>
      <c r="E217" s="324"/>
      <c r="F217" s="322"/>
      <c r="G217" s="265" t="s">
        <v>9375</v>
      </c>
      <c r="H217" s="265" t="s">
        <v>9376</v>
      </c>
      <c r="I217" s="258" t="s">
        <v>9360</v>
      </c>
      <c r="J217" s="284" t="s">
        <v>36</v>
      </c>
      <c r="K217" s="301"/>
      <c r="L217" s="301"/>
      <c r="M217" s="302"/>
      <c r="N217" s="302"/>
      <c r="O217" s="302"/>
      <c r="P217" s="302"/>
      <c r="Q217" s="302"/>
      <c r="R217" s="302"/>
      <c r="S217" s="302"/>
      <c r="T217" s="302"/>
      <c r="U217" s="302"/>
      <c r="V217" s="302"/>
      <c r="W217" s="302"/>
      <c r="X217" s="302"/>
      <c r="Y217" s="302"/>
      <c r="Z217" s="302"/>
      <c r="AA217" s="302"/>
      <c r="AB217" s="302"/>
    </row>
    <row r="218">
      <c r="A218" s="320"/>
      <c r="B218" s="317"/>
      <c r="C218" s="296" t="s">
        <v>9377</v>
      </c>
      <c r="D218" s="302"/>
      <c r="E218" s="323" t="s">
        <v>9378</v>
      </c>
      <c r="F218" s="258" t="s">
        <v>9379</v>
      </c>
      <c r="G218" s="265" t="s">
        <v>9379</v>
      </c>
      <c r="H218" s="265" t="s">
        <v>9380</v>
      </c>
      <c r="I218" s="258" t="s">
        <v>9381</v>
      </c>
      <c r="J218" s="284" t="s">
        <v>36</v>
      </c>
      <c r="K218" s="301"/>
      <c r="L218" s="301"/>
      <c r="M218" s="302"/>
      <c r="N218" s="302"/>
      <c r="O218" s="302"/>
      <c r="P218" s="302"/>
      <c r="Q218" s="302"/>
      <c r="R218" s="302"/>
      <c r="S218" s="302"/>
      <c r="T218" s="302"/>
      <c r="U218" s="302"/>
      <c r="V218" s="302"/>
      <c r="W218" s="302"/>
      <c r="X218" s="302"/>
      <c r="Y218" s="302"/>
      <c r="Z218" s="302"/>
      <c r="AA218" s="302"/>
      <c r="AB218" s="302"/>
    </row>
    <row r="219">
      <c r="A219" s="320"/>
      <c r="B219" s="317"/>
      <c r="C219" s="296" t="s">
        <v>9382</v>
      </c>
      <c r="D219" s="302"/>
      <c r="E219" s="324"/>
      <c r="F219" s="322"/>
      <c r="G219" s="265" t="s">
        <v>9383</v>
      </c>
      <c r="H219" s="265" t="s">
        <v>9384</v>
      </c>
      <c r="I219" s="258" t="s">
        <v>9385</v>
      </c>
      <c r="J219" s="284" t="s">
        <v>36</v>
      </c>
      <c r="K219" s="301"/>
      <c r="L219" s="301"/>
      <c r="M219" s="302"/>
      <c r="N219" s="302"/>
      <c r="O219" s="302"/>
      <c r="P219" s="302"/>
      <c r="Q219" s="302"/>
      <c r="R219" s="302"/>
      <c r="S219" s="302"/>
      <c r="T219" s="302"/>
      <c r="U219" s="302"/>
      <c r="V219" s="302"/>
      <c r="W219" s="302"/>
      <c r="X219" s="302"/>
      <c r="Y219" s="302"/>
      <c r="Z219" s="302"/>
      <c r="AA219" s="302"/>
      <c r="AB219" s="302"/>
    </row>
    <row r="220">
      <c r="A220" s="320"/>
      <c r="B220" s="317"/>
      <c r="C220" s="296" t="s">
        <v>9386</v>
      </c>
      <c r="D220" s="302"/>
      <c r="E220" s="324"/>
      <c r="F220" s="322"/>
      <c r="G220" s="265" t="s">
        <v>9387</v>
      </c>
      <c r="H220" s="265" t="s">
        <v>9388</v>
      </c>
      <c r="I220" s="258" t="s">
        <v>9389</v>
      </c>
      <c r="J220" s="284" t="s">
        <v>36</v>
      </c>
      <c r="K220" s="301"/>
      <c r="L220" s="301"/>
      <c r="M220" s="302"/>
      <c r="N220" s="302"/>
      <c r="O220" s="302"/>
      <c r="P220" s="302"/>
      <c r="Q220" s="302"/>
      <c r="R220" s="302"/>
      <c r="S220" s="302"/>
      <c r="T220" s="302"/>
      <c r="U220" s="302"/>
      <c r="V220" s="302"/>
      <c r="W220" s="302"/>
      <c r="X220" s="302"/>
      <c r="Y220" s="302"/>
      <c r="Z220" s="302"/>
      <c r="AA220" s="302"/>
      <c r="AB220" s="302"/>
    </row>
    <row r="221">
      <c r="A221" s="320"/>
      <c r="B221" s="317"/>
      <c r="C221" s="296" t="s">
        <v>9390</v>
      </c>
      <c r="D221" s="302"/>
      <c r="E221" s="324"/>
      <c r="F221" s="322"/>
      <c r="G221" s="265" t="s">
        <v>9391</v>
      </c>
      <c r="H221" s="265" t="s">
        <v>9392</v>
      </c>
      <c r="I221" s="258" t="s">
        <v>9393</v>
      </c>
      <c r="J221" s="284" t="s">
        <v>36</v>
      </c>
      <c r="K221" s="301"/>
      <c r="L221" s="301"/>
      <c r="M221" s="302"/>
      <c r="N221" s="302"/>
      <c r="O221" s="302"/>
      <c r="P221" s="302"/>
      <c r="Q221" s="302"/>
      <c r="R221" s="302"/>
      <c r="S221" s="302"/>
      <c r="T221" s="302"/>
      <c r="U221" s="302"/>
      <c r="V221" s="302"/>
      <c r="W221" s="302"/>
      <c r="X221" s="302"/>
      <c r="Y221" s="302"/>
      <c r="Z221" s="302"/>
      <c r="AA221" s="302"/>
      <c r="AB221" s="302"/>
    </row>
    <row r="222">
      <c r="A222" s="320"/>
      <c r="B222" s="317"/>
      <c r="C222" s="296" t="s">
        <v>9394</v>
      </c>
      <c r="D222" s="302"/>
      <c r="E222" s="324"/>
      <c r="F222" s="322"/>
      <c r="G222" s="265" t="s">
        <v>9395</v>
      </c>
      <c r="H222" s="265" t="s">
        <v>9396</v>
      </c>
      <c r="I222" s="258" t="s">
        <v>9393</v>
      </c>
      <c r="J222" s="284" t="s">
        <v>36</v>
      </c>
      <c r="K222" s="301"/>
      <c r="L222" s="301"/>
      <c r="M222" s="302"/>
      <c r="N222" s="302"/>
      <c r="O222" s="302"/>
      <c r="P222" s="302"/>
      <c r="Q222" s="302"/>
      <c r="R222" s="302"/>
      <c r="S222" s="302"/>
      <c r="T222" s="302"/>
      <c r="U222" s="302"/>
      <c r="V222" s="302"/>
      <c r="W222" s="302"/>
      <c r="X222" s="302"/>
      <c r="Y222" s="302"/>
      <c r="Z222" s="302"/>
      <c r="AA222" s="302"/>
      <c r="AB222" s="302"/>
    </row>
    <row r="223">
      <c r="A223" s="320"/>
      <c r="B223" s="317"/>
      <c r="C223" s="296" t="s">
        <v>9397</v>
      </c>
      <c r="D223" s="302"/>
      <c r="E223" s="323" t="s">
        <v>9398</v>
      </c>
      <c r="F223" s="258" t="s">
        <v>9399</v>
      </c>
      <c r="G223" s="265" t="s">
        <v>9400</v>
      </c>
      <c r="H223" s="265" t="s">
        <v>9401</v>
      </c>
      <c r="I223" s="258" t="s">
        <v>9402</v>
      </c>
      <c r="J223" s="284" t="s">
        <v>317</v>
      </c>
      <c r="K223" s="301"/>
      <c r="L223" s="301"/>
      <c r="M223" s="302"/>
      <c r="N223" s="302"/>
      <c r="O223" s="302"/>
      <c r="P223" s="302"/>
      <c r="Q223" s="302"/>
      <c r="R223" s="302"/>
      <c r="S223" s="302"/>
      <c r="T223" s="302"/>
      <c r="U223" s="302"/>
      <c r="V223" s="302"/>
      <c r="W223" s="302"/>
      <c r="X223" s="302"/>
      <c r="Y223" s="302"/>
      <c r="Z223" s="302"/>
      <c r="AA223" s="302"/>
      <c r="AB223" s="302"/>
    </row>
    <row r="224">
      <c r="A224" s="320"/>
      <c r="B224" s="317"/>
      <c r="C224" s="296" t="s">
        <v>9403</v>
      </c>
      <c r="D224" s="302"/>
      <c r="E224" s="324"/>
      <c r="F224" s="258" t="s">
        <v>9404</v>
      </c>
      <c r="G224" s="265" t="s">
        <v>9405</v>
      </c>
      <c r="H224" s="265" t="s">
        <v>9406</v>
      </c>
      <c r="I224" s="258" t="s">
        <v>9402</v>
      </c>
      <c r="J224" s="284" t="s">
        <v>317</v>
      </c>
      <c r="K224" s="301"/>
      <c r="L224" s="301"/>
      <c r="M224" s="302"/>
      <c r="N224" s="302"/>
      <c r="O224" s="302"/>
      <c r="P224" s="302"/>
      <c r="Q224" s="302"/>
      <c r="R224" s="302"/>
      <c r="S224" s="302"/>
      <c r="T224" s="302"/>
      <c r="U224" s="302"/>
      <c r="V224" s="302"/>
      <c r="W224" s="302"/>
      <c r="X224" s="302"/>
      <c r="Y224" s="302"/>
      <c r="Z224" s="302"/>
      <c r="AA224" s="302"/>
      <c r="AB224" s="302"/>
    </row>
    <row r="225">
      <c r="A225" s="320"/>
      <c r="B225" s="317"/>
      <c r="C225" s="296" t="s">
        <v>9407</v>
      </c>
      <c r="D225" s="302"/>
      <c r="E225" s="323" t="s">
        <v>9408</v>
      </c>
      <c r="F225" s="258" t="s">
        <v>9409</v>
      </c>
      <c r="G225" s="265" t="s">
        <v>9410</v>
      </c>
      <c r="H225" s="265" t="s">
        <v>9411</v>
      </c>
      <c r="I225" s="258" t="s">
        <v>9412</v>
      </c>
      <c r="J225" s="284" t="s">
        <v>36</v>
      </c>
      <c r="K225" s="301"/>
      <c r="L225" s="301"/>
      <c r="M225" s="302"/>
      <c r="N225" s="302"/>
      <c r="O225" s="302"/>
      <c r="P225" s="302"/>
      <c r="Q225" s="302"/>
      <c r="R225" s="302"/>
      <c r="S225" s="302"/>
      <c r="T225" s="302"/>
      <c r="U225" s="302"/>
      <c r="V225" s="302"/>
      <c r="W225" s="302"/>
      <c r="X225" s="302"/>
      <c r="Y225" s="302"/>
      <c r="Z225" s="302"/>
      <c r="AA225" s="302"/>
      <c r="AB225" s="302"/>
    </row>
    <row r="226">
      <c r="A226" s="320"/>
      <c r="B226" s="317"/>
      <c r="C226" s="296" t="s">
        <v>9413</v>
      </c>
      <c r="D226" s="302"/>
      <c r="E226" s="327"/>
      <c r="F226" s="322"/>
      <c r="G226" s="265" t="s">
        <v>9414</v>
      </c>
      <c r="H226" s="265" t="s">
        <v>9415</v>
      </c>
      <c r="I226" s="258" t="s">
        <v>9412</v>
      </c>
      <c r="J226" s="284" t="s">
        <v>36</v>
      </c>
      <c r="K226" s="301"/>
      <c r="L226" s="301"/>
      <c r="M226" s="302"/>
      <c r="N226" s="302"/>
      <c r="O226" s="302"/>
      <c r="P226" s="302"/>
      <c r="Q226" s="302"/>
      <c r="R226" s="302"/>
      <c r="S226" s="302"/>
      <c r="T226" s="302"/>
      <c r="U226" s="302"/>
      <c r="V226" s="302"/>
      <c r="W226" s="302"/>
      <c r="X226" s="302"/>
      <c r="Y226" s="302"/>
      <c r="Z226" s="302"/>
      <c r="AA226" s="302"/>
      <c r="AB226" s="302"/>
    </row>
    <row r="227">
      <c r="A227" s="320"/>
      <c r="B227" s="317"/>
      <c r="C227" s="296" t="s">
        <v>9416</v>
      </c>
      <c r="D227" s="302"/>
      <c r="E227" s="324"/>
      <c r="F227" s="322"/>
      <c r="G227" s="265" t="s">
        <v>9417</v>
      </c>
      <c r="H227" s="265" t="s">
        <v>9418</v>
      </c>
      <c r="I227" s="258" t="s">
        <v>9412</v>
      </c>
      <c r="J227" s="284" t="s">
        <v>36</v>
      </c>
      <c r="K227" s="301"/>
      <c r="L227" s="301"/>
      <c r="M227" s="302"/>
      <c r="N227" s="302"/>
      <c r="O227" s="302"/>
      <c r="P227" s="302"/>
      <c r="Q227" s="302"/>
      <c r="R227" s="302"/>
      <c r="S227" s="302"/>
      <c r="T227" s="302"/>
      <c r="U227" s="302"/>
      <c r="V227" s="302"/>
      <c r="W227" s="302"/>
      <c r="X227" s="302"/>
      <c r="Y227" s="302"/>
      <c r="Z227" s="302"/>
      <c r="AA227" s="302"/>
      <c r="AB227" s="302"/>
    </row>
    <row r="228">
      <c r="A228" s="320"/>
      <c r="B228" s="317"/>
      <c r="C228" s="296" t="s">
        <v>9419</v>
      </c>
      <c r="D228" s="302"/>
      <c r="E228" s="324"/>
      <c r="F228" s="322"/>
      <c r="G228" s="265" t="s">
        <v>9420</v>
      </c>
      <c r="H228" s="265" t="s">
        <v>9421</v>
      </c>
      <c r="I228" s="258" t="s">
        <v>9412</v>
      </c>
      <c r="J228" s="284" t="s">
        <v>36</v>
      </c>
      <c r="K228" s="301"/>
      <c r="L228" s="301"/>
      <c r="M228" s="302"/>
      <c r="N228" s="302"/>
      <c r="O228" s="302"/>
      <c r="P228" s="302"/>
      <c r="Q228" s="302"/>
      <c r="R228" s="302"/>
      <c r="S228" s="302"/>
      <c r="T228" s="302"/>
      <c r="U228" s="302"/>
      <c r="V228" s="302"/>
      <c r="W228" s="302"/>
      <c r="X228" s="302"/>
      <c r="Y228" s="302"/>
      <c r="Z228" s="302"/>
      <c r="AA228" s="302"/>
      <c r="AB228" s="302"/>
    </row>
    <row r="229">
      <c r="A229" s="320"/>
      <c r="B229" s="317"/>
      <c r="C229" s="296" t="s">
        <v>9422</v>
      </c>
      <c r="D229" s="302"/>
      <c r="E229" s="324"/>
      <c r="F229" s="322"/>
      <c r="G229" s="265" t="s">
        <v>9423</v>
      </c>
      <c r="H229" s="265" t="s">
        <v>9424</v>
      </c>
      <c r="I229" s="258" t="s">
        <v>9412</v>
      </c>
      <c r="J229" s="284" t="s">
        <v>36</v>
      </c>
      <c r="K229" s="301"/>
      <c r="L229" s="301"/>
      <c r="M229" s="302"/>
      <c r="N229" s="302"/>
      <c r="O229" s="302"/>
      <c r="P229" s="302"/>
      <c r="Q229" s="302"/>
      <c r="R229" s="302"/>
      <c r="S229" s="302"/>
      <c r="T229" s="302"/>
      <c r="U229" s="302"/>
      <c r="V229" s="302"/>
      <c r="W229" s="302"/>
      <c r="X229" s="302"/>
      <c r="Y229" s="302"/>
      <c r="Z229" s="302"/>
      <c r="AA229" s="302"/>
      <c r="AB229" s="302"/>
    </row>
    <row r="230">
      <c r="A230" s="320"/>
      <c r="B230" s="317"/>
      <c r="C230" s="296" t="s">
        <v>9425</v>
      </c>
      <c r="D230" s="302"/>
      <c r="E230" s="324"/>
      <c r="F230" s="322"/>
      <c r="G230" s="265" t="s">
        <v>9426</v>
      </c>
      <c r="H230" s="265" t="s">
        <v>9427</v>
      </c>
      <c r="I230" s="258" t="s">
        <v>9428</v>
      </c>
      <c r="J230" s="284" t="s">
        <v>36</v>
      </c>
      <c r="K230" s="301"/>
      <c r="L230" s="301"/>
      <c r="M230" s="302"/>
      <c r="N230" s="302"/>
      <c r="O230" s="302"/>
      <c r="P230" s="302"/>
      <c r="Q230" s="302"/>
      <c r="R230" s="302"/>
      <c r="S230" s="302"/>
      <c r="T230" s="302"/>
      <c r="U230" s="302"/>
      <c r="V230" s="302"/>
      <c r="W230" s="302"/>
      <c r="X230" s="302"/>
      <c r="Y230" s="302"/>
      <c r="Z230" s="302"/>
      <c r="AA230" s="302"/>
      <c r="AB230" s="302"/>
    </row>
    <row r="231">
      <c r="A231" s="320"/>
      <c r="B231" s="317"/>
      <c r="C231" s="296" t="s">
        <v>9429</v>
      </c>
      <c r="D231" s="302"/>
      <c r="E231" s="324"/>
      <c r="F231" s="322"/>
      <c r="G231" s="265" t="s">
        <v>9430</v>
      </c>
      <c r="H231" s="265" t="s">
        <v>9431</v>
      </c>
      <c r="I231" s="258" t="s">
        <v>9432</v>
      </c>
      <c r="J231" s="284" t="s">
        <v>317</v>
      </c>
      <c r="K231" s="296" t="s">
        <v>9361</v>
      </c>
      <c r="L231" s="301"/>
      <c r="M231" s="302"/>
      <c r="N231" s="302"/>
      <c r="O231" s="302"/>
      <c r="P231" s="302"/>
      <c r="Q231" s="302"/>
      <c r="R231" s="302"/>
      <c r="S231" s="302"/>
      <c r="T231" s="302"/>
      <c r="U231" s="302"/>
      <c r="V231" s="302"/>
      <c r="W231" s="302"/>
      <c r="X231" s="302"/>
      <c r="Y231" s="302"/>
      <c r="Z231" s="302"/>
      <c r="AA231" s="302"/>
      <c r="AB231" s="302"/>
    </row>
    <row r="232">
      <c r="A232" s="320"/>
      <c r="B232" s="317"/>
      <c r="C232" s="301"/>
      <c r="D232" s="302"/>
      <c r="E232" s="301"/>
      <c r="F232" s="298"/>
      <c r="G232" s="328"/>
      <c r="H232" s="301"/>
      <c r="I232" s="329"/>
      <c r="J232" s="330"/>
      <c r="K232" s="301"/>
      <c r="L232" s="301"/>
      <c r="M232" s="302"/>
      <c r="N232" s="302"/>
      <c r="O232" s="302"/>
      <c r="P232" s="302"/>
      <c r="Q232" s="302"/>
      <c r="R232" s="302"/>
      <c r="S232" s="302"/>
      <c r="T232" s="302"/>
      <c r="U232" s="302"/>
      <c r="V232" s="302"/>
      <c r="W232" s="302"/>
      <c r="X232" s="302"/>
      <c r="Y232" s="302"/>
      <c r="Z232" s="302"/>
      <c r="AA232" s="302"/>
      <c r="AB232" s="302"/>
    </row>
    <row r="233">
      <c r="A233" s="320"/>
      <c r="B233" s="317"/>
      <c r="C233" s="301"/>
      <c r="D233" s="302"/>
      <c r="E233" s="301"/>
      <c r="F233" s="329"/>
      <c r="G233" s="328"/>
      <c r="H233" s="301"/>
      <c r="I233" s="329"/>
      <c r="J233" s="330"/>
      <c r="K233" s="301"/>
      <c r="L233" s="301"/>
      <c r="M233" s="302"/>
      <c r="N233" s="302"/>
      <c r="O233" s="302"/>
      <c r="P233" s="302"/>
      <c r="Q233" s="302"/>
      <c r="R233" s="302"/>
      <c r="S233" s="302"/>
      <c r="T233" s="302"/>
      <c r="U233" s="302"/>
      <c r="V233" s="302"/>
      <c r="W233" s="302"/>
      <c r="X233" s="302"/>
      <c r="Y233" s="302"/>
      <c r="Z233" s="302"/>
      <c r="AA233" s="302"/>
      <c r="AB233" s="302"/>
    </row>
    <row r="234">
      <c r="A234" s="320"/>
      <c r="B234" s="317"/>
      <c r="C234" s="301"/>
      <c r="D234" s="302"/>
      <c r="E234" s="301"/>
      <c r="F234" s="329"/>
      <c r="G234" s="328"/>
      <c r="H234" s="301"/>
      <c r="I234" s="329"/>
      <c r="J234" s="330"/>
      <c r="K234" s="301"/>
      <c r="L234" s="301"/>
      <c r="M234" s="302"/>
      <c r="N234" s="302"/>
      <c r="O234" s="302"/>
      <c r="P234" s="302"/>
      <c r="Q234" s="302"/>
      <c r="R234" s="302"/>
      <c r="S234" s="302"/>
      <c r="T234" s="302"/>
      <c r="U234" s="302"/>
      <c r="V234" s="302"/>
      <c r="W234" s="302"/>
      <c r="X234" s="302"/>
      <c r="Y234" s="302"/>
      <c r="Z234" s="302"/>
      <c r="AA234" s="302"/>
      <c r="AB234" s="302"/>
    </row>
    <row r="235">
      <c r="A235" s="320"/>
      <c r="B235" s="317"/>
      <c r="C235" s="301"/>
      <c r="D235" s="302"/>
      <c r="E235" s="301"/>
      <c r="F235" s="329"/>
      <c r="G235" s="331"/>
      <c r="H235" s="301"/>
      <c r="I235" s="329"/>
      <c r="J235" s="330"/>
      <c r="K235" s="301"/>
      <c r="L235" s="301"/>
      <c r="M235" s="302"/>
      <c r="N235" s="302"/>
      <c r="O235" s="302"/>
      <c r="P235" s="302"/>
      <c r="Q235" s="302"/>
      <c r="R235" s="302"/>
      <c r="S235" s="302"/>
      <c r="T235" s="302"/>
      <c r="U235" s="302"/>
      <c r="V235" s="302"/>
      <c r="W235" s="302"/>
      <c r="X235" s="302"/>
      <c r="Y235" s="302"/>
      <c r="Z235" s="302"/>
      <c r="AA235" s="302"/>
      <c r="AB235" s="302"/>
    </row>
    <row r="236">
      <c r="A236" s="320"/>
      <c r="B236" s="317"/>
      <c r="C236" s="301"/>
      <c r="D236" s="302"/>
      <c r="E236" s="301"/>
      <c r="F236" s="329"/>
      <c r="G236" s="331"/>
      <c r="H236" s="301"/>
      <c r="I236" s="329"/>
      <c r="J236" s="330"/>
      <c r="K236" s="301"/>
      <c r="L236" s="301"/>
      <c r="M236" s="302"/>
      <c r="N236" s="302"/>
      <c r="O236" s="302"/>
      <c r="P236" s="302"/>
      <c r="Q236" s="302"/>
      <c r="R236" s="302"/>
      <c r="S236" s="302"/>
      <c r="T236" s="302"/>
      <c r="U236" s="302"/>
      <c r="V236" s="302"/>
      <c r="W236" s="302"/>
      <c r="X236" s="302"/>
      <c r="Y236" s="302"/>
      <c r="Z236" s="302"/>
      <c r="AA236" s="302"/>
      <c r="AB236" s="302"/>
    </row>
    <row r="237">
      <c r="A237" s="320"/>
      <c r="B237" s="317"/>
      <c r="C237" s="301"/>
      <c r="D237" s="302"/>
      <c r="E237" s="301"/>
      <c r="F237" s="329"/>
      <c r="G237" s="331"/>
      <c r="H237" s="301"/>
      <c r="I237" s="329"/>
      <c r="J237" s="330"/>
      <c r="K237" s="301"/>
      <c r="L237" s="301"/>
      <c r="M237" s="302"/>
      <c r="N237" s="302"/>
      <c r="O237" s="302"/>
      <c r="P237" s="302"/>
      <c r="Q237" s="302"/>
      <c r="R237" s="302"/>
      <c r="S237" s="302"/>
      <c r="T237" s="302"/>
      <c r="U237" s="302"/>
      <c r="V237" s="302"/>
      <c r="W237" s="302"/>
      <c r="X237" s="302"/>
      <c r="Y237" s="302"/>
      <c r="Z237" s="302"/>
      <c r="AA237" s="302"/>
      <c r="AB237" s="302"/>
    </row>
    <row r="238">
      <c r="A238" s="320"/>
      <c r="B238" s="317"/>
      <c r="C238" s="301"/>
      <c r="D238" s="302"/>
      <c r="E238" s="301"/>
      <c r="F238" s="329"/>
      <c r="G238" s="331"/>
      <c r="H238" s="301"/>
      <c r="I238" s="329"/>
      <c r="J238" s="330"/>
      <c r="K238" s="301"/>
      <c r="L238" s="301"/>
      <c r="M238" s="302"/>
      <c r="N238" s="302"/>
      <c r="O238" s="302"/>
      <c r="P238" s="302"/>
      <c r="Q238" s="302"/>
      <c r="R238" s="302"/>
      <c r="S238" s="302"/>
      <c r="T238" s="302"/>
      <c r="U238" s="302"/>
      <c r="V238" s="302"/>
      <c r="W238" s="302"/>
      <c r="X238" s="302"/>
      <c r="Y238" s="302"/>
      <c r="Z238" s="302"/>
      <c r="AA238" s="302"/>
      <c r="AB238" s="302"/>
    </row>
    <row r="239">
      <c r="A239" s="320"/>
      <c r="B239" s="317"/>
      <c r="C239" s="301"/>
      <c r="D239" s="302"/>
      <c r="E239" s="301"/>
      <c r="F239" s="329"/>
      <c r="G239" s="331"/>
      <c r="H239" s="301"/>
      <c r="I239" s="329"/>
      <c r="J239" s="330"/>
      <c r="K239" s="301"/>
      <c r="L239" s="301"/>
      <c r="M239" s="302"/>
      <c r="N239" s="302"/>
      <c r="O239" s="302"/>
      <c r="P239" s="302"/>
      <c r="Q239" s="302"/>
      <c r="R239" s="302"/>
      <c r="S239" s="302"/>
      <c r="T239" s="302"/>
      <c r="U239" s="302"/>
      <c r="V239" s="302"/>
      <c r="W239" s="302"/>
      <c r="X239" s="302"/>
      <c r="Y239" s="302"/>
      <c r="Z239" s="302"/>
      <c r="AA239" s="302"/>
      <c r="AB239" s="302"/>
    </row>
    <row r="240">
      <c r="A240" s="320"/>
      <c r="B240" s="317"/>
      <c r="C240" s="301"/>
      <c r="D240" s="302"/>
      <c r="E240" s="301"/>
      <c r="F240" s="329"/>
      <c r="G240" s="331"/>
      <c r="H240" s="301"/>
      <c r="I240" s="329"/>
      <c r="J240" s="330"/>
      <c r="K240" s="301"/>
      <c r="L240" s="301"/>
      <c r="M240" s="302"/>
      <c r="N240" s="302"/>
      <c r="O240" s="302"/>
      <c r="P240" s="302"/>
      <c r="Q240" s="302"/>
      <c r="R240" s="302"/>
      <c r="S240" s="302"/>
      <c r="T240" s="302"/>
      <c r="U240" s="302"/>
      <c r="V240" s="302"/>
      <c r="W240" s="302"/>
      <c r="X240" s="302"/>
      <c r="Y240" s="302"/>
      <c r="Z240" s="302"/>
      <c r="AA240" s="302"/>
      <c r="AB240" s="302"/>
    </row>
    <row r="241">
      <c r="A241" s="320"/>
      <c r="B241" s="317"/>
      <c r="C241" s="301"/>
      <c r="D241" s="302"/>
      <c r="E241" s="301"/>
      <c r="F241" s="329"/>
      <c r="G241" s="331"/>
      <c r="H241" s="301"/>
      <c r="I241" s="329"/>
      <c r="J241" s="330"/>
      <c r="K241" s="301"/>
      <c r="L241" s="301"/>
      <c r="M241" s="302"/>
      <c r="N241" s="302"/>
      <c r="O241" s="302"/>
      <c r="P241" s="302"/>
      <c r="Q241" s="302"/>
      <c r="R241" s="302"/>
      <c r="S241" s="302"/>
      <c r="T241" s="302"/>
      <c r="U241" s="302"/>
      <c r="V241" s="302"/>
      <c r="W241" s="302"/>
      <c r="X241" s="302"/>
      <c r="Y241" s="302"/>
      <c r="Z241" s="302"/>
      <c r="AA241" s="302"/>
      <c r="AB241" s="302"/>
    </row>
    <row r="242">
      <c r="A242" s="320"/>
      <c r="B242" s="317"/>
      <c r="C242" s="301"/>
      <c r="D242" s="302"/>
      <c r="E242" s="301"/>
      <c r="F242" s="329"/>
      <c r="G242" s="301"/>
      <c r="H242" s="301"/>
      <c r="I242" s="329"/>
      <c r="J242" s="330"/>
      <c r="K242" s="301"/>
      <c r="L242" s="301"/>
      <c r="M242" s="302"/>
      <c r="N242" s="302"/>
      <c r="O242" s="302"/>
      <c r="P242" s="302"/>
      <c r="Q242" s="302"/>
      <c r="R242" s="302"/>
      <c r="S242" s="302"/>
      <c r="T242" s="302"/>
      <c r="U242" s="302"/>
      <c r="V242" s="302"/>
      <c r="W242" s="302"/>
      <c r="X242" s="302"/>
      <c r="Y242" s="302"/>
      <c r="Z242" s="302"/>
      <c r="AA242" s="302"/>
      <c r="AB242" s="302"/>
    </row>
    <row r="243">
      <c r="A243" s="320"/>
      <c r="B243" s="317"/>
      <c r="C243" s="301"/>
      <c r="D243" s="302"/>
      <c r="E243" s="301"/>
      <c r="F243" s="329"/>
      <c r="G243" s="301"/>
      <c r="H243" s="301"/>
      <c r="I243" s="329"/>
      <c r="J243" s="330"/>
      <c r="K243" s="301"/>
      <c r="L243" s="301"/>
      <c r="M243" s="302"/>
      <c r="N243" s="302"/>
      <c r="O243" s="302"/>
      <c r="P243" s="302"/>
      <c r="Q243" s="302"/>
      <c r="R243" s="302"/>
      <c r="S243" s="302"/>
      <c r="T243" s="302"/>
      <c r="U243" s="302"/>
      <c r="V243" s="302"/>
      <c r="W243" s="302"/>
      <c r="X243" s="302"/>
      <c r="Y243" s="302"/>
      <c r="Z243" s="302"/>
      <c r="AA243" s="302"/>
      <c r="AB243" s="302"/>
    </row>
    <row r="244">
      <c r="A244" s="320"/>
      <c r="B244" s="317"/>
      <c r="C244" s="301"/>
      <c r="D244" s="302"/>
      <c r="E244" s="301"/>
      <c r="F244" s="329"/>
      <c r="G244" s="301"/>
      <c r="H244" s="301"/>
      <c r="I244" s="329"/>
      <c r="J244" s="330"/>
      <c r="K244" s="301"/>
      <c r="L244" s="301"/>
      <c r="M244" s="302"/>
      <c r="N244" s="302"/>
      <c r="O244" s="302"/>
      <c r="P244" s="302"/>
      <c r="Q244" s="302"/>
      <c r="R244" s="302"/>
      <c r="S244" s="302"/>
      <c r="T244" s="302"/>
      <c r="U244" s="302"/>
      <c r="V244" s="302"/>
      <c r="W244" s="302"/>
      <c r="X244" s="302"/>
      <c r="Y244" s="302"/>
      <c r="Z244" s="302"/>
      <c r="AA244" s="302"/>
      <c r="AB244" s="302"/>
    </row>
    <row r="245">
      <c r="A245" s="320"/>
      <c r="B245" s="317"/>
      <c r="C245" s="301"/>
      <c r="D245" s="302"/>
      <c r="E245" s="301"/>
      <c r="F245" s="329"/>
      <c r="G245" s="301"/>
      <c r="H245" s="301"/>
      <c r="I245" s="329"/>
      <c r="J245" s="330"/>
      <c r="K245" s="301"/>
      <c r="L245" s="301"/>
      <c r="M245" s="302"/>
      <c r="N245" s="302"/>
      <c r="O245" s="302"/>
      <c r="P245" s="302"/>
      <c r="Q245" s="302"/>
      <c r="R245" s="302"/>
      <c r="S245" s="302"/>
      <c r="T245" s="302"/>
      <c r="U245" s="302"/>
      <c r="V245" s="302"/>
      <c r="W245" s="302"/>
      <c r="X245" s="302"/>
      <c r="Y245" s="302"/>
      <c r="Z245" s="302"/>
      <c r="AA245" s="302"/>
      <c r="AB245" s="302"/>
    </row>
    <row r="246">
      <c r="A246" s="320"/>
      <c r="B246" s="317"/>
      <c r="C246" s="301"/>
      <c r="D246" s="302"/>
      <c r="E246" s="301"/>
      <c r="F246" s="329"/>
      <c r="G246" s="301"/>
      <c r="H246" s="301"/>
      <c r="I246" s="329"/>
      <c r="J246" s="330"/>
      <c r="K246" s="301"/>
      <c r="L246" s="301"/>
      <c r="M246" s="302"/>
      <c r="N246" s="302"/>
      <c r="O246" s="302"/>
      <c r="P246" s="302"/>
      <c r="Q246" s="302"/>
      <c r="R246" s="302"/>
      <c r="S246" s="302"/>
      <c r="T246" s="302"/>
      <c r="U246" s="302"/>
      <c r="V246" s="302"/>
      <c r="W246" s="302"/>
      <c r="X246" s="302"/>
      <c r="Y246" s="302"/>
      <c r="Z246" s="302"/>
      <c r="AA246" s="302"/>
      <c r="AB246" s="302"/>
    </row>
    <row r="247">
      <c r="A247" s="320"/>
      <c r="B247" s="317"/>
      <c r="C247" s="301"/>
      <c r="D247" s="302"/>
      <c r="E247" s="301"/>
      <c r="F247" s="329"/>
      <c r="G247" s="301"/>
      <c r="H247" s="301"/>
      <c r="I247" s="329"/>
      <c r="J247" s="330"/>
      <c r="K247" s="301"/>
      <c r="L247" s="301"/>
      <c r="M247" s="302"/>
      <c r="N247" s="302"/>
      <c r="O247" s="302"/>
      <c r="P247" s="302"/>
      <c r="Q247" s="302"/>
      <c r="R247" s="302"/>
      <c r="S247" s="302"/>
      <c r="T247" s="302"/>
      <c r="U247" s="302"/>
      <c r="V247" s="302"/>
      <c r="W247" s="302"/>
      <c r="X247" s="302"/>
      <c r="Y247" s="302"/>
      <c r="Z247" s="302"/>
      <c r="AA247" s="302"/>
      <c r="AB247" s="302"/>
    </row>
    <row r="248">
      <c r="A248" s="320"/>
      <c r="B248" s="317"/>
      <c r="C248" s="301"/>
      <c r="D248" s="302"/>
      <c r="E248" s="301"/>
      <c r="F248" s="329"/>
      <c r="G248" s="301"/>
      <c r="H248" s="301"/>
      <c r="I248" s="329"/>
      <c r="J248" s="330"/>
      <c r="K248" s="301"/>
      <c r="L248" s="301"/>
      <c r="M248" s="302"/>
      <c r="N248" s="302"/>
      <c r="O248" s="302"/>
      <c r="P248" s="302"/>
      <c r="Q248" s="302"/>
      <c r="R248" s="302"/>
      <c r="S248" s="302"/>
      <c r="T248" s="302"/>
      <c r="U248" s="302"/>
      <c r="V248" s="302"/>
      <c r="W248" s="302"/>
      <c r="X248" s="302"/>
      <c r="Y248" s="302"/>
      <c r="Z248" s="302"/>
      <c r="AA248" s="302"/>
      <c r="AB248" s="302"/>
    </row>
    <row r="249">
      <c r="A249" s="320"/>
      <c r="B249" s="317"/>
      <c r="C249" s="301"/>
      <c r="D249" s="302"/>
      <c r="E249" s="301"/>
      <c r="F249" s="329"/>
      <c r="G249" s="301"/>
      <c r="H249" s="301"/>
      <c r="I249" s="329"/>
      <c r="J249" s="330"/>
      <c r="K249" s="301"/>
      <c r="L249" s="301"/>
      <c r="M249" s="302"/>
      <c r="N249" s="302"/>
      <c r="O249" s="302"/>
      <c r="P249" s="302"/>
      <c r="Q249" s="302"/>
      <c r="R249" s="302"/>
      <c r="S249" s="302"/>
      <c r="T249" s="302"/>
      <c r="U249" s="302"/>
      <c r="V249" s="302"/>
      <c r="W249" s="302"/>
      <c r="X249" s="302"/>
      <c r="Y249" s="302"/>
      <c r="Z249" s="302"/>
      <c r="AA249" s="302"/>
      <c r="AB249" s="302"/>
    </row>
    <row r="250">
      <c r="A250" s="320"/>
      <c r="B250" s="317"/>
      <c r="C250" s="301"/>
      <c r="D250" s="302"/>
      <c r="E250" s="301"/>
      <c r="F250" s="329"/>
      <c r="G250" s="301"/>
      <c r="H250" s="301"/>
      <c r="I250" s="329"/>
      <c r="J250" s="330"/>
      <c r="K250" s="301"/>
      <c r="L250" s="301"/>
      <c r="M250" s="302"/>
      <c r="N250" s="302"/>
      <c r="O250" s="302"/>
      <c r="P250" s="302"/>
      <c r="Q250" s="302"/>
      <c r="R250" s="302"/>
      <c r="S250" s="302"/>
      <c r="T250" s="302"/>
      <c r="U250" s="302"/>
      <c r="V250" s="302"/>
      <c r="W250" s="302"/>
      <c r="X250" s="302"/>
      <c r="Y250" s="302"/>
      <c r="Z250" s="302"/>
      <c r="AA250" s="302"/>
      <c r="AB250" s="302"/>
    </row>
    <row r="251">
      <c r="A251" s="320"/>
      <c r="B251" s="317"/>
      <c r="C251" s="301"/>
      <c r="D251" s="302"/>
      <c r="E251" s="301"/>
      <c r="F251" s="329"/>
      <c r="G251" s="301"/>
      <c r="H251" s="301"/>
      <c r="I251" s="329"/>
      <c r="J251" s="330"/>
      <c r="K251" s="301"/>
      <c r="L251" s="301"/>
      <c r="M251" s="302"/>
      <c r="N251" s="302"/>
      <c r="O251" s="302"/>
      <c r="P251" s="302"/>
      <c r="Q251" s="302"/>
      <c r="R251" s="302"/>
      <c r="S251" s="302"/>
      <c r="T251" s="302"/>
      <c r="U251" s="302"/>
      <c r="V251" s="302"/>
      <c r="W251" s="302"/>
      <c r="X251" s="302"/>
      <c r="Y251" s="302"/>
      <c r="Z251" s="302"/>
      <c r="AA251" s="302"/>
      <c r="AB251" s="302"/>
    </row>
    <row r="252">
      <c r="A252" s="320"/>
      <c r="B252" s="317"/>
      <c r="C252" s="301"/>
      <c r="D252" s="302"/>
      <c r="E252" s="301"/>
      <c r="F252" s="329"/>
      <c r="G252" s="301"/>
      <c r="H252" s="301"/>
      <c r="I252" s="329"/>
      <c r="J252" s="330"/>
      <c r="K252" s="301"/>
      <c r="L252" s="301"/>
      <c r="M252" s="302"/>
      <c r="N252" s="302"/>
      <c r="O252" s="302"/>
      <c r="P252" s="302"/>
      <c r="Q252" s="302"/>
      <c r="R252" s="302"/>
      <c r="S252" s="302"/>
      <c r="T252" s="302"/>
      <c r="U252" s="302"/>
      <c r="V252" s="302"/>
      <c r="W252" s="302"/>
      <c r="X252" s="302"/>
      <c r="Y252" s="302"/>
      <c r="Z252" s="302"/>
      <c r="AA252" s="302"/>
      <c r="AB252" s="302"/>
    </row>
    <row r="253">
      <c r="A253" s="320"/>
      <c r="B253" s="317"/>
      <c r="C253" s="301"/>
      <c r="D253" s="302"/>
      <c r="E253" s="301"/>
      <c r="F253" s="329"/>
      <c r="G253" s="301"/>
      <c r="H253" s="301"/>
      <c r="I253" s="329"/>
      <c r="J253" s="330"/>
      <c r="K253" s="301"/>
      <c r="L253" s="301"/>
      <c r="M253" s="302"/>
      <c r="N253" s="302"/>
      <c r="O253" s="302"/>
      <c r="P253" s="302"/>
      <c r="Q253" s="302"/>
      <c r="R253" s="302"/>
      <c r="S253" s="302"/>
      <c r="T253" s="302"/>
      <c r="U253" s="302"/>
      <c r="V253" s="302"/>
      <c r="W253" s="302"/>
      <c r="X253" s="302"/>
      <c r="Y253" s="302"/>
      <c r="Z253" s="302"/>
      <c r="AA253" s="302"/>
      <c r="AB253" s="302"/>
    </row>
    <row r="254">
      <c r="A254" s="320"/>
      <c r="B254" s="317"/>
      <c r="C254" s="301"/>
      <c r="D254" s="302"/>
      <c r="E254" s="301"/>
      <c r="F254" s="329"/>
      <c r="G254" s="301"/>
      <c r="H254" s="301"/>
      <c r="I254" s="329"/>
      <c r="J254" s="330"/>
      <c r="K254" s="301"/>
      <c r="L254" s="301"/>
      <c r="M254" s="302"/>
      <c r="N254" s="302"/>
      <c r="O254" s="302"/>
      <c r="P254" s="302"/>
      <c r="Q254" s="302"/>
      <c r="R254" s="302"/>
      <c r="S254" s="302"/>
      <c r="T254" s="302"/>
      <c r="U254" s="302"/>
      <c r="V254" s="302"/>
      <c r="W254" s="302"/>
      <c r="X254" s="302"/>
      <c r="Y254" s="302"/>
      <c r="Z254" s="302"/>
      <c r="AA254" s="302"/>
      <c r="AB254" s="302"/>
    </row>
    <row r="255">
      <c r="A255" s="320"/>
      <c r="B255" s="317"/>
      <c r="C255" s="301"/>
      <c r="D255" s="302"/>
      <c r="E255" s="301"/>
      <c r="F255" s="329"/>
      <c r="G255" s="301"/>
      <c r="H255" s="301"/>
      <c r="I255" s="329"/>
      <c r="J255" s="330"/>
      <c r="K255" s="301"/>
      <c r="L255" s="301"/>
      <c r="M255" s="302"/>
      <c r="N255" s="302"/>
      <c r="O255" s="302"/>
      <c r="P255" s="302"/>
      <c r="Q255" s="302"/>
      <c r="R255" s="302"/>
      <c r="S255" s="302"/>
      <c r="T255" s="302"/>
      <c r="U255" s="302"/>
      <c r="V255" s="302"/>
      <c r="W255" s="302"/>
      <c r="X255" s="302"/>
      <c r="Y255" s="302"/>
      <c r="Z255" s="302"/>
      <c r="AA255" s="302"/>
      <c r="AB255" s="302"/>
    </row>
    <row r="256">
      <c r="A256" s="320"/>
      <c r="B256" s="317"/>
      <c r="C256" s="301"/>
      <c r="D256" s="302"/>
      <c r="E256" s="301"/>
      <c r="F256" s="329"/>
      <c r="G256" s="301"/>
      <c r="H256" s="301"/>
      <c r="I256" s="329"/>
      <c r="J256" s="330"/>
      <c r="K256" s="301"/>
      <c r="L256" s="301"/>
      <c r="M256" s="302"/>
      <c r="N256" s="302"/>
      <c r="O256" s="302"/>
      <c r="P256" s="302"/>
      <c r="Q256" s="302"/>
      <c r="R256" s="302"/>
      <c r="S256" s="302"/>
      <c r="T256" s="302"/>
      <c r="U256" s="302"/>
      <c r="V256" s="302"/>
      <c r="W256" s="302"/>
      <c r="X256" s="302"/>
      <c r="Y256" s="302"/>
      <c r="Z256" s="302"/>
      <c r="AA256" s="302"/>
      <c r="AB256" s="302"/>
    </row>
    <row r="257">
      <c r="A257" s="320"/>
      <c r="B257" s="317"/>
      <c r="C257" s="301"/>
      <c r="D257" s="302"/>
      <c r="E257" s="301"/>
      <c r="F257" s="329"/>
      <c r="G257" s="301"/>
      <c r="H257" s="301"/>
      <c r="I257" s="329"/>
      <c r="J257" s="330"/>
      <c r="K257" s="301"/>
      <c r="L257" s="301"/>
      <c r="M257" s="302"/>
      <c r="N257" s="302"/>
      <c r="O257" s="302"/>
      <c r="P257" s="302"/>
      <c r="Q257" s="302"/>
      <c r="R257" s="302"/>
      <c r="S257" s="302"/>
      <c r="T257" s="302"/>
      <c r="U257" s="302"/>
      <c r="V257" s="302"/>
      <c r="W257" s="302"/>
      <c r="X257" s="302"/>
      <c r="Y257" s="302"/>
      <c r="Z257" s="302"/>
      <c r="AA257" s="302"/>
      <c r="AB257" s="302"/>
    </row>
    <row r="258">
      <c r="A258" s="320"/>
      <c r="B258" s="317"/>
      <c r="C258" s="301"/>
      <c r="D258" s="302"/>
      <c r="E258" s="301"/>
      <c r="F258" s="329"/>
      <c r="G258" s="301"/>
      <c r="H258" s="301"/>
      <c r="I258" s="329"/>
      <c r="J258" s="330"/>
      <c r="K258" s="301"/>
      <c r="L258" s="301"/>
      <c r="M258" s="302"/>
      <c r="N258" s="302"/>
      <c r="O258" s="302"/>
      <c r="P258" s="302"/>
      <c r="Q258" s="302"/>
      <c r="R258" s="302"/>
      <c r="S258" s="302"/>
      <c r="T258" s="302"/>
      <c r="U258" s="302"/>
      <c r="V258" s="302"/>
      <c r="W258" s="302"/>
      <c r="X258" s="302"/>
      <c r="Y258" s="302"/>
      <c r="Z258" s="302"/>
      <c r="AA258" s="302"/>
      <c r="AB258" s="302"/>
    </row>
    <row r="259">
      <c r="A259" s="320"/>
      <c r="B259" s="317"/>
      <c r="C259" s="301"/>
      <c r="D259" s="302"/>
      <c r="E259" s="301"/>
      <c r="F259" s="329"/>
      <c r="G259" s="301"/>
      <c r="H259" s="301"/>
      <c r="I259" s="329"/>
      <c r="J259" s="330"/>
      <c r="K259" s="301"/>
      <c r="L259" s="301"/>
      <c r="M259" s="302"/>
      <c r="N259" s="302"/>
      <c r="O259" s="302"/>
      <c r="P259" s="302"/>
      <c r="Q259" s="302"/>
      <c r="R259" s="302"/>
      <c r="S259" s="302"/>
      <c r="T259" s="302"/>
      <c r="U259" s="302"/>
      <c r="V259" s="302"/>
      <c r="W259" s="302"/>
      <c r="X259" s="302"/>
      <c r="Y259" s="302"/>
      <c r="Z259" s="302"/>
      <c r="AA259" s="302"/>
      <c r="AB259" s="302"/>
    </row>
    <row r="260">
      <c r="A260" s="320"/>
      <c r="B260" s="317"/>
      <c r="C260" s="301"/>
      <c r="D260" s="302"/>
      <c r="E260" s="301"/>
      <c r="F260" s="329"/>
      <c r="G260" s="301"/>
      <c r="H260" s="301"/>
      <c r="I260" s="329"/>
      <c r="J260" s="330"/>
      <c r="K260" s="301"/>
      <c r="L260" s="301"/>
      <c r="M260" s="302"/>
      <c r="N260" s="302"/>
      <c r="O260" s="302"/>
      <c r="P260" s="302"/>
      <c r="Q260" s="302"/>
      <c r="R260" s="302"/>
      <c r="S260" s="302"/>
      <c r="T260" s="302"/>
      <c r="U260" s="302"/>
      <c r="V260" s="302"/>
      <c r="W260" s="302"/>
      <c r="X260" s="302"/>
      <c r="Y260" s="302"/>
      <c r="Z260" s="302"/>
      <c r="AA260" s="302"/>
      <c r="AB260" s="302"/>
    </row>
    <row r="261">
      <c r="A261" s="320"/>
      <c r="B261" s="317"/>
      <c r="C261" s="301"/>
      <c r="D261" s="302"/>
      <c r="E261" s="301"/>
      <c r="F261" s="329"/>
      <c r="G261" s="301"/>
      <c r="H261" s="301"/>
      <c r="I261" s="329"/>
      <c r="J261" s="330"/>
      <c r="K261" s="301"/>
      <c r="L261" s="301"/>
      <c r="M261" s="302"/>
      <c r="N261" s="302"/>
      <c r="O261" s="302"/>
      <c r="P261" s="302"/>
      <c r="Q261" s="302"/>
      <c r="R261" s="302"/>
      <c r="S261" s="302"/>
      <c r="T261" s="302"/>
      <c r="U261" s="302"/>
      <c r="V261" s="302"/>
      <c r="W261" s="302"/>
      <c r="X261" s="302"/>
      <c r="Y261" s="302"/>
      <c r="Z261" s="302"/>
      <c r="AA261" s="302"/>
      <c r="AB261" s="302"/>
    </row>
    <row r="262">
      <c r="A262" s="320"/>
      <c r="B262" s="317"/>
      <c r="C262" s="301"/>
      <c r="D262" s="302"/>
      <c r="E262" s="301"/>
      <c r="F262" s="329"/>
      <c r="G262" s="301"/>
      <c r="H262" s="301"/>
      <c r="I262" s="329"/>
      <c r="J262" s="330"/>
      <c r="K262" s="301"/>
      <c r="L262" s="301"/>
      <c r="M262" s="302"/>
      <c r="N262" s="302"/>
      <c r="O262" s="302"/>
      <c r="P262" s="302"/>
      <c r="Q262" s="302"/>
      <c r="R262" s="302"/>
      <c r="S262" s="302"/>
      <c r="T262" s="302"/>
      <c r="U262" s="302"/>
      <c r="V262" s="302"/>
      <c r="W262" s="302"/>
      <c r="X262" s="302"/>
      <c r="Y262" s="302"/>
      <c r="Z262" s="302"/>
      <c r="AA262" s="302"/>
      <c r="AB262" s="302"/>
    </row>
    <row r="263">
      <c r="A263" s="320"/>
      <c r="B263" s="317"/>
      <c r="C263" s="301"/>
      <c r="D263" s="302"/>
      <c r="E263" s="301"/>
      <c r="F263" s="329"/>
      <c r="G263" s="301"/>
      <c r="H263" s="301"/>
      <c r="I263" s="329"/>
      <c r="J263" s="330"/>
      <c r="K263" s="301"/>
      <c r="L263" s="301"/>
      <c r="M263" s="302"/>
      <c r="N263" s="302"/>
      <c r="O263" s="302"/>
      <c r="P263" s="302"/>
      <c r="Q263" s="302"/>
      <c r="R263" s="302"/>
      <c r="S263" s="302"/>
      <c r="T263" s="302"/>
      <c r="U263" s="302"/>
      <c r="V263" s="302"/>
      <c r="W263" s="302"/>
      <c r="X263" s="302"/>
      <c r="Y263" s="302"/>
      <c r="Z263" s="302"/>
      <c r="AA263" s="302"/>
      <c r="AB263" s="302"/>
    </row>
    <row r="264">
      <c r="A264" s="320"/>
      <c r="B264" s="317"/>
      <c r="C264" s="301"/>
      <c r="D264" s="302"/>
      <c r="E264" s="301"/>
      <c r="F264" s="329"/>
      <c r="G264" s="301"/>
      <c r="H264" s="301"/>
      <c r="I264" s="329"/>
      <c r="J264" s="330"/>
      <c r="K264" s="301"/>
      <c r="L264" s="301"/>
      <c r="M264" s="302"/>
      <c r="N264" s="302"/>
      <c r="O264" s="302"/>
      <c r="P264" s="302"/>
      <c r="Q264" s="302"/>
      <c r="R264" s="302"/>
      <c r="S264" s="302"/>
      <c r="T264" s="302"/>
      <c r="U264" s="302"/>
      <c r="V264" s="302"/>
      <c r="W264" s="302"/>
      <c r="X264" s="302"/>
      <c r="Y264" s="302"/>
      <c r="Z264" s="302"/>
      <c r="AA264" s="302"/>
      <c r="AB264" s="302"/>
    </row>
    <row r="265">
      <c r="A265" s="320"/>
      <c r="B265" s="317"/>
      <c r="C265" s="301"/>
      <c r="D265" s="302"/>
      <c r="E265" s="301"/>
      <c r="F265" s="329"/>
      <c r="G265" s="301"/>
      <c r="H265" s="301"/>
      <c r="I265" s="329"/>
      <c r="J265" s="330"/>
      <c r="K265" s="301"/>
      <c r="L265" s="301"/>
      <c r="M265" s="302"/>
      <c r="N265" s="302"/>
      <c r="O265" s="302"/>
      <c r="P265" s="302"/>
      <c r="Q265" s="302"/>
      <c r="R265" s="302"/>
      <c r="S265" s="302"/>
      <c r="T265" s="302"/>
      <c r="U265" s="302"/>
      <c r="V265" s="302"/>
      <c r="W265" s="302"/>
      <c r="X265" s="302"/>
      <c r="Y265" s="302"/>
      <c r="Z265" s="302"/>
      <c r="AA265" s="302"/>
      <c r="AB265" s="302"/>
    </row>
    <row r="266">
      <c r="A266" s="320"/>
      <c r="B266" s="317"/>
      <c r="C266" s="301"/>
      <c r="D266" s="302"/>
      <c r="E266" s="301"/>
      <c r="F266" s="329"/>
      <c r="G266" s="301"/>
      <c r="H266" s="301"/>
      <c r="I266" s="329"/>
      <c r="J266" s="330"/>
      <c r="K266" s="301"/>
      <c r="L266" s="301"/>
      <c r="M266" s="302"/>
      <c r="N266" s="302"/>
      <c r="O266" s="302"/>
      <c r="P266" s="302"/>
      <c r="Q266" s="302"/>
      <c r="R266" s="302"/>
      <c r="S266" s="302"/>
      <c r="T266" s="302"/>
      <c r="U266" s="302"/>
      <c r="V266" s="302"/>
      <c r="W266" s="302"/>
      <c r="X266" s="302"/>
      <c r="Y266" s="302"/>
      <c r="Z266" s="302"/>
      <c r="AA266" s="302"/>
      <c r="AB266" s="302"/>
    </row>
    <row r="267">
      <c r="A267" s="320"/>
      <c r="B267" s="317"/>
      <c r="C267" s="301"/>
      <c r="D267" s="302"/>
      <c r="E267" s="301"/>
      <c r="F267" s="329"/>
      <c r="G267" s="301"/>
      <c r="H267" s="301"/>
      <c r="I267" s="329"/>
      <c r="J267" s="330"/>
      <c r="K267" s="301"/>
      <c r="L267" s="301"/>
      <c r="M267" s="302"/>
      <c r="N267" s="302"/>
      <c r="O267" s="302"/>
      <c r="P267" s="302"/>
      <c r="Q267" s="302"/>
      <c r="R267" s="302"/>
      <c r="S267" s="302"/>
      <c r="T267" s="302"/>
      <c r="U267" s="302"/>
      <c r="V267" s="302"/>
      <c r="W267" s="302"/>
      <c r="X267" s="302"/>
      <c r="Y267" s="302"/>
      <c r="Z267" s="302"/>
      <c r="AA267" s="302"/>
      <c r="AB267" s="302"/>
    </row>
    <row r="268">
      <c r="A268" s="320"/>
      <c r="B268" s="317"/>
      <c r="C268" s="301"/>
      <c r="D268" s="302"/>
      <c r="E268" s="301"/>
      <c r="F268" s="329"/>
      <c r="G268" s="301"/>
      <c r="H268" s="301"/>
      <c r="I268" s="329"/>
      <c r="J268" s="330"/>
      <c r="K268" s="301"/>
      <c r="L268" s="301"/>
      <c r="M268" s="302"/>
      <c r="N268" s="302"/>
      <c r="O268" s="302"/>
      <c r="P268" s="302"/>
      <c r="Q268" s="302"/>
      <c r="R268" s="302"/>
      <c r="S268" s="302"/>
      <c r="T268" s="302"/>
      <c r="U268" s="302"/>
      <c r="V268" s="302"/>
      <c r="W268" s="302"/>
      <c r="X268" s="302"/>
      <c r="Y268" s="302"/>
      <c r="Z268" s="302"/>
      <c r="AA268" s="302"/>
      <c r="AB268" s="302"/>
    </row>
    <row r="269">
      <c r="A269" s="320"/>
      <c r="B269" s="317"/>
      <c r="C269" s="301"/>
      <c r="D269" s="302"/>
      <c r="E269" s="301"/>
      <c r="F269" s="329"/>
      <c r="G269" s="301"/>
      <c r="H269" s="301"/>
      <c r="I269" s="329"/>
      <c r="J269" s="330"/>
      <c r="K269" s="301"/>
      <c r="L269" s="301"/>
      <c r="M269" s="302"/>
      <c r="N269" s="302"/>
      <c r="O269" s="302"/>
      <c r="P269" s="302"/>
      <c r="Q269" s="302"/>
      <c r="R269" s="302"/>
      <c r="S269" s="302"/>
      <c r="T269" s="302"/>
      <c r="U269" s="302"/>
      <c r="V269" s="302"/>
      <c r="W269" s="302"/>
      <c r="X269" s="302"/>
      <c r="Y269" s="302"/>
      <c r="Z269" s="302"/>
      <c r="AA269" s="302"/>
      <c r="AB269" s="302"/>
    </row>
    <row r="270">
      <c r="A270" s="320"/>
      <c r="B270" s="317"/>
      <c r="C270" s="301"/>
      <c r="D270" s="302"/>
      <c r="E270" s="301"/>
      <c r="F270" s="329"/>
      <c r="G270" s="301"/>
      <c r="H270" s="301"/>
      <c r="I270" s="329"/>
      <c r="J270" s="330"/>
      <c r="K270" s="301"/>
      <c r="L270" s="301"/>
      <c r="M270" s="302"/>
      <c r="N270" s="302"/>
      <c r="O270" s="302"/>
      <c r="P270" s="302"/>
      <c r="Q270" s="302"/>
      <c r="R270" s="302"/>
      <c r="S270" s="302"/>
      <c r="T270" s="302"/>
      <c r="U270" s="302"/>
      <c r="V270" s="302"/>
      <c r="W270" s="302"/>
      <c r="X270" s="302"/>
      <c r="Y270" s="302"/>
      <c r="Z270" s="302"/>
      <c r="AA270" s="302"/>
      <c r="AB270" s="302"/>
    </row>
    <row r="271">
      <c r="A271" s="320"/>
      <c r="B271" s="317"/>
      <c r="C271" s="301"/>
      <c r="D271" s="302"/>
      <c r="E271" s="301"/>
      <c r="F271" s="329"/>
      <c r="G271" s="301"/>
      <c r="H271" s="301"/>
      <c r="I271" s="329"/>
      <c r="J271" s="330"/>
      <c r="K271" s="301"/>
      <c r="L271" s="301"/>
      <c r="M271" s="302"/>
      <c r="N271" s="302"/>
      <c r="O271" s="302"/>
      <c r="P271" s="302"/>
      <c r="Q271" s="302"/>
      <c r="R271" s="302"/>
      <c r="S271" s="302"/>
      <c r="T271" s="302"/>
      <c r="U271" s="302"/>
      <c r="V271" s="302"/>
      <c r="W271" s="302"/>
      <c r="X271" s="302"/>
      <c r="Y271" s="302"/>
      <c r="Z271" s="302"/>
      <c r="AA271" s="302"/>
      <c r="AB271" s="302"/>
    </row>
    <row r="272">
      <c r="A272" s="320"/>
      <c r="B272" s="317"/>
      <c r="C272" s="301"/>
      <c r="D272" s="302"/>
      <c r="E272" s="301"/>
      <c r="F272" s="329"/>
      <c r="G272" s="301"/>
      <c r="H272" s="301"/>
      <c r="I272" s="329"/>
      <c r="J272" s="330"/>
      <c r="K272" s="301"/>
      <c r="L272" s="301"/>
      <c r="M272" s="302"/>
      <c r="N272" s="302"/>
      <c r="O272" s="302"/>
      <c r="P272" s="302"/>
      <c r="Q272" s="302"/>
      <c r="R272" s="302"/>
      <c r="S272" s="302"/>
      <c r="T272" s="302"/>
      <c r="U272" s="302"/>
      <c r="V272" s="302"/>
      <c r="W272" s="302"/>
      <c r="X272" s="302"/>
      <c r="Y272" s="302"/>
      <c r="Z272" s="302"/>
      <c r="AA272" s="302"/>
      <c r="AB272" s="302"/>
    </row>
    <row r="273">
      <c r="A273" s="320"/>
      <c r="B273" s="317"/>
      <c r="C273" s="301"/>
      <c r="D273" s="302"/>
      <c r="E273" s="301"/>
      <c r="F273" s="329"/>
      <c r="G273" s="301"/>
      <c r="H273" s="301"/>
      <c r="I273" s="329"/>
      <c r="J273" s="330"/>
      <c r="K273" s="301"/>
      <c r="L273" s="301"/>
      <c r="M273" s="302"/>
      <c r="N273" s="302"/>
      <c r="O273" s="302"/>
      <c r="P273" s="302"/>
      <c r="Q273" s="302"/>
      <c r="R273" s="302"/>
      <c r="S273" s="302"/>
      <c r="T273" s="302"/>
      <c r="U273" s="302"/>
      <c r="V273" s="302"/>
      <c r="W273" s="302"/>
      <c r="X273" s="302"/>
      <c r="Y273" s="302"/>
      <c r="Z273" s="302"/>
      <c r="AA273" s="302"/>
      <c r="AB273" s="302"/>
    </row>
    <row r="274">
      <c r="A274" s="320"/>
      <c r="B274" s="317"/>
      <c r="C274" s="301"/>
      <c r="D274" s="302"/>
      <c r="E274" s="301"/>
      <c r="F274" s="329"/>
      <c r="G274" s="301"/>
      <c r="H274" s="301"/>
      <c r="I274" s="329"/>
      <c r="J274" s="330"/>
      <c r="K274" s="301"/>
      <c r="L274" s="301"/>
      <c r="M274" s="302"/>
      <c r="N274" s="302"/>
      <c r="O274" s="302"/>
      <c r="P274" s="302"/>
      <c r="Q274" s="302"/>
      <c r="R274" s="302"/>
      <c r="S274" s="302"/>
      <c r="T274" s="302"/>
      <c r="U274" s="302"/>
      <c r="V274" s="302"/>
      <c r="W274" s="302"/>
      <c r="X274" s="302"/>
      <c r="Y274" s="302"/>
      <c r="Z274" s="302"/>
      <c r="AA274" s="302"/>
      <c r="AB274" s="302"/>
    </row>
    <row r="275">
      <c r="A275" s="320"/>
      <c r="B275" s="317"/>
      <c r="C275" s="301"/>
      <c r="D275" s="302"/>
      <c r="E275" s="301"/>
      <c r="F275" s="329"/>
      <c r="G275" s="301"/>
      <c r="H275" s="301"/>
      <c r="I275" s="329"/>
      <c r="J275" s="330"/>
      <c r="K275" s="301"/>
      <c r="L275" s="301"/>
      <c r="M275" s="302"/>
      <c r="N275" s="302"/>
      <c r="O275" s="302"/>
      <c r="P275" s="302"/>
      <c r="Q275" s="302"/>
      <c r="R275" s="302"/>
      <c r="S275" s="302"/>
      <c r="T275" s="302"/>
      <c r="U275" s="302"/>
      <c r="V275" s="302"/>
      <c r="W275" s="302"/>
      <c r="X275" s="302"/>
      <c r="Y275" s="302"/>
      <c r="Z275" s="302"/>
      <c r="AA275" s="302"/>
      <c r="AB275" s="302"/>
    </row>
    <row r="276">
      <c r="A276" s="320"/>
      <c r="B276" s="317"/>
      <c r="C276" s="301"/>
      <c r="D276" s="302"/>
      <c r="E276" s="301"/>
      <c r="F276" s="329"/>
      <c r="G276" s="301"/>
      <c r="H276" s="301"/>
      <c r="I276" s="329"/>
      <c r="J276" s="330"/>
      <c r="K276" s="301"/>
      <c r="L276" s="301"/>
      <c r="M276" s="302"/>
      <c r="N276" s="302"/>
      <c r="O276" s="302"/>
      <c r="P276" s="302"/>
      <c r="Q276" s="302"/>
      <c r="R276" s="302"/>
      <c r="S276" s="302"/>
      <c r="T276" s="302"/>
      <c r="U276" s="302"/>
      <c r="V276" s="302"/>
      <c r="W276" s="302"/>
      <c r="X276" s="302"/>
      <c r="Y276" s="302"/>
      <c r="Z276" s="302"/>
      <c r="AA276" s="302"/>
      <c r="AB276" s="302"/>
    </row>
    <row r="277">
      <c r="A277" s="320"/>
      <c r="B277" s="317"/>
      <c r="C277" s="301"/>
      <c r="D277" s="302"/>
      <c r="E277" s="301"/>
      <c r="F277" s="329"/>
      <c r="G277" s="301"/>
      <c r="H277" s="301"/>
      <c r="I277" s="329"/>
      <c r="J277" s="330"/>
      <c r="K277" s="301"/>
      <c r="L277" s="301"/>
      <c r="M277" s="302"/>
      <c r="N277" s="302"/>
      <c r="O277" s="302"/>
      <c r="P277" s="302"/>
      <c r="Q277" s="302"/>
      <c r="R277" s="302"/>
      <c r="S277" s="302"/>
      <c r="T277" s="302"/>
      <c r="U277" s="302"/>
      <c r="V277" s="302"/>
      <c r="W277" s="302"/>
      <c r="X277" s="302"/>
      <c r="Y277" s="302"/>
      <c r="Z277" s="302"/>
      <c r="AA277" s="302"/>
      <c r="AB277" s="302"/>
    </row>
    <row r="278">
      <c r="A278" s="320"/>
      <c r="B278" s="317"/>
      <c r="C278" s="301"/>
      <c r="D278" s="302"/>
      <c r="E278" s="301"/>
      <c r="F278" s="329"/>
      <c r="G278" s="301"/>
      <c r="H278" s="301"/>
      <c r="I278" s="329"/>
      <c r="J278" s="330"/>
      <c r="K278" s="301"/>
      <c r="L278" s="301"/>
      <c r="M278" s="302"/>
      <c r="N278" s="302"/>
      <c r="O278" s="302"/>
      <c r="P278" s="302"/>
      <c r="Q278" s="302"/>
      <c r="R278" s="302"/>
      <c r="S278" s="302"/>
      <c r="T278" s="302"/>
      <c r="U278" s="302"/>
      <c r="V278" s="302"/>
      <c r="W278" s="302"/>
      <c r="X278" s="302"/>
      <c r="Y278" s="302"/>
      <c r="Z278" s="302"/>
      <c r="AA278" s="302"/>
      <c r="AB278" s="302"/>
    </row>
    <row r="279">
      <c r="A279" s="320"/>
      <c r="B279" s="317"/>
      <c r="C279" s="301"/>
      <c r="D279" s="302"/>
      <c r="E279" s="301"/>
      <c r="F279" s="329"/>
      <c r="G279" s="301"/>
      <c r="H279" s="301"/>
      <c r="I279" s="329"/>
      <c r="J279" s="330"/>
      <c r="K279" s="301"/>
      <c r="L279" s="301"/>
      <c r="M279" s="302"/>
      <c r="N279" s="302"/>
      <c r="O279" s="302"/>
      <c r="P279" s="302"/>
      <c r="Q279" s="302"/>
      <c r="R279" s="302"/>
      <c r="S279" s="302"/>
      <c r="T279" s="302"/>
      <c r="U279" s="302"/>
      <c r="V279" s="302"/>
      <c r="W279" s="302"/>
      <c r="X279" s="302"/>
      <c r="Y279" s="302"/>
      <c r="Z279" s="302"/>
      <c r="AA279" s="302"/>
      <c r="AB279" s="302"/>
    </row>
    <row r="280">
      <c r="A280" s="320"/>
      <c r="B280" s="317"/>
      <c r="C280" s="301"/>
      <c r="D280" s="302"/>
      <c r="E280" s="301"/>
      <c r="F280" s="329"/>
      <c r="G280" s="301"/>
      <c r="H280" s="301"/>
      <c r="I280" s="329"/>
      <c r="J280" s="330"/>
      <c r="K280" s="301"/>
      <c r="L280" s="301"/>
      <c r="M280" s="302"/>
      <c r="N280" s="302"/>
      <c r="O280" s="302"/>
      <c r="P280" s="302"/>
      <c r="Q280" s="302"/>
      <c r="R280" s="302"/>
      <c r="S280" s="302"/>
      <c r="T280" s="302"/>
      <c r="U280" s="302"/>
      <c r="V280" s="302"/>
      <c r="W280" s="302"/>
      <c r="X280" s="302"/>
      <c r="Y280" s="302"/>
      <c r="Z280" s="302"/>
      <c r="AA280" s="302"/>
      <c r="AB280" s="302"/>
    </row>
    <row r="281">
      <c r="A281" s="320"/>
      <c r="B281" s="317"/>
      <c r="C281" s="301"/>
      <c r="D281" s="302"/>
      <c r="E281" s="301"/>
      <c r="F281" s="329"/>
      <c r="G281" s="301"/>
      <c r="H281" s="301"/>
      <c r="I281" s="329"/>
      <c r="J281" s="330"/>
      <c r="K281" s="301"/>
      <c r="L281" s="301"/>
      <c r="M281" s="302"/>
      <c r="N281" s="302"/>
      <c r="O281" s="302"/>
      <c r="P281" s="302"/>
      <c r="Q281" s="302"/>
      <c r="R281" s="302"/>
      <c r="S281" s="302"/>
      <c r="T281" s="302"/>
      <c r="U281" s="302"/>
      <c r="V281" s="302"/>
      <c r="W281" s="302"/>
      <c r="X281" s="302"/>
      <c r="Y281" s="302"/>
      <c r="Z281" s="302"/>
      <c r="AA281" s="302"/>
      <c r="AB281" s="302"/>
    </row>
    <row r="282">
      <c r="A282" s="320"/>
      <c r="B282" s="317"/>
      <c r="C282" s="301"/>
      <c r="D282" s="302"/>
      <c r="E282" s="301"/>
      <c r="F282" s="329"/>
      <c r="G282" s="301"/>
      <c r="H282" s="301"/>
      <c r="I282" s="329"/>
      <c r="J282" s="330"/>
      <c r="K282" s="301"/>
      <c r="L282" s="301"/>
      <c r="M282" s="302"/>
      <c r="N282" s="302"/>
      <c r="O282" s="302"/>
      <c r="P282" s="302"/>
      <c r="Q282" s="302"/>
      <c r="R282" s="302"/>
      <c r="S282" s="302"/>
      <c r="T282" s="302"/>
      <c r="U282" s="302"/>
      <c r="V282" s="302"/>
      <c r="W282" s="302"/>
      <c r="X282" s="302"/>
      <c r="Y282" s="302"/>
      <c r="Z282" s="302"/>
      <c r="AA282" s="302"/>
      <c r="AB282" s="302"/>
    </row>
    <row r="283">
      <c r="A283" s="320"/>
      <c r="B283" s="317"/>
      <c r="C283" s="301"/>
      <c r="D283" s="302"/>
      <c r="E283" s="301"/>
      <c r="F283" s="329"/>
      <c r="G283" s="301"/>
      <c r="H283" s="301"/>
      <c r="I283" s="329"/>
      <c r="J283" s="330"/>
      <c r="K283" s="301"/>
      <c r="L283" s="301"/>
      <c r="M283" s="302"/>
      <c r="N283" s="302"/>
      <c r="O283" s="302"/>
      <c r="P283" s="302"/>
      <c r="Q283" s="302"/>
      <c r="R283" s="302"/>
      <c r="S283" s="302"/>
      <c r="T283" s="302"/>
      <c r="U283" s="302"/>
      <c r="V283" s="302"/>
      <c r="W283" s="302"/>
      <c r="X283" s="302"/>
      <c r="Y283" s="302"/>
      <c r="Z283" s="302"/>
      <c r="AA283" s="302"/>
      <c r="AB283" s="302"/>
    </row>
    <row r="284">
      <c r="A284" s="320"/>
      <c r="B284" s="317"/>
      <c r="C284" s="301"/>
      <c r="D284" s="302"/>
      <c r="E284" s="301"/>
      <c r="F284" s="329"/>
      <c r="G284" s="301"/>
      <c r="H284" s="301"/>
      <c r="I284" s="329"/>
      <c r="J284" s="330"/>
      <c r="K284" s="301"/>
      <c r="L284" s="301"/>
      <c r="M284" s="302"/>
      <c r="N284" s="302"/>
      <c r="O284" s="302"/>
      <c r="P284" s="302"/>
      <c r="Q284" s="302"/>
      <c r="R284" s="302"/>
      <c r="S284" s="302"/>
      <c r="T284" s="302"/>
      <c r="U284" s="302"/>
      <c r="V284" s="302"/>
      <c r="W284" s="302"/>
      <c r="X284" s="302"/>
      <c r="Y284" s="302"/>
      <c r="Z284" s="302"/>
      <c r="AA284" s="302"/>
      <c r="AB284" s="302"/>
    </row>
    <row r="285">
      <c r="A285" s="320"/>
      <c r="B285" s="317"/>
      <c r="C285" s="301"/>
      <c r="D285" s="302"/>
      <c r="E285" s="301"/>
      <c r="F285" s="329"/>
      <c r="G285" s="301"/>
      <c r="H285" s="301"/>
      <c r="I285" s="329"/>
      <c r="J285" s="330"/>
      <c r="K285" s="301"/>
      <c r="L285" s="301"/>
      <c r="M285" s="302"/>
      <c r="N285" s="302"/>
      <c r="O285" s="302"/>
      <c r="P285" s="302"/>
      <c r="Q285" s="302"/>
      <c r="R285" s="302"/>
      <c r="S285" s="302"/>
      <c r="T285" s="302"/>
      <c r="U285" s="302"/>
      <c r="V285" s="302"/>
      <c r="W285" s="302"/>
      <c r="X285" s="302"/>
      <c r="Y285" s="302"/>
      <c r="Z285" s="302"/>
      <c r="AA285" s="302"/>
      <c r="AB285" s="302"/>
    </row>
    <row r="286">
      <c r="A286" s="320"/>
      <c r="B286" s="317"/>
      <c r="C286" s="301"/>
      <c r="D286" s="302"/>
      <c r="E286" s="301"/>
      <c r="F286" s="329"/>
      <c r="G286" s="301"/>
      <c r="H286" s="301"/>
      <c r="I286" s="329"/>
      <c r="J286" s="330"/>
      <c r="K286" s="301"/>
      <c r="L286" s="301"/>
      <c r="M286" s="302"/>
      <c r="N286" s="302"/>
      <c r="O286" s="302"/>
      <c r="P286" s="302"/>
      <c r="Q286" s="302"/>
      <c r="R286" s="302"/>
      <c r="S286" s="302"/>
      <c r="T286" s="302"/>
      <c r="U286" s="302"/>
      <c r="V286" s="302"/>
      <c r="W286" s="302"/>
      <c r="X286" s="302"/>
      <c r="Y286" s="302"/>
      <c r="Z286" s="302"/>
      <c r="AA286" s="302"/>
      <c r="AB286" s="302"/>
    </row>
    <row r="287">
      <c r="A287" s="320"/>
      <c r="B287" s="317"/>
      <c r="C287" s="301"/>
      <c r="D287" s="302"/>
      <c r="E287" s="301"/>
      <c r="F287" s="329"/>
      <c r="G287" s="301"/>
      <c r="H287" s="301"/>
      <c r="I287" s="329"/>
      <c r="J287" s="330"/>
      <c r="K287" s="301"/>
      <c r="L287" s="301"/>
      <c r="M287" s="302"/>
      <c r="N287" s="302"/>
      <c r="O287" s="302"/>
      <c r="P287" s="302"/>
      <c r="Q287" s="302"/>
      <c r="R287" s="302"/>
      <c r="S287" s="302"/>
      <c r="T287" s="302"/>
      <c r="U287" s="302"/>
      <c r="V287" s="302"/>
      <c r="W287" s="302"/>
      <c r="X287" s="302"/>
      <c r="Y287" s="302"/>
      <c r="Z287" s="302"/>
      <c r="AA287" s="302"/>
      <c r="AB287" s="302"/>
    </row>
    <row r="288">
      <c r="A288" s="320"/>
      <c r="B288" s="317"/>
      <c r="C288" s="301"/>
      <c r="D288" s="302"/>
      <c r="E288" s="301"/>
      <c r="F288" s="329"/>
      <c r="G288" s="301"/>
      <c r="H288" s="301"/>
      <c r="I288" s="329"/>
      <c r="J288" s="330"/>
      <c r="K288" s="301"/>
      <c r="L288" s="301"/>
      <c r="M288" s="302"/>
      <c r="N288" s="302"/>
      <c r="O288" s="302"/>
      <c r="P288" s="302"/>
      <c r="Q288" s="302"/>
      <c r="R288" s="302"/>
      <c r="S288" s="302"/>
      <c r="T288" s="302"/>
      <c r="U288" s="302"/>
      <c r="V288" s="302"/>
      <c r="W288" s="302"/>
      <c r="X288" s="302"/>
      <c r="Y288" s="302"/>
      <c r="Z288" s="302"/>
      <c r="AA288" s="302"/>
      <c r="AB288" s="302"/>
    </row>
    <row r="289">
      <c r="A289" s="320"/>
      <c r="B289" s="317"/>
      <c r="C289" s="301"/>
      <c r="D289" s="302"/>
      <c r="E289" s="301"/>
      <c r="F289" s="329"/>
      <c r="G289" s="301"/>
      <c r="H289" s="301"/>
      <c r="I289" s="329"/>
      <c r="J289" s="330"/>
      <c r="K289" s="301"/>
      <c r="L289" s="301"/>
      <c r="M289" s="302"/>
      <c r="N289" s="302"/>
      <c r="O289" s="302"/>
      <c r="P289" s="302"/>
      <c r="Q289" s="302"/>
      <c r="R289" s="302"/>
      <c r="S289" s="302"/>
      <c r="T289" s="302"/>
      <c r="U289" s="302"/>
      <c r="V289" s="302"/>
      <c r="W289" s="302"/>
      <c r="X289" s="302"/>
      <c r="Y289" s="302"/>
      <c r="Z289" s="302"/>
      <c r="AA289" s="302"/>
      <c r="AB289" s="302"/>
    </row>
    <row r="290">
      <c r="A290" s="320"/>
      <c r="B290" s="317"/>
      <c r="C290" s="301"/>
      <c r="D290" s="302"/>
      <c r="E290" s="301"/>
      <c r="F290" s="329"/>
      <c r="G290" s="301"/>
      <c r="H290" s="301"/>
      <c r="I290" s="329"/>
      <c r="J290" s="330"/>
      <c r="K290" s="301"/>
      <c r="L290" s="301"/>
      <c r="M290" s="302"/>
      <c r="N290" s="302"/>
      <c r="O290" s="302"/>
      <c r="P290" s="302"/>
      <c r="Q290" s="302"/>
      <c r="R290" s="302"/>
      <c r="S290" s="302"/>
      <c r="T290" s="302"/>
      <c r="U290" s="302"/>
      <c r="V290" s="302"/>
      <c r="W290" s="302"/>
      <c r="X290" s="302"/>
      <c r="Y290" s="302"/>
      <c r="Z290" s="302"/>
      <c r="AA290" s="302"/>
      <c r="AB290" s="302"/>
    </row>
    <row r="291">
      <c r="A291" s="320"/>
      <c r="B291" s="317"/>
      <c r="C291" s="301"/>
      <c r="D291" s="302"/>
      <c r="E291" s="301"/>
      <c r="F291" s="329"/>
      <c r="G291" s="301"/>
      <c r="H291" s="301"/>
      <c r="I291" s="329"/>
      <c r="J291" s="330"/>
      <c r="K291" s="301"/>
      <c r="L291" s="301"/>
      <c r="M291" s="302"/>
      <c r="N291" s="302"/>
      <c r="O291" s="302"/>
      <c r="P291" s="302"/>
      <c r="Q291" s="302"/>
      <c r="R291" s="302"/>
      <c r="S291" s="302"/>
      <c r="T291" s="302"/>
      <c r="U291" s="302"/>
      <c r="V291" s="302"/>
      <c r="W291" s="302"/>
      <c r="X291" s="302"/>
      <c r="Y291" s="302"/>
      <c r="Z291" s="302"/>
      <c r="AA291" s="302"/>
      <c r="AB291" s="302"/>
    </row>
    <row r="292">
      <c r="A292" s="320"/>
      <c r="B292" s="317"/>
      <c r="C292" s="301"/>
      <c r="D292" s="302"/>
      <c r="E292" s="301"/>
      <c r="F292" s="329"/>
      <c r="G292" s="301"/>
      <c r="H292" s="301"/>
      <c r="I292" s="329"/>
      <c r="J292" s="330"/>
      <c r="K292" s="301"/>
      <c r="L292" s="301"/>
      <c r="M292" s="302"/>
      <c r="N292" s="302"/>
      <c r="O292" s="302"/>
      <c r="P292" s="302"/>
      <c r="Q292" s="302"/>
      <c r="R292" s="302"/>
      <c r="S292" s="302"/>
      <c r="T292" s="302"/>
      <c r="U292" s="302"/>
      <c r="V292" s="302"/>
      <c r="W292" s="302"/>
      <c r="X292" s="302"/>
      <c r="Y292" s="302"/>
      <c r="Z292" s="302"/>
      <c r="AA292" s="302"/>
      <c r="AB292" s="302"/>
    </row>
    <row r="293">
      <c r="A293" s="320"/>
      <c r="B293" s="317"/>
      <c r="C293" s="301"/>
      <c r="D293" s="302"/>
      <c r="E293" s="301"/>
      <c r="F293" s="329"/>
      <c r="G293" s="301"/>
      <c r="H293" s="301"/>
      <c r="I293" s="329"/>
      <c r="J293" s="330"/>
      <c r="K293" s="301"/>
      <c r="L293" s="301"/>
      <c r="M293" s="302"/>
      <c r="N293" s="302"/>
      <c r="O293" s="302"/>
      <c r="P293" s="302"/>
      <c r="Q293" s="302"/>
      <c r="R293" s="302"/>
      <c r="S293" s="302"/>
      <c r="T293" s="302"/>
      <c r="U293" s="302"/>
      <c r="V293" s="302"/>
      <c r="W293" s="302"/>
      <c r="X293" s="302"/>
      <c r="Y293" s="302"/>
      <c r="Z293" s="302"/>
      <c r="AA293" s="302"/>
      <c r="AB293" s="302"/>
    </row>
    <row r="294">
      <c r="A294" s="320"/>
      <c r="B294" s="317"/>
      <c r="C294" s="301"/>
      <c r="D294" s="302"/>
      <c r="E294" s="301"/>
      <c r="F294" s="329"/>
      <c r="G294" s="301"/>
      <c r="H294" s="301"/>
      <c r="I294" s="329"/>
      <c r="J294" s="330"/>
      <c r="K294" s="301"/>
      <c r="L294" s="301"/>
      <c r="M294" s="302"/>
      <c r="N294" s="302"/>
      <c r="O294" s="302"/>
      <c r="P294" s="302"/>
      <c r="Q294" s="302"/>
      <c r="R294" s="302"/>
      <c r="S294" s="302"/>
      <c r="T294" s="302"/>
      <c r="U294" s="302"/>
      <c r="V294" s="302"/>
      <c r="W294" s="302"/>
      <c r="X294" s="302"/>
      <c r="Y294" s="302"/>
      <c r="Z294" s="302"/>
      <c r="AA294" s="302"/>
      <c r="AB294" s="302"/>
    </row>
    <row r="295">
      <c r="A295" s="320"/>
      <c r="B295" s="317"/>
      <c r="C295" s="301"/>
      <c r="D295" s="302"/>
      <c r="E295" s="301"/>
      <c r="F295" s="329"/>
      <c r="G295" s="301"/>
      <c r="H295" s="301"/>
      <c r="I295" s="329"/>
      <c r="J295" s="330"/>
      <c r="K295" s="301"/>
      <c r="L295" s="301"/>
      <c r="M295" s="302"/>
      <c r="N295" s="302"/>
      <c r="O295" s="302"/>
      <c r="P295" s="302"/>
      <c r="Q295" s="302"/>
      <c r="R295" s="302"/>
      <c r="S295" s="302"/>
      <c r="T295" s="302"/>
      <c r="U295" s="302"/>
      <c r="V295" s="302"/>
      <c r="W295" s="302"/>
      <c r="X295" s="302"/>
      <c r="Y295" s="302"/>
      <c r="Z295" s="302"/>
      <c r="AA295" s="302"/>
      <c r="AB295" s="302"/>
    </row>
    <row r="296">
      <c r="A296" s="320"/>
      <c r="B296" s="317"/>
      <c r="C296" s="301"/>
      <c r="D296" s="302"/>
      <c r="E296" s="301"/>
      <c r="F296" s="329"/>
      <c r="G296" s="301"/>
      <c r="H296" s="301"/>
      <c r="I296" s="329"/>
      <c r="J296" s="330"/>
      <c r="K296" s="301"/>
      <c r="L296" s="301"/>
      <c r="M296" s="302"/>
      <c r="N296" s="302"/>
      <c r="O296" s="302"/>
      <c r="P296" s="302"/>
      <c r="Q296" s="302"/>
      <c r="R296" s="302"/>
      <c r="S296" s="302"/>
      <c r="T296" s="302"/>
      <c r="U296" s="302"/>
      <c r="V296" s="302"/>
      <c r="W296" s="302"/>
      <c r="X296" s="302"/>
      <c r="Y296" s="302"/>
      <c r="Z296" s="302"/>
      <c r="AA296" s="302"/>
      <c r="AB296" s="302"/>
    </row>
    <row r="297">
      <c r="A297" s="320"/>
      <c r="B297" s="317"/>
      <c r="C297" s="301"/>
      <c r="D297" s="302"/>
      <c r="E297" s="301"/>
      <c r="F297" s="329"/>
      <c r="G297" s="301"/>
      <c r="H297" s="301"/>
      <c r="I297" s="329"/>
      <c r="J297" s="330"/>
      <c r="K297" s="301"/>
      <c r="L297" s="301"/>
      <c r="M297" s="302"/>
      <c r="N297" s="302"/>
      <c r="O297" s="302"/>
      <c r="P297" s="302"/>
      <c r="Q297" s="302"/>
      <c r="R297" s="302"/>
      <c r="S297" s="302"/>
      <c r="T297" s="302"/>
      <c r="U297" s="302"/>
      <c r="V297" s="302"/>
      <c r="W297" s="302"/>
      <c r="X297" s="302"/>
      <c r="Y297" s="302"/>
      <c r="Z297" s="302"/>
      <c r="AA297" s="302"/>
      <c r="AB297" s="302"/>
    </row>
    <row r="298">
      <c r="A298" s="320"/>
      <c r="B298" s="317"/>
      <c r="C298" s="301"/>
      <c r="D298" s="302"/>
      <c r="E298" s="301"/>
      <c r="F298" s="329"/>
      <c r="G298" s="301"/>
      <c r="H298" s="301"/>
      <c r="I298" s="329"/>
      <c r="J298" s="330"/>
      <c r="K298" s="301"/>
      <c r="L298" s="301"/>
      <c r="M298" s="302"/>
      <c r="N298" s="302"/>
      <c r="O298" s="302"/>
      <c r="P298" s="302"/>
      <c r="Q298" s="302"/>
      <c r="R298" s="302"/>
      <c r="S298" s="302"/>
      <c r="T298" s="302"/>
      <c r="U298" s="302"/>
      <c r="V298" s="302"/>
      <c r="W298" s="302"/>
      <c r="X298" s="302"/>
      <c r="Y298" s="302"/>
      <c r="Z298" s="302"/>
      <c r="AA298" s="302"/>
      <c r="AB298" s="302"/>
    </row>
    <row r="299">
      <c r="A299" s="320"/>
      <c r="B299" s="317"/>
      <c r="C299" s="301"/>
      <c r="D299" s="302"/>
      <c r="E299" s="301"/>
      <c r="F299" s="329"/>
      <c r="G299" s="301"/>
      <c r="H299" s="301"/>
      <c r="I299" s="329"/>
      <c r="J299" s="330"/>
      <c r="K299" s="301"/>
      <c r="L299" s="301"/>
      <c r="M299" s="302"/>
      <c r="N299" s="302"/>
      <c r="O299" s="302"/>
      <c r="P299" s="302"/>
      <c r="Q299" s="302"/>
      <c r="R299" s="302"/>
      <c r="S299" s="302"/>
      <c r="T299" s="302"/>
      <c r="U299" s="302"/>
      <c r="V299" s="302"/>
      <c r="W299" s="302"/>
      <c r="X299" s="302"/>
      <c r="Y299" s="302"/>
      <c r="Z299" s="302"/>
      <c r="AA299" s="302"/>
      <c r="AB299" s="302"/>
    </row>
    <row r="300">
      <c r="A300" s="320"/>
      <c r="B300" s="317"/>
      <c r="C300" s="301"/>
      <c r="D300" s="302"/>
      <c r="E300" s="301"/>
      <c r="F300" s="329"/>
      <c r="G300" s="301"/>
      <c r="H300" s="301"/>
      <c r="I300" s="329"/>
      <c r="J300" s="330"/>
      <c r="K300" s="301"/>
      <c r="L300" s="301"/>
      <c r="M300" s="302"/>
      <c r="N300" s="302"/>
      <c r="O300" s="302"/>
      <c r="P300" s="302"/>
      <c r="Q300" s="302"/>
      <c r="R300" s="302"/>
      <c r="S300" s="302"/>
      <c r="T300" s="302"/>
      <c r="U300" s="302"/>
      <c r="V300" s="302"/>
      <c r="W300" s="302"/>
      <c r="X300" s="302"/>
      <c r="Y300" s="302"/>
      <c r="Z300" s="302"/>
      <c r="AA300" s="302"/>
      <c r="AB300" s="302"/>
    </row>
    <row r="301">
      <c r="A301" s="320"/>
      <c r="B301" s="317"/>
      <c r="C301" s="301"/>
      <c r="D301" s="302"/>
      <c r="E301" s="301"/>
      <c r="F301" s="329"/>
      <c r="G301" s="301"/>
      <c r="H301" s="301"/>
      <c r="I301" s="329"/>
      <c r="J301" s="330"/>
      <c r="K301" s="301"/>
      <c r="L301" s="301"/>
      <c r="M301" s="302"/>
      <c r="N301" s="302"/>
      <c r="O301" s="302"/>
      <c r="P301" s="302"/>
      <c r="Q301" s="302"/>
      <c r="R301" s="302"/>
      <c r="S301" s="302"/>
      <c r="T301" s="302"/>
      <c r="U301" s="302"/>
      <c r="V301" s="302"/>
      <c r="W301" s="302"/>
      <c r="X301" s="302"/>
      <c r="Y301" s="302"/>
      <c r="Z301" s="302"/>
      <c r="AA301" s="302"/>
      <c r="AB301" s="302"/>
    </row>
    <row r="302">
      <c r="A302" s="320"/>
      <c r="B302" s="317"/>
      <c r="C302" s="301"/>
      <c r="D302" s="302"/>
      <c r="E302" s="301"/>
      <c r="F302" s="329"/>
      <c r="G302" s="301"/>
      <c r="H302" s="301"/>
      <c r="I302" s="329"/>
      <c r="J302" s="330"/>
      <c r="K302" s="301"/>
      <c r="L302" s="301"/>
      <c r="M302" s="302"/>
      <c r="N302" s="302"/>
      <c r="O302" s="302"/>
      <c r="P302" s="302"/>
      <c r="Q302" s="302"/>
      <c r="R302" s="302"/>
      <c r="S302" s="302"/>
      <c r="T302" s="302"/>
      <c r="U302" s="302"/>
      <c r="V302" s="302"/>
      <c r="W302" s="302"/>
      <c r="X302" s="302"/>
      <c r="Y302" s="302"/>
      <c r="Z302" s="302"/>
      <c r="AA302" s="302"/>
      <c r="AB302" s="302"/>
    </row>
    <row r="303">
      <c r="A303" s="320"/>
      <c r="B303" s="317"/>
      <c r="C303" s="301"/>
      <c r="D303" s="302"/>
      <c r="E303" s="301"/>
      <c r="F303" s="329"/>
      <c r="G303" s="301"/>
      <c r="H303" s="301"/>
      <c r="I303" s="329"/>
      <c r="J303" s="330"/>
      <c r="K303" s="301"/>
      <c r="L303" s="301"/>
      <c r="M303" s="302"/>
      <c r="N303" s="302"/>
      <c r="O303" s="302"/>
      <c r="P303" s="302"/>
      <c r="Q303" s="302"/>
      <c r="R303" s="302"/>
      <c r="S303" s="302"/>
      <c r="T303" s="302"/>
      <c r="U303" s="302"/>
      <c r="V303" s="302"/>
      <c r="W303" s="302"/>
      <c r="X303" s="302"/>
      <c r="Y303" s="302"/>
      <c r="Z303" s="302"/>
      <c r="AA303" s="302"/>
      <c r="AB303" s="302"/>
    </row>
    <row r="304">
      <c r="A304" s="320"/>
      <c r="B304" s="317"/>
      <c r="C304" s="301"/>
      <c r="D304" s="302"/>
      <c r="E304" s="301"/>
      <c r="F304" s="329"/>
      <c r="G304" s="301"/>
      <c r="H304" s="301"/>
      <c r="I304" s="329"/>
      <c r="J304" s="330"/>
      <c r="K304" s="301"/>
      <c r="L304" s="301"/>
      <c r="M304" s="302"/>
      <c r="N304" s="302"/>
      <c r="O304" s="302"/>
      <c r="P304" s="302"/>
      <c r="Q304" s="302"/>
      <c r="R304" s="302"/>
      <c r="S304" s="302"/>
      <c r="T304" s="302"/>
      <c r="U304" s="302"/>
      <c r="V304" s="302"/>
      <c r="W304" s="302"/>
      <c r="X304" s="302"/>
      <c r="Y304" s="302"/>
      <c r="Z304" s="302"/>
      <c r="AA304" s="302"/>
      <c r="AB304" s="302"/>
    </row>
    <row r="305">
      <c r="A305" s="320"/>
      <c r="B305" s="317"/>
      <c r="C305" s="301"/>
      <c r="D305" s="302"/>
      <c r="E305" s="301"/>
      <c r="F305" s="329"/>
      <c r="G305" s="301"/>
      <c r="H305" s="301"/>
      <c r="I305" s="329"/>
      <c r="J305" s="330"/>
      <c r="K305" s="301"/>
      <c r="L305" s="301"/>
      <c r="M305" s="302"/>
      <c r="N305" s="302"/>
      <c r="O305" s="302"/>
      <c r="P305" s="302"/>
      <c r="Q305" s="302"/>
      <c r="R305" s="302"/>
      <c r="S305" s="302"/>
      <c r="T305" s="302"/>
      <c r="U305" s="302"/>
      <c r="V305" s="302"/>
      <c r="W305" s="302"/>
      <c r="X305" s="302"/>
      <c r="Y305" s="302"/>
      <c r="Z305" s="302"/>
      <c r="AA305" s="302"/>
      <c r="AB305" s="302"/>
    </row>
    <row r="306">
      <c r="A306" s="320"/>
      <c r="B306" s="317"/>
      <c r="C306" s="301"/>
      <c r="D306" s="302"/>
      <c r="E306" s="301"/>
      <c r="F306" s="329"/>
      <c r="G306" s="301"/>
      <c r="H306" s="301"/>
      <c r="I306" s="329"/>
      <c r="J306" s="330"/>
      <c r="K306" s="301"/>
      <c r="L306" s="301"/>
      <c r="M306" s="302"/>
      <c r="N306" s="302"/>
      <c r="O306" s="302"/>
      <c r="P306" s="302"/>
      <c r="Q306" s="302"/>
      <c r="R306" s="302"/>
      <c r="S306" s="302"/>
      <c r="T306" s="302"/>
      <c r="U306" s="302"/>
      <c r="V306" s="302"/>
      <c r="W306" s="302"/>
      <c r="X306" s="302"/>
      <c r="Y306" s="302"/>
      <c r="Z306" s="302"/>
      <c r="AA306" s="302"/>
      <c r="AB306" s="302"/>
    </row>
    <row r="307">
      <c r="A307" s="320"/>
      <c r="B307" s="317"/>
      <c r="C307" s="301"/>
      <c r="D307" s="302"/>
      <c r="E307" s="301"/>
      <c r="F307" s="329"/>
      <c r="G307" s="301"/>
      <c r="H307" s="301"/>
      <c r="I307" s="329"/>
      <c r="J307" s="330"/>
      <c r="K307" s="301"/>
      <c r="L307" s="301"/>
      <c r="M307" s="302"/>
      <c r="N307" s="302"/>
      <c r="O307" s="302"/>
      <c r="P307" s="302"/>
      <c r="Q307" s="302"/>
      <c r="R307" s="302"/>
      <c r="S307" s="302"/>
      <c r="T307" s="302"/>
      <c r="U307" s="302"/>
      <c r="V307" s="302"/>
      <c r="W307" s="302"/>
      <c r="X307" s="302"/>
      <c r="Y307" s="302"/>
      <c r="Z307" s="302"/>
      <c r="AA307" s="302"/>
      <c r="AB307" s="302"/>
    </row>
    <row r="308">
      <c r="A308" s="320"/>
      <c r="B308" s="317"/>
      <c r="C308" s="301"/>
      <c r="D308" s="302"/>
      <c r="E308" s="301"/>
      <c r="F308" s="329"/>
      <c r="G308" s="301"/>
      <c r="H308" s="301"/>
      <c r="I308" s="329"/>
      <c r="J308" s="330"/>
      <c r="K308" s="301"/>
      <c r="L308" s="301"/>
      <c r="M308" s="302"/>
      <c r="N308" s="302"/>
      <c r="O308" s="302"/>
      <c r="P308" s="302"/>
      <c r="Q308" s="302"/>
      <c r="R308" s="302"/>
      <c r="S308" s="302"/>
      <c r="T308" s="302"/>
      <c r="U308" s="302"/>
      <c r="V308" s="302"/>
      <c r="W308" s="302"/>
      <c r="X308" s="302"/>
      <c r="Y308" s="302"/>
      <c r="Z308" s="302"/>
      <c r="AA308" s="302"/>
      <c r="AB308" s="302"/>
    </row>
    <row r="309">
      <c r="A309" s="320"/>
      <c r="B309" s="317"/>
      <c r="C309" s="301"/>
      <c r="D309" s="302"/>
      <c r="E309" s="301"/>
      <c r="F309" s="329"/>
      <c r="G309" s="301"/>
      <c r="H309" s="301"/>
      <c r="I309" s="329"/>
      <c r="J309" s="330"/>
      <c r="K309" s="301"/>
      <c r="L309" s="301"/>
      <c r="M309" s="302"/>
      <c r="N309" s="302"/>
      <c r="O309" s="302"/>
      <c r="P309" s="302"/>
      <c r="Q309" s="302"/>
      <c r="R309" s="302"/>
      <c r="S309" s="302"/>
      <c r="T309" s="302"/>
      <c r="U309" s="302"/>
      <c r="V309" s="302"/>
      <c r="W309" s="302"/>
      <c r="X309" s="302"/>
      <c r="Y309" s="302"/>
      <c r="Z309" s="302"/>
      <c r="AA309" s="302"/>
      <c r="AB309" s="302"/>
    </row>
    <row r="310">
      <c r="A310" s="320"/>
      <c r="B310" s="317"/>
      <c r="C310" s="301"/>
      <c r="D310" s="302"/>
      <c r="E310" s="301"/>
      <c r="F310" s="329"/>
      <c r="G310" s="301"/>
      <c r="H310" s="301"/>
      <c r="I310" s="329"/>
      <c r="J310" s="330"/>
      <c r="K310" s="301"/>
      <c r="L310" s="301"/>
      <c r="M310" s="302"/>
      <c r="N310" s="302"/>
      <c r="O310" s="302"/>
      <c r="P310" s="302"/>
      <c r="Q310" s="302"/>
      <c r="R310" s="302"/>
      <c r="S310" s="302"/>
      <c r="T310" s="302"/>
      <c r="U310" s="302"/>
      <c r="V310" s="302"/>
      <c r="W310" s="302"/>
      <c r="X310" s="302"/>
      <c r="Y310" s="302"/>
      <c r="Z310" s="302"/>
      <c r="AA310" s="302"/>
      <c r="AB310" s="302"/>
    </row>
    <row r="311">
      <c r="A311" s="320"/>
      <c r="B311" s="317"/>
      <c r="C311" s="301"/>
      <c r="D311" s="302"/>
      <c r="E311" s="301"/>
      <c r="F311" s="329"/>
      <c r="G311" s="301"/>
      <c r="H311" s="301"/>
      <c r="I311" s="329"/>
      <c r="J311" s="330"/>
      <c r="K311" s="301"/>
      <c r="L311" s="301"/>
      <c r="M311" s="302"/>
      <c r="N311" s="302"/>
      <c r="O311" s="302"/>
      <c r="P311" s="302"/>
      <c r="Q311" s="302"/>
      <c r="R311" s="302"/>
      <c r="S311" s="302"/>
      <c r="T311" s="302"/>
      <c r="U311" s="302"/>
      <c r="V311" s="302"/>
      <c r="W311" s="302"/>
      <c r="X311" s="302"/>
      <c r="Y311" s="302"/>
      <c r="Z311" s="302"/>
      <c r="AA311" s="302"/>
      <c r="AB311" s="302"/>
    </row>
    <row r="312">
      <c r="A312" s="320"/>
      <c r="B312" s="317"/>
      <c r="C312" s="301"/>
      <c r="D312" s="302"/>
      <c r="E312" s="301"/>
      <c r="F312" s="329"/>
      <c r="G312" s="301"/>
      <c r="H312" s="301"/>
      <c r="I312" s="329"/>
      <c r="J312" s="330"/>
      <c r="K312" s="301"/>
      <c r="L312" s="301"/>
      <c r="M312" s="302"/>
      <c r="N312" s="302"/>
      <c r="O312" s="302"/>
      <c r="P312" s="302"/>
      <c r="Q312" s="302"/>
      <c r="R312" s="302"/>
      <c r="S312" s="302"/>
      <c r="T312" s="302"/>
      <c r="U312" s="302"/>
      <c r="V312" s="302"/>
      <c r="W312" s="302"/>
      <c r="X312" s="302"/>
      <c r="Y312" s="302"/>
      <c r="Z312" s="302"/>
      <c r="AA312" s="302"/>
      <c r="AB312" s="302"/>
    </row>
    <row r="313">
      <c r="A313" s="320"/>
      <c r="B313" s="317"/>
      <c r="C313" s="301"/>
      <c r="D313" s="302"/>
      <c r="E313" s="301"/>
      <c r="F313" s="329"/>
      <c r="G313" s="301"/>
      <c r="H313" s="301"/>
      <c r="I313" s="329"/>
      <c r="J313" s="330"/>
      <c r="K313" s="301"/>
      <c r="L313" s="301"/>
      <c r="M313" s="302"/>
      <c r="N313" s="302"/>
      <c r="O313" s="302"/>
      <c r="P313" s="302"/>
      <c r="Q313" s="302"/>
      <c r="R313" s="302"/>
      <c r="S313" s="302"/>
      <c r="T313" s="302"/>
      <c r="U313" s="302"/>
      <c r="V313" s="302"/>
      <c r="W313" s="302"/>
      <c r="X313" s="302"/>
      <c r="Y313" s="302"/>
      <c r="Z313" s="302"/>
      <c r="AA313" s="302"/>
      <c r="AB313" s="302"/>
    </row>
    <row r="314">
      <c r="A314" s="320"/>
      <c r="B314" s="317"/>
      <c r="C314" s="301"/>
      <c r="D314" s="302"/>
      <c r="E314" s="301"/>
      <c r="F314" s="329"/>
      <c r="G314" s="301"/>
      <c r="H314" s="301"/>
      <c r="I314" s="329"/>
      <c r="J314" s="330"/>
      <c r="K314" s="301"/>
      <c r="L314" s="301"/>
      <c r="M314" s="302"/>
      <c r="N314" s="302"/>
      <c r="O314" s="302"/>
      <c r="P314" s="302"/>
      <c r="Q314" s="302"/>
      <c r="R314" s="302"/>
      <c r="S314" s="302"/>
      <c r="T314" s="302"/>
      <c r="U314" s="302"/>
      <c r="V314" s="302"/>
      <c r="W314" s="302"/>
      <c r="X314" s="302"/>
      <c r="Y314" s="302"/>
      <c r="Z314" s="302"/>
      <c r="AA314" s="302"/>
      <c r="AB314" s="302"/>
    </row>
    <row r="315">
      <c r="A315" s="320"/>
      <c r="B315" s="317"/>
      <c r="C315" s="301"/>
      <c r="D315" s="302"/>
      <c r="E315" s="301"/>
      <c r="F315" s="329"/>
      <c r="G315" s="301"/>
      <c r="H315" s="301"/>
      <c r="I315" s="329"/>
      <c r="J315" s="330"/>
      <c r="K315" s="301"/>
      <c r="L315" s="301"/>
      <c r="M315" s="302"/>
      <c r="N315" s="302"/>
      <c r="O315" s="302"/>
      <c r="P315" s="302"/>
      <c r="Q315" s="302"/>
      <c r="R315" s="302"/>
      <c r="S315" s="302"/>
      <c r="T315" s="302"/>
      <c r="U315" s="302"/>
      <c r="V315" s="302"/>
      <c r="W315" s="302"/>
      <c r="X315" s="302"/>
      <c r="Y315" s="302"/>
      <c r="Z315" s="302"/>
      <c r="AA315" s="302"/>
      <c r="AB315" s="302"/>
    </row>
    <row r="316">
      <c r="A316" s="320"/>
      <c r="B316" s="317"/>
      <c r="C316" s="301"/>
      <c r="D316" s="302"/>
      <c r="E316" s="301"/>
      <c r="F316" s="329"/>
      <c r="G316" s="301"/>
      <c r="H316" s="301"/>
      <c r="I316" s="329"/>
      <c r="J316" s="330"/>
      <c r="K316" s="301"/>
      <c r="L316" s="301"/>
      <c r="M316" s="302"/>
      <c r="N316" s="302"/>
      <c r="O316" s="302"/>
      <c r="P316" s="302"/>
      <c r="Q316" s="302"/>
      <c r="R316" s="302"/>
      <c r="S316" s="302"/>
      <c r="T316" s="302"/>
      <c r="U316" s="302"/>
      <c r="V316" s="302"/>
      <c r="W316" s="302"/>
      <c r="X316" s="302"/>
      <c r="Y316" s="302"/>
      <c r="Z316" s="302"/>
      <c r="AA316" s="302"/>
      <c r="AB316" s="302"/>
    </row>
    <row r="317">
      <c r="A317" s="320"/>
      <c r="B317" s="317"/>
      <c r="C317" s="301"/>
      <c r="D317" s="302"/>
      <c r="E317" s="301"/>
      <c r="F317" s="329"/>
      <c r="G317" s="301"/>
      <c r="H317" s="301"/>
      <c r="I317" s="329"/>
      <c r="J317" s="330"/>
      <c r="K317" s="301"/>
      <c r="L317" s="301"/>
      <c r="M317" s="302"/>
      <c r="N317" s="302"/>
      <c r="O317" s="302"/>
      <c r="P317" s="302"/>
      <c r="Q317" s="302"/>
      <c r="R317" s="302"/>
      <c r="S317" s="302"/>
      <c r="T317" s="302"/>
      <c r="U317" s="302"/>
      <c r="V317" s="302"/>
      <c r="W317" s="302"/>
      <c r="X317" s="302"/>
      <c r="Y317" s="302"/>
      <c r="Z317" s="302"/>
      <c r="AA317" s="302"/>
      <c r="AB317" s="302"/>
    </row>
    <row r="318">
      <c r="A318" s="320"/>
      <c r="B318" s="317"/>
      <c r="C318" s="301"/>
      <c r="D318" s="302"/>
      <c r="E318" s="301"/>
      <c r="F318" s="329"/>
      <c r="G318" s="301"/>
      <c r="H318" s="301"/>
      <c r="I318" s="329"/>
      <c r="J318" s="330"/>
      <c r="K318" s="301"/>
      <c r="L318" s="301"/>
      <c r="M318" s="302"/>
      <c r="N318" s="302"/>
      <c r="O318" s="302"/>
      <c r="P318" s="302"/>
      <c r="Q318" s="302"/>
      <c r="R318" s="302"/>
      <c r="S318" s="302"/>
      <c r="T318" s="302"/>
      <c r="U318" s="302"/>
      <c r="V318" s="302"/>
      <c r="W318" s="302"/>
      <c r="X318" s="302"/>
      <c r="Y318" s="302"/>
      <c r="Z318" s="302"/>
      <c r="AA318" s="302"/>
      <c r="AB318" s="302"/>
    </row>
    <row r="319">
      <c r="A319" s="320"/>
      <c r="B319" s="317"/>
      <c r="C319" s="301"/>
      <c r="D319" s="302"/>
      <c r="E319" s="301"/>
      <c r="F319" s="329"/>
      <c r="G319" s="301"/>
      <c r="H319" s="301"/>
      <c r="I319" s="329"/>
      <c r="J319" s="330"/>
      <c r="K319" s="301"/>
      <c r="L319" s="301"/>
      <c r="M319" s="302"/>
      <c r="N319" s="302"/>
      <c r="O319" s="302"/>
      <c r="P319" s="302"/>
      <c r="Q319" s="302"/>
      <c r="R319" s="302"/>
      <c r="S319" s="302"/>
      <c r="T319" s="302"/>
      <c r="U319" s="302"/>
      <c r="V319" s="302"/>
      <c r="W319" s="302"/>
      <c r="X319" s="302"/>
      <c r="Y319" s="302"/>
      <c r="Z319" s="302"/>
      <c r="AA319" s="302"/>
      <c r="AB319" s="302"/>
    </row>
    <row r="320">
      <c r="A320" s="320"/>
      <c r="B320" s="317"/>
      <c r="C320" s="301"/>
      <c r="D320" s="302"/>
      <c r="E320" s="301"/>
      <c r="F320" s="329"/>
      <c r="G320" s="301"/>
      <c r="H320" s="301"/>
      <c r="I320" s="329"/>
      <c r="J320" s="330"/>
      <c r="K320" s="301"/>
      <c r="L320" s="301"/>
      <c r="M320" s="302"/>
      <c r="N320" s="302"/>
      <c r="O320" s="302"/>
      <c r="P320" s="302"/>
      <c r="Q320" s="302"/>
      <c r="R320" s="302"/>
      <c r="S320" s="302"/>
      <c r="T320" s="302"/>
      <c r="U320" s="302"/>
      <c r="V320" s="302"/>
      <c r="W320" s="302"/>
      <c r="X320" s="302"/>
      <c r="Y320" s="302"/>
      <c r="Z320" s="302"/>
      <c r="AA320" s="302"/>
      <c r="AB320" s="302"/>
    </row>
    <row r="321">
      <c r="A321" s="320"/>
      <c r="B321" s="317"/>
      <c r="C321" s="301"/>
      <c r="D321" s="302"/>
      <c r="E321" s="301"/>
      <c r="F321" s="329"/>
      <c r="G321" s="301"/>
      <c r="H321" s="301"/>
      <c r="I321" s="329"/>
      <c r="J321" s="330"/>
      <c r="K321" s="301"/>
      <c r="L321" s="301"/>
      <c r="M321" s="302"/>
      <c r="N321" s="302"/>
      <c r="O321" s="302"/>
      <c r="P321" s="302"/>
      <c r="Q321" s="302"/>
      <c r="R321" s="302"/>
      <c r="S321" s="302"/>
      <c r="T321" s="302"/>
      <c r="U321" s="302"/>
      <c r="V321" s="302"/>
      <c r="W321" s="302"/>
      <c r="X321" s="302"/>
      <c r="Y321" s="302"/>
      <c r="Z321" s="302"/>
      <c r="AA321" s="302"/>
      <c r="AB321" s="302"/>
    </row>
    <row r="322">
      <c r="A322" s="320"/>
      <c r="B322" s="317"/>
      <c r="C322" s="301"/>
      <c r="D322" s="302"/>
      <c r="E322" s="301"/>
      <c r="F322" s="329"/>
      <c r="G322" s="301"/>
      <c r="H322" s="301"/>
      <c r="I322" s="329"/>
      <c r="J322" s="330"/>
      <c r="K322" s="301"/>
      <c r="L322" s="301"/>
      <c r="M322" s="302"/>
      <c r="N322" s="302"/>
      <c r="O322" s="302"/>
      <c r="P322" s="302"/>
      <c r="Q322" s="302"/>
      <c r="R322" s="302"/>
      <c r="S322" s="302"/>
      <c r="T322" s="302"/>
      <c r="U322" s="302"/>
      <c r="V322" s="302"/>
      <c r="W322" s="302"/>
      <c r="X322" s="302"/>
      <c r="Y322" s="302"/>
      <c r="Z322" s="302"/>
      <c r="AA322" s="302"/>
      <c r="AB322" s="302"/>
    </row>
    <row r="323">
      <c r="A323" s="320"/>
      <c r="B323" s="317"/>
      <c r="C323" s="301"/>
      <c r="D323" s="302"/>
      <c r="E323" s="301"/>
      <c r="F323" s="329"/>
      <c r="G323" s="301"/>
      <c r="H323" s="301"/>
      <c r="I323" s="329"/>
      <c r="J323" s="330"/>
      <c r="K323" s="301"/>
      <c r="L323" s="301"/>
      <c r="M323" s="302"/>
      <c r="N323" s="302"/>
      <c r="O323" s="302"/>
      <c r="P323" s="302"/>
      <c r="Q323" s="302"/>
      <c r="R323" s="302"/>
      <c r="S323" s="302"/>
      <c r="T323" s="302"/>
      <c r="U323" s="302"/>
      <c r="V323" s="302"/>
      <c r="W323" s="302"/>
      <c r="X323" s="302"/>
      <c r="Y323" s="302"/>
      <c r="Z323" s="302"/>
      <c r="AA323" s="302"/>
      <c r="AB323" s="302"/>
    </row>
    <row r="324">
      <c r="A324" s="320"/>
      <c r="B324" s="317"/>
      <c r="C324" s="301"/>
      <c r="D324" s="302"/>
      <c r="E324" s="301"/>
      <c r="F324" s="329"/>
      <c r="G324" s="301"/>
      <c r="H324" s="301"/>
      <c r="I324" s="329"/>
      <c r="J324" s="330"/>
      <c r="K324" s="301"/>
      <c r="L324" s="301"/>
      <c r="M324" s="302"/>
      <c r="N324" s="302"/>
      <c r="O324" s="302"/>
      <c r="P324" s="302"/>
      <c r="Q324" s="302"/>
      <c r="R324" s="302"/>
      <c r="S324" s="302"/>
      <c r="T324" s="302"/>
      <c r="U324" s="302"/>
      <c r="V324" s="302"/>
      <c r="W324" s="302"/>
      <c r="X324" s="302"/>
      <c r="Y324" s="302"/>
      <c r="Z324" s="302"/>
      <c r="AA324" s="302"/>
      <c r="AB324" s="302"/>
    </row>
    <row r="325">
      <c r="A325" s="320"/>
      <c r="B325" s="317"/>
      <c r="C325" s="301"/>
      <c r="D325" s="302"/>
      <c r="E325" s="301"/>
      <c r="F325" s="329"/>
      <c r="G325" s="301"/>
      <c r="H325" s="301"/>
      <c r="I325" s="329"/>
      <c r="J325" s="330"/>
      <c r="K325" s="301"/>
      <c r="L325" s="301"/>
      <c r="M325" s="302"/>
      <c r="N325" s="302"/>
      <c r="O325" s="302"/>
      <c r="P325" s="302"/>
      <c r="Q325" s="302"/>
      <c r="R325" s="302"/>
      <c r="S325" s="302"/>
      <c r="T325" s="302"/>
      <c r="U325" s="302"/>
      <c r="V325" s="302"/>
      <c r="W325" s="302"/>
      <c r="X325" s="302"/>
      <c r="Y325" s="302"/>
      <c r="Z325" s="302"/>
      <c r="AA325" s="302"/>
      <c r="AB325" s="302"/>
    </row>
    <row r="326">
      <c r="A326" s="320"/>
      <c r="B326" s="317"/>
      <c r="C326" s="301"/>
      <c r="D326" s="302"/>
      <c r="E326" s="301"/>
      <c r="F326" s="329"/>
      <c r="G326" s="301"/>
      <c r="H326" s="301"/>
      <c r="I326" s="329"/>
      <c r="J326" s="330"/>
      <c r="K326" s="301"/>
      <c r="L326" s="301"/>
      <c r="M326" s="302"/>
      <c r="N326" s="302"/>
      <c r="O326" s="302"/>
      <c r="P326" s="302"/>
      <c r="Q326" s="302"/>
      <c r="R326" s="302"/>
      <c r="S326" s="302"/>
      <c r="T326" s="302"/>
      <c r="U326" s="302"/>
      <c r="V326" s="302"/>
      <c r="W326" s="302"/>
      <c r="X326" s="302"/>
      <c r="Y326" s="302"/>
      <c r="Z326" s="302"/>
      <c r="AA326" s="302"/>
      <c r="AB326" s="302"/>
    </row>
    <row r="327">
      <c r="A327" s="320"/>
      <c r="B327" s="317"/>
      <c r="C327" s="301"/>
      <c r="D327" s="302"/>
      <c r="E327" s="301"/>
      <c r="F327" s="329"/>
      <c r="G327" s="301"/>
      <c r="H327" s="301"/>
      <c r="I327" s="329"/>
      <c r="J327" s="330"/>
      <c r="K327" s="301"/>
      <c r="L327" s="301"/>
      <c r="M327" s="302"/>
      <c r="N327" s="302"/>
      <c r="O327" s="302"/>
      <c r="P327" s="302"/>
      <c r="Q327" s="302"/>
      <c r="R327" s="302"/>
      <c r="S327" s="302"/>
      <c r="T327" s="302"/>
      <c r="U327" s="302"/>
      <c r="V327" s="302"/>
      <c r="W327" s="302"/>
      <c r="X327" s="302"/>
      <c r="Y327" s="302"/>
      <c r="Z327" s="302"/>
      <c r="AA327" s="302"/>
      <c r="AB327" s="302"/>
    </row>
    <row r="328">
      <c r="A328" s="320"/>
      <c r="B328" s="317"/>
      <c r="C328" s="301"/>
      <c r="D328" s="302"/>
      <c r="E328" s="301"/>
      <c r="F328" s="329"/>
      <c r="G328" s="301"/>
      <c r="H328" s="301"/>
      <c r="I328" s="329"/>
      <c r="J328" s="330"/>
      <c r="K328" s="301"/>
      <c r="L328" s="301"/>
      <c r="M328" s="302"/>
      <c r="N328" s="302"/>
      <c r="O328" s="302"/>
      <c r="P328" s="302"/>
      <c r="Q328" s="302"/>
      <c r="R328" s="302"/>
      <c r="S328" s="302"/>
      <c r="T328" s="302"/>
      <c r="U328" s="302"/>
      <c r="V328" s="302"/>
      <c r="W328" s="302"/>
      <c r="X328" s="302"/>
      <c r="Y328" s="302"/>
      <c r="Z328" s="302"/>
      <c r="AA328" s="302"/>
      <c r="AB328" s="302"/>
    </row>
    <row r="329">
      <c r="A329" s="320"/>
      <c r="B329" s="317"/>
      <c r="C329" s="301"/>
      <c r="D329" s="302"/>
      <c r="E329" s="301"/>
      <c r="F329" s="329"/>
      <c r="G329" s="301"/>
      <c r="H329" s="301"/>
      <c r="I329" s="329"/>
      <c r="J329" s="330"/>
      <c r="K329" s="301"/>
      <c r="L329" s="301"/>
      <c r="M329" s="302"/>
      <c r="N329" s="302"/>
      <c r="O329" s="302"/>
      <c r="P329" s="302"/>
      <c r="Q329" s="302"/>
      <c r="R329" s="302"/>
      <c r="S329" s="302"/>
      <c r="T329" s="302"/>
      <c r="U329" s="302"/>
      <c r="V329" s="302"/>
      <c r="W329" s="302"/>
      <c r="X329" s="302"/>
      <c r="Y329" s="302"/>
      <c r="Z329" s="302"/>
      <c r="AA329" s="302"/>
      <c r="AB329" s="302"/>
    </row>
    <row r="330">
      <c r="A330" s="320"/>
      <c r="B330" s="317"/>
      <c r="C330" s="301"/>
      <c r="D330" s="302"/>
      <c r="E330" s="301"/>
      <c r="F330" s="329"/>
      <c r="G330" s="301"/>
      <c r="H330" s="301"/>
      <c r="I330" s="329"/>
      <c r="J330" s="330"/>
      <c r="K330" s="301"/>
      <c r="L330" s="301"/>
      <c r="M330" s="302"/>
      <c r="N330" s="302"/>
      <c r="O330" s="302"/>
      <c r="P330" s="302"/>
      <c r="Q330" s="302"/>
      <c r="R330" s="302"/>
      <c r="S330" s="302"/>
      <c r="T330" s="302"/>
      <c r="U330" s="302"/>
      <c r="V330" s="302"/>
      <c r="W330" s="302"/>
      <c r="X330" s="302"/>
      <c r="Y330" s="302"/>
      <c r="Z330" s="302"/>
      <c r="AA330" s="302"/>
      <c r="AB330" s="302"/>
    </row>
    <row r="331">
      <c r="A331" s="320"/>
      <c r="B331" s="317"/>
      <c r="C331" s="301"/>
      <c r="D331" s="302"/>
      <c r="E331" s="301"/>
      <c r="F331" s="329"/>
      <c r="G331" s="301"/>
      <c r="H331" s="301"/>
      <c r="I331" s="329"/>
      <c r="J331" s="330"/>
      <c r="K331" s="301"/>
      <c r="L331" s="301"/>
      <c r="M331" s="302"/>
      <c r="N331" s="302"/>
      <c r="O331" s="302"/>
      <c r="P331" s="302"/>
      <c r="Q331" s="302"/>
      <c r="R331" s="302"/>
      <c r="S331" s="302"/>
      <c r="T331" s="302"/>
      <c r="U331" s="302"/>
      <c r="V331" s="302"/>
      <c r="W331" s="302"/>
      <c r="X331" s="302"/>
      <c r="Y331" s="302"/>
      <c r="Z331" s="302"/>
      <c r="AA331" s="302"/>
      <c r="AB331" s="302"/>
    </row>
    <row r="332">
      <c r="A332" s="320"/>
      <c r="B332" s="317"/>
      <c r="C332" s="301"/>
      <c r="D332" s="302"/>
      <c r="E332" s="301"/>
      <c r="F332" s="329"/>
      <c r="G332" s="301"/>
      <c r="H332" s="301"/>
      <c r="I332" s="329"/>
      <c r="J332" s="330"/>
      <c r="K332" s="301"/>
      <c r="L332" s="301"/>
      <c r="M332" s="302"/>
      <c r="N332" s="302"/>
      <c r="O332" s="302"/>
      <c r="P332" s="302"/>
      <c r="Q332" s="302"/>
      <c r="R332" s="302"/>
      <c r="S332" s="302"/>
      <c r="T332" s="302"/>
      <c r="U332" s="302"/>
      <c r="V332" s="302"/>
      <c r="W332" s="302"/>
      <c r="X332" s="302"/>
      <c r="Y332" s="302"/>
      <c r="Z332" s="302"/>
      <c r="AA332" s="302"/>
      <c r="AB332" s="302"/>
    </row>
    <row r="333">
      <c r="A333" s="320"/>
      <c r="B333" s="317"/>
      <c r="C333" s="301"/>
      <c r="D333" s="302"/>
      <c r="E333" s="301"/>
      <c r="F333" s="329"/>
      <c r="G333" s="301"/>
      <c r="H333" s="301"/>
      <c r="I333" s="329"/>
      <c r="J333" s="330"/>
      <c r="K333" s="301"/>
      <c r="L333" s="301"/>
      <c r="M333" s="302"/>
      <c r="N333" s="302"/>
      <c r="O333" s="302"/>
      <c r="P333" s="302"/>
      <c r="Q333" s="302"/>
      <c r="R333" s="302"/>
      <c r="S333" s="302"/>
      <c r="T333" s="302"/>
      <c r="U333" s="302"/>
      <c r="V333" s="302"/>
      <c r="W333" s="302"/>
      <c r="X333" s="302"/>
      <c r="Y333" s="302"/>
      <c r="Z333" s="302"/>
      <c r="AA333" s="302"/>
      <c r="AB333" s="302"/>
    </row>
    <row r="334">
      <c r="A334" s="320"/>
      <c r="B334" s="317"/>
      <c r="C334" s="301"/>
      <c r="D334" s="302"/>
      <c r="E334" s="301"/>
      <c r="F334" s="329"/>
      <c r="G334" s="301"/>
      <c r="H334" s="301"/>
      <c r="I334" s="329"/>
      <c r="J334" s="330"/>
      <c r="K334" s="301"/>
      <c r="L334" s="301"/>
      <c r="M334" s="302"/>
      <c r="N334" s="302"/>
      <c r="O334" s="302"/>
      <c r="P334" s="302"/>
      <c r="Q334" s="302"/>
      <c r="R334" s="302"/>
      <c r="S334" s="302"/>
      <c r="T334" s="302"/>
      <c r="U334" s="302"/>
      <c r="V334" s="302"/>
      <c r="W334" s="302"/>
      <c r="X334" s="302"/>
      <c r="Y334" s="302"/>
      <c r="Z334" s="302"/>
      <c r="AA334" s="302"/>
      <c r="AB334" s="302"/>
    </row>
    <row r="335">
      <c r="A335" s="320"/>
      <c r="B335" s="317"/>
      <c r="C335" s="301"/>
      <c r="D335" s="302"/>
      <c r="E335" s="301"/>
      <c r="F335" s="329"/>
      <c r="G335" s="301"/>
      <c r="H335" s="301"/>
      <c r="I335" s="329"/>
      <c r="J335" s="330"/>
      <c r="K335" s="301"/>
      <c r="L335" s="301"/>
      <c r="M335" s="302"/>
      <c r="N335" s="302"/>
      <c r="O335" s="302"/>
      <c r="P335" s="302"/>
      <c r="Q335" s="302"/>
      <c r="R335" s="302"/>
      <c r="S335" s="302"/>
      <c r="T335" s="302"/>
      <c r="U335" s="302"/>
      <c r="V335" s="302"/>
      <c r="W335" s="302"/>
      <c r="X335" s="302"/>
      <c r="Y335" s="302"/>
      <c r="Z335" s="302"/>
      <c r="AA335" s="302"/>
      <c r="AB335" s="302"/>
    </row>
    <row r="336">
      <c r="A336" s="320"/>
      <c r="B336" s="317"/>
      <c r="C336" s="301"/>
      <c r="D336" s="302"/>
      <c r="E336" s="301"/>
      <c r="F336" s="329"/>
      <c r="G336" s="301"/>
      <c r="H336" s="301"/>
      <c r="I336" s="329"/>
      <c r="J336" s="330"/>
      <c r="K336" s="301"/>
      <c r="L336" s="301"/>
      <c r="M336" s="302"/>
      <c r="N336" s="302"/>
      <c r="O336" s="302"/>
      <c r="P336" s="302"/>
      <c r="Q336" s="302"/>
      <c r="R336" s="302"/>
      <c r="S336" s="302"/>
      <c r="T336" s="302"/>
      <c r="U336" s="302"/>
      <c r="V336" s="302"/>
      <c r="W336" s="302"/>
      <c r="X336" s="302"/>
      <c r="Y336" s="302"/>
      <c r="Z336" s="302"/>
      <c r="AA336" s="302"/>
      <c r="AB336" s="302"/>
    </row>
    <row r="337">
      <c r="A337" s="320"/>
      <c r="B337" s="317"/>
      <c r="C337" s="301"/>
      <c r="D337" s="302"/>
      <c r="E337" s="301"/>
      <c r="F337" s="329"/>
      <c r="G337" s="301"/>
      <c r="H337" s="301"/>
      <c r="I337" s="329"/>
      <c r="J337" s="330"/>
      <c r="K337" s="301"/>
      <c r="L337" s="301"/>
      <c r="M337" s="302"/>
      <c r="N337" s="302"/>
      <c r="O337" s="302"/>
      <c r="P337" s="302"/>
      <c r="Q337" s="302"/>
      <c r="R337" s="302"/>
      <c r="S337" s="302"/>
      <c r="T337" s="302"/>
      <c r="U337" s="302"/>
      <c r="V337" s="302"/>
      <c r="W337" s="302"/>
      <c r="X337" s="302"/>
      <c r="Y337" s="302"/>
      <c r="Z337" s="302"/>
      <c r="AA337" s="302"/>
      <c r="AB337" s="302"/>
    </row>
    <row r="338">
      <c r="A338" s="320"/>
      <c r="B338" s="317"/>
      <c r="C338" s="301"/>
      <c r="D338" s="302"/>
      <c r="E338" s="301"/>
      <c r="F338" s="329"/>
      <c r="G338" s="301"/>
      <c r="H338" s="301"/>
      <c r="I338" s="329"/>
      <c r="J338" s="330"/>
      <c r="K338" s="301"/>
      <c r="L338" s="301"/>
      <c r="M338" s="302"/>
      <c r="N338" s="302"/>
      <c r="O338" s="302"/>
      <c r="P338" s="302"/>
      <c r="Q338" s="302"/>
      <c r="R338" s="302"/>
      <c r="S338" s="302"/>
      <c r="T338" s="302"/>
      <c r="U338" s="302"/>
      <c r="V338" s="302"/>
      <c r="W338" s="302"/>
      <c r="X338" s="302"/>
      <c r="Y338" s="302"/>
      <c r="Z338" s="302"/>
      <c r="AA338" s="302"/>
      <c r="AB338" s="302"/>
    </row>
    <row r="339">
      <c r="A339" s="320"/>
      <c r="B339" s="317"/>
      <c r="C339" s="301"/>
      <c r="D339" s="302"/>
      <c r="E339" s="301"/>
      <c r="F339" s="329"/>
      <c r="G339" s="301"/>
      <c r="H339" s="301"/>
      <c r="I339" s="329"/>
      <c r="J339" s="330"/>
      <c r="K339" s="301"/>
      <c r="L339" s="301"/>
      <c r="M339" s="302"/>
      <c r="N339" s="302"/>
      <c r="O339" s="302"/>
      <c r="P339" s="302"/>
      <c r="Q339" s="302"/>
      <c r="R339" s="302"/>
      <c r="S339" s="302"/>
      <c r="T339" s="302"/>
      <c r="U339" s="302"/>
      <c r="V339" s="302"/>
      <c r="W339" s="302"/>
      <c r="X339" s="302"/>
      <c r="Y339" s="302"/>
      <c r="Z339" s="302"/>
      <c r="AA339" s="302"/>
      <c r="AB339" s="302"/>
    </row>
    <row r="340">
      <c r="A340" s="320"/>
      <c r="B340" s="317"/>
      <c r="C340" s="301"/>
      <c r="D340" s="302"/>
      <c r="E340" s="301"/>
      <c r="F340" s="329"/>
      <c r="G340" s="301"/>
      <c r="H340" s="301"/>
      <c r="I340" s="329"/>
      <c r="J340" s="330"/>
      <c r="K340" s="301"/>
      <c r="L340" s="301"/>
      <c r="M340" s="302"/>
      <c r="N340" s="302"/>
      <c r="O340" s="302"/>
      <c r="P340" s="302"/>
      <c r="Q340" s="302"/>
      <c r="R340" s="302"/>
      <c r="S340" s="302"/>
      <c r="T340" s="302"/>
      <c r="U340" s="302"/>
      <c r="V340" s="302"/>
      <c r="W340" s="302"/>
      <c r="X340" s="302"/>
      <c r="Y340" s="302"/>
      <c r="Z340" s="302"/>
      <c r="AA340" s="302"/>
      <c r="AB340" s="302"/>
    </row>
    <row r="341">
      <c r="A341" s="320"/>
      <c r="B341" s="317"/>
      <c r="C341" s="301"/>
      <c r="D341" s="302"/>
      <c r="E341" s="301"/>
      <c r="F341" s="329"/>
      <c r="G341" s="301"/>
      <c r="H341" s="301"/>
      <c r="I341" s="329"/>
      <c r="J341" s="330"/>
      <c r="K341" s="301"/>
      <c r="L341" s="301"/>
      <c r="M341" s="302"/>
      <c r="N341" s="302"/>
      <c r="O341" s="302"/>
      <c r="P341" s="302"/>
      <c r="Q341" s="302"/>
      <c r="R341" s="302"/>
      <c r="S341" s="302"/>
      <c r="T341" s="302"/>
      <c r="U341" s="302"/>
      <c r="V341" s="302"/>
      <c r="W341" s="302"/>
      <c r="X341" s="302"/>
      <c r="Y341" s="302"/>
      <c r="Z341" s="302"/>
      <c r="AA341" s="302"/>
      <c r="AB341" s="302"/>
    </row>
    <row r="342">
      <c r="A342" s="320"/>
      <c r="B342" s="317"/>
      <c r="C342" s="301"/>
      <c r="D342" s="302"/>
      <c r="E342" s="301"/>
      <c r="F342" s="329"/>
      <c r="G342" s="301"/>
      <c r="H342" s="301"/>
      <c r="I342" s="329"/>
      <c r="J342" s="330"/>
      <c r="K342" s="301"/>
      <c r="L342" s="301"/>
      <c r="M342" s="302"/>
      <c r="N342" s="302"/>
      <c r="O342" s="302"/>
      <c r="P342" s="302"/>
      <c r="Q342" s="302"/>
      <c r="R342" s="302"/>
      <c r="S342" s="302"/>
      <c r="T342" s="302"/>
      <c r="U342" s="302"/>
      <c r="V342" s="302"/>
      <c r="W342" s="302"/>
      <c r="X342" s="302"/>
      <c r="Y342" s="302"/>
      <c r="Z342" s="302"/>
      <c r="AA342" s="302"/>
      <c r="AB342" s="302"/>
    </row>
    <row r="343">
      <c r="A343" s="320"/>
      <c r="B343" s="317"/>
      <c r="C343" s="301"/>
      <c r="D343" s="302"/>
      <c r="E343" s="301"/>
      <c r="F343" s="329"/>
      <c r="G343" s="301"/>
      <c r="H343" s="301"/>
      <c r="I343" s="329"/>
      <c r="J343" s="330"/>
      <c r="K343" s="301"/>
      <c r="L343" s="301"/>
      <c r="M343" s="302"/>
      <c r="N343" s="302"/>
      <c r="O343" s="302"/>
      <c r="P343" s="302"/>
      <c r="Q343" s="302"/>
      <c r="R343" s="302"/>
      <c r="S343" s="302"/>
      <c r="T343" s="302"/>
      <c r="U343" s="302"/>
      <c r="V343" s="302"/>
      <c r="W343" s="302"/>
      <c r="X343" s="302"/>
      <c r="Y343" s="302"/>
      <c r="Z343" s="302"/>
      <c r="AA343" s="302"/>
      <c r="AB343" s="302"/>
    </row>
    <row r="344">
      <c r="A344" s="320"/>
      <c r="B344" s="317"/>
      <c r="C344" s="301"/>
      <c r="D344" s="302"/>
      <c r="E344" s="301"/>
      <c r="F344" s="329"/>
      <c r="G344" s="301"/>
      <c r="H344" s="301"/>
      <c r="I344" s="329"/>
      <c r="J344" s="330"/>
      <c r="K344" s="301"/>
      <c r="L344" s="301"/>
      <c r="M344" s="302"/>
      <c r="N344" s="302"/>
      <c r="O344" s="302"/>
      <c r="P344" s="302"/>
      <c r="Q344" s="302"/>
      <c r="R344" s="302"/>
      <c r="S344" s="302"/>
      <c r="T344" s="302"/>
      <c r="U344" s="302"/>
      <c r="V344" s="302"/>
      <c r="W344" s="302"/>
      <c r="X344" s="302"/>
      <c r="Y344" s="302"/>
      <c r="Z344" s="302"/>
      <c r="AA344" s="302"/>
      <c r="AB344" s="302"/>
    </row>
    <row r="345">
      <c r="A345" s="320"/>
      <c r="B345" s="317"/>
      <c r="C345" s="301"/>
      <c r="D345" s="302"/>
      <c r="E345" s="301"/>
      <c r="F345" s="329"/>
      <c r="G345" s="301"/>
      <c r="H345" s="301"/>
      <c r="I345" s="329"/>
      <c r="J345" s="330"/>
      <c r="K345" s="301"/>
      <c r="L345" s="301"/>
      <c r="M345" s="302"/>
      <c r="N345" s="302"/>
      <c r="O345" s="302"/>
      <c r="P345" s="302"/>
      <c r="Q345" s="302"/>
      <c r="R345" s="302"/>
      <c r="S345" s="302"/>
      <c r="T345" s="302"/>
      <c r="U345" s="302"/>
      <c r="V345" s="302"/>
      <c r="W345" s="302"/>
      <c r="X345" s="302"/>
      <c r="Y345" s="302"/>
      <c r="Z345" s="302"/>
      <c r="AA345" s="302"/>
      <c r="AB345" s="302"/>
    </row>
    <row r="346">
      <c r="A346" s="320"/>
      <c r="B346" s="317"/>
      <c r="C346" s="301"/>
      <c r="D346" s="302"/>
      <c r="E346" s="301"/>
      <c r="F346" s="329"/>
      <c r="G346" s="301"/>
      <c r="H346" s="301"/>
      <c r="I346" s="329"/>
      <c r="J346" s="330"/>
      <c r="K346" s="301"/>
      <c r="L346" s="301"/>
      <c r="M346" s="302"/>
      <c r="N346" s="302"/>
      <c r="O346" s="302"/>
      <c r="P346" s="302"/>
      <c r="Q346" s="302"/>
      <c r="R346" s="302"/>
      <c r="S346" s="302"/>
      <c r="T346" s="302"/>
      <c r="U346" s="302"/>
      <c r="V346" s="302"/>
      <c r="W346" s="302"/>
      <c r="X346" s="302"/>
      <c r="Y346" s="302"/>
      <c r="Z346" s="302"/>
      <c r="AA346" s="302"/>
      <c r="AB346" s="302"/>
    </row>
    <row r="347">
      <c r="A347" s="320"/>
      <c r="B347" s="317"/>
      <c r="C347" s="301"/>
      <c r="D347" s="302"/>
      <c r="E347" s="301"/>
      <c r="F347" s="329"/>
      <c r="G347" s="301"/>
      <c r="H347" s="301"/>
      <c r="I347" s="329"/>
      <c r="J347" s="330"/>
      <c r="K347" s="301"/>
      <c r="L347" s="301"/>
      <c r="M347" s="302"/>
      <c r="N347" s="302"/>
      <c r="O347" s="302"/>
      <c r="P347" s="302"/>
      <c r="Q347" s="302"/>
      <c r="R347" s="302"/>
      <c r="S347" s="302"/>
      <c r="T347" s="302"/>
      <c r="U347" s="302"/>
      <c r="V347" s="302"/>
      <c r="W347" s="302"/>
      <c r="X347" s="302"/>
      <c r="Y347" s="302"/>
      <c r="Z347" s="302"/>
      <c r="AA347" s="302"/>
      <c r="AB347" s="302"/>
    </row>
    <row r="348">
      <c r="A348" s="320"/>
      <c r="B348" s="317"/>
      <c r="C348" s="301"/>
      <c r="D348" s="302"/>
      <c r="E348" s="301"/>
      <c r="F348" s="329"/>
      <c r="G348" s="301"/>
      <c r="H348" s="301"/>
      <c r="I348" s="329"/>
      <c r="J348" s="330"/>
      <c r="K348" s="301"/>
      <c r="L348" s="301"/>
      <c r="M348" s="302"/>
      <c r="N348" s="302"/>
      <c r="O348" s="302"/>
      <c r="P348" s="302"/>
      <c r="Q348" s="302"/>
      <c r="R348" s="302"/>
      <c r="S348" s="302"/>
      <c r="T348" s="302"/>
      <c r="U348" s="302"/>
      <c r="V348" s="302"/>
      <c r="W348" s="302"/>
      <c r="X348" s="302"/>
      <c r="Y348" s="302"/>
      <c r="Z348" s="302"/>
      <c r="AA348" s="302"/>
      <c r="AB348" s="302"/>
    </row>
    <row r="349">
      <c r="A349" s="320"/>
      <c r="B349" s="317"/>
      <c r="C349" s="301"/>
      <c r="D349" s="302"/>
      <c r="E349" s="301"/>
      <c r="F349" s="329"/>
      <c r="G349" s="301"/>
      <c r="H349" s="301"/>
      <c r="I349" s="329"/>
      <c r="J349" s="330"/>
      <c r="K349" s="301"/>
      <c r="L349" s="301"/>
      <c r="M349" s="302"/>
      <c r="N349" s="302"/>
      <c r="O349" s="302"/>
      <c r="P349" s="302"/>
      <c r="Q349" s="302"/>
      <c r="R349" s="302"/>
      <c r="S349" s="302"/>
      <c r="T349" s="302"/>
      <c r="U349" s="302"/>
      <c r="V349" s="302"/>
      <c r="W349" s="302"/>
      <c r="X349" s="302"/>
      <c r="Y349" s="302"/>
      <c r="Z349" s="302"/>
      <c r="AA349" s="302"/>
      <c r="AB349" s="302"/>
    </row>
    <row r="350">
      <c r="A350" s="320"/>
      <c r="B350" s="317"/>
      <c r="C350" s="301"/>
      <c r="D350" s="302"/>
      <c r="E350" s="301"/>
      <c r="F350" s="329"/>
      <c r="G350" s="301"/>
      <c r="H350" s="301"/>
      <c r="I350" s="329"/>
      <c r="J350" s="330"/>
      <c r="K350" s="301"/>
      <c r="L350" s="301"/>
      <c r="M350" s="302"/>
      <c r="N350" s="302"/>
      <c r="O350" s="302"/>
      <c r="P350" s="302"/>
      <c r="Q350" s="302"/>
      <c r="R350" s="302"/>
      <c r="S350" s="302"/>
      <c r="T350" s="302"/>
      <c r="U350" s="302"/>
      <c r="V350" s="302"/>
      <c r="W350" s="302"/>
      <c r="X350" s="302"/>
      <c r="Y350" s="302"/>
      <c r="Z350" s="302"/>
      <c r="AA350" s="302"/>
      <c r="AB350" s="302"/>
    </row>
    <row r="351">
      <c r="A351" s="320"/>
      <c r="B351" s="317"/>
      <c r="C351" s="301"/>
      <c r="D351" s="302"/>
      <c r="E351" s="301"/>
      <c r="F351" s="329"/>
      <c r="G351" s="301"/>
      <c r="H351" s="301"/>
      <c r="I351" s="329"/>
      <c r="J351" s="330"/>
      <c r="K351" s="301"/>
      <c r="L351" s="301"/>
      <c r="M351" s="302"/>
      <c r="N351" s="302"/>
      <c r="O351" s="302"/>
      <c r="P351" s="302"/>
      <c r="Q351" s="302"/>
      <c r="R351" s="302"/>
      <c r="S351" s="302"/>
      <c r="T351" s="302"/>
      <c r="U351" s="302"/>
      <c r="V351" s="302"/>
      <c r="W351" s="302"/>
      <c r="X351" s="302"/>
      <c r="Y351" s="302"/>
      <c r="Z351" s="302"/>
      <c r="AA351" s="302"/>
      <c r="AB351" s="302"/>
    </row>
    <row r="352">
      <c r="A352" s="320"/>
      <c r="B352" s="317"/>
      <c r="C352" s="301"/>
      <c r="D352" s="302"/>
      <c r="E352" s="301"/>
      <c r="F352" s="329"/>
      <c r="G352" s="301"/>
      <c r="H352" s="301"/>
      <c r="I352" s="329"/>
      <c r="J352" s="330"/>
      <c r="K352" s="301"/>
      <c r="L352" s="301"/>
      <c r="M352" s="302"/>
      <c r="N352" s="302"/>
      <c r="O352" s="302"/>
      <c r="P352" s="302"/>
      <c r="Q352" s="302"/>
      <c r="R352" s="302"/>
      <c r="S352" s="302"/>
      <c r="T352" s="302"/>
      <c r="U352" s="302"/>
      <c r="V352" s="302"/>
      <c r="W352" s="302"/>
      <c r="X352" s="302"/>
      <c r="Y352" s="302"/>
      <c r="Z352" s="302"/>
      <c r="AA352" s="302"/>
      <c r="AB352" s="302"/>
    </row>
    <row r="353">
      <c r="A353" s="320"/>
      <c r="B353" s="317"/>
      <c r="C353" s="301"/>
      <c r="D353" s="302"/>
      <c r="E353" s="301"/>
      <c r="F353" s="329"/>
      <c r="G353" s="301"/>
      <c r="H353" s="301"/>
      <c r="I353" s="329"/>
      <c r="J353" s="330"/>
      <c r="K353" s="301"/>
      <c r="L353" s="301"/>
      <c r="M353" s="302"/>
      <c r="N353" s="302"/>
      <c r="O353" s="302"/>
      <c r="P353" s="302"/>
      <c r="Q353" s="302"/>
      <c r="R353" s="302"/>
      <c r="S353" s="302"/>
      <c r="T353" s="302"/>
      <c r="U353" s="302"/>
      <c r="V353" s="302"/>
      <c r="W353" s="302"/>
      <c r="X353" s="302"/>
      <c r="Y353" s="302"/>
      <c r="Z353" s="302"/>
      <c r="AA353" s="302"/>
      <c r="AB353" s="302"/>
    </row>
    <row r="354">
      <c r="A354" s="320"/>
      <c r="B354" s="317"/>
      <c r="C354" s="301"/>
      <c r="D354" s="302"/>
      <c r="E354" s="301"/>
      <c r="F354" s="329"/>
      <c r="G354" s="301"/>
      <c r="H354" s="301"/>
      <c r="I354" s="329"/>
      <c r="J354" s="330"/>
      <c r="K354" s="301"/>
      <c r="L354" s="301"/>
      <c r="M354" s="302"/>
      <c r="N354" s="302"/>
      <c r="O354" s="302"/>
      <c r="P354" s="302"/>
      <c r="Q354" s="302"/>
      <c r="R354" s="302"/>
      <c r="S354" s="302"/>
      <c r="T354" s="302"/>
      <c r="U354" s="302"/>
      <c r="V354" s="302"/>
      <c r="W354" s="302"/>
      <c r="X354" s="302"/>
      <c r="Y354" s="302"/>
      <c r="Z354" s="302"/>
      <c r="AA354" s="302"/>
      <c r="AB354" s="302"/>
    </row>
    <row r="355">
      <c r="A355" s="320"/>
      <c r="B355" s="317"/>
      <c r="C355" s="301"/>
      <c r="D355" s="302"/>
      <c r="E355" s="301"/>
      <c r="F355" s="329"/>
      <c r="G355" s="301"/>
      <c r="H355" s="301"/>
      <c r="I355" s="329"/>
      <c r="J355" s="330"/>
      <c r="K355" s="301"/>
      <c r="L355" s="301"/>
      <c r="M355" s="302"/>
      <c r="N355" s="302"/>
      <c r="O355" s="302"/>
      <c r="P355" s="302"/>
      <c r="Q355" s="302"/>
      <c r="R355" s="302"/>
      <c r="S355" s="302"/>
      <c r="T355" s="302"/>
      <c r="U355" s="302"/>
      <c r="V355" s="302"/>
      <c r="W355" s="302"/>
      <c r="X355" s="302"/>
      <c r="Y355" s="302"/>
      <c r="Z355" s="302"/>
      <c r="AA355" s="302"/>
      <c r="AB355" s="302"/>
    </row>
    <row r="356">
      <c r="A356" s="320"/>
      <c r="B356" s="317"/>
      <c r="C356" s="301"/>
      <c r="D356" s="302"/>
      <c r="E356" s="301"/>
      <c r="F356" s="329"/>
      <c r="G356" s="301"/>
      <c r="H356" s="301"/>
      <c r="I356" s="329"/>
      <c r="J356" s="330"/>
      <c r="K356" s="301"/>
      <c r="L356" s="301"/>
      <c r="M356" s="302"/>
      <c r="N356" s="302"/>
      <c r="O356" s="302"/>
      <c r="P356" s="302"/>
      <c r="Q356" s="302"/>
      <c r="R356" s="302"/>
      <c r="S356" s="302"/>
      <c r="T356" s="302"/>
      <c r="U356" s="302"/>
      <c r="V356" s="302"/>
      <c r="W356" s="302"/>
      <c r="X356" s="302"/>
      <c r="Y356" s="302"/>
      <c r="Z356" s="302"/>
      <c r="AA356" s="302"/>
      <c r="AB356" s="302"/>
    </row>
    <row r="357">
      <c r="A357" s="320"/>
      <c r="B357" s="317"/>
      <c r="C357" s="301"/>
      <c r="D357" s="302"/>
      <c r="E357" s="301"/>
      <c r="F357" s="329"/>
      <c r="G357" s="301"/>
      <c r="H357" s="301"/>
      <c r="I357" s="329"/>
      <c r="J357" s="330"/>
      <c r="K357" s="301"/>
      <c r="L357" s="301"/>
      <c r="M357" s="302"/>
      <c r="N357" s="302"/>
      <c r="O357" s="302"/>
      <c r="P357" s="302"/>
      <c r="Q357" s="302"/>
      <c r="R357" s="302"/>
      <c r="S357" s="302"/>
      <c r="T357" s="302"/>
      <c r="U357" s="302"/>
      <c r="V357" s="302"/>
      <c r="W357" s="302"/>
      <c r="X357" s="302"/>
      <c r="Y357" s="302"/>
      <c r="Z357" s="302"/>
      <c r="AA357" s="302"/>
      <c r="AB357" s="302"/>
    </row>
    <row r="358">
      <c r="A358" s="320"/>
      <c r="B358" s="317"/>
      <c r="C358" s="301"/>
      <c r="D358" s="302"/>
      <c r="E358" s="301"/>
      <c r="F358" s="329"/>
      <c r="G358" s="301"/>
      <c r="H358" s="301"/>
      <c r="I358" s="329"/>
      <c r="J358" s="330"/>
      <c r="K358" s="301"/>
      <c r="L358" s="301"/>
      <c r="M358" s="302"/>
      <c r="N358" s="302"/>
      <c r="O358" s="302"/>
      <c r="P358" s="302"/>
      <c r="Q358" s="302"/>
      <c r="R358" s="302"/>
      <c r="S358" s="302"/>
      <c r="T358" s="302"/>
      <c r="U358" s="302"/>
      <c r="V358" s="302"/>
      <c r="W358" s="302"/>
      <c r="X358" s="302"/>
      <c r="Y358" s="302"/>
      <c r="Z358" s="302"/>
      <c r="AA358" s="302"/>
      <c r="AB358" s="302"/>
    </row>
    <row r="359">
      <c r="A359" s="320"/>
      <c r="B359" s="317"/>
      <c r="C359" s="301"/>
      <c r="D359" s="302"/>
      <c r="E359" s="301"/>
      <c r="F359" s="329"/>
      <c r="G359" s="301"/>
      <c r="H359" s="301"/>
      <c r="I359" s="329"/>
      <c r="J359" s="330"/>
      <c r="K359" s="301"/>
      <c r="L359" s="301"/>
      <c r="M359" s="302"/>
      <c r="N359" s="302"/>
      <c r="O359" s="302"/>
      <c r="P359" s="302"/>
      <c r="Q359" s="302"/>
      <c r="R359" s="302"/>
      <c r="S359" s="302"/>
      <c r="T359" s="302"/>
      <c r="U359" s="302"/>
      <c r="V359" s="302"/>
      <c r="W359" s="302"/>
      <c r="X359" s="302"/>
      <c r="Y359" s="302"/>
      <c r="Z359" s="302"/>
      <c r="AA359" s="302"/>
      <c r="AB359" s="302"/>
    </row>
    <row r="360">
      <c r="A360" s="320"/>
      <c r="B360" s="317"/>
      <c r="C360" s="301"/>
      <c r="D360" s="302"/>
      <c r="E360" s="301"/>
      <c r="F360" s="329"/>
      <c r="G360" s="301"/>
      <c r="H360" s="301"/>
      <c r="I360" s="329"/>
      <c r="J360" s="330"/>
      <c r="K360" s="301"/>
      <c r="L360" s="301"/>
      <c r="M360" s="302"/>
      <c r="N360" s="302"/>
      <c r="O360" s="302"/>
      <c r="P360" s="302"/>
      <c r="Q360" s="302"/>
      <c r="R360" s="302"/>
      <c r="S360" s="302"/>
      <c r="T360" s="302"/>
      <c r="U360" s="302"/>
      <c r="V360" s="302"/>
      <c r="W360" s="302"/>
      <c r="X360" s="302"/>
      <c r="Y360" s="302"/>
      <c r="Z360" s="302"/>
      <c r="AA360" s="302"/>
      <c r="AB360" s="302"/>
    </row>
    <row r="361">
      <c r="A361" s="320"/>
      <c r="B361" s="317"/>
      <c r="C361" s="301"/>
      <c r="D361" s="302"/>
      <c r="E361" s="301"/>
      <c r="F361" s="329"/>
      <c r="G361" s="301"/>
      <c r="H361" s="301"/>
      <c r="I361" s="329"/>
      <c r="J361" s="330"/>
      <c r="K361" s="301"/>
      <c r="L361" s="301"/>
      <c r="M361" s="302"/>
      <c r="N361" s="302"/>
      <c r="O361" s="302"/>
      <c r="P361" s="302"/>
      <c r="Q361" s="302"/>
      <c r="R361" s="302"/>
      <c r="S361" s="302"/>
      <c r="T361" s="302"/>
      <c r="U361" s="302"/>
      <c r="V361" s="302"/>
      <c r="W361" s="302"/>
      <c r="X361" s="302"/>
      <c r="Y361" s="302"/>
      <c r="Z361" s="302"/>
      <c r="AA361" s="302"/>
      <c r="AB361" s="302"/>
    </row>
    <row r="362">
      <c r="A362" s="320"/>
      <c r="B362" s="317"/>
      <c r="C362" s="301"/>
      <c r="D362" s="302"/>
      <c r="E362" s="301"/>
      <c r="F362" s="329"/>
      <c r="G362" s="301"/>
      <c r="H362" s="301"/>
      <c r="I362" s="329"/>
      <c r="J362" s="330"/>
      <c r="K362" s="301"/>
      <c r="L362" s="301"/>
      <c r="M362" s="302"/>
      <c r="N362" s="302"/>
      <c r="O362" s="302"/>
      <c r="P362" s="302"/>
      <c r="Q362" s="302"/>
      <c r="R362" s="302"/>
      <c r="S362" s="302"/>
      <c r="T362" s="302"/>
      <c r="U362" s="302"/>
      <c r="V362" s="302"/>
      <c r="W362" s="302"/>
      <c r="X362" s="302"/>
      <c r="Y362" s="302"/>
      <c r="Z362" s="302"/>
      <c r="AA362" s="302"/>
      <c r="AB362" s="302"/>
    </row>
    <row r="363">
      <c r="A363" s="320"/>
      <c r="B363" s="317"/>
      <c r="C363" s="301"/>
      <c r="D363" s="302"/>
      <c r="E363" s="301"/>
      <c r="F363" s="329"/>
      <c r="G363" s="301"/>
      <c r="H363" s="301"/>
      <c r="I363" s="329"/>
      <c r="J363" s="330"/>
      <c r="K363" s="301"/>
      <c r="L363" s="301"/>
      <c r="M363" s="302"/>
      <c r="N363" s="302"/>
      <c r="O363" s="302"/>
      <c r="P363" s="302"/>
      <c r="Q363" s="302"/>
      <c r="R363" s="302"/>
      <c r="S363" s="302"/>
      <c r="T363" s="302"/>
      <c r="U363" s="302"/>
      <c r="V363" s="302"/>
      <c r="W363" s="302"/>
      <c r="X363" s="302"/>
      <c r="Y363" s="302"/>
      <c r="Z363" s="302"/>
      <c r="AA363" s="302"/>
      <c r="AB363" s="302"/>
    </row>
    <row r="364">
      <c r="A364" s="320"/>
      <c r="B364" s="317"/>
      <c r="C364" s="301"/>
      <c r="D364" s="302"/>
      <c r="E364" s="301"/>
      <c r="F364" s="329"/>
      <c r="G364" s="301"/>
      <c r="H364" s="301"/>
      <c r="I364" s="329"/>
      <c r="J364" s="330"/>
      <c r="K364" s="301"/>
      <c r="L364" s="301"/>
      <c r="M364" s="302"/>
      <c r="N364" s="302"/>
      <c r="O364" s="302"/>
      <c r="P364" s="302"/>
      <c r="Q364" s="302"/>
      <c r="R364" s="302"/>
      <c r="S364" s="302"/>
      <c r="T364" s="302"/>
      <c r="U364" s="302"/>
      <c r="V364" s="302"/>
      <c r="W364" s="302"/>
      <c r="X364" s="302"/>
      <c r="Y364" s="302"/>
      <c r="Z364" s="302"/>
      <c r="AA364" s="302"/>
      <c r="AB364" s="302"/>
    </row>
    <row r="365">
      <c r="A365" s="320"/>
      <c r="B365" s="317"/>
      <c r="C365" s="301"/>
      <c r="D365" s="302"/>
      <c r="E365" s="301"/>
      <c r="F365" s="329"/>
      <c r="G365" s="301"/>
      <c r="H365" s="301"/>
      <c r="I365" s="329"/>
      <c r="J365" s="330"/>
      <c r="K365" s="301"/>
      <c r="L365" s="301"/>
      <c r="M365" s="302"/>
      <c r="N365" s="302"/>
      <c r="O365" s="302"/>
      <c r="P365" s="302"/>
      <c r="Q365" s="302"/>
      <c r="R365" s="302"/>
      <c r="S365" s="302"/>
      <c r="T365" s="302"/>
      <c r="U365" s="302"/>
      <c r="V365" s="302"/>
      <c r="W365" s="302"/>
      <c r="X365" s="302"/>
      <c r="Y365" s="302"/>
      <c r="Z365" s="302"/>
      <c r="AA365" s="302"/>
      <c r="AB365" s="302"/>
    </row>
    <row r="366">
      <c r="A366" s="320"/>
      <c r="B366" s="317"/>
      <c r="C366" s="301"/>
      <c r="D366" s="302"/>
      <c r="E366" s="301"/>
      <c r="F366" s="329"/>
      <c r="G366" s="301"/>
      <c r="H366" s="301"/>
      <c r="I366" s="329"/>
      <c r="J366" s="330"/>
      <c r="K366" s="301"/>
      <c r="L366" s="301"/>
      <c r="M366" s="302"/>
      <c r="N366" s="302"/>
      <c r="O366" s="302"/>
      <c r="P366" s="302"/>
      <c r="Q366" s="302"/>
      <c r="R366" s="302"/>
      <c r="S366" s="302"/>
      <c r="T366" s="302"/>
      <c r="U366" s="302"/>
      <c r="V366" s="302"/>
      <c r="W366" s="302"/>
      <c r="X366" s="302"/>
      <c r="Y366" s="302"/>
      <c r="Z366" s="302"/>
      <c r="AA366" s="302"/>
      <c r="AB366" s="302"/>
    </row>
    <row r="367">
      <c r="A367" s="320"/>
      <c r="B367" s="317"/>
      <c r="C367" s="301"/>
      <c r="D367" s="302"/>
      <c r="E367" s="301"/>
      <c r="F367" s="329"/>
      <c r="G367" s="301"/>
      <c r="H367" s="301"/>
      <c r="I367" s="329"/>
      <c r="J367" s="330"/>
      <c r="K367" s="301"/>
      <c r="L367" s="301"/>
      <c r="M367" s="302"/>
      <c r="N367" s="302"/>
      <c r="O367" s="302"/>
      <c r="P367" s="302"/>
      <c r="Q367" s="302"/>
      <c r="R367" s="302"/>
      <c r="S367" s="302"/>
      <c r="T367" s="302"/>
      <c r="U367" s="302"/>
      <c r="V367" s="302"/>
      <c r="W367" s="302"/>
      <c r="X367" s="302"/>
      <c r="Y367" s="302"/>
      <c r="Z367" s="302"/>
      <c r="AA367" s="302"/>
      <c r="AB367" s="302"/>
    </row>
    <row r="368">
      <c r="A368" s="320"/>
      <c r="B368" s="317"/>
      <c r="C368" s="301"/>
      <c r="D368" s="302"/>
      <c r="E368" s="301"/>
      <c r="F368" s="329"/>
      <c r="G368" s="301"/>
      <c r="H368" s="301"/>
      <c r="I368" s="329"/>
      <c r="J368" s="330"/>
      <c r="K368" s="301"/>
      <c r="L368" s="301"/>
      <c r="M368" s="302"/>
      <c r="N368" s="302"/>
      <c r="O368" s="302"/>
      <c r="P368" s="302"/>
      <c r="Q368" s="302"/>
      <c r="R368" s="302"/>
      <c r="S368" s="302"/>
      <c r="T368" s="302"/>
      <c r="U368" s="302"/>
      <c r="V368" s="302"/>
      <c r="W368" s="302"/>
      <c r="X368" s="302"/>
      <c r="Y368" s="302"/>
      <c r="Z368" s="302"/>
      <c r="AA368" s="302"/>
      <c r="AB368" s="302"/>
    </row>
    <row r="369">
      <c r="A369" s="320"/>
      <c r="B369" s="317"/>
      <c r="C369" s="301"/>
      <c r="D369" s="302"/>
      <c r="E369" s="301"/>
      <c r="F369" s="329"/>
      <c r="G369" s="301"/>
      <c r="H369" s="301"/>
      <c r="I369" s="329"/>
      <c r="J369" s="330"/>
      <c r="K369" s="301"/>
      <c r="L369" s="301"/>
      <c r="M369" s="302"/>
      <c r="N369" s="302"/>
      <c r="O369" s="302"/>
      <c r="P369" s="302"/>
      <c r="Q369" s="302"/>
      <c r="R369" s="302"/>
      <c r="S369" s="302"/>
      <c r="T369" s="302"/>
      <c r="U369" s="302"/>
      <c r="V369" s="302"/>
      <c r="W369" s="302"/>
      <c r="X369" s="302"/>
      <c r="Y369" s="302"/>
      <c r="Z369" s="302"/>
      <c r="AA369" s="302"/>
      <c r="AB369" s="302"/>
    </row>
    <row r="370">
      <c r="A370" s="320"/>
      <c r="B370" s="317"/>
      <c r="C370" s="301"/>
      <c r="D370" s="302"/>
      <c r="E370" s="301"/>
      <c r="F370" s="329"/>
      <c r="G370" s="301"/>
      <c r="H370" s="301"/>
      <c r="I370" s="329"/>
      <c r="J370" s="330"/>
      <c r="K370" s="301"/>
      <c r="L370" s="301"/>
      <c r="M370" s="302"/>
      <c r="N370" s="302"/>
      <c r="O370" s="302"/>
      <c r="P370" s="302"/>
      <c r="Q370" s="302"/>
      <c r="R370" s="302"/>
      <c r="S370" s="302"/>
      <c r="T370" s="302"/>
      <c r="U370" s="302"/>
      <c r="V370" s="302"/>
      <c r="W370" s="302"/>
      <c r="X370" s="302"/>
      <c r="Y370" s="302"/>
      <c r="Z370" s="302"/>
      <c r="AA370" s="302"/>
      <c r="AB370" s="302"/>
    </row>
    <row r="371">
      <c r="A371" s="320"/>
      <c r="B371" s="317"/>
      <c r="C371" s="301"/>
      <c r="D371" s="302"/>
      <c r="E371" s="301"/>
      <c r="F371" s="329"/>
      <c r="G371" s="301"/>
      <c r="H371" s="301"/>
      <c r="I371" s="329"/>
      <c r="J371" s="330"/>
      <c r="K371" s="301"/>
      <c r="L371" s="301"/>
      <c r="M371" s="302"/>
      <c r="N371" s="302"/>
      <c r="O371" s="302"/>
      <c r="P371" s="302"/>
      <c r="Q371" s="302"/>
      <c r="R371" s="302"/>
      <c r="S371" s="302"/>
      <c r="T371" s="302"/>
      <c r="U371" s="302"/>
      <c r="V371" s="302"/>
      <c r="W371" s="302"/>
      <c r="X371" s="302"/>
      <c r="Y371" s="302"/>
      <c r="Z371" s="302"/>
      <c r="AA371" s="302"/>
      <c r="AB371" s="302"/>
    </row>
    <row r="372">
      <c r="A372" s="320"/>
      <c r="B372" s="317"/>
      <c r="C372" s="301"/>
      <c r="D372" s="302"/>
      <c r="E372" s="301"/>
      <c r="F372" s="329"/>
      <c r="G372" s="301"/>
      <c r="H372" s="301"/>
      <c r="I372" s="329"/>
      <c r="J372" s="330"/>
      <c r="K372" s="301"/>
      <c r="L372" s="301"/>
      <c r="M372" s="302"/>
      <c r="N372" s="302"/>
      <c r="O372" s="302"/>
      <c r="P372" s="302"/>
      <c r="Q372" s="302"/>
      <c r="R372" s="302"/>
      <c r="S372" s="302"/>
      <c r="T372" s="302"/>
      <c r="U372" s="302"/>
      <c r="V372" s="302"/>
      <c r="W372" s="302"/>
      <c r="X372" s="302"/>
      <c r="Y372" s="302"/>
      <c r="Z372" s="302"/>
      <c r="AA372" s="302"/>
      <c r="AB372" s="302"/>
    </row>
    <row r="373">
      <c r="A373" s="320"/>
      <c r="B373" s="317"/>
      <c r="C373" s="301"/>
      <c r="D373" s="302"/>
      <c r="E373" s="301"/>
      <c r="F373" s="329"/>
      <c r="G373" s="301"/>
      <c r="H373" s="301"/>
      <c r="I373" s="329"/>
      <c r="J373" s="330"/>
      <c r="K373" s="301"/>
      <c r="L373" s="301"/>
      <c r="M373" s="302"/>
      <c r="N373" s="302"/>
      <c r="O373" s="302"/>
      <c r="P373" s="302"/>
      <c r="Q373" s="302"/>
      <c r="R373" s="302"/>
      <c r="S373" s="302"/>
      <c r="T373" s="302"/>
      <c r="U373" s="302"/>
      <c r="V373" s="302"/>
      <c r="W373" s="302"/>
      <c r="X373" s="302"/>
      <c r="Y373" s="302"/>
      <c r="Z373" s="302"/>
      <c r="AA373" s="302"/>
      <c r="AB373" s="302"/>
    </row>
    <row r="374">
      <c r="A374" s="320"/>
      <c r="B374" s="317"/>
      <c r="C374" s="301"/>
      <c r="D374" s="302"/>
      <c r="E374" s="301"/>
      <c r="F374" s="329"/>
      <c r="G374" s="301"/>
      <c r="H374" s="301"/>
      <c r="I374" s="329"/>
      <c r="J374" s="330"/>
      <c r="K374" s="301"/>
      <c r="L374" s="301"/>
      <c r="M374" s="302"/>
      <c r="N374" s="302"/>
      <c r="O374" s="302"/>
      <c r="P374" s="302"/>
      <c r="Q374" s="302"/>
      <c r="R374" s="302"/>
      <c r="S374" s="302"/>
      <c r="T374" s="302"/>
      <c r="U374" s="302"/>
      <c r="V374" s="302"/>
      <c r="W374" s="302"/>
      <c r="X374" s="302"/>
      <c r="Y374" s="302"/>
      <c r="Z374" s="302"/>
      <c r="AA374" s="302"/>
      <c r="AB374" s="302"/>
    </row>
    <row r="375">
      <c r="A375" s="320"/>
      <c r="B375" s="317"/>
      <c r="C375" s="301"/>
      <c r="D375" s="302"/>
      <c r="E375" s="301"/>
      <c r="F375" s="329"/>
      <c r="G375" s="301"/>
      <c r="H375" s="301"/>
      <c r="I375" s="329"/>
      <c r="J375" s="330"/>
      <c r="K375" s="301"/>
      <c r="L375" s="301"/>
      <c r="M375" s="302"/>
      <c r="N375" s="302"/>
      <c r="O375" s="302"/>
      <c r="P375" s="302"/>
      <c r="Q375" s="302"/>
      <c r="R375" s="302"/>
      <c r="S375" s="302"/>
      <c r="T375" s="302"/>
      <c r="U375" s="302"/>
      <c r="V375" s="302"/>
      <c r="W375" s="302"/>
      <c r="X375" s="302"/>
      <c r="Y375" s="302"/>
      <c r="Z375" s="302"/>
      <c r="AA375" s="302"/>
      <c r="AB375" s="302"/>
    </row>
    <row r="376">
      <c r="A376" s="320"/>
      <c r="B376" s="317"/>
      <c r="C376" s="301"/>
      <c r="D376" s="302"/>
      <c r="E376" s="301"/>
      <c r="F376" s="329"/>
      <c r="G376" s="301"/>
      <c r="H376" s="301"/>
      <c r="I376" s="329"/>
      <c r="J376" s="330"/>
      <c r="K376" s="301"/>
      <c r="L376" s="301"/>
      <c r="M376" s="302"/>
      <c r="N376" s="302"/>
      <c r="O376" s="302"/>
      <c r="P376" s="302"/>
      <c r="Q376" s="302"/>
      <c r="R376" s="302"/>
      <c r="S376" s="302"/>
      <c r="T376" s="302"/>
      <c r="U376" s="302"/>
      <c r="V376" s="302"/>
      <c r="W376" s="302"/>
      <c r="X376" s="302"/>
      <c r="Y376" s="302"/>
      <c r="Z376" s="302"/>
      <c r="AA376" s="302"/>
      <c r="AB376" s="302"/>
    </row>
    <row r="377">
      <c r="A377" s="320"/>
      <c r="B377" s="317"/>
      <c r="C377" s="301"/>
      <c r="D377" s="302"/>
      <c r="E377" s="301"/>
      <c r="F377" s="329"/>
      <c r="G377" s="301"/>
      <c r="H377" s="301"/>
      <c r="I377" s="329"/>
      <c r="J377" s="330"/>
      <c r="K377" s="301"/>
      <c r="L377" s="301"/>
      <c r="M377" s="302"/>
      <c r="N377" s="302"/>
      <c r="O377" s="302"/>
      <c r="P377" s="302"/>
      <c r="Q377" s="302"/>
      <c r="R377" s="302"/>
      <c r="S377" s="302"/>
      <c r="T377" s="302"/>
      <c r="U377" s="302"/>
      <c r="V377" s="302"/>
      <c r="W377" s="302"/>
      <c r="X377" s="302"/>
      <c r="Y377" s="302"/>
      <c r="Z377" s="302"/>
      <c r="AA377" s="302"/>
      <c r="AB377" s="302"/>
    </row>
    <row r="378">
      <c r="A378" s="320"/>
      <c r="B378" s="317"/>
      <c r="C378" s="301"/>
      <c r="D378" s="302"/>
      <c r="E378" s="301"/>
      <c r="F378" s="329"/>
      <c r="G378" s="301"/>
      <c r="H378" s="301"/>
      <c r="I378" s="329"/>
      <c r="J378" s="330"/>
      <c r="K378" s="301"/>
      <c r="L378" s="301"/>
      <c r="M378" s="302"/>
      <c r="N378" s="302"/>
      <c r="O378" s="302"/>
      <c r="P378" s="302"/>
      <c r="Q378" s="302"/>
      <c r="R378" s="302"/>
      <c r="S378" s="302"/>
      <c r="T378" s="302"/>
      <c r="U378" s="302"/>
      <c r="V378" s="302"/>
      <c r="W378" s="302"/>
      <c r="X378" s="302"/>
      <c r="Y378" s="302"/>
      <c r="Z378" s="302"/>
      <c r="AA378" s="302"/>
      <c r="AB378" s="302"/>
    </row>
    <row r="379">
      <c r="A379" s="320"/>
      <c r="B379" s="317"/>
      <c r="C379" s="301"/>
      <c r="D379" s="302"/>
      <c r="E379" s="301"/>
      <c r="F379" s="329"/>
      <c r="G379" s="301"/>
      <c r="H379" s="301"/>
      <c r="I379" s="329"/>
      <c r="J379" s="330"/>
      <c r="K379" s="301"/>
      <c r="L379" s="301"/>
      <c r="M379" s="302"/>
      <c r="N379" s="302"/>
      <c r="O379" s="302"/>
      <c r="P379" s="302"/>
      <c r="Q379" s="302"/>
      <c r="R379" s="302"/>
      <c r="S379" s="302"/>
      <c r="T379" s="302"/>
      <c r="U379" s="302"/>
      <c r="V379" s="302"/>
      <c r="W379" s="302"/>
      <c r="X379" s="302"/>
      <c r="Y379" s="302"/>
      <c r="Z379" s="302"/>
      <c r="AA379" s="302"/>
      <c r="AB379" s="302"/>
    </row>
    <row r="380">
      <c r="A380" s="320"/>
      <c r="B380" s="317"/>
      <c r="C380" s="301"/>
      <c r="D380" s="302"/>
      <c r="E380" s="301"/>
      <c r="F380" s="329"/>
      <c r="G380" s="301"/>
      <c r="H380" s="301"/>
      <c r="I380" s="329"/>
      <c r="J380" s="330"/>
      <c r="K380" s="301"/>
      <c r="L380" s="301"/>
      <c r="M380" s="302"/>
      <c r="N380" s="302"/>
      <c r="O380" s="302"/>
      <c r="P380" s="302"/>
      <c r="Q380" s="302"/>
      <c r="R380" s="302"/>
      <c r="S380" s="302"/>
      <c r="T380" s="302"/>
      <c r="U380" s="302"/>
      <c r="V380" s="302"/>
      <c r="W380" s="302"/>
      <c r="X380" s="302"/>
      <c r="Y380" s="302"/>
      <c r="Z380" s="302"/>
      <c r="AA380" s="302"/>
      <c r="AB380" s="302"/>
    </row>
    <row r="381">
      <c r="A381" s="320"/>
      <c r="B381" s="317"/>
      <c r="C381" s="301"/>
      <c r="D381" s="302"/>
      <c r="E381" s="301"/>
      <c r="F381" s="329"/>
      <c r="G381" s="301"/>
      <c r="H381" s="301"/>
      <c r="I381" s="329"/>
      <c r="J381" s="330"/>
      <c r="K381" s="301"/>
      <c r="L381" s="301"/>
      <c r="M381" s="302"/>
      <c r="N381" s="302"/>
      <c r="O381" s="302"/>
      <c r="P381" s="302"/>
      <c r="Q381" s="302"/>
      <c r="R381" s="302"/>
      <c r="S381" s="302"/>
      <c r="T381" s="302"/>
      <c r="U381" s="302"/>
      <c r="V381" s="302"/>
      <c r="W381" s="302"/>
      <c r="X381" s="302"/>
      <c r="Y381" s="302"/>
      <c r="Z381" s="302"/>
      <c r="AA381" s="302"/>
      <c r="AB381" s="302"/>
    </row>
    <row r="382">
      <c r="A382" s="320"/>
      <c r="B382" s="317"/>
      <c r="C382" s="301"/>
      <c r="D382" s="302"/>
      <c r="E382" s="301"/>
      <c r="F382" s="329"/>
      <c r="G382" s="301"/>
      <c r="H382" s="301"/>
      <c r="I382" s="329"/>
      <c r="J382" s="330"/>
      <c r="K382" s="301"/>
      <c r="L382" s="301"/>
      <c r="M382" s="302"/>
      <c r="N382" s="302"/>
      <c r="O382" s="302"/>
      <c r="P382" s="302"/>
      <c r="Q382" s="302"/>
      <c r="R382" s="302"/>
      <c r="S382" s="302"/>
      <c r="T382" s="302"/>
      <c r="U382" s="302"/>
      <c r="V382" s="302"/>
      <c r="W382" s="302"/>
      <c r="X382" s="302"/>
      <c r="Y382" s="302"/>
      <c r="Z382" s="302"/>
      <c r="AA382" s="302"/>
      <c r="AB382" s="302"/>
    </row>
    <row r="383">
      <c r="A383" s="320"/>
      <c r="B383" s="317"/>
      <c r="C383" s="301"/>
      <c r="D383" s="302"/>
      <c r="E383" s="301"/>
      <c r="F383" s="329"/>
      <c r="G383" s="301"/>
      <c r="H383" s="301"/>
      <c r="I383" s="329"/>
      <c r="J383" s="330"/>
      <c r="K383" s="301"/>
      <c r="L383" s="301"/>
      <c r="M383" s="302"/>
      <c r="N383" s="302"/>
      <c r="O383" s="302"/>
      <c r="P383" s="302"/>
      <c r="Q383" s="302"/>
      <c r="R383" s="302"/>
      <c r="S383" s="302"/>
      <c r="T383" s="302"/>
      <c r="U383" s="302"/>
      <c r="V383" s="302"/>
      <c r="W383" s="302"/>
      <c r="X383" s="302"/>
      <c r="Y383" s="302"/>
      <c r="Z383" s="302"/>
      <c r="AA383" s="302"/>
      <c r="AB383" s="302"/>
    </row>
    <row r="384">
      <c r="A384" s="320"/>
      <c r="B384" s="317"/>
      <c r="C384" s="301"/>
      <c r="D384" s="302"/>
      <c r="E384" s="301"/>
      <c r="F384" s="329"/>
      <c r="G384" s="301"/>
      <c r="H384" s="301"/>
      <c r="I384" s="329"/>
      <c r="J384" s="330"/>
      <c r="K384" s="301"/>
      <c r="L384" s="301"/>
      <c r="M384" s="302"/>
      <c r="N384" s="302"/>
      <c r="O384" s="302"/>
      <c r="P384" s="302"/>
      <c r="Q384" s="302"/>
      <c r="R384" s="302"/>
      <c r="S384" s="302"/>
      <c r="T384" s="302"/>
      <c r="U384" s="302"/>
      <c r="V384" s="302"/>
      <c r="W384" s="302"/>
      <c r="X384" s="302"/>
      <c r="Y384" s="302"/>
      <c r="Z384" s="302"/>
      <c r="AA384" s="302"/>
      <c r="AB384" s="302"/>
    </row>
    <row r="385">
      <c r="A385" s="320"/>
      <c r="B385" s="317"/>
      <c r="C385" s="301"/>
      <c r="D385" s="302"/>
      <c r="E385" s="301"/>
      <c r="F385" s="329"/>
      <c r="G385" s="301"/>
      <c r="H385" s="301"/>
      <c r="I385" s="329"/>
      <c r="J385" s="330"/>
      <c r="K385" s="301"/>
      <c r="L385" s="301"/>
      <c r="M385" s="302"/>
      <c r="N385" s="302"/>
      <c r="O385" s="302"/>
      <c r="P385" s="302"/>
      <c r="Q385" s="302"/>
      <c r="R385" s="302"/>
      <c r="S385" s="302"/>
      <c r="T385" s="302"/>
      <c r="U385" s="302"/>
      <c r="V385" s="302"/>
      <c r="W385" s="302"/>
      <c r="X385" s="302"/>
      <c r="Y385" s="302"/>
      <c r="Z385" s="302"/>
      <c r="AA385" s="302"/>
      <c r="AB385" s="302"/>
    </row>
    <row r="386">
      <c r="A386" s="320"/>
      <c r="B386" s="317"/>
      <c r="C386" s="301"/>
      <c r="D386" s="302"/>
      <c r="E386" s="301"/>
      <c r="F386" s="329"/>
      <c r="G386" s="301"/>
      <c r="H386" s="301"/>
      <c r="I386" s="329"/>
      <c r="J386" s="330"/>
      <c r="K386" s="301"/>
      <c r="L386" s="301"/>
      <c r="M386" s="302"/>
      <c r="N386" s="302"/>
      <c r="O386" s="302"/>
      <c r="P386" s="302"/>
      <c r="Q386" s="302"/>
      <c r="R386" s="302"/>
      <c r="S386" s="302"/>
      <c r="T386" s="302"/>
      <c r="U386" s="302"/>
      <c r="V386" s="302"/>
      <c r="W386" s="302"/>
      <c r="X386" s="302"/>
      <c r="Y386" s="302"/>
      <c r="Z386" s="302"/>
      <c r="AA386" s="302"/>
      <c r="AB386" s="302"/>
    </row>
    <row r="387">
      <c r="A387" s="320"/>
      <c r="B387" s="317"/>
      <c r="C387" s="301"/>
      <c r="D387" s="302"/>
      <c r="E387" s="301"/>
      <c r="F387" s="329"/>
      <c r="G387" s="301"/>
      <c r="H387" s="301"/>
      <c r="I387" s="329"/>
      <c r="J387" s="330"/>
      <c r="K387" s="301"/>
      <c r="L387" s="301"/>
      <c r="M387" s="302"/>
      <c r="N387" s="302"/>
      <c r="O387" s="302"/>
      <c r="P387" s="302"/>
      <c r="Q387" s="302"/>
      <c r="R387" s="302"/>
      <c r="S387" s="302"/>
      <c r="T387" s="302"/>
      <c r="U387" s="302"/>
      <c r="V387" s="302"/>
      <c r="W387" s="302"/>
      <c r="X387" s="302"/>
      <c r="Y387" s="302"/>
      <c r="Z387" s="302"/>
      <c r="AA387" s="302"/>
      <c r="AB387" s="302"/>
    </row>
    <row r="388">
      <c r="A388" s="320"/>
      <c r="B388" s="317"/>
      <c r="C388" s="301"/>
      <c r="D388" s="302"/>
      <c r="E388" s="301"/>
      <c r="F388" s="329"/>
      <c r="G388" s="301"/>
      <c r="H388" s="301"/>
      <c r="I388" s="329"/>
      <c r="J388" s="330"/>
      <c r="K388" s="301"/>
      <c r="L388" s="301"/>
      <c r="M388" s="302"/>
      <c r="N388" s="302"/>
      <c r="O388" s="302"/>
      <c r="P388" s="302"/>
      <c r="Q388" s="302"/>
      <c r="R388" s="302"/>
      <c r="S388" s="302"/>
      <c r="T388" s="302"/>
      <c r="U388" s="302"/>
      <c r="V388" s="302"/>
      <c r="W388" s="302"/>
      <c r="X388" s="302"/>
      <c r="Y388" s="302"/>
      <c r="Z388" s="302"/>
      <c r="AA388" s="302"/>
      <c r="AB388" s="302"/>
    </row>
    <row r="389">
      <c r="A389" s="320"/>
      <c r="B389" s="317"/>
      <c r="C389" s="301"/>
      <c r="D389" s="302"/>
      <c r="E389" s="301"/>
      <c r="F389" s="329"/>
      <c r="G389" s="301"/>
      <c r="H389" s="301"/>
      <c r="I389" s="329"/>
      <c r="J389" s="330"/>
      <c r="K389" s="301"/>
      <c r="L389" s="301"/>
      <c r="M389" s="302"/>
      <c r="N389" s="302"/>
      <c r="O389" s="302"/>
      <c r="P389" s="302"/>
      <c r="Q389" s="302"/>
      <c r="R389" s="302"/>
      <c r="S389" s="302"/>
      <c r="T389" s="302"/>
      <c r="U389" s="302"/>
      <c r="V389" s="302"/>
      <c r="W389" s="302"/>
      <c r="X389" s="302"/>
      <c r="Y389" s="302"/>
      <c r="Z389" s="302"/>
      <c r="AA389" s="302"/>
      <c r="AB389" s="302"/>
    </row>
    <row r="390">
      <c r="A390" s="320"/>
      <c r="B390" s="317"/>
      <c r="C390" s="301"/>
      <c r="D390" s="302"/>
      <c r="E390" s="301"/>
      <c r="F390" s="329"/>
      <c r="G390" s="301"/>
      <c r="H390" s="301"/>
      <c r="I390" s="329"/>
      <c r="J390" s="330"/>
      <c r="K390" s="301"/>
      <c r="L390" s="301"/>
      <c r="M390" s="302"/>
      <c r="N390" s="302"/>
      <c r="O390" s="302"/>
      <c r="P390" s="302"/>
      <c r="Q390" s="302"/>
      <c r="R390" s="302"/>
      <c r="S390" s="302"/>
      <c r="T390" s="302"/>
      <c r="U390" s="302"/>
      <c r="V390" s="302"/>
      <c r="W390" s="302"/>
      <c r="X390" s="302"/>
      <c r="Y390" s="302"/>
      <c r="Z390" s="302"/>
      <c r="AA390" s="302"/>
      <c r="AB390" s="302"/>
    </row>
    <row r="391">
      <c r="A391" s="320"/>
      <c r="B391" s="317"/>
      <c r="C391" s="301"/>
      <c r="D391" s="302"/>
      <c r="E391" s="301"/>
      <c r="F391" s="329"/>
      <c r="G391" s="301"/>
      <c r="H391" s="301"/>
      <c r="I391" s="329"/>
      <c r="J391" s="330"/>
      <c r="K391" s="301"/>
      <c r="L391" s="301"/>
      <c r="M391" s="302"/>
      <c r="N391" s="302"/>
      <c r="O391" s="302"/>
      <c r="P391" s="302"/>
      <c r="Q391" s="302"/>
      <c r="R391" s="302"/>
      <c r="S391" s="302"/>
      <c r="T391" s="302"/>
      <c r="U391" s="302"/>
      <c r="V391" s="302"/>
      <c r="W391" s="302"/>
      <c r="X391" s="302"/>
      <c r="Y391" s="302"/>
      <c r="Z391" s="302"/>
      <c r="AA391" s="302"/>
      <c r="AB391" s="302"/>
    </row>
    <row r="392">
      <c r="A392" s="320"/>
      <c r="B392" s="317"/>
      <c r="C392" s="301"/>
      <c r="D392" s="302"/>
      <c r="E392" s="301"/>
      <c r="F392" s="329"/>
      <c r="G392" s="301"/>
      <c r="H392" s="301"/>
      <c r="I392" s="329"/>
      <c r="J392" s="330"/>
      <c r="K392" s="301"/>
      <c r="L392" s="301"/>
      <c r="M392" s="302"/>
      <c r="N392" s="302"/>
      <c r="O392" s="302"/>
      <c r="P392" s="302"/>
      <c r="Q392" s="302"/>
      <c r="R392" s="302"/>
      <c r="S392" s="302"/>
      <c r="T392" s="302"/>
      <c r="U392" s="302"/>
      <c r="V392" s="302"/>
      <c r="W392" s="302"/>
      <c r="X392" s="302"/>
      <c r="Y392" s="302"/>
      <c r="Z392" s="302"/>
      <c r="AA392" s="302"/>
      <c r="AB392" s="302"/>
    </row>
    <row r="393">
      <c r="A393" s="320"/>
      <c r="B393" s="317"/>
      <c r="C393" s="301"/>
      <c r="D393" s="302"/>
      <c r="E393" s="301"/>
      <c r="F393" s="329"/>
      <c r="G393" s="301"/>
      <c r="H393" s="301"/>
      <c r="I393" s="329"/>
      <c r="J393" s="330"/>
      <c r="K393" s="301"/>
      <c r="L393" s="301"/>
      <c r="M393" s="302"/>
      <c r="N393" s="302"/>
      <c r="O393" s="302"/>
      <c r="P393" s="302"/>
      <c r="Q393" s="302"/>
      <c r="R393" s="302"/>
      <c r="S393" s="302"/>
      <c r="T393" s="302"/>
      <c r="U393" s="302"/>
      <c r="V393" s="302"/>
      <c r="W393" s="302"/>
      <c r="X393" s="302"/>
      <c r="Y393" s="302"/>
      <c r="Z393" s="302"/>
      <c r="AA393" s="302"/>
      <c r="AB393" s="302"/>
    </row>
    <row r="394">
      <c r="A394" s="320"/>
      <c r="B394" s="317"/>
      <c r="C394" s="301"/>
      <c r="D394" s="302"/>
      <c r="E394" s="301"/>
      <c r="F394" s="329"/>
      <c r="G394" s="301"/>
      <c r="H394" s="301"/>
      <c r="I394" s="329"/>
      <c r="J394" s="330"/>
      <c r="K394" s="301"/>
      <c r="L394" s="301"/>
      <c r="M394" s="302"/>
      <c r="N394" s="302"/>
      <c r="O394" s="302"/>
      <c r="P394" s="302"/>
      <c r="Q394" s="302"/>
      <c r="R394" s="302"/>
      <c r="S394" s="302"/>
      <c r="T394" s="302"/>
      <c r="U394" s="302"/>
      <c r="V394" s="302"/>
      <c r="W394" s="302"/>
      <c r="X394" s="302"/>
      <c r="Y394" s="302"/>
      <c r="Z394" s="302"/>
      <c r="AA394" s="302"/>
      <c r="AB394" s="302"/>
    </row>
    <row r="395">
      <c r="A395" s="320"/>
      <c r="B395" s="317"/>
      <c r="C395" s="301"/>
      <c r="D395" s="302"/>
      <c r="E395" s="301"/>
      <c r="F395" s="329"/>
      <c r="G395" s="301"/>
      <c r="H395" s="301"/>
      <c r="I395" s="329"/>
      <c r="J395" s="330"/>
      <c r="K395" s="301"/>
      <c r="L395" s="301"/>
      <c r="M395" s="302"/>
      <c r="N395" s="302"/>
      <c r="O395" s="302"/>
      <c r="P395" s="302"/>
      <c r="Q395" s="302"/>
      <c r="R395" s="302"/>
      <c r="S395" s="302"/>
      <c r="T395" s="302"/>
      <c r="U395" s="302"/>
      <c r="V395" s="302"/>
      <c r="W395" s="302"/>
      <c r="X395" s="302"/>
      <c r="Y395" s="302"/>
      <c r="Z395" s="302"/>
      <c r="AA395" s="302"/>
      <c r="AB395" s="302"/>
    </row>
    <row r="396">
      <c r="A396" s="320"/>
      <c r="B396" s="317"/>
      <c r="C396" s="301"/>
      <c r="D396" s="302"/>
      <c r="E396" s="301"/>
      <c r="F396" s="329"/>
      <c r="G396" s="301"/>
      <c r="H396" s="301"/>
      <c r="I396" s="329"/>
      <c r="J396" s="330"/>
      <c r="K396" s="301"/>
      <c r="L396" s="301"/>
      <c r="M396" s="302"/>
      <c r="N396" s="302"/>
      <c r="O396" s="302"/>
      <c r="P396" s="302"/>
      <c r="Q396" s="302"/>
      <c r="R396" s="302"/>
      <c r="S396" s="302"/>
      <c r="T396" s="302"/>
      <c r="U396" s="302"/>
      <c r="V396" s="302"/>
      <c r="W396" s="302"/>
      <c r="X396" s="302"/>
      <c r="Y396" s="302"/>
      <c r="Z396" s="302"/>
      <c r="AA396" s="302"/>
      <c r="AB396" s="302"/>
    </row>
    <row r="397">
      <c r="A397" s="320"/>
      <c r="B397" s="317"/>
      <c r="C397" s="301"/>
      <c r="D397" s="302"/>
      <c r="E397" s="301"/>
      <c r="F397" s="329"/>
      <c r="G397" s="301"/>
      <c r="H397" s="301"/>
      <c r="I397" s="329"/>
      <c r="J397" s="330"/>
      <c r="K397" s="301"/>
      <c r="L397" s="301"/>
      <c r="M397" s="302"/>
      <c r="N397" s="302"/>
      <c r="O397" s="302"/>
      <c r="P397" s="302"/>
      <c r="Q397" s="302"/>
      <c r="R397" s="302"/>
      <c r="S397" s="302"/>
      <c r="T397" s="302"/>
      <c r="U397" s="302"/>
      <c r="V397" s="302"/>
      <c r="W397" s="302"/>
      <c r="X397" s="302"/>
      <c r="Y397" s="302"/>
      <c r="Z397" s="302"/>
      <c r="AA397" s="302"/>
      <c r="AB397" s="302"/>
    </row>
    <row r="398">
      <c r="A398" s="320"/>
      <c r="B398" s="317"/>
      <c r="C398" s="301"/>
      <c r="D398" s="302"/>
      <c r="E398" s="301"/>
      <c r="F398" s="329"/>
      <c r="G398" s="301"/>
      <c r="H398" s="301"/>
      <c r="I398" s="329"/>
      <c r="J398" s="330"/>
      <c r="K398" s="301"/>
      <c r="L398" s="301"/>
      <c r="M398" s="302"/>
      <c r="N398" s="302"/>
      <c r="O398" s="302"/>
      <c r="P398" s="302"/>
      <c r="Q398" s="302"/>
      <c r="R398" s="302"/>
      <c r="S398" s="302"/>
      <c r="T398" s="302"/>
      <c r="U398" s="302"/>
      <c r="V398" s="302"/>
      <c r="W398" s="302"/>
      <c r="X398" s="302"/>
      <c r="Y398" s="302"/>
      <c r="Z398" s="302"/>
      <c r="AA398" s="302"/>
      <c r="AB398" s="302"/>
    </row>
    <row r="399">
      <c r="A399" s="320"/>
      <c r="B399" s="317"/>
      <c r="C399" s="301"/>
      <c r="D399" s="302"/>
      <c r="E399" s="301"/>
      <c r="F399" s="329"/>
      <c r="G399" s="301"/>
      <c r="H399" s="301"/>
      <c r="I399" s="329"/>
      <c r="J399" s="330"/>
      <c r="K399" s="301"/>
      <c r="L399" s="301"/>
      <c r="M399" s="302"/>
      <c r="N399" s="302"/>
      <c r="O399" s="302"/>
      <c r="P399" s="302"/>
      <c r="Q399" s="302"/>
      <c r="R399" s="302"/>
      <c r="S399" s="302"/>
      <c r="T399" s="302"/>
      <c r="U399" s="302"/>
      <c r="V399" s="302"/>
      <c r="W399" s="302"/>
      <c r="X399" s="302"/>
      <c r="Y399" s="302"/>
      <c r="Z399" s="302"/>
      <c r="AA399" s="302"/>
      <c r="AB399" s="302"/>
    </row>
    <row r="400">
      <c r="A400" s="320"/>
      <c r="B400" s="317"/>
      <c r="C400" s="301"/>
      <c r="D400" s="302"/>
      <c r="E400" s="301"/>
      <c r="F400" s="329"/>
      <c r="G400" s="301"/>
      <c r="H400" s="301"/>
      <c r="I400" s="329"/>
      <c r="J400" s="330"/>
      <c r="K400" s="301"/>
      <c r="L400" s="301"/>
      <c r="M400" s="302"/>
      <c r="N400" s="302"/>
      <c r="O400" s="302"/>
      <c r="P400" s="302"/>
      <c r="Q400" s="302"/>
      <c r="R400" s="302"/>
      <c r="S400" s="302"/>
      <c r="T400" s="302"/>
      <c r="U400" s="302"/>
      <c r="V400" s="302"/>
      <c r="W400" s="302"/>
      <c r="X400" s="302"/>
      <c r="Y400" s="302"/>
      <c r="Z400" s="302"/>
      <c r="AA400" s="302"/>
      <c r="AB400" s="302"/>
    </row>
    <row r="401">
      <c r="A401" s="320"/>
      <c r="B401" s="317"/>
      <c r="C401" s="301"/>
      <c r="D401" s="302"/>
      <c r="E401" s="301"/>
      <c r="F401" s="329"/>
      <c r="G401" s="301"/>
      <c r="H401" s="301"/>
      <c r="I401" s="329"/>
      <c r="J401" s="330"/>
      <c r="K401" s="301"/>
      <c r="L401" s="301"/>
      <c r="M401" s="302"/>
      <c r="N401" s="302"/>
      <c r="O401" s="302"/>
      <c r="P401" s="302"/>
      <c r="Q401" s="302"/>
      <c r="R401" s="302"/>
      <c r="S401" s="302"/>
      <c r="T401" s="302"/>
      <c r="U401" s="302"/>
      <c r="V401" s="302"/>
      <c r="W401" s="302"/>
      <c r="X401" s="302"/>
      <c r="Y401" s="302"/>
      <c r="Z401" s="302"/>
      <c r="AA401" s="302"/>
      <c r="AB401" s="302"/>
    </row>
    <row r="402">
      <c r="A402" s="320"/>
      <c r="B402" s="317"/>
      <c r="C402" s="301"/>
      <c r="D402" s="302"/>
      <c r="E402" s="301"/>
      <c r="F402" s="329"/>
      <c r="G402" s="301"/>
      <c r="H402" s="301"/>
      <c r="I402" s="329"/>
      <c r="J402" s="330"/>
      <c r="K402" s="301"/>
      <c r="L402" s="301"/>
      <c r="M402" s="302"/>
      <c r="N402" s="302"/>
      <c r="O402" s="302"/>
      <c r="P402" s="302"/>
      <c r="Q402" s="302"/>
      <c r="R402" s="302"/>
      <c r="S402" s="302"/>
      <c r="T402" s="302"/>
      <c r="U402" s="302"/>
      <c r="V402" s="302"/>
      <c r="W402" s="302"/>
      <c r="X402" s="302"/>
      <c r="Y402" s="302"/>
      <c r="Z402" s="302"/>
      <c r="AA402" s="302"/>
      <c r="AB402" s="302"/>
    </row>
    <row r="403">
      <c r="A403" s="320"/>
      <c r="B403" s="317"/>
      <c r="C403" s="301"/>
      <c r="D403" s="302"/>
      <c r="E403" s="301"/>
      <c r="F403" s="329"/>
      <c r="G403" s="301"/>
      <c r="H403" s="301"/>
      <c r="I403" s="329"/>
      <c r="J403" s="330"/>
      <c r="K403" s="301"/>
      <c r="L403" s="301"/>
      <c r="M403" s="302"/>
      <c r="N403" s="302"/>
      <c r="O403" s="302"/>
      <c r="P403" s="302"/>
      <c r="Q403" s="302"/>
      <c r="R403" s="302"/>
      <c r="S403" s="302"/>
      <c r="T403" s="302"/>
      <c r="U403" s="302"/>
      <c r="V403" s="302"/>
      <c r="W403" s="302"/>
      <c r="X403" s="302"/>
      <c r="Y403" s="302"/>
      <c r="Z403" s="302"/>
      <c r="AA403" s="302"/>
      <c r="AB403" s="302"/>
    </row>
    <row r="404">
      <c r="A404" s="320"/>
      <c r="B404" s="317"/>
      <c r="C404" s="301"/>
      <c r="D404" s="302"/>
      <c r="E404" s="301"/>
      <c r="F404" s="329"/>
      <c r="G404" s="301"/>
      <c r="H404" s="301"/>
      <c r="I404" s="329"/>
      <c r="J404" s="330"/>
      <c r="K404" s="301"/>
      <c r="L404" s="301"/>
      <c r="M404" s="302"/>
      <c r="N404" s="302"/>
      <c r="O404" s="302"/>
      <c r="P404" s="302"/>
      <c r="Q404" s="302"/>
      <c r="R404" s="302"/>
      <c r="S404" s="302"/>
      <c r="T404" s="302"/>
      <c r="U404" s="302"/>
      <c r="V404" s="302"/>
      <c r="W404" s="302"/>
      <c r="X404" s="302"/>
      <c r="Y404" s="302"/>
      <c r="Z404" s="302"/>
      <c r="AA404" s="302"/>
      <c r="AB404" s="302"/>
    </row>
    <row r="405">
      <c r="A405" s="320"/>
      <c r="B405" s="317"/>
      <c r="C405" s="301"/>
      <c r="D405" s="302"/>
      <c r="E405" s="301"/>
      <c r="F405" s="329"/>
      <c r="G405" s="301"/>
      <c r="H405" s="301"/>
      <c r="I405" s="329"/>
      <c r="J405" s="330"/>
      <c r="K405" s="301"/>
      <c r="L405" s="301"/>
      <c r="M405" s="302"/>
      <c r="N405" s="302"/>
      <c r="O405" s="302"/>
      <c r="P405" s="302"/>
      <c r="Q405" s="302"/>
      <c r="R405" s="302"/>
      <c r="S405" s="302"/>
      <c r="T405" s="302"/>
      <c r="U405" s="302"/>
      <c r="V405" s="302"/>
      <c r="W405" s="302"/>
      <c r="X405" s="302"/>
      <c r="Y405" s="302"/>
      <c r="Z405" s="302"/>
      <c r="AA405" s="302"/>
      <c r="AB405" s="302"/>
    </row>
    <row r="406">
      <c r="A406" s="320"/>
      <c r="B406" s="317"/>
      <c r="C406" s="301"/>
      <c r="D406" s="302"/>
      <c r="E406" s="301"/>
      <c r="F406" s="329"/>
      <c r="G406" s="301"/>
      <c r="H406" s="301"/>
      <c r="I406" s="329"/>
      <c r="J406" s="330"/>
      <c r="K406" s="301"/>
      <c r="L406" s="301"/>
      <c r="M406" s="302"/>
      <c r="N406" s="302"/>
      <c r="O406" s="302"/>
      <c r="P406" s="302"/>
      <c r="Q406" s="302"/>
      <c r="R406" s="302"/>
      <c r="S406" s="302"/>
      <c r="T406" s="302"/>
      <c r="U406" s="302"/>
      <c r="V406" s="302"/>
      <c r="W406" s="302"/>
      <c r="X406" s="302"/>
      <c r="Y406" s="302"/>
      <c r="Z406" s="302"/>
      <c r="AA406" s="302"/>
      <c r="AB406" s="302"/>
    </row>
    <row r="407">
      <c r="A407" s="320"/>
      <c r="B407" s="317"/>
      <c r="C407" s="301"/>
      <c r="D407" s="302"/>
      <c r="E407" s="301"/>
      <c r="F407" s="329"/>
      <c r="G407" s="301"/>
      <c r="H407" s="301"/>
      <c r="I407" s="329"/>
      <c r="J407" s="330"/>
      <c r="K407" s="301"/>
      <c r="L407" s="301"/>
      <c r="M407" s="302"/>
      <c r="N407" s="302"/>
      <c r="O407" s="302"/>
      <c r="P407" s="302"/>
      <c r="Q407" s="302"/>
      <c r="R407" s="302"/>
      <c r="S407" s="302"/>
      <c r="T407" s="302"/>
      <c r="U407" s="302"/>
      <c r="V407" s="302"/>
      <c r="W407" s="302"/>
      <c r="X407" s="302"/>
      <c r="Y407" s="302"/>
      <c r="Z407" s="302"/>
      <c r="AA407" s="302"/>
      <c r="AB407" s="302"/>
    </row>
    <row r="408">
      <c r="A408" s="320"/>
      <c r="B408" s="317"/>
      <c r="C408" s="301"/>
      <c r="D408" s="302"/>
      <c r="E408" s="301"/>
      <c r="F408" s="329"/>
      <c r="G408" s="301"/>
      <c r="H408" s="301"/>
      <c r="I408" s="329"/>
      <c r="J408" s="330"/>
      <c r="K408" s="301"/>
      <c r="L408" s="301"/>
      <c r="M408" s="302"/>
      <c r="N408" s="302"/>
      <c r="O408" s="302"/>
      <c r="P408" s="302"/>
      <c r="Q408" s="302"/>
      <c r="R408" s="302"/>
      <c r="S408" s="302"/>
      <c r="T408" s="302"/>
      <c r="U408" s="302"/>
      <c r="V408" s="302"/>
      <c r="W408" s="302"/>
      <c r="X408" s="302"/>
      <c r="Y408" s="302"/>
      <c r="Z408" s="302"/>
      <c r="AA408" s="302"/>
      <c r="AB408" s="302"/>
    </row>
    <row r="409">
      <c r="A409" s="320"/>
      <c r="B409" s="317"/>
      <c r="C409" s="301"/>
      <c r="D409" s="302"/>
      <c r="E409" s="301"/>
      <c r="F409" s="329"/>
      <c r="G409" s="301"/>
      <c r="H409" s="301"/>
      <c r="I409" s="329"/>
      <c r="J409" s="330"/>
      <c r="K409" s="301"/>
      <c r="L409" s="301"/>
      <c r="M409" s="302"/>
      <c r="N409" s="302"/>
      <c r="O409" s="302"/>
      <c r="P409" s="302"/>
      <c r="Q409" s="302"/>
      <c r="R409" s="302"/>
      <c r="S409" s="302"/>
      <c r="T409" s="302"/>
      <c r="U409" s="302"/>
      <c r="V409" s="302"/>
      <c r="W409" s="302"/>
      <c r="X409" s="302"/>
      <c r="Y409" s="302"/>
      <c r="Z409" s="302"/>
      <c r="AA409" s="302"/>
      <c r="AB409" s="302"/>
    </row>
    <row r="410">
      <c r="A410" s="320"/>
      <c r="B410" s="317"/>
      <c r="C410" s="301"/>
      <c r="D410" s="302"/>
      <c r="E410" s="301"/>
      <c r="F410" s="329"/>
      <c r="G410" s="301"/>
      <c r="H410" s="301"/>
      <c r="I410" s="329"/>
      <c r="J410" s="330"/>
      <c r="K410" s="301"/>
      <c r="L410" s="301"/>
      <c r="M410" s="302"/>
      <c r="N410" s="302"/>
      <c r="O410" s="302"/>
      <c r="P410" s="302"/>
      <c r="Q410" s="302"/>
      <c r="R410" s="302"/>
      <c r="S410" s="302"/>
      <c r="T410" s="302"/>
      <c r="U410" s="302"/>
      <c r="V410" s="302"/>
      <c r="W410" s="302"/>
      <c r="X410" s="302"/>
      <c r="Y410" s="302"/>
      <c r="Z410" s="302"/>
      <c r="AA410" s="302"/>
      <c r="AB410" s="302"/>
    </row>
    <row r="411">
      <c r="A411" s="320"/>
      <c r="B411" s="317"/>
      <c r="C411" s="301"/>
      <c r="D411" s="302"/>
      <c r="E411" s="301"/>
      <c r="F411" s="329"/>
      <c r="G411" s="301"/>
      <c r="H411" s="301"/>
      <c r="I411" s="329"/>
      <c r="J411" s="330"/>
      <c r="K411" s="301"/>
      <c r="L411" s="301"/>
      <c r="M411" s="302"/>
      <c r="N411" s="302"/>
      <c r="O411" s="302"/>
      <c r="P411" s="302"/>
      <c r="Q411" s="302"/>
      <c r="R411" s="302"/>
      <c r="S411" s="302"/>
      <c r="T411" s="302"/>
      <c r="U411" s="302"/>
      <c r="V411" s="302"/>
      <c r="W411" s="302"/>
      <c r="X411" s="302"/>
      <c r="Y411" s="302"/>
      <c r="Z411" s="302"/>
      <c r="AA411" s="302"/>
      <c r="AB411" s="302"/>
    </row>
    <row r="412">
      <c r="A412" s="320"/>
      <c r="B412" s="317"/>
      <c r="C412" s="301"/>
      <c r="D412" s="302"/>
      <c r="E412" s="301"/>
      <c r="F412" s="329"/>
      <c r="G412" s="301"/>
      <c r="H412" s="301"/>
      <c r="I412" s="329"/>
      <c r="J412" s="330"/>
      <c r="K412" s="301"/>
      <c r="L412" s="301"/>
      <c r="M412" s="302"/>
      <c r="N412" s="302"/>
      <c r="O412" s="302"/>
      <c r="P412" s="302"/>
      <c r="Q412" s="302"/>
      <c r="R412" s="302"/>
      <c r="S412" s="302"/>
      <c r="T412" s="302"/>
      <c r="U412" s="302"/>
      <c r="V412" s="302"/>
      <c r="W412" s="302"/>
      <c r="X412" s="302"/>
      <c r="Y412" s="302"/>
      <c r="Z412" s="302"/>
      <c r="AA412" s="302"/>
      <c r="AB412" s="302"/>
    </row>
    <row r="413">
      <c r="A413" s="320"/>
      <c r="B413" s="317"/>
      <c r="C413" s="301"/>
      <c r="D413" s="302"/>
      <c r="E413" s="301"/>
      <c r="F413" s="329"/>
      <c r="G413" s="301"/>
      <c r="H413" s="301"/>
      <c r="I413" s="329"/>
      <c r="J413" s="330"/>
      <c r="K413" s="301"/>
      <c r="L413" s="301"/>
      <c r="M413" s="302"/>
      <c r="N413" s="302"/>
      <c r="O413" s="302"/>
      <c r="P413" s="302"/>
      <c r="Q413" s="302"/>
      <c r="R413" s="302"/>
      <c r="S413" s="302"/>
      <c r="T413" s="302"/>
      <c r="U413" s="302"/>
      <c r="V413" s="302"/>
      <c r="W413" s="302"/>
      <c r="X413" s="302"/>
      <c r="Y413" s="302"/>
      <c r="Z413" s="302"/>
      <c r="AA413" s="302"/>
      <c r="AB413" s="302"/>
    </row>
    <row r="414">
      <c r="A414" s="320"/>
      <c r="B414" s="317"/>
      <c r="C414" s="301"/>
      <c r="D414" s="302"/>
      <c r="E414" s="301"/>
      <c r="F414" s="329"/>
      <c r="G414" s="301"/>
      <c r="H414" s="301"/>
      <c r="I414" s="329"/>
      <c r="J414" s="330"/>
      <c r="K414" s="301"/>
      <c r="L414" s="301"/>
      <c r="M414" s="302"/>
      <c r="N414" s="302"/>
      <c r="O414" s="302"/>
      <c r="P414" s="302"/>
      <c r="Q414" s="302"/>
      <c r="R414" s="302"/>
      <c r="S414" s="302"/>
      <c r="T414" s="302"/>
      <c r="U414" s="302"/>
      <c r="V414" s="302"/>
      <c r="W414" s="302"/>
      <c r="X414" s="302"/>
      <c r="Y414" s="302"/>
      <c r="Z414" s="302"/>
      <c r="AA414" s="302"/>
      <c r="AB414" s="302"/>
    </row>
    <row r="415">
      <c r="A415" s="320"/>
      <c r="B415" s="317"/>
      <c r="C415" s="301"/>
      <c r="D415" s="302"/>
      <c r="E415" s="301"/>
      <c r="F415" s="329"/>
      <c r="G415" s="301"/>
      <c r="H415" s="301"/>
      <c r="I415" s="329"/>
      <c r="J415" s="330"/>
      <c r="K415" s="301"/>
      <c r="L415" s="301"/>
      <c r="M415" s="302"/>
      <c r="N415" s="302"/>
      <c r="O415" s="302"/>
      <c r="P415" s="302"/>
      <c r="Q415" s="302"/>
      <c r="R415" s="302"/>
      <c r="S415" s="302"/>
      <c r="T415" s="302"/>
      <c r="U415" s="302"/>
      <c r="V415" s="302"/>
      <c r="W415" s="302"/>
      <c r="X415" s="302"/>
      <c r="Y415" s="302"/>
      <c r="Z415" s="302"/>
      <c r="AA415" s="302"/>
      <c r="AB415" s="302"/>
    </row>
    <row r="416">
      <c r="A416" s="320"/>
      <c r="B416" s="317"/>
      <c r="C416" s="301"/>
      <c r="D416" s="302"/>
      <c r="E416" s="301"/>
      <c r="F416" s="329"/>
      <c r="G416" s="301"/>
      <c r="H416" s="301"/>
      <c r="I416" s="329"/>
      <c r="J416" s="330"/>
      <c r="K416" s="301"/>
      <c r="L416" s="301"/>
      <c r="M416" s="302"/>
      <c r="N416" s="302"/>
      <c r="O416" s="302"/>
      <c r="P416" s="302"/>
      <c r="Q416" s="302"/>
      <c r="R416" s="302"/>
      <c r="S416" s="302"/>
      <c r="T416" s="302"/>
      <c r="U416" s="302"/>
      <c r="V416" s="302"/>
      <c r="W416" s="302"/>
      <c r="X416" s="302"/>
      <c r="Y416" s="302"/>
      <c r="Z416" s="302"/>
      <c r="AA416" s="302"/>
      <c r="AB416" s="302"/>
    </row>
    <row r="417">
      <c r="A417" s="320"/>
      <c r="B417" s="317"/>
      <c r="C417" s="301"/>
      <c r="D417" s="302"/>
      <c r="E417" s="301"/>
      <c r="F417" s="329"/>
      <c r="G417" s="301"/>
      <c r="H417" s="301"/>
      <c r="I417" s="329"/>
      <c r="J417" s="330"/>
      <c r="K417" s="301"/>
      <c r="L417" s="301"/>
      <c r="M417" s="302"/>
      <c r="N417" s="302"/>
      <c r="O417" s="302"/>
      <c r="P417" s="302"/>
      <c r="Q417" s="302"/>
      <c r="R417" s="302"/>
      <c r="S417" s="302"/>
      <c r="T417" s="302"/>
      <c r="U417" s="302"/>
      <c r="V417" s="302"/>
      <c r="W417" s="302"/>
      <c r="X417" s="302"/>
      <c r="Y417" s="302"/>
      <c r="Z417" s="302"/>
      <c r="AA417" s="302"/>
      <c r="AB417" s="302"/>
    </row>
    <row r="418">
      <c r="A418" s="320"/>
      <c r="B418" s="317"/>
      <c r="C418" s="301"/>
      <c r="D418" s="302"/>
      <c r="E418" s="301"/>
      <c r="F418" s="329"/>
      <c r="G418" s="301"/>
      <c r="H418" s="301"/>
      <c r="I418" s="329"/>
      <c r="J418" s="330"/>
      <c r="K418" s="301"/>
      <c r="L418" s="301"/>
      <c r="M418" s="302"/>
      <c r="N418" s="302"/>
      <c r="O418" s="302"/>
      <c r="P418" s="302"/>
      <c r="Q418" s="302"/>
      <c r="R418" s="302"/>
      <c r="S418" s="302"/>
      <c r="T418" s="302"/>
      <c r="U418" s="302"/>
      <c r="V418" s="302"/>
      <c r="W418" s="302"/>
      <c r="X418" s="302"/>
      <c r="Y418" s="302"/>
      <c r="Z418" s="302"/>
      <c r="AA418" s="302"/>
      <c r="AB418" s="302"/>
    </row>
    <row r="419">
      <c r="A419" s="320"/>
      <c r="B419" s="317"/>
      <c r="C419" s="301"/>
      <c r="D419" s="302"/>
      <c r="E419" s="301"/>
      <c r="F419" s="329"/>
      <c r="G419" s="301"/>
      <c r="H419" s="301"/>
      <c r="I419" s="329"/>
      <c r="J419" s="330"/>
      <c r="K419" s="301"/>
      <c r="L419" s="301"/>
      <c r="M419" s="302"/>
      <c r="N419" s="302"/>
      <c r="O419" s="302"/>
      <c r="P419" s="302"/>
      <c r="Q419" s="302"/>
      <c r="R419" s="302"/>
      <c r="S419" s="302"/>
      <c r="T419" s="302"/>
      <c r="U419" s="302"/>
      <c r="V419" s="302"/>
      <c r="W419" s="302"/>
      <c r="X419" s="302"/>
      <c r="Y419" s="302"/>
      <c r="Z419" s="302"/>
      <c r="AA419" s="302"/>
      <c r="AB419" s="302"/>
    </row>
    <row r="420">
      <c r="A420" s="320"/>
      <c r="B420" s="317"/>
      <c r="C420" s="301"/>
      <c r="D420" s="302"/>
      <c r="E420" s="301"/>
      <c r="F420" s="329"/>
      <c r="G420" s="301"/>
      <c r="H420" s="301"/>
      <c r="I420" s="329"/>
      <c r="J420" s="330"/>
      <c r="K420" s="301"/>
      <c r="L420" s="301"/>
      <c r="M420" s="302"/>
      <c r="N420" s="302"/>
      <c r="O420" s="302"/>
      <c r="P420" s="302"/>
      <c r="Q420" s="302"/>
      <c r="R420" s="302"/>
      <c r="S420" s="302"/>
      <c r="T420" s="302"/>
      <c r="U420" s="302"/>
      <c r="V420" s="302"/>
      <c r="W420" s="302"/>
      <c r="X420" s="302"/>
      <c r="Y420" s="302"/>
      <c r="Z420" s="302"/>
      <c r="AA420" s="302"/>
      <c r="AB420" s="302"/>
    </row>
    <row r="421">
      <c r="A421" s="320"/>
      <c r="B421" s="317"/>
      <c r="C421" s="301"/>
      <c r="D421" s="302"/>
      <c r="E421" s="301"/>
      <c r="F421" s="329"/>
      <c r="G421" s="301"/>
      <c r="H421" s="301"/>
      <c r="I421" s="329"/>
      <c r="J421" s="330"/>
      <c r="K421" s="301"/>
      <c r="L421" s="301"/>
      <c r="M421" s="302"/>
      <c r="N421" s="302"/>
      <c r="O421" s="302"/>
      <c r="P421" s="302"/>
      <c r="Q421" s="302"/>
      <c r="R421" s="302"/>
      <c r="S421" s="302"/>
      <c r="T421" s="302"/>
      <c r="U421" s="302"/>
      <c r="V421" s="302"/>
      <c r="W421" s="302"/>
      <c r="X421" s="302"/>
      <c r="Y421" s="302"/>
      <c r="Z421" s="302"/>
      <c r="AA421" s="302"/>
      <c r="AB421" s="302"/>
    </row>
    <row r="422">
      <c r="A422" s="320"/>
      <c r="B422" s="317"/>
      <c r="C422" s="301"/>
      <c r="D422" s="302"/>
      <c r="E422" s="301"/>
      <c r="F422" s="329"/>
      <c r="G422" s="301"/>
      <c r="H422" s="301"/>
      <c r="I422" s="329"/>
      <c r="J422" s="330"/>
      <c r="K422" s="301"/>
      <c r="L422" s="301"/>
      <c r="M422" s="302"/>
      <c r="N422" s="302"/>
      <c r="O422" s="302"/>
      <c r="P422" s="302"/>
      <c r="Q422" s="302"/>
      <c r="R422" s="302"/>
      <c r="S422" s="302"/>
      <c r="T422" s="302"/>
      <c r="U422" s="302"/>
      <c r="V422" s="302"/>
      <c r="W422" s="302"/>
      <c r="X422" s="302"/>
      <c r="Y422" s="302"/>
      <c r="Z422" s="302"/>
      <c r="AA422" s="302"/>
      <c r="AB422" s="302"/>
    </row>
    <row r="423">
      <c r="A423" s="320"/>
      <c r="B423" s="317"/>
      <c r="C423" s="301"/>
      <c r="D423" s="302"/>
      <c r="E423" s="301"/>
      <c r="F423" s="329"/>
      <c r="G423" s="301"/>
      <c r="H423" s="301"/>
      <c r="I423" s="329"/>
      <c r="J423" s="330"/>
      <c r="K423" s="301"/>
      <c r="L423" s="301"/>
      <c r="M423" s="302"/>
      <c r="N423" s="302"/>
      <c r="O423" s="302"/>
      <c r="P423" s="302"/>
      <c r="Q423" s="302"/>
      <c r="R423" s="302"/>
      <c r="S423" s="302"/>
      <c r="T423" s="302"/>
      <c r="U423" s="302"/>
      <c r="V423" s="302"/>
      <c r="W423" s="302"/>
      <c r="X423" s="302"/>
      <c r="Y423" s="302"/>
      <c r="Z423" s="302"/>
      <c r="AA423" s="302"/>
      <c r="AB423" s="302"/>
    </row>
    <row r="424">
      <c r="A424" s="320"/>
      <c r="B424" s="317"/>
      <c r="C424" s="301"/>
      <c r="D424" s="302"/>
      <c r="E424" s="301"/>
      <c r="F424" s="329"/>
      <c r="G424" s="301"/>
      <c r="H424" s="301"/>
      <c r="I424" s="329"/>
      <c r="J424" s="330"/>
      <c r="K424" s="301"/>
      <c r="L424" s="301"/>
      <c r="M424" s="302"/>
      <c r="N424" s="302"/>
      <c r="O424" s="302"/>
      <c r="P424" s="302"/>
      <c r="Q424" s="302"/>
      <c r="R424" s="302"/>
      <c r="S424" s="302"/>
      <c r="T424" s="302"/>
      <c r="U424" s="302"/>
      <c r="V424" s="302"/>
      <c r="W424" s="302"/>
      <c r="X424" s="302"/>
      <c r="Y424" s="302"/>
      <c r="Z424" s="302"/>
      <c r="AA424" s="302"/>
      <c r="AB424" s="302"/>
    </row>
    <row r="425">
      <c r="A425" s="320"/>
      <c r="B425" s="317"/>
      <c r="C425" s="301"/>
      <c r="D425" s="302"/>
      <c r="E425" s="301"/>
      <c r="F425" s="329"/>
      <c r="G425" s="301"/>
      <c r="H425" s="301"/>
      <c r="I425" s="329"/>
      <c r="J425" s="330"/>
      <c r="K425" s="301"/>
      <c r="L425" s="301"/>
      <c r="M425" s="302"/>
      <c r="N425" s="302"/>
      <c r="O425" s="302"/>
      <c r="P425" s="302"/>
      <c r="Q425" s="302"/>
      <c r="R425" s="302"/>
      <c r="S425" s="302"/>
      <c r="T425" s="302"/>
      <c r="U425" s="302"/>
      <c r="V425" s="302"/>
      <c r="W425" s="302"/>
      <c r="X425" s="302"/>
      <c r="Y425" s="302"/>
      <c r="Z425" s="302"/>
      <c r="AA425" s="302"/>
      <c r="AB425" s="302"/>
    </row>
    <row r="426">
      <c r="A426" s="320"/>
      <c r="B426" s="317"/>
      <c r="C426" s="301"/>
      <c r="D426" s="302"/>
      <c r="E426" s="301"/>
      <c r="F426" s="329"/>
      <c r="G426" s="301"/>
      <c r="H426" s="301"/>
      <c r="I426" s="329"/>
      <c r="J426" s="330"/>
      <c r="K426" s="301"/>
      <c r="L426" s="301"/>
      <c r="M426" s="302"/>
      <c r="N426" s="302"/>
      <c r="O426" s="302"/>
      <c r="P426" s="302"/>
      <c r="Q426" s="302"/>
      <c r="R426" s="302"/>
      <c r="S426" s="302"/>
      <c r="T426" s="302"/>
      <c r="U426" s="302"/>
      <c r="V426" s="302"/>
      <c r="W426" s="302"/>
      <c r="X426" s="302"/>
      <c r="Y426" s="302"/>
      <c r="Z426" s="302"/>
      <c r="AA426" s="302"/>
      <c r="AB426" s="302"/>
    </row>
    <row r="427">
      <c r="A427" s="320"/>
      <c r="B427" s="317"/>
      <c r="C427" s="301"/>
      <c r="D427" s="302"/>
      <c r="E427" s="301"/>
      <c r="F427" s="329"/>
      <c r="G427" s="301"/>
      <c r="H427" s="301"/>
      <c r="I427" s="329"/>
      <c r="J427" s="330"/>
      <c r="K427" s="301"/>
      <c r="L427" s="301"/>
      <c r="M427" s="302"/>
      <c r="N427" s="302"/>
      <c r="O427" s="302"/>
      <c r="P427" s="302"/>
      <c r="Q427" s="302"/>
      <c r="R427" s="302"/>
      <c r="S427" s="302"/>
      <c r="T427" s="302"/>
      <c r="U427" s="302"/>
      <c r="V427" s="302"/>
      <c r="W427" s="302"/>
      <c r="X427" s="302"/>
      <c r="Y427" s="302"/>
      <c r="Z427" s="302"/>
      <c r="AA427" s="302"/>
      <c r="AB427" s="302"/>
    </row>
    <row r="428">
      <c r="A428" s="320"/>
      <c r="B428" s="317"/>
      <c r="C428" s="301"/>
      <c r="D428" s="302"/>
      <c r="E428" s="301"/>
      <c r="F428" s="329"/>
      <c r="G428" s="301"/>
      <c r="H428" s="301"/>
      <c r="I428" s="329"/>
      <c r="J428" s="330"/>
      <c r="K428" s="301"/>
      <c r="L428" s="301"/>
      <c r="M428" s="302"/>
      <c r="N428" s="302"/>
      <c r="O428" s="302"/>
      <c r="P428" s="302"/>
      <c r="Q428" s="302"/>
      <c r="R428" s="302"/>
      <c r="S428" s="302"/>
      <c r="T428" s="302"/>
      <c r="U428" s="302"/>
      <c r="V428" s="302"/>
      <c r="W428" s="302"/>
      <c r="X428" s="302"/>
      <c r="Y428" s="302"/>
      <c r="Z428" s="302"/>
      <c r="AA428" s="302"/>
      <c r="AB428" s="302"/>
    </row>
    <row r="429">
      <c r="A429" s="320"/>
      <c r="B429" s="317"/>
      <c r="C429" s="301"/>
      <c r="D429" s="302"/>
      <c r="E429" s="301"/>
      <c r="F429" s="329"/>
      <c r="G429" s="301"/>
      <c r="H429" s="301"/>
      <c r="I429" s="329"/>
      <c r="J429" s="330"/>
      <c r="K429" s="301"/>
      <c r="L429" s="301"/>
      <c r="M429" s="302"/>
      <c r="N429" s="302"/>
      <c r="O429" s="302"/>
      <c r="P429" s="302"/>
      <c r="Q429" s="302"/>
      <c r="R429" s="302"/>
      <c r="S429" s="302"/>
      <c r="T429" s="302"/>
      <c r="U429" s="302"/>
      <c r="V429" s="302"/>
      <c r="W429" s="302"/>
      <c r="X429" s="302"/>
      <c r="Y429" s="302"/>
      <c r="Z429" s="302"/>
      <c r="AA429" s="302"/>
      <c r="AB429" s="302"/>
    </row>
    <row r="430">
      <c r="A430" s="320"/>
      <c r="B430" s="317"/>
      <c r="C430" s="301"/>
      <c r="D430" s="302"/>
      <c r="E430" s="301"/>
      <c r="F430" s="329"/>
      <c r="G430" s="301"/>
      <c r="H430" s="301"/>
      <c r="I430" s="329"/>
      <c r="J430" s="330"/>
      <c r="K430" s="301"/>
      <c r="L430" s="301"/>
      <c r="M430" s="302"/>
      <c r="N430" s="302"/>
      <c r="O430" s="302"/>
      <c r="P430" s="302"/>
      <c r="Q430" s="302"/>
      <c r="R430" s="302"/>
      <c r="S430" s="302"/>
      <c r="T430" s="302"/>
      <c r="U430" s="302"/>
      <c r="V430" s="302"/>
      <c r="W430" s="302"/>
      <c r="X430" s="302"/>
      <c r="Y430" s="302"/>
      <c r="Z430" s="302"/>
      <c r="AA430" s="302"/>
      <c r="AB430" s="302"/>
    </row>
    <row r="431">
      <c r="A431" s="320"/>
      <c r="B431" s="317"/>
      <c r="C431" s="301"/>
      <c r="D431" s="302"/>
      <c r="E431" s="301"/>
      <c r="F431" s="329"/>
      <c r="G431" s="301"/>
      <c r="H431" s="301"/>
      <c r="I431" s="329"/>
      <c r="J431" s="330"/>
      <c r="K431" s="301"/>
      <c r="L431" s="301"/>
      <c r="M431" s="302"/>
      <c r="N431" s="302"/>
      <c r="O431" s="302"/>
      <c r="P431" s="302"/>
      <c r="Q431" s="302"/>
      <c r="R431" s="302"/>
      <c r="S431" s="302"/>
      <c r="T431" s="302"/>
      <c r="U431" s="302"/>
      <c r="V431" s="302"/>
      <c r="W431" s="302"/>
      <c r="X431" s="302"/>
      <c r="Y431" s="302"/>
      <c r="Z431" s="302"/>
      <c r="AA431" s="302"/>
      <c r="AB431" s="302"/>
    </row>
    <row r="432">
      <c r="A432" s="320"/>
      <c r="B432" s="317"/>
      <c r="C432" s="301"/>
      <c r="D432" s="302"/>
      <c r="E432" s="301"/>
      <c r="F432" s="329"/>
      <c r="G432" s="301"/>
      <c r="H432" s="301"/>
      <c r="I432" s="329"/>
      <c r="J432" s="330"/>
      <c r="K432" s="301"/>
      <c r="L432" s="301"/>
      <c r="M432" s="302"/>
      <c r="N432" s="302"/>
      <c r="O432" s="302"/>
      <c r="P432" s="302"/>
      <c r="Q432" s="302"/>
      <c r="R432" s="302"/>
      <c r="S432" s="302"/>
      <c r="T432" s="302"/>
      <c r="U432" s="302"/>
      <c r="V432" s="302"/>
      <c r="W432" s="302"/>
      <c r="X432" s="302"/>
      <c r="Y432" s="302"/>
      <c r="Z432" s="302"/>
      <c r="AA432" s="302"/>
      <c r="AB432" s="302"/>
    </row>
    <row r="433">
      <c r="A433" s="320"/>
      <c r="B433" s="317"/>
      <c r="C433" s="301"/>
      <c r="D433" s="302"/>
      <c r="E433" s="301"/>
      <c r="F433" s="329"/>
      <c r="G433" s="301"/>
      <c r="H433" s="301"/>
      <c r="I433" s="329"/>
      <c r="J433" s="330"/>
      <c r="K433" s="301"/>
      <c r="L433" s="301"/>
      <c r="M433" s="302"/>
      <c r="N433" s="302"/>
      <c r="O433" s="302"/>
      <c r="P433" s="302"/>
      <c r="Q433" s="302"/>
      <c r="R433" s="302"/>
      <c r="S433" s="302"/>
      <c r="T433" s="302"/>
      <c r="U433" s="302"/>
      <c r="V433" s="302"/>
      <c r="W433" s="302"/>
      <c r="X433" s="302"/>
      <c r="Y433" s="302"/>
      <c r="Z433" s="302"/>
      <c r="AA433" s="302"/>
      <c r="AB433" s="302"/>
    </row>
    <row r="434">
      <c r="A434" s="320"/>
      <c r="B434" s="317"/>
      <c r="C434" s="301"/>
      <c r="D434" s="302"/>
      <c r="E434" s="301"/>
      <c r="F434" s="329"/>
      <c r="G434" s="301"/>
      <c r="H434" s="301"/>
      <c r="I434" s="329"/>
      <c r="J434" s="330"/>
      <c r="K434" s="301"/>
      <c r="L434" s="301"/>
      <c r="M434" s="302"/>
      <c r="N434" s="302"/>
      <c r="O434" s="302"/>
      <c r="P434" s="302"/>
      <c r="Q434" s="302"/>
      <c r="R434" s="302"/>
      <c r="S434" s="302"/>
      <c r="T434" s="302"/>
      <c r="U434" s="302"/>
      <c r="V434" s="302"/>
      <c r="W434" s="302"/>
      <c r="X434" s="302"/>
      <c r="Y434" s="302"/>
      <c r="Z434" s="302"/>
      <c r="AA434" s="302"/>
      <c r="AB434" s="302"/>
    </row>
    <row r="435">
      <c r="A435" s="320"/>
      <c r="B435" s="317"/>
      <c r="C435" s="301"/>
      <c r="D435" s="302"/>
      <c r="E435" s="301"/>
      <c r="F435" s="329"/>
      <c r="G435" s="301"/>
      <c r="H435" s="301"/>
      <c r="I435" s="329"/>
      <c r="J435" s="330"/>
      <c r="K435" s="301"/>
      <c r="L435" s="301"/>
      <c r="M435" s="302"/>
      <c r="N435" s="302"/>
      <c r="O435" s="302"/>
      <c r="P435" s="302"/>
      <c r="Q435" s="302"/>
      <c r="R435" s="302"/>
      <c r="S435" s="302"/>
      <c r="T435" s="302"/>
      <c r="U435" s="302"/>
      <c r="V435" s="302"/>
      <c r="W435" s="302"/>
      <c r="X435" s="302"/>
      <c r="Y435" s="302"/>
      <c r="Z435" s="302"/>
      <c r="AA435" s="302"/>
      <c r="AB435" s="302"/>
    </row>
    <row r="436">
      <c r="A436" s="320"/>
      <c r="B436" s="317"/>
      <c r="C436" s="301"/>
      <c r="D436" s="302"/>
      <c r="E436" s="301"/>
      <c r="F436" s="329"/>
      <c r="G436" s="301"/>
      <c r="H436" s="301"/>
      <c r="I436" s="329"/>
      <c r="J436" s="330"/>
      <c r="K436" s="301"/>
      <c r="L436" s="301"/>
      <c r="M436" s="302"/>
      <c r="N436" s="302"/>
      <c r="O436" s="302"/>
      <c r="P436" s="302"/>
      <c r="Q436" s="302"/>
      <c r="R436" s="302"/>
      <c r="S436" s="302"/>
      <c r="T436" s="302"/>
      <c r="U436" s="302"/>
      <c r="V436" s="302"/>
      <c r="W436" s="302"/>
      <c r="X436" s="302"/>
      <c r="Y436" s="302"/>
      <c r="Z436" s="302"/>
      <c r="AA436" s="302"/>
      <c r="AB436" s="302"/>
    </row>
    <row r="437">
      <c r="A437" s="320"/>
      <c r="B437" s="317"/>
      <c r="C437" s="301"/>
      <c r="D437" s="302"/>
      <c r="E437" s="301"/>
      <c r="F437" s="329"/>
      <c r="G437" s="301"/>
      <c r="H437" s="301"/>
      <c r="I437" s="329"/>
      <c r="J437" s="330"/>
      <c r="K437" s="301"/>
      <c r="L437" s="301"/>
      <c r="M437" s="302"/>
      <c r="N437" s="302"/>
      <c r="O437" s="302"/>
      <c r="P437" s="302"/>
      <c r="Q437" s="302"/>
      <c r="R437" s="302"/>
      <c r="S437" s="302"/>
      <c r="T437" s="302"/>
      <c r="U437" s="302"/>
      <c r="V437" s="302"/>
      <c r="W437" s="302"/>
      <c r="X437" s="302"/>
      <c r="Y437" s="302"/>
      <c r="Z437" s="302"/>
      <c r="AA437" s="302"/>
      <c r="AB437" s="302"/>
    </row>
    <row r="438">
      <c r="A438" s="320"/>
      <c r="B438" s="317"/>
      <c r="C438" s="301"/>
      <c r="D438" s="302"/>
      <c r="E438" s="301"/>
      <c r="F438" s="329"/>
      <c r="G438" s="301"/>
      <c r="H438" s="301"/>
      <c r="I438" s="329"/>
      <c r="J438" s="330"/>
      <c r="K438" s="301"/>
      <c r="L438" s="301"/>
      <c r="M438" s="302"/>
      <c r="N438" s="302"/>
      <c r="O438" s="302"/>
      <c r="P438" s="302"/>
      <c r="Q438" s="302"/>
      <c r="R438" s="302"/>
      <c r="S438" s="302"/>
      <c r="T438" s="302"/>
      <c r="U438" s="302"/>
      <c r="V438" s="302"/>
      <c r="W438" s="302"/>
      <c r="X438" s="302"/>
      <c r="Y438" s="302"/>
      <c r="Z438" s="302"/>
      <c r="AA438" s="302"/>
      <c r="AB438" s="302"/>
    </row>
    <row r="439">
      <c r="A439" s="320"/>
      <c r="B439" s="317"/>
      <c r="C439" s="301"/>
      <c r="D439" s="302"/>
      <c r="E439" s="301"/>
      <c r="F439" s="329"/>
      <c r="G439" s="301"/>
      <c r="H439" s="301"/>
      <c r="I439" s="329"/>
      <c r="J439" s="330"/>
      <c r="K439" s="301"/>
      <c r="L439" s="301"/>
      <c r="M439" s="302"/>
      <c r="N439" s="302"/>
      <c r="O439" s="302"/>
      <c r="P439" s="302"/>
      <c r="Q439" s="302"/>
      <c r="R439" s="302"/>
      <c r="S439" s="302"/>
      <c r="T439" s="302"/>
      <c r="U439" s="302"/>
      <c r="V439" s="302"/>
      <c r="W439" s="302"/>
      <c r="X439" s="302"/>
      <c r="Y439" s="302"/>
      <c r="Z439" s="302"/>
      <c r="AA439" s="302"/>
      <c r="AB439" s="302"/>
    </row>
    <row r="440">
      <c r="A440" s="320"/>
      <c r="B440" s="317"/>
      <c r="C440" s="301"/>
      <c r="D440" s="302"/>
      <c r="E440" s="301"/>
      <c r="F440" s="329"/>
      <c r="G440" s="301"/>
      <c r="H440" s="301"/>
      <c r="I440" s="329"/>
      <c r="J440" s="330"/>
      <c r="K440" s="301"/>
      <c r="L440" s="301"/>
      <c r="M440" s="302"/>
      <c r="N440" s="302"/>
      <c r="O440" s="302"/>
      <c r="P440" s="302"/>
      <c r="Q440" s="302"/>
      <c r="R440" s="302"/>
      <c r="S440" s="302"/>
      <c r="T440" s="302"/>
      <c r="U440" s="302"/>
      <c r="V440" s="302"/>
      <c r="W440" s="302"/>
      <c r="X440" s="302"/>
      <c r="Y440" s="302"/>
      <c r="Z440" s="302"/>
      <c r="AA440" s="302"/>
      <c r="AB440" s="302"/>
    </row>
    <row r="441">
      <c r="A441" s="320"/>
      <c r="B441" s="317"/>
      <c r="C441" s="301"/>
      <c r="D441" s="302"/>
      <c r="E441" s="301"/>
      <c r="F441" s="329"/>
      <c r="G441" s="301"/>
      <c r="H441" s="301"/>
      <c r="I441" s="329"/>
      <c r="J441" s="330"/>
      <c r="K441" s="301"/>
      <c r="L441" s="301"/>
      <c r="M441" s="302"/>
      <c r="N441" s="302"/>
      <c r="O441" s="302"/>
      <c r="P441" s="302"/>
      <c r="Q441" s="302"/>
      <c r="R441" s="302"/>
      <c r="S441" s="302"/>
      <c r="T441" s="302"/>
      <c r="U441" s="302"/>
      <c r="V441" s="302"/>
      <c r="W441" s="302"/>
      <c r="X441" s="302"/>
      <c r="Y441" s="302"/>
      <c r="Z441" s="302"/>
      <c r="AA441" s="302"/>
      <c r="AB441" s="302"/>
    </row>
    <row r="442">
      <c r="A442" s="320"/>
      <c r="B442" s="317"/>
      <c r="C442" s="301"/>
      <c r="D442" s="302"/>
      <c r="E442" s="301"/>
      <c r="F442" s="329"/>
      <c r="G442" s="301"/>
      <c r="H442" s="301"/>
      <c r="I442" s="329"/>
      <c r="J442" s="330"/>
      <c r="K442" s="301"/>
      <c r="L442" s="301"/>
      <c r="M442" s="302"/>
      <c r="N442" s="302"/>
      <c r="O442" s="302"/>
      <c r="P442" s="302"/>
      <c r="Q442" s="302"/>
      <c r="R442" s="302"/>
      <c r="S442" s="302"/>
      <c r="T442" s="302"/>
      <c r="U442" s="302"/>
      <c r="V442" s="302"/>
      <c r="W442" s="302"/>
      <c r="X442" s="302"/>
      <c r="Y442" s="302"/>
      <c r="Z442" s="302"/>
      <c r="AA442" s="302"/>
      <c r="AB442" s="302"/>
    </row>
    <row r="443">
      <c r="A443" s="320"/>
      <c r="B443" s="317"/>
      <c r="C443" s="301"/>
      <c r="D443" s="302"/>
      <c r="E443" s="301"/>
      <c r="F443" s="329"/>
      <c r="G443" s="301"/>
      <c r="H443" s="301"/>
      <c r="I443" s="329"/>
      <c r="J443" s="330"/>
      <c r="K443" s="301"/>
      <c r="L443" s="301"/>
      <c r="M443" s="302"/>
      <c r="N443" s="302"/>
      <c r="O443" s="302"/>
      <c r="P443" s="302"/>
      <c r="Q443" s="302"/>
      <c r="R443" s="302"/>
      <c r="S443" s="302"/>
      <c r="T443" s="302"/>
      <c r="U443" s="302"/>
      <c r="V443" s="302"/>
      <c r="W443" s="302"/>
      <c r="X443" s="302"/>
      <c r="Y443" s="302"/>
      <c r="Z443" s="302"/>
      <c r="AA443" s="302"/>
      <c r="AB443" s="302"/>
    </row>
    <row r="444">
      <c r="A444" s="320"/>
      <c r="B444" s="317"/>
      <c r="C444" s="301"/>
      <c r="D444" s="302"/>
      <c r="E444" s="301"/>
      <c r="F444" s="329"/>
      <c r="G444" s="301"/>
      <c r="H444" s="301"/>
      <c r="I444" s="329"/>
      <c r="J444" s="330"/>
      <c r="K444" s="301"/>
      <c r="L444" s="301"/>
      <c r="M444" s="302"/>
      <c r="N444" s="302"/>
      <c r="O444" s="302"/>
      <c r="P444" s="302"/>
      <c r="Q444" s="302"/>
      <c r="R444" s="302"/>
      <c r="S444" s="302"/>
      <c r="T444" s="302"/>
      <c r="U444" s="302"/>
      <c r="V444" s="302"/>
      <c r="W444" s="302"/>
      <c r="X444" s="302"/>
      <c r="Y444" s="302"/>
      <c r="Z444" s="302"/>
      <c r="AA444" s="302"/>
      <c r="AB444" s="302"/>
    </row>
    <row r="445">
      <c r="A445" s="320"/>
      <c r="B445" s="317"/>
      <c r="C445" s="301"/>
      <c r="D445" s="302"/>
      <c r="E445" s="301"/>
      <c r="F445" s="329"/>
      <c r="G445" s="301"/>
      <c r="H445" s="301"/>
      <c r="I445" s="329"/>
      <c r="J445" s="330"/>
      <c r="K445" s="301"/>
      <c r="L445" s="301"/>
      <c r="M445" s="302"/>
      <c r="N445" s="302"/>
      <c r="O445" s="302"/>
      <c r="P445" s="302"/>
      <c r="Q445" s="302"/>
      <c r="R445" s="302"/>
      <c r="S445" s="302"/>
      <c r="T445" s="302"/>
      <c r="U445" s="302"/>
      <c r="V445" s="302"/>
      <c r="W445" s="302"/>
      <c r="X445" s="302"/>
      <c r="Y445" s="302"/>
      <c r="Z445" s="302"/>
      <c r="AA445" s="302"/>
      <c r="AB445" s="302"/>
    </row>
    <row r="446">
      <c r="A446" s="320"/>
      <c r="B446" s="317"/>
      <c r="C446" s="301"/>
      <c r="D446" s="302"/>
      <c r="E446" s="301"/>
      <c r="F446" s="329"/>
      <c r="G446" s="301"/>
      <c r="H446" s="301"/>
      <c r="I446" s="329"/>
      <c r="J446" s="330"/>
      <c r="K446" s="301"/>
      <c r="L446" s="301"/>
      <c r="M446" s="302"/>
      <c r="N446" s="302"/>
      <c r="O446" s="302"/>
      <c r="P446" s="302"/>
      <c r="Q446" s="302"/>
      <c r="R446" s="302"/>
      <c r="S446" s="302"/>
      <c r="T446" s="302"/>
      <c r="U446" s="302"/>
      <c r="V446" s="302"/>
      <c r="W446" s="302"/>
      <c r="X446" s="302"/>
      <c r="Y446" s="302"/>
      <c r="Z446" s="302"/>
      <c r="AA446" s="302"/>
      <c r="AB446" s="302"/>
    </row>
    <row r="447">
      <c r="A447" s="320"/>
      <c r="B447" s="317"/>
      <c r="C447" s="301"/>
      <c r="D447" s="302"/>
      <c r="E447" s="301"/>
      <c r="F447" s="329"/>
      <c r="G447" s="301"/>
      <c r="H447" s="301"/>
      <c r="I447" s="329"/>
      <c r="J447" s="330"/>
      <c r="K447" s="301"/>
      <c r="L447" s="301"/>
      <c r="M447" s="302"/>
      <c r="N447" s="302"/>
      <c r="O447" s="302"/>
      <c r="P447" s="302"/>
      <c r="Q447" s="302"/>
      <c r="R447" s="302"/>
      <c r="S447" s="302"/>
      <c r="T447" s="302"/>
      <c r="U447" s="302"/>
      <c r="V447" s="302"/>
      <c r="W447" s="302"/>
      <c r="X447" s="302"/>
      <c r="Y447" s="302"/>
      <c r="Z447" s="302"/>
      <c r="AA447" s="302"/>
      <c r="AB447" s="302"/>
    </row>
    <row r="448">
      <c r="A448" s="320"/>
      <c r="B448" s="317"/>
      <c r="C448" s="301"/>
      <c r="D448" s="302"/>
      <c r="E448" s="301"/>
      <c r="F448" s="329"/>
      <c r="G448" s="301"/>
      <c r="H448" s="301"/>
      <c r="I448" s="329"/>
      <c r="J448" s="330"/>
      <c r="K448" s="301"/>
      <c r="L448" s="301"/>
      <c r="M448" s="302"/>
      <c r="N448" s="302"/>
      <c r="O448" s="302"/>
      <c r="P448" s="302"/>
      <c r="Q448" s="302"/>
      <c r="R448" s="302"/>
      <c r="S448" s="302"/>
      <c r="T448" s="302"/>
      <c r="U448" s="302"/>
      <c r="V448" s="302"/>
      <c r="W448" s="302"/>
      <c r="X448" s="302"/>
      <c r="Y448" s="302"/>
      <c r="Z448" s="302"/>
      <c r="AA448" s="302"/>
      <c r="AB448" s="302"/>
    </row>
    <row r="449">
      <c r="A449" s="320"/>
      <c r="B449" s="317"/>
      <c r="C449" s="301"/>
      <c r="D449" s="302"/>
      <c r="E449" s="301"/>
      <c r="F449" s="329"/>
      <c r="G449" s="301"/>
      <c r="H449" s="301"/>
      <c r="I449" s="329"/>
      <c r="J449" s="330"/>
      <c r="K449" s="301"/>
      <c r="L449" s="301"/>
      <c r="M449" s="302"/>
      <c r="N449" s="302"/>
      <c r="O449" s="302"/>
      <c r="P449" s="302"/>
      <c r="Q449" s="302"/>
      <c r="R449" s="302"/>
      <c r="S449" s="302"/>
      <c r="T449" s="302"/>
      <c r="U449" s="302"/>
      <c r="V449" s="302"/>
      <c r="W449" s="302"/>
      <c r="X449" s="302"/>
      <c r="Y449" s="302"/>
      <c r="Z449" s="302"/>
      <c r="AA449" s="302"/>
      <c r="AB449" s="302"/>
    </row>
    <row r="450">
      <c r="A450" s="320"/>
      <c r="B450" s="317"/>
      <c r="C450" s="301"/>
      <c r="D450" s="302"/>
      <c r="E450" s="301"/>
      <c r="F450" s="329"/>
      <c r="G450" s="301"/>
      <c r="H450" s="301"/>
      <c r="I450" s="329"/>
      <c r="J450" s="330"/>
      <c r="K450" s="301"/>
      <c r="L450" s="301"/>
      <c r="M450" s="302"/>
      <c r="N450" s="302"/>
      <c r="O450" s="302"/>
      <c r="P450" s="302"/>
      <c r="Q450" s="302"/>
      <c r="R450" s="302"/>
      <c r="S450" s="302"/>
      <c r="T450" s="302"/>
      <c r="U450" s="302"/>
      <c r="V450" s="302"/>
      <c r="W450" s="302"/>
      <c r="X450" s="302"/>
      <c r="Y450" s="302"/>
      <c r="Z450" s="302"/>
      <c r="AA450" s="302"/>
      <c r="AB450" s="302"/>
    </row>
    <row r="451">
      <c r="A451" s="320"/>
      <c r="B451" s="317"/>
      <c r="C451" s="301"/>
      <c r="D451" s="302"/>
      <c r="E451" s="301"/>
      <c r="F451" s="329"/>
      <c r="G451" s="301"/>
      <c r="H451" s="301"/>
      <c r="I451" s="329"/>
      <c r="J451" s="330"/>
      <c r="K451" s="301"/>
      <c r="L451" s="301"/>
      <c r="M451" s="302"/>
      <c r="N451" s="302"/>
      <c r="O451" s="302"/>
      <c r="P451" s="302"/>
      <c r="Q451" s="302"/>
      <c r="R451" s="302"/>
      <c r="S451" s="302"/>
      <c r="T451" s="302"/>
      <c r="U451" s="302"/>
      <c r="V451" s="302"/>
      <c r="W451" s="302"/>
      <c r="X451" s="302"/>
      <c r="Y451" s="302"/>
      <c r="Z451" s="302"/>
      <c r="AA451" s="302"/>
      <c r="AB451" s="302"/>
    </row>
    <row r="452">
      <c r="A452" s="320"/>
      <c r="B452" s="317"/>
      <c r="C452" s="301"/>
      <c r="D452" s="302"/>
      <c r="E452" s="301"/>
      <c r="F452" s="329"/>
      <c r="G452" s="301"/>
      <c r="H452" s="301"/>
      <c r="I452" s="329"/>
      <c r="J452" s="330"/>
      <c r="K452" s="301"/>
      <c r="L452" s="301"/>
      <c r="M452" s="302"/>
      <c r="N452" s="302"/>
      <c r="O452" s="302"/>
      <c r="P452" s="302"/>
      <c r="Q452" s="302"/>
      <c r="R452" s="302"/>
      <c r="S452" s="302"/>
      <c r="T452" s="302"/>
      <c r="U452" s="302"/>
      <c r="V452" s="302"/>
      <c r="W452" s="302"/>
      <c r="X452" s="302"/>
      <c r="Y452" s="302"/>
      <c r="Z452" s="302"/>
      <c r="AA452" s="302"/>
      <c r="AB452" s="302"/>
    </row>
    <row r="453">
      <c r="A453" s="320"/>
      <c r="B453" s="317"/>
      <c r="C453" s="301"/>
      <c r="D453" s="302"/>
      <c r="E453" s="301"/>
      <c r="F453" s="329"/>
      <c r="G453" s="301"/>
      <c r="H453" s="301"/>
      <c r="I453" s="329"/>
      <c r="J453" s="330"/>
      <c r="K453" s="301"/>
      <c r="L453" s="301"/>
      <c r="M453" s="302"/>
      <c r="N453" s="302"/>
      <c r="O453" s="302"/>
      <c r="P453" s="302"/>
      <c r="Q453" s="302"/>
      <c r="R453" s="302"/>
      <c r="S453" s="302"/>
      <c r="T453" s="302"/>
      <c r="U453" s="302"/>
      <c r="V453" s="302"/>
      <c r="W453" s="302"/>
      <c r="X453" s="302"/>
      <c r="Y453" s="302"/>
      <c r="Z453" s="302"/>
      <c r="AA453" s="302"/>
      <c r="AB453" s="302"/>
    </row>
    <row r="454">
      <c r="A454" s="320"/>
      <c r="B454" s="317"/>
      <c r="C454" s="301"/>
      <c r="D454" s="302"/>
      <c r="E454" s="301"/>
      <c r="F454" s="329"/>
      <c r="G454" s="301"/>
      <c r="H454" s="301"/>
      <c r="I454" s="329"/>
      <c r="J454" s="330"/>
      <c r="K454" s="301"/>
      <c r="L454" s="301"/>
      <c r="M454" s="302"/>
      <c r="N454" s="302"/>
      <c r="O454" s="302"/>
      <c r="P454" s="302"/>
      <c r="Q454" s="302"/>
      <c r="R454" s="302"/>
      <c r="S454" s="302"/>
      <c r="T454" s="302"/>
      <c r="U454" s="302"/>
      <c r="V454" s="302"/>
      <c r="W454" s="302"/>
      <c r="X454" s="302"/>
      <c r="Y454" s="302"/>
      <c r="Z454" s="302"/>
      <c r="AA454" s="302"/>
      <c r="AB454" s="302"/>
    </row>
    <row r="455">
      <c r="A455" s="320"/>
      <c r="B455" s="317"/>
      <c r="C455" s="301"/>
      <c r="D455" s="302"/>
      <c r="E455" s="301"/>
      <c r="F455" s="329"/>
      <c r="G455" s="301"/>
      <c r="H455" s="301"/>
      <c r="I455" s="329"/>
      <c r="J455" s="330"/>
      <c r="K455" s="301"/>
      <c r="L455" s="301"/>
      <c r="M455" s="302"/>
      <c r="N455" s="302"/>
      <c r="O455" s="302"/>
      <c r="P455" s="302"/>
      <c r="Q455" s="302"/>
      <c r="R455" s="302"/>
      <c r="S455" s="302"/>
      <c r="T455" s="302"/>
      <c r="U455" s="302"/>
      <c r="V455" s="302"/>
      <c r="W455" s="302"/>
      <c r="X455" s="302"/>
      <c r="Y455" s="302"/>
      <c r="Z455" s="302"/>
      <c r="AA455" s="302"/>
      <c r="AB455" s="302"/>
    </row>
    <row r="456">
      <c r="A456" s="320"/>
      <c r="B456" s="317"/>
      <c r="C456" s="301"/>
      <c r="D456" s="302"/>
      <c r="E456" s="301"/>
      <c r="F456" s="329"/>
      <c r="G456" s="301"/>
      <c r="H456" s="301"/>
      <c r="I456" s="329"/>
      <c r="J456" s="330"/>
      <c r="K456" s="301"/>
      <c r="L456" s="301"/>
      <c r="M456" s="302"/>
      <c r="N456" s="302"/>
      <c r="O456" s="302"/>
      <c r="P456" s="302"/>
      <c r="Q456" s="302"/>
      <c r="R456" s="302"/>
      <c r="S456" s="302"/>
      <c r="T456" s="302"/>
      <c r="U456" s="302"/>
      <c r="V456" s="302"/>
      <c r="W456" s="302"/>
      <c r="X456" s="302"/>
      <c r="Y456" s="302"/>
      <c r="Z456" s="302"/>
      <c r="AA456" s="302"/>
      <c r="AB456" s="302"/>
    </row>
    <row r="457">
      <c r="A457" s="320"/>
      <c r="B457" s="317"/>
      <c r="C457" s="301"/>
      <c r="D457" s="302"/>
      <c r="E457" s="301"/>
      <c r="F457" s="329"/>
      <c r="G457" s="301"/>
      <c r="H457" s="301"/>
      <c r="I457" s="329"/>
      <c r="J457" s="330"/>
      <c r="K457" s="301"/>
      <c r="L457" s="301"/>
      <c r="M457" s="302"/>
      <c r="N457" s="302"/>
      <c r="O457" s="302"/>
      <c r="P457" s="302"/>
      <c r="Q457" s="302"/>
      <c r="R457" s="302"/>
      <c r="S457" s="302"/>
      <c r="T457" s="302"/>
      <c r="U457" s="302"/>
      <c r="V457" s="302"/>
      <c r="W457" s="302"/>
      <c r="X457" s="302"/>
      <c r="Y457" s="302"/>
      <c r="Z457" s="302"/>
      <c r="AA457" s="302"/>
      <c r="AB457" s="302"/>
    </row>
    <row r="458">
      <c r="A458" s="320"/>
      <c r="B458" s="317"/>
      <c r="C458" s="301"/>
      <c r="D458" s="302"/>
      <c r="E458" s="301"/>
      <c r="F458" s="329"/>
      <c r="G458" s="301"/>
      <c r="H458" s="301"/>
      <c r="I458" s="329"/>
      <c r="J458" s="330"/>
      <c r="K458" s="301"/>
      <c r="L458" s="301"/>
      <c r="M458" s="302"/>
      <c r="N458" s="302"/>
      <c r="O458" s="302"/>
      <c r="P458" s="302"/>
      <c r="Q458" s="302"/>
      <c r="R458" s="302"/>
      <c r="S458" s="302"/>
      <c r="T458" s="302"/>
      <c r="U458" s="302"/>
      <c r="V458" s="302"/>
      <c r="W458" s="302"/>
      <c r="X458" s="302"/>
      <c r="Y458" s="302"/>
      <c r="Z458" s="302"/>
      <c r="AA458" s="302"/>
      <c r="AB458" s="302"/>
    </row>
    <row r="459">
      <c r="A459" s="320"/>
      <c r="B459" s="317"/>
      <c r="C459" s="301"/>
      <c r="D459" s="302"/>
      <c r="E459" s="301"/>
      <c r="F459" s="329"/>
      <c r="G459" s="301"/>
      <c r="H459" s="301"/>
      <c r="I459" s="329"/>
      <c r="J459" s="330"/>
      <c r="K459" s="301"/>
      <c r="L459" s="301"/>
      <c r="M459" s="302"/>
      <c r="N459" s="302"/>
      <c r="O459" s="302"/>
      <c r="P459" s="302"/>
      <c r="Q459" s="302"/>
      <c r="R459" s="302"/>
      <c r="S459" s="302"/>
      <c r="T459" s="302"/>
      <c r="U459" s="302"/>
      <c r="V459" s="302"/>
      <c r="W459" s="302"/>
      <c r="X459" s="302"/>
      <c r="Y459" s="302"/>
      <c r="Z459" s="302"/>
      <c r="AA459" s="302"/>
      <c r="AB459" s="302"/>
    </row>
    <row r="460">
      <c r="A460" s="320"/>
      <c r="B460" s="317"/>
      <c r="C460" s="301"/>
      <c r="D460" s="302"/>
      <c r="E460" s="301"/>
      <c r="F460" s="329"/>
      <c r="G460" s="301"/>
      <c r="H460" s="301"/>
      <c r="I460" s="329"/>
      <c r="J460" s="330"/>
      <c r="K460" s="301"/>
      <c r="L460" s="301"/>
      <c r="M460" s="302"/>
      <c r="N460" s="302"/>
      <c r="O460" s="302"/>
      <c r="P460" s="302"/>
      <c r="Q460" s="302"/>
      <c r="R460" s="302"/>
      <c r="S460" s="302"/>
      <c r="T460" s="302"/>
      <c r="U460" s="302"/>
      <c r="V460" s="302"/>
      <c r="W460" s="302"/>
      <c r="X460" s="302"/>
      <c r="Y460" s="302"/>
      <c r="Z460" s="302"/>
      <c r="AA460" s="302"/>
      <c r="AB460" s="302"/>
    </row>
    <row r="461">
      <c r="A461" s="320"/>
      <c r="B461" s="317"/>
      <c r="C461" s="301"/>
      <c r="D461" s="302"/>
      <c r="E461" s="301"/>
      <c r="F461" s="329"/>
      <c r="G461" s="301"/>
      <c r="H461" s="301"/>
      <c r="I461" s="329"/>
      <c r="J461" s="330"/>
      <c r="K461" s="301"/>
      <c r="L461" s="301"/>
      <c r="M461" s="302"/>
      <c r="N461" s="302"/>
      <c r="O461" s="302"/>
      <c r="P461" s="302"/>
      <c r="Q461" s="302"/>
      <c r="R461" s="302"/>
      <c r="S461" s="302"/>
      <c r="T461" s="302"/>
      <c r="U461" s="302"/>
      <c r="V461" s="302"/>
      <c r="W461" s="302"/>
      <c r="X461" s="302"/>
      <c r="Y461" s="302"/>
      <c r="Z461" s="302"/>
      <c r="AA461" s="302"/>
      <c r="AB461" s="302"/>
    </row>
    <row r="462">
      <c r="A462" s="320"/>
      <c r="B462" s="317"/>
      <c r="C462" s="301"/>
      <c r="D462" s="302"/>
      <c r="E462" s="301"/>
      <c r="F462" s="329"/>
      <c r="G462" s="301"/>
      <c r="H462" s="301"/>
      <c r="I462" s="329"/>
      <c r="J462" s="330"/>
      <c r="K462" s="301"/>
      <c r="L462" s="301"/>
      <c r="M462" s="302"/>
      <c r="N462" s="302"/>
      <c r="O462" s="302"/>
      <c r="P462" s="302"/>
      <c r="Q462" s="302"/>
      <c r="R462" s="302"/>
      <c r="S462" s="302"/>
      <c r="T462" s="302"/>
      <c r="U462" s="302"/>
      <c r="V462" s="302"/>
      <c r="W462" s="302"/>
      <c r="X462" s="302"/>
      <c r="Y462" s="302"/>
      <c r="Z462" s="302"/>
      <c r="AA462" s="302"/>
      <c r="AB462" s="302"/>
    </row>
    <row r="463">
      <c r="A463" s="320"/>
      <c r="B463" s="317"/>
      <c r="C463" s="301"/>
      <c r="D463" s="302"/>
      <c r="E463" s="301"/>
      <c r="F463" s="329"/>
      <c r="G463" s="301"/>
      <c r="H463" s="301"/>
      <c r="I463" s="329"/>
      <c r="J463" s="330"/>
      <c r="K463" s="301"/>
      <c r="L463" s="301"/>
      <c r="M463" s="302"/>
      <c r="N463" s="302"/>
      <c r="O463" s="302"/>
      <c r="P463" s="302"/>
      <c r="Q463" s="302"/>
      <c r="R463" s="302"/>
      <c r="S463" s="302"/>
      <c r="T463" s="302"/>
      <c r="U463" s="302"/>
      <c r="V463" s="302"/>
      <c r="W463" s="302"/>
      <c r="X463" s="302"/>
      <c r="Y463" s="302"/>
      <c r="Z463" s="302"/>
      <c r="AA463" s="302"/>
      <c r="AB463" s="302"/>
    </row>
    <row r="464">
      <c r="A464" s="320"/>
      <c r="B464" s="317"/>
      <c r="C464" s="301"/>
      <c r="D464" s="302"/>
      <c r="E464" s="301"/>
      <c r="F464" s="329"/>
      <c r="G464" s="301"/>
      <c r="H464" s="301"/>
      <c r="I464" s="329"/>
      <c r="J464" s="330"/>
      <c r="K464" s="301"/>
      <c r="L464" s="301"/>
      <c r="M464" s="302"/>
      <c r="N464" s="302"/>
      <c r="O464" s="302"/>
      <c r="P464" s="302"/>
      <c r="Q464" s="302"/>
      <c r="R464" s="302"/>
      <c r="S464" s="302"/>
      <c r="T464" s="302"/>
      <c r="U464" s="302"/>
      <c r="V464" s="302"/>
      <c r="W464" s="302"/>
      <c r="X464" s="302"/>
      <c r="Y464" s="302"/>
      <c r="Z464" s="302"/>
      <c r="AA464" s="302"/>
      <c r="AB464" s="302"/>
    </row>
    <row r="465">
      <c r="A465" s="320"/>
      <c r="B465" s="317"/>
      <c r="C465" s="301"/>
      <c r="D465" s="302"/>
      <c r="E465" s="301"/>
      <c r="F465" s="329"/>
      <c r="G465" s="301"/>
      <c r="H465" s="301"/>
      <c r="I465" s="329"/>
      <c r="J465" s="330"/>
      <c r="K465" s="301"/>
      <c r="L465" s="301"/>
      <c r="M465" s="302"/>
      <c r="N465" s="302"/>
      <c r="O465" s="302"/>
      <c r="P465" s="302"/>
      <c r="Q465" s="302"/>
      <c r="R465" s="302"/>
      <c r="S465" s="302"/>
      <c r="T465" s="302"/>
      <c r="U465" s="302"/>
      <c r="V465" s="302"/>
      <c r="W465" s="302"/>
      <c r="X465" s="302"/>
      <c r="Y465" s="302"/>
      <c r="Z465" s="302"/>
      <c r="AA465" s="302"/>
      <c r="AB465" s="302"/>
    </row>
    <row r="466">
      <c r="A466" s="320"/>
      <c r="B466" s="317"/>
      <c r="C466" s="301"/>
      <c r="D466" s="302"/>
      <c r="E466" s="301"/>
      <c r="F466" s="329"/>
      <c r="G466" s="301"/>
      <c r="H466" s="301"/>
      <c r="I466" s="329"/>
      <c r="J466" s="330"/>
      <c r="K466" s="301"/>
      <c r="L466" s="301"/>
      <c r="M466" s="302"/>
      <c r="N466" s="302"/>
      <c r="O466" s="302"/>
      <c r="P466" s="302"/>
      <c r="Q466" s="302"/>
      <c r="R466" s="302"/>
      <c r="S466" s="302"/>
      <c r="T466" s="302"/>
      <c r="U466" s="302"/>
      <c r="V466" s="302"/>
      <c r="W466" s="302"/>
      <c r="X466" s="302"/>
      <c r="Y466" s="302"/>
      <c r="Z466" s="302"/>
      <c r="AA466" s="302"/>
      <c r="AB466" s="302"/>
    </row>
    <row r="467">
      <c r="A467" s="320"/>
      <c r="B467" s="317"/>
      <c r="C467" s="301"/>
      <c r="D467" s="302"/>
      <c r="E467" s="301"/>
      <c r="F467" s="329"/>
      <c r="G467" s="301"/>
      <c r="H467" s="301"/>
      <c r="I467" s="329"/>
      <c r="J467" s="330"/>
      <c r="K467" s="301"/>
      <c r="L467" s="301"/>
      <c r="M467" s="302"/>
      <c r="N467" s="302"/>
      <c r="O467" s="302"/>
      <c r="P467" s="302"/>
      <c r="Q467" s="302"/>
      <c r="R467" s="302"/>
      <c r="S467" s="302"/>
      <c r="T467" s="302"/>
      <c r="U467" s="302"/>
      <c r="V467" s="302"/>
      <c r="W467" s="302"/>
      <c r="X467" s="302"/>
      <c r="Y467" s="302"/>
      <c r="Z467" s="302"/>
      <c r="AA467" s="302"/>
      <c r="AB467" s="302"/>
    </row>
    <row r="468">
      <c r="A468" s="320"/>
      <c r="B468" s="317"/>
      <c r="C468" s="301"/>
      <c r="D468" s="302"/>
      <c r="E468" s="301"/>
      <c r="F468" s="329"/>
      <c r="G468" s="301"/>
      <c r="H468" s="301"/>
      <c r="I468" s="329"/>
      <c r="J468" s="330"/>
      <c r="K468" s="301"/>
      <c r="L468" s="301"/>
      <c r="M468" s="302"/>
      <c r="N468" s="302"/>
      <c r="O468" s="302"/>
      <c r="P468" s="302"/>
      <c r="Q468" s="302"/>
      <c r="R468" s="302"/>
      <c r="S468" s="302"/>
      <c r="T468" s="302"/>
      <c r="U468" s="302"/>
      <c r="V468" s="302"/>
      <c r="W468" s="302"/>
      <c r="X468" s="302"/>
      <c r="Y468" s="302"/>
      <c r="Z468" s="302"/>
      <c r="AA468" s="302"/>
      <c r="AB468" s="302"/>
    </row>
    <row r="469">
      <c r="A469" s="320"/>
      <c r="B469" s="317"/>
      <c r="C469" s="301"/>
      <c r="D469" s="302"/>
      <c r="E469" s="301"/>
      <c r="F469" s="329"/>
      <c r="G469" s="301"/>
      <c r="H469" s="301"/>
      <c r="I469" s="329"/>
      <c r="J469" s="330"/>
      <c r="K469" s="301"/>
      <c r="L469" s="301"/>
      <c r="M469" s="302"/>
      <c r="N469" s="302"/>
      <c r="O469" s="302"/>
      <c r="P469" s="302"/>
      <c r="Q469" s="302"/>
      <c r="R469" s="302"/>
      <c r="S469" s="302"/>
      <c r="T469" s="302"/>
      <c r="U469" s="302"/>
      <c r="V469" s="302"/>
      <c r="W469" s="302"/>
      <c r="X469" s="302"/>
      <c r="Y469" s="302"/>
      <c r="Z469" s="302"/>
      <c r="AA469" s="302"/>
      <c r="AB469" s="302"/>
    </row>
    <row r="470">
      <c r="A470" s="320"/>
      <c r="B470" s="317"/>
      <c r="C470" s="301"/>
      <c r="D470" s="302"/>
      <c r="E470" s="301"/>
      <c r="F470" s="329"/>
      <c r="G470" s="301"/>
      <c r="H470" s="301"/>
      <c r="I470" s="329"/>
      <c r="J470" s="330"/>
      <c r="K470" s="301"/>
      <c r="L470" s="301"/>
      <c r="M470" s="302"/>
      <c r="N470" s="302"/>
      <c r="O470" s="302"/>
      <c r="P470" s="302"/>
      <c r="Q470" s="302"/>
      <c r="R470" s="302"/>
      <c r="S470" s="302"/>
      <c r="T470" s="302"/>
      <c r="U470" s="302"/>
      <c r="V470" s="302"/>
      <c r="W470" s="302"/>
      <c r="X470" s="302"/>
      <c r="Y470" s="302"/>
      <c r="Z470" s="302"/>
      <c r="AA470" s="302"/>
      <c r="AB470" s="302"/>
    </row>
    <row r="471">
      <c r="A471" s="320"/>
      <c r="B471" s="317"/>
      <c r="C471" s="301"/>
      <c r="D471" s="302"/>
      <c r="E471" s="301"/>
      <c r="F471" s="329"/>
      <c r="G471" s="301"/>
      <c r="H471" s="301"/>
      <c r="I471" s="329"/>
      <c r="J471" s="330"/>
      <c r="K471" s="301"/>
      <c r="L471" s="301"/>
      <c r="M471" s="302"/>
      <c r="N471" s="302"/>
      <c r="O471" s="302"/>
      <c r="P471" s="302"/>
      <c r="Q471" s="302"/>
      <c r="R471" s="302"/>
      <c r="S471" s="302"/>
      <c r="T471" s="302"/>
      <c r="U471" s="302"/>
      <c r="V471" s="302"/>
      <c r="W471" s="302"/>
      <c r="X471" s="302"/>
      <c r="Y471" s="302"/>
      <c r="Z471" s="302"/>
      <c r="AA471" s="302"/>
      <c r="AB471" s="302"/>
    </row>
    <row r="472">
      <c r="A472" s="320"/>
      <c r="B472" s="317"/>
      <c r="C472" s="301"/>
      <c r="D472" s="302"/>
      <c r="E472" s="301"/>
      <c r="F472" s="329"/>
      <c r="G472" s="301"/>
      <c r="H472" s="301"/>
      <c r="I472" s="329"/>
      <c r="J472" s="330"/>
      <c r="K472" s="301"/>
      <c r="L472" s="301"/>
      <c r="M472" s="302"/>
      <c r="N472" s="302"/>
      <c r="O472" s="302"/>
      <c r="P472" s="302"/>
      <c r="Q472" s="302"/>
      <c r="R472" s="302"/>
      <c r="S472" s="302"/>
      <c r="T472" s="302"/>
      <c r="U472" s="302"/>
      <c r="V472" s="302"/>
      <c r="W472" s="302"/>
      <c r="X472" s="302"/>
      <c r="Y472" s="302"/>
      <c r="Z472" s="302"/>
      <c r="AA472" s="302"/>
      <c r="AB472" s="302"/>
    </row>
    <row r="473">
      <c r="A473" s="320"/>
      <c r="B473" s="317"/>
      <c r="C473" s="301"/>
      <c r="D473" s="302"/>
      <c r="E473" s="301"/>
      <c r="F473" s="329"/>
      <c r="G473" s="301"/>
      <c r="H473" s="301"/>
      <c r="I473" s="329"/>
      <c r="J473" s="330"/>
      <c r="K473" s="301"/>
      <c r="L473" s="301"/>
      <c r="M473" s="302"/>
      <c r="N473" s="302"/>
      <c r="O473" s="302"/>
      <c r="P473" s="302"/>
      <c r="Q473" s="302"/>
      <c r="R473" s="302"/>
      <c r="S473" s="302"/>
      <c r="T473" s="302"/>
      <c r="U473" s="302"/>
      <c r="V473" s="302"/>
      <c r="W473" s="302"/>
      <c r="X473" s="302"/>
      <c r="Y473" s="302"/>
      <c r="Z473" s="302"/>
      <c r="AA473" s="302"/>
      <c r="AB473" s="302"/>
    </row>
    <row r="474">
      <c r="A474" s="320"/>
      <c r="B474" s="317"/>
      <c r="C474" s="301"/>
      <c r="D474" s="302"/>
      <c r="E474" s="301"/>
      <c r="F474" s="329"/>
      <c r="G474" s="301"/>
      <c r="H474" s="301"/>
      <c r="I474" s="329"/>
      <c r="J474" s="330"/>
      <c r="K474" s="301"/>
      <c r="L474" s="301"/>
      <c r="M474" s="302"/>
      <c r="N474" s="302"/>
      <c r="O474" s="302"/>
      <c r="P474" s="302"/>
      <c r="Q474" s="302"/>
      <c r="R474" s="302"/>
      <c r="S474" s="302"/>
      <c r="T474" s="302"/>
      <c r="U474" s="302"/>
      <c r="V474" s="302"/>
      <c r="W474" s="302"/>
      <c r="X474" s="302"/>
      <c r="Y474" s="302"/>
      <c r="Z474" s="302"/>
      <c r="AA474" s="302"/>
      <c r="AB474" s="302"/>
    </row>
    <row r="475">
      <c r="A475" s="320"/>
      <c r="B475" s="317"/>
      <c r="C475" s="301"/>
      <c r="D475" s="302"/>
      <c r="E475" s="301"/>
      <c r="F475" s="329"/>
      <c r="G475" s="301"/>
      <c r="H475" s="301"/>
      <c r="I475" s="329"/>
      <c r="J475" s="330"/>
      <c r="K475" s="301"/>
      <c r="L475" s="301"/>
      <c r="M475" s="302"/>
      <c r="N475" s="302"/>
      <c r="O475" s="302"/>
      <c r="P475" s="302"/>
      <c r="Q475" s="302"/>
      <c r="R475" s="302"/>
      <c r="S475" s="302"/>
      <c r="T475" s="302"/>
      <c r="U475" s="302"/>
      <c r="V475" s="302"/>
      <c r="W475" s="302"/>
      <c r="X475" s="302"/>
      <c r="Y475" s="302"/>
      <c r="Z475" s="302"/>
      <c r="AA475" s="302"/>
      <c r="AB475" s="302"/>
    </row>
    <row r="476">
      <c r="A476" s="320"/>
      <c r="B476" s="317"/>
      <c r="C476" s="301"/>
      <c r="D476" s="302"/>
      <c r="E476" s="301"/>
      <c r="F476" s="329"/>
      <c r="G476" s="301"/>
      <c r="H476" s="301"/>
      <c r="I476" s="329"/>
      <c r="J476" s="330"/>
      <c r="K476" s="301"/>
      <c r="L476" s="301"/>
      <c r="M476" s="302"/>
      <c r="N476" s="302"/>
      <c r="O476" s="302"/>
      <c r="P476" s="302"/>
      <c r="Q476" s="302"/>
      <c r="R476" s="302"/>
      <c r="S476" s="302"/>
      <c r="T476" s="302"/>
      <c r="U476" s="302"/>
      <c r="V476" s="302"/>
      <c r="W476" s="302"/>
      <c r="X476" s="302"/>
      <c r="Y476" s="302"/>
      <c r="Z476" s="302"/>
      <c r="AA476" s="302"/>
      <c r="AB476" s="302"/>
    </row>
    <row r="477">
      <c r="A477" s="320"/>
      <c r="B477" s="317"/>
      <c r="C477" s="301"/>
      <c r="D477" s="302"/>
      <c r="E477" s="301"/>
      <c r="F477" s="329"/>
      <c r="G477" s="301"/>
      <c r="H477" s="301"/>
      <c r="I477" s="329"/>
      <c r="J477" s="330"/>
      <c r="K477" s="301"/>
      <c r="L477" s="301"/>
      <c r="M477" s="302"/>
      <c r="N477" s="302"/>
      <c r="O477" s="302"/>
      <c r="P477" s="302"/>
      <c r="Q477" s="302"/>
      <c r="R477" s="302"/>
      <c r="S477" s="302"/>
      <c r="T477" s="302"/>
      <c r="U477" s="302"/>
      <c r="V477" s="302"/>
      <c r="W477" s="302"/>
      <c r="X477" s="302"/>
      <c r="Y477" s="302"/>
      <c r="Z477" s="302"/>
      <c r="AA477" s="302"/>
      <c r="AB477" s="302"/>
    </row>
    <row r="478">
      <c r="A478" s="320"/>
      <c r="B478" s="317"/>
      <c r="C478" s="301"/>
      <c r="D478" s="302"/>
      <c r="E478" s="301"/>
      <c r="F478" s="329"/>
      <c r="G478" s="301"/>
      <c r="H478" s="301"/>
      <c r="I478" s="329"/>
      <c r="J478" s="330"/>
      <c r="K478" s="301"/>
      <c r="L478" s="301"/>
      <c r="M478" s="302"/>
      <c r="N478" s="302"/>
      <c r="O478" s="302"/>
      <c r="P478" s="302"/>
      <c r="Q478" s="302"/>
      <c r="R478" s="302"/>
      <c r="S478" s="302"/>
      <c r="T478" s="302"/>
      <c r="U478" s="302"/>
      <c r="V478" s="302"/>
      <c r="W478" s="302"/>
      <c r="X478" s="302"/>
      <c r="Y478" s="302"/>
      <c r="Z478" s="302"/>
      <c r="AA478" s="302"/>
      <c r="AB478" s="302"/>
    </row>
    <row r="479">
      <c r="A479" s="320"/>
      <c r="B479" s="317"/>
      <c r="C479" s="301"/>
      <c r="D479" s="302"/>
      <c r="E479" s="301"/>
      <c r="F479" s="329"/>
      <c r="G479" s="301"/>
      <c r="H479" s="301"/>
      <c r="I479" s="329"/>
      <c r="J479" s="330"/>
      <c r="K479" s="301"/>
      <c r="L479" s="301"/>
      <c r="M479" s="302"/>
      <c r="N479" s="302"/>
      <c r="O479" s="302"/>
      <c r="P479" s="302"/>
      <c r="Q479" s="302"/>
      <c r="R479" s="302"/>
      <c r="S479" s="302"/>
      <c r="T479" s="302"/>
      <c r="U479" s="302"/>
      <c r="V479" s="302"/>
      <c r="W479" s="302"/>
      <c r="X479" s="302"/>
      <c r="Y479" s="302"/>
      <c r="Z479" s="302"/>
      <c r="AA479" s="302"/>
      <c r="AB479" s="302"/>
    </row>
    <row r="480">
      <c r="A480" s="320"/>
      <c r="B480" s="317"/>
      <c r="C480" s="301"/>
      <c r="D480" s="302"/>
      <c r="E480" s="301"/>
      <c r="F480" s="329"/>
      <c r="G480" s="301"/>
      <c r="H480" s="301"/>
      <c r="I480" s="329"/>
      <c r="J480" s="330"/>
      <c r="K480" s="301"/>
      <c r="L480" s="301"/>
      <c r="M480" s="302"/>
      <c r="N480" s="302"/>
      <c r="O480" s="302"/>
      <c r="P480" s="302"/>
      <c r="Q480" s="302"/>
      <c r="R480" s="302"/>
      <c r="S480" s="302"/>
      <c r="T480" s="302"/>
      <c r="U480" s="302"/>
      <c r="V480" s="302"/>
      <c r="W480" s="302"/>
      <c r="X480" s="302"/>
      <c r="Y480" s="302"/>
      <c r="Z480" s="302"/>
      <c r="AA480" s="302"/>
      <c r="AB480" s="302"/>
    </row>
    <row r="481">
      <c r="A481" s="320"/>
      <c r="B481" s="317"/>
      <c r="C481" s="301"/>
      <c r="D481" s="302"/>
      <c r="E481" s="301"/>
      <c r="F481" s="329"/>
      <c r="G481" s="301"/>
      <c r="H481" s="301"/>
      <c r="I481" s="329"/>
      <c r="J481" s="330"/>
      <c r="K481" s="301"/>
      <c r="L481" s="301"/>
      <c r="M481" s="302"/>
      <c r="N481" s="302"/>
      <c r="O481" s="302"/>
      <c r="P481" s="302"/>
      <c r="Q481" s="302"/>
      <c r="R481" s="302"/>
      <c r="S481" s="302"/>
      <c r="T481" s="302"/>
      <c r="U481" s="302"/>
      <c r="V481" s="302"/>
      <c r="W481" s="302"/>
      <c r="X481" s="302"/>
      <c r="Y481" s="302"/>
      <c r="Z481" s="302"/>
      <c r="AA481" s="302"/>
      <c r="AB481" s="302"/>
    </row>
    <row r="482">
      <c r="A482" s="320"/>
      <c r="B482" s="317"/>
      <c r="C482" s="301"/>
      <c r="D482" s="302"/>
      <c r="E482" s="301"/>
      <c r="F482" s="329"/>
      <c r="G482" s="301"/>
      <c r="H482" s="301"/>
      <c r="I482" s="329"/>
      <c r="J482" s="330"/>
      <c r="K482" s="301"/>
      <c r="L482" s="301"/>
      <c r="M482" s="302"/>
      <c r="N482" s="302"/>
      <c r="O482" s="302"/>
      <c r="P482" s="302"/>
      <c r="Q482" s="302"/>
      <c r="R482" s="302"/>
      <c r="S482" s="302"/>
      <c r="T482" s="302"/>
      <c r="U482" s="302"/>
      <c r="V482" s="302"/>
      <c r="W482" s="302"/>
      <c r="X482" s="302"/>
      <c r="Y482" s="302"/>
      <c r="Z482" s="302"/>
      <c r="AA482" s="302"/>
      <c r="AB482" s="302"/>
    </row>
    <row r="483">
      <c r="A483" s="320"/>
      <c r="B483" s="317"/>
      <c r="C483" s="301"/>
      <c r="D483" s="302"/>
      <c r="E483" s="301"/>
      <c r="F483" s="329"/>
      <c r="G483" s="301"/>
      <c r="H483" s="301"/>
      <c r="I483" s="329"/>
      <c r="J483" s="330"/>
      <c r="K483" s="301"/>
      <c r="L483" s="301"/>
      <c r="M483" s="302"/>
      <c r="N483" s="302"/>
      <c r="O483" s="302"/>
      <c r="P483" s="302"/>
      <c r="Q483" s="302"/>
      <c r="R483" s="302"/>
      <c r="S483" s="302"/>
      <c r="T483" s="302"/>
      <c r="U483" s="302"/>
      <c r="V483" s="302"/>
      <c r="W483" s="302"/>
      <c r="X483" s="302"/>
      <c r="Y483" s="302"/>
      <c r="Z483" s="302"/>
      <c r="AA483" s="302"/>
      <c r="AB483" s="302"/>
    </row>
    <row r="484">
      <c r="A484" s="320"/>
      <c r="B484" s="317"/>
      <c r="C484" s="301"/>
      <c r="D484" s="302"/>
      <c r="E484" s="301"/>
      <c r="F484" s="329"/>
      <c r="G484" s="301"/>
      <c r="H484" s="301"/>
      <c r="I484" s="329"/>
      <c r="J484" s="330"/>
      <c r="K484" s="301"/>
      <c r="L484" s="301"/>
      <c r="M484" s="302"/>
      <c r="N484" s="302"/>
      <c r="O484" s="302"/>
      <c r="P484" s="302"/>
      <c r="Q484" s="302"/>
      <c r="R484" s="302"/>
      <c r="S484" s="302"/>
      <c r="T484" s="302"/>
      <c r="U484" s="302"/>
      <c r="V484" s="302"/>
      <c r="W484" s="302"/>
      <c r="X484" s="302"/>
      <c r="Y484" s="302"/>
      <c r="Z484" s="302"/>
      <c r="AA484" s="302"/>
      <c r="AB484" s="302"/>
    </row>
    <row r="485">
      <c r="A485" s="320"/>
      <c r="B485" s="317"/>
      <c r="C485" s="301"/>
      <c r="D485" s="302"/>
      <c r="E485" s="301"/>
      <c r="F485" s="329"/>
      <c r="G485" s="301"/>
      <c r="H485" s="301"/>
      <c r="I485" s="329"/>
      <c r="J485" s="330"/>
      <c r="K485" s="301"/>
      <c r="L485" s="301"/>
      <c r="M485" s="302"/>
      <c r="N485" s="302"/>
      <c r="O485" s="302"/>
      <c r="P485" s="302"/>
      <c r="Q485" s="302"/>
      <c r="R485" s="302"/>
      <c r="S485" s="302"/>
      <c r="T485" s="302"/>
      <c r="U485" s="302"/>
      <c r="V485" s="302"/>
      <c r="W485" s="302"/>
      <c r="X485" s="302"/>
      <c r="Y485" s="302"/>
      <c r="Z485" s="302"/>
      <c r="AA485" s="302"/>
      <c r="AB485" s="302"/>
    </row>
    <row r="486">
      <c r="A486" s="320"/>
      <c r="B486" s="317"/>
      <c r="C486" s="301"/>
      <c r="D486" s="302"/>
      <c r="E486" s="301"/>
      <c r="F486" s="329"/>
      <c r="G486" s="301"/>
      <c r="H486" s="301"/>
      <c r="I486" s="329"/>
      <c r="J486" s="330"/>
      <c r="K486" s="301"/>
      <c r="L486" s="301"/>
      <c r="M486" s="302"/>
      <c r="N486" s="302"/>
      <c r="O486" s="302"/>
      <c r="P486" s="302"/>
      <c r="Q486" s="302"/>
      <c r="R486" s="302"/>
      <c r="S486" s="302"/>
      <c r="T486" s="302"/>
      <c r="U486" s="302"/>
      <c r="V486" s="302"/>
      <c r="W486" s="302"/>
      <c r="X486" s="302"/>
      <c r="Y486" s="302"/>
      <c r="Z486" s="302"/>
      <c r="AA486" s="302"/>
      <c r="AB486" s="302"/>
    </row>
    <row r="487">
      <c r="A487" s="320"/>
      <c r="B487" s="317"/>
      <c r="C487" s="301"/>
      <c r="D487" s="302"/>
      <c r="E487" s="301"/>
      <c r="F487" s="329"/>
      <c r="G487" s="301"/>
      <c r="H487" s="301"/>
      <c r="I487" s="329"/>
      <c r="J487" s="330"/>
      <c r="K487" s="301"/>
      <c r="L487" s="301"/>
      <c r="M487" s="302"/>
      <c r="N487" s="302"/>
      <c r="O487" s="302"/>
      <c r="P487" s="302"/>
      <c r="Q487" s="302"/>
      <c r="R487" s="302"/>
      <c r="S487" s="302"/>
      <c r="T487" s="302"/>
      <c r="U487" s="302"/>
      <c r="V487" s="302"/>
      <c r="W487" s="302"/>
      <c r="X487" s="302"/>
      <c r="Y487" s="302"/>
      <c r="Z487" s="302"/>
      <c r="AA487" s="302"/>
      <c r="AB487" s="302"/>
    </row>
    <row r="488">
      <c r="A488" s="320"/>
      <c r="B488" s="317"/>
      <c r="C488" s="301"/>
      <c r="D488" s="302"/>
      <c r="E488" s="301"/>
      <c r="F488" s="329"/>
      <c r="G488" s="301"/>
      <c r="H488" s="301"/>
      <c r="I488" s="329"/>
      <c r="J488" s="330"/>
      <c r="K488" s="301"/>
      <c r="L488" s="301"/>
      <c r="M488" s="302"/>
      <c r="N488" s="302"/>
      <c r="O488" s="302"/>
      <c r="P488" s="302"/>
      <c r="Q488" s="302"/>
      <c r="R488" s="302"/>
      <c r="S488" s="302"/>
      <c r="T488" s="302"/>
      <c r="U488" s="302"/>
      <c r="V488" s="302"/>
      <c r="W488" s="302"/>
      <c r="X488" s="302"/>
      <c r="Y488" s="302"/>
      <c r="Z488" s="302"/>
      <c r="AA488" s="302"/>
      <c r="AB488" s="302"/>
    </row>
    <row r="489">
      <c r="A489" s="320"/>
      <c r="B489" s="317"/>
      <c r="C489" s="301"/>
      <c r="D489" s="302"/>
      <c r="E489" s="301"/>
      <c r="F489" s="329"/>
      <c r="G489" s="301"/>
      <c r="H489" s="301"/>
      <c r="I489" s="329"/>
      <c r="J489" s="330"/>
      <c r="K489" s="301"/>
      <c r="L489" s="301"/>
      <c r="M489" s="302"/>
      <c r="N489" s="302"/>
      <c r="O489" s="302"/>
      <c r="P489" s="302"/>
      <c r="Q489" s="302"/>
      <c r="R489" s="302"/>
      <c r="S489" s="302"/>
      <c r="T489" s="302"/>
      <c r="U489" s="302"/>
      <c r="V489" s="302"/>
      <c r="W489" s="302"/>
      <c r="X489" s="302"/>
      <c r="Y489" s="302"/>
      <c r="Z489" s="302"/>
      <c r="AA489" s="302"/>
      <c r="AB489" s="302"/>
    </row>
    <row r="490">
      <c r="A490" s="320"/>
      <c r="B490" s="317"/>
      <c r="C490" s="301"/>
      <c r="D490" s="302"/>
      <c r="E490" s="301"/>
      <c r="F490" s="329"/>
      <c r="G490" s="301"/>
      <c r="H490" s="301"/>
      <c r="I490" s="329"/>
      <c r="J490" s="330"/>
      <c r="K490" s="301"/>
      <c r="L490" s="301"/>
      <c r="M490" s="302"/>
      <c r="N490" s="302"/>
      <c r="O490" s="302"/>
      <c r="P490" s="302"/>
      <c r="Q490" s="302"/>
      <c r="R490" s="302"/>
      <c r="S490" s="302"/>
      <c r="T490" s="302"/>
      <c r="U490" s="302"/>
      <c r="V490" s="302"/>
      <c r="W490" s="302"/>
      <c r="X490" s="302"/>
      <c r="Y490" s="302"/>
      <c r="Z490" s="302"/>
      <c r="AA490" s="302"/>
      <c r="AB490" s="302"/>
    </row>
    <row r="491">
      <c r="A491" s="320"/>
      <c r="B491" s="317"/>
      <c r="C491" s="301"/>
      <c r="D491" s="302"/>
      <c r="E491" s="301"/>
      <c r="F491" s="329"/>
      <c r="G491" s="301"/>
      <c r="H491" s="301"/>
      <c r="I491" s="329"/>
      <c r="J491" s="330"/>
      <c r="K491" s="301"/>
      <c r="L491" s="301"/>
      <c r="M491" s="302"/>
      <c r="N491" s="302"/>
      <c r="O491" s="302"/>
      <c r="P491" s="302"/>
      <c r="Q491" s="302"/>
      <c r="R491" s="302"/>
      <c r="S491" s="302"/>
      <c r="T491" s="302"/>
      <c r="U491" s="302"/>
      <c r="V491" s="302"/>
      <c r="W491" s="302"/>
      <c r="X491" s="302"/>
      <c r="Y491" s="302"/>
      <c r="Z491" s="302"/>
      <c r="AA491" s="302"/>
      <c r="AB491" s="302"/>
    </row>
    <row r="492">
      <c r="A492" s="320"/>
      <c r="B492" s="317"/>
      <c r="C492" s="301"/>
      <c r="D492" s="302"/>
      <c r="E492" s="301"/>
      <c r="F492" s="329"/>
      <c r="G492" s="301"/>
      <c r="H492" s="301"/>
      <c r="I492" s="329"/>
      <c r="J492" s="330"/>
      <c r="K492" s="301"/>
      <c r="L492" s="301"/>
      <c r="M492" s="302"/>
      <c r="N492" s="302"/>
      <c r="O492" s="302"/>
      <c r="P492" s="302"/>
      <c r="Q492" s="302"/>
      <c r="R492" s="302"/>
      <c r="S492" s="302"/>
      <c r="T492" s="302"/>
      <c r="U492" s="302"/>
      <c r="V492" s="302"/>
      <c r="W492" s="302"/>
      <c r="X492" s="302"/>
      <c r="Y492" s="302"/>
      <c r="Z492" s="302"/>
      <c r="AA492" s="302"/>
      <c r="AB492" s="302"/>
    </row>
    <row r="493">
      <c r="A493" s="320"/>
      <c r="B493" s="317"/>
      <c r="C493" s="301"/>
      <c r="D493" s="302"/>
      <c r="E493" s="301"/>
      <c r="F493" s="329"/>
      <c r="G493" s="301"/>
      <c r="H493" s="301"/>
      <c r="I493" s="329"/>
      <c r="J493" s="330"/>
      <c r="K493" s="301"/>
      <c r="L493" s="301"/>
      <c r="M493" s="302"/>
      <c r="N493" s="302"/>
      <c r="O493" s="302"/>
      <c r="P493" s="302"/>
      <c r="Q493" s="302"/>
      <c r="R493" s="302"/>
      <c r="S493" s="302"/>
      <c r="T493" s="302"/>
      <c r="U493" s="302"/>
      <c r="V493" s="302"/>
      <c r="W493" s="302"/>
      <c r="X493" s="302"/>
      <c r="Y493" s="302"/>
      <c r="Z493" s="302"/>
      <c r="AA493" s="302"/>
      <c r="AB493" s="302"/>
    </row>
    <row r="494">
      <c r="A494" s="320"/>
      <c r="B494" s="317"/>
      <c r="C494" s="301"/>
      <c r="D494" s="302"/>
      <c r="E494" s="301"/>
      <c r="F494" s="329"/>
      <c r="G494" s="301"/>
      <c r="H494" s="301"/>
      <c r="I494" s="329"/>
      <c r="J494" s="330"/>
      <c r="K494" s="301"/>
      <c r="L494" s="301"/>
      <c r="M494" s="302"/>
      <c r="N494" s="302"/>
      <c r="O494" s="302"/>
      <c r="P494" s="302"/>
      <c r="Q494" s="302"/>
      <c r="R494" s="302"/>
      <c r="S494" s="302"/>
      <c r="T494" s="302"/>
      <c r="U494" s="302"/>
      <c r="V494" s="302"/>
      <c r="W494" s="302"/>
      <c r="X494" s="302"/>
      <c r="Y494" s="302"/>
      <c r="Z494" s="302"/>
      <c r="AA494" s="302"/>
      <c r="AB494" s="302"/>
    </row>
    <row r="495">
      <c r="A495" s="320"/>
      <c r="B495" s="317"/>
      <c r="C495" s="301"/>
      <c r="D495" s="302"/>
      <c r="E495" s="301"/>
      <c r="F495" s="329"/>
      <c r="G495" s="301"/>
      <c r="H495" s="301"/>
      <c r="I495" s="329"/>
      <c r="J495" s="330"/>
      <c r="K495" s="301"/>
      <c r="L495" s="301"/>
      <c r="M495" s="302"/>
      <c r="N495" s="302"/>
      <c r="O495" s="302"/>
      <c r="P495" s="302"/>
      <c r="Q495" s="302"/>
      <c r="R495" s="302"/>
      <c r="S495" s="302"/>
      <c r="T495" s="302"/>
      <c r="U495" s="302"/>
      <c r="V495" s="302"/>
      <c r="W495" s="302"/>
      <c r="X495" s="302"/>
      <c r="Y495" s="302"/>
      <c r="Z495" s="302"/>
      <c r="AA495" s="302"/>
      <c r="AB495" s="302"/>
    </row>
    <row r="496">
      <c r="A496" s="320"/>
      <c r="B496" s="317"/>
      <c r="C496" s="301"/>
      <c r="D496" s="302"/>
      <c r="E496" s="301"/>
      <c r="F496" s="329"/>
      <c r="G496" s="301"/>
      <c r="H496" s="301"/>
      <c r="I496" s="329"/>
      <c r="J496" s="330"/>
      <c r="K496" s="301"/>
      <c r="L496" s="301"/>
      <c r="M496" s="302"/>
      <c r="N496" s="302"/>
      <c r="O496" s="302"/>
      <c r="P496" s="302"/>
      <c r="Q496" s="302"/>
      <c r="R496" s="302"/>
      <c r="S496" s="302"/>
      <c r="T496" s="302"/>
      <c r="U496" s="302"/>
      <c r="V496" s="302"/>
      <c r="W496" s="302"/>
      <c r="X496" s="302"/>
      <c r="Y496" s="302"/>
      <c r="Z496" s="302"/>
      <c r="AA496" s="302"/>
      <c r="AB496" s="302"/>
    </row>
    <row r="497">
      <c r="A497" s="320"/>
      <c r="B497" s="317"/>
      <c r="C497" s="301"/>
      <c r="D497" s="302"/>
      <c r="E497" s="301"/>
      <c r="F497" s="329"/>
      <c r="G497" s="301"/>
      <c r="H497" s="301"/>
      <c r="I497" s="329"/>
      <c r="J497" s="330"/>
      <c r="K497" s="301"/>
      <c r="L497" s="301"/>
      <c r="M497" s="302"/>
      <c r="N497" s="302"/>
      <c r="O497" s="302"/>
      <c r="P497" s="302"/>
      <c r="Q497" s="302"/>
      <c r="R497" s="302"/>
      <c r="S497" s="302"/>
      <c r="T497" s="302"/>
      <c r="U497" s="302"/>
      <c r="V497" s="302"/>
      <c r="W497" s="302"/>
      <c r="X497" s="302"/>
      <c r="Y497" s="302"/>
      <c r="Z497" s="302"/>
      <c r="AA497" s="302"/>
      <c r="AB497" s="302"/>
    </row>
    <row r="498">
      <c r="A498" s="320"/>
      <c r="B498" s="317"/>
      <c r="C498" s="301"/>
      <c r="D498" s="302"/>
      <c r="E498" s="301"/>
      <c r="F498" s="329"/>
      <c r="G498" s="301"/>
      <c r="H498" s="301"/>
      <c r="I498" s="329"/>
      <c r="J498" s="330"/>
      <c r="K498" s="301"/>
      <c r="L498" s="301"/>
      <c r="M498" s="302"/>
      <c r="N498" s="302"/>
      <c r="O498" s="302"/>
      <c r="P498" s="302"/>
      <c r="Q498" s="302"/>
      <c r="R498" s="302"/>
      <c r="S498" s="302"/>
      <c r="T498" s="302"/>
      <c r="U498" s="302"/>
      <c r="V498" s="302"/>
      <c r="W498" s="302"/>
      <c r="X498" s="302"/>
      <c r="Y498" s="302"/>
      <c r="Z498" s="302"/>
      <c r="AA498" s="302"/>
      <c r="AB498" s="302"/>
    </row>
    <row r="499">
      <c r="A499" s="320"/>
      <c r="B499" s="317"/>
      <c r="C499" s="301"/>
      <c r="D499" s="302"/>
      <c r="E499" s="301"/>
      <c r="F499" s="329"/>
      <c r="G499" s="301"/>
      <c r="H499" s="301"/>
      <c r="I499" s="329"/>
      <c r="J499" s="330"/>
      <c r="K499" s="301"/>
      <c r="L499" s="301"/>
      <c r="M499" s="302"/>
      <c r="N499" s="302"/>
      <c r="O499" s="302"/>
      <c r="P499" s="302"/>
      <c r="Q499" s="302"/>
      <c r="R499" s="302"/>
      <c r="S499" s="302"/>
      <c r="T499" s="302"/>
      <c r="U499" s="302"/>
      <c r="V499" s="302"/>
      <c r="W499" s="302"/>
      <c r="X499" s="302"/>
      <c r="Y499" s="302"/>
      <c r="Z499" s="302"/>
      <c r="AA499" s="302"/>
      <c r="AB499" s="302"/>
    </row>
    <row r="500">
      <c r="A500" s="320"/>
      <c r="B500" s="317"/>
      <c r="C500" s="301"/>
      <c r="D500" s="302"/>
      <c r="E500" s="301"/>
      <c r="F500" s="329"/>
      <c r="G500" s="301"/>
      <c r="H500" s="301"/>
      <c r="I500" s="329"/>
      <c r="J500" s="330"/>
      <c r="K500" s="301"/>
      <c r="L500" s="301"/>
      <c r="M500" s="302"/>
      <c r="N500" s="302"/>
      <c r="O500" s="302"/>
      <c r="P500" s="302"/>
      <c r="Q500" s="302"/>
      <c r="R500" s="302"/>
      <c r="S500" s="302"/>
      <c r="T500" s="302"/>
      <c r="U500" s="302"/>
      <c r="V500" s="302"/>
      <c r="W500" s="302"/>
      <c r="X500" s="302"/>
      <c r="Y500" s="302"/>
      <c r="Z500" s="302"/>
      <c r="AA500" s="302"/>
      <c r="AB500" s="302"/>
    </row>
    <row r="501">
      <c r="A501" s="320"/>
      <c r="B501" s="317"/>
      <c r="C501" s="301"/>
      <c r="D501" s="302"/>
      <c r="E501" s="301"/>
      <c r="F501" s="329"/>
      <c r="G501" s="301"/>
      <c r="H501" s="301"/>
      <c r="I501" s="329"/>
      <c r="J501" s="330"/>
      <c r="K501" s="301"/>
      <c r="L501" s="301"/>
      <c r="M501" s="302"/>
      <c r="N501" s="302"/>
      <c r="O501" s="302"/>
      <c r="P501" s="302"/>
      <c r="Q501" s="302"/>
      <c r="R501" s="302"/>
      <c r="S501" s="302"/>
      <c r="T501" s="302"/>
      <c r="U501" s="302"/>
      <c r="V501" s="302"/>
      <c r="W501" s="302"/>
      <c r="X501" s="302"/>
      <c r="Y501" s="302"/>
      <c r="Z501" s="302"/>
      <c r="AA501" s="302"/>
      <c r="AB501" s="302"/>
    </row>
    <row r="502">
      <c r="A502" s="320"/>
      <c r="B502" s="317"/>
      <c r="C502" s="301"/>
      <c r="D502" s="302"/>
      <c r="E502" s="301"/>
      <c r="F502" s="329"/>
      <c r="G502" s="301"/>
      <c r="H502" s="301"/>
      <c r="I502" s="329"/>
      <c r="J502" s="330"/>
      <c r="K502" s="301"/>
      <c r="L502" s="301"/>
      <c r="M502" s="302"/>
      <c r="N502" s="302"/>
      <c r="O502" s="302"/>
      <c r="P502" s="302"/>
      <c r="Q502" s="302"/>
      <c r="R502" s="302"/>
      <c r="S502" s="302"/>
      <c r="T502" s="302"/>
      <c r="U502" s="302"/>
      <c r="V502" s="302"/>
      <c r="W502" s="302"/>
      <c r="X502" s="302"/>
      <c r="Y502" s="302"/>
      <c r="Z502" s="302"/>
      <c r="AA502" s="302"/>
      <c r="AB502" s="302"/>
    </row>
    <row r="503">
      <c r="A503" s="320"/>
      <c r="B503" s="317"/>
      <c r="C503" s="301"/>
      <c r="D503" s="302"/>
      <c r="E503" s="301"/>
      <c r="F503" s="329"/>
      <c r="G503" s="301"/>
      <c r="H503" s="301"/>
      <c r="I503" s="329"/>
      <c r="J503" s="330"/>
      <c r="K503" s="301"/>
      <c r="L503" s="301"/>
      <c r="M503" s="302"/>
      <c r="N503" s="302"/>
      <c r="O503" s="302"/>
      <c r="P503" s="302"/>
      <c r="Q503" s="302"/>
      <c r="R503" s="302"/>
      <c r="S503" s="302"/>
      <c r="T503" s="302"/>
      <c r="U503" s="302"/>
      <c r="V503" s="302"/>
      <c r="W503" s="302"/>
      <c r="X503" s="302"/>
      <c r="Y503" s="302"/>
      <c r="Z503" s="302"/>
      <c r="AA503" s="302"/>
      <c r="AB503" s="302"/>
    </row>
    <row r="504">
      <c r="A504" s="320"/>
      <c r="B504" s="317"/>
      <c r="C504" s="301"/>
      <c r="D504" s="302"/>
      <c r="E504" s="301"/>
      <c r="F504" s="329"/>
      <c r="G504" s="301"/>
      <c r="H504" s="301"/>
      <c r="I504" s="329"/>
      <c r="J504" s="330"/>
      <c r="K504" s="301"/>
      <c r="L504" s="301"/>
      <c r="M504" s="302"/>
      <c r="N504" s="302"/>
      <c r="O504" s="302"/>
      <c r="P504" s="302"/>
      <c r="Q504" s="302"/>
      <c r="R504" s="302"/>
      <c r="S504" s="302"/>
      <c r="T504" s="302"/>
      <c r="U504" s="302"/>
      <c r="V504" s="302"/>
      <c r="W504" s="302"/>
      <c r="X504" s="302"/>
      <c r="Y504" s="302"/>
      <c r="Z504" s="302"/>
      <c r="AA504" s="302"/>
      <c r="AB504" s="302"/>
    </row>
    <row r="505">
      <c r="A505" s="320"/>
      <c r="B505" s="317"/>
      <c r="C505" s="301"/>
      <c r="D505" s="302"/>
      <c r="E505" s="301"/>
      <c r="F505" s="329"/>
      <c r="G505" s="301"/>
      <c r="H505" s="301"/>
      <c r="I505" s="329"/>
      <c r="J505" s="330"/>
      <c r="K505" s="301"/>
      <c r="L505" s="301"/>
      <c r="M505" s="302"/>
      <c r="N505" s="302"/>
      <c r="O505" s="302"/>
      <c r="P505" s="302"/>
      <c r="Q505" s="302"/>
      <c r="R505" s="302"/>
      <c r="S505" s="302"/>
      <c r="T505" s="302"/>
      <c r="U505" s="302"/>
      <c r="V505" s="302"/>
      <c r="W505" s="302"/>
      <c r="X505" s="302"/>
      <c r="Y505" s="302"/>
      <c r="Z505" s="302"/>
      <c r="AA505" s="302"/>
      <c r="AB505" s="302"/>
    </row>
    <row r="506">
      <c r="A506" s="320"/>
      <c r="B506" s="317"/>
      <c r="C506" s="301"/>
      <c r="D506" s="302"/>
      <c r="E506" s="301"/>
      <c r="F506" s="329"/>
      <c r="G506" s="301"/>
      <c r="H506" s="301"/>
      <c r="I506" s="329"/>
      <c r="J506" s="330"/>
      <c r="K506" s="301"/>
      <c r="L506" s="301"/>
      <c r="M506" s="302"/>
      <c r="N506" s="302"/>
      <c r="O506" s="302"/>
      <c r="P506" s="302"/>
      <c r="Q506" s="302"/>
      <c r="R506" s="302"/>
      <c r="S506" s="302"/>
      <c r="T506" s="302"/>
      <c r="U506" s="302"/>
      <c r="V506" s="302"/>
      <c r="W506" s="302"/>
      <c r="X506" s="302"/>
      <c r="Y506" s="302"/>
      <c r="Z506" s="302"/>
      <c r="AA506" s="302"/>
      <c r="AB506" s="302"/>
    </row>
    <row r="507">
      <c r="A507" s="320"/>
      <c r="B507" s="317"/>
      <c r="C507" s="301"/>
      <c r="D507" s="302"/>
      <c r="E507" s="301"/>
      <c r="F507" s="329"/>
      <c r="G507" s="301"/>
      <c r="H507" s="301"/>
      <c r="I507" s="329"/>
      <c r="J507" s="330"/>
      <c r="K507" s="301"/>
      <c r="L507" s="301"/>
      <c r="M507" s="302"/>
      <c r="N507" s="302"/>
      <c r="O507" s="302"/>
      <c r="P507" s="302"/>
      <c r="Q507" s="302"/>
      <c r="R507" s="302"/>
      <c r="S507" s="302"/>
      <c r="T507" s="302"/>
      <c r="U507" s="302"/>
      <c r="V507" s="302"/>
      <c r="W507" s="302"/>
      <c r="X507" s="302"/>
      <c r="Y507" s="302"/>
      <c r="Z507" s="302"/>
      <c r="AA507" s="302"/>
      <c r="AB507" s="302"/>
    </row>
    <row r="508">
      <c r="A508" s="320"/>
      <c r="B508" s="317"/>
      <c r="C508" s="301"/>
      <c r="D508" s="302"/>
      <c r="E508" s="301"/>
      <c r="F508" s="329"/>
      <c r="G508" s="301"/>
      <c r="H508" s="301"/>
      <c r="I508" s="329"/>
      <c r="J508" s="330"/>
      <c r="K508" s="301"/>
      <c r="L508" s="301"/>
      <c r="M508" s="302"/>
      <c r="N508" s="302"/>
      <c r="O508" s="302"/>
      <c r="P508" s="302"/>
      <c r="Q508" s="302"/>
      <c r="R508" s="302"/>
      <c r="S508" s="302"/>
      <c r="T508" s="302"/>
      <c r="U508" s="302"/>
      <c r="V508" s="302"/>
      <c r="W508" s="302"/>
      <c r="X508" s="302"/>
      <c r="Y508" s="302"/>
      <c r="Z508" s="302"/>
      <c r="AA508" s="302"/>
      <c r="AB508" s="302"/>
    </row>
    <row r="509">
      <c r="A509" s="320"/>
      <c r="B509" s="317"/>
      <c r="C509" s="301"/>
      <c r="D509" s="302"/>
      <c r="E509" s="301"/>
      <c r="F509" s="329"/>
      <c r="G509" s="301"/>
      <c r="H509" s="301"/>
      <c r="I509" s="329"/>
      <c r="J509" s="330"/>
      <c r="K509" s="301"/>
      <c r="L509" s="301"/>
      <c r="M509" s="302"/>
      <c r="N509" s="302"/>
      <c r="O509" s="302"/>
      <c r="P509" s="302"/>
      <c r="Q509" s="302"/>
      <c r="R509" s="302"/>
      <c r="S509" s="302"/>
      <c r="T509" s="302"/>
      <c r="U509" s="302"/>
      <c r="V509" s="302"/>
      <c r="W509" s="302"/>
      <c r="X509" s="302"/>
      <c r="Y509" s="302"/>
      <c r="Z509" s="302"/>
      <c r="AA509" s="302"/>
      <c r="AB509" s="302"/>
    </row>
    <row r="510">
      <c r="A510" s="320"/>
      <c r="B510" s="317"/>
      <c r="C510" s="301"/>
      <c r="D510" s="302"/>
      <c r="E510" s="301"/>
      <c r="F510" s="329"/>
      <c r="G510" s="301"/>
      <c r="H510" s="301"/>
      <c r="I510" s="329"/>
      <c r="J510" s="330"/>
      <c r="K510" s="301"/>
      <c r="L510" s="301"/>
      <c r="M510" s="302"/>
      <c r="N510" s="302"/>
      <c r="O510" s="302"/>
      <c r="P510" s="302"/>
      <c r="Q510" s="302"/>
      <c r="R510" s="302"/>
      <c r="S510" s="302"/>
      <c r="T510" s="302"/>
      <c r="U510" s="302"/>
      <c r="V510" s="302"/>
      <c r="W510" s="302"/>
      <c r="X510" s="302"/>
      <c r="Y510" s="302"/>
      <c r="Z510" s="302"/>
      <c r="AA510" s="302"/>
      <c r="AB510" s="302"/>
    </row>
    <row r="511">
      <c r="A511" s="320"/>
      <c r="B511" s="317"/>
      <c r="C511" s="301"/>
      <c r="D511" s="302"/>
      <c r="E511" s="301"/>
      <c r="F511" s="329"/>
      <c r="G511" s="301"/>
      <c r="H511" s="301"/>
      <c r="I511" s="329"/>
      <c r="J511" s="330"/>
      <c r="K511" s="301"/>
      <c r="L511" s="301"/>
      <c r="M511" s="302"/>
      <c r="N511" s="302"/>
      <c r="O511" s="302"/>
      <c r="P511" s="302"/>
      <c r="Q511" s="302"/>
      <c r="R511" s="302"/>
      <c r="S511" s="302"/>
      <c r="T511" s="302"/>
      <c r="U511" s="302"/>
      <c r="V511" s="302"/>
      <c r="W511" s="302"/>
      <c r="X511" s="302"/>
      <c r="Y511" s="302"/>
      <c r="Z511" s="302"/>
      <c r="AA511" s="302"/>
      <c r="AB511" s="302"/>
    </row>
    <row r="512">
      <c r="A512" s="320"/>
      <c r="B512" s="317"/>
      <c r="C512" s="301"/>
      <c r="D512" s="302"/>
      <c r="E512" s="301"/>
      <c r="F512" s="329"/>
      <c r="G512" s="301"/>
      <c r="H512" s="301"/>
      <c r="I512" s="329"/>
      <c r="J512" s="330"/>
      <c r="K512" s="301"/>
      <c r="L512" s="301"/>
      <c r="M512" s="302"/>
      <c r="N512" s="302"/>
      <c r="O512" s="302"/>
      <c r="P512" s="302"/>
      <c r="Q512" s="302"/>
      <c r="R512" s="302"/>
      <c r="S512" s="302"/>
      <c r="T512" s="302"/>
      <c r="U512" s="302"/>
      <c r="V512" s="302"/>
      <c r="W512" s="302"/>
      <c r="X512" s="302"/>
      <c r="Y512" s="302"/>
      <c r="Z512" s="302"/>
      <c r="AA512" s="302"/>
      <c r="AB512" s="302"/>
    </row>
    <row r="513">
      <c r="A513" s="320"/>
      <c r="B513" s="317"/>
      <c r="C513" s="301"/>
      <c r="D513" s="302"/>
      <c r="E513" s="301"/>
      <c r="F513" s="329"/>
      <c r="G513" s="301"/>
      <c r="H513" s="301"/>
      <c r="I513" s="329"/>
      <c r="J513" s="330"/>
      <c r="K513" s="301"/>
      <c r="L513" s="301"/>
      <c r="M513" s="302"/>
      <c r="N513" s="302"/>
      <c r="O513" s="302"/>
      <c r="P513" s="302"/>
      <c r="Q513" s="302"/>
      <c r="R513" s="302"/>
      <c r="S513" s="302"/>
      <c r="T513" s="302"/>
      <c r="U513" s="302"/>
      <c r="V513" s="302"/>
      <c r="W513" s="302"/>
      <c r="X513" s="302"/>
      <c r="Y513" s="302"/>
      <c r="Z513" s="302"/>
      <c r="AA513" s="302"/>
      <c r="AB513" s="302"/>
    </row>
    <row r="514">
      <c r="A514" s="320"/>
      <c r="B514" s="317"/>
      <c r="C514" s="301"/>
      <c r="D514" s="302"/>
      <c r="E514" s="301"/>
      <c r="F514" s="329"/>
      <c r="G514" s="301"/>
      <c r="H514" s="301"/>
      <c r="I514" s="329"/>
      <c r="J514" s="330"/>
      <c r="K514" s="301"/>
      <c r="L514" s="301"/>
      <c r="M514" s="302"/>
      <c r="N514" s="302"/>
      <c r="O514" s="302"/>
      <c r="P514" s="302"/>
      <c r="Q514" s="302"/>
      <c r="R514" s="302"/>
      <c r="S514" s="302"/>
      <c r="T514" s="302"/>
      <c r="U514" s="302"/>
      <c r="V514" s="302"/>
      <c r="W514" s="302"/>
      <c r="X514" s="302"/>
      <c r="Y514" s="302"/>
      <c r="Z514" s="302"/>
      <c r="AA514" s="302"/>
      <c r="AB514" s="302"/>
    </row>
    <row r="515">
      <c r="A515" s="320"/>
      <c r="B515" s="317"/>
      <c r="C515" s="301"/>
      <c r="D515" s="302"/>
      <c r="E515" s="301"/>
      <c r="F515" s="329"/>
      <c r="G515" s="301"/>
      <c r="H515" s="301"/>
      <c r="I515" s="329"/>
      <c r="J515" s="330"/>
      <c r="K515" s="301"/>
      <c r="L515" s="301"/>
      <c r="M515" s="302"/>
      <c r="N515" s="302"/>
      <c r="O515" s="302"/>
      <c r="P515" s="302"/>
      <c r="Q515" s="302"/>
      <c r="R515" s="302"/>
      <c r="S515" s="302"/>
      <c r="T515" s="302"/>
      <c r="U515" s="302"/>
      <c r="V515" s="302"/>
      <c r="W515" s="302"/>
      <c r="X515" s="302"/>
      <c r="Y515" s="302"/>
      <c r="Z515" s="302"/>
      <c r="AA515" s="302"/>
      <c r="AB515" s="302"/>
    </row>
    <row r="516">
      <c r="A516" s="320"/>
      <c r="B516" s="317"/>
      <c r="C516" s="301"/>
      <c r="D516" s="302"/>
      <c r="E516" s="301"/>
      <c r="F516" s="329"/>
      <c r="G516" s="301"/>
      <c r="H516" s="301"/>
      <c r="I516" s="329"/>
      <c r="J516" s="330"/>
      <c r="K516" s="301"/>
      <c r="L516" s="301"/>
      <c r="M516" s="302"/>
      <c r="N516" s="302"/>
      <c r="O516" s="302"/>
      <c r="P516" s="302"/>
      <c r="Q516" s="302"/>
      <c r="R516" s="302"/>
      <c r="S516" s="302"/>
      <c r="T516" s="302"/>
      <c r="U516" s="302"/>
      <c r="V516" s="302"/>
      <c r="W516" s="302"/>
      <c r="X516" s="302"/>
      <c r="Y516" s="302"/>
      <c r="Z516" s="302"/>
      <c r="AA516" s="302"/>
      <c r="AB516" s="302"/>
    </row>
    <row r="517">
      <c r="A517" s="320"/>
      <c r="B517" s="317"/>
      <c r="C517" s="301"/>
      <c r="D517" s="302"/>
      <c r="E517" s="301"/>
      <c r="F517" s="329"/>
      <c r="G517" s="301"/>
      <c r="H517" s="301"/>
      <c r="I517" s="329"/>
      <c r="J517" s="330"/>
      <c r="K517" s="301"/>
      <c r="L517" s="301"/>
      <c r="M517" s="302"/>
      <c r="N517" s="302"/>
      <c r="O517" s="302"/>
      <c r="P517" s="302"/>
      <c r="Q517" s="302"/>
      <c r="R517" s="302"/>
      <c r="S517" s="302"/>
      <c r="T517" s="302"/>
      <c r="U517" s="302"/>
      <c r="V517" s="302"/>
      <c r="W517" s="302"/>
      <c r="X517" s="302"/>
      <c r="Y517" s="302"/>
      <c r="Z517" s="302"/>
      <c r="AA517" s="302"/>
      <c r="AB517" s="302"/>
    </row>
    <row r="518">
      <c r="A518" s="320"/>
      <c r="B518" s="317"/>
      <c r="C518" s="301"/>
      <c r="D518" s="302"/>
      <c r="E518" s="301"/>
      <c r="F518" s="329"/>
      <c r="G518" s="301"/>
      <c r="H518" s="301"/>
      <c r="I518" s="329"/>
      <c r="J518" s="330"/>
      <c r="K518" s="301"/>
      <c r="L518" s="301"/>
      <c r="M518" s="302"/>
      <c r="N518" s="302"/>
      <c r="O518" s="302"/>
      <c r="P518" s="302"/>
      <c r="Q518" s="302"/>
      <c r="R518" s="302"/>
      <c r="S518" s="302"/>
      <c r="T518" s="302"/>
      <c r="U518" s="302"/>
      <c r="V518" s="302"/>
      <c r="W518" s="302"/>
      <c r="X518" s="302"/>
      <c r="Y518" s="302"/>
      <c r="Z518" s="302"/>
      <c r="AA518" s="302"/>
      <c r="AB518" s="302"/>
    </row>
    <row r="519">
      <c r="A519" s="320"/>
      <c r="B519" s="317"/>
      <c r="C519" s="301"/>
      <c r="D519" s="302"/>
      <c r="E519" s="301"/>
      <c r="F519" s="329"/>
      <c r="G519" s="301"/>
      <c r="H519" s="301"/>
      <c r="I519" s="329"/>
      <c r="J519" s="330"/>
      <c r="K519" s="301"/>
      <c r="L519" s="301"/>
      <c r="M519" s="302"/>
      <c r="N519" s="302"/>
      <c r="O519" s="302"/>
      <c r="P519" s="302"/>
      <c r="Q519" s="302"/>
      <c r="R519" s="302"/>
      <c r="S519" s="302"/>
      <c r="T519" s="302"/>
      <c r="U519" s="302"/>
      <c r="V519" s="302"/>
      <c r="W519" s="302"/>
      <c r="X519" s="302"/>
      <c r="Y519" s="302"/>
      <c r="Z519" s="302"/>
      <c r="AA519" s="302"/>
      <c r="AB519" s="302"/>
    </row>
    <row r="520">
      <c r="A520" s="320"/>
      <c r="B520" s="317"/>
      <c r="C520" s="301"/>
      <c r="D520" s="302"/>
      <c r="E520" s="301"/>
      <c r="F520" s="329"/>
      <c r="G520" s="301"/>
      <c r="H520" s="301"/>
      <c r="I520" s="329"/>
      <c r="J520" s="330"/>
      <c r="K520" s="301"/>
      <c r="L520" s="301"/>
      <c r="M520" s="302"/>
      <c r="N520" s="302"/>
      <c r="O520" s="302"/>
      <c r="P520" s="302"/>
      <c r="Q520" s="302"/>
      <c r="R520" s="302"/>
      <c r="S520" s="302"/>
      <c r="T520" s="302"/>
      <c r="U520" s="302"/>
      <c r="V520" s="302"/>
      <c r="W520" s="302"/>
      <c r="X520" s="302"/>
      <c r="Y520" s="302"/>
      <c r="Z520" s="302"/>
      <c r="AA520" s="302"/>
      <c r="AB520" s="302"/>
    </row>
    <row r="521">
      <c r="A521" s="320"/>
      <c r="B521" s="317"/>
      <c r="C521" s="301"/>
      <c r="D521" s="302"/>
      <c r="E521" s="301"/>
      <c r="F521" s="329"/>
      <c r="G521" s="301"/>
      <c r="H521" s="301"/>
      <c r="I521" s="329"/>
      <c r="J521" s="330"/>
      <c r="K521" s="301"/>
      <c r="L521" s="301"/>
      <c r="M521" s="302"/>
      <c r="N521" s="302"/>
      <c r="O521" s="302"/>
      <c r="P521" s="302"/>
      <c r="Q521" s="302"/>
      <c r="R521" s="302"/>
      <c r="S521" s="302"/>
      <c r="T521" s="302"/>
      <c r="U521" s="302"/>
      <c r="V521" s="302"/>
      <c r="W521" s="302"/>
      <c r="X521" s="302"/>
      <c r="Y521" s="302"/>
      <c r="Z521" s="302"/>
      <c r="AA521" s="302"/>
      <c r="AB521" s="302"/>
    </row>
    <row r="522">
      <c r="A522" s="320"/>
      <c r="B522" s="317"/>
      <c r="C522" s="301"/>
      <c r="D522" s="302"/>
      <c r="E522" s="301"/>
      <c r="F522" s="329"/>
      <c r="G522" s="301"/>
      <c r="H522" s="301"/>
      <c r="I522" s="329"/>
      <c r="J522" s="330"/>
      <c r="K522" s="301"/>
      <c r="L522" s="301"/>
      <c r="M522" s="302"/>
      <c r="N522" s="302"/>
      <c r="O522" s="302"/>
      <c r="P522" s="302"/>
      <c r="Q522" s="302"/>
      <c r="R522" s="302"/>
      <c r="S522" s="302"/>
      <c r="T522" s="302"/>
      <c r="U522" s="302"/>
      <c r="V522" s="302"/>
      <c r="W522" s="302"/>
      <c r="X522" s="302"/>
      <c r="Y522" s="302"/>
      <c r="Z522" s="302"/>
      <c r="AA522" s="302"/>
      <c r="AB522" s="302"/>
    </row>
    <row r="523">
      <c r="A523" s="320"/>
      <c r="B523" s="317"/>
      <c r="C523" s="301"/>
      <c r="D523" s="302"/>
      <c r="E523" s="301"/>
      <c r="F523" s="329"/>
      <c r="G523" s="301"/>
      <c r="H523" s="301"/>
      <c r="I523" s="329"/>
      <c r="J523" s="330"/>
      <c r="K523" s="301"/>
      <c r="L523" s="301"/>
      <c r="M523" s="302"/>
      <c r="N523" s="302"/>
      <c r="O523" s="302"/>
      <c r="P523" s="302"/>
      <c r="Q523" s="302"/>
      <c r="R523" s="302"/>
      <c r="S523" s="302"/>
      <c r="T523" s="302"/>
      <c r="U523" s="302"/>
      <c r="V523" s="302"/>
      <c r="W523" s="302"/>
      <c r="X523" s="302"/>
      <c r="Y523" s="302"/>
      <c r="Z523" s="302"/>
      <c r="AA523" s="302"/>
      <c r="AB523" s="302"/>
    </row>
    <row r="524">
      <c r="A524" s="320"/>
      <c r="B524" s="317"/>
      <c r="C524" s="301"/>
      <c r="D524" s="302"/>
      <c r="E524" s="301"/>
      <c r="F524" s="329"/>
      <c r="G524" s="301"/>
      <c r="H524" s="301"/>
      <c r="I524" s="329"/>
      <c r="J524" s="330"/>
      <c r="K524" s="301"/>
      <c r="L524" s="301"/>
      <c r="M524" s="302"/>
      <c r="N524" s="302"/>
      <c r="O524" s="302"/>
      <c r="P524" s="302"/>
      <c r="Q524" s="302"/>
      <c r="R524" s="302"/>
      <c r="S524" s="302"/>
      <c r="T524" s="302"/>
      <c r="U524" s="302"/>
      <c r="V524" s="302"/>
      <c r="W524" s="302"/>
      <c r="X524" s="302"/>
      <c r="Y524" s="302"/>
      <c r="Z524" s="302"/>
      <c r="AA524" s="302"/>
      <c r="AB524" s="302"/>
    </row>
    <row r="525">
      <c r="A525" s="320"/>
      <c r="B525" s="317"/>
      <c r="C525" s="301"/>
      <c r="D525" s="302"/>
      <c r="E525" s="301"/>
      <c r="F525" s="329"/>
      <c r="G525" s="301"/>
      <c r="H525" s="301"/>
      <c r="I525" s="329"/>
      <c r="J525" s="330"/>
      <c r="K525" s="301"/>
      <c r="L525" s="301"/>
      <c r="M525" s="302"/>
      <c r="N525" s="302"/>
      <c r="O525" s="302"/>
      <c r="P525" s="302"/>
      <c r="Q525" s="302"/>
      <c r="R525" s="302"/>
      <c r="S525" s="302"/>
      <c r="T525" s="302"/>
      <c r="U525" s="302"/>
      <c r="V525" s="302"/>
      <c r="W525" s="302"/>
      <c r="X525" s="302"/>
      <c r="Y525" s="302"/>
      <c r="Z525" s="302"/>
      <c r="AA525" s="302"/>
      <c r="AB525" s="302"/>
    </row>
    <row r="526">
      <c r="A526" s="320"/>
      <c r="B526" s="317"/>
      <c r="C526" s="301"/>
      <c r="D526" s="302"/>
      <c r="E526" s="301"/>
      <c r="F526" s="329"/>
      <c r="G526" s="301"/>
      <c r="H526" s="301"/>
      <c r="I526" s="329"/>
      <c r="J526" s="330"/>
      <c r="K526" s="301"/>
      <c r="L526" s="301"/>
      <c r="M526" s="302"/>
      <c r="N526" s="302"/>
      <c r="O526" s="302"/>
      <c r="P526" s="302"/>
      <c r="Q526" s="302"/>
      <c r="R526" s="302"/>
      <c r="S526" s="302"/>
      <c r="T526" s="302"/>
      <c r="U526" s="302"/>
      <c r="V526" s="302"/>
      <c r="W526" s="302"/>
      <c r="X526" s="302"/>
      <c r="Y526" s="302"/>
      <c r="Z526" s="302"/>
      <c r="AA526" s="302"/>
      <c r="AB526" s="302"/>
    </row>
    <row r="527">
      <c r="A527" s="320"/>
      <c r="B527" s="317"/>
      <c r="C527" s="301"/>
      <c r="D527" s="302"/>
      <c r="E527" s="301"/>
      <c r="F527" s="329"/>
      <c r="G527" s="301"/>
      <c r="H527" s="301"/>
      <c r="I527" s="329"/>
      <c r="J527" s="330"/>
      <c r="K527" s="301"/>
      <c r="L527" s="301"/>
      <c r="M527" s="302"/>
      <c r="N527" s="302"/>
      <c r="O527" s="302"/>
      <c r="P527" s="302"/>
      <c r="Q527" s="302"/>
      <c r="R527" s="302"/>
      <c r="S527" s="302"/>
      <c r="T527" s="302"/>
      <c r="U527" s="302"/>
      <c r="V527" s="302"/>
      <c r="W527" s="302"/>
      <c r="X527" s="302"/>
      <c r="Y527" s="302"/>
      <c r="Z527" s="302"/>
      <c r="AA527" s="302"/>
      <c r="AB527" s="302"/>
    </row>
    <row r="528">
      <c r="A528" s="320"/>
      <c r="B528" s="317"/>
      <c r="C528" s="301"/>
      <c r="D528" s="302"/>
      <c r="E528" s="301"/>
      <c r="F528" s="329"/>
      <c r="G528" s="301"/>
      <c r="H528" s="301"/>
      <c r="I528" s="329"/>
      <c r="J528" s="330"/>
      <c r="K528" s="301"/>
      <c r="L528" s="301"/>
      <c r="M528" s="302"/>
      <c r="N528" s="302"/>
      <c r="O528" s="302"/>
      <c r="P528" s="302"/>
      <c r="Q528" s="302"/>
      <c r="R528" s="302"/>
      <c r="S528" s="302"/>
      <c r="T528" s="302"/>
      <c r="U528" s="302"/>
      <c r="V528" s="302"/>
      <c r="W528" s="302"/>
      <c r="X528" s="302"/>
      <c r="Y528" s="302"/>
      <c r="Z528" s="302"/>
      <c r="AA528" s="302"/>
      <c r="AB528" s="302"/>
    </row>
    <row r="529">
      <c r="A529" s="320"/>
      <c r="B529" s="317"/>
      <c r="C529" s="301"/>
      <c r="D529" s="302"/>
      <c r="E529" s="301"/>
      <c r="F529" s="329"/>
      <c r="G529" s="301"/>
      <c r="H529" s="301"/>
      <c r="I529" s="329"/>
      <c r="J529" s="330"/>
      <c r="K529" s="301"/>
      <c r="L529" s="301"/>
      <c r="M529" s="302"/>
      <c r="N529" s="302"/>
      <c r="O529" s="302"/>
      <c r="P529" s="302"/>
      <c r="Q529" s="302"/>
      <c r="R529" s="302"/>
      <c r="S529" s="302"/>
      <c r="T529" s="302"/>
      <c r="U529" s="302"/>
      <c r="V529" s="302"/>
      <c r="W529" s="302"/>
      <c r="X529" s="302"/>
      <c r="Y529" s="302"/>
      <c r="Z529" s="302"/>
      <c r="AA529" s="302"/>
      <c r="AB529" s="302"/>
    </row>
    <row r="530">
      <c r="A530" s="320"/>
      <c r="B530" s="317"/>
      <c r="C530" s="301"/>
      <c r="D530" s="302"/>
      <c r="E530" s="301"/>
      <c r="F530" s="329"/>
      <c r="G530" s="301"/>
      <c r="H530" s="301"/>
      <c r="I530" s="329"/>
      <c r="J530" s="330"/>
      <c r="K530" s="301"/>
      <c r="L530" s="301"/>
      <c r="M530" s="302"/>
      <c r="N530" s="302"/>
      <c r="O530" s="302"/>
      <c r="P530" s="302"/>
      <c r="Q530" s="302"/>
      <c r="R530" s="302"/>
      <c r="S530" s="302"/>
      <c r="T530" s="302"/>
      <c r="U530" s="302"/>
      <c r="V530" s="302"/>
      <c r="W530" s="302"/>
      <c r="X530" s="302"/>
      <c r="Y530" s="302"/>
      <c r="Z530" s="302"/>
      <c r="AA530" s="302"/>
      <c r="AB530" s="302"/>
    </row>
    <row r="531">
      <c r="A531" s="320"/>
      <c r="B531" s="317"/>
      <c r="C531" s="301"/>
      <c r="D531" s="302"/>
      <c r="E531" s="301"/>
      <c r="F531" s="329"/>
      <c r="G531" s="301"/>
      <c r="H531" s="301"/>
      <c r="I531" s="329"/>
      <c r="J531" s="330"/>
      <c r="K531" s="301"/>
      <c r="L531" s="301"/>
      <c r="M531" s="302"/>
      <c r="N531" s="302"/>
      <c r="O531" s="302"/>
      <c r="P531" s="302"/>
      <c r="Q531" s="302"/>
      <c r="R531" s="302"/>
      <c r="S531" s="302"/>
      <c r="T531" s="302"/>
      <c r="U531" s="302"/>
      <c r="V531" s="302"/>
      <c r="W531" s="302"/>
      <c r="X531" s="302"/>
      <c r="Y531" s="302"/>
      <c r="Z531" s="302"/>
      <c r="AA531" s="302"/>
      <c r="AB531" s="302"/>
    </row>
    <row r="532">
      <c r="A532" s="320"/>
      <c r="B532" s="317"/>
      <c r="C532" s="301"/>
      <c r="D532" s="302"/>
      <c r="E532" s="301"/>
      <c r="F532" s="329"/>
      <c r="G532" s="301"/>
      <c r="H532" s="301"/>
      <c r="I532" s="329"/>
      <c r="J532" s="330"/>
      <c r="K532" s="301"/>
      <c r="L532" s="301"/>
      <c r="M532" s="302"/>
      <c r="N532" s="302"/>
      <c r="O532" s="302"/>
      <c r="P532" s="302"/>
      <c r="Q532" s="302"/>
      <c r="R532" s="302"/>
      <c r="S532" s="302"/>
      <c r="T532" s="302"/>
      <c r="U532" s="302"/>
      <c r="V532" s="302"/>
      <c r="W532" s="302"/>
      <c r="X532" s="302"/>
      <c r="Y532" s="302"/>
      <c r="Z532" s="302"/>
      <c r="AA532" s="302"/>
      <c r="AB532" s="302"/>
    </row>
    <row r="533">
      <c r="A533" s="320"/>
      <c r="B533" s="317"/>
      <c r="C533" s="301"/>
      <c r="D533" s="302"/>
      <c r="E533" s="301"/>
      <c r="F533" s="329"/>
      <c r="G533" s="301"/>
      <c r="H533" s="301"/>
      <c r="I533" s="329"/>
      <c r="J533" s="330"/>
      <c r="K533" s="301"/>
      <c r="L533" s="301"/>
      <c r="M533" s="302"/>
      <c r="N533" s="302"/>
      <c r="O533" s="302"/>
      <c r="P533" s="302"/>
      <c r="Q533" s="302"/>
      <c r="R533" s="302"/>
      <c r="S533" s="302"/>
      <c r="T533" s="302"/>
      <c r="U533" s="302"/>
      <c r="V533" s="302"/>
      <c r="W533" s="302"/>
      <c r="X533" s="302"/>
      <c r="Y533" s="302"/>
      <c r="Z533" s="302"/>
      <c r="AA533" s="302"/>
      <c r="AB533" s="302"/>
    </row>
    <row r="534">
      <c r="A534" s="320"/>
      <c r="B534" s="317"/>
      <c r="C534" s="301"/>
      <c r="D534" s="302"/>
      <c r="E534" s="301"/>
      <c r="F534" s="329"/>
      <c r="G534" s="301"/>
      <c r="H534" s="301"/>
      <c r="I534" s="329"/>
      <c r="J534" s="330"/>
      <c r="K534" s="301"/>
      <c r="L534" s="301"/>
      <c r="M534" s="302"/>
      <c r="N534" s="302"/>
      <c r="O534" s="302"/>
      <c r="P534" s="302"/>
      <c r="Q534" s="302"/>
      <c r="R534" s="302"/>
      <c r="S534" s="302"/>
      <c r="T534" s="302"/>
      <c r="U534" s="302"/>
      <c r="V534" s="302"/>
      <c r="W534" s="302"/>
      <c r="X534" s="302"/>
      <c r="Y534" s="302"/>
      <c r="Z534" s="302"/>
      <c r="AA534" s="302"/>
      <c r="AB534" s="302"/>
    </row>
    <row r="535">
      <c r="A535" s="320"/>
      <c r="B535" s="317"/>
      <c r="C535" s="301"/>
      <c r="D535" s="302"/>
      <c r="E535" s="301"/>
      <c r="F535" s="329"/>
      <c r="G535" s="301"/>
      <c r="H535" s="301"/>
      <c r="I535" s="329"/>
      <c r="J535" s="330"/>
      <c r="K535" s="301"/>
      <c r="L535" s="301"/>
      <c r="M535" s="302"/>
      <c r="N535" s="302"/>
      <c r="O535" s="302"/>
      <c r="P535" s="302"/>
      <c r="Q535" s="302"/>
      <c r="R535" s="302"/>
      <c r="S535" s="302"/>
      <c r="T535" s="302"/>
      <c r="U535" s="302"/>
      <c r="V535" s="302"/>
      <c r="W535" s="302"/>
      <c r="X535" s="302"/>
      <c r="Y535" s="302"/>
      <c r="Z535" s="302"/>
      <c r="AA535" s="302"/>
      <c r="AB535" s="302"/>
    </row>
    <row r="536">
      <c r="A536" s="320"/>
      <c r="B536" s="317"/>
      <c r="C536" s="301"/>
      <c r="D536" s="302"/>
      <c r="E536" s="301"/>
      <c r="F536" s="329"/>
      <c r="G536" s="301"/>
      <c r="H536" s="301"/>
      <c r="I536" s="329"/>
      <c r="J536" s="330"/>
      <c r="K536" s="301"/>
      <c r="L536" s="301"/>
      <c r="M536" s="302"/>
      <c r="N536" s="302"/>
      <c r="O536" s="302"/>
      <c r="P536" s="302"/>
      <c r="Q536" s="302"/>
      <c r="R536" s="302"/>
      <c r="S536" s="302"/>
      <c r="T536" s="302"/>
      <c r="U536" s="302"/>
      <c r="V536" s="302"/>
      <c r="W536" s="302"/>
      <c r="X536" s="302"/>
      <c r="Y536" s="302"/>
      <c r="Z536" s="302"/>
      <c r="AA536" s="302"/>
      <c r="AB536" s="302"/>
    </row>
    <row r="537">
      <c r="A537" s="320"/>
      <c r="B537" s="317"/>
      <c r="C537" s="301"/>
      <c r="D537" s="302"/>
      <c r="E537" s="301"/>
      <c r="F537" s="329"/>
      <c r="G537" s="301"/>
      <c r="H537" s="301"/>
      <c r="I537" s="329"/>
      <c r="J537" s="330"/>
      <c r="K537" s="301"/>
      <c r="L537" s="301"/>
      <c r="M537" s="302"/>
      <c r="N537" s="302"/>
      <c r="O537" s="302"/>
      <c r="P537" s="302"/>
      <c r="Q537" s="302"/>
      <c r="R537" s="302"/>
      <c r="S537" s="302"/>
      <c r="T537" s="302"/>
      <c r="U537" s="302"/>
      <c r="V537" s="302"/>
      <c r="W537" s="302"/>
      <c r="X537" s="302"/>
      <c r="Y537" s="302"/>
      <c r="Z537" s="302"/>
      <c r="AA537" s="302"/>
      <c r="AB537" s="302"/>
    </row>
    <row r="538">
      <c r="A538" s="320"/>
      <c r="B538" s="317"/>
      <c r="C538" s="301"/>
      <c r="D538" s="302"/>
      <c r="E538" s="301"/>
      <c r="F538" s="329"/>
      <c r="G538" s="301"/>
      <c r="H538" s="301"/>
      <c r="I538" s="329"/>
      <c r="J538" s="330"/>
      <c r="K538" s="301"/>
      <c r="L538" s="301"/>
      <c r="M538" s="302"/>
      <c r="N538" s="302"/>
      <c r="O538" s="302"/>
      <c r="P538" s="302"/>
      <c r="Q538" s="302"/>
      <c r="R538" s="302"/>
      <c r="S538" s="302"/>
      <c r="T538" s="302"/>
      <c r="U538" s="302"/>
      <c r="V538" s="302"/>
      <c r="W538" s="302"/>
      <c r="X538" s="302"/>
      <c r="Y538" s="302"/>
      <c r="Z538" s="302"/>
      <c r="AA538" s="302"/>
      <c r="AB538" s="302"/>
    </row>
    <row r="539">
      <c r="A539" s="320"/>
      <c r="B539" s="317"/>
      <c r="C539" s="301"/>
      <c r="D539" s="302"/>
      <c r="E539" s="301"/>
      <c r="F539" s="329"/>
      <c r="G539" s="301"/>
      <c r="H539" s="301"/>
      <c r="I539" s="329"/>
      <c r="J539" s="330"/>
      <c r="K539" s="301"/>
      <c r="L539" s="301"/>
      <c r="M539" s="302"/>
      <c r="N539" s="302"/>
      <c r="O539" s="302"/>
      <c r="P539" s="302"/>
      <c r="Q539" s="302"/>
      <c r="R539" s="302"/>
      <c r="S539" s="302"/>
      <c r="T539" s="302"/>
      <c r="U539" s="302"/>
      <c r="V539" s="302"/>
      <c r="W539" s="302"/>
      <c r="X539" s="302"/>
      <c r="Y539" s="302"/>
      <c r="Z539" s="302"/>
      <c r="AA539" s="302"/>
      <c r="AB539" s="302"/>
    </row>
    <row r="540">
      <c r="A540" s="320"/>
      <c r="B540" s="317"/>
      <c r="C540" s="301"/>
      <c r="D540" s="302"/>
      <c r="E540" s="301"/>
      <c r="F540" s="329"/>
      <c r="G540" s="301"/>
      <c r="H540" s="301"/>
      <c r="I540" s="329"/>
      <c r="J540" s="330"/>
      <c r="K540" s="301"/>
      <c r="L540" s="301"/>
      <c r="M540" s="302"/>
      <c r="N540" s="302"/>
      <c r="O540" s="302"/>
      <c r="P540" s="302"/>
      <c r="Q540" s="302"/>
      <c r="R540" s="302"/>
      <c r="S540" s="302"/>
      <c r="T540" s="302"/>
      <c r="U540" s="302"/>
      <c r="V540" s="302"/>
      <c r="W540" s="302"/>
      <c r="X540" s="302"/>
      <c r="Y540" s="302"/>
      <c r="Z540" s="302"/>
      <c r="AA540" s="302"/>
      <c r="AB540" s="302"/>
    </row>
    <row r="541">
      <c r="A541" s="320"/>
      <c r="B541" s="317"/>
      <c r="C541" s="301"/>
      <c r="D541" s="302"/>
      <c r="E541" s="301"/>
      <c r="F541" s="329"/>
      <c r="G541" s="301"/>
      <c r="H541" s="301"/>
      <c r="I541" s="329"/>
      <c r="J541" s="330"/>
      <c r="K541" s="301"/>
      <c r="L541" s="301"/>
      <c r="M541" s="302"/>
      <c r="N541" s="302"/>
      <c r="O541" s="302"/>
      <c r="P541" s="302"/>
      <c r="Q541" s="302"/>
      <c r="R541" s="302"/>
      <c r="S541" s="302"/>
      <c r="T541" s="302"/>
      <c r="U541" s="302"/>
      <c r="V541" s="302"/>
      <c r="W541" s="302"/>
      <c r="X541" s="302"/>
      <c r="Y541" s="302"/>
      <c r="Z541" s="302"/>
      <c r="AA541" s="302"/>
      <c r="AB541" s="302"/>
    </row>
    <row r="542">
      <c r="A542" s="320"/>
      <c r="B542" s="317"/>
      <c r="C542" s="301"/>
      <c r="D542" s="302"/>
      <c r="E542" s="301"/>
      <c r="F542" s="329"/>
      <c r="G542" s="301"/>
      <c r="H542" s="301"/>
      <c r="I542" s="329"/>
      <c r="J542" s="330"/>
      <c r="K542" s="301"/>
      <c r="L542" s="301"/>
      <c r="M542" s="302"/>
      <c r="N542" s="302"/>
      <c r="O542" s="302"/>
      <c r="P542" s="302"/>
      <c r="Q542" s="302"/>
      <c r="R542" s="302"/>
      <c r="S542" s="302"/>
      <c r="T542" s="302"/>
      <c r="U542" s="302"/>
      <c r="V542" s="302"/>
      <c r="W542" s="302"/>
      <c r="X542" s="302"/>
      <c r="Y542" s="302"/>
      <c r="Z542" s="302"/>
      <c r="AA542" s="302"/>
      <c r="AB542" s="302"/>
    </row>
    <row r="543">
      <c r="A543" s="320"/>
      <c r="B543" s="317"/>
      <c r="C543" s="301"/>
      <c r="D543" s="302"/>
      <c r="E543" s="301"/>
      <c r="F543" s="329"/>
      <c r="G543" s="301"/>
      <c r="H543" s="301"/>
      <c r="I543" s="329"/>
      <c r="J543" s="330"/>
      <c r="K543" s="301"/>
      <c r="L543" s="301"/>
      <c r="M543" s="302"/>
      <c r="N543" s="302"/>
      <c r="O543" s="302"/>
      <c r="P543" s="302"/>
      <c r="Q543" s="302"/>
      <c r="R543" s="302"/>
      <c r="S543" s="302"/>
      <c r="T543" s="302"/>
      <c r="U543" s="302"/>
      <c r="V543" s="302"/>
      <c r="W543" s="302"/>
      <c r="X543" s="302"/>
      <c r="Y543" s="302"/>
      <c r="Z543" s="302"/>
      <c r="AA543" s="302"/>
      <c r="AB543" s="302"/>
    </row>
    <row r="544">
      <c r="A544" s="320"/>
      <c r="B544" s="317"/>
      <c r="C544" s="301"/>
      <c r="D544" s="302"/>
      <c r="E544" s="301"/>
      <c r="F544" s="329"/>
      <c r="G544" s="301"/>
      <c r="H544" s="301"/>
      <c r="I544" s="329"/>
      <c r="J544" s="330"/>
      <c r="K544" s="301"/>
      <c r="L544" s="301"/>
      <c r="M544" s="302"/>
      <c r="N544" s="302"/>
      <c r="O544" s="302"/>
      <c r="P544" s="302"/>
      <c r="Q544" s="302"/>
      <c r="R544" s="302"/>
      <c r="S544" s="302"/>
      <c r="T544" s="302"/>
      <c r="U544" s="302"/>
      <c r="V544" s="302"/>
      <c r="W544" s="302"/>
      <c r="X544" s="302"/>
      <c r="Y544" s="302"/>
      <c r="Z544" s="302"/>
      <c r="AA544" s="302"/>
      <c r="AB544" s="302"/>
    </row>
    <row r="545">
      <c r="A545" s="320"/>
      <c r="B545" s="317"/>
      <c r="C545" s="301"/>
      <c r="D545" s="302"/>
      <c r="E545" s="301"/>
      <c r="F545" s="329"/>
      <c r="G545" s="301"/>
      <c r="H545" s="301"/>
      <c r="I545" s="329"/>
      <c r="J545" s="330"/>
      <c r="K545" s="301"/>
      <c r="L545" s="301"/>
      <c r="M545" s="302"/>
      <c r="N545" s="302"/>
      <c r="O545" s="302"/>
      <c r="P545" s="302"/>
      <c r="Q545" s="302"/>
      <c r="R545" s="302"/>
      <c r="S545" s="302"/>
      <c r="T545" s="302"/>
      <c r="U545" s="302"/>
      <c r="V545" s="302"/>
      <c r="W545" s="302"/>
      <c r="X545" s="302"/>
      <c r="Y545" s="302"/>
      <c r="Z545" s="302"/>
      <c r="AA545" s="302"/>
      <c r="AB545" s="302"/>
    </row>
    <row r="546">
      <c r="A546" s="320"/>
      <c r="B546" s="317"/>
      <c r="C546" s="301"/>
      <c r="D546" s="302"/>
      <c r="E546" s="301"/>
      <c r="F546" s="329"/>
      <c r="G546" s="301"/>
      <c r="H546" s="301"/>
      <c r="I546" s="329"/>
      <c r="J546" s="330"/>
      <c r="K546" s="301"/>
      <c r="L546" s="301"/>
      <c r="M546" s="302"/>
      <c r="N546" s="302"/>
      <c r="O546" s="302"/>
      <c r="P546" s="302"/>
      <c r="Q546" s="302"/>
      <c r="R546" s="302"/>
      <c r="S546" s="302"/>
      <c r="T546" s="302"/>
      <c r="U546" s="302"/>
      <c r="V546" s="302"/>
      <c r="W546" s="302"/>
      <c r="X546" s="302"/>
      <c r="Y546" s="302"/>
      <c r="Z546" s="302"/>
      <c r="AA546" s="302"/>
      <c r="AB546" s="302"/>
    </row>
    <row r="547">
      <c r="A547" s="320"/>
      <c r="B547" s="317"/>
      <c r="C547" s="301"/>
      <c r="D547" s="302"/>
      <c r="E547" s="301"/>
      <c r="F547" s="329"/>
      <c r="G547" s="301"/>
      <c r="H547" s="301"/>
      <c r="I547" s="329"/>
      <c r="J547" s="330"/>
      <c r="K547" s="301"/>
      <c r="L547" s="301"/>
      <c r="M547" s="302"/>
      <c r="N547" s="302"/>
      <c r="O547" s="302"/>
      <c r="P547" s="302"/>
      <c r="Q547" s="302"/>
      <c r="R547" s="302"/>
      <c r="S547" s="302"/>
      <c r="T547" s="302"/>
      <c r="U547" s="302"/>
      <c r="V547" s="302"/>
      <c r="W547" s="302"/>
      <c r="X547" s="302"/>
      <c r="Y547" s="302"/>
      <c r="Z547" s="302"/>
      <c r="AA547" s="302"/>
      <c r="AB547" s="302"/>
    </row>
    <row r="548">
      <c r="A548" s="320"/>
      <c r="B548" s="317"/>
      <c r="C548" s="301"/>
      <c r="D548" s="302"/>
      <c r="E548" s="301"/>
      <c r="F548" s="329"/>
      <c r="G548" s="301"/>
      <c r="H548" s="301"/>
      <c r="I548" s="329"/>
      <c r="J548" s="330"/>
      <c r="K548" s="301"/>
      <c r="L548" s="301"/>
      <c r="M548" s="302"/>
      <c r="N548" s="302"/>
      <c r="O548" s="302"/>
      <c r="P548" s="302"/>
      <c r="Q548" s="302"/>
      <c r="R548" s="302"/>
      <c r="S548" s="302"/>
      <c r="T548" s="302"/>
      <c r="U548" s="302"/>
      <c r="V548" s="302"/>
      <c r="W548" s="302"/>
      <c r="X548" s="302"/>
      <c r="Y548" s="302"/>
      <c r="Z548" s="302"/>
      <c r="AA548" s="302"/>
      <c r="AB548" s="302"/>
    </row>
    <row r="549">
      <c r="A549" s="320"/>
      <c r="B549" s="317"/>
      <c r="C549" s="301"/>
      <c r="D549" s="302"/>
      <c r="E549" s="301"/>
      <c r="F549" s="329"/>
      <c r="G549" s="301"/>
      <c r="H549" s="301"/>
      <c r="I549" s="329"/>
      <c r="J549" s="330"/>
      <c r="K549" s="301"/>
      <c r="L549" s="301"/>
      <c r="M549" s="302"/>
      <c r="N549" s="302"/>
      <c r="O549" s="302"/>
      <c r="P549" s="302"/>
      <c r="Q549" s="302"/>
      <c r="R549" s="302"/>
      <c r="S549" s="302"/>
      <c r="T549" s="302"/>
      <c r="U549" s="302"/>
      <c r="V549" s="302"/>
      <c r="W549" s="302"/>
      <c r="X549" s="302"/>
      <c r="Y549" s="302"/>
      <c r="Z549" s="302"/>
      <c r="AA549" s="302"/>
      <c r="AB549" s="302"/>
    </row>
    <row r="550">
      <c r="A550" s="320"/>
      <c r="B550" s="317"/>
      <c r="C550" s="301"/>
      <c r="D550" s="302"/>
      <c r="E550" s="301"/>
      <c r="F550" s="329"/>
      <c r="G550" s="301"/>
      <c r="H550" s="301"/>
      <c r="I550" s="329"/>
      <c r="J550" s="330"/>
      <c r="K550" s="301"/>
      <c r="L550" s="301"/>
      <c r="M550" s="302"/>
      <c r="N550" s="302"/>
      <c r="O550" s="302"/>
      <c r="P550" s="302"/>
      <c r="Q550" s="302"/>
      <c r="R550" s="302"/>
      <c r="S550" s="302"/>
      <c r="T550" s="302"/>
      <c r="U550" s="302"/>
      <c r="V550" s="302"/>
      <c r="W550" s="302"/>
      <c r="X550" s="302"/>
      <c r="Y550" s="302"/>
      <c r="Z550" s="302"/>
      <c r="AA550" s="302"/>
      <c r="AB550" s="302"/>
    </row>
    <row r="551">
      <c r="A551" s="320"/>
      <c r="B551" s="317"/>
      <c r="C551" s="301"/>
      <c r="D551" s="302"/>
      <c r="E551" s="301"/>
      <c r="F551" s="329"/>
      <c r="G551" s="301"/>
      <c r="H551" s="301"/>
      <c r="I551" s="329"/>
      <c r="J551" s="330"/>
      <c r="K551" s="301"/>
      <c r="L551" s="301"/>
      <c r="M551" s="302"/>
      <c r="N551" s="302"/>
      <c r="O551" s="302"/>
      <c r="P551" s="302"/>
      <c r="Q551" s="302"/>
      <c r="R551" s="302"/>
      <c r="S551" s="302"/>
      <c r="T551" s="302"/>
      <c r="U551" s="302"/>
      <c r="V551" s="302"/>
      <c r="W551" s="302"/>
      <c r="X551" s="302"/>
      <c r="Y551" s="302"/>
      <c r="Z551" s="302"/>
      <c r="AA551" s="302"/>
      <c r="AB551" s="302"/>
    </row>
    <row r="552">
      <c r="A552" s="320"/>
      <c r="B552" s="317"/>
      <c r="C552" s="301"/>
      <c r="D552" s="302"/>
      <c r="E552" s="301"/>
      <c r="F552" s="329"/>
      <c r="G552" s="301"/>
      <c r="H552" s="301"/>
      <c r="I552" s="329"/>
      <c r="J552" s="330"/>
      <c r="K552" s="301"/>
      <c r="L552" s="301"/>
      <c r="M552" s="302"/>
      <c r="N552" s="302"/>
      <c r="O552" s="302"/>
      <c r="P552" s="302"/>
      <c r="Q552" s="302"/>
      <c r="R552" s="302"/>
      <c r="S552" s="302"/>
      <c r="T552" s="302"/>
      <c r="U552" s="302"/>
      <c r="V552" s="302"/>
      <c r="W552" s="302"/>
      <c r="X552" s="302"/>
      <c r="Y552" s="302"/>
      <c r="Z552" s="302"/>
      <c r="AA552" s="302"/>
      <c r="AB552" s="302"/>
    </row>
    <row r="553">
      <c r="A553" s="320"/>
      <c r="B553" s="317"/>
      <c r="C553" s="301"/>
      <c r="D553" s="302"/>
      <c r="E553" s="301"/>
      <c r="F553" s="329"/>
      <c r="G553" s="301"/>
      <c r="H553" s="301"/>
      <c r="I553" s="329"/>
      <c r="J553" s="330"/>
      <c r="K553" s="301"/>
      <c r="L553" s="301"/>
      <c r="M553" s="302"/>
      <c r="N553" s="302"/>
      <c r="O553" s="302"/>
      <c r="P553" s="302"/>
      <c r="Q553" s="302"/>
      <c r="R553" s="302"/>
      <c r="S553" s="302"/>
      <c r="T553" s="302"/>
      <c r="U553" s="302"/>
      <c r="V553" s="302"/>
      <c r="W553" s="302"/>
      <c r="X553" s="302"/>
      <c r="Y553" s="302"/>
      <c r="Z553" s="302"/>
      <c r="AA553" s="302"/>
      <c r="AB553" s="302"/>
    </row>
    <row r="554">
      <c r="A554" s="320"/>
      <c r="B554" s="317"/>
      <c r="C554" s="301"/>
      <c r="D554" s="302"/>
      <c r="E554" s="301"/>
      <c r="F554" s="329"/>
      <c r="G554" s="301"/>
      <c r="H554" s="301"/>
      <c r="I554" s="329"/>
      <c r="J554" s="330"/>
      <c r="K554" s="301"/>
      <c r="L554" s="301"/>
      <c r="M554" s="302"/>
      <c r="N554" s="302"/>
      <c r="O554" s="302"/>
      <c r="P554" s="302"/>
      <c r="Q554" s="302"/>
      <c r="R554" s="302"/>
      <c r="S554" s="302"/>
      <c r="T554" s="302"/>
      <c r="U554" s="302"/>
      <c r="V554" s="302"/>
      <c r="W554" s="302"/>
      <c r="X554" s="302"/>
      <c r="Y554" s="302"/>
      <c r="Z554" s="302"/>
      <c r="AA554" s="302"/>
      <c r="AB554" s="302"/>
    </row>
    <row r="555">
      <c r="A555" s="320"/>
      <c r="B555" s="317"/>
      <c r="C555" s="301"/>
      <c r="D555" s="302"/>
      <c r="E555" s="301"/>
      <c r="F555" s="329"/>
      <c r="G555" s="301"/>
      <c r="H555" s="301"/>
      <c r="I555" s="329"/>
      <c r="J555" s="330"/>
      <c r="K555" s="301"/>
      <c r="L555" s="301"/>
      <c r="M555" s="302"/>
      <c r="N555" s="302"/>
      <c r="O555" s="302"/>
      <c r="P555" s="302"/>
      <c r="Q555" s="302"/>
      <c r="R555" s="302"/>
      <c r="S555" s="302"/>
      <c r="T555" s="302"/>
      <c r="U555" s="302"/>
      <c r="V555" s="302"/>
      <c r="W555" s="302"/>
      <c r="X555" s="302"/>
      <c r="Y555" s="302"/>
      <c r="Z555" s="302"/>
      <c r="AA555" s="302"/>
      <c r="AB555" s="302"/>
    </row>
    <row r="556">
      <c r="A556" s="320"/>
      <c r="B556" s="317"/>
      <c r="C556" s="301"/>
      <c r="D556" s="302"/>
      <c r="E556" s="301"/>
      <c r="F556" s="329"/>
      <c r="G556" s="301"/>
      <c r="H556" s="301"/>
      <c r="I556" s="329"/>
      <c r="J556" s="330"/>
      <c r="K556" s="301"/>
      <c r="L556" s="301"/>
      <c r="M556" s="302"/>
      <c r="N556" s="302"/>
      <c r="O556" s="302"/>
      <c r="P556" s="302"/>
      <c r="Q556" s="302"/>
      <c r="R556" s="302"/>
      <c r="S556" s="302"/>
      <c r="T556" s="302"/>
      <c r="U556" s="302"/>
      <c r="V556" s="302"/>
      <c r="W556" s="302"/>
      <c r="X556" s="302"/>
      <c r="Y556" s="302"/>
      <c r="Z556" s="302"/>
      <c r="AA556" s="302"/>
      <c r="AB556" s="302"/>
    </row>
    <row r="557">
      <c r="A557" s="320"/>
      <c r="B557" s="317"/>
      <c r="C557" s="301"/>
      <c r="D557" s="302"/>
      <c r="E557" s="301"/>
      <c r="F557" s="329"/>
      <c r="G557" s="301"/>
      <c r="H557" s="301"/>
      <c r="I557" s="329"/>
      <c r="J557" s="330"/>
      <c r="K557" s="301"/>
      <c r="L557" s="301"/>
      <c r="M557" s="302"/>
      <c r="N557" s="302"/>
      <c r="O557" s="302"/>
      <c r="P557" s="302"/>
      <c r="Q557" s="302"/>
      <c r="R557" s="302"/>
      <c r="S557" s="302"/>
      <c r="T557" s="302"/>
      <c r="U557" s="302"/>
      <c r="V557" s="302"/>
      <c r="W557" s="302"/>
      <c r="X557" s="302"/>
      <c r="Y557" s="302"/>
      <c r="Z557" s="302"/>
      <c r="AA557" s="302"/>
      <c r="AB557" s="302"/>
    </row>
    <row r="558">
      <c r="A558" s="320"/>
      <c r="B558" s="317"/>
      <c r="C558" s="301"/>
      <c r="D558" s="302"/>
      <c r="E558" s="301"/>
      <c r="F558" s="329"/>
      <c r="G558" s="301"/>
      <c r="H558" s="301"/>
      <c r="I558" s="329"/>
      <c r="J558" s="330"/>
      <c r="K558" s="301"/>
      <c r="L558" s="301"/>
      <c r="M558" s="302"/>
      <c r="N558" s="302"/>
      <c r="O558" s="302"/>
      <c r="P558" s="302"/>
      <c r="Q558" s="302"/>
      <c r="R558" s="302"/>
      <c r="S558" s="302"/>
      <c r="T558" s="302"/>
      <c r="U558" s="302"/>
      <c r="V558" s="302"/>
      <c r="W558" s="302"/>
      <c r="X558" s="302"/>
      <c r="Y558" s="302"/>
      <c r="Z558" s="302"/>
      <c r="AA558" s="302"/>
      <c r="AB558" s="302"/>
    </row>
    <row r="559">
      <c r="A559" s="320"/>
      <c r="B559" s="317"/>
      <c r="C559" s="301"/>
      <c r="D559" s="302"/>
      <c r="E559" s="301"/>
      <c r="F559" s="329"/>
      <c r="G559" s="301"/>
      <c r="H559" s="301"/>
      <c r="I559" s="329"/>
      <c r="J559" s="330"/>
      <c r="K559" s="301"/>
      <c r="L559" s="301"/>
      <c r="M559" s="302"/>
      <c r="N559" s="302"/>
      <c r="O559" s="302"/>
      <c r="P559" s="302"/>
      <c r="Q559" s="302"/>
      <c r="R559" s="302"/>
      <c r="S559" s="302"/>
      <c r="T559" s="302"/>
      <c r="U559" s="302"/>
      <c r="V559" s="302"/>
      <c r="W559" s="302"/>
      <c r="X559" s="302"/>
      <c r="Y559" s="302"/>
      <c r="Z559" s="302"/>
      <c r="AA559" s="302"/>
      <c r="AB559" s="302"/>
    </row>
    <row r="560">
      <c r="A560" s="320"/>
      <c r="B560" s="317"/>
      <c r="C560" s="301"/>
      <c r="D560" s="302"/>
      <c r="E560" s="301"/>
      <c r="F560" s="329"/>
      <c r="G560" s="301"/>
      <c r="H560" s="301"/>
      <c r="I560" s="329"/>
      <c r="J560" s="330"/>
      <c r="K560" s="301"/>
      <c r="L560" s="301"/>
      <c r="M560" s="302"/>
      <c r="N560" s="302"/>
      <c r="O560" s="302"/>
      <c r="P560" s="302"/>
      <c r="Q560" s="302"/>
      <c r="R560" s="302"/>
      <c r="S560" s="302"/>
      <c r="T560" s="302"/>
      <c r="U560" s="302"/>
      <c r="V560" s="302"/>
      <c r="W560" s="302"/>
      <c r="X560" s="302"/>
      <c r="Y560" s="302"/>
      <c r="Z560" s="302"/>
      <c r="AA560" s="302"/>
      <c r="AB560" s="302"/>
    </row>
    <row r="561">
      <c r="A561" s="320"/>
      <c r="B561" s="317"/>
      <c r="C561" s="301"/>
      <c r="D561" s="302"/>
      <c r="E561" s="301"/>
      <c r="F561" s="329"/>
      <c r="G561" s="301"/>
      <c r="H561" s="301"/>
      <c r="I561" s="329"/>
      <c r="J561" s="330"/>
      <c r="K561" s="301"/>
      <c r="L561" s="301"/>
      <c r="M561" s="302"/>
      <c r="N561" s="302"/>
      <c r="O561" s="302"/>
      <c r="P561" s="302"/>
      <c r="Q561" s="302"/>
      <c r="R561" s="302"/>
      <c r="S561" s="302"/>
      <c r="T561" s="302"/>
      <c r="U561" s="302"/>
      <c r="V561" s="302"/>
      <c r="W561" s="302"/>
      <c r="X561" s="302"/>
      <c r="Y561" s="302"/>
      <c r="Z561" s="302"/>
      <c r="AA561" s="302"/>
      <c r="AB561" s="302"/>
    </row>
    <row r="562">
      <c r="A562" s="320"/>
      <c r="B562" s="317"/>
      <c r="C562" s="301"/>
      <c r="D562" s="302"/>
      <c r="E562" s="301"/>
      <c r="F562" s="329"/>
      <c r="G562" s="301"/>
      <c r="H562" s="301"/>
      <c r="I562" s="329"/>
      <c r="J562" s="330"/>
      <c r="K562" s="301"/>
      <c r="L562" s="301"/>
      <c r="M562" s="302"/>
      <c r="N562" s="302"/>
      <c r="O562" s="302"/>
      <c r="P562" s="302"/>
      <c r="Q562" s="302"/>
      <c r="R562" s="302"/>
      <c r="S562" s="302"/>
      <c r="T562" s="302"/>
      <c r="U562" s="302"/>
      <c r="V562" s="302"/>
      <c r="W562" s="302"/>
      <c r="X562" s="302"/>
      <c r="Y562" s="302"/>
      <c r="Z562" s="302"/>
      <c r="AA562" s="302"/>
      <c r="AB562" s="302"/>
    </row>
    <row r="563">
      <c r="A563" s="320"/>
      <c r="B563" s="317"/>
      <c r="C563" s="301"/>
      <c r="D563" s="302"/>
      <c r="E563" s="301"/>
      <c r="F563" s="329"/>
      <c r="G563" s="301"/>
      <c r="H563" s="301"/>
      <c r="I563" s="329"/>
      <c r="J563" s="330"/>
      <c r="K563" s="301"/>
      <c r="L563" s="301"/>
      <c r="M563" s="302"/>
      <c r="N563" s="302"/>
      <c r="O563" s="302"/>
      <c r="P563" s="302"/>
      <c r="Q563" s="302"/>
      <c r="R563" s="302"/>
      <c r="S563" s="302"/>
      <c r="T563" s="302"/>
      <c r="U563" s="302"/>
      <c r="V563" s="302"/>
      <c r="W563" s="302"/>
      <c r="X563" s="302"/>
      <c r="Y563" s="302"/>
      <c r="Z563" s="302"/>
      <c r="AA563" s="302"/>
      <c r="AB563" s="302"/>
    </row>
    <row r="564">
      <c r="A564" s="320"/>
      <c r="B564" s="317"/>
      <c r="C564" s="301"/>
      <c r="D564" s="302"/>
      <c r="E564" s="301"/>
      <c r="F564" s="329"/>
      <c r="G564" s="301"/>
      <c r="H564" s="301"/>
      <c r="I564" s="329"/>
      <c r="J564" s="330"/>
      <c r="K564" s="301"/>
      <c r="L564" s="301"/>
      <c r="M564" s="302"/>
      <c r="N564" s="302"/>
      <c r="O564" s="302"/>
      <c r="P564" s="302"/>
      <c r="Q564" s="302"/>
      <c r="R564" s="302"/>
      <c r="S564" s="302"/>
      <c r="T564" s="302"/>
      <c r="U564" s="302"/>
      <c r="V564" s="302"/>
      <c r="W564" s="302"/>
      <c r="X564" s="302"/>
      <c r="Y564" s="302"/>
      <c r="Z564" s="302"/>
      <c r="AA564" s="302"/>
      <c r="AB564" s="302"/>
    </row>
    <row r="565">
      <c r="A565" s="320"/>
      <c r="B565" s="317"/>
      <c r="C565" s="301"/>
      <c r="D565" s="302"/>
      <c r="E565" s="301"/>
      <c r="F565" s="329"/>
      <c r="G565" s="301"/>
      <c r="H565" s="301"/>
      <c r="I565" s="329"/>
      <c r="J565" s="330"/>
      <c r="K565" s="301"/>
      <c r="L565" s="301"/>
      <c r="M565" s="302"/>
      <c r="N565" s="302"/>
      <c r="O565" s="302"/>
      <c r="P565" s="302"/>
      <c r="Q565" s="302"/>
      <c r="R565" s="302"/>
      <c r="S565" s="302"/>
      <c r="T565" s="302"/>
      <c r="U565" s="302"/>
      <c r="V565" s="302"/>
      <c r="W565" s="302"/>
      <c r="X565" s="302"/>
      <c r="Y565" s="302"/>
      <c r="Z565" s="302"/>
      <c r="AA565" s="302"/>
      <c r="AB565" s="302"/>
    </row>
    <row r="566">
      <c r="A566" s="320"/>
      <c r="B566" s="317"/>
      <c r="C566" s="301"/>
      <c r="D566" s="302"/>
      <c r="E566" s="301"/>
      <c r="F566" s="329"/>
      <c r="G566" s="301"/>
      <c r="H566" s="301"/>
      <c r="I566" s="329"/>
      <c r="J566" s="330"/>
      <c r="K566" s="301"/>
      <c r="L566" s="301"/>
      <c r="M566" s="302"/>
      <c r="N566" s="302"/>
      <c r="O566" s="302"/>
      <c r="P566" s="302"/>
      <c r="Q566" s="302"/>
      <c r="R566" s="302"/>
      <c r="S566" s="302"/>
      <c r="T566" s="302"/>
      <c r="U566" s="302"/>
      <c r="V566" s="302"/>
      <c r="W566" s="302"/>
      <c r="X566" s="302"/>
      <c r="Y566" s="302"/>
      <c r="Z566" s="302"/>
      <c r="AA566" s="302"/>
      <c r="AB566" s="302"/>
    </row>
    <row r="567">
      <c r="A567" s="320"/>
      <c r="B567" s="317"/>
      <c r="C567" s="301"/>
      <c r="D567" s="302"/>
      <c r="E567" s="301"/>
      <c r="F567" s="329"/>
      <c r="G567" s="301"/>
      <c r="H567" s="301"/>
      <c r="I567" s="329"/>
      <c r="J567" s="330"/>
      <c r="K567" s="301"/>
      <c r="L567" s="301"/>
      <c r="M567" s="302"/>
      <c r="N567" s="302"/>
      <c r="O567" s="302"/>
      <c r="P567" s="302"/>
      <c r="Q567" s="302"/>
      <c r="R567" s="302"/>
      <c r="S567" s="302"/>
      <c r="T567" s="302"/>
      <c r="U567" s="302"/>
      <c r="V567" s="302"/>
      <c r="W567" s="302"/>
      <c r="X567" s="302"/>
      <c r="Y567" s="302"/>
      <c r="Z567" s="302"/>
      <c r="AA567" s="302"/>
      <c r="AB567" s="302"/>
    </row>
    <row r="568">
      <c r="A568" s="320"/>
      <c r="B568" s="317"/>
      <c r="C568" s="301"/>
      <c r="D568" s="302"/>
      <c r="E568" s="301"/>
      <c r="F568" s="329"/>
      <c r="G568" s="301"/>
      <c r="H568" s="301"/>
      <c r="I568" s="329"/>
      <c r="J568" s="330"/>
      <c r="K568" s="301"/>
      <c r="L568" s="301"/>
      <c r="M568" s="302"/>
      <c r="N568" s="302"/>
      <c r="O568" s="302"/>
      <c r="P568" s="302"/>
      <c r="Q568" s="302"/>
      <c r="R568" s="302"/>
      <c r="S568" s="302"/>
      <c r="T568" s="302"/>
      <c r="U568" s="302"/>
      <c r="V568" s="302"/>
      <c r="W568" s="302"/>
      <c r="X568" s="302"/>
      <c r="Y568" s="302"/>
      <c r="Z568" s="302"/>
      <c r="AA568" s="302"/>
      <c r="AB568" s="302"/>
    </row>
    <row r="569">
      <c r="A569" s="320"/>
      <c r="B569" s="317"/>
      <c r="C569" s="301"/>
      <c r="D569" s="302"/>
      <c r="E569" s="301"/>
      <c r="F569" s="329"/>
      <c r="G569" s="301"/>
      <c r="H569" s="301"/>
      <c r="I569" s="329"/>
      <c r="J569" s="330"/>
      <c r="K569" s="301"/>
      <c r="L569" s="301"/>
      <c r="M569" s="302"/>
      <c r="N569" s="302"/>
      <c r="O569" s="302"/>
      <c r="P569" s="302"/>
      <c r="Q569" s="302"/>
      <c r="R569" s="302"/>
      <c r="S569" s="302"/>
      <c r="T569" s="302"/>
      <c r="U569" s="302"/>
      <c r="V569" s="302"/>
      <c r="W569" s="302"/>
      <c r="X569" s="302"/>
      <c r="Y569" s="302"/>
      <c r="Z569" s="302"/>
      <c r="AA569" s="302"/>
      <c r="AB569" s="302"/>
    </row>
    <row r="570">
      <c r="A570" s="320"/>
      <c r="B570" s="317"/>
      <c r="C570" s="301"/>
      <c r="D570" s="302"/>
      <c r="E570" s="301"/>
      <c r="F570" s="329"/>
      <c r="G570" s="301"/>
      <c r="H570" s="301"/>
      <c r="I570" s="329"/>
      <c r="J570" s="330"/>
      <c r="K570" s="301"/>
      <c r="L570" s="301"/>
      <c r="M570" s="302"/>
      <c r="N570" s="302"/>
      <c r="O570" s="302"/>
      <c r="P570" s="302"/>
      <c r="Q570" s="302"/>
      <c r="R570" s="302"/>
      <c r="S570" s="302"/>
      <c r="T570" s="302"/>
      <c r="U570" s="302"/>
      <c r="V570" s="302"/>
      <c r="W570" s="302"/>
      <c r="X570" s="302"/>
      <c r="Y570" s="302"/>
      <c r="Z570" s="302"/>
      <c r="AA570" s="302"/>
      <c r="AB570" s="302"/>
    </row>
    <row r="571">
      <c r="A571" s="320"/>
      <c r="B571" s="317"/>
      <c r="C571" s="301"/>
      <c r="D571" s="302"/>
      <c r="E571" s="301"/>
      <c r="F571" s="329"/>
      <c r="G571" s="301"/>
      <c r="H571" s="301"/>
      <c r="I571" s="329"/>
      <c r="J571" s="330"/>
      <c r="K571" s="301"/>
      <c r="L571" s="301"/>
      <c r="M571" s="302"/>
      <c r="N571" s="302"/>
      <c r="O571" s="302"/>
      <c r="P571" s="302"/>
      <c r="Q571" s="302"/>
      <c r="R571" s="302"/>
      <c r="S571" s="302"/>
      <c r="T571" s="302"/>
      <c r="U571" s="302"/>
      <c r="V571" s="302"/>
      <c r="W571" s="302"/>
      <c r="X571" s="302"/>
      <c r="Y571" s="302"/>
      <c r="Z571" s="302"/>
      <c r="AA571" s="302"/>
      <c r="AB571" s="302"/>
    </row>
    <row r="572">
      <c r="A572" s="320"/>
      <c r="B572" s="317"/>
      <c r="C572" s="301"/>
      <c r="D572" s="302"/>
      <c r="E572" s="301"/>
      <c r="F572" s="329"/>
      <c r="G572" s="301"/>
      <c r="H572" s="301"/>
      <c r="I572" s="329"/>
      <c r="J572" s="330"/>
      <c r="K572" s="301"/>
      <c r="L572" s="301"/>
      <c r="M572" s="302"/>
      <c r="N572" s="302"/>
      <c r="O572" s="302"/>
      <c r="P572" s="302"/>
      <c r="Q572" s="302"/>
      <c r="R572" s="302"/>
      <c r="S572" s="302"/>
      <c r="T572" s="302"/>
      <c r="U572" s="302"/>
      <c r="V572" s="302"/>
      <c r="W572" s="302"/>
      <c r="X572" s="302"/>
      <c r="Y572" s="302"/>
      <c r="Z572" s="302"/>
      <c r="AA572" s="302"/>
      <c r="AB572" s="302"/>
    </row>
    <row r="573">
      <c r="A573" s="320"/>
      <c r="B573" s="317"/>
      <c r="C573" s="301"/>
      <c r="D573" s="302"/>
      <c r="E573" s="301"/>
      <c r="F573" s="329"/>
      <c r="G573" s="301"/>
      <c r="H573" s="301"/>
      <c r="I573" s="329"/>
      <c r="J573" s="330"/>
      <c r="K573" s="301"/>
      <c r="L573" s="301"/>
      <c r="M573" s="302"/>
      <c r="N573" s="302"/>
      <c r="O573" s="302"/>
      <c r="P573" s="302"/>
      <c r="Q573" s="302"/>
      <c r="R573" s="302"/>
      <c r="S573" s="302"/>
      <c r="T573" s="302"/>
      <c r="U573" s="302"/>
      <c r="V573" s="302"/>
      <c r="W573" s="302"/>
      <c r="X573" s="302"/>
      <c r="Y573" s="302"/>
      <c r="Z573" s="302"/>
      <c r="AA573" s="302"/>
      <c r="AB573" s="302"/>
    </row>
    <row r="574">
      <c r="A574" s="320"/>
      <c r="B574" s="317"/>
      <c r="C574" s="301"/>
      <c r="D574" s="302"/>
      <c r="E574" s="301"/>
      <c r="F574" s="329"/>
      <c r="G574" s="301"/>
      <c r="H574" s="301"/>
      <c r="I574" s="329"/>
      <c r="J574" s="330"/>
      <c r="K574" s="301"/>
      <c r="L574" s="301"/>
      <c r="M574" s="302"/>
      <c r="N574" s="302"/>
      <c r="O574" s="302"/>
      <c r="P574" s="302"/>
      <c r="Q574" s="302"/>
      <c r="R574" s="302"/>
      <c r="S574" s="302"/>
      <c r="T574" s="302"/>
      <c r="U574" s="302"/>
      <c r="V574" s="302"/>
      <c r="W574" s="302"/>
      <c r="X574" s="302"/>
      <c r="Y574" s="302"/>
      <c r="Z574" s="302"/>
      <c r="AA574" s="302"/>
      <c r="AB574" s="302"/>
    </row>
    <row r="575">
      <c r="A575" s="320"/>
      <c r="B575" s="317"/>
      <c r="C575" s="301"/>
      <c r="D575" s="302"/>
      <c r="E575" s="301"/>
      <c r="F575" s="329"/>
      <c r="G575" s="301"/>
      <c r="H575" s="301"/>
      <c r="I575" s="329"/>
      <c r="J575" s="330"/>
      <c r="K575" s="301"/>
      <c r="L575" s="301"/>
      <c r="M575" s="302"/>
      <c r="N575" s="302"/>
      <c r="O575" s="302"/>
      <c r="P575" s="302"/>
      <c r="Q575" s="302"/>
      <c r="R575" s="302"/>
      <c r="S575" s="302"/>
      <c r="T575" s="302"/>
      <c r="U575" s="302"/>
      <c r="V575" s="302"/>
      <c r="W575" s="302"/>
      <c r="X575" s="302"/>
      <c r="Y575" s="302"/>
      <c r="Z575" s="302"/>
      <c r="AA575" s="302"/>
      <c r="AB575" s="302"/>
    </row>
    <row r="576">
      <c r="A576" s="320"/>
      <c r="B576" s="317"/>
      <c r="C576" s="301"/>
      <c r="D576" s="302"/>
      <c r="E576" s="301"/>
      <c r="F576" s="329"/>
      <c r="G576" s="301"/>
      <c r="H576" s="301"/>
      <c r="I576" s="329"/>
      <c r="J576" s="330"/>
      <c r="K576" s="301"/>
      <c r="L576" s="301"/>
      <c r="M576" s="302"/>
      <c r="N576" s="302"/>
      <c r="O576" s="302"/>
      <c r="P576" s="302"/>
      <c r="Q576" s="302"/>
      <c r="R576" s="302"/>
      <c r="S576" s="302"/>
      <c r="T576" s="302"/>
      <c r="U576" s="302"/>
      <c r="V576" s="302"/>
      <c r="W576" s="302"/>
      <c r="X576" s="302"/>
      <c r="Y576" s="302"/>
      <c r="Z576" s="302"/>
      <c r="AA576" s="302"/>
      <c r="AB576" s="302"/>
    </row>
    <row r="577">
      <c r="A577" s="320"/>
      <c r="B577" s="317"/>
      <c r="C577" s="301"/>
      <c r="D577" s="302"/>
      <c r="E577" s="301"/>
      <c r="F577" s="329"/>
      <c r="G577" s="301"/>
      <c r="H577" s="301"/>
      <c r="I577" s="329"/>
      <c r="J577" s="330"/>
      <c r="K577" s="301"/>
      <c r="L577" s="301"/>
      <c r="M577" s="302"/>
      <c r="N577" s="302"/>
      <c r="O577" s="302"/>
      <c r="P577" s="302"/>
      <c r="Q577" s="302"/>
      <c r="R577" s="302"/>
      <c r="S577" s="302"/>
      <c r="T577" s="302"/>
      <c r="U577" s="302"/>
      <c r="V577" s="302"/>
      <c r="W577" s="302"/>
      <c r="X577" s="302"/>
      <c r="Y577" s="302"/>
      <c r="Z577" s="302"/>
      <c r="AA577" s="302"/>
      <c r="AB577" s="302"/>
    </row>
    <row r="578">
      <c r="A578" s="320"/>
      <c r="B578" s="317"/>
      <c r="C578" s="301"/>
      <c r="D578" s="302"/>
      <c r="E578" s="301"/>
      <c r="F578" s="329"/>
      <c r="G578" s="301"/>
      <c r="H578" s="301"/>
      <c r="I578" s="329"/>
      <c r="J578" s="330"/>
      <c r="K578" s="301"/>
      <c r="L578" s="301"/>
      <c r="M578" s="302"/>
      <c r="N578" s="302"/>
      <c r="O578" s="302"/>
      <c r="P578" s="302"/>
      <c r="Q578" s="302"/>
      <c r="R578" s="302"/>
      <c r="S578" s="302"/>
      <c r="T578" s="302"/>
      <c r="U578" s="302"/>
      <c r="V578" s="302"/>
      <c r="W578" s="302"/>
      <c r="X578" s="302"/>
      <c r="Y578" s="302"/>
      <c r="Z578" s="302"/>
      <c r="AA578" s="302"/>
      <c r="AB578" s="302"/>
    </row>
    <row r="579">
      <c r="A579" s="320"/>
      <c r="B579" s="317"/>
      <c r="C579" s="301"/>
      <c r="D579" s="302"/>
      <c r="E579" s="301"/>
      <c r="F579" s="329"/>
      <c r="G579" s="301"/>
      <c r="H579" s="301"/>
      <c r="I579" s="329"/>
      <c r="J579" s="330"/>
      <c r="K579" s="301"/>
      <c r="L579" s="301"/>
      <c r="M579" s="302"/>
      <c r="N579" s="302"/>
      <c r="O579" s="302"/>
      <c r="P579" s="302"/>
      <c r="Q579" s="302"/>
      <c r="R579" s="302"/>
      <c r="S579" s="302"/>
      <c r="T579" s="302"/>
      <c r="U579" s="302"/>
      <c r="V579" s="302"/>
      <c r="W579" s="302"/>
      <c r="X579" s="302"/>
      <c r="Y579" s="302"/>
      <c r="Z579" s="302"/>
      <c r="AA579" s="302"/>
      <c r="AB579" s="302"/>
    </row>
    <row r="580">
      <c r="A580" s="320"/>
      <c r="B580" s="317"/>
      <c r="C580" s="301"/>
      <c r="D580" s="302"/>
      <c r="E580" s="301"/>
      <c r="F580" s="329"/>
      <c r="G580" s="301"/>
      <c r="H580" s="301"/>
      <c r="I580" s="329"/>
      <c r="J580" s="330"/>
      <c r="K580" s="301"/>
      <c r="L580" s="301"/>
      <c r="M580" s="302"/>
      <c r="N580" s="302"/>
      <c r="O580" s="302"/>
      <c r="P580" s="302"/>
      <c r="Q580" s="302"/>
      <c r="R580" s="302"/>
      <c r="S580" s="302"/>
      <c r="T580" s="302"/>
      <c r="U580" s="302"/>
      <c r="V580" s="302"/>
      <c r="W580" s="302"/>
      <c r="X580" s="302"/>
      <c r="Y580" s="302"/>
      <c r="Z580" s="302"/>
      <c r="AA580" s="302"/>
      <c r="AB580" s="302"/>
    </row>
    <row r="581">
      <c r="A581" s="320"/>
      <c r="B581" s="317"/>
      <c r="C581" s="301"/>
      <c r="D581" s="302"/>
      <c r="E581" s="301"/>
      <c r="F581" s="329"/>
      <c r="G581" s="301"/>
      <c r="H581" s="301"/>
      <c r="I581" s="329"/>
      <c r="J581" s="330"/>
      <c r="K581" s="301"/>
      <c r="L581" s="301"/>
      <c r="M581" s="302"/>
      <c r="N581" s="302"/>
      <c r="O581" s="302"/>
      <c r="P581" s="302"/>
      <c r="Q581" s="302"/>
      <c r="R581" s="302"/>
      <c r="S581" s="302"/>
      <c r="T581" s="302"/>
      <c r="U581" s="302"/>
      <c r="V581" s="302"/>
      <c r="W581" s="302"/>
      <c r="X581" s="302"/>
      <c r="Y581" s="302"/>
      <c r="Z581" s="302"/>
      <c r="AA581" s="302"/>
      <c r="AB581" s="302"/>
    </row>
    <row r="582">
      <c r="A582" s="320"/>
      <c r="B582" s="317"/>
      <c r="C582" s="301"/>
      <c r="D582" s="302"/>
      <c r="E582" s="301"/>
      <c r="F582" s="329"/>
      <c r="G582" s="301"/>
      <c r="H582" s="301"/>
      <c r="I582" s="329"/>
      <c r="J582" s="330"/>
      <c r="K582" s="301"/>
      <c r="L582" s="301"/>
      <c r="M582" s="302"/>
      <c r="N582" s="302"/>
      <c r="O582" s="302"/>
      <c r="P582" s="302"/>
      <c r="Q582" s="302"/>
      <c r="R582" s="302"/>
      <c r="S582" s="302"/>
      <c r="T582" s="302"/>
      <c r="U582" s="302"/>
      <c r="V582" s="302"/>
      <c r="W582" s="302"/>
      <c r="X582" s="302"/>
      <c r="Y582" s="302"/>
      <c r="Z582" s="302"/>
      <c r="AA582" s="302"/>
      <c r="AB582" s="302"/>
    </row>
    <row r="583">
      <c r="A583" s="320"/>
      <c r="B583" s="317"/>
      <c r="C583" s="301"/>
      <c r="D583" s="302"/>
      <c r="E583" s="301"/>
      <c r="F583" s="329"/>
      <c r="G583" s="301"/>
      <c r="H583" s="301"/>
      <c r="I583" s="329"/>
      <c r="J583" s="330"/>
      <c r="K583" s="301"/>
      <c r="L583" s="301"/>
      <c r="M583" s="302"/>
      <c r="N583" s="302"/>
      <c r="O583" s="302"/>
      <c r="P583" s="302"/>
      <c r="Q583" s="302"/>
      <c r="R583" s="302"/>
      <c r="S583" s="302"/>
      <c r="T583" s="302"/>
      <c r="U583" s="302"/>
      <c r="V583" s="302"/>
      <c r="W583" s="302"/>
      <c r="X583" s="302"/>
      <c r="Y583" s="302"/>
      <c r="Z583" s="302"/>
      <c r="AA583" s="302"/>
      <c r="AB583" s="302"/>
    </row>
    <row r="584">
      <c r="A584" s="320"/>
      <c r="B584" s="317"/>
      <c r="C584" s="301"/>
      <c r="D584" s="302"/>
      <c r="E584" s="301"/>
      <c r="F584" s="329"/>
      <c r="G584" s="301"/>
      <c r="H584" s="301"/>
      <c r="I584" s="329"/>
      <c r="J584" s="330"/>
      <c r="K584" s="301"/>
      <c r="L584" s="301"/>
      <c r="M584" s="302"/>
      <c r="N584" s="302"/>
      <c r="O584" s="302"/>
      <c r="P584" s="302"/>
      <c r="Q584" s="302"/>
      <c r="R584" s="302"/>
      <c r="S584" s="302"/>
      <c r="T584" s="302"/>
      <c r="U584" s="302"/>
      <c r="V584" s="302"/>
      <c r="W584" s="302"/>
      <c r="X584" s="302"/>
      <c r="Y584" s="302"/>
      <c r="Z584" s="302"/>
      <c r="AA584" s="302"/>
      <c r="AB584" s="302"/>
    </row>
    <row r="585">
      <c r="A585" s="320"/>
      <c r="B585" s="317"/>
      <c r="C585" s="301"/>
      <c r="D585" s="302"/>
      <c r="E585" s="301"/>
      <c r="F585" s="329"/>
      <c r="G585" s="301"/>
      <c r="H585" s="301"/>
      <c r="I585" s="329"/>
      <c r="J585" s="330"/>
      <c r="K585" s="301"/>
      <c r="L585" s="301"/>
      <c r="M585" s="302"/>
      <c r="N585" s="302"/>
      <c r="O585" s="302"/>
      <c r="P585" s="302"/>
      <c r="Q585" s="302"/>
      <c r="R585" s="302"/>
      <c r="S585" s="302"/>
      <c r="T585" s="302"/>
      <c r="U585" s="302"/>
      <c r="V585" s="302"/>
      <c r="W585" s="302"/>
      <c r="X585" s="302"/>
      <c r="Y585" s="302"/>
      <c r="Z585" s="302"/>
      <c r="AA585" s="302"/>
      <c r="AB585" s="302"/>
    </row>
    <row r="586">
      <c r="A586" s="320"/>
      <c r="B586" s="317"/>
      <c r="C586" s="301"/>
      <c r="D586" s="302"/>
      <c r="E586" s="301"/>
      <c r="F586" s="329"/>
      <c r="G586" s="301"/>
      <c r="H586" s="301"/>
      <c r="I586" s="329"/>
      <c r="J586" s="330"/>
      <c r="K586" s="301"/>
      <c r="L586" s="301"/>
      <c r="M586" s="302"/>
      <c r="N586" s="302"/>
      <c r="O586" s="302"/>
      <c r="P586" s="302"/>
      <c r="Q586" s="302"/>
      <c r="R586" s="302"/>
      <c r="S586" s="302"/>
      <c r="T586" s="302"/>
      <c r="U586" s="302"/>
      <c r="V586" s="302"/>
      <c r="W586" s="302"/>
      <c r="X586" s="302"/>
      <c r="Y586" s="302"/>
      <c r="Z586" s="302"/>
      <c r="AA586" s="302"/>
      <c r="AB586" s="302"/>
    </row>
    <row r="587">
      <c r="A587" s="320"/>
      <c r="B587" s="317"/>
      <c r="C587" s="301"/>
      <c r="D587" s="302"/>
      <c r="E587" s="301"/>
      <c r="F587" s="329"/>
      <c r="G587" s="301"/>
      <c r="H587" s="301"/>
      <c r="I587" s="329"/>
      <c r="J587" s="330"/>
      <c r="K587" s="301"/>
      <c r="L587" s="301"/>
      <c r="M587" s="302"/>
      <c r="N587" s="302"/>
      <c r="O587" s="302"/>
      <c r="P587" s="302"/>
      <c r="Q587" s="302"/>
      <c r="R587" s="302"/>
      <c r="S587" s="302"/>
      <c r="T587" s="302"/>
      <c r="U587" s="302"/>
      <c r="V587" s="302"/>
      <c r="W587" s="302"/>
      <c r="X587" s="302"/>
      <c r="Y587" s="302"/>
      <c r="Z587" s="302"/>
      <c r="AA587" s="302"/>
      <c r="AB587" s="302"/>
    </row>
    <row r="588">
      <c r="A588" s="320"/>
      <c r="B588" s="317"/>
      <c r="C588" s="301"/>
      <c r="D588" s="302"/>
      <c r="E588" s="301"/>
      <c r="F588" s="329"/>
      <c r="G588" s="301"/>
      <c r="H588" s="301"/>
      <c r="I588" s="329"/>
      <c r="J588" s="330"/>
      <c r="K588" s="301"/>
      <c r="L588" s="301"/>
      <c r="M588" s="302"/>
      <c r="N588" s="302"/>
      <c r="O588" s="302"/>
      <c r="P588" s="302"/>
      <c r="Q588" s="302"/>
      <c r="R588" s="302"/>
      <c r="S588" s="302"/>
      <c r="T588" s="302"/>
      <c r="U588" s="302"/>
      <c r="V588" s="302"/>
      <c r="W588" s="302"/>
      <c r="X588" s="302"/>
      <c r="Y588" s="302"/>
      <c r="Z588" s="302"/>
      <c r="AA588" s="302"/>
      <c r="AB588" s="302"/>
    </row>
    <row r="589">
      <c r="A589" s="320"/>
      <c r="B589" s="317"/>
      <c r="C589" s="301"/>
      <c r="D589" s="302"/>
      <c r="E589" s="301"/>
      <c r="F589" s="329"/>
      <c r="G589" s="301"/>
      <c r="H589" s="301"/>
      <c r="I589" s="329"/>
      <c r="J589" s="330"/>
      <c r="K589" s="301"/>
      <c r="L589" s="301"/>
      <c r="M589" s="302"/>
      <c r="N589" s="302"/>
      <c r="O589" s="302"/>
      <c r="P589" s="302"/>
      <c r="Q589" s="302"/>
      <c r="R589" s="302"/>
      <c r="S589" s="302"/>
      <c r="T589" s="302"/>
      <c r="U589" s="302"/>
      <c r="V589" s="302"/>
      <c r="W589" s="302"/>
      <c r="X589" s="302"/>
      <c r="Y589" s="302"/>
      <c r="Z589" s="302"/>
      <c r="AA589" s="302"/>
      <c r="AB589" s="302"/>
    </row>
    <row r="590">
      <c r="A590" s="320"/>
      <c r="B590" s="317"/>
      <c r="C590" s="301"/>
      <c r="D590" s="302"/>
      <c r="E590" s="301"/>
      <c r="F590" s="329"/>
      <c r="G590" s="301"/>
      <c r="H590" s="301"/>
      <c r="I590" s="329"/>
      <c r="J590" s="330"/>
      <c r="K590" s="301"/>
      <c r="L590" s="301"/>
      <c r="M590" s="302"/>
      <c r="N590" s="302"/>
      <c r="O590" s="302"/>
      <c r="P590" s="302"/>
      <c r="Q590" s="302"/>
      <c r="R590" s="302"/>
      <c r="S590" s="302"/>
      <c r="T590" s="302"/>
      <c r="U590" s="302"/>
      <c r="V590" s="302"/>
      <c r="W590" s="302"/>
      <c r="X590" s="302"/>
      <c r="Y590" s="302"/>
      <c r="Z590" s="302"/>
      <c r="AA590" s="302"/>
      <c r="AB590" s="302"/>
    </row>
    <row r="591">
      <c r="A591" s="320"/>
      <c r="B591" s="317"/>
      <c r="C591" s="301"/>
      <c r="D591" s="302"/>
      <c r="E591" s="301"/>
      <c r="F591" s="329"/>
      <c r="G591" s="301"/>
      <c r="H591" s="301"/>
      <c r="I591" s="329"/>
      <c r="J591" s="330"/>
      <c r="K591" s="301"/>
      <c r="L591" s="301"/>
      <c r="M591" s="302"/>
      <c r="N591" s="302"/>
      <c r="O591" s="302"/>
      <c r="P591" s="302"/>
      <c r="Q591" s="302"/>
      <c r="R591" s="302"/>
      <c r="S591" s="302"/>
      <c r="T591" s="302"/>
      <c r="U591" s="302"/>
      <c r="V591" s="302"/>
      <c r="W591" s="302"/>
      <c r="X591" s="302"/>
      <c r="Y591" s="302"/>
      <c r="Z591" s="302"/>
      <c r="AA591" s="302"/>
      <c r="AB591" s="302"/>
    </row>
    <row r="592">
      <c r="A592" s="320"/>
      <c r="B592" s="317"/>
      <c r="C592" s="301"/>
      <c r="D592" s="302"/>
      <c r="E592" s="301"/>
      <c r="F592" s="329"/>
      <c r="G592" s="301"/>
      <c r="H592" s="301"/>
      <c r="I592" s="329"/>
      <c r="J592" s="330"/>
      <c r="K592" s="301"/>
      <c r="L592" s="301"/>
      <c r="M592" s="302"/>
      <c r="N592" s="302"/>
      <c r="O592" s="302"/>
      <c r="P592" s="302"/>
      <c r="Q592" s="302"/>
      <c r="R592" s="302"/>
      <c r="S592" s="302"/>
      <c r="T592" s="302"/>
      <c r="U592" s="302"/>
      <c r="V592" s="302"/>
      <c r="W592" s="302"/>
      <c r="X592" s="302"/>
      <c r="Y592" s="302"/>
      <c r="Z592" s="302"/>
      <c r="AA592" s="302"/>
      <c r="AB592" s="302"/>
    </row>
    <row r="593">
      <c r="A593" s="320"/>
      <c r="B593" s="317"/>
      <c r="C593" s="301"/>
      <c r="D593" s="302"/>
      <c r="E593" s="301"/>
      <c r="F593" s="329"/>
      <c r="G593" s="301"/>
      <c r="H593" s="301"/>
      <c r="I593" s="329"/>
      <c r="J593" s="330"/>
      <c r="K593" s="301"/>
      <c r="L593" s="301"/>
      <c r="M593" s="302"/>
      <c r="N593" s="302"/>
      <c r="O593" s="302"/>
      <c r="P593" s="302"/>
      <c r="Q593" s="302"/>
      <c r="R593" s="302"/>
      <c r="S593" s="302"/>
      <c r="T593" s="302"/>
      <c r="U593" s="302"/>
      <c r="V593" s="302"/>
      <c r="W593" s="302"/>
      <c r="X593" s="302"/>
      <c r="Y593" s="302"/>
      <c r="Z593" s="302"/>
      <c r="AA593" s="302"/>
      <c r="AB593" s="302"/>
    </row>
    <row r="594">
      <c r="A594" s="320"/>
      <c r="B594" s="317"/>
      <c r="C594" s="301"/>
      <c r="D594" s="302"/>
      <c r="E594" s="301"/>
      <c r="F594" s="329"/>
      <c r="G594" s="301"/>
      <c r="H594" s="301"/>
      <c r="I594" s="329"/>
      <c r="J594" s="330"/>
      <c r="K594" s="301"/>
      <c r="L594" s="301"/>
      <c r="M594" s="302"/>
      <c r="N594" s="302"/>
      <c r="O594" s="302"/>
      <c r="P594" s="302"/>
      <c r="Q594" s="302"/>
      <c r="R594" s="302"/>
      <c r="S594" s="302"/>
      <c r="T594" s="302"/>
      <c r="U594" s="302"/>
      <c r="V594" s="302"/>
      <c r="W594" s="302"/>
      <c r="X594" s="302"/>
      <c r="Y594" s="302"/>
      <c r="Z594" s="302"/>
      <c r="AA594" s="302"/>
      <c r="AB594" s="302"/>
    </row>
    <row r="595">
      <c r="A595" s="320"/>
      <c r="B595" s="317"/>
      <c r="C595" s="301"/>
      <c r="D595" s="302"/>
      <c r="E595" s="301"/>
      <c r="F595" s="329"/>
      <c r="G595" s="301"/>
      <c r="H595" s="301"/>
      <c r="I595" s="329"/>
      <c r="J595" s="330"/>
      <c r="K595" s="301"/>
      <c r="L595" s="301"/>
      <c r="M595" s="302"/>
      <c r="N595" s="302"/>
      <c r="O595" s="302"/>
      <c r="P595" s="302"/>
      <c r="Q595" s="302"/>
      <c r="R595" s="302"/>
      <c r="S595" s="302"/>
      <c r="T595" s="302"/>
      <c r="U595" s="302"/>
      <c r="V595" s="302"/>
      <c r="W595" s="302"/>
      <c r="X595" s="302"/>
      <c r="Y595" s="302"/>
      <c r="Z595" s="302"/>
      <c r="AA595" s="302"/>
      <c r="AB595" s="302"/>
    </row>
    <row r="596">
      <c r="A596" s="320"/>
      <c r="B596" s="317"/>
      <c r="C596" s="301"/>
      <c r="D596" s="302"/>
      <c r="E596" s="301"/>
      <c r="F596" s="329"/>
      <c r="G596" s="301"/>
      <c r="H596" s="301"/>
      <c r="I596" s="329"/>
      <c r="J596" s="330"/>
      <c r="K596" s="301"/>
      <c r="L596" s="301"/>
      <c r="M596" s="302"/>
      <c r="N596" s="302"/>
      <c r="O596" s="302"/>
      <c r="P596" s="302"/>
      <c r="Q596" s="302"/>
      <c r="R596" s="302"/>
      <c r="S596" s="302"/>
      <c r="T596" s="302"/>
      <c r="U596" s="302"/>
      <c r="V596" s="302"/>
      <c r="W596" s="302"/>
      <c r="X596" s="302"/>
      <c r="Y596" s="302"/>
      <c r="Z596" s="302"/>
      <c r="AA596" s="302"/>
      <c r="AB596" s="302"/>
    </row>
    <row r="597">
      <c r="A597" s="320"/>
      <c r="B597" s="317"/>
      <c r="C597" s="301"/>
      <c r="D597" s="302"/>
      <c r="E597" s="301"/>
      <c r="F597" s="329"/>
      <c r="G597" s="301"/>
      <c r="H597" s="301"/>
      <c r="I597" s="329"/>
      <c r="J597" s="330"/>
      <c r="K597" s="301"/>
      <c r="L597" s="301"/>
      <c r="M597" s="302"/>
      <c r="N597" s="302"/>
      <c r="O597" s="302"/>
      <c r="P597" s="302"/>
      <c r="Q597" s="302"/>
      <c r="R597" s="302"/>
      <c r="S597" s="302"/>
      <c r="T597" s="302"/>
      <c r="U597" s="302"/>
      <c r="V597" s="302"/>
      <c r="W597" s="302"/>
      <c r="X597" s="302"/>
      <c r="Y597" s="302"/>
      <c r="Z597" s="302"/>
      <c r="AA597" s="302"/>
      <c r="AB597" s="302"/>
    </row>
    <row r="598">
      <c r="A598" s="320"/>
      <c r="B598" s="317"/>
      <c r="C598" s="301"/>
      <c r="D598" s="302"/>
      <c r="E598" s="301"/>
      <c r="F598" s="329"/>
      <c r="G598" s="301"/>
      <c r="H598" s="301"/>
      <c r="I598" s="329"/>
      <c r="J598" s="330"/>
      <c r="K598" s="301"/>
      <c r="L598" s="301"/>
      <c r="M598" s="302"/>
      <c r="N598" s="302"/>
      <c r="O598" s="302"/>
      <c r="P598" s="302"/>
      <c r="Q598" s="302"/>
      <c r="R598" s="302"/>
      <c r="S598" s="302"/>
      <c r="T598" s="302"/>
      <c r="U598" s="302"/>
      <c r="V598" s="302"/>
      <c r="W598" s="302"/>
      <c r="X598" s="302"/>
      <c r="Y598" s="302"/>
      <c r="Z598" s="302"/>
      <c r="AA598" s="302"/>
      <c r="AB598" s="302"/>
    </row>
    <row r="599">
      <c r="A599" s="320"/>
      <c r="B599" s="317"/>
      <c r="C599" s="301"/>
      <c r="D599" s="302"/>
      <c r="E599" s="301"/>
      <c r="F599" s="329"/>
      <c r="G599" s="301"/>
      <c r="H599" s="301"/>
      <c r="I599" s="329"/>
      <c r="J599" s="330"/>
      <c r="K599" s="301"/>
      <c r="L599" s="301"/>
      <c r="M599" s="302"/>
      <c r="N599" s="302"/>
      <c r="O599" s="302"/>
      <c r="P599" s="302"/>
      <c r="Q599" s="302"/>
      <c r="R599" s="302"/>
      <c r="S599" s="302"/>
      <c r="T599" s="302"/>
      <c r="U599" s="302"/>
      <c r="V599" s="302"/>
      <c r="W599" s="302"/>
      <c r="X599" s="302"/>
      <c r="Y599" s="302"/>
      <c r="Z599" s="302"/>
      <c r="AA599" s="302"/>
      <c r="AB599" s="302"/>
    </row>
    <row r="600">
      <c r="A600" s="320"/>
      <c r="B600" s="317"/>
      <c r="C600" s="301"/>
      <c r="D600" s="302"/>
      <c r="E600" s="301"/>
      <c r="F600" s="329"/>
      <c r="G600" s="301"/>
      <c r="H600" s="301"/>
      <c r="I600" s="329"/>
      <c r="J600" s="330"/>
      <c r="K600" s="301"/>
      <c r="L600" s="301"/>
      <c r="M600" s="302"/>
      <c r="N600" s="302"/>
      <c r="O600" s="302"/>
      <c r="P600" s="302"/>
      <c r="Q600" s="302"/>
      <c r="R600" s="302"/>
      <c r="S600" s="302"/>
      <c r="T600" s="302"/>
      <c r="U600" s="302"/>
      <c r="V600" s="302"/>
      <c r="W600" s="302"/>
      <c r="X600" s="302"/>
      <c r="Y600" s="302"/>
      <c r="Z600" s="302"/>
      <c r="AA600" s="302"/>
      <c r="AB600" s="302"/>
    </row>
    <row r="601">
      <c r="A601" s="320"/>
      <c r="B601" s="317"/>
      <c r="C601" s="301"/>
      <c r="D601" s="302"/>
      <c r="E601" s="301"/>
      <c r="F601" s="329"/>
      <c r="G601" s="301"/>
      <c r="H601" s="301"/>
      <c r="I601" s="329"/>
      <c r="J601" s="330"/>
      <c r="K601" s="301"/>
      <c r="L601" s="301"/>
      <c r="M601" s="302"/>
      <c r="N601" s="302"/>
      <c r="O601" s="302"/>
      <c r="P601" s="302"/>
      <c r="Q601" s="302"/>
      <c r="R601" s="302"/>
      <c r="S601" s="302"/>
      <c r="T601" s="302"/>
      <c r="U601" s="302"/>
      <c r="V601" s="302"/>
      <c r="W601" s="302"/>
      <c r="X601" s="302"/>
      <c r="Y601" s="302"/>
      <c r="Z601" s="302"/>
      <c r="AA601" s="302"/>
      <c r="AB601" s="302"/>
    </row>
    <row r="602">
      <c r="A602" s="320"/>
      <c r="B602" s="317"/>
      <c r="C602" s="301"/>
      <c r="D602" s="302"/>
      <c r="E602" s="301"/>
      <c r="F602" s="329"/>
      <c r="G602" s="301"/>
      <c r="H602" s="301"/>
      <c r="I602" s="329"/>
      <c r="J602" s="330"/>
      <c r="K602" s="301"/>
      <c r="L602" s="301"/>
      <c r="M602" s="302"/>
      <c r="N602" s="302"/>
      <c r="O602" s="302"/>
      <c r="P602" s="302"/>
      <c r="Q602" s="302"/>
      <c r="R602" s="302"/>
      <c r="S602" s="302"/>
      <c r="T602" s="302"/>
      <c r="U602" s="302"/>
      <c r="V602" s="302"/>
      <c r="W602" s="302"/>
      <c r="X602" s="302"/>
      <c r="Y602" s="302"/>
      <c r="Z602" s="302"/>
      <c r="AA602" s="302"/>
      <c r="AB602" s="302"/>
    </row>
    <row r="603">
      <c r="A603" s="320"/>
      <c r="B603" s="317"/>
      <c r="C603" s="301"/>
      <c r="D603" s="302"/>
      <c r="E603" s="301"/>
      <c r="F603" s="329"/>
      <c r="G603" s="301"/>
      <c r="H603" s="301"/>
      <c r="I603" s="329"/>
      <c r="J603" s="330"/>
      <c r="K603" s="301"/>
      <c r="L603" s="301"/>
      <c r="M603" s="302"/>
      <c r="N603" s="302"/>
      <c r="O603" s="302"/>
      <c r="P603" s="302"/>
      <c r="Q603" s="302"/>
      <c r="R603" s="302"/>
      <c r="S603" s="302"/>
      <c r="T603" s="302"/>
      <c r="U603" s="302"/>
      <c r="V603" s="302"/>
      <c r="W603" s="302"/>
      <c r="X603" s="302"/>
      <c r="Y603" s="302"/>
      <c r="Z603" s="302"/>
      <c r="AA603" s="302"/>
      <c r="AB603" s="302"/>
    </row>
    <row r="604">
      <c r="A604" s="320"/>
      <c r="B604" s="317"/>
      <c r="C604" s="301"/>
      <c r="D604" s="302"/>
      <c r="E604" s="301"/>
      <c r="F604" s="329"/>
      <c r="G604" s="301"/>
      <c r="H604" s="301"/>
      <c r="I604" s="329"/>
      <c r="J604" s="330"/>
      <c r="K604" s="301"/>
      <c r="L604" s="301"/>
      <c r="M604" s="302"/>
      <c r="N604" s="302"/>
      <c r="O604" s="302"/>
      <c r="P604" s="302"/>
      <c r="Q604" s="302"/>
      <c r="R604" s="302"/>
      <c r="S604" s="302"/>
      <c r="T604" s="302"/>
      <c r="U604" s="302"/>
      <c r="V604" s="302"/>
      <c r="W604" s="302"/>
      <c r="X604" s="302"/>
      <c r="Y604" s="302"/>
      <c r="Z604" s="302"/>
      <c r="AA604" s="302"/>
      <c r="AB604" s="302"/>
    </row>
    <row r="605">
      <c r="A605" s="320"/>
      <c r="B605" s="317"/>
      <c r="C605" s="301"/>
      <c r="D605" s="302"/>
      <c r="E605" s="301"/>
      <c r="F605" s="329"/>
      <c r="G605" s="301"/>
      <c r="H605" s="301"/>
      <c r="I605" s="329"/>
      <c r="J605" s="330"/>
      <c r="K605" s="301"/>
      <c r="L605" s="301"/>
      <c r="M605" s="302"/>
      <c r="N605" s="302"/>
      <c r="O605" s="302"/>
      <c r="P605" s="302"/>
      <c r="Q605" s="302"/>
      <c r="R605" s="302"/>
      <c r="S605" s="302"/>
      <c r="T605" s="302"/>
      <c r="U605" s="302"/>
      <c r="V605" s="302"/>
      <c r="W605" s="302"/>
      <c r="X605" s="302"/>
      <c r="Y605" s="302"/>
      <c r="Z605" s="302"/>
      <c r="AA605" s="302"/>
      <c r="AB605" s="302"/>
    </row>
    <row r="606">
      <c r="A606" s="320"/>
      <c r="B606" s="317"/>
      <c r="C606" s="301"/>
      <c r="D606" s="302"/>
      <c r="E606" s="301"/>
      <c r="F606" s="329"/>
      <c r="G606" s="301"/>
      <c r="H606" s="301"/>
      <c r="I606" s="329"/>
      <c r="J606" s="330"/>
      <c r="K606" s="301"/>
      <c r="L606" s="301"/>
      <c r="M606" s="302"/>
      <c r="N606" s="302"/>
      <c r="O606" s="302"/>
      <c r="P606" s="302"/>
      <c r="Q606" s="302"/>
      <c r="R606" s="302"/>
      <c r="S606" s="302"/>
      <c r="T606" s="302"/>
      <c r="U606" s="302"/>
      <c r="V606" s="302"/>
      <c r="W606" s="302"/>
      <c r="X606" s="302"/>
      <c r="Y606" s="302"/>
      <c r="Z606" s="302"/>
      <c r="AA606" s="302"/>
      <c r="AB606" s="302"/>
    </row>
    <row r="607">
      <c r="A607" s="320"/>
      <c r="B607" s="317"/>
      <c r="C607" s="301"/>
      <c r="D607" s="302"/>
      <c r="E607" s="301"/>
      <c r="F607" s="329"/>
      <c r="G607" s="301"/>
      <c r="H607" s="301"/>
      <c r="I607" s="329"/>
      <c r="J607" s="330"/>
      <c r="K607" s="301"/>
      <c r="L607" s="301"/>
      <c r="M607" s="302"/>
      <c r="N607" s="302"/>
      <c r="O607" s="302"/>
      <c r="P607" s="302"/>
      <c r="Q607" s="302"/>
      <c r="R607" s="302"/>
      <c r="S607" s="302"/>
      <c r="T607" s="302"/>
      <c r="U607" s="302"/>
      <c r="V607" s="302"/>
      <c r="W607" s="302"/>
      <c r="X607" s="302"/>
      <c r="Y607" s="302"/>
      <c r="Z607" s="302"/>
      <c r="AA607" s="302"/>
      <c r="AB607" s="302"/>
    </row>
    <row r="608">
      <c r="A608" s="320"/>
      <c r="B608" s="317"/>
      <c r="C608" s="301"/>
      <c r="D608" s="302"/>
      <c r="E608" s="301"/>
      <c r="F608" s="329"/>
      <c r="G608" s="301"/>
      <c r="H608" s="301"/>
      <c r="I608" s="329"/>
      <c r="J608" s="330"/>
      <c r="K608" s="301"/>
      <c r="L608" s="301"/>
      <c r="M608" s="302"/>
      <c r="N608" s="302"/>
      <c r="O608" s="302"/>
      <c r="P608" s="302"/>
      <c r="Q608" s="302"/>
      <c r="R608" s="302"/>
      <c r="S608" s="302"/>
      <c r="T608" s="302"/>
      <c r="U608" s="302"/>
      <c r="V608" s="302"/>
      <c r="W608" s="302"/>
      <c r="X608" s="302"/>
      <c r="Y608" s="302"/>
      <c r="Z608" s="302"/>
      <c r="AA608" s="302"/>
      <c r="AB608" s="302"/>
    </row>
    <row r="609">
      <c r="A609" s="320"/>
      <c r="B609" s="317"/>
      <c r="C609" s="301"/>
      <c r="D609" s="302"/>
      <c r="E609" s="301"/>
      <c r="F609" s="329"/>
      <c r="G609" s="301"/>
      <c r="H609" s="301"/>
      <c r="I609" s="329"/>
      <c r="J609" s="330"/>
      <c r="K609" s="301"/>
      <c r="L609" s="301"/>
      <c r="M609" s="302"/>
      <c r="N609" s="302"/>
      <c r="O609" s="302"/>
      <c r="P609" s="302"/>
      <c r="Q609" s="302"/>
      <c r="R609" s="302"/>
      <c r="S609" s="302"/>
      <c r="T609" s="302"/>
      <c r="U609" s="302"/>
      <c r="V609" s="302"/>
      <c r="W609" s="302"/>
      <c r="X609" s="302"/>
      <c r="Y609" s="302"/>
      <c r="Z609" s="302"/>
      <c r="AA609" s="302"/>
      <c r="AB609" s="302"/>
    </row>
    <row r="610">
      <c r="A610" s="320"/>
      <c r="B610" s="317"/>
      <c r="C610" s="301"/>
      <c r="D610" s="302"/>
      <c r="E610" s="301"/>
      <c r="F610" s="329"/>
      <c r="G610" s="301"/>
      <c r="H610" s="301"/>
      <c r="I610" s="329"/>
      <c r="J610" s="330"/>
      <c r="K610" s="301"/>
      <c r="L610" s="301"/>
      <c r="M610" s="302"/>
      <c r="N610" s="302"/>
      <c r="O610" s="302"/>
      <c r="P610" s="302"/>
      <c r="Q610" s="302"/>
      <c r="R610" s="302"/>
      <c r="S610" s="302"/>
      <c r="T610" s="302"/>
      <c r="U610" s="302"/>
      <c r="V610" s="302"/>
      <c r="W610" s="302"/>
      <c r="X610" s="302"/>
      <c r="Y610" s="302"/>
      <c r="Z610" s="302"/>
      <c r="AA610" s="302"/>
      <c r="AB610" s="302"/>
    </row>
    <row r="611">
      <c r="A611" s="320"/>
      <c r="B611" s="317"/>
      <c r="C611" s="301"/>
      <c r="D611" s="302"/>
      <c r="E611" s="301"/>
      <c r="F611" s="329"/>
      <c r="G611" s="301"/>
      <c r="H611" s="301"/>
      <c r="I611" s="329"/>
      <c r="J611" s="330"/>
      <c r="K611" s="301"/>
      <c r="L611" s="301"/>
      <c r="M611" s="302"/>
      <c r="N611" s="302"/>
      <c r="O611" s="302"/>
      <c r="P611" s="302"/>
      <c r="Q611" s="302"/>
      <c r="R611" s="302"/>
      <c r="S611" s="302"/>
      <c r="T611" s="302"/>
      <c r="U611" s="302"/>
      <c r="V611" s="302"/>
      <c r="W611" s="302"/>
      <c r="X611" s="302"/>
      <c r="Y611" s="302"/>
      <c r="Z611" s="302"/>
      <c r="AA611" s="302"/>
      <c r="AB611" s="302"/>
    </row>
    <row r="612">
      <c r="A612" s="320"/>
      <c r="B612" s="317"/>
      <c r="C612" s="301"/>
      <c r="D612" s="302"/>
      <c r="E612" s="301"/>
      <c r="F612" s="329"/>
      <c r="G612" s="301"/>
      <c r="H612" s="301"/>
      <c r="I612" s="329"/>
      <c r="J612" s="330"/>
      <c r="K612" s="301"/>
      <c r="L612" s="301"/>
      <c r="M612" s="302"/>
      <c r="N612" s="302"/>
      <c r="O612" s="302"/>
      <c r="P612" s="302"/>
      <c r="Q612" s="302"/>
      <c r="R612" s="302"/>
      <c r="S612" s="302"/>
      <c r="T612" s="302"/>
      <c r="U612" s="302"/>
      <c r="V612" s="302"/>
      <c r="W612" s="302"/>
      <c r="X612" s="302"/>
      <c r="Y612" s="302"/>
      <c r="Z612" s="302"/>
      <c r="AA612" s="302"/>
      <c r="AB612" s="302"/>
    </row>
    <row r="613">
      <c r="A613" s="320"/>
      <c r="B613" s="317"/>
      <c r="C613" s="301"/>
      <c r="D613" s="302"/>
      <c r="E613" s="301"/>
      <c r="F613" s="329"/>
      <c r="G613" s="301"/>
      <c r="H613" s="301"/>
      <c r="I613" s="329"/>
      <c r="J613" s="330"/>
      <c r="K613" s="301"/>
      <c r="L613" s="301"/>
      <c r="M613" s="302"/>
      <c r="N613" s="302"/>
      <c r="O613" s="302"/>
      <c r="P613" s="302"/>
      <c r="Q613" s="302"/>
      <c r="R613" s="302"/>
      <c r="S613" s="302"/>
      <c r="T613" s="302"/>
      <c r="U613" s="302"/>
      <c r="V613" s="302"/>
      <c r="W613" s="302"/>
      <c r="X613" s="302"/>
      <c r="Y613" s="302"/>
      <c r="Z613" s="302"/>
      <c r="AA613" s="302"/>
      <c r="AB613" s="302"/>
    </row>
    <row r="614">
      <c r="A614" s="320"/>
      <c r="B614" s="317"/>
      <c r="C614" s="301"/>
      <c r="D614" s="302"/>
      <c r="E614" s="301"/>
      <c r="F614" s="329"/>
      <c r="G614" s="301"/>
      <c r="H614" s="301"/>
      <c r="I614" s="329"/>
      <c r="J614" s="330"/>
      <c r="K614" s="301"/>
      <c r="L614" s="301"/>
      <c r="M614" s="302"/>
      <c r="N614" s="302"/>
      <c r="O614" s="302"/>
      <c r="P614" s="302"/>
      <c r="Q614" s="302"/>
      <c r="R614" s="302"/>
      <c r="S614" s="302"/>
      <c r="T614" s="302"/>
      <c r="U614" s="302"/>
      <c r="V614" s="302"/>
      <c r="W614" s="302"/>
      <c r="X614" s="302"/>
      <c r="Y614" s="302"/>
      <c r="Z614" s="302"/>
      <c r="AA614" s="302"/>
      <c r="AB614" s="302"/>
    </row>
    <row r="615">
      <c r="A615" s="320"/>
      <c r="B615" s="317"/>
      <c r="C615" s="301"/>
      <c r="D615" s="302"/>
      <c r="E615" s="301"/>
      <c r="F615" s="329"/>
      <c r="G615" s="301"/>
      <c r="H615" s="301"/>
      <c r="I615" s="329"/>
      <c r="J615" s="330"/>
      <c r="K615" s="301"/>
      <c r="L615" s="301"/>
      <c r="M615" s="302"/>
      <c r="N615" s="302"/>
      <c r="O615" s="302"/>
      <c r="P615" s="302"/>
      <c r="Q615" s="302"/>
      <c r="R615" s="302"/>
      <c r="S615" s="302"/>
      <c r="T615" s="302"/>
      <c r="U615" s="302"/>
      <c r="V615" s="302"/>
      <c r="W615" s="302"/>
      <c r="X615" s="302"/>
      <c r="Y615" s="302"/>
      <c r="Z615" s="302"/>
      <c r="AA615" s="302"/>
      <c r="AB615" s="302"/>
    </row>
    <row r="616">
      <c r="A616" s="320"/>
      <c r="B616" s="317"/>
      <c r="C616" s="301"/>
      <c r="D616" s="302"/>
      <c r="E616" s="301"/>
      <c r="F616" s="329"/>
      <c r="G616" s="301"/>
      <c r="H616" s="301"/>
      <c r="I616" s="329"/>
      <c r="J616" s="330"/>
      <c r="K616" s="301"/>
      <c r="L616" s="301"/>
      <c r="M616" s="302"/>
      <c r="N616" s="302"/>
      <c r="O616" s="302"/>
      <c r="P616" s="302"/>
      <c r="Q616" s="302"/>
      <c r="R616" s="302"/>
      <c r="S616" s="302"/>
      <c r="T616" s="302"/>
      <c r="U616" s="302"/>
      <c r="V616" s="302"/>
      <c r="W616" s="302"/>
      <c r="X616" s="302"/>
      <c r="Y616" s="302"/>
      <c r="Z616" s="302"/>
      <c r="AA616" s="302"/>
      <c r="AB616" s="302"/>
    </row>
    <row r="617">
      <c r="A617" s="320"/>
      <c r="B617" s="317"/>
      <c r="C617" s="301"/>
      <c r="D617" s="302"/>
      <c r="E617" s="301"/>
      <c r="F617" s="329"/>
      <c r="G617" s="301"/>
      <c r="H617" s="301"/>
      <c r="I617" s="329"/>
      <c r="J617" s="330"/>
      <c r="K617" s="301"/>
      <c r="L617" s="301"/>
      <c r="M617" s="302"/>
      <c r="N617" s="302"/>
      <c r="O617" s="302"/>
      <c r="P617" s="302"/>
      <c r="Q617" s="302"/>
      <c r="R617" s="302"/>
      <c r="S617" s="302"/>
      <c r="T617" s="302"/>
      <c r="U617" s="302"/>
      <c r="V617" s="302"/>
      <c r="W617" s="302"/>
      <c r="X617" s="302"/>
      <c r="Y617" s="302"/>
      <c r="Z617" s="302"/>
      <c r="AA617" s="302"/>
      <c r="AB617" s="302"/>
    </row>
    <row r="618">
      <c r="A618" s="320"/>
      <c r="B618" s="317"/>
      <c r="C618" s="301"/>
      <c r="D618" s="302"/>
      <c r="E618" s="301"/>
      <c r="F618" s="329"/>
      <c r="G618" s="301"/>
      <c r="H618" s="301"/>
      <c r="I618" s="329"/>
      <c r="J618" s="330"/>
      <c r="K618" s="301"/>
      <c r="L618" s="301"/>
      <c r="M618" s="302"/>
      <c r="N618" s="302"/>
      <c r="O618" s="302"/>
      <c r="P618" s="302"/>
      <c r="Q618" s="302"/>
      <c r="R618" s="302"/>
      <c r="S618" s="302"/>
      <c r="T618" s="302"/>
      <c r="U618" s="302"/>
      <c r="V618" s="302"/>
      <c r="W618" s="302"/>
      <c r="X618" s="302"/>
      <c r="Y618" s="302"/>
      <c r="Z618" s="302"/>
      <c r="AA618" s="302"/>
      <c r="AB618" s="302"/>
    </row>
    <row r="619">
      <c r="A619" s="320"/>
      <c r="B619" s="317"/>
      <c r="C619" s="301"/>
      <c r="D619" s="302"/>
      <c r="E619" s="301"/>
      <c r="F619" s="329"/>
      <c r="G619" s="301"/>
      <c r="H619" s="301"/>
      <c r="I619" s="329"/>
      <c r="J619" s="330"/>
      <c r="K619" s="301"/>
      <c r="L619" s="301"/>
      <c r="M619" s="302"/>
      <c r="N619" s="302"/>
      <c r="O619" s="302"/>
      <c r="P619" s="302"/>
      <c r="Q619" s="302"/>
      <c r="R619" s="302"/>
      <c r="S619" s="302"/>
      <c r="T619" s="302"/>
      <c r="U619" s="302"/>
      <c r="V619" s="302"/>
      <c r="W619" s="302"/>
      <c r="X619" s="302"/>
      <c r="Y619" s="302"/>
      <c r="Z619" s="302"/>
      <c r="AA619" s="302"/>
      <c r="AB619" s="302"/>
    </row>
    <row r="620">
      <c r="A620" s="320"/>
      <c r="B620" s="317"/>
      <c r="C620" s="301"/>
      <c r="D620" s="302"/>
      <c r="E620" s="301"/>
      <c r="F620" s="329"/>
      <c r="G620" s="301"/>
      <c r="H620" s="301"/>
      <c r="I620" s="329"/>
      <c r="J620" s="330"/>
      <c r="K620" s="301"/>
      <c r="L620" s="301"/>
      <c r="M620" s="302"/>
      <c r="N620" s="302"/>
      <c r="O620" s="302"/>
      <c r="P620" s="302"/>
      <c r="Q620" s="302"/>
      <c r="R620" s="302"/>
      <c r="S620" s="302"/>
      <c r="T620" s="302"/>
      <c r="U620" s="302"/>
      <c r="V620" s="302"/>
      <c r="W620" s="302"/>
      <c r="X620" s="302"/>
      <c r="Y620" s="302"/>
      <c r="Z620" s="302"/>
      <c r="AA620" s="302"/>
      <c r="AB620" s="302"/>
    </row>
    <row r="621">
      <c r="A621" s="320"/>
      <c r="B621" s="317"/>
      <c r="C621" s="301"/>
      <c r="D621" s="302"/>
      <c r="E621" s="301"/>
      <c r="F621" s="329"/>
      <c r="G621" s="301"/>
      <c r="H621" s="301"/>
      <c r="I621" s="329"/>
      <c r="J621" s="330"/>
      <c r="K621" s="301"/>
      <c r="L621" s="301"/>
      <c r="M621" s="302"/>
      <c r="N621" s="302"/>
      <c r="O621" s="302"/>
      <c r="P621" s="302"/>
      <c r="Q621" s="302"/>
      <c r="R621" s="302"/>
      <c r="S621" s="302"/>
      <c r="T621" s="302"/>
      <c r="U621" s="302"/>
      <c r="V621" s="302"/>
      <c r="W621" s="302"/>
      <c r="X621" s="302"/>
      <c r="Y621" s="302"/>
      <c r="Z621" s="302"/>
      <c r="AA621" s="302"/>
      <c r="AB621" s="302"/>
    </row>
    <row r="622">
      <c r="A622" s="320"/>
      <c r="B622" s="317"/>
      <c r="C622" s="301"/>
      <c r="D622" s="302"/>
      <c r="E622" s="301"/>
      <c r="F622" s="329"/>
      <c r="G622" s="301"/>
      <c r="H622" s="301"/>
      <c r="I622" s="329"/>
      <c r="J622" s="330"/>
      <c r="K622" s="301"/>
      <c r="L622" s="301"/>
      <c r="M622" s="302"/>
      <c r="N622" s="302"/>
      <c r="O622" s="302"/>
      <c r="P622" s="302"/>
      <c r="Q622" s="302"/>
      <c r="R622" s="302"/>
      <c r="S622" s="302"/>
      <c r="T622" s="302"/>
      <c r="U622" s="302"/>
      <c r="V622" s="302"/>
      <c r="W622" s="302"/>
      <c r="X622" s="302"/>
      <c r="Y622" s="302"/>
      <c r="Z622" s="302"/>
      <c r="AA622" s="302"/>
      <c r="AB622" s="302"/>
    </row>
    <row r="623">
      <c r="A623" s="320"/>
      <c r="B623" s="317"/>
      <c r="C623" s="301"/>
      <c r="D623" s="302"/>
      <c r="E623" s="301"/>
      <c r="F623" s="329"/>
      <c r="G623" s="301"/>
      <c r="H623" s="301"/>
      <c r="I623" s="329"/>
      <c r="J623" s="330"/>
      <c r="K623" s="301"/>
      <c r="L623" s="301"/>
      <c r="M623" s="302"/>
      <c r="N623" s="302"/>
      <c r="O623" s="302"/>
      <c r="P623" s="302"/>
      <c r="Q623" s="302"/>
      <c r="R623" s="302"/>
      <c r="S623" s="302"/>
      <c r="T623" s="302"/>
      <c r="U623" s="302"/>
      <c r="V623" s="302"/>
      <c r="W623" s="302"/>
      <c r="X623" s="302"/>
      <c r="Y623" s="302"/>
      <c r="Z623" s="302"/>
      <c r="AA623" s="302"/>
      <c r="AB623" s="302"/>
    </row>
    <row r="624">
      <c r="A624" s="320"/>
      <c r="B624" s="317"/>
      <c r="C624" s="301"/>
      <c r="D624" s="302"/>
      <c r="E624" s="301"/>
      <c r="F624" s="329"/>
      <c r="G624" s="301"/>
      <c r="H624" s="301"/>
      <c r="I624" s="329"/>
      <c r="J624" s="330"/>
      <c r="K624" s="301"/>
      <c r="L624" s="301"/>
      <c r="M624" s="302"/>
      <c r="N624" s="302"/>
      <c r="O624" s="302"/>
      <c r="P624" s="302"/>
      <c r="Q624" s="302"/>
      <c r="R624" s="302"/>
      <c r="S624" s="302"/>
      <c r="T624" s="302"/>
      <c r="U624" s="302"/>
      <c r="V624" s="302"/>
      <c r="W624" s="302"/>
      <c r="X624" s="302"/>
      <c r="Y624" s="302"/>
      <c r="Z624" s="302"/>
      <c r="AA624" s="302"/>
      <c r="AB624" s="302"/>
    </row>
    <row r="625">
      <c r="A625" s="320"/>
      <c r="B625" s="317"/>
      <c r="C625" s="301"/>
      <c r="D625" s="302"/>
      <c r="E625" s="301"/>
      <c r="F625" s="329"/>
      <c r="G625" s="301"/>
      <c r="H625" s="301"/>
      <c r="I625" s="329"/>
      <c r="J625" s="330"/>
      <c r="K625" s="301"/>
      <c r="L625" s="301"/>
      <c r="M625" s="302"/>
      <c r="N625" s="302"/>
      <c r="O625" s="302"/>
      <c r="P625" s="302"/>
      <c r="Q625" s="302"/>
      <c r="R625" s="302"/>
      <c r="S625" s="302"/>
      <c r="T625" s="302"/>
      <c r="U625" s="302"/>
      <c r="V625" s="302"/>
      <c r="W625" s="302"/>
      <c r="X625" s="302"/>
      <c r="Y625" s="302"/>
      <c r="Z625" s="302"/>
      <c r="AA625" s="302"/>
      <c r="AB625" s="302"/>
    </row>
    <row r="626">
      <c r="A626" s="320"/>
      <c r="B626" s="317"/>
      <c r="C626" s="301"/>
      <c r="D626" s="302"/>
      <c r="E626" s="301"/>
      <c r="F626" s="329"/>
      <c r="G626" s="301"/>
      <c r="H626" s="301"/>
      <c r="I626" s="329"/>
      <c r="J626" s="330"/>
      <c r="K626" s="301"/>
      <c r="L626" s="301"/>
      <c r="M626" s="302"/>
      <c r="N626" s="302"/>
      <c r="O626" s="302"/>
      <c r="P626" s="302"/>
      <c r="Q626" s="302"/>
      <c r="R626" s="302"/>
      <c r="S626" s="302"/>
      <c r="T626" s="302"/>
      <c r="U626" s="302"/>
      <c r="V626" s="302"/>
      <c r="W626" s="302"/>
      <c r="X626" s="302"/>
      <c r="Y626" s="302"/>
      <c r="Z626" s="302"/>
      <c r="AA626" s="302"/>
      <c r="AB626" s="302"/>
    </row>
    <row r="627">
      <c r="A627" s="320"/>
      <c r="B627" s="317"/>
      <c r="C627" s="301"/>
      <c r="D627" s="302"/>
      <c r="E627" s="301"/>
      <c r="F627" s="329"/>
      <c r="G627" s="301"/>
      <c r="H627" s="301"/>
      <c r="I627" s="329"/>
      <c r="J627" s="330"/>
      <c r="K627" s="301"/>
      <c r="L627" s="301"/>
      <c r="M627" s="302"/>
      <c r="N627" s="302"/>
      <c r="O627" s="302"/>
      <c r="P627" s="302"/>
      <c r="Q627" s="302"/>
      <c r="R627" s="302"/>
      <c r="S627" s="302"/>
      <c r="T627" s="302"/>
      <c r="U627" s="302"/>
      <c r="V627" s="302"/>
      <c r="W627" s="302"/>
      <c r="X627" s="302"/>
      <c r="Y627" s="302"/>
      <c r="Z627" s="302"/>
      <c r="AA627" s="302"/>
      <c r="AB627" s="302"/>
    </row>
    <row r="628">
      <c r="A628" s="320"/>
      <c r="B628" s="317"/>
      <c r="C628" s="301"/>
      <c r="D628" s="302"/>
      <c r="E628" s="301"/>
      <c r="F628" s="329"/>
      <c r="G628" s="301"/>
      <c r="H628" s="301"/>
      <c r="I628" s="329"/>
      <c r="J628" s="330"/>
      <c r="K628" s="301"/>
      <c r="L628" s="301"/>
      <c r="M628" s="302"/>
      <c r="N628" s="302"/>
      <c r="O628" s="302"/>
      <c r="P628" s="302"/>
      <c r="Q628" s="302"/>
      <c r="R628" s="302"/>
      <c r="S628" s="302"/>
      <c r="T628" s="302"/>
      <c r="U628" s="302"/>
      <c r="V628" s="302"/>
      <c r="W628" s="302"/>
      <c r="X628" s="302"/>
      <c r="Y628" s="302"/>
      <c r="Z628" s="302"/>
      <c r="AA628" s="302"/>
      <c r="AB628" s="302"/>
    </row>
    <row r="629">
      <c r="A629" s="320"/>
      <c r="B629" s="317"/>
      <c r="C629" s="301"/>
      <c r="D629" s="302"/>
      <c r="E629" s="301"/>
      <c r="F629" s="329"/>
      <c r="G629" s="301"/>
      <c r="H629" s="301"/>
      <c r="I629" s="329"/>
      <c r="J629" s="330"/>
      <c r="K629" s="301"/>
      <c r="L629" s="301"/>
      <c r="M629" s="302"/>
      <c r="N629" s="302"/>
      <c r="O629" s="302"/>
      <c r="P629" s="302"/>
      <c r="Q629" s="302"/>
      <c r="R629" s="302"/>
      <c r="S629" s="302"/>
      <c r="T629" s="302"/>
      <c r="U629" s="302"/>
      <c r="V629" s="302"/>
      <c r="W629" s="302"/>
      <c r="X629" s="302"/>
      <c r="Y629" s="302"/>
      <c r="Z629" s="302"/>
      <c r="AA629" s="302"/>
      <c r="AB629" s="302"/>
    </row>
    <row r="630">
      <c r="A630" s="320"/>
      <c r="B630" s="317"/>
      <c r="C630" s="301"/>
      <c r="D630" s="302"/>
      <c r="E630" s="301"/>
      <c r="F630" s="329"/>
      <c r="G630" s="301"/>
      <c r="H630" s="301"/>
      <c r="I630" s="329"/>
      <c r="J630" s="330"/>
      <c r="K630" s="301"/>
      <c r="L630" s="301"/>
      <c r="M630" s="302"/>
      <c r="N630" s="302"/>
      <c r="O630" s="302"/>
      <c r="P630" s="302"/>
      <c r="Q630" s="302"/>
      <c r="R630" s="302"/>
      <c r="S630" s="302"/>
      <c r="T630" s="302"/>
      <c r="U630" s="302"/>
      <c r="V630" s="302"/>
      <c r="W630" s="302"/>
      <c r="X630" s="302"/>
      <c r="Y630" s="302"/>
      <c r="Z630" s="302"/>
      <c r="AA630" s="302"/>
      <c r="AB630" s="302"/>
    </row>
    <row r="631">
      <c r="A631" s="320"/>
      <c r="B631" s="317"/>
      <c r="C631" s="301"/>
      <c r="D631" s="302"/>
      <c r="E631" s="301"/>
      <c r="F631" s="329"/>
      <c r="G631" s="301"/>
      <c r="H631" s="301"/>
      <c r="I631" s="329"/>
      <c r="J631" s="330"/>
      <c r="K631" s="301"/>
      <c r="L631" s="301"/>
      <c r="M631" s="302"/>
      <c r="N631" s="302"/>
      <c r="O631" s="302"/>
      <c r="P631" s="302"/>
      <c r="Q631" s="302"/>
      <c r="R631" s="302"/>
      <c r="S631" s="302"/>
      <c r="T631" s="302"/>
      <c r="U631" s="302"/>
      <c r="V631" s="302"/>
      <c r="W631" s="302"/>
      <c r="X631" s="302"/>
      <c r="Y631" s="302"/>
      <c r="Z631" s="302"/>
      <c r="AA631" s="302"/>
      <c r="AB631" s="302"/>
    </row>
    <row r="632">
      <c r="A632" s="320"/>
      <c r="B632" s="317"/>
      <c r="C632" s="301"/>
      <c r="D632" s="302"/>
      <c r="E632" s="301"/>
      <c r="F632" s="329"/>
      <c r="G632" s="301"/>
      <c r="H632" s="301"/>
      <c r="I632" s="329"/>
      <c r="J632" s="330"/>
      <c r="K632" s="301"/>
      <c r="L632" s="301"/>
      <c r="M632" s="302"/>
      <c r="N632" s="302"/>
      <c r="O632" s="302"/>
      <c r="P632" s="302"/>
      <c r="Q632" s="302"/>
      <c r="R632" s="302"/>
      <c r="S632" s="302"/>
      <c r="T632" s="302"/>
      <c r="U632" s="302"/>
      <c r="V632" s="302"/>
      <c r="W632" s="302"/>
      <c r="X632" s="302"/>
      <c r="Y632" s="302"/>
      <c r="Z632" s="302"/>
      <c r="AA632" s="302"/>
      <c r="AB632" s="302"/>
    </row>
    <row r="633">
      <c r="A633" s="320"/>
      <c r="B633" s="317"/>
      <c r="C633" s="301"/>
      <c r="D633" s="302"/>
      <c r="E633" s="301"/>
      <c r="F633" s="329"/>
      <c r="G633" s="301"/>
      <c r="H633" s="301"/>
      <c r="I633" s="329"/>
      <c r="J633" s="330"/>
      <c r="K633" s="301"/>
      <c r="L633" s="301"/>
      <c r="M633" s="302"/>
      <c r="N633" s="302"/>
      <c r="O633" s="302"/>
      <c r="P633" s="302"/>
      <c r="Q633" s="302"/>
      <c r="R633" s="302"/>
      <c r="S633" s="302"/>
      <c r="T633" s="302"/>
      <c r="U633" s="302"/>
      <c r="V633" s="302"/>
      <c r="W633" s="302"/>
      <c r="X633" s="302"/>
      <c r="Y633" s="302"/>
      <c r="Z633" s="302"/>
      <c r="AA633" s="302"/>
      <c r="AB633" s="302"/>
    </row>
    <row r="634">
      <c r="A634" s="320"/>
      <c r="B634" s="317"/>
      <c r="C634" s="301"/>
      <c r="D634" s="302"/>
      <c r="E634" s="301"/>
      <c r="F634" s="329"/>
      <c r="G634" s="301"/>
      <c r="H634" s="301"/>
      <c r="I634" s="329"/>
      <c r="J634" s="330"/>
      <c r="K634" s="301"/>
      <c r="L634" s="301"/>
      <c r="M634" s="302"/>
      <c r="N634" s="302"/>
      <c r="O634" s="302"/>
      <c r="P634" s="302"/>
      <c r="Q634" s="302"/>
      <c r="R634" s="302"/>
      <c r="S634" s="302"/>
      <c r="T634" s="302"/>
      <c r="U634" s="302"/>
      <c r="V634" s="302"/>
      <c r="W634" s="302"/>
      <c r="X634" s="302"/>
      <c r="Y634" s="302"/>
      <c r="Z634" s="302"/>
      <c r="AA634" s="302"/>
      <c r="AB634" s="302"/>
    </row>
    <row r="635">
      <c r="A635" s="320"/>
      <c r="B635" s="317"/>
      <c r="C635" s="301"/>
      <c r="D635" s="302"/>
      <c r="E635" s="301"/>
      <c r="F635" s="329"/>
      <c r="G635" s="301"/>
      <c r="H635" s="301"/>
      <c r="I635" s="329"/>
      <c r="J635" s="330"/>
      <c r="K635" s="301"/>
      <c r="L635" s="301"/>
      <c r="M635" s="302"/>
      <c r="N635" s="302"/>
      <c r="O635" s="302"/>
      <c r="P635" s="302"/>
      <c r="Q635" s="302"/>
      <c r="R635" s="302"/>
      <c r="S635" s="302"/>
      <c r="T635" s="302"/>
      <c r="U635" s="302"/>
      <c r="V635" s="302"/>
      <c r="W635" s="302"/>
      <c r="X635" s="302"/>
      <c r="Y635" s="302"/>
      <c r="Z635" s="302"/>
      <c r="AA635" s="302"/>
      <c r="AB635" s="302"/>
    </row>
    <row r="636">
      <c r="A636" s="320"/>
      <c r="B636" s="317"/>
      <c r="C636" s="301"/>
      <c r="D636" s="302"/>
      <c r="E636" s="301"/>
      <c r="F636" s="329"/>
      <c r="G636" s="301"/>
      <c r="H636" s="301"/>
      <c r="I636" s="329"/>
      <c r="J636" s="330"/>
      <c r="K636" s="301"/>
      <c r="L636" s="301"/>
      <c r="M636" s="302"/>
      <c r="N636" s="302"/>
      <c r="O636" s="302"/>
      <c r="P636" s="302"/>
      <c r="Q636" s="302"/>
      <c r="R636" s="302"/>
      <c r="S636" s="302"/>
      <c r="T636" s="302"/>
      <c r="U636" s="302"/>
      <c r="V636" s="302"/>
      <c r="W636" s="302"/>
      <c r="X636" s="302"/>
      <c r="Y636" s="302"/>
      <c r="Z636" s="302"/>
      <c r="AA636" s="302"/>
      <c r="AB636" s="302"/>
    </row>
    <row r="637">
      <c r="A637" s="320"/>
      <c r="B637" s="317"/>
      <c r="C637" s="301"/>
      <c r="D637" s="302"/>
      <c r="E637" s="301"/>
      <c r="F637" s="329"/>
      <c r="G637" s="301"/>
      <c r="H637" s="301"/>
      <c r="I637" s="329"/>
      <c r="J637" s="330"/>
      <c r="K637" s="301"/>
      <c r="L637" s="301"/>
      <c r="M637" s="302"/>
      <c r="N637" s="302"/>
      <c r="O637" s="302"/>
      <c r="P637" s="302"/>
      <c r="Q637" s="302"/>
      <c r="R637" s="302"/>
      <c r="S637" s="302"/>
      <c r="T637" s="302"/>
      <c r="U637" s="302"/>
      <c r="V637" s="302"/>
      <c r="W637" s="302"/>
      <c r="X637" s="302"/>
      <c r="Y637" s="302"/>
      <c r="Z637" s="302"/>
      <c r="AA637" s="302"/>
      <c r="AB637" s="302"/>
    </row>
    <row r="638">
      <c r="A638" s="320"/>
      <c r="B638" s="317"/>
      <c r="C638" s="301"/>
      <c r="D638" s="302"/>
      <c r="E638" s="301"/>
      <c r="F638" s="329"/>
      <c r="G638" s="301"/>
      <c r="H638" s="301"/>
      <c r="I638" s="329"/>
      <c r="J638" s="330"/>
      <c r="K638" s="301"/>
      <c r="L638" s="301"/>
      <c r="M638" s="302"/>
      <c r="N638" s="302"/>
      <c r="O638" s="302"/>
      <c r="P638" s="302"/>
      <c r="Q638" s="302"/>
      <c r="R638" s="302"/>
      <c r="S638" s="302"/>
      <c r="T638" s="302"/>
      <c r="U638" s="302"/>
      <c r="V638" s="302"/>
      <c r="W638" s="302"/>
      <c r="X638" s="302"/>
      <c r="Y638" s="302"/>
      <c r="Z638" s="302"/>
      <c r="AA638" s="302"/>
      <c r="AB638" s="302"/>
    </row>
    <row r="639">
      <c r="A639" s="320"/>
      <c r="B639" s="317"/>
      <c r="C639" s="301"/>
      <c r="D639" s="302"/>
      <c r="E639" s="301"/>
      <c r="F639" s="329"/>
      <c r="G639" s="301"/>
      <c r="H639" s="301"/>
      <c r="I639" s="329"/>
      <c r="J639" s="330"/>
      <c r="K639" s="301"/>
      <c r="L639" s="301"/>
      <c r="M639" s="302"/>
      <c r="N639" s="302"/>
      <c r="O639" s="302"/>
      <c r="P639" s="302"/>
      <c r="Q639" s="302"/>
      <c r="R639" s="302"/>
      <c r="S639" s="302"/>
      <c r="T639" s="302"/>
      <c r="U639" s="302"/>
      <c r="V639" s="302"/>
      <c r="W639" s="302"/>
      <c r="X639" s="302"/>
      <c r="Y639" s="302"/>
      <c r="Z639" s="302"/>
      <c r="AA639" s="302"/>
      <c r="AB639" s="302"/>
    </row>
    <row r="640">
      <c r="A640" s="320"/>
      <c r="B640" s="317"/>
      <c r="C640" s="301"/>
      <c r="D640" s="302"/>
      <c r="E640" s="301"/>
      <c r="F640" s="329"/>
      <c r="G640" s="301"/>
      <c r="H640" s="301"/>
      <c r="I640" s="329"/>
      <c r="J640" s="330"/>
      <c r="K640" s="301"/>
      <c r="L640" s="301"/>
      <c r="M640" s="302"/>
      <c r="N640" s="302"/>
      <c r="O640" s="302"/>
      <c r="P640" s="302"/>
      <c r="Q640" s="302"/>
      <c r="R640" s="302"/>
      <c r="S640" s="302"/>
      <c r="T640" s="302"/>
      <c r="U640" s="302"/>
      <c r="V640" s="302"/>
      <c r="W640" s="302"/>
      <c r="X640" s="302"/>
      <c r="Y640" s="302"/>
      <c r="Z640" s="302"/>
      <c r="AA640" s="302"/>
      <c r="AB640" s="302"/>
    </row>
    <row r="641">
      <c r="A641" s="320"/>
      <c r="B641" s="317"/>
      <c r="C641" s="301"/>
      <c r="D641" s="302"/>
      <c r="E641" s="301"/>
      <c r="F641" s="329"/>
      <c r="G641" s="301"/>
      <c r="H641" s="301"/>
      <c r="I641" s="329"/>
      <c r="J641" s="330"/>
      <c r="K641" s="301"/>
      <c r="L641" s="301"/>
      <c r="M641" s="302"/>
      <c r="N641" s="302"/>
      <c r="O641" s="302"/>
      <c r="P641" s="302"/>
      <c r="Q641" s="302"/>
      <c r="R641" s="302"/>
      <c r="S641" s="302"/>
      <c r="T641" s="302"/>
      <c r="U641" s="302"/>
      <c r="V641" s="302"/>
      <c r="W641" s="302"/>
      <c r="X641" s="302"/>
      <c r="Y641" s="302"/>
      <c r="Z641" s="302"/>
      <c r="AA641" s="302"/>
      <c r="AB641" s="302"/>
    </row>
    <row r="642">
      <c r="A642" s="320"/>
      <c r="B642" s="317"/>
      <c r="C642" s="301"/>
      <c r="D642" s="302"/>
      <c r="E642" s="301"/>
      <c r="F642" s="329"/>
      <c r="G642" s="301"/>
      <c r="H642" s="301"/>
      <c r="I642" s="329"/>
      <c r="J642" s="330"/>
      <c r="K642" s="301"/>
      <c r="L642" s="301"/>
      <c r="M642" s="302"/>
      <c r="N642" s="302"/>
      <c r="O642" s="302"/>
      <c r="P642" s="302"/>
      <c r="Q642" s="302"/>
      <c r="R642" s="302"/>
      <c r="S642" s="302"/>
      <c r="T642" s="302"/>
      <c r="U642" s="302"/>
      <c r="V642" s="302"/>
      <c r="W642" s="302"/>
      <c r="X642" s="302"/>
      <c r="Y642" s="302"/>
      <c r="Z642" s="302"/>
      <c r="AA642" s="302"/>
      <c r="AB642" s="302"/>
    </row>
    <row r="643">
      <c r="A643" s="320"/>
      <c r="B643" s="317"/>
      <c r="C643" s="301"/>
      <c r="D643" s="302"/>
      <c r="E643" s="301"/>
      <c r="F643" s="329"/>
      <c r="G643" s="301"/>
      <c r="H643" s="301"/>
      <c r="I643" s="329"/>
      <c r="J643" s="330"/>
      <c r="K643" s="301"/>
      <c r="L643" s="301"/>
      <c r="M643" s="302"/>
      <c r="N643" s="302"/>
      <c r="O643" s="302"/>
      <c r="P643" s="302"/>
      <c r="Q643" s="302"/>
      <c r="R643" s="302"/>
      <c r="S643" s="302"/>
      <c r="T643" s="302"/>
      <c r="U643" s="302"/>
      <c r="V643" s="302"/>
      <c r="W643" s="302"/>
      <c r="X643" s="302"/>
      <c r="Y643" s="302"/>
      <c r="Z643" s="302"/>
      <c r="AA643" s="302"/>
      <c r="AB643" s="302"/>
    </row>
    <row r="644">
      <c r="A644" s="320"/>
      <c r="B644" s="317"/>
      <c r="C644" s="301"/>
      <c r="D644" s="302"/>
      <c r="E644" s="301"/>
      <c r="F644" s="329"/>
      <c r="G644" s="301"/>
      <c r="H644" s="301"/>
      <c r="I644" s="329"/>
      <c r="J644" s="330"/>
      <c r="K644" s="301"/>
      <c r="L644" s="301"/>
      <c r="M644" s="302"/>
      <c r="N644" s="302"/>
      <c r="O644" s="302"/>
      <c r="P644" s="302"/>
      <c r="Q644" s="302"/>
      <c r="R644" s="302"/>
      <c r="S644" s="302"/>
      <c r="T644" s="302"/>
      <c r="U644" s="302"/>
      <c r="V644" s="302"/>
      <c r="W644" s="302"/>
      <c r="X644" s="302"/>
      <c r="Y644" s="302"/>
      <c r="Z644" s="302"/>
      <c r="AA644" s="302"/>
      <c r="AB644" s="302"/>
    </row>
    <row r="645">
      <c r="A645" s="320"/>
      <c r="B645" s="317"/>
      <c r="C645" s="301"/>
      <c r="D645" s="302"/>
      <c r="E645" s="301"/>
      <c r="F645" s="329"/>
      <c r="G645" s="301"/>
      <c r="H645" s="301"/>
      <c r="I645" s="329"/>
      <c r="J645" s="330"/>
      <c r="K645" s="301"/>
      <c r="L645" s="301"/>
      <c r="M645" s="302"/>
      <c r="N645" s="302"/>
      <c r="O645" s="302"/>
      <c r="P645" s="302"/>
      <c r="Q645" s="302"/>
      <c r="R645" s="302"/>
      <c r="S645" s="302"/>
      <c r="T645" s="302"/>
      <c r="U645" s="302"/>
      <c r="V645" s="302"/>
      <c r="W645" s="302"/>
      <c r="X645" s="302"/>
      <c r="Y645" s="302"/>
      <c r="Z645" s="302"/>
      <c r="AA645" s="302"/>
      <c r="AB645" s="302"/>
    </row>
    <row r="646">
      <c r="A646" s="320"/>
      <c r="B646" s="317"/>
      <c r="C646" s="301"/>
      <c r="D646" s="302"/>
      <c r="E646" s="301"/>
      <c r="F646" s="329"/>
      <c r="G646" s="301"/>
      <c r="H646" s="301"/>
      <c r="I646" s="329"/>
      <c r="J646" s="330"/>
      <c r="K646" s="301"/>
      <c r="L646" s="301"/>
      <c r="M646" s="302"/>
      <c r="N646" s="302"/>
      <c r="O646" s="302"/>
      <c r="P646" s="302"/>
      <c r="Q646" s="302"/>
      <c r="R646" s="302"/>
      <c r="S646" s="302"/>
      <c r="T646" s="302"/>
      <c r="U646" s="302"/>
      <c r="V646" s="302"/>
      <c r="W646" s="302"/>
      <c r="X646" s="302"/>
      <c r="Y646" s="302"/>
      <c r="Z646" s="302"/>
      <c r="AA646" s="302"/>
      <c r="AB646" s="302"/>
    </row>
    <row r="647">
      <c r="A647" s="320"/>
      <c r="B647" s="317"/>
      <c r="C647" s="301"/>
      <c r="D647" s="302"/>
      <c r="E647" s="301"/>
      <c r="F647" s="329"/>
      <c r="G647" s="301"/>
      <c r="H647" s="301"/>
      <c r="I647" s="329"/>
      <c r="J647" s="330"/>
      <c r="K647" s="301"/>
      <c r="L647" s="301"/>
      <c r="M647" s="302"/>
      <c r="N647" s="302"/>
      <c r="O647" s="302"/>
      <c r="P647" s="302"/>
      <c r="Q647" s="302"/>
      <c r="R647" s="302"/>
      <c r="S647" s="302"/>
      <c r="T647" s="302"/>
      <c r="U647" s="302"/>
      <c r="V647" s="302"/>
      <c r="W647" s="302"/>
      <c r="X647" s="302"/>
      <c r="Y647" s="302"/>
      <c r="Z647" s="302"/>
      <c r="AA647" s="302"/>
      <c r="AB647" s="302"/>
    </row>
    <row r="648">
      <c r="A648" s="320"/>
      <c r="B648" s="317"/>
      <c r="C648" s="301"/>
      <c r="D648" s="302"/>
      <c r="E648" s="301"/>
      <c r="F648" s="329"/>
      <c r="G648" s="301"/>
      <c r="H648" s="301"/>
      <c r="I648" s="329"/>
      <c r="J648" s="330"/>
      <c r="K648" s="301"/>
      <c r="L648" s="301"/>
      <c r="M648" s="302"/>
      <c r="N648" s="302"/>
      <c r="O648" s="302"/>
      <c r="P648" s="302"/>
      <c r="Q648" s="302"/>
      <c r="R648" s="302"/>
      <c r="S648" s="302"/>
      <c r="T648" s="302"/>
      <c r="U648" s="302"/>
      <c r="V648" s="302"/>
      <c r="W648" s="302"/>
      <c r="X648" s="302"/>
      <c r="Y648" s="302"/>
      <c r="Z648" s="302"/>
      <c r="AA648" s="302"/>
      <c r="AB648" s="302"/>
    </row>
    <row r="649">
      <c r="A649" s="320"/>
      <c r="B649" s="317"/>
      <c r="C649" s="301"/>
      <c r="D649" s="302"/>
      <c r="E649" s="301"/>
      <c r="F649" s="329"/>
      <c r="G649" s="301"/>
      <c r="H649" s="301"/>
      <c r="I649" s="329"/>
      <c r="J649" s="330"/>
      <c r="K649" s="301"/>
      <c r="L649" s="301"/>
      <c r="M649" s="302"/>
      <c r="N649" s="302"/>
      <c r="O649" s="302"/>
      <c r="P649" s="302"/>
      <c r="Q649" s="302"/>
      <c r="R649" s="302"/>
      <c r="S649" s="302"/>
      <c r="T649" s="302"/>
      <c r="U649" s="302"/>
      <c r="V649" s="302"/>
      <c r="W649" s="302"/>
      <c r="X649" s="302"/>
      <c r="Y649" s="302"/>
      <c r="Z649" s="302"/>
      <c r="AA649" s="302"/>
      <c r="AB649" s="302"/>
    </row>
    <row r="650">
      <c r="A650" s="320"/>
      <c r="B650" s="317"/>
      <c r="C650" s="301"/>
      <c r="D650" s="302"/>
      <c r="E650" s="301"/>
      <c r="F650" s="329"/>
      <c r="G650" s="301"/>
      <c r="H650" s="301"/>
      <c r="I650" s="329"/>
      <c r="J650" s="330"/>
      <c r="K650" s="301"/>
      <c r="L650" s="301"/>
      <c r="M650" s="302"/>
      <c r="N650" s="302"/>
      <c r="O650" s="302"/>
      <c r="P650" s="302"/>
      <c r="Q650" s="302"/>
      <c r="R650" s="302"/>
      <c r="S650" s="302"/>
      <c r="T650" s="302"/>
      <c r="U650" s="302"/>
      <c r="V650" s="302"/>
      <c r="W650" s="302"/>
      <c r="X650" s="302"/>
      <c r="Y650" s="302"/>
      <c r="Z650" s="302"/>
      <c r="AA650" s="302"/>
      <c r="AB650" s="302"/>
    </row>
    <row r="651">
      <c r="A651" s="320"/>
      <c r="B651" s="317"/>
      <c r="C651" s="301"/>
      <c r="D651" s="302"/>
      <c r="E651" s="301"/>
      <c r="F651" s="329"/>
      <c r="G651" s="301"/>
      <c r="H651" s="301"/>
      <c r="I651" s="329"/>
      <c r="J651" s="330"/>
      <c r="K651" s="301"/>
      <c r="L651" s="301"/>
      <c r="M651" s="302"/>
      <c r="N651" s="302"/>
      <c r="O651" s="302"/>
      <c r="P651" s="302"/>
      <c r="Q651" s="302"/>
      <c r="R651" s="302"/>
      <c r="S651" s="302"/>
      <c r="T651" s="302"/>
      <c r="U651" s="302"/>
      <c r="V651" s="302"/>
      <c r="W651" s="302"/>
      <c r="X651" s="302"/>
      <c r="Y651" s="302"/>
      <c r="Z651" s="302"/>
      <c r="AA651" s="302"/>
      <c r="AB651" s="302"/>
    </row>
    <row r="652">
      <c r="A652" s="320"/>
      <c r="B652" s="317"/>
      <c r="C652" s="301"/>
      <c r="D652" s="302"/>
      <c r="E652" s="301"/>
      <c r="F652" s="329"/>
      <c r="G652" s="301"/>
      <c r="H652" s="301"/>
      <c r="I652" s="329"/>
      <c r="J652" s="330"/>
      <c r="K652" s="301"/>
      <c r="L652" s="301"/>
      <c r="M652" s="302"/>
      <c r="N652" s="302"/>
      <c r="O652" s="302"/>
      <c r="P652" s="302"/>
      <c r="Q652" s="302"/>
      <c r="R652" s="302"/>
      <c r="S652" s="302"/>
      <c r="T652" s="302"/>
      <c r="U652" s="302"/>
      <c r="V652" s="302"/>
      <c r="W652" s="302"/>
      <c r="X652" s="302"/>
      <c r="Y652" s="302"/>
      <c r="Z652" s="302"/>
      <c r="AA652" s="302"/>
      <c r="AB652" s="302"/>
    </row>
    <row r="653">
      <c r="A653" s="320"/>
      <c r="B653" s="317"/>
      <c r="C653" s="301"/>
      <c r="D653" s="302"/>
      <c r="E653" s="301"/>
      <c r="F653" s="329"/>
      <c r="G653" s="301"/>
      <c r="H653" s="301"/>
      <c r="I653" s="329"/>
      <c r="J653" s="330"/>
      <c r="K653" s="301"/>
      <c r="L653" s="301"/>
      <c r="M653" s="302"/>
      <c r="N653" s="302"/>
      <c r="O653" s="302"/>
      <c r="P653" s="302"/>
      <c r="Q653" s="302"/>
      <c r="R653" s="302"/>
      <c r="S653" s="302"/>
      <c r="T653" s="302"/>
      <c r="U653" s="302"/>
      <c r="V653" s="302"/>
      <c r="W653" s="302"/>
      <c r="X653" s="302"/>
      <c r="Y653" s="302"/>
      <c r="Z653" s="302"/>
      <c r="AA653" s="302"/>
      <c r="AB653" s="302"/>
    </row>
    <row r="654">
      <c r="A654" s="320"/>
      <c r="B654" s="317"/>
      <c r="C654" s="301"/>
      <c r="D654" s="302"/>
      <c r="E654" s="301"/>
      <c r="F654" s="329"/>
      <c r="G654" s="301"/>
      <c r="H654" s="301"/>
      <c r="I654" s="329"/>
      <c r="J654" s="330"/>
      <c r="K654" s="301"/>
      <c r="L654" s="301"/>
      <c r="M654" s="302"/>
      <c r="N654" s="302"/>
      <c r="O654" s="302"/>
      <c r="P654" s="302"/>
      <c r="Q654" s="302"/>
      <c r="R654" s="302"/>
      <c r="S654" s="302"/>
      <c r="T654" s="302"/>
      <c r="U654" s="302"/>
      <c r="V654" s="302"/>
      <c r="W654" s="302"/>
      <c r="X654" s="302"/>
      <c r="Y654" s="302"/>
      <c r="Z654" s="302"/>
      <c r="AA654" s="302"/>
      <c r="AB654" s="302"/>
    </row>
    <row r="655">
      <c r="A655" s="320"/>
      <c r="B655" s="317"/>
      <c r="C655" s="301"/>
      <c r="D655" s="302"/>
      <c r="E655" s="301"/>
      <c r="F655" s="329"/>
      <c r="G655" s="301"/>
      <c r="H655" s="301"/>
      <c r="I655" s="329"/>
      <c r="J655" s="330"/>
      <c r="K655" s="301"/>
      <c r="L655" s="301"/>
      <c r="M655" s="302"/>
      <c r="N655" s="302"/>
      <c r="O655" s="302"/>
      <c r="P655" s="302"/>
      <c r="Q655" s="302"/>
      <c r="R655" s="302"/>
      <c r="S655" s="302"/>
      <c r="T655" s="302"/>
      <c r="U655" s="302"/>
      <c r="V655" s="302"/>
      <c r="W655" s="302"/>
      <c r="X655" s="302"/>
      <c r="Y655" s="302"/>
      <c r="Z655" s="302"/>
      <c r="AA655" s="302"/>
      <c r="AB655" s="302"/>
    </row>
    <row r="656">
      <c r="A656" s="320"/>
      <c r="B656" s="317"/>
      <c r="C656" s="301"/>
      <c r="D656" s="302"/>
      <c r="E656" s="301"/>
      <c r="F656" s="329"/>
      <c r="G656" s="301"/>
      <c r="H656" s="301"/>
      <c r="I656" s="329"/>
      <c r="J656" s="330"/>
      <c r="K656" s="301"/>
      <c r="L656" s="301"/>
      <c r="M656" s="302"/>
      <c r="N656" s="302"/>
      <c r="O656" s="302"/>
      <c r="P656" s="302"/>
      <c r="Q656" s="302"/>
      <c r="R656" s="302"/>
      <c r="S656" s="302"/>
      <c r="T656" s="302"/>
      <c r="U656" s="302"/>
      <c r="V656" s="302"/>
      <c r="W656" s="302"/>
      <c r="X656" s="302"/>
      <c r="Y656" s="302"/>
      <c r="Z656" s="302"/>
      <c r="AA656" s="302"/>
      <c r="AB656" s="302"/>
    </row>
    <row r="657">
      <c r="A657" s="320"/>
      <c r="B657" s="317"/>
      <c r="C657" s="301"/>
      <c r="D657" s="302"/>
      <c r="E657" s="301"/>
      <c r="F657" s="329"/>
      <c r="G657" s="301"/>
      <c r="H657" s="301"/>
      <c r="I657" s="329"/>
      <c r="J657" s="330"/>
      <c r="K657" s="301"/>
      <c r="L657" s="301"/>
      <c r="M657" s="302"/>
      <c r="N657" s="302"/>
      <c r="O657" s="302"/>
      <c r="P657" s="302"/>
      <c r="Q657" s="302"/>
      <c r="R657" s="302"/>
      <c r="S657" s="302"/>
      <c r="T657" s="302"/>
      <c r="U657" s="302"/>
      <c r="V657" s="302"/>
      <c r="W657" s="302"/>
      <c r="X657" s="302"/>
      <c r="Y657" s="302"/>
      <c r="Z657" s="302"/>
      <c r="AA657" s="302"/>
      <c r="AB657" s="302"/>
    </row>
    <row r="658">
      <c r="A658" s="320"/>
      <c r="B658" s="317"/>
      <c r="C658" s="301"/>
      <c r="D658" s="302"/>
      <c r="E658" s="301"/>
      <c r="F658" s="329"/>
      <c r="G658" s="301"/>
      <c r="H658" s="301"/>
      <c r="I658" s="329"/>
      <c r="J658" s="330"/>
      <c r="K658" s="301"/>
      <c r="L658" s="301"/>
      <c r="M658" s="302"/>
      <c r="N658" s="302"/>
      <c r="O658" s="302"/>
      <c r="P658" s="302"/>
      <c r="Q658" s="302"/>
      <c r="R658" s="302"/>
      <c r="S658" s="302"/>
      <c r="T658" s="302"/>
      <c r="U658" s="302"/>
      <c r="V658" s="302"/>
      <c r="W658" s="302"/>
      <c r="X658" s="302"/>
      <c r="Y658" s="302"/>
      <c r="Z658" s="302"/>
      <c r="AA658" s="302"/>
      <c r="AB658" s="302"/>
    </row>
    <row r="659">
      <c r="A659" s="320"/>
      <c r="B659" s="317"/>
      <c r="C659" s="301"/>
      <c r="D659" s="302"/>
      <c r="E659" s="301"/>
      <c r="F659" s="329"/>
      <c r="G659" s="301"/>
      <c r="H659" s="301"/>
      <c r="I659" s="329"/>
      <c r="J659" s="330"/>
      <c r="K659" s="301"/>
      <c r="L659" s="301"/>
      <c r="M659" s="302"/>
      <c r="N659" s="302"/>
      <c r="O659" s="302"/>
      <c r="P659" s="302"/>
      <c r="Q659" s="302"/>
      <c r="R659" s="302"/>
      <c r="S659" s="302"/>
      <c r="T659" s="302"/>
      <c r="U659" s="302"/>
      <c r="V659" s="302"/>
      <c r="W659" s="302"/>
      <c r="X659" s="302"/>
      <c r="Y659" s="302"/>
      <c r="Z659" s="302"/>
      <c r="AA659" s="302"/>
      <c r="AB659" s="302"/>
    </row>
    <row r="660">
      <c r="A660" s="320"/>
      <c r="B660" s="317"/>
      <c r="C660" s="301"/>
      <c r="D660" s="302"/>
      <c r="E660" s="301"/>
      <c r="F660" s="329"/>
      <c r="G660" s="301"/>
      <c r="H660" s="301"/>
      <c r="I660" s="329"/>
      <c r="J660" s="330"/>
      <c r="K660" s="301"/>
      <c r="L660" s="301"/>
      <c r="M660" s="302"/>
      <c r="N660" s="302"/>
      <c r="O660" s="302"/>
      <c r="P660" s="302"/>
      <c r="Q660" s="302"/>
      <c r="R660" s="302"/>
      <c r="S660" s="302"/>
      <c r="T660" s="302"/>
      <c r="U660" s="302"/>
      <c r="V660" s="302"/>
      <c r="W660" s="302"/>
      <c r="X660" s="302"/>
      <c r="Y660" s="302"/>
      <c r="Z660" s="302"/>
      <c r="AA660" s="302"/>
      <c r="AB660" s="302"/>
    </row>
    <row r="661">
      <c r="A661" s="320"/>
      <c r="B661" s="317"/>
      <c r="C661" s="301"/>
      <c r="D661" s="302"/>
      <c r="E661" s="301"/>
      <c r="F661" s="329"/>
      <c r="G661" s="301"/>
      <c r="H661" s="301"/>
      <c r="I661" s="329"/>
      <c r="J661" s="330"/>
      <c r="K661" s="301"/>
      <c r="L661" s="301"/>
      <c r="M661" s="302"/>
      <c r="N661" s="302"/>
      <c r="O661" s="302"/>
      <c r="P661" s="302"/>
      <c r="Q661" s="302"/>
      <c r="R661" s="302"/>
      <c r="S661" s="302"/>
      <c r="T661" s="302"/>
      <c r="U661" s="302"/>
      <c r="V661" s="302"/>
      <c r="W661" s="302"/>
      <c r="X661" s="302"/>
      <c r="Y661" s="302"/>
      <c r="Z661" s="302"/>
      <c r="AA661" s="302"/>
      <c r="AB661" s="302"/>
    </row>
    <row r="662">
      <c r="A662" s="320"/>
      <c r="B662" s="317"/>
      <c r="C662" s="301"/>
      <c r="D662" s="302"/>
      <c r="E662" s="301"/>
      <c r="F662" s="329"/>
      <c r="G662" s="301"/>
      <c r="H662" s="301"/>
      <c r="I662" s="329"/>
      <c r="J662" s="330"/>
      <c r="K662" s="301"/>
      <c r="L662" s="301"/>
      <c r="M662" s="302"/>
      <c r="N662" s="302"/>
      <c r="O662" s="302"/>
      <c r="P662" s="302"/>
      <c r="Q662" s="302"/>
      <c r="R662" s="302"/>
      <c r="S662" s="302"/>
      <c r="T662" s="302"/>
      <c r="U662" s="302"/>
      <c r="V662" s="302"/>
      <c r="W662" s="302"/>
      <c r="X662" s="302"/>
      <c r="Y662" s="302"/>
      <c r="Z662" s="302"/>
      <c r="AA662" s="302"/>
      <c r="AB662" s="302"/>
    </row>
    <row r="663">
      <c r="A663" s="320"/>
      <c r="B663" s="317"/>
      <c r="C663" s="301"/>
      <c r="D663" s="302"/>
      <c r="E663" s="301"/>
      <c r="F663" s="329"/>
      <c r="G663" s="301"/>
      <c r="H663" s="301"/>
      <c r="I663" s="329"/>
      <c r="J663" s="330"/>
      <c r="K663" s="301"/>
      <c r="L663" s="301"/>
      <c r="M663" s="302"/>
      <c r="N663" s="302"/>
      <c r="O663" s="302"/>
      <c r="P663" s="302"/>
      <c r="Q663" s="302"/>
      <c r="R663" s="302"/>
      <c r="S663" s="302"/>
      <c r="T663" s="302"/>
      <c r="U663" s="302"/>
      <c r="V663" s="302"/>
      <c r="W663" s="302"/>
      <c r="X663" s="302"/>
      <c r="Y663" s="302"/>
      <c r="Z663" s="302"/>
      <c r="AA663" s="302"/>
      <c r="AB663" s="302"/>
    </row>
    <row r="664">
      <c r="A664" s="320"/>
      <c r="B664" s="317"/>
      <c r="C664" s="301"/>
      <c r="D664" s="302"/>
      <c r="E664" s="301"/>
      <c r="F664" s="329"/>
      <c r="G664" s="301"/>
      <c r="H664" s="301"/>
      <c r="I664" s="329"/>
      <c r="J664" s="330"/>
      <c r="K664" s="301"/>
      <c r="L664" s="301"/>
      <c r="M664" s="302"/>
      <c r="N664" s="302"/>
      <c r="O664" s="302"/>
      <c r="P664" s="302"/>
      <c r="Q664" s="302"/>
      <c r="R664" s="302"/>
      <c r="S664" s="302"/>
      <c r="T664" s="302"/>
      <c r="U664" s="302"/>
      <c r="V664" s="302"/>
      <c r="W664" s="302"/>
      <c r="X664" s="302"/>
      <c r="Y664" s="302"/>
      <c r="Z664" s="302"/>
      <c r="AA664" s="302"/>
      <c r="AB664" s="302"/>
    </row>
    <row r="665">
      <c r="A665" s="320"/>
      <c r="B665" s="317"/>
      <c r="C665" s="301"/>
      <c r="D665" s="302"/>
      <c r="E665" s="301"/>
      <c r="F665" s="329"/>
      <c r="G665" s="301"/>
      <c r="H665" s="301"/>
      <c r="I665" s="329"/>
      <c r="J665" s="330"/>
      <c r="K665" s="301"/>
      <c r="L665" s="301"/>
      <c r="M665" s="302"/>
      <c r="N665" s="302"/>
      <c r="O665" s="302"/>
      <c r="P665" s="302"/>
      <c r="Q665" s="302"/>
      <c r="R665" s="302"/>
      <c r="S665" s="302"/>
      <c r="T665" s="302"/>
      <c r="U665" s="302"/>
      <c r="V665" s="302"/>
      <c r="W665" s="302"/>
      <c r="X665" s="302"/>
      <c r="Y665" s="302"/>
      <c r="Z665" s="302"/>
      <c r="AA665" s="302"/>
      <c r="AB665" s="302"/>
    </row>
    <row r="666">
      <c r="A666" s="320"/>
      <c r="B666" s="317"/>
      <c r="C666" s="301"/>
      <c r="D666" s="302"/>
      <c r="E666" s="301"/>
      <c r="F666" s="329"/>
      <c r="G666" s="301"/>
      <c r="H666" s="301"/>
      <c r="I666" s="329"/>
      <c r="J666" s="330"/>
      <c r="K666" s="301"/>
      <c r="L666" s="301"/>
      <c r="M666" s="302"/>
      <c r="N666" s="302"/>
      <c r="O666" s="302"/>
      <c r="P666" s="302"/>
      <c r="Q666" s="302"/>
      <c r="R666" s="302"/>
      <c r="S666" s="302"/>
      <c r="T666" s="302"/>
      <c r="U666" s="302"/>
      <c r="V666" s="302"/>
      <c r="W666" s="302"/>
      <c r="X666" s="302"/>
      <c r="Y666" s="302"/>
      <c r="Z666" s="302"/>
      <c r="AA666" s="302"/>
      <c r="AB666" s="302"/>
    </row>
    <row r="667">
      <c r="A667" s="320"/>
      <c r="B667" s="317"/>
      <c r="C667" s="301"/>
      <c r="D667" s="302"/>
      <c r="E667" s="301"/>
      <c r="F667" s="329"/>
      <c r="G667" s="301"/>
      <c r="H667" s="301"/>
      <c r="I667" s="329"/>
      <c r="J667" s="330"/>
      <c r="K667" s="301"/>
      <c r="L667" s="301"/>
      <c r="M667" s="302"/>
      <c r="N667" s="302"/>
      <c r="O667" s="302"/>
      <c r="P667" s="302"/>
      <c r="Q667" s="302"/>
      <c r="R667" s="302"/>
      <c r="S667" s="302"/>
      <c r="T667" s="302"/>
      <c r="U667" s="302"/>
      <c r="V667" s="302"/>
      <c r="W667" s="302"/>
      <c r="X667" s="302"/>
      <c r="Y667" s="302"/>
      <c r="Z667" s="302"/>
      <c r="AA667" s="302"/>
      <c r="AB667" s="302"/>
    </row>
    <row r="668">
      <c r="A668" s="320"/>
      <c r="B668" s="317"/>
      <c r="C668" s="301"/>
      <c r="D668" s="302"/>
      <c r="E668" s="301"/>
      <c r="F668" s="329"/>
      <c r="G668" s="301"/>
      <c r="H668" s="301"/>
      <c r="I668" s="329"/>
      <c r="J668" s="330"/>
      <c r="K668" s="301"/>
      <c r="L668" s="301"/>
      <c r="M668" s="302"/>
      <c r="N668" s="302"/>
      <c r="O668" s="302"/>
      <c r="P668" s="302"/>
      <c r="Q668" s="302"/>
      <c r="R668" s="302"/>
      <c r="S668" s="302"/>
      <c r="T668" s="302"/>
      <c r="U668" s="302"/>
      <c r="V668" s="302"/>
      <c r="W668" s="302"/>
      <c r="X668" s="302"/>
      <c r="Y668" s="302"/>
      <c r="Z668" s="302"/>
      <c r="AA668" s="302"/>
      <c r="AB668" s="302"/>
    </row>
    <row r="669">
      <c r="A669" s="320"/>
      <c r="B669" s="317"/>
      <c r="C669" s="301"/>
      <c r="D669" s="302"/>
      <c r="E669" s="301"/>
      <c r="F669" s="329"/>
      <c r="G669" s="301"/>
      <c r="H669" s="301"/>
      <c r="I669" s="329"/>
      <c r="J669" s="330"/>
      <c r="K669" s="301"/>
      <c r="L669" s="301"/>
      <c r="M669" s="302"/>
      <c r="N669" s="302"/>
      <c r="O669" s="302"/>
      <c r="P669" s="302"/>
      <c r="Q669" s="302"/>
      <c r="R669" s="302"/>
      <c r="S669" s="302"/>
      <c r="T669" s="302"/>
      <c r="U669" s="302"/>
      <c r="V669" s="302"/>
      <c r="W669" s="302"/>
      <c r="X669" s="302"/>
      <c r="Y669" s="302"/>
      <c r="Z669" s="302"/>
      <c r="AA669" s="302"/>
      <c r="AB669" s="302"/>
    </row>
    <row r="670">
      <c r="A670" s="320"/>
      <c r="B670" s="317"/>
      <c r="C670" s="301"/>
      <c r="D670" s="302"/>
      <c r="E670" s="301"/>
      <c r="F670" s="329"/>
      <c r="G670" s="301"/>
      <c r="H670" s="301"/>
      <c r="I670" s="329"/>
      <c r="J670" s="330"/>
      <c r="K670" s="301"/>
      <c r="L670" s="301"/>
      <c r="M670" s="302"/>
      <c r="N670" s="302"/>
      <c r="O670" s="302"/>
      <c r="P670" s="302"/>
      <c r="Q670" s="302"/>
      <c r="R670" s="302"/>
      <c r="S670" s="302"/>
      <c r="T670" s="302"/>
      <c r="U670" s="302"/>
      <c r="V670" s="302"/>
      <c r="W670" s="302"/>
      <c r="X670" s="302"/>
      <c r="Y670" s="302"/>
      <c r="Z670" s="302"/>
      <c r="AA670" s="302"/>
      <c r="AB670" s="302"/>
    </row>
    <row r="671">
      <c r="A671" s="320"/>
      <c r="B671" s="317"/>
      <c r="C671" s="301"/>
      <c r="D671" s="302"/>
      <c r="E671" s="301"/>
      <c r="F671" s="329"/>
      <c r="G671" s="301"/>
      <c r="H671" s="301"/>
      <c r="I671" s="329"/>
      <c r="J671" s="330"/>
      <c r="K671" s="301"/>
      <c r="L671" s="301"/>
      <c r="M671" s="302"/>
      <c r="N671" s="302"/>
      <c r="O671" s="302"/>
      <c r="P671" s="302"/>
      <c r="Q671" s="302"/>
      <c r="R671" s="302"/>
      <c r="S671" s="302"/>
      <c r="T671" s="302"/>
      <c r="U671" s="302"/>
      <c r="V671" s="302"/>
      <c r="W671" s="302"/>
      <c r="X671" s="302"/>
      <c r="Y671" s="302"/>
      <c r="Z671" s="302"/>
      <c r="AA671" s="302"/>
      <c r="AB671" s="302"/>
    </row>
    <row r="672">
      <c r="A672" s="320"/>
      <c r="B672" s="317"/>
      <c r="C672" s="301"/>
      <c r="D672" s="302"/>
      <c r="E672" s="301"/>
      <c r="F672" s="329"/>
      <c r="G672" s="301"/>
      <c r="H672" s="301"/>
      <c r="I672" s="329"/>
      <c r="J672" s="330"/>
      <c r="K672" s="301"/>
      <c r="L672" s="301"/>
      <c r="M672" s="302"/>
      <c r="N672" s="302"/>
      <c r="O672" s="302"/>
      <c r="P672" s="302"/>
      <c r="Q672" s="302"/>
      <c r="R672" s="302"/>
      <c r="S672" s="302"/>
      <c r="T672" s="302"/>
      <c r="U672" s="302"/>
      <c r="V672" s="302"/>
      <c r="W672" s="302"/>
      <c r="X672" s="302"/>
      <c r="Y672" s="302"/>
      <c r="Z672" s="302"/>
      <c r="AA672" s="302"/>
      <c r="AB672" s="302"/>
    </row>
    <row r="673">
      <c r="A673" s="320"/>
      <c r="B673" s="317"/>
      <c r="C673" s="301"/>
      <c r="D673" s="302"/>
      <c r="E673" s="301"/>
      <c r="F673" s="329"/>
      <c r="G673" s="301"/>
      <c r="H673" s="301"/>
      <c r="I673" s="329"/>
      <c r="J673" s="330"/>
      <c r="K673" s="301"/>
      <c r="L673" s="301"/>
      <c r="M673" s="302"/>
      <c r="N673" s="302"/>
      <c r="O673" s="302"/>
      <c r="P673" s="302"/>
      <c r="Q673" s="302"/>
      <c r="R673" s="302"/>
      <c r="S673" s="302"/>
      <c r="T673" s="302"/>
      <c r="U673" s="302"/>
      <c r="V673" s="302"/>
      <c r="W673" s="302"/>
      <c r="X673" s="302"/>
      <c r="Y673" s="302"/>
      <c r="Z673" s="302"/>
      <c r="AA673" s="302"/>
      <c r="AB673" s="302"/>
    </row>
    <row r="674">
      <c r="A674" s="320"/>
      <c r="B674" s="317"/>
      <c r="C674" s="301"/>
      <c r="D674" s="302"/>
      <c r="E674" s="301"/>
      <c r="F674" s="329"/>
      <c r="G674" s="301"/>
      <c r="H674" s="301"/>
      <c r="I674" s="329"/>
      <c r="J674" s="330"/>
      <c r="K674" s="301"/>
      <c r="L674" s="301"/>
      <c r="M674" s="302"/>
      <c r="N674" s="302"/>
      <c r="O674" s="302"/>
      <c r="P674" s="302"/>
      <c r="Q674" s="302"/>
      <c r="R674" s="302"/>
      <c r="S674" s="302"/>
      <c r="T674" s="302"/>
      <c r="U674" s="302"/>
      <c r="V674" s="302"/>
      <c r="W674" s="302"/>
      <c r="X674" s="302"/>
      <c r="Y674" s="302"/>
      <c r="Z674" s="302"/>
      <c r="AA674" s="302"/>
      <c r="AB674" s="302"/>
    </row>
    <row r="675">
      <c r="A675" s="320"/>
      <c r="B675" s="317"/>
      <c r="C675" s="301"/>
      <c r="D675" s="302"/>
      <c r="E675" s="301"/>
      <c r="F675" s="329"/>
      <c r="G675" s="301"/>
      <c r="H675" s="301"/>
      <c r="I675" s="329"/>
      <c r="J675" s="330"/>
      <c r="K675" s="301"/>
      <c r="L675" s="301"/>
      <c r="M675" s="302"/>
      <c r="N675" s="302"/>
      <c r="O675" s="302"/>
      <c r="P675" s="302"/>
      <c r="Q675" s="302"/>
      <c r="R675" s="302"/>
      <c r="S675" s="302"/>
      <c r="T675" s="302"/>
      <c r="U675" s="302"/>
      <c r="V675" s="302"/>
      <c r="W675" s="302"/>
      <c r="X675" s="302"/>
      <c r="Y675" s="302"/>
      <c r="Z675" s="302"/>
      <c r="AA675" s="302"/>
      <c r="AB675" s="302"/>
    </row>
    <row r="676">
      <c r="A676" s="320"/>
      <c r="B676" s="317"/>
      <c r="C676" s="301"/>
      <c r="D676" s="302"/>
      <c r="E676" s="301"/>
      <c r="F676" s="329"/>
      <c r="G676" s="301"/>
      <c r="H676" s="301"/>
      <c r="I676" s="329"/>
      <c r="J676" s="330"/>
      <c r="K676" s="301"/>
      <c r="L676" s="301"/>
      <c r="M676" s="302"/>
      <c r="N676" s="302"/>
      <c r="O676" s="302"/>
      <c r="P676" s="302"/>
      <c r="Q676" s="302"/>
      <c r="R676" s="302"/>
      <c r="S676" s="302"/>
      <c r="T676" s="302"/>
      <c r="U676" s="302"/>
      <c r="V676" s="302"/>
      <c r="W676" s="302"/>
      <c r="X676" s="302"/>
      <c r="Y676" s="302"/>
      <c r="Z676" s="302"/>
      <c r="AA676" s="302"/>
      <c r="AB676" s="302"/>
    </row>
    <row r="677">
      <c r="A677" s="320"/>
      <c r="B677" s="317"/>
      <c r="C677" s="301"/>
      <c r="D677" s="302"/>
      <c r="E677" s="301"/>
      <c r="F677" s="329"/>
      <c r="G677" s="301"/>
      <c r="H677" s="301"/>
      <c r="I677" s="329"/>
      <c r="J677" s="330"/>
      <c r="K677" s="301"/>
      <c r="L677" s="301"/>
      <c r="M677" s="302"/>
      <c r="N677" s="302"/>
      <c r="O677" s="302"/>
      <c r="P677" s="302"/>
      <c r="Q677" s="302"/>
      <c r="R677" s="302"/>
      <c r="S677" s="302"/>
      <c r="T677" s="302"/>
      <c r="U677" s="302"/>
      <c r="V677" s="302"/>
      <c r="W677" s="302"/>
      <c r="X677" s="302"/>
      <c r="Y677" s="302"/>
      <c r="Z677" s="302"/>
      <c r="AA677" s="302"/>
      <c r="AB677" s="302"/>
    </row>
    <row r="678">
      <c r="A678" s="320"/>
      <c r="B678" s="317"/>
      <c r="C678" s="301"/>
      <c r="D678" s="302"/>
      <c r="E678" s="301"/>
      <c r="F678" s="329"/>
      <c r="G678" s="301"/>
      <c r="H678" s="301"/>
      <c r="I678" s="329"/>
      <c r="J678" s="330"/>
      <c r="K678" s="301"/>
      <c r="L678" s="301"/>
      <c r="M678" s="302"/>
      <c r="N678" s="302"/>
      <c r="O678" s="302"/>
      <c r="P678" s="302"/>
      <c r="Q678" s="302"/>
      <c r="R678" s="302"/>
      <c r="S678" s="302"/>
      <c r="T678" s="302"/>
      <c r="U678" s="302"/>
      <c r="V678" s="302"/>
      <c r="W678" s="302"/>
      <c r="X678" s="302"/>
      <c r="Y678" s="302"/>
      <c r="Z678" s="302"/>
      <c r="AA678" s="302"/>
      <c r="AB678" s="302"/>
    </row>
    <row r="679">
      <c r="A679" s="320"/>
      <c r="B679" s="317"/>
      <c r="C679" s="301"/>
      <c r="D679" s="302"/>
      <c r="E679" s="301"/>
      <c r="F679" s="329"/>
      <c r="G679" s="301"/>
      <c r="H679" s="301"/>
      <c r="I679" s="329"/>
      <c r="J679" s="330"/>
      <c r="K679" s="301"/>
      <c r="L679" s="301"/>
      <c r="M679" s="302"/>
      <c r="N679" s="302"/>
      <c r="O679" s="302"/>
      <c r="P679" s="302"/>
      <c r="Q679" s="302"/>
      <c r="R679" s="302"/>
      <c r="S679" s="302"/>
      <c r="T679" s="302"/>
      <c r="U679" s="302"/>
      <c r="V679" s="302"/>
      <c r="W679" s="302"/>
      <c r="X679" s="302"/>
      <c r="Y679" s="302"/>
      <c r="Z679" s="302"/>
      <c r="AA679" s="302"/>
      <c r="AB679" s="302"/>
    </row>
    <row r="680">
      <c r="A680" s="320"/>
      <c r="B680" s="317"/>
      <c r="C680" s="301"/>
      <c r="D680" s="302"/>
      <c r="E680" s="301"/>
      <c r="F680" s="329"/>
      <c r="G680" s="301"/>
      <c r="H680" s="301"/>
      <c r="I680" s="329"/>
      <c r="J680" s="330"/>
      <c r="K680" s="301"/>
      <c r="L680" s="301"/>
      <c r="M680" s="302"/>
      <c r="N680" s="302"/>
      <c r="O680" s="302"/>
      <c r="P680" s="302"/>
      <c r="Q680" s="302"/>
      <c r="R680" s="302"/>
      <c r="S680" s="302"/>
      <c r="T680" s="302"/>
      <c r="U680" s="302"/>
      <c r="V680" s="302"/>
      <c r="W680" s="302"/>
      <c r="X680" s="302"/>
      <c r="Y680" s="302"/>
      <c r="Z680" s="302"/>
      <c r="AA680" s="302"/>
      <c r="AB680" s="302"/>
    </row>
    <row r="681">
      <c r="A681" s="320"/>
      <c r="B681" s="317"/>
      <c r="C681" s="301"/>
      <c r="D681" s="302"/>
      <c r="E681" s="301"/>
      <c r="F681" s="329"/>
      <c r="G681" s="301"/>
      <c r="H681" s="301"/>
      <c r="I681" s="329"/>
      <c r="J681" s="330"/>
      <c r="K681" s="301"/>
      <c r="L681" s="301"/>
      <c r="M681" s="302"/>
      <c r="N681" s="302"/>
      <c r="O681" s="302"/>
      <c r="P681" s="302"/>
      <c r="Q681" s="302"/>
      <c r="R681" s="302"/>
      <c r="S681" s="302"/>
      <c r="T681" s="302"/>
      <c r="U681" s="302"/>
      <c r="V681" s="302"/>
      <c r="W681" s="302"/>
      <c r="X681" s="302"/>
      <c r="Y681" s="302"/>
      <c r="Z681" s="302"/>
      <c r="AA681" s="302"/>
      <c r="AB681" s="302"/>
    </row>
    <row r="682">
      <c r="A682" s="320"/>
      <c r="B682" s="317"/>
      <c r="C682" s="301"/>
      <c r="D682" s="302"/>
      <c r="E682" s="301"/>
      <c r="F682" s="329"/>
      <c r="G682" s="301"/>
      <c r="H682" s="301"/>
      <c r="I682" s="329"/>
      <c r="J682" s="330"/>
      <c r="K682" s="301"/>
      <c r="L682" s="301"/>
      <c r="M682" s="302"/>
      <c r="N682" s="302"/>
      <c r="O682" s="302"/>
      <c r="P682" s="302"/>
      <c r="Q682" s="302"/>
      <c r="R682" s="302"/>
      <c r="S682" s="302"/>
      <c r="T682" s="302"/>
      <c r="U682" s="302"/>
      <c r="V682" s="302"/>
      <c r="W682" s="302"/>
      <c r="X682" s="302"/>
      <c r="Y682" s="302"/>
      <c r="Z682" s="302"/>
      <c r="AA682" s="302"/>
      <c r="AB682" s="302"/>
    </row>
    <row r="683">
      <c r="A683" s="320"/>
      <c r="B683" s="317"/>
      <c r="C683" s="301"/>
      <c r="D683" s="302"/>
      <c r="E683" s="301"/>
      <c r="F683" s="329"/>
      <c r="G683" s="301"/>
      <c r="H683" s="301"/>
      <c r="I683" s="329"/>
      <c r="J683" s="330"/>
      <c r="K683" s="301"/>
      <c r="L683" s="301"/>
      <c r="M683" s="302"/>
      <c r="N683" s="302"/>
      <c r="O683" s="302"/>
      <c r="P683" s="302"/>
      <c r="Q683" s="302"/>
      <c r="R683" s="302"/>
      <c r="S683" s="302"/>
      <c r="T683" s="302"/>
      <c r="U683" s="302"/>
      <c r="V683" s="302"/>
      <c r="W683" s="302"/>
      <c r="X683" s="302"/>
      <c r="Y683" s="302"/>
      <c r="Z683" s="302"/>
      <c r="AA683" s="302"/>
      <c r="AB683" s="302"/>
    </row>
    <row r="684">
      <c r="A684" s="320"/>
      <c r="B684" s="317"/>
      <c r="C684" s="301"/>
      <c r="D684" s="302"/>
      <c r="E684" s="301"/>
      <c r="F684" s="329"/>
      <c r="G684" s="301"/>
      <c r="H684" s="301"/>
      <c r="I684" s="329"/>
      <c r="J684" s="330"/>
      <c r="K684" s="301"/>
      <c r="L684" s="301"/>
      <c r="M684" s="302"/>
      <c r="N684" s="302"/>
      <c r="O684" s="302"/>
      <c r="P684" s="302"/>
      <c r="Q684" s="302"/>
      <c r="R684" s="302"/>
      <c r="S684" s="302"/>
      <c r="T684" s="302"/>
      <c r="U684" s="302"/>
      <c r="V684" s="302"/>
      <c r="W684" s="302"/>
      <c r="X684" s="302"/>
      <c r="Y684" s="302"/>
      <c r="Z684" s="302"/>
      <c r="AA684" s="302"/>
      <c r="AB684" s="302"/>
    </row>
    <row r="685">
      <c r="A685" s="320"/>
      <c r="B685" s="317"/>
      <c r="C685" s="301"/>
      <c r="D685" s="302"/>
      <c r="E685" s="301"/>
      <c r="F685" s="329"/>
      <c r="G685" s="301"/>
      <c r="H685" s="301"/>
      <c r="I685" s="329"/>
      <c r="J685" s="330"/>
      <c r="K685" s="301"/>
      <c r="L685" s="301"/>
      <c r="M685" s="302"/>
      <c r="N685" s="302"/>
      <c r="O685" s="302"/>
      <c r="P685" s="302"/>
      <c r="Q685" s="302"/>
      <c r="R685" s="302"/>
      <c r="S685" s="302"/>
      <c r="T685" s="302"/>
      <c r="U685" s="302"/>
      <c r="V685" s="302"/>
      <c r="W685" s="302"/>
      <c r="X685" s="302"/>
      <c r="Y685" s="302"/>
      <c r="Z685" s="302"/>
      <c r="AA685" s="302"/>
      <c r="AB685" s="302"/>
    </row>
    <row r="686">
      <c r="A686" s="320"/>
      <c r="B686" s="317"/>
      <c r="C686" s="301"/>
      <c r="D686" s="302"/>
      <c r="E686" s="301"/>
      <c r="F686" s="329"/>
      <c r="G686" s="301"/>
      <c r="H686" s="301"/>
      <c r="I686" s="329"/>
      <c r="J686" s="330"/>
      <c r="K686" s="301"/>
      <c r="L686" s="301"/>
      <c r="M686" s="302"/>
      <c r="N686" s="302"/>
      <c r="O686" s="302"/>
      <c r="P686" s="302"/>
      <c r="Q686" s="302"/>
      <c r="R686" s="302"/>
      <c r="S686" s="302"/>
      <c r="T686" s="302"/>
      <c r="U686" s="302"/>
      <c r="V686" s="302"/>
      <c r="W686" s="302"/>
      <c r="X686" s="302"/>
      <c r="Y686" s="302"/>
      <c r="Z686" s="302"/>
      <c r="AA686" s="302"/>
      <c r="AB686" s="302"/>
    </row>
    <row r="687">
      <c r="A687" s="320"/>
      <c r="B687" s="317"/>
      <c r="C687" s="301"/>
      <c r="D687" s="302"/>
      <c r="E687" s="301"/>
      <c r="F687" s="329"/>
      <c r="G687" s="301"/>
      <c r="H687" s="301"/>
      <c r="I687" s="329"/>
      <c r="J687" s="330"/>
      <c r="K687" s="301"/>
      <c r="L687" s="301"/>
      <c r="M687" s="302"/>
      <c r="N687" s="302"/>
      <c r="O687" s="302"/>
      <c r="P687" s="302"/>
      <c r="Q687" s="302"/>
      <c r="R687" s="302"/>
      <c r="S687" s="302"/>
      <c r="T687" s="302"/>
      <c r="U687" s="302"/>
      <c r="V687" s="302"/>
      <c r="W687" s="302"/>
      <c r="X687" s="302"/>
      <c r="Y687" s="302"/>
      <c r="Z687" s="302"/>
      <c r="AA687" s="302"/>
      <c r="AB687" s="302"/>
    </row>
    <row r="688">
      <c r="A688" s="320"/>
      <c r="B688" s="317"/>
      <c r="C688" s="301"/>
      <c r="D688" s="302"/>
      <c r="E688" s="301"/>
      <c r="F688" s="329"/>
      <c r="G688" s="301"/>
      <c r="H688" s="301"/>
      <c r="I688" s="329"/>
      <c r="J688" s="330"/>
      <c r="K688" s="301"/>
      <c r="L688" s="301"/>
      <c r="M688" s="302"/>
      <c r="N688" s="302"/>
      <c r="O688" s="302"/>
      <c r="P688" s="302"/>
      <c r="Q688" s="302"/>
      <c r="R688" s="302"/>
      <c r="S688" s="302"/>
      <c r="T688" s="302"/>
      <c r="U688" s="302"/>
      <c r="V688" s="302"/>
      <c r="W688" s="302"/>
      <c r="X688" s="302"/>
      <c r="Y688" s="302"/>
      <c r="Z688" s="302"/>
      <c r="AA688" s="302"/>
      <c r="AB688" s="302"/>
    </row>
    <row r="689">
      <c r="A689" s="320"/>
      <c r="B689" s="317"/>
      <c r="C689" s="301"/>
      <c r="D689" s="302"/>
      <c r="E689" s="301"/>
      <c r="F689" s="329"/>
      <c r="G689" s="301"/>
      <c r="H689" s="301"/>
      <c r="I689" s="329"/>
      <c r="J689" s="330"/>
      <c r="K689" s="301"/>
      <c r="L689" s="301"/>
      <c r="M689" s="302"/>
      <c r="N689" s="302"/>
      <c r="O689" s="302"/>
      <c r="P689" s="302"/>
      <c r="Q689" s="302"/>
      <c r="R689" s="302"/>
      <c r="S689" s="302"/>
      <c r="T689" s="302"/>
      <c r="U689" s="302"/>
      <c r="V689" s="302"/>
      <c r="W689" s="302"/>
      <c r="X689" s="302"/>
      <c r="Y689" s="302"/>
      <c r="Z689" s="302"/>
      <c r="AA689" s="302"/>
      <c r="AB689" s="302"/>
    </row>
    <row r="690">
      <c r="A690" s="320"/>
      <c r="B690" s="317"/>
      <c r="C690" s="301"/>
      <c r="D690" s="302"/>
      <c r="E690" s="301"/>
      <c r="F690" s="329"/>
      <c r="G690" s="301"/>
      <c r="H690" s="301"/>
      <c r="I690" s="329"/>
      <c r="J690" s="330"/>
      <c r="K690" s="301"/>
      <c r="L690" s="301"/>
      <c r="M690" s="302"/>
      <c r="N690" s="302"/>
      <c r="O690" s="302"/>
      <c r="P690" s="302"/>
      <c r="Q690" s="302"/>
      <c r="R690" s="302"/>
      <c r="S690" s="302"/>
      <c r="T690" s="302"/>
      <c r="U690" s="302"/>
      <c r="V690" s="302"/>
      <c r="W690" s="302"/>
      <c r="X690" s="302"/>
      <c r="Y690" s="302"/>
      <c r="Z690" s="302"/>
      <c r="AA690" s="302"/>
      <c r="AB690" s="302"/>
    </row>
    <row r="691">
      <c r="A691" s="320"/>
      <c r="B691" s="317"/>
      <c r="C691" s="301"/>
      <c r="D691" s="302"/>
      <c r="E691" s="301"/>
      <c r="F691" s="329"/>
      <c r="G691" s="301"/>
      <c r="H691" s="301"/>
      <c r="I691" s="329"/>
      <c r="J691" s="330"/>
      <c r="K691" s="301"/>
      <c r="L691" s="301"/>
      <c r="M691" s="302"/>
      <c r="N691" s="302"/>
      <c r="O691" s="302"/>
      <c r="P691" s="302"/>
      <c r="Q691" s="302"/>
      <c r="R691" s="302"/>
      <c r="S691" s="302"/>
      <c r="T691" s="302"/>
      <c r="U691" s="302"/>
      <c r="V691" s="302"/>
      <c r="W691" s="302"/>
      <c r="X691" s="302"/>
      <c r="Y691" s="302"/>
      <c r="Z691" s="302"/>
      <c r="AA691" s="302"/>
      <c r="AB691" s="302"/>
    </row>
    <row r="692">
      <c r="A692" s="320"/>
      <c r="B692" s="317"/>
      <c r="C692" s="301"/>
      <c r="D692" s="302"/>
      <c r="E692" s="301"/>
      <c r="F692" s="329"/>
      <c r="G692" s="301"/>
      <c r="H692" s="301"/>
      <c r="I692" s="329"/>
      <c r="J692" s="330"/>
      <c r="K692" s="301"/>
      <c r="L692" s="301"/>
      <c r="M692" s="302"/>
      <c r="N692" s="302"/>
      <c r="O692" s="302"/>
      <c r="P692" s="302"/>
      <c r="Q692" s="302"/>
      <c r="R692" s="302"/>
      <c r="S692" s="302"/>
      <c r="T692" s="302"/>
      <c r="U692" s="302"/>
      <c r="V692" s="302"/>
      <c r="W692" s="302"/>
      <c r="X692" s="302"/>
      <c r="Y692" s="302"/>
      <c r="Z692" s="302"/>
      <c r="AA692" s="302"/>
      <c r="AB692" s="302"/>
    </row>
    <row r="693">
      <c r="A693" s="320"/>
      <c r="B693" s="317"/>
      <c r="C693" s="301"/>
      <c r="D693" s="302"/>
      <c r="E693" s="301"/>
      <c r="F693" s="329"/>
      <c r="G693" s="301"/>
      <c r="H693" s="301"/>
      <c r="I693" s="329"/>
      <c r="J693" s="330"/>
      <c r="K693" s="301"/>
      <c r="L693" s="301"/>
      <c r="M693" s="302"/>
      <c r="N693" s="302"/>
      <c r="O693" s="302"/>
      <c r="P693" s="302"/>
      <c r="Q693" s="302"/>
      <c r="R693" s="302"/>
      <c r="S693" s="302"/>
      <c r="T693" s="302"/>
      <c r="U693" s="302"/>
      <c r="V693" s="302"/>
      <c r="W693" s="302"/>
      <c r="X693" s="302"/>
      <c r="Y693" s="302"/>
      <c r="Z693" s="302"/>
      <c r="AA693" s="302"/>
      <c r="AB693" s="302"/>
    </row>
    <row r="694">
      <c r="A694" s="320"/>
      <c r="B694" s="317"/>
      <c r="C694" s="301"/>
      <c r="D694" s="302"/>
      <c r="E694" s="301"/>
      <c r="F694" s="329"/>
      <c r="G694" s="301"/>
      <c r="H694" s="301"/>
      <c r="I694" s="329"/>
      <c r="J694" s="330"/>
      <c r="K694" s="301"/>
      <c r="L694" s="301"/>
      <c r="M694" s="302"/>
      <c r="N694" s="302"/>
      <c r="O694" s="302"/>
      <c r="P694" s="302"/>
      <c r="Q694" s="302"/>
      <c r="R694" s="302"/>
      <c r="S694" s="302"/>
      <c r="T694" s="302"/>
      <c r="U694" s="302"/>
      <c r="V694" s="302"/>
      <c r="W694" s="302"/>
      <c r="X694" s="302"/>
      <c r="Y694" s="302"/>
      <c r="Z694" s="302"/>
      <c r="AA694" s="302"/>
      <c r="AB694" s="302"/>
    </row>
    <row r="695">
      <c r="A695" s="320"/>
      <c r="B695" s="317"/>
      <c r="C695" s="301"/>
      <c r="D695" s="302"/>
      <c r="E695" s="301"/>
      <c r="F695" s="329"/>
      <c r="G695" s="301"/>
      <c r="H695" s="301"/>
      <c r="I695" s="329"/>
      <c r="J695" s="330"/>
      <c r="K695" s="301"/>
      <c r="L695" s="301"/>
      <c r="M695" s="302"/>
      <c r="N695" s="302"/>
      <c r="O695" s="302"/>
      <c r="P695" s="302"/>
      <c r="Q695" s="302"/>
      <c r="R695" s="302"/>
      <c r="S695" s="302"/>
      <c r="T695" s="302"/>
      <c r="U695" s="302"/>
      <c r="V695" s="302"/>
      <c r="W695" s="302"/>
      <c r="X695" s="302"/>
      <c r="Y695" s="302"/>
      <c r="Z695" s="302"/>
      <c r="AA695" s="302"/>
      <c r="AB695" s="302"/>
    </row>
    <row r="696">
      <c r="A696" s="320"/>
      <c r="B696" s="317"/>
      <c r="C696" s="301"/>
      <c r="D696" s="302"/>
      <c r="E696" s="301"/>
      <c r="F696" s="329"/>
      <c r="G696" s="301"/>
      <c r="H696" s="301"/>
      <c r="I696" s="329"/>
      <c r="J696" s="330"/>
      <c r="K696" s="301"/>
      <c r="L696" s="301"/>
      <c r="M696" s="302"/>
      <c r="N696" s="302"/>
      <c r="O696" s="302"/>
      <c r="P696" s="302"/>
      <c r="Q696" s="302"/>
      <c r="R696" s="302"/>
      <c r="S696" s="302"/>
      <c r="T696" s="302"/>
      <c r="U696" s="302"/>
      <c r="V696" s="302"/>
      <c r="W696" s="302"/>
      <c r="X696" s="302"/>
      <c r="Y696" s="302"/>
      <c r="Z696" s="302"/>
      <c r="AA696" s="302"/>
      <c r="AB696" s="302"/>
    </row>
    <row r="697">
      <c r="A697" s="320"/>
      <c r="B697" s="317"/>
      <c r="C697" s="301"/>
      <c r="D697" s="302"/>
      <c r="E697" s="301"/>
      <c r="F697" s="329"/>
      <c r="G697" s="301"/>
      <c r="H697" s="301"/>
      <c r="I697" s="329"/>
      <c r="J697" s="330"/>
      <c r="K697" s="301"/>
      <c r="L697" s="301"/>
      <c r="M697" s="302"/>
      <c r="N697" s="302"/>
      <c r="O697" s="302"/>
      <c r="P697" s="302"/>
      <c r="Q697" s="302"/>
      <c r="R697" s="302"/>
      <c r="S697" s="302"/>
      <c r="T697" s="302"/>
      <c r="U697" s="302"/>
      <c r="V697" s="302"/>
      <c r="W697" s="302"/>
      <c r="X697" s="302"/>
      <c r="Y697" s="302"/>
      <c r="Z697" s="302"/>
      <c r="AA697" s="302"/>
      <c r="AB697" s="302"/>
    </row>
    <row r="698">
      <c r="A698" s="320"/>
      <c r="B698" s="317"/>
      <c r="C698" s="301"/>
      <c r="D698" s="302"/>
      <c r="E698" s="301"/>
      <c r="F698" s="329"/>
      <c r="G698" s="301"/>
      <c r="H698" s="301"/>
      <c r="I698" s="329"/>
      <c r="J698" s="330"/>
      <c r="K698" s="301"/>
      <c r="L698" s="301"/>
      <c r="M698" s="302"/>
      <c r="N698" s="302"/>
      <c r="O698" s="302"/>
      <c r="P698" s="302"/>
      <c r="Q698" s="302"/>
      <c r="R698" s="302"/>
      <c r="S698" s="302"/>
      <c r="T698" s="302"/>
      <c r="U698" s="302"/>
      <c r="V698" s="302"/>
      <c r="W698" s="302"/>
      <c r="X698" s="302"/>
      <c r="Y698" s="302"/>
      <c r="Z698" s="302"/>
      <c r="AA698" s="302"/>
      <c r="AB698" s="302"/>
    </row>
    <row r="699">
      <c r="A699" s="320"/>
      <c r="B699" s="317"/>
      <c r="C699" s="301"/>
      <c r="D699" s="302"/>
      <c r="E699" s="301"/>
      <c r="F699" s="329"/>
      <c r="G699" s="301"/>
      <c r="H699" s="301"/>
      <c r="I699" s="329"/>
      <c r="J699" s="330"/>
      <c r="K699" s="301"/>
      <c r="L699" s="301"/>
      <c r="M699" s="302"/>
      <c r="N699" s="302"/>
      <c r="O699" s="302"/>
      <c r="P699" s="302"/>
      <c r="Q699" s="302"/>
      <c r="R699" s="302"/>
      <c r="S699" s="302"/>
      <c r="T699" s="302"/>
      <c r="U699" s="302"/>
      <c r="V699" s="302"/>
      <c r="W699" s="302"/>
      <c r="X699" s="302"/>
      <c r="Y699" s="302"/>
      <c r="Z699" s="302"/>
      <c r="AA699" s="302"/>
      <c r="AB699" s="302"/>
    </row>
    <row r="700">
      <c r="A700" s="320"/>
      <c r="B700" s="317"/>
      <c r="C700" s="301"/>
      <c r="D700" s="302"/>
      <c r="E700" s="301"/>
      <c r="F700" s="329"/>
      <c r="G700" s="301"/>
      <c r="H700" s="301"/>
      <c r="I700" s="329"/>
      <c r="J700" s="330"/>
      <c r="K700" s="301"/>
      <c r="L700" s="301"/>
      <c r="M700" s="302"/>
      <c r="N700" s="302"/>
      <c r="O700" s="302"/>
      <c r="P700" s="302"/>
      <c r="Q700" s="302"/>
      <c r="R700" s="302"/>
      <c r="S700" s="302"/>
      <c r="T700" s="302"/>
      <c r="U700" s="302"/>
      <c r="V700" s="302"/>
      <c r="W700" s="302"/>
      <c r="X700" s="302"/>
      <c r="Y700" s="302"/>
      <c r="Z700" s="302"/>
      <c r="AA700" s="302"/>
      <c r="AB700" s="302"/>
    </row>
    <row r="701">
      <c r="A701" s="320"/>
      <c r="B701" s="317"/>
      <c r="C701" s="301"/>
      <c r="D701" s="302"/>
      <c r="E701" s="301"/>
      <c r="F701" s="329"/>
      <c r="G701" s="301"/>
      <c r="H701" s="301"/>
      <c r="I701" s="329"/>
      <c r="J701" s="330"/>
      <c r="K701" s="301"/>
      <c r="L701" s="301"/>
      <c r="M701" s="302"/>
      <c r="N701" s="302"/>
      <c r="O701" s="302"/>
      <c r="P701" s="302"/>
      <c r="Q701" s="302"/>
      <c r="R701" s="302"/>
      <c r="S701" s="302"/>
      <c r="T701" s="302"/>
      <c r="U701" s="302"/>
      <c r="V701" s="302"/>
      <c r="W701" s="302"/>
      <c r="X701" s="302"/>
      <c r="Y701" s="302"/>
      <c r="Z701" s="302"/>
      <c r="AA701" s="302"/>
      <c r="AB701" s="302"/>
    </row>
    <row r="702">
      <c r="A702" s="320"/>
      <c r="B702" s="317"/>
      <c r="C702" s="301"/>
      <c r="D702" s="302"/>
      <c r="E702" s="301"/>
      <c r="F702" s="329"/>
      <c r="G702" s="301"/>
      <c r="H702" s="301"/>
      <c r="I702" s="329"/>
      <c r="J702" s="330"/>
      <c r="K702" s="301"/>
      <c r="L702" s="301"/>
      <c r="M702" s="302"/>
      <c r="N702" s="302"/>
      <c r="O702" s="302"/>
      <c r="P702" s="302"/>
      <c r="Q702" s="302"/>
      <c r="R702" s="302"/>
      <c r="S702" s="302"/>
      <c r="T702" s="302"/>
      <c r="U702" s="302"/>
      <c r="V702" s="302"/>
      <c r="W702" s="302"/>
      <c r="X702" s="302"/>
      <c r="Y702" s="302"/>
      <c r="Z702" s="302"/>
      <c r="AA702" s="302"/>
      <c r="AB702" s="302"/>
    </row>
    <row r="703">
      <c r="A703" s="320"/>
      <c r="B703" s="317"/>
      <c r="C703" s="301"/>
      <c r="D703" s="302"/>
      <c r="E703" s="301"/>
      <c r="F703" s="329"/>
      <c r="G703" s="301"/>
      <c r="H703" s="301"/>
      <c r="I703" s="329"/>
      <c r="J703" s="330"/>
      <c r="K703" s="301"/>
      <c r="L703" s="301"/>
      <c r="M703" s="302"/>
      <c r="N703" s="302"/>
      <c r="O703" s="302"/>
      <c r="P703" s="302"/>
      <c r="Q703" s="302"/>
      <c r="R703" s="302"/>
      <c r="S703" s="302"/>
      <c r="T703" s="302"/>
      <c r="U703" s="302"/>
      <c r="V703" s="302"/>
      <c r="W703" s="302"/>
      <c r="X703" s="302"/>
      <c r="Y703" s="302"/>
      <c r="Z703" s="302"/>
      <c r="AA703" s="302"/>
      <c r="AB703" s="302"/>
    </row>
    <row r="704">
      <c r="A704" s="320"/>
      <c r="B704" s="317"/>
      <c r="C704" s="301"/>
      <c r="D704" s="302"/>
      <c r="E704" s="301"/>
      <c r="F704" s="329"/>
      <c r="G704" s="301"/>
      <c r="H704" s="301"/>
      <c r="I704" s="329"/>
      <c r="J704" s="330"/>
      <c r="K704" s="301"/>
      <c r="L704" s="301"/>
      <c r="M704" s="302"/>
      <c r="N704" s="302"/>
      <c r="O704" s="302"/>
      <c r="P704" s="302"/>
      <c r="Q704" s="302"/>
      <c r="R704" s="302"/>
      <c r="S704" s="302"/>
      <c r="T704" s="302"/>
      <c r="U704" s="302"/>
      <c r="V704" s="302"/>
      <c r="W704" s="302"/>
      <c r="X704" s="302"/>
      <c r="Y704" s="302"/>
      <c r="Z704" s="302"/>
      <c r="AA704" s="302"/>
      <c r="AB704" s="302"/>
    </row>
    <row r="705">
      <c r="A705" s="320"/>
      <c r="B705" s="317"/>
      <c r="C705" s="301"/>
      <c r="D705" s="302"/>
      <c r="E705" s="301"/>
      <c r="F705" s="329"/>
      <c r="G705" s="301"/>
      <c r="H705" s="301"/>
      <c r="I705" s="329"/>
      <c r="J705" s="330"/>
      <c r="K705" s="301"/>
      <c r="L705" s="301"/>
      <c r="M705" s="302"/>
      <c r="N705" s="302"/>
      <c r="O705" s="302"/>
      <c r="P705" s="302"/>
      <c r="Q705" s="302"/>
      <c r="R705" s="302"/>
      <c r="S705" s="302"/>
      <c r="T705" s="302"/>
      <c r="U705" s="302"/>
      <c r="V705" s="302"/>
      <c r="W705" s="302"/>
      <c r="X705" s="302"/>
      <c r="Y705" s="302"/>
      <c r="Z705" s="302"/>
      <c r="AA705" s="302"/>
      <c r="AB705" s="302"/>
    </row>
    <row r="706">
      <c r="A706" s="320"/>
      <c r="B706" s="317"/>
      <c r="C706" s="301"/>
      <c r="D706" s="302"/>
      <c r="E706" s="301"/>
      <c r="F706" s="329"/>
      <c r="G706" s="301"/>
      <c r="H706" s="301"/>
      <c r="I706" s="329"/>
      <c r="J706" s="330"/>
      <c r="K706" s="301"/>
      <c r="L706" s="301"/>
      <c r="M706" s="302"/>
      <c r="N706" s="302"/>
      <c r="O706" s="302"/>
      <c r="P706" s="302"/>
      <c r="Q706" s="302"/>
      <c r="R706" s="302"/>
      <c r="S706" s="302"/>
      <c r="T706" s="302"/>
      <c r="U706" s="302"/>
      <c r="V706" s="302"/>
      <c r="W706" s="302"/>
      <c r="X706" s="302"/>
      <c r="Y706" s="302"/>
      <c r="Z706" s="302"/>
      <c r="AA706" s="302"/>
      <c r="AB706" s="302"/>
    </row>
    <row r="707">
      <c r="A707" s="320"/>
      <c r="B707" s="317"/>
      <c r="C707" s="301"/>
      <c r="D707" s="302"/>
      <c r="E707" s="301"/>
      <c r="F707" s="329"/>
      <c r="G707" s="301"/>
      <c r="H707" s="301"/>
      <c r="I707" s="329"/>
      <c r="J707" s="330"/>
      <c r="K707" s="301"/>
      <c r="L707" s="301"/>
      <c r="M707" s="302"/>
      <c r="N707" s="302"/>
      <c r="O707" s="302"/>
      <c r="P707" s="302"/>
      <c r="Q707" s="302"/>
      <c r="R707" s="302"/>
      <c r="S707" s="302"/>
      <c r="T707" s="302"/>
      <c r="U707" s="302"/>
      <c r="V707" s="302"/>
      <c r="W707" s="302"/>
      <c r="X707" s="302"/>
      <c r="Y707" s="302"/>
      <c r="Z707" s="302"/>
      <c r="AA707" s="302"/>
      <c r="AB707" s="302"/>
    </row>
    <row r="708">
      <c r="A708" s="320"/>
      <c r="B708" s="317"/>
      <c r="C708" s="301"/>
      <c r="D708" s="302"/>
      <c r="E708" s="301"/>
      <c r="F708" s="329"/>
      <c r="G708" s="301"/>
      <c r="H708" s="301"/>
      <c r="I708" s="329"/>
      <c r="J708" s="330"/>
      <c r="K708" s="301"/>
      <c r="L708" s="301"/>
      <c r="M708" s="302"/>
      <c r="N708" s="302"/>
      <c r="O708" s="302"/>
      <c r="P708" s="302"/>
      <c r="Q708" s="302"/>
      <c r="R708" s="302"/>
      <c r="S708" s="302"/>
      <c r="T708" s="302"/>
      <c r="U708" s="302"/>
      <c r="V708" s="302"/>
      <c r="W708" s="302"/>
      <c r="X708" s="302"/>
      <c r="Y708" s="302"/>
      <c r="Z708" s="302"/>
      <c r="AA708" s="302"/>
      <c r="AB708" s="302"/>
    </row>
    <row r="709">
      <c r="A709" s="320"/>
      <c r="B709" s="317"/>
      <c r="C709" s="301"/>
      <c r="D709" s="302"/>
      <c r="E709" s="301"/>
      <c r="F709" s="329"/>
      <c r="G709" s="301"/>
      <c r="H709" s="301"/>
      <c r="I709" s="329"/>
      <c r="J709" s="330"/>
      <c r="K709" s="301"/>
      <c r="L709" s="301"/>
      <c r="M709" s="302"/>
      <c r="N709" s="302"/>
      <c r="O709" s="302"/>
      <c r="P709" s="302"/>
      <c r="Q709" s="302"/>
      <c r="R709" s="302"/>
      <c r="S709" s="302"/>
      <c r="T709" s="302"/>
      <c r="U709" s="302"/>
      <c r="V709" s="302"/>
      <c r="W709" s="302"/>
      <c r="X709" s="302"/>
      <c r="Y709" s="302"/>
      <c r="Z709" s="302"/>
      <c r="AA709" s="302"/>
      <c r="AB709" s="302"/>
    </row>
    <row r="710">
      <c r="A710" s="320"/>
      <c r="B710" s="317"/>
      <c r="C710" s="301"/>
      <c r="D710" s="302"/>
      <c r="E710" s="301"/>
      <c r="F710" s="329"/>
      <c r="G710" s="301"/>
      <c r="H710" s="301"/>
      <c r="I710" s="329"/>
      <c r="J710" s="330"/>
      <c r="K710" s="301"/>
      <c r="L710" s="301"/>
      <c r="M710" s="302"/>
      <c r="N710" s="302"/>
      <c r="O710" s="302"/>
      <c r="P710" s="302"/>
      <c r="Q710" s="302"/>
      <c r="R710" s="302"/>
      <c r="S710" s="302"/>
      <c r="T710" s="302"/>
      <c r="U710" s="302"/>
      <c r="V710" s="302"/>
      <c r="W710" s="302"/>
      <c r="X710" s="302"/>
      <c r="Y710" s="302"/>
      <c r="Z710" s="302"/>
      <c r="AA710" s="302"/>
      <c r="AB710" s="302"/>
    </row>
    <row r="711">
      <c r="A711" s="320"/>
      <c r="B711" s="317"/>
      <c r="C711" s="301"/>
      <c r="D711" s="302"/>
      <c r="E711" s="301"/>
      <c r="F711" s="329"/>
      <c r="G711" s="301"/>
      <c r="H711" s="301"/>
      <c r="I711" s="329"/>
      <c r="J711" s="330"/>
      <c r="K711" s="301"/>
      <c r="L711" s="301"/>
      <c r="M711" s="302"/>
      <c r="N711" s="302"/>
      <c r="O711" s="302"/>
      <c r="P711" s="302"/>
      <c r="Q711" s="302"/>
      <c r="R711" s="302"/>
      <c r="S711" s="302"/>
      <c r="T711" s="302"/>
      <c r="U711" s="302"/>
      <c r="V711" s="302"/>
      <c r="W711" s="302"/>
      <c r="X711" s="302"/>
      <c r="Y711" s="302"/>
      <c r="Z711" s="302"/>
      <c r="AA711" s="302"/>
      <c r="AB711" s="302"/>
    </row>
    <row r="712">
      <c r="A712" s="320"/>
      <c r="B712" s="317"/>
      <c r="C712" s="301"/>
      <c r="D712" s="302"/>
      <c r="E712" s="301"/>
      <c r="F712" s="329"/>
      <c r="G712" s="301"/>
      <c r="H712" s="301"/>
      <c r="I712" s="329"/>
      <c r="J712" s="330"/>
      <c r="K712" s="301"/>
      <c r="L712" s="301"/>
      <c r="M712" s="302"/>
      <c r="N712" s="302"/>
      <c r="O712" s="302"/>
      <c r="P712" s="302"/>
      <c r="Q712" s="302"/>
      <c r="R712" s="302"/>
      <c r="S712" s="302"/>
      <c r="T712" s="302"/>
      <c r="U712" s="302"/>
      <c r="V712" s="302"/>
      <c r="W712" s="302"/>
      <c r="X712" s="302"/>
      <c r="Y712" s="302"/>
      <c r="Z712" s="302"/>
      <c r="AA712" s="302"/>
      <c r="AB712" s="302"/>
    </row>
    <row r="713">
      <c r="A713" s="320"/>
      <c r="B713" s="317"/>
      <c r="C713" s="301"/>
      <c r="D713" s="302"/>
      <c r="E713" s="301"/>
      <c r="F713" s="329"/>
      <c r="G713" s="301"/>
      <c r="H713" s="301"/>
      <c r="I713" s="329"/>
      <c r="J713" s="330"/>
      <c r="K713" s="301"/>
      <c r="L713" s="301"/>
      <c r="M713" s="302"/>
      <c r="N713" s="302"/>
      <c r="O713" s="302"/>
      <c r="P713" s="302"/>
      <c r="Q713" s="302"/>
      <c r="R713" s="302"/>
      <c r="S713" s="302"/>
      <c r="T713" s="302"/>
      <c r="U713" s="302"/>
      <c r="V713" s="302"/>
      <c r="W713" s="302"/>
      <c r="X713" s="302"/>
      <c r="Y713" s="302"/>
      <c r="Z713" s="302"/>
      <c r="AA713" s="302"/>
      <c r="AB713" s="302"/>
    </row>
    <row r="714">
      <c r="A714" s="320"/>
      <c r="B714" s="317"/>
      <c r="C714" s="301"/>
      <c r="D714" s="302"/>
      <c r="E714" s="301"/>
      <c r="F714" s="329"/>
      <c r="G714" s="301"/>
      <c r="H714" s="301"/>
      <c r="I714" s="329"/>
      <c r="J714" s="330"/>
      <c r="K714" s="301"/>
      <c r="L714" s="301"/>
      <c r="M714" s="302"/>
      <c r="N714" s="302"/>
      <c r="O714" s="302"/>
      <c r="P714" s="302"/>
      <c r="Q714" s="302"/>
      <c r="R714" s="302"/>
      <c r="S714" s="302"/>
      <c r="T714" s="302"/>
      <c r="U714" s="302"/>
      <c r="V714" s="302"/>
      <c r="W714" s="302"/>
      <c r="X714" s="302"/>
      <c r="Y714" s="302"/>
      <c r="Z714" s="302"/>
      <c r="AA714" s="302"/>
      <c r="AB714" s="302"/>
    </row>
    <row r="715">
      <c r="A715" s="320"/>
      <c r="B715" s="317"/>
      <c r="C715" s="301"/>
      <c r="D715" s="302"/>
      <c r="E715" s="301"/>
      <c r="F715" s="329"/>
      <c r="G715" s="301"/>
      <c r="H715" s="301"/>
      <c r="I715" s="329"/>
      <c r="J715" s="330"/>
      <c r="K715" s="301"/>
      <c r="L715" s="301"/>
      <c r="M715" s="302"/>
      <c r="N715" s="302"/>
      <c r="O715" s="302"/>
      <c r="P715" s="302"/>
      <c r="Q715" s="302"/>
      <c r="R715" s="302"/>
      <c r="S715" s="302"/>
      <c r="T715" s="302"/>
      <c r="U715" s="302"/>
      <c r="V715" s="302"/>
      <c r="W715" s="302"/>
      <c r="X715" s="302"/>
      <c r="Y715" s="302"/>
      <c r="Z715" s="302"/>
      <c r="AA715" s="302"/>
      <c r="AB715" s="302"/>
    </row>
    <row r="716">
      <c r="A716" s="320"/>
      <c r="B716" s="317"/>
      <c r="C716" s="301"/>
      <c r="D716" s="302"/>
      <c r="E716" s="301"/>
      <c r="F716" s="329"/>
      <c r="G716" s="301"/>
      <c r="H716" s="301"/>
      <c r="I716" s="329"/>
      <c r="J716" s="330"/>
      <c r="K716" s="301"/>
      <c r="L716" s="301"/>
      <c r="M716" s="302"/>
      <c r="N716" s="302"/>
      <c r="O716" s="302"/>
      <c r="P716" s="302"/>
      <c r="Q716" s="302"/>
      <c r="R716" s="302"/>
      <c r="S716" s="302"/>
      <c r="T716" s="302"/>
      <c r="U716" s="302"/>
      <c r="V716" s="302"/>
      <c r="W716" s="302"/>
      <c r="X716" s="302"/>
      <c r="Y716" s="302"/>
      <c r="Z716" s="302"/>
      <c r="AA716" s="302"/>
      <c r="AB716" s="302"/>
    </row>
    <row r="717">
      <c r="A717" s="320"/>
      <c r="B717" s="317"/>
      <c r="C717" s="301"/>
      <c r="D717" s="302"/>
      <c r="E717" s="301"/>
      <c r="F717" s="329"/>
      <c r="G717" s="301"/>
      <c r="H717" s="301"/>
      <c r="I717" s="329"/>
      <c r="J717" s="330"/>
      <c r="K717" s="301"/>
      <c r="L717" s="301"/>
      <c r="M717" s="302"/>
      <c r="N717" s="302"/>
      <c r="O717" s="302"/>
      <c r="P717" s="302"/>
      <c r="Q717" s="302"/>
      <c r="R717" s="302"/>
      <c r="S717" s="302"/>
      <c r="T717" s="302"/>
      <c r="U717" s="302"/>
      <c r="V717" s="302"/>
      <c r="W717" s="302"/>
      <c r="X717" s="302"/>
      <c r="Y717" s="302"/>
      <c r="Z717" s="302"/>
      <c r="AA717" s="302"/>
      <c r="AB717" s="302"/>
    </row>
    <row r="718">
      <c r="A718" s="320"/>
      <c r="B718" s="317"/>
      <c r="C718" s="301"/>
      <c r="D718" s="302"/>
      <c r="E718" s="301"/>
      <c r="F718" s="329"/>
      <c r="G718" s="301"/>
      <c r="H718" s="301"/>
      <c r="I718" s="329"/>
      <c r="J718" s="330"/>
      <c r="K718" s="301"/>
      <c r="L718" s="301"/>
      <c r="M718" s="302"/>
      <c r="N718" s="302"/>
      <c r="O718" s="302"/>
      <c r="P718" s="302"/>
      <c r="Q718" s="302"/>
      <c r="R718" s="302"/>
      <c r="S718" s="302"/>
      <c r="T718" s="302"/>
      <c r="U718" s="302"/>
      <c r="V718" s="302"/>
      <c r="W718" s="302"/>
      <c r="X718" s="302"/>
      <c r="Y718" s="302"/>
      <c r="Z718" s="302"/>
      <c r="AA718" s="302"/>
      <c r="AB718" s="302"/>
    </row>
    <row r="719">
      <c r="A719" s="320"/>
      <c r="B719" s="317"/>
      <c r="C719" s="301"/>
      <c r="D719" s="302"/>
      <c r="E719" s="301"/>
      <c r="F719" s="329"/>
      <c r="G719" s="301"/>
      <c r="H719" s="301"/>
      <c r="I719" s="329"/>
      <c r="J719" s="330"/>
      <c r="K719" s="301"/>
      <c r="L719" s="301"/>
      <c r="M719" s="302"/>
      <c r="N719" s="302"/>
      <c r="O719" s="302"/>
      <c r="P719" s="302"/>
      <c r="Q719" s="302"/>
      <c r="R719" s="302"/>
      <c r="S719" s="302"/>
      <c r="T719" s="302"/>
      <c r="U719" s="302"/>
      <c r="V719" s="302"/>
      <c r="W719" s="302"/>
      <c r="X719" s="302"/>
      <c r="Y719" s="302"/>
      <c r="Z719" s="302"/>
      <c r="AA719" s="302"/>
      <c r="AB719" s="302"/>
    </row>
    <row r="720">
      <c r="A720" s="320"/>
      <c r="B720" s="317"/>
      <c r="C720" s="301"/>
      <c r="D720" s="302"/>
      <c r="E720" s="301"/>
      <c r="F720" s="329"/>
      <c r="G720" s="301"/>
      <c r="H720" s="301"/>
      <c r="I720" s="329"/>
      <c r="J720" s="330"/>
      <c r="K720" s="301"/>
      <c r="L720" s="301"/>
      <c r="M720" s="302"/>
      <c r="N720" s="302"/>
      <c r="O720" s="302"/>
      <c r="P720" s="302"/>
      <c r="Q720" s="302"/>
      <c r="R720" s="302"/>
      <c r="S720" s="302"/>
      <c r="T720" s="302"/>
      <c r="U720" s="302"/>
      <c r="V720" s="302"/>
      <c r="W720" s="302"/>
      <c r="X720" s="302"/>
      <c r="Y720" s="302"/>
      <c r="Z720" s="302"/>
      <c r="AA720" s="302"/>
      <c r="AB720" s="302"/>
    </row>
    <row r="721">
      <c r="A721" s="320"/>
      <c r="B721" s="317"/>
      <c r="C721" s="301"/>
      <c r="D721" s="302"/>
      <c r="E721" s="301"/>
      <c r="F721" s="329"/>
      <c r="G721" s="301"/>
      <c r="H721" s="301"/>
      <c r="I721" s="329"/>
      <c r="J721" s="330"/>
      <c r="K721" s="301"/>
      <c r="L721" s="301"/>
      <c r="M721" s="302"/>
      <c r="N721" s="302"/>
      <c r="O721" s="302"/>
      <c r="P721" s="302"/>
      <c r="Q721" s="302"/>
      <c r="R721" s="302"/>
      <c r="S721" s="302"/>
      <c r="T721" s="302"/>
      <c r="U721" s="302"/>
      <c r="V721" s="302"/>
      <c r="W721" s="302"/>
      <c r="X721" s="302"/>
      <c r="Y721" s="302"/>
      <c r="Z721" s="302"/>
      <c r="AA721" s="302"/>
      <c r="AB721" s="302"/>
    </row>
    <row r="722">
      <c r="A722" s="320"/>
      <c r="B722" s="317"/>
      <c r="C722" s="301"/>
      <c r="D722" s="302"/>
      <c r="E722" s="301"/>
      <c r="F722" s="329"/>
      <c r="G722" s="301"/>
      <c r="H722" s="301"/>
      <c r="I722" s="329"/>
      <c r="J722" s="330"/>
      <c r="K722" s="301"/>
      <c r="L722" s="301"/>
      <c r="M722" s="302"/>
      <c r="N722" s="302"/>
      <c r="O722" s="302"/>
      <c r="P722" s="302"/>
      <c r="Q722" s="302"/>
      <c r="R722" s="302"/>
      <c r="S722" s="302"/>
      <c r="T722" s="302"/>
      <c r="U722" s="302"/>
      <c r="V722" s="302"/>
      <c r="W722" s="302"/>
      <c r="X722" s="302"/>
      <c r="Y722" s="302"/>
      <c r="Z722" s="302"/>
      <c r="AA722" s="302"/>
      <c r="AB722" s="302"/>
    </row>
    <row r="723">
      <c r="A723" s="320"/>
      <c r="B723" s="317"/>
      <c r="C723" s="301"/>
      <c r="D723" s="302"/>
      <c r="E723" s="301"/>
      <c r="F723" s="329"/>
      <c r="G723" s="301"/>
      <c r="H723" s="301"/>
      <c r="I723" s="329"/>
      <c r="J723" s="330"/>
      <c r="K723" s="301"/>
      <c r="L723" s="301"/>
      <c r="M723" s="302"/>
      <c r="N723" s="302"/>
      <c r="O723" s="302"/>
      <c r="P723" s="302"/>
      <c r="Q723" s="302"/>
      <c r="R723" s="302"/>
      <c r="S723" s="302"/>
      <c r="T723" s="302"/>
      <c r="U723" s="302"/>
      <c r="V723" s="302"/>
      <c r="W723" s="302"/>
      <c r="X723" s="302"/>
      <c r="Y723" s="302"/>
      <c r="Z723" s="302"/>
      <c r="AA723" s="302"/>
      <c r="AB723" s="302"/>
    </row>
    <row r="724">
      <c r="A724" s="320"/>
      <c r="B724" s="317"/>
      <c r="C724" s="301"/>
      <c r="D724" s="302"/>
      <c r="E724" s="301"/>
      <c r="F724" s="329"/>
      <c r="G724" s="301"/>
      <c r="H724" s="301"/>
      <c r="I724" s="329"/>
      <c r="J724" s="330"/>
      <c r="K724" s="301"/>
      <c r="L724" s="301"/>
      <c r="M724" s="302"/>
      <c r="N724" s="302"/>
      <c r="O724" s="302"/>
      <c r="P724" s="302"/>
      <c r="Q724" s="302"/>
      <c r="R724" s="302"/>
      <c r="S724" s="302"/>
      <c r="T724" s="302"/>
      <c r="U724" s="302"/>
      <c r="V724" s="302"/>
      <c r="W724" s="302"/>
      <c r="X724" s="302"/>
      <c r="Y724" s="302"/>
      <c r="Z724" s="302"/>
      <c r="AA724" s="302"/>
      <c r="AB724" s="302"/>
    </row>
    <row r="725">
      <c r="A725" s="320"/>
      <c r="B725" s="317"/>
      <c r="C725" s="301"/>
      <c r="D725" s="302"/>
      <c r="E725" s="301"/>
      <c r="F725" s="329"/>
      <c r="G725" s="301"/>
      <c r="H725" s="301"/>
      <c r="I725" s="329"/>
      <c r="J725" s="330"/>
      <c r="K725" s="301"/>
      <c r="L725" s="301"/>
      <c r="M725" s="302"/>
      <c r="N725" s="302"/>
      <c r="O725" s="302"/>
      <c r="P725" s="302"/>
      <c r="Q725" s="302"/>
      <c r="R725" s="302"/>
      <c r="S725" s="302"/>
      <c r="T725" s="302"/>
      <c r="U725" s="302"/>
      <c r="V725" s="302"/>
      <c r="W725" s="302"/>
      <c r="X725" s="302"/>
      <c r="Y725" s="302"/>
      <c r="Z725" s="302"/>
      <c r="AA725" s="302"/>
      <c r="AB725" s="302"/>
    </row>
    <row r="726">
      <c r="A726" s="320"/>
      <c r="B726" s="317"/>
      <c r="C726" s="301"/>
      <c r="D726" s="302"/>
      <c r="E726" s="301"/>
      <c r="F726" s="329"/>
      <c r="G726" s="301"/>
      <c r="H726" s="301"/>
      <c r="I726" s="329"/>
      <c r="J726" s="330"/>
      <c r="K726" s="301"/>
      <c r="L726" s="301"/>
      <c r="M726" s="302"/>
      <c r="N726" s="302"/>
      <c r="O726" s="302"/>
      <c r="P726" s="302"/>
      <c r="Q726" s="302"/>
      <c r="R726" s="302"/>
      <c r="S726" s="302"/>
      <c r="T726" s="302"/>
      <c r="U726" s="302"/>
      <c r="V726" s="302"/>
      <c r="W726" s="302"/>
      <c r="X726" s="302"/>
      <c r="Y726" s="302"/>
      <c r="Z726" s="302"/>
      <c r="AA726" s="302"/>
      <c r="AB726" s="302"/>
    </row>
    <row r="727">
      <c r="A727" s="320"/>
      <c r="B727" s="317"/>
      <c r="C727" s="301"/>
      <c r="D727" s="302"/>
      <c r="E727" s="301"/>
      <c r="F727" s="329"/>
      <c r="G727" s="301"/>
      <c r="H727" s="301"/>
      <c r="I727" s="329"/>
      <c r="J727" s="330"/>
      <c r="K727" s="301"/>
      <c r="L727" s="301"/>
      <c r="M727" s="302"/>
      <c r="N727" s="302"/>
      <c r="O727" s="302"/>
      <c r="P727" s="302"/>
      <c r="Q727" s="302"/>
      <c r="R727" s="302"/>
      <c r="S727" s="302"/>
      <c r="T727" s="302"/>
      <c r="U727" s="302"/>
      <c r="V727" s="302"/>
      <c r="W727" s="302"/>
      <c r="X727" s="302"/>
      <c r="Y727" s="302"/>
      <c r="Z727" s="302"/>
      <c r="AA727" s="302"/>
      <c r="AB727" s="302"/>
    </row>
    <row r="728">
      <c r="A728" s="320"/>
      <c r="B728" s="317"/>
      <c r="C728" s="301"/>
      <c r="D728" s="302"/>
      <c r="E728" s="301"/>
      <c r="F728" s="329"/>
      <c r="G728" s="301"/>
      <c r="H728" s="301"/>
      <c r="I728" s="329"/>
      <c r="J728" s="330"/>
      <c r="K728" s="301"/>
      <c r="L728" s="301"/>
      <c r="M728" s="302"/>
      <c r="N728" s="302"/>
      <c r="O728" s="302"/>
      <c r="P728" s="302"/>
      <c r="Q728" s="302"/>
      <c r="R728" s="302"/>
      <c r="S728" s="302"/>
      <c r="T728" s="302"/>
      <c r="U728" s="302"/>
      <c r="V728" s="302"/>
      <c r="W728" s="302"/>
      <c r="X728" s="302"/>
      <c r="Y728" s="302"/>
      <c r="Z728" s="302"/>
      <c r="AA728" s="302"/>
      <c r="AB728" s="302"/>
    </row>
    <row r="729">
      <c r="A729" s="320"/>
      <c r="B729" s="317"/>
      <c r="C729" s="301"/>
      <c r="D729" s="302"/>
      <c r="E729" s="301"/>
      <c r="F729" s="329"/>
      <c r="G729" s="301"/>
      <c r="H729" s="301"/>
      <c r="I729" s="329"/>
      <c r="J729" s="330"/>
      <c r="K729" s="301"/>
      <c r="L729" s="301"/>
      <c r="M729" s="302"/>
      <c r="N729" s="302"/>
      <c r="O729" s="302"/>
      <c r="P729" s="302"/>
      <c r="Q729" s="302"/>
      <c r="R729" s="302"/>
      <c r="S729" s="302"/>
      <c r="T729" s="302"/>
      <c r="U729" s="302"/>
      <c r="V729" s="302"/>
      <c r="W729" s="302"/>
      <c r="X729" s="302"/>
      <c r="Y729" s="302"/>
      <c r="Z729" s="302"/>
      <c r="AA729" s="302"/>
      <c r="AB729" s="302"/>
    </row>
    <row r="730">
      <c r="A730" s="320"/>
      <c r="B730" s="317"/>
      <c r="C730" s="301"/>
      <c r="D730" s="302"/>
      <c r="E730" s="301"/>
      <c r="F730" s="329"/>
      <c r="G730" s="301"/>
      <c r="H730" s="301"/>
      <c r="I730" s="329"/>
      <c r="J730" s="330"/>
      <c r="K730" s="301"/>
      <c r="L730" s="301"/>
      <c r="M730" s="302"/>
      <c r="N730" s="302"/>
      <c r="O730" s="302"/>
      <c r="P730" s="302"/>
      <c r="Q730" s="302"/>
      <c r="R730" s="302"/>
      <c r="S730" s="302"/>
      <c r="T730" s="302"/>
      <c r="U730" s="302"/>
      <c r="V730" s="302"/>
      <c r="W730" s="302"/>
      <c r="X730" s="302"/>
      <c r="Y730" s="302"/>
      <c r="Z730" s="302"/>
      <c r="AA730" s="302"/>
      <c r="AB730" s="302"/>
    </row>
    <row r="731">
      <c r="A731" s="320"/>
      <c r="B731" s="317"/>
      <c r="C731" s="301"/>
      <c r="D731" s="302"/>
      <c r="E731" s="301"/>
      <c r="F731" s="329"/>
      <c r="G731" s="301"/>
      <c r="H731" s="301"/>
      <c r="I731" s="329"/>
      <c r="J731" s="330"/>
      <c r="K731" s="301"/>
      <c r="L731" s="301"/>
      <c r="M731" s="302"/>
      <c r="N731" s="302"/>
      <c r="O731" s="302"/>
      <c r="P731" s="302"/>
      <c r="Q731" s="302"/>
      <c r="R731" s="302"/>
      <c r="S731" s="302"/>
      <c r="T731" s="302"/>
      <c r="U731" s="302"/>
      <c r="V731" s="302"/>
      <c r="W731" s="302"/>
      <c r="X731" s="302"/>
      <c r="Y731" s="302"/>
      <c r="Z731" s="302"/>
      <c r="AA731" s="302"/>
      <c r="AB731" s="302"/>
    </row>
    <row r="732">
      <c r="A732" s="320"/>
      <c r="B732" s="317"/>
      <c r="C732" s="301"/>
      <c r="D732" s="302"/>
      <c r="E732" s="301"/>
      <c r="F732" s="329"/>
      <c r="G732" s="301"/>
      <c r="H732" s="301"/>
      <c r="I732" s="329"/>
      <c r="J732" s="330"/>
      <c r="K732" s="301"/>
      <c r="L732" s="301"/>
      <c r="M732" s="302"/>
      <c r="N732" s="302"/>
      <c r="O732" s="302"/>
      <c r="P732" s="302"/>
      <c r="Q732" s="302"/>
      <c r="R732" s="302"/>
      <c r="S732" s="302"/>
      <c r="T732" s="302"/>
      <c r="U732" s="302"/>
      <c r="V732" s="302"/>
      <c r="W732" s="302"/>
      <c r="X732" s="302"/>
      <c r="Y732" s="302"/>
      <c r="Z732" s="302"/>
      <c r="AA732" s="302"/>
      <c r="AB732" s="302"/>
    </row>
    <row r="733">
      <c r="A733" s="320"/>
      <c r="B733" s="317"/>
      <c r="C733" s="301"/>
      <c r="D733" s="302"/>
      <c r="E733" s="301"/>
      <c r="F733" s="329"/>
      <c r="G733" s="301"/>
      <c r="H733" s="301"/>
      <c r="I733" s="329"/>
      <c r="J733" s="330"/>
      <c r="K733" s="301"/>
      <c r="L733" s="301"/>
      <c r="M733" s="302"/>
      <c r="N733" s="302"/>
      <c r="O733" s="302"/>
      <c r="P733" s="302"/>
      <c r="Q733" s="302"/>
      <c r="R733" s="302"/>
      <c r="S733" s="302"/>
      <c r="T733" s="302"/>
      <c r="U733" s="302"/>
      <c r="V733" s="302"/>
      <c r="W733" s="302"/>
      <c r="X733" s="302"/>
      <c r="Y733" s="302"/>
      <c r="Z733" s="302"/>
      <c r="AA733" s="302"/>
      <c r="AB733" s="302"/>
    </row>
    <row r="734">
      <c r="A734" s="320"/>
      <c r="B734" s="317"/>
      <c r="C734" s="301"/>
      <c r="D734" s="302"/>
      <c r="E734" s="301"/>
      <c r="F734" s="329"/>
      <c r="G734" s="301"/>
      <c r="H734" s="301"/>
      <c r="I734" s="329"/>
      <c r="J734" s="330"/>
      <c r="K734" s="301"/>
      <c r="L734" s="301"/>
      <c r="M734" s="302"/>
      <c r="N734" s="302"/>
      <c r="O734" s="302"/>
      <c r="P734" s="302"/>
      <c r="Q734" s="302"/>
      <c r="R734" s="302"/>
      <c r="S734" s="302"/>
      <c r="T734" s="302"/>
      <c r="U734" s="302"/>
      <c r="V734" s="302"/>
      <c r="W734" s="302"/>
      <c r="X734" s="302"/>
      <c r="Y734" s="302"/>
      <c r="Z734" s="302"/>
      <c r="AA734" s="302"/>
      <c r="AB734" s="302"/>
    </row>
    <row r="735">
      <c r="A735" s="320"/>
      <c r="B735" s="317"/>
      <c r="C735" s="301"/>
      <c r="D735" s="302"/>
      <c r="E735" s="301"/>
      <c r="F735" s="329"/>
      <c r="G735" s="301"/>
      <c r="H735" s="301"/>
      <c r="I735" s="329"/>
      <c r="J735" s="330"/>
      <c r="K735" s="301"/>
      <c r="L735" s="301"/>
      <c r="M735" s="302"/>
      <c r="N735" s="302"/>
      <c r="O735" s="302"/>
      <c r="P735" s="302"/>
      <c r="Q735" s="302"/>
      <c r="R735" s="302"/>
      <c r="S735" s="302"/>
      <c r="T735" s="302"/>
      <c r="U735" s="302"/>
      <c r="V735" s="302"/>
      <c r="W735" s="302"/>
      <c r="X735" s="302"/>
      <c r="Y735" s="302"/>
      <c r="Z735" s="302"/>
      <c r="AA735" s="302"/>
      <c r="AB735" s="302"/>
    </row>
    <row r="736">
      <c r="A736" s="320"/>
      <c r="B736" s="317"/>
      <c r="C736" s="301"/>
      <c r="D736" s="302"/>
      <c r="E736" s="301"/>
      <c r="F736" s="329"/>
      <c r="G736" s="301"/>
      <c r="H736" s="301"/>
      <c r="I736" s="329"/>
      <c r="J736" s="330"/>
      <c r="K736" s="301"/>
      <c r="L736" s="301"/>
      <c r="M736" s="302"/>
      <c r="N736" s="302"/>
      <c r="O736" s="302"/>
      <c r="P736" s="302"/>
      <c r="Q736" s="302"/>
      <c r="R736" s="302"/>
      <c r="S736" s="302"/>
      <c r="T736" s="302"/>
      <c r="U736" s="302"/>
      <c r="V736" s="302"/>
      <c r="W736" s="302"/>
      <c r="X736" s="302"/>
      <c r="Y736" s="302"/>
      <c r="Z736" s="302"/>
      <c r="AA736" s="302"/>
      <c r="AB736" s="302"/>
    </row>
    <row r="737">
      <c r="A737" s="320"/>
      <c r="B737" s="317"/>
      <c r="C737" s="301"/>
      <c r="D737" s="302"/>
      <c r="E737" s="301"/>
      <c r="F737" s="329"/>
      <c r="G737" s="301"/>
      <c r="H737" s="301"/>
      <c r="I737" s="329"/>
      <c r="J737" s="330"/>
      <c r="K737" s="301"/>
      <c r="L737" s="301"/>
      <c r="M737" s="302"/>
      <c r="N737" s="302"/>
      <c r="O737" s="302"/>
      <c r="P737" s="302"/>
      <c r="Q737" s="302"/>
      <c r="R737" s="302"/>
      <c r="S737" s="302"/>
      <c r="T737" s="302"/>
      <c r="U737" s="302"/>
      <c r="V737" s="302"/>
      <c r="W737" s="302"/>
      <c r="X737" s="302"/>
      <c r="Y737" s="302"/>
      <c r="Z737" s="302"/>
      <c r="AA737" s="302"/>
      <c r="AB737" s="302"/>
    </row>
    <row r="738">
      <c r="A738" s="320"/>
      <c r="B738" s="317"/>
      <c r="C738" s="301"/>
      <c r="D738" s="302"/>
      <c r="E738" s="301"/>
      <c r="F738" s="329"/>
      <c r="G738" s="301"/>
      <c r="H738" s="301"/>
      <c r="I738" s="329"/>
      <c r="J738" s="330"/>
      <c r="K738" s="301"/>
      <c r="L738" s="301"/>
      <c r="M738" s="302"/>
      <c r="N738" s="302"/>
      <c r="O738" s="302"/>
      <c r="P738" s="302"/>
      <c r="Q738" s="302"/>
      <c r="R738" s="302"/>
      <c r="S738" s="302"/>
      <c r="T738" s="302"/>
      <c r="U738" s="302"/>
      <c r="V738" s="302"/>
      <c r="W738" s="302"/>
      <c r="X738" s="302"/>
      <c r="Y738" s="302"/>
      <c r="Z738" s="302"/>
      <c r="AA738" s="302"/>
      <c r="AB738" s="302"/>
    </row>
    <row r="739">
      <c r="A739" s="320"/>
      <c r="B739" s="317"/>
      <c r="C739" s="301"/>
      <c r="D739" s="302"/>
      <c r="E739" s="301"/>
      <c r="F739" s="329"/>
      <c r="G739" s="301"/>
      <c r="H739" s="301"/>
      <c r="I739" s="329"/>
      <c r="J739" s="330"/>
      <c r="K739" s="301"/>
      <c r="L739" s="301"/>
      <c r="M739" s="302"/>
      <c r="N739" s="302"/>
      <c r="O739" s="302"/>
      <c r="P739" s="302"/>
      <c r="Q739" s="302"/>
      <c r="R739" s="302"/>
      <c r="S739" s="302"/>
      <c r="T739" s="302"/>
      <c r="U739" s="302"/>
      <c r="V739" s="302"/>
      <c r="W739" s="302"/>
      <c r="X739" s="302"/>
      <c r="Y739" s="302"/>
      <c r="Z739" s="302"/>
      <c r="AA739" s="302"/>
      <c r="AB739" s="302"/>
    </row>
    <row r="740">
      <c r="A740" s="320"/>
      <c r="B740" s="317"/>
      <c r="C740" s="301"/>
      <c r="D740" s="302"/>
      <c r="E740" s="301"/>
      <c r="F740" s="329"/>
      <c r="G740" s="301"/>
      <c r="H740" s="301"/>
      <c r="I740" s="329"/>
      <c r="J740" s="330"/>
      <c r="K740" s="301"/>
      <c r="L740" s="301"/>
      <c r="M740" s="302"/>
      <c r="N740" s="302"/>
      <c r="O740" s="302"/>
      <c r="P740" s="302"/>
      <c r="Q740" s="302"/>
      <c r="R740" s="302"/>
      <c r="S740" s="302"/>
      <c r="T740" s="302"/>
      <c r="U740" s="302"/>
      <c r="V740" s="302"/>
      <c r="W740" s="302"/>
      <c r="X740" s="302"/>
      <c r="Y740" s="302"/>
      <c r="Z740" s="302"/>
      <c r="AA740" s="302"/>
      <c r="AB740" s="302"/>
    </row>
    <row r="741">
      <c r="A741" s="320"/>
      <c r="B741" s="317"/>
      <c r="C741" s="301"/>
      <c r="D741" s="302"/>
      <c r="E741" s="301"/>
      <c r="F741" s="329"/>
      <c r="G741" s="301"/>
      <c r="H741" s="301"/>
      <c r="I741" s="329"/>
      <c r="J741" s="330"/>
      <c r="K741" s="301"/>
      <c r="L741" s="301"/>
      <c r="M741" s="302"/>
      <c r="N741" s="302"/>
      <c r="O741" s="302"/>
      <c r="P741" s="302"/>
      <c r="Q741" s="302"/>
      <c r="R741" s="302"/>
      <c r="S741" s="302"/>
      <c r="T741" s="302"/>
      <c r="U741" s="302"/>
      <c r="V741" s="302"/>
      <c r="W741" s="302"/>
      <c r="X741" s="302"/>
      <c r="Y741" s="302"/>
      <c r="Z741" s="302"/>
      <c r="AA741" s="302"/>
      <c r="AB741" s="302"/>
    </row>
    <row r="742">
      <c r="A742" s="320"/>
      <c r="B742" s="317"/>
      <c r="C742" s="301"/>
      <c r="D742" s="302"/>
      <c r="E742" s="301"/>
      <c r="F742" s="329"/>
      <c r="G742" s="301"/>
      <c r="H742" s="301"/>
      <c r="I742" s="329"/>
      <c r="J742" s="330"/>
      <c r="K742" s="301"/>
      <c r="L742" s="301"/>
      <c r="M742" s="302"/>
      <c r="N742" s="302"/>
      <c r="O742" s="302"/>
      <c r="P742" s="302"/>
      <c r="Q742" s="302"/>
      <c r="R742" s="302"/>
      <c r="S742" s="302"/>
      <c r="T742" s="302"/>
      <c r="U742" s="302"/>
      <c r="V742" s="302"/>
      <c r="W742" s="302"/>
      <c r="X742" s="302"/>
      <c r="Y742" s="302"/>
      <c r="Z742" s="302"/>
      <c r="AA742" s="302"/>
      <c r="AB742" s="302"/>
    </row>
    <row r="743">
      <c r="A743" s="320"/>
      <c r="B743" s="317"/>
      <c r="C743" s="301"/>
      <c r="D743" s="302"/>
      <c r="E743" s="301"/>
      <c r="F743" s="329"/>
      <c r="G743" s="301"/>
      <c r="H743" s="301"/>
      <c r="I743" s="329"/>
      <c r="J743" s="330"/>
      <c r="K743" s="301"/>
      <c r="L743" s="301"/>
      <c r="M743" s="302"/>
      <c r="N743" s="302"/>
      <c r="O743" s="302"/>
      <c r="P743" s="302"/>
      <c r="Q743" s="302"/>
      <c r="R743" s="302"/>
      <c r="S743" s="302"/>
      <c r="T743" s="302"/>
      <c r="U743" s="302"/>
      <c r="V743" s="302"/>
      <c r="W743" s="302"/>
      <c r="X743" s="302"/>
      <c r="Y743" s="302"/>
      <c r="Z743" s="302"/>
      <c r="AA743" s="302"/>
      <c r="AB743" s="302"/>
    </row>
    <row r="744">
      <c r="A744" s="320"/>
      <c r="B744" s="317"/>
      <c r="C744" s="301"/>
      <c r="D744" s="302"/>
      <c r="E744" s="301"/>
      <c r="F744" s="329"/>
      <c r="G744" s="301"/>
      <c r="H744" s="301"/>
      <c r="I744" s="329"/>
      <c r="J744" s="330"/>
      <c r="K744" s="301"/>
      <c r="L744" s="301"/>
      <c r="M744" s="302"/>
      <c r="N744" s="302"/>
      <c r="O744" s="302"/>
      <c r="P744" s="302"/>
      <c r="Q744" s="302"/>
      <c r="R744" s="302"/>
      <c r="S744" s="302"/>
      <c r="T744" s="302"/>
      <c r="U744" s="302"/>
      <c r="V744" s="302"/>
      <c r="W744" s="302"/>
      <c r="X744" s="302"/>
      <c r="Y744" s="302"/>
      <c r="Z744" s="302"/>
      <c r="AA744" s="302"/>
      <c r="AB744" s="302"/>
    </row>
    <row r="745">
      <c r="A745" s="320"/>
      <c r="B745" s="317"/>
      <c r="C745" s="301"/>
      <c r="D745" s="302"/>
      <c r="E745" s="301"/>
      <c r="F745" s="329"/>
      <c r="G745" s="301"/>
      <c r="H745" s="301"/>
      <c r="I745" s="329"/>
      <c r="J745" s="330"/>
      <c r="K745" s="301"/>
      <c r="L745" s="301"/>
      <c r="M745" s="302"/>
      <c r="N745" s="302"/>
      <c r="O745" s="302"/>
      <c r="P745" s="302"/>
      <c r="Q745" s="302"/>
      <c r="R745" s="302"/>
      <c r="S745" s="302"/>
      <c r="T745" s="302"/>
      <c r="U745" s="302"/>
      <c r="V745" s="302"/>
      <c r="W745" s="302"/>
      <c r="X745" s="302"/>
      <c r="Y745" s="302"/>
      <c r="Z745" s="302"/>
      <c r="AA745" s="302"/>
      <c r="AB745" s="302"/>
    </row>
    <row r="746">
      <c r="A746" s="320"/>
      <c r="B746" s="317"/>
      <c r="C746" s="301"/>
      <c r="D746" s="302"/>
      <c r="E746" s="301"/>
      <c r="F746" s="329"/>
      <c r="G746" s="301"/>
      <c r="H746" s="301"/>
      <c r="I746" s="329"/>
      <c r="J746" s="330"/>
      <c r="K746" s="301"/>
      <c r="L746" s="301"/>
      <c r="M746" s="302"/>
      <c r="N746" s="302"/>
      <c r="O746" s="302"/>
      <c r="P746" s="302"/>
      <c r="Q746" s="302"/>
      <c r="R746" s="302"/>
      <c r="S746" s="302"/>
      <c r="T746" s="302"/>
      <c r="U746" s="302"/>
      <c r="V746" s="302"/>
      <c r="W746" s="302"/>
      <c r="X746" s="302"/>
      <c r="Y746" s="302"/>
      <c r="Z746" s="302"/>
      <c r="AA746" s="302"/>
      <c r="AB746" s="302"/>
    </row>
    <row r="747">
      <c r="A747" s="320"/>
      <c r="B747" s="317"/>
      <c r="C747" s="301"/>
      <c r="D747" s="302"/>
      <c r="E747" s="301"/>
      <c r="F747" s="329"/>
      <c r="G747" s="301"/>
      <c r="H747" s="301"/>
      <c r="I747" s="329"/>
      <c r="J747" s="330"/>
      <c r="K747" s="301"/>
      <c r="L747" s="301"/>
      <c r="M747" s="302"/>
      <c r="N747" s="302"/>
      <c r="O747" s="302"/>
      <c r="P747" s="302"/>
      <c r="Q747" s="302"/>
      <c r="R747" s="302"/>
      <c r="S747" s="302"/>
      <c r="T747" s="302"/>
      <c r="U747" s="302"/>
      <c r="V747" s="302"/>
      <c r="W747" s="302"/>
      <c r="X747" s="302"/>
      <c r="Y747" s="302"/>
      <c r="Z747" s="302"/>
      <c r="AA747" s="302"/>
      <c r="AB747" s="302"/>
    </row>
    <row r="748">
      <c r="A748" s="320"/>
      <c r="B748" s="317"/>
      <c r="C748" s="301"/>
      <c r="D748" s="302"/>
      <c r="E748" s="301"/>
      <c r="F748" s="329"/>
      <c r="G748" s="301"/>
      <c r="H748" s="301"/>
      <c r="I748" s="329"/>
      <c r="J748" s="330"/>
      <c r="K748" s="301"/>
      <c r="L748" s="301"/>
      <c r="M748" s="302"/>
      <c r="N748" s="302"/>
      <c r="O748" s="302"/>
      <c r="P748" s="302"/>
      <c r="Q748" s="302"/>
      <c r="R748" s="302"/>
      <c r="S748" s="302"/>
      <c r="T748" s="302"/>
      <c r="U748" s="302"/>
      <c r="V748" s="302"/>
      <c r="W748" s="302"/>
      <c r="X748" s="302"/>
      <c r="Y748" s="302"/>
      <c r="Z748" s="302"/>
      <c r="AA748" s="302"/>
      <c r="AB748" s="302"/>
    </row>
    <row r="749">
      <c r="A749" s="320"/>
      <c r="B749" s="317"/>
      <c r="C749" s="301"/>
      <c r="D749" s="302"/>
      <c r="E749" s="301"/>
      <c r="F749" s="329"/>
      <c r="G749" s="301"/>
      <c r="H749" s="301"/>
      <c r="I749" s="329"/>
      <c r="J749" s="330"/>
      <c r="K749" s="301"/>
      <c r="L749" s="301"/>
      <c r="M749" s="302"/>
      <c r="N749" s="302"/>
      <c r="O749" s="302"/>
      <c r="P749" s="302"/>
      <c r="Q749" s="302"/>
      <c r="R749" s="302"/>
      <c r="S749" s="302"/>
      <c r="T749" s="302"/>
      <c r="U749" s="302"/>
      <c r="V749" s="302"/>
      <c r="W749" s="302"/>
      <c r="X749" s="302"/>
      <c r="Y749" s="302"/>
      <c r="Z749" s="302"/>
      <c r="AA749" s="302"/>
      <c r="AB749" s="302"/>
    </row>
    <row r="750">
      <c r="A750" s="320"/>
      <c r="B750" s="317"/>
      <c r="C750" s="301"/>
      <c r="D750" s="302"/>
      <c r="E750" s="301"/>
      <c r="F750" s="329"/>
      <c r="G750" s="301"/>
      <c r="H750" s="301"/>
      <c r="I750" s="329"/>
      <c r="J750" s="330"/>
      <c r="K750" s="301"/>
      <c r="L750" s="301"/>
      <c r="M750" s="302"/>
      <c r="N750" s="302"/>
      <c r="O750" s="302"/>
      <c r="P750" s="302"/>
      <c r="Q750" s="302"/>
      <c r="R750" s="302"/>
      <c r="S750" s="302"/>
      <c r="T750" s="302"/>
      <c r="U750" s="302"/>
      <c r="V750" s="302"/>
      <c r="W750" s="302"/>
      <c r="X750" s="302"/>
      <c r="Y750" s="302"/>
      <c r="Z750" s="302"/>
      <c r="AA750" s="302"/>
      <c r="AB750" s="302"/>
    </row>
    <row r="751">
      <c r="A751" s="320"/>
      <c r="B751" s="317"/>
      <c r="C751" s="301"/>
      <c r="D751" s="302"/>
      <c r="E751" s="301"/>
      <c r="F751" s="329"/>
      <c r="G751" s="301"/>
      <c r="H751" s="301"/>
      <c r="I751" s="329"/>
      <c r="J751" s="330"/>
      <c r="K751" s="301"/>
      <c r="L751" s="301"/>
      <c r="M751" s="302"/>
      <c r="N751" s="302"/>
      <c r="O751" s="302"/>
      <c r="P751" s="302"/>
      <c r="Q751" s="302"/>
      <c r="R751" s="302"/>
      <c r="S751" s="302"/>
      <c r="T751" s="302"/>
      <c r="U751" s="302"/>
      <c r="V751" s="302"/>
      <c r="W751" s="302"/>
      <c r="X751" s="302"/>
      <c r="Y751" s="302"/>
      <c r="Z751" s="302"/>
      <c r="AA751" s="302"/>
      <c r="AB751" s="302"/>
    </row>
    <row r="752">
      <c r="A752" s="320"/>
      <c r="B752" s="317"/>
      <c r="C752" s="301"/>
      <c r="D752" s="302"/>
      <c r="E752" s="301"/>
      <c r="F752" s="329"/>
      <c r="G752" s="301"/>
      <c r="H752" s="301"/>
      <c r="I752" s="329"/>
      <c r="J752" s="330"/>
      <c r="K752" s="301"/>
      <c r="L752" s="301"/>
      <c r="M752" s="302"/>
      <c r="N752" s="302"/>
      <c r="O752" s="302"/>
      <c r="P752" s="302"/>
      <c r="Q752" s="302"/>
      <c r="R752" s="302"/>
      <c r="S752" s="302"/>
      <c r="T752" s="302"/>
      <c r="U752" s="302"/>
      <c r="V752" s="302"/>
      <c r="W752" s="302"/>
      <c r="X752" s="302"/>
      <c r="Y752" s="302"/>
      <c r="Z752" s="302"/>
      <c r="AA752" s="302"/>
      <c r="AB752" s="302"/>
    </row>
    <row r="753">
      <c r="A753" s="320"/>
      <c r="B753" s="317"/>
      <c r="C753" s="301"/>
      <c r="D753" s="302"/>
      <c r="E753" s="301"/>
      <c r="F753" s="329"/>
      <c r="G753" s="301"/>
      <c r="H753" s="301"/>
      <c r="I753" s="329"/>
      <c r="J753" s="330"/>
      <c r="K753" s="301"/>
      <c r="L753" s="301"/>
      <c r="M753" s="302"/>
      <c r="N753" s="302"/>
      <c r="O753" s="302"/>
      <c r="P753" s="302"/>
      <c r="Q753" s="302"/>
      <c r="R753" s="302"/>
      <c r="S753" s="302"/>
      <c r="T753" s="302"/>
      <c r="U753" s="302"/>
      <c r="V753" s="302"/>
      <c r="W753" s="302"/>
      <c r="X753" s="302"/>
      <c r="Y753" s="302"/>
      <c r="Z753" s="302"/>
      <c r="AA753" s="302"/>
      <c r="AB753" s="302"/>
    </row>
    <row r="754">
      <c r="A754" s="320"/>
      <c r="B754" s="317"/>
      <c r="C754" s="301"/>
      <c r="D754" s="302"/>
      <c r="E754" s="301"/>
      <c r="F754" s="329"/>
      <c r="G754" s="301"/>
      <c r="H754" s="301"/>
      <c r="I754" s="329"/>
      <c r="J754" s="330"/>
      <c r="K754" s="301"/>
      <c r="L754" s="301"/>
      <c r="M754" s="302"/>
      <c r="N754" s="302"/>
      <c r="O754" s="302"/>
      <c r="P754" s="302"/>
      <c r="Q754" s="302"/>
      <c r="R754" s="302"/>
      <c r="S754" s="302"/>
      <c r="T754" s="302"/>
      <c r="U754" s="302"/>
      <c r="V754" s="302"/>
      <c r="W754" s="302"/>
      <c r="X754" s="302"/>
      <c r="Y754" s="302"/>
      <c r="Z754" s="302"/>
      <c r="AA754" s="302"/>
      <c r="AB754" s="302"/>
    </row>
    <row r="755">
      <c r="A755" s="320"/>
      <c r="B755" s="317"/>
      <c r="C755" s="301"/>
      <c r="D755" s="302"/>
      <c r="E755" s="301"/>
      <c r="F755" s="329"/>
      <c r="G755" s="301"/>
      <c r="H755" s="301"/>
      <c r="I755" s="329"/>
      <c r="J755" s="330"/>
      <c r="K755" s="301"/>
      <c r="L755" s="301"/>
      <c r="M755" s="302"/>
      <c r="N755" s="302"/>
      <c r="O755" s="302"/>
      <c r="P755" s="302"/>
      <c r="Q755" s="302"/>
      <c r="R755" s="302"/>
      <c r="S755" s="302"/>
      <c r="T755" s="302"/>
      <c r="U755" s="302"/>
      <c r="V755" s="302"/>
      <c r="W755" s="302"/>
      <c r="X755" s="302"/>
      <c r="Y755" s="302"/>
      <c r="Z755" s="302"/>
      <c r="AA755" s="302"/>
      <c r="AB755" s="302"/>
    </row>
    <row r="756">
      <c r="A756" s="320"/>
      <c r="B756" s="317"/>
      <c r="C756" s="301"/>
      <c r="D756" s="302"/>
      <c r="E756" s="301"/>
      <c r="F756" s="329"/>
      <c r="G756" s="301"/>
      <c r="H756" s="301"/>
      <c r="I756" s="329"/>
      <c r="J756" s="330"/>
      <c r="K756" s="301"/>
      <c r="L756" s="301"/>
      <c r="M756" s="302"/>
      <c r="N756" s="302"/>
      <c r="O756" s="302"/>
      <c r="P756" s="302"/>
      <c r="Q756" s="302"/>
      <c r="R756" s="302"/>
      <c r="S756" s="302"/>
      <c r="T756" s="302"/>
      <c r="U756" s="302"/>
      <c r="V756" s="302"/>
      <c r="W756" s="302"/>
      <c r="X756" s="302"/>
      <c r="Y756" s="302"/>
      <c r="Z756" s="302"/>
      <c r="AA756" s="302"/>
      <c r="AB756" s="302"/>
    </row>
    <row r="757">
      <c r="A757" s="320"/>
      <c r="B757" s="317"/>
      <c r="C757" s="301"/>
      <c r="D757" s="302"/>
      <c r="E757" s="301"/>
      <c r="F757" s="329"/>
      <c r="G757" s="301"/>
      <c r="H757" s="301"/>
      <c r="I757" s="329"/>
      <c r="J757" s="330"/>
      <c r="K757" s="301"/>
      <c r="L757" s="301"/>
      <c r="M757" s="302"/>
      <c r="N757" s="302"/>
      <c r="O757" s="302"/>
      <c r="P757" s="302"/>
      <c r="Q757" s="302"/>
      <c r="R757" s="302"/>
      <c r="S757" s="302"/>
      <c r="T757" s="302"/>
      <c r="U757" s="302"/>
      <c r="V757" s="302"/>
      <c r="W757" s="302"/>
      <c r="X757" s="302"/>
      <c r="Y757" s="302"/>
      <c r="Z757" s="302"/>
      <c r="AA757" s="302"/>
      <c r="AB757" s="302"/>
    </row>
    <row r="758">
      <c r="A758" s="320"/>
      <c r="B758" s="317"/>
      <c r="C758" s="301"/>
      <c r="D758" s="302"/>
      <c r="E758" s="301"/>
      <c r="F758" s="329"/>
      <c r="G758" s="301"/>
      <c r="H758" s="301"/>
      <c r="I758" s="329"/>
      <c r="J758" s="330"/>
      <c r="K758" s="301"/>
      <c r="L758" s="301"/>
      <c r="M758" s="302"/>
      <c r="N758" s="302"/>
      <c r="O758" s="302"/>
      <c r="P758" s="302"/>
      <c r="Q758" s="302"/>
      <c r="R758" s="302"/>
      <c r="S758" s="302"/>
      <c r="T758" s="302"/>
      <c r="U758" s="302"/>
      <c r="V758" s="302"/>
      <c r="W758" s="302"/>
      <c r="X758" s="302"/>
      <c r="Y758" s="302"/>
      <c r="Z758" s="302"/>
      <c r="AA758" s="302"/>
      <c r="AB758" s="302"/>
    </row>
    <row r="759">
      <c r="A759" s="320"/>
      <c r="B759" s="317"/>
      <c r="C759" s="301"/>
      <c r="D759" s="302"/>
      <c r="E759" s="301"/>
      <c r="F759" s="329"/>
      <c r="G759" s="301"/>
      <c r="H759" s="301"/>
      <c r="I759" s="329"/>
      <c r="J759" s="330"/>
      <c r="K759" s="301"/>
      <c r="L759" s="301"/>
      <c r="M759" s="302"/>
      <c r="N759" s="302"/>
      <c r="O759" s="302"/>
      <c r="P759" s="302"/>
      <c r="Q759" s="302"/>
      <c r="R759" s="302"/>
      <c r="S759" s="302"/>
      <c r="T759" s="302"/>
      <c r="U759" s="302"/>
      <c r="V759" s="302"/>
      <c r="W759" s="302"/>
      <c r="X759" s="302"/>
      <c r="Y759" s="302"/>
      <c r="Z759" s="302"/>
      <c r="AA759" s="302"/>
      <c r="AB759" s="302"/>
    </row>
    <row r="760">
      <c r="A760" s="320"/>
      <c r="B760" s="317"/>
      <c r="C760" s="301"/>
      <c r="D760" s="302"/>
      <c r="E760" s="301"/>
      <c r="F760" s="329"/>
      <c r="G760" s="301"/>
      <c r="H760" s="301"/>
      <c r="I760" s="329"/>
      <c r="J760" s="330"/>
      <c r="K760" s="301"/>
      <c r="L760" s="301"/>
      <c r="M760" s="302"/>
      <c r="N760" s="302"/>
      <c r="O760" s="302"/>
      <c r="P760" s="302"/>
      <c r="Q760" s="302"/>
      <c r="R760" s="302"/>
      <c r="S760" s="302"/>
      <c r="T760" s="302"/>
      <c r="U760" s="302"/>
      <c r="V760" s="302"/>
      <c r="W760" s="302"/>
      <c r="X760" s="302"/>
      <c r="Y760" s="302"/>
      <c r="Z760" s="302"/>
      <c r="AA760" s="302"/>
      <c r="AB760" s="302"/>
    </row>
    <row r="761">
      <c r="A761" s="320"/>
      <c r="B761" s="317"/>
      <c r="C761" s="301"/>
      <c r="D761" s="302"/>
      <c r="E761" s="301"/>
      <c r="F761" s="329"/>
      <c r="G761" s="301"/>
      <c r="H761" s="301"/>
      <c r="I761" s="329"/>
      <c r="J761" s="330"/>
      <c r="K761" s="301"/>
      <c r="L761" s="301"/>
      <c r="M761" s="302"/>
      <c r="N761" s="302"/>
      <c r="O761" s="302"/>
      <c r="P761" s="302"/>
      <c r="Q761" s="302"/>
      <c r="R761" s="302"/>
      <c r="S761" s="302"/>
      <c r="T761" s="302"/>
      <c r="U761" s="302"/>
      <c r="V761" s="302"/>
      <c r="W761" s="302"/>
      <c r="X761" s="302"/>
      <c r="Y761" s="302"/>
      <c r="Z761" s="302"/>
      <c r="AA761" s="302"/>
      <c r="AB761" s="302"/>
    </row>
    <row r="762">
      <c r="A762" s="320"/>
      <c r="B762" s="317"/>
      <c r="C762" s="301"/>
      <c r="D762" s="302"/>
      <c r="E762" s="301"/>
      <c r="F762" s="329"/>
      <c r="G762" s="301"/>
      <c r="H762" s="301"/>
      <c r="I762" s="329"/>
      <c r="J762" s="330"/>
      <c r="K762" s="301"/>
      <c r="L762" s="301"/>
      <c r="M762" s="302"/>
      <c r="N762" s="302"/>
      <c r="O762" s="302"/>
      <c r="P762" s="302"/>
      <c r="Q762" s="302"/>
      <c r="R762" s="302"/>
      <c r="S762" s="302"/>
      <c r="T762" s="302"/>
      <c r="U762" s="302"/>
      <c r="V762" s="302"/>
      <c r="W762" s="302"/>
      <c r="X762" s="302"/>
      <c r="Y762" s="302"/>
      <c r="Z762" s="302"/>
      <c r="AA762" s="302"/>
      <c r="AB762" s="302"/>
    </row>
    <row r="763">
      <c r="A763" s="320"/>
      <c r="B763" s="317"/>
      <c r="C763" s="301"/>
      <c r="D763" s="302"/>
      <c r="E763" s="301"/>
      <c r="F763" s="329"/>
      <c r="G763" s="301"/>
      <c r="H763" s="301"/>
      <c r="I763" s="329"/>
      <c r="J763" s="330"/>
      <c r="K763" s="301"/>
      <c r="L763" s="301"/>
      <c r="M763" s="302"/>
      <c r="N763" s="302"/>
      <c r="O763" s="302"/>
      <c r="P763" s="302"/>
      <c r="Q763" s="302"/>
      <c r="R763" s="302"/>
      <c r="S763" s="302"/>
      <c r="T763" s="302"/>
      <c r="U763" s="302"/>
      <c r="V763" s="302"/>
      <c r="W763" s="302"/>
      <c r="X763" s="302"/>
      <c r="Y763" s="302"/>
      <c r="Z763" s="302"/>
      <c r="AA763" s="302"/>
      <c r="AB763" s="302"/>
    </row>
    <row r="764">
      <c r="A764" s="320"/>
      <c r="B764" s="317"/>
      <c r="C764" s="301"/>
      <c r="D764" s="302"/>
      <c r="E764" s="301"/>
      <c r="F764" s="329"/>
      <c r="G764" s="301"/>
      <c r="H764" s="301"/>
      <c r="I764" s="329"/>
      <c r="J764" s="330"/>
      <c r="K764" s="301"/>
      <c r="L764" s="301"/>
      <c r="M764" s="302"/>
      <c r="N764" s="302"/>
      <c r="O764" s="302"/>
      <c r="P764" s="302"/>
      <c r="Q764" s="302"/>
      <c r="R764" s="302"/>
      <c r="S764" s="302"/>
      <c r="T764" s="302"/>
      <c r="U764" s="302"/>
      <c r="V764" s="302"/>
      <c r="W764" s="302"/>
      <c r="X764" s="302"/>
      <c r="Y764" s="302"/>
      <c r="Z764" s="302"/>
      <c r="AA764" s="302"/>
      <c r="AB764" s="302"/>
    </row>
    <row r="765">
      <c r="A765" s="320"/>
      <c r="B765" s="317"/>
      <c r="C765" s="301"/>
      <c r="D765" s="302"/>
      <c r="E765" s="301"/>
      <c r="F765" s="329"/>
      <c r="G765" s="301"/>
      <c r="H765" s="301"/>
      <c r="I765" s="329"/>
      <c r="J765" s="330"/>
      <c r="K765" s="301"/>
      <c r="L765" s="301"/>
      <c r="M765" s="302"/>
      <c r="N765" s="302"/>
      <c r="O765" s="302"/>
      <c r="P765" s="302"/>
      <c r="Q765" s="302"/>
      <c r="R765" s="302"/>
      <c r="S765" s="302"/>
      <c r="T765" s="302"/>
      <c r="U765" s="302"/>
      <c r="V765" s="302"/>
      <c r="W765" s="302"/>
      <c r="X765" s="302"/>
      <c r="Y765" s="302"/>
      <c r="Z765" s="302"/>
      <c r="AA765" s="302"/>
      <c r="AB765" s="302"/>
    </row>
    <row r="766">
      <c r="A766" s="320"/>
      <c r="B766" s="317"/>
      <c r="C766" s="301"/>
      <c r="D766" s="302"/>
      <c r="E766" s="301"/>
      <c r="F766" s="329"/>
      <c r="G766" s="301"/>
      <c r="H766" s="301"/>
      <c r="I766" s="329"/>
      <c r="J766" s="330"/>
      <c r="K766" s="301"/>
      <c r="L766" s="301"/>
      <c r="M766" s="302"/>
      <c r="N766" s="302"/>
      <c r="O766" s="302"/>
      <c r="P766" s="302"/>
      <c r="Q766" s="302"/>
      <c r="R766" s="302"/>
      <c r="S766" s="302"/>
      <c r="T766" s="302"/>
      <c r="U766" s="302"/>
      <c r="V766" s="302"/>
      <c r="W766" s="302"/>
      <c r="X766" s="302"/>
      <c r="Y766" s="302"/>
      <c r="Z766" s="302"/>
      <c r="AA766" s="302"/>
      <c r="AB766" s="302"/>
    </row>
    <row r="767">
      <c r="A767" s="320"/>
      <c r="B767" s="317"/>
      <c r="C767" s="301"/>
      <c r="D767" s="302"/>
      <c r="E767" s="301"/>
      <c r="F767" s="329"/>
      <c r="G767" s="301"/>
      <c r="H767" s="301"/>
      <c r="I767" s="329"/>
      <c r="J767" s="330"/>
      <c r="K767" s="301"/>
      <c r="L767" s="301"/>
      <c r="M767" s="302"/>
      <c r="N767" s="302"/>
      <c r="O767" s="302"/>
      <c r="P767" s="302"/>
      <c r="Q767" s="302"/>
      <c r="R767" s="302"/>
      <c r="S767" s="302"/>
      <c r="T767" s="302"/>
      <c r="U767" s="302"/>
      <c r="V767" s="302"/>
      <c r="W767" s="302"/>
      <c r="X767" s="302"/>
      <c r="Y767" s="302"/>
      <c r="Z767" s="302"/>
      <c r="AA767" s="302"/>
      <c r="AB767" s="302"/>
    </row>
    <row r="768">
      <c r="A768" s="320"/>
      <c r="B768" s="317"/>
      <c r="C768" s="301"/>
      <c r="D768" s="302"/>
      <c r="E768" s="301"/>
      <c r="F768" s="329"/>
      <c r="G768" s="301"/>
      <c r="H768" s="301"/>
      <c r="I768" s="329"/>
      <c r="J768" s="330"/>
      <c r="K768" s="301"/>
      <c r="L768" s="301"/>
      <c r="M768" s="302"/>
      <c r="N768" s="302"/>
      <c r="O768" s="302"/>
      <c r="P768" s="302"/>
      <c r="Q768" s="302"/>
      <c r="R768" s="302"/>
      <c r="S768" s="302"/>
      <c r="T768" s="302"/>
      <c r="U768" s="302"/>
      <c r="V768" s="302"/>
      <c r="W768" s="302"/>
      <c r="X768" s="302"/>
      <c r="Y768" s="302"/>
      <c r="Z768" s="302"/>
      <c r="AA768" s="302"/>
      <c r="AB768" s="302"/>
    </row>
    <row r="769">
      <c r="A769" s="320"/>
      <c r="B769" s="317"/>
      <c r="C769" s="301"/>
      <c r="D769" s="302"/>
      <c r="E769" s="301"/>
      <c r="F769" s="329"/>
      <c r="G769" s="301"/>
      <c r="H769" s="301"/>
      <c r="I769" s="329"/>
      <c r="J769" s="330"/>
      <c r="K769" s="301"/>
      <c r="L769" s="301"/>
      <c r="M769" s="302"/>
      <c r="N769" s="302"/>
      <c r="O769" s="302"/>
      <c r="P769" s="302"/>
      <c r="Q769" s="302"/>
      <c r="R769" s="302"/>
      <c r="S769" s="302"/>
      <c r="T769" s="302"/>
      <c r="U769" s="302"/>
      <c r="V769" s="302"/>
      <c r="W769" s="302"/>
      <c r="X769" s="302"/>
      <c r="Y769" s="302"/>
      <c r="Z769" s="302"/>
      <c r="AA769" s="302"/>
      <c r="AB769" s="302"/>
    </row>
    <row r="770">
      <c r="A770" s="320"/>
      <c r="B770" s="317"/>
      <c r="C770" s="301"/>
      <c r="D770" s="302"/>
      <c r="E770" s="301"/>
      <c r="F770" s="329"/>
      <c r="G770" s="301"/>
      <c r="H770" s="301"/>
      <c r="I770" s="329"/>
      <c r="J770" s="330"/>
      <c r="K770" s="301"/>
      <c r="L770" s="301"/>
      <c r="M770" s="302"/>
      <c r="N770" s="302"/>
      <c r="O770" s="302"/>
      <c r="P770" s="302"/>
      <c r="Q770" s="302"/>
      <c r="R770" s="302"/>
      <c r="S770" s="302"/>
      <c r="T770" s="302"/>
      <c r="U770" s="302"/>
      <c r="V770" s="302"/>
      <c r="W770" s="302"/>
      <c r="X770" s="302"/>
      <c r="Y770" s="302"/>
      <c r="Z770" s="302"/>
      <c r="AA770" s="302"/>
      <c r="AB770" s="302"/>
    </row>
    <row r="771">
      <c r="A771" s="320"/>
      <c r="B771" s="317"/>
      <c r="C771" s="301"/>
      <c r="D771" s="302"/>
      <c r="E771" s="301"/>
      <c r="F771" s="329"/>
      <c r="G771" s="301"/>
      <c r="H771" s="301"/>
      <c r="I771" s="329"/>
      <c r="J771" s="330"/>
      <c r="K771" s="301"/>
      <c r="L771" s="301"/>
      <c r="M771" s="302"/>
      <c r="N771" s="302"/>
      <c r="O771" s="302"/>
      <c r="P771" s="302"/>
      <c r="Q771" s="302"/>
      <c r="R771" s="302"/>
      <c r="S771" s="302"/>
      <c r="T771" s="302"/>
      <c r="U771" s="302"/>
      <c r="V771" s="302"/>
      <c r="W771" s="302"/>
      <c r="X771" s="302"/>
      <c r="Y771" s="302"/>
      <c r="Z771" s="302"/>
      <c r="AA771" s="302"/>
      <c r="AB771" s="302"/>
    </row>
    <row r="772">
      <c r="A772" s="320"/>
      <c r="B772" s="317"/>
      <c r="C772" s="301"/>
      <c r="D772" s="302"/>
      <c r="E772" s="301"/>
      <c r="F772" s="329"/>
      <c r="G772" s="301"/>
      <c r="H772" s="301"/>
      <c r="I772" s="329"/>
      <c r="J772" s="330"/>
      <c r="K772" s="301"/>
      <c r="L772" s="301"/>
      <c r="M772" s="302"/>
      <c r="N772" s="302"/>
      <c r="O772" s="302"/>
      <c r="P772" s="302"/>
      <c r="Q772" s="302"/>
      <c r="R772" s="302"/>
      <c r="S772" s="302"/>
      <c r="T772" s="302"/>
      <c r="U772" s="302"/>
      <c r="V772" s="302"/>
      <c r="W772" s="302"/>
      <c r="X772" s="302"/>
      <c r="Y772" s="302"/>
      <c r="Z772" s="302"/>
      <c r="AA772" s="302"/>
      <c r="AB772" s="302"/>
    </row>
    <row r="773">
      <c r="A773" s="320"/>
      <c r="B773" s="317"/>
      <c r="C773" s="301"/>
      <c r="D773" s="302"/>
      <c r="E773" s="301"/>
      <c r="F773" s="329"/>
      <c r="G773" s="301"/>
      <c r="H773" s="301"/>
      <c r="I773" s="329"/>
      <c r="J773" s="330"/>
      <c r="K773" s="301"/>
      <c r="L773" s="301"/>
      <c r="M773" s="302"/>
      <c r="N773" s="302"/>
      <c r="O773" s="302"/>
      <c r="P773" s="302"/>
      <c r="Q773" s="302"/>
      <c r="R773" s="302"/>
      <c r="S773" s="302"/>
      <c r="T773" s="302"/>
      <c r="U773" s="302"/>
      <c r="V773" s="302"/>
      <c r="W773" s="302"/>
      <c r="X773" s="302"/>
      <c r="Y773" s="302"/>
      <c r="Z773" s="302"/>
      <c r="AA773" s="302"/>
      <c r="AB773" s="302"/>
    </row>
    <row r="774">
      <c r="A774" s="320"/>
      <c r="B774" s="317"/>
      <c r="C774" s="301"/>
      <c r="D774" s="302"/>
      <c r="E774" s="301"/>
      <c r="F774" s="329"/>
      <c r="G774" s="301"/>
      <c r="H774" s="301"/>
      <c r="I774" s="329"/>
      <c r="J774" s="330"/>
      <c r="K774" s="301"/>
      <c r="L774" s="301"/>
      <c r="M774" s="302"/>
      <c r="N774" s="302"/>
      <c r="O774" s="302"/>
      <c r="P774" s="302"/>
      <c r="Q774" s="302"/>
      <c r="R774" s="302"/>
      <c r="S774" s="302"/>
      <c r="T774" s="302"/>
      <c r="U774" s="302"/>
      <c r="V774" s="302"/>
      <c r="W774" s="302"/>
      <c r="X774" s="302"/>
      <c r="Y774" s="302"/>
      <c r="Z774" s="302"/>
      <c r="AA774" s="302"/>
      <c r="AB774" s="302"/>
    </row>
    <row r="775">
      <c r="A775" s="320"/>
      <c r="B775" s="317"/>
      <c r="C775" s="301"/>
      <c r="D775" s="302"/>
      <c r="E775" s="301"/>
      <c r="F775" s="329"/>
      <c r="G775" s="301"/>
      <c r="H775" s="301"/>
      <c r="I775" s="329"/>
      <c r="J775" s="330"/>
      <c r="K775" s="301"/>
      <c r="L775" s="301"/>
      <c r="M775" s="302"/>
      <c r="N775" s="302"/>
      <c r="O775" s="302"/>
      <c r="P775" s="302"/>
      <c r="Q775" s="302"/>
      <c r="R775" s="302"/>
      <c r="S775" s="302"/>
      <c r="T775" s="302"/>
      <c r="U775" s="302"/>
      <c r="V775" s="302"/>
      <c r="W775" s="302"/>
      <c r="X775" s="302"/>
      <c r="Y775" s="302"/>
      <c r="Z775" s="302"/>
      <c r="AA775" s="302"/>
      <c r="AB775" s="302"/>
    </row>
    <row r="776">
      <c r="A776" s="320"/>
      <c r="B776" s="317"/>
      <c r="C776" s="301"/>
      <c r="D776" s="302"/>
      <c r="E776" s="301"/>
      <c r="F776" s="329"/>
      <c r="G776" s="301"/>
      <c r="H776" s="301"/>
      <c r="I776" s="329"/>
      <c r="J776" s="330"/>
      <c r="K776" s="301"/>
      <c r="L776" s="301"/>
      <c r="M776" s="302"/>
      <c r="N776" s="302"/>
      <c r="O776" s="302"/>
      <c r="P776" s="302"/>
      <c r="Q776" s="302"/>
      <c r="R776" s="302"/>
      <c r="S776" s="302"/>
      <c r="T776" s="302"/>
      <c r="U776" s="302"/>
      <c r="V776" s="302"/>
      <c r="W776" s="302"/>
      <c r="X776" s="302"/>
      <c r="Y776" s="302"/>
      <c r="Z776" s="302"/>
      <c r="AA776" s="302"/>
      <c r="AB776" s="302"/>
    </row>
    <row r="777">
      <c r="A777" s="320"/>
      <c r="B777" s="317"/>
      <c r="C777" s="301"/>
      <c r="D777" s="302"/>
      <c r="E777" s="301"/>
      <c r="F777" s="329"/>
      <c r="G777" s="301"/>
      <c r="H777" s="301"/>
      <c r="I777" s="329"/>
      <c r="J777" s="330"/>
      <c r="K777" s="301"/>
      <c r="L777" s="301"/>
      <c r="M777" s="302"/>
      <c r="N777" s="302"/>
      <c r="O777" s="302"/>
      <c r="P777" s="302"/>
      <c r="Q777" s="302"/>
      <c r="R777" s="302"/>
      <c r="S777" s="302"/>
      <c r="T777" s="302"/>
      <c r="U777" s="302"/>
      <c r="V777" s="302"/>
      <c r="W777" s="302"/>
      <c r="X777" s="302"/>
      <c r="Y777" s="302"/>
      <c r="Z777" s="302"/>
      <c r="AA777" s="302"/>
      <c r="AB777" s="302"/>
    </row>
    <row r="778">
      <c r="A778" s="320"/>
      <c r="B778" s="317"/>
      <c r="C778" s="301"/>
      <c r="D778" s="302"/>
      <c r="E778" s="301"/>
      <c r="F778" s="329"/>
      <c r="G778" s="301"/>
      <c r="H778" s="301"/>
      <c r="I778" s="329"/>
      <c r="J778" s="330"/>
      <c r="K778" s="301"/>
      <c r="L778" s="301"/>
      <c r="M778" s="302"/>
      <c r="N778" s="302"/>
      <c r="O778" s="302"/>
      <c r="P778" s="302"/>
      <c r="Q778" s="302"/>
      <c r="R778" s="302"/>
      <c r="S778" s="302"/>
      <c r="T778" s="302"/>
      <c r="U778" s="302"/>
      <c r="V778" s="302"/>
      <c r="W778" s="302"/>
      <c r="X778" s="302"/>
      <c r="Y778" s="302"/>
      <c r="Z778" s="302"/>
      <c r="AA778" s="302"/>
      <c r="AB778" s="302"/>
    </row>
    <row r="779">
      <c r="A779" s="320"/>
      <c r="B779" s="317"/>
      <c r="C779" s="301"/>
      <c r="D779" s="302"/>
      <c r="E779" s="301"/>
      <c r="F779" s="329"/>
      <c r="G779" s="301"/>
      <c r="H779" s="301"/>
      <c r="I779" s="329"/>
      <c r="J779" s="330"/>
      <c r="K779" s="301"/>
      <c r="L779" s="301"/>
      <c r="M779" s="302"/>
      <c r="N779" s="302"/>
      <c r="O779" s="302"/>
      <c r="P779" s="302"/>
      <c r="Q779" s="302"/>
      <c r="R779" s="302"/>
      <c r="S779" s="302"/>
      <c r="T779" s="302"/>
      <c r="U779" s="302"/>
      <c r="V779" s="302"/>
      <c r="W779" s="302"/>
      <c r="X779" s="302"/>
      <c r="Y779" s="302"/>
      <c r="Z779" s="302"/>
      <c r="AA779" s="302"/>
      <c r="AB779" s="302"/>
    </row>
    <row r="780">
      <c r="A780" s="320"/>
      <c r="B780" s="317"/>
      <c r="C780" s="301"/>
      <c r="D780" s="302"/>
      <c r="E780" s="301"/>
      <c r="F780" s="329"/>
      <c r="G780" s="301"/>
      <c r="H780" s="301"/>
      <c r="I780" s="329"/>
      <c r="J780" s="330"/>
      <c r="K780" s="301"/>
      <c r="L780" s="301"/>
      <c r="M780" s="302"/>
      <c r="N780" s="302"/>
      <c r="O780" s="302"/>
      <c r="P780" s="302"/>
      <c r="Q780" s="302"/>
      <c r="R780" s="302"/>
      <c r="S780" s="302"/>
      <c r="T780" s="302"/>
      <c r="U780" s="302"/>
      <c r="V780" s="302"/>
      <c r="W780" s="302"/>
      <c r="X780" s="302"/>
      <c r="Y780" s="302"/>
      <c r="Z780" s="302"/>
      <c r="AA780" s="302"/>
      <c r="AB780" s="302"/>
    </row>
    <row r="781">
      <c r="A781" s="320"/>
      <c r="B781" s="317"/>
      <c r="C781" s="301"/>
      <c r="D781" s="302"/>
      <c r="E781" s="301"/>
      <c r="F781" s="329"/>
      <c r="G781" s="301"/>
      <c r="H781" s="301"/>
      <c r="I781" s="329"/>
      <c r="J781" s="330"/>
      <c r="K781" s="301"/>
      <c r="L781" s="301"/>
      <c r="M781" s="302"/>
      <c r="N781" s="302"/>
      <c r="O781" s="302"/>
      <c r="P781" s="302"/>
      <c r="Q781" s="302"/>
      <c r="R781" s="302"/>
      <c r="S781" s="302"/>
      <c r="T781" s="302"/>
      <c r="U781" s="302"/>
      <c r="V781" s="302"/>
      <c r="W781" s="302"/>
      <c r="X781" s="302"/>
      <c r="Y781" s="302"/>
      <c r="Z781" s="302"/>
      <c r="AA781" s="302"/>
      <c r="AB781" s="302"/>
    </row>
    <row r="782">
      <c r="A782" s="320"/>
      <c r="B782" s="317"/>
      <c r="C782" s="301"/>
      <c r="D782" s="302"/>
      <c r="E782" s="301"/>
      <c r="F782" s="329"/>
      <c r="G782" s="301"/>
      <c r="H782" s="301"/>
      <c r="I782" s="329"/>
      <c r="J782" s="330"/>
      <c r="K782" s="301"/>
      <c r="L782" s="301"/>
      <c r="M782" s="302"/>
      <c r="N782" s="302"/>
      <c r="O782" s="302"/>
      <c r="P782" s="302"/>
      <c r="Q782" s="302"/>
      <c r="R782" s="302"/>
      <c r="S782" s="302"/>
      <c r="T782" s="302"/>
      <c r="U782" s="302"/>
      <c r="V782" s="302"/>
      <c r="W782" s="302"/>
      <c r="X782" s="302"/>
      <c r="Y782" s="302"/>
      <c r="Z782" s="302"/>
      <c r="AA782" s="302"/>
      <c r="AB782" s="302"/>
    </row>
    <row r="783">
      <c r="A783" s="320"/>
      <c r="B783" s="317"/>
      <c r="C783" s="301"/>
      <c r="D783" s="302"/>
      <c r="E783" s="301"/>
      <c r="F783" s="329"/>
      <c r="G783" s="301"/>
      <c r="H783" s="301"/>
      <c r="I783" s="329"/>
      <c r="J783" s="330"/>
      <c r="K783" s="301"/>
      <c r="L783" s="301"/>
      <c r="M783" s="302"/>
      <c r="N783" s="302"/>
      <c r="O783" s="302"/>
      <c r="P783" s="302"/>
      <c r="Q783" s="302"/>
      <c r="R783" s="302"/>
      <c r="S783" s="302"/>
      <c r="T783" s="302"/>
      <c r="U783" s="302"/>
      <c r="V783" s="302"/>
      <c r="W783" s="302"/>
      <c r="X783" s="302"/>
      <c r="Y783" s="302"/>
      <c r="Z783" s="302"/>
      <c r="AA783" s="302"/>
      <c r="AB783" s="302"/>
    </row>
    <row r="784">
      <c r="A784" s="320"/>
      <c r="B784" s="317"/>
      <c r="C784" s="301"/>
      <c r="D784" s="302"/>
      <c r="E784" s="301"/>
      <c r="F784" s="329"/>
      <c r="G784" s="301"/>
      <c r="H784" s="301"/>
      <c r="I784" s="329"/>
      <c r="J784" s="330"/>
      <c r="K784" s="301"/>
      <c r="L784" s="301"/>
      <c r="M784" s="302"/>
      <c r="N784" s="302"/>
      <c r="O784" s="302"/>
      <c r="P784" s="302"/>
      <c r="Q784" s="302"/>
      <c r="R784" s="302"/>
      <c r="S784" s="302"/>
      <c r="T784" s="302"/>
      <c r="U784" s="302"/>
      <c r="V784" s="302"/>
      <c r="W784" s="302"/>
      <c r="X784" s="302"/>
      <c r="Y784" s="302"/>
      <c r="Z784" s="302"/>
      <c r="AA784" s="302"/>
      <c r="AB784" s="302"/>
    </row>
    <row r="785">
      <c r="A785" s="320"/>
      <c r="B785" s="317"/>
      <c r="C785" s="301"/>
      <c r="D785" s="302"/>
      <c r="E785" s="301"/>
      <c r="F785" s="329"/>
      <c r="G785" s="301"/>
      <c r="H785" s="301"/>
      <c r="I785" s="329"/>
      <c r="J785" s="330"/>
      <c r="K785" s="301"/>
      <c r="L785" s="301"/>
      <c r="M785" s="302"/>
      <c r="N785" s="302"/>
      <c r="O785" s="302"/>
      <c r="P785" s="302"/>
      <c r="Q785" s="302"/>
      <c r="R785" s="302"/>
      <c r="S785" s="302"/>
      <c r="T785" s="302"/>
      <c r="U785" s="302"/>
      <c r="V785" s="302"/>
      <c r="W785" s="302"/>
      <c r="X785" s="302"/>
      <c r="Y785" s="302"/>
      <c r="Z785" s="302"/>
      <c r="AA785" s="302"/>
      <c r="AB785" s="302"/>
    </row>
    <row r="786">
      <c r="A786" s="320"/>
      <c r="B786" s="317"/>
      <c r="C786" s="301"/>
      <c r="D786" s="302"/>
      <c r="E786" s="301"/>
      <c r="F786" s="329"/>
      <c r="G786" s="301"/>
      <c r="H786" s="301"/>
      <c r="I786" s="329"/>
      <c r="J786" s="330"/>
      <c r="K786" s="301"/>
      <c r="L786" s="301"/>
      <c r="M786" s="302"/>
      <c r="N786" s="302"/>
      <c r="O786" s="302"/>
      <c r="P786" s="302"/>
      <c r="Q786" s="302"/>
      <c r="R786" s="302"/>
      <c r="S786" s="302"/>
      <c r="T786" s="302"/>
      <c r="U786" s="302"/>
      <c r="V786" s="302"/>
      <c r="W786" s="302"/>
      <c r="X786" s="302"/>
      <c r="Y786" s="302"/>
      <c r="Z786" s="302"/>
      <c r="AA786" s="302"/>
      <c r="AB786" s="302"/>
    </row>
    <row r="787">
      <c r="A787" s="320"/>
      <c r="B787" s="317"/>
      <c r="C787" s="301"/>
      <c r="D787" s="302"/>
      <c r="E787" s="301"/>
      <c r="F787" s="329"/>
      <c r="G787" s="301"/>
      <c r="H787" s="301"/>
      <c r="I787" s="329"/>
      <c r="J787" s="330"/>
      <c r="K787" s="301"/>
      <c r="L787" s="301"/>
      <c r="M787" s="302"/>
      <c r="N787" s="302"/>
      <c r="O787" s="302"/>
      <c r="P787" s="302"/>
      <c r="Q787" s="302"/>
      <c r="R787" s="302"/>
      <c r="S787" s="302"/>
      <c r="T787" s="302"/>
      <c r="U787" s="302"/>
      <c r="V787" s="302"/>
      <c r="W787" s="302"/>
      <c r="X787" s="302"/>
      <c r="Y787" s="302"/>
      <c r="Z787" s="302"/>
      <c r="AA787" s="302"/>
      <c r="AB787" s="302"/>
    </row>
    <row r="788">
      <c r="A788" s="320"/>
      <c r="B788" s="317"/>
      <c r="C788" s="301"/>
      <c r="D788" s="302"/>
      <c r="E788" s="301"/>
      <c r="F788" s="329"/>
      <c r="G788" s="301"/>
      <c r="H788" s="301"/>
      <c r="I788" s="329"/>
      <c r="J788" s="330"/>
      <c r="K788" s="301"/>
      <c r="L788" s="301"/>
      <c r="M788" s="302"/>
      <c r="N788" s="302"/>
      <c r="O788" s="302"/>
      <c r="P788" s="302"/>
      <c r="Q788" s="302"/>
      <c r="R788" s="302"/>
      <c r="S788" s="302"/>
      <c r="T788" s="302"/>
      <c r="U788" s="302"/>
      <c r="V788" s="302"/>
      <c r="W788" s="302"/>
      <c r="X788" s="302"/>
      <c r="Y788" s="302"/>
      <c r="Z788" s="302"/>
      <c r="AA788" s="302"/>
      <c r="AB788" s="302"/>
    </row>
    <row r="789">
      <c r="A789" s="320"/>
      <c r="B789" s="317"/>
      <c r="C789" s="301"/>
      <c r="D789" s="302"/>
      <c r="E789" s="301"/>
      <c r="F789" s="329"/>
      <c r="G789" s="301"/>
      <c r="H789" s="301"/>
      <c r="I789" s="329"/>
      <c r="J789" s="330"/>
      <c r="K789" s="301"/>
      <c r="L789" s="301"/>
      <c r="M789" s="302"/>
      <c r="N789" s="302"/>
      <c r="O789" s="302"/>
      <c r="P789" s="302"/>
      <c r="Q789" s="302"/>
      <c r="R789" s="302"/>
      <c r="S789" s="302"/>
      <c r="T789" s="302"/>
      <c r="U789" s="302"/>
      <c r="V789" s="302"/>
      <c r="W789" s="302"/>
      <c r="X789" s="302"/>
      <c r="Y789" s="302"/>
      <c r="Z789" s="302"/>
      <c r="AA789" s="302"/>
      <c r="AB789" s="302"/>
    </row>
    <row r="790">
      <c r="A790" s="320"/>
      <c r="B790" s="317"/>
      <c r="C790" s="301"/>
      <c r="D790" s="302"/>
      <c r="E790" s="301"/>
      <c r="F790" s="329"/>
      <c r="G790" s="301"/>
      <c r="H790" s="301"/>
      <c r="I790" s="329"/>
      <c r="J790" s="330"/>
      <c r="K790" s="301"/>
      <c r="L790" s="301"/>
      <c r="M790" s="302"/>
      <c r="N790" s="302"/>
      <c r="O790" s="302"/>
      <c r="P790" s="302"/>
      <c r="Q790" s="302"/>
      <c r="R790" s="302"/>
      <c r="S790" s="302"/>
      <c r="T790" s="302"/>
      <c r="U790" s="302"/>
      <c r="V790" s="302"/>
      <c r="W790" s="302"/>
      <c r="X790" s="302"/>
      <c r="Y790" s="302"/>
      <c r="Z790" s="302"/>
      <c r="AA790" s="302"/>
      <c r="AB790" s="302"/>
    </row>
    <row r="791">
      <c r="A791" s="320"/>
      <c r="B791" s="317"/>
      <c r="C791" s="301"/>
      <c r="D791" s="302"/>
      <c r="E791" s="301"/>
      <c r="F791" s="329"/>
      <c r="G791" s="301"/>
      <c r="H791" s="301"/>
      <c r="I791" s="329"/>
      <c r="J791" s="330"/>
      <c r="K791" s="301"/>
      <c r="L791" s="301"/>
      <c r="M791" s="302"/>
      <c r="N791" s="302"/>
      <c r="O791" s="302"/>
      <c r="P791" s="302"/>
      <c r="Q791" s="302"/>
      <c r="R791" s="302"/>
      <c r="S791" s="302"/>
      <c r="T791" s="302"/>
      <c r="U791" s="302"/>
      <c r="V791" s="302"/>
      <c r="W791" s="302"/>
      <c r="X791" s="302"/>
      <c r="Y791" s="302"/>
      <c r="Z791" s="302"/>
      <c r="AA791" s="302"/>
      <c r="AB791" s="302"/>
    </row>
    <row r="792">
      <c r="A792" s="320"/>
      <c r="B792" s="317"/>
      <c r="C792" s="301"/>
      <c r="D792" s="302"/>
      <c r="E792" s="301"/>
      <c r="F792" s="329"/>
      <c r="G792" s="301"/>
      <c r="H792" s="301"/>
      <c r="I792" s="329"/>
      <c r="J792" s="330"/>
      <c r="K792" s="301"/>
      <c r="L792" s="301"/>
      <c r="M792" s="302"/>
      <c r="N792" s="302"/>
      <c r="O792" s="302"/>
      <c r="P792" s="302"/>
      <c r="Q792" s="302"/>
      <c r="R792" s="302"/>
      <c r="S792" s="302"/>
      <c r="T792" s="302"/>
      <c r="U792" s="302"/>
      <c r="V792" s="302"/>
      <c r="W792" s="302"/>
      <c r="X792" s="302"/>
      <c r="Y792" s="302"/>
      <c r="Z792" s="302"/>
      <c r="AA792" s="302"/>
      <c r="AB792" s="302"/>
    </row>
    <row r="793">
      <c r="A793" s="320"/>
      <c r="B793" s="317"/>
      <c r="C793" s="301"/>
      <c r="D793" s="302"/>
      <c r="E793" s="301"/>
      <c r="F793" s="329"/>
      <c r="G793" s="301"/>
      <c r="H793" s="301"/>
      <c r="I793" s="329"/>
      <c r="J793" s="330"/>
      <c r="K793" s="301"/>
      <c r="L793" s="301"/>
      <c r="M793" s="302"/>
      <c r="N793" s="302"/>
      <c r="O793" s="302"/>
      <c r="P793" s="302"/>
      <c r="Q793" s="302"/>
      <c r="R793" s="302"/>
      <c r="S793" s="302"/>
      <c r="T793" s="302"/>
      <c r="U793" s="302"/>
      <c r="V793" s="302"/>
      <c r="W793" s="302"/>
      <c r="X793" s="302"/>
      <c r="Y793" s="302"/>
      <c r="Z793" s="302"/>
      <c r="AA793" s="302"/>
      <c r="AB793" s="302"/>
    </row>
    <row r="794">
      <c r="A794" s="320"/>
      <c r="B794" s="317"/>
      <c r="C794" s="301"/>
      <c r="D794" s="302"/>
      <c r="E794" s="301"/>
      <c r="F794" s="329"/>
      <c r="G794" s="301"/>
      <c r="H794" s="301"/>
      <c r="I794" s="329"/>
      <c r="J794" s="330"/>
      <c r="K794" s="301"/>
      <c r="L794" s="301"/>
      <c r="M794" s="302"/>
      <c r="N794" s="302"/>
      <c r="O794" s="302"/>
      <c r="P794" s="302"/>
      <c r="Q794" s="302"/>
      <c r="R794" s="302"/>
      <c r="S794" s="302"/>
      <c r="T794" s="302"/>
      <c r="U794" s="302"/>
      <c r="V794" s="302"/>
      <c r="W794" s="302"/>
      <c r="X794" s="302"/>
      <c r="Y794" s="302"/>
      <c r="Z794" s="302"/>
      <c r="AA794" s="302"/>
      <c r="AB794" s="302"/>
    </row>
    <row r="795">
      <c r="A795" s="320"/>
      <c r="B795" s="317"/>
      <c r="C795" s="301"/>
      <c r="D795" s="302"/>
      <c r="E795" s="301"/>
      <c r="F795" s="329"/>
      <c r="G795" s="301"/>
      <c r="H795" s="301"/>
      <c r="I795" s="329"/>
      <c r="J795" s="330"/>
      <c r="K795" s="301"/>
      <c r="L795" s="301"/>
      <c r="M795" s="302"/>
      <c r="N795" s="302"/>
      <c r="O795" s="302"/>
      <c r="P795" s="302"/>
      <c r="Q795" s="302"/>
      <c r="R795" s="302"/>
      <c r="S795" s="302"/>
      <c r="T795" s="302"/>
      <c r="U795" s="302"/>
      <c r="V795" s="302"/>
      <c r="W795" s="302"/>
      <c r="X795" s="302"/>
      <c r="Y795" s="302"/>
      <c r="Z795" s="302"/>
      <c r="AA795" s="302"/>
      <c r="AB795" s="302"/>
    </row>
    <row r="796">
      <c r="A796" s="320"/>
      <c r="B796" s="317"/>
      <c r="C796" s="301"/>
      <c r="D796" s="302"/>
      <c r="E796" s="301"/>
      <c r="F796" s="329"/>
      <c r="G796" s="301"/>
      <c r="H796" s="301"/>
      <c r="I796" s="329"/>
      <c r="J796" s="330"/>
      <c r="K796" s="301"/>
      <c r="L796" s="301"/>
      <c r="M796" s="302"/>
      <c r="N796" s="302"/>
      <c r="O796" s="302"/>
      <c r="P796" s="302"/>
      <c r="Q796" s="302"/>
      <c r="R796" s="302"/>
      <c r="S796" s="302"/>
      <c r="T796" s="302"/>
      <c r="U796" s="302"/>
      <c r="V796" s="302"/>
      <c r="W796" s="302"/>
      <c r="X796" s="302"/>
      <c r="Y796" s="302"/>
      <c r="Z796" s="302"/>
      <c r="AA796" s="302"/>
      <c r="AB796" s="302"/>
    </row>
    <row r="797">
      <c r="A797" s="320"/>
      <c r="B797" s="317"/>
      <c r="C797" s="301"/>
      <c r="D797" s="302"/>
      <c r="E797" s="301"/>
      <c r="F797" s="329"/>
      <c r="G797" s="301"/>
      <c r="H797" s="301"/>
      <c r="I797" s="329"/>
      <c r="J797" s="330"/>
      <c r="K797" s="301"/>
      <c r="L797" s="301"/>
      <c r="M797" s="302"/>
      <c r="N797" s="302"/>
      <c r="O797" s="302"/>
      <c r="P797" s="302"/>
      <c r="Q797" s="302"/>
      <c r="R797" s="302"/>
      <c r="S797" s="302"/>
      <c r="T797" s="302"/>
      <c r="U797" s="302"/>
      <c r="V797" s="302"/>
      <c r="W797" s="302"/>
      <c r="X797" s="302"/>
      <c r="Y797" s="302"/>
      <c r="Z797" s="302"/>
      <c r="AA797" s="302"/>
      <c r="AB797" s="302"/>
    </row>
    <row r="798">
      <c r="A798" s="320"/>
      <c r="B798" s="317"/>
      <c r="C798" s="301"/>
      <c r="D798" s="302"/>
      <c r="E798" s="301"/>
      <c r="F798" s="329"/>
      <c r="G798" s="301"/>
      <c r="H798" s="301"/>
      <c r="I798" s="329"/>
      <c r="J798" s="330"/>
      <c r="K798" s="301"/>
      <c r="L798" s="301"/>
      <c r="M798" s="302"/>
      <c r="N798" s="302"/>
      <c r="O798" s="302"/>
      <c r="P798" s="302"/>
      <c r="Q798" s="302"/>
      <c r="R798" s="302"/>
      <c r="S798" s="302"/>
      <c r="T798" s="302"/>
      <c r="U798" s="302"/>
      <c r="V798" s="302"/>
      <c r="W798" s="302"/>
      <c r="X798" s="302"/>
      <c r="Y798" s="302"/>
      <c r="Z798" s="302"/>
      <c r="AA798" s="302"/>
      <c r="AB798" s="302"/>
    </row>
    <row r="799">
      <c r="A799" s="320"/>
      <c r="B799" s="317"/>
      <c r="C799" s="301"/>
      <c r="D799" s="302"/>
      <c r="E799" s="301"/>
      <c r="F799" s="329"/>
      <c r="G799" s="301"/>
      <c r="H799" s="301"/>
      <c r="I799" s="329"/>
      <c r="J799" s="330"/>
      <c r="K799" s="301"/>
      <c r="L799" s="301"/>
      <c r="M799" s="302"/>
      <c r="N799" s="302"/>
      <c r="O799" s="302"/>
      <c r="P799" s="302"/>
      <c r="Q799" s="302"/>
      <c r="R799" s="302"/>
      <c r="S799" s="302"/>
      <c r="T799" s="302"/>
      <c r="U799" s="302"/>
      <c r="V799" s="302"/>
      <c r="W799" s="302"/>
      <c r="X799" s="302"/>
      <c r="Y799" s="302"/>
      <c r="Z799" s="302"/>
      <c r="AA799" s="302"/>
      <c r="AB799" s="302"/>
    </row>
    <row r="800">
      <c r="A800" s="320"/>
      <c r="B800" s="317"/>
      <c r="C800" s="301"/>
      <c r="D800" s="302"/>
      <c r="E800" s="301"/>
      <c r="F800" s="329"/>
      <c r="G800" s="301"/>
      <c r="H800" s="301"/>
      <c r="I800" s="329"/>
      <c r="J800" s="330"/>
      <c r="K800" s="301"/>
      <c r="L800" s="301"/>
      <c r="M800" s="302"/>
      <c r="N800" s="302"/>
      <c r="O800" s="302"/>
      <c r="P800" s="302"/>
      <c r="Q800" s="302"/>
      <c r="R800" s="302"/>
      <c r="S800" s="302"/>
      <c r="T800" s="302"/>
      <c r="U800" s="302"/>
      <c r="V800" s="302"/>
      <c r="W800" s="302"/>
      <c r="X800" s="302"/>
      <c r="Y800" s="302"/>
      <c r="Z800" s="302"/>
      <c r="AA800" s="302"/>
      <c r="AB800" s="302"/>
    </row>
    <row r="801">
      <c r="A801" s="320"/>
      <c r="B801" s="317"/>
      <c r="C801" s="301"/>
      <c r="D801" s="302"/>
      <c r="E801" s="301"/>
      <c r="F801" s="329"/>
      <c r="G801" s="301"/>
      <c r="H801" s="301"/>
      <c r="I801" s="329"/>
      <c r="J801" s="330"/>
      <c r="K801" s="301"/>
      <c r="L801" s="301"/>
      <c r="M801" s="302"/>
      <c r="N801" s="302"/>
      <c r="O801" s="302"/>
      <c r="P801" s="302"/>
      <c r="Q801" s="302"/>
      <c r="R801" s="302"/>
      <c r="S801" s="302"/>
      <c r="T801" s="302"/>
      <c r="U801" s="302"/>
      <c r="V801" s="302"/>
      <c r="W801" s="302"/>
      <c r="X801" s="302"/>
      <c r="Y801" s="302"/>
      <c r="Z801" s="302"/>
      <c r="AA801" s="302"/>
      <c r="AB801" s="302"/>
    </row>
    <row r="802">
      <c r="A802" s="320"/>
      <c r="B802" s="317"/>
      <c r="C802" s="301"/>
      <c r="D802" s="302"/>
      <c r="E802" s="301"/>
      <c r="F802" s="329"/>
      <c r="G802" s="301"/>
      <c r="H802" s="301"/>
      <c r="I802" s="329"/>
      <c r="J802" s="330"/>
      <c r="K802" s="301"/>
      <c r="L802" s="301"/>
      <c r="M802" s="302"/>
      <c r="N802" s="302"/>
      <c r="O802" s="302"/>
      <c r="P802" s="302"/>
      <c r="Q802" s="302"/>
      <c r="R802" s="302"/>
      <c r="S802" s="302"/>
      <c r="T802" s="302"/>
      <c r="U802" s="302"/>
      <c r="V802" s="302"/>
      <c r="W802" s="302"/>
      <c r="X802" s="302"/>
      <c r="Y802" s="302"/>
      <c r="Z802" s="302"/>
      <c r="AA802" s="302"/>
      <c r="AB802" s="302"/>
    </row>
    <row r="803">
      <c r="A803" s="320"/>
      <c r="B803" s="317"/>
      <c r="C803" s="301"/>
      <c r="D803" s="302"/>
      <c r="E803" s="301"/>
      <c r="F803" s="329"/>
      <c r="G803" s="301"/>
      <c r="H803" s="301"/>
      <c r="I803" s="329"/>
      <c r="J803" s="330"/>
      <c r="K803" s="301"/>
      <c r="L803" s="301"/>
      <c r="M803" s="302"/>
      <c r="N803" s="302"/>
      <c r="O803" s="302"/>
      <c r="P803" s="302"/>
      <c r="Q803" s="302"/>
      <c r="R803" s="302"/>
      <c r="S803" s="302"/>
      <c r="T803" s="302"/>
      <c r="U803" s="302"/>
      <c r="V803" s="302"/>
      <c r="W803" s="302"/>
      <c r="X803" s="302"/>
      <c r="Y803" s="302"/>
      <c r="Z803" s="302"/>
      <c r="AA803" s="302"/>
      <c r="AB803" s="302"/>
    </row>
    <row r="804">
      <c r="A804" s="320"/>
      <c r="B804" s="317"/>
      <c r="C804" s="301"/>
      <c r="D804" s="302"/>
      <c r="E804" s="301"/>
      <c r="F804" s="329"/>
      <c r="G804" s="301"/>
      <c r="H804" s="301"/>
      <c r="I804" s="329"/>
      <c r="J804" s="330"/>
      <c r="K804" s="301"/>
      <c r="L804" s="301"/>
      <c r="M804" s="302"/>
      <c r="N804" s="302"/>
      <c r="O804" s="302"/>
      <c r="P804" s="302"/>
      <c r="Q804" s="302"/>
      <c r="R804" s="302"/>
      <c r="S804" s="302"/>
      <c r="T804" s="302"/>
      <c r="U804" s="302"/>
      <c r="V804" s="302"/>
      <c r="W804" s="302"/>
      <c r="X804" s="302"/>
      <c r="Y804" s="302"/>
      <c r="Z804" s="302"/>
      <c r="AA804" s="302"/>
      <c r="AB804" s="302"/>
    </row>
    <row r="805">
      <c r="A805" s="320"/>
      <c r="B805" s="317"/>
      <c r="C805" s="301"/>
      <c r="D805" s="302"/>
      <c r="E805" s="301"/>
      <c r="F805" s="329"/>
      <c r="G805" s="301"/>
      <c r="H805" s="301"/>
      <c r="I805" s="329"/>
      <c r="J805" s="330"/>
      <c r="K805" s="301"/>
      <c r="L805" s="301"/>
      <c r="M805" s="302"/>
      <c r="N805" s="302"/>
      <c r="O805" s="302"/>
      <c r="P805" s="302"/>
      <c r="Q805" s="302"/>
      <c r="R805" s="302"/>
      <c r="S805" s="302"/>
      <c r="T805" s="302"/>
      <c r="U805" s="302"/>
      <c r="V805" s="302"/>
      <c r="W805" s="302"/>
      <c r="X805" s="302"/>
      <c r="Y805" s="302"/>
      <c r="Z805" s="302"/>
      <c r="AA805" s="302"/>
      <c r="AB805" s="302"/>
    </row>
    <row r="806">
      <c r="A806" s="320"/>
      <c r="B806" s="317"/>
      <c r="C806" s="301"/>
      <c r="D806" s="302"/>
      <c r="E806" s="301"/>
      <c r="F806" s="329"/>
      <c r="G806" s="301"/>
      <c r="H806" s="301"/>
      <c r="I806" s="329"/>
      <c r="J806" s="330"/>
      <c r="K806" s="301"/>
      <c r="L806" s="301"/>
      <c r="M806" s="302"/>
      <c r="N806" s="302"/>
      <c r="O806" s="302"/>
      <c r="P806" s="302"/>
      <c r="Q806" s="302"/>
      <c r="R806" s="302"/>
      <c r="S806" s="302"/>
      <c r="T806" s="302"/>
      <c r="U806" s="302"/>
      <c r="V806" s="302"/>
      <c r="W806" s="302"/>
      <c r="X806" s="302"/>
      <c r="Y806" s="302"/>
      <c r="Z806" s="302"/>
      <c r="AA806" s="302"/>
      <c r="AB806" s="302"/>
    </row>
    <row r="807">
      <c r="A807" s="320"/>
      <c r="B807" s="317"/>
      <c r="C807" s="301"/>
      <c r="D807" s="302"/>
      <c r="E807" s="301"/>
      <c r="F807" s="329"/>
      <c r="G807" s="301"/>
      <c r="H807" s="301"/>
      <c r="I807" s="329"/>
      <c r="J807" s="330"/>
      <c r="K807" s="301"/>
      <c r="L807" s="301"/>
      <c r="M807" s="302"/>
      <c r="N807" s="302"/>
      <c r="O807" s="302"/>
      <c r="P807" s="302"/>
      <c r="Q807" s="302"/>
      <c r="R807" s="302"/>
      <c r="S807" s="302"/>
      <c r="T807" s="302"/>
      <c r="U807" s="302"/>
      <c r="V807" s="302"/>
      <c r="W807" s="302"/>
      <c r="X807" s="302"/>
      <c r="Y807" s="302"/>
      <c r="Z807" s="302"/>
      <c r="AA807" s="302"/>
      <c r="AB807" s="302"/>
    </row>
    <row r="808">
      <c r="A808" s="320"/>
      <c r="B808" s="317"/>
      <c r="C808" s="301"/>
      <c r="D808" s="302"/>
      <c r="E808" s="301"/>
      <c r="F808" s="329"/>
      <c r="G808" s="301"/>
      <c r="H808" s="301"/>
      <c r="I808" s="329"/>
      <c r="J808" s="330"/>
      <c r="K808" s="301"/>
      <c r="L808" s="301"/>
      <c r="M808" s="302"/>
      <c r="N808" s="302"/>
      <c r="O808" s="302"/>
      <c r="P808" s="302"/>
      <c r="Q808" s="302"/>
      <c r="R808" s="302"/>
      <c r="S808" s="302"/>
      <c r="T808" s="302"/>
      <c r="U808" s="302"/>
      <c r="V808" s="302"/>
      <c r="W808" s="302"/>
      <c r="X808" s="302"/>
      <c r="Y808" s="302"/>
      <c r="Z808" s="302"/>
      <c r="AA808" s="302"/>
      <c r="AB808" s="302"/>
    </row>
    <row r="809">
      <c r="A809" s="320"/>
      <c r="B809" s="317"/>
      <c r="C809" s="301"/>
      <c r="D809" s="302"/>
      <c r="E809" s="301"/>
      <c r="F809" s="329"/>
      <c r="G809" s="301"/>
      <c r="H809" s="301"/>
      <c r="I809" s="329"/>
      <c r="J809" s="330"/>
      <c r="K809" s="301"/>
      <c r="L809" s="301"/>
      <c r="M809" s="302"/>
      <c r="N809" s="302"/>
      <c r="O809" s="302"/>
      <c r="P809" s="302"/>
      <c r="Q809" s="302"/>
      <c r="R809" s="302"/>
      <c r="S809" s="302"/>
      <c r="T809" s="302"/>
      <c r="U809" s="302"/>
      <c r="V809" s="302"/>
      <c r="W809" s="302"/>
      <c r="X809" s="302"/>
      <c r="Y809" s="302"/>
      <c r="Z809" s="302"/>
      <c r="AA809" s="302"/>
      <c r="AB809" s="302"/>
    </row>
    <row r="810">
      <c r="A810" s="320"/>
      <c r="B810" s="317"/>
      <c r="C810" s="301"/>
      <c r="D810" s="302"/>
      <c r="E810" s="301"/>
      <c r="F810" s="329"/>
      <c r="G810" s="301"/>
      <c r="H810" s="301"/>
      <c r="I810" s="329"/>
      <c r="J810" s="330"/>
      <c r="K810" s="301"/>
      <c r="L810" s="301"/>
      <c r="M810" s="302"/>
      <c r="N810" s="302"/>
      <c r="O810" s="302"/>
      <c r="P810" s="302"/>
      <c r="Q810" s="302"/>
      <c r="R810" s="302"/>
      <c r="S810" s="302"/>
      <c r="T810" s="302"/>
      <c r="U810" s="302"/>
      <c r="V810" s="302"/>
      <c r="W810" s="302"/>
      <c r="X810" s="302"/>
      <c r="Y810" s="302"/>
      <c r="Z810" s="302"/>
      <c r="AA810" s="302"/>
      <c r="AB810" s="302"/>
    </row>
    <row r="811">
      <c r="A811" s="320"/>
      <c r="B811" s="317"/>
      <c r="C811" s="301"/>
      <c r="D811" s="302"/>
      <c r="E811" s="301"/>
      <c r="F811" s="329"/>
      <c r="G811" s="301"/>
      <c r="H811" s="301"/>
      <c r="I811" s="329"/>
      <c r="J811" s="330"/>
      <c r="K811" s="301"/>
      <c r="L811" s="301"/>
      <c r="M811" s="302"/>
      <c r="N811" s="302"/>
      <c r="O811" s="302"/>
      <c r="P811" s="302"/>
      <c r="Q811" s="302"/>
      <c r="R811" s="302"/>
      <c r="S811" s="302"/>
      <c r="T811" s="302"/>
      <c r="U811" s="302"/>
      <c r="V811" s="302"/>
      <c r="W811" s="302"/>
      <c r="X811" s="302"/>
      <c r="Y811" s="302"/>
      <c r="Z811" s="302"/>
      <c r="AA811" s="302"/>
      <c r="AB811" s="302"/>
    </row>
    <row r="812">
      <c r="A812" s="320"/>
      <c r="B812" s="317"/>
      <c r="C812" s="301"/>
      <c r="D812" s="302"/>
      <c r="E812" s="301"/>
      <c r="F812" s="329"/>
      <c r="G812" s="301"/>
      <c r="H812" s="301"/>
      <c r="I812" s="329"/>
      <c r="J812" s="330"/>
      <c r="K812" s="301"/>
      <c r="L812" s="301"/>
      <c r="M812" s="302"/>
      <c r="N812" s="302"/>
      <c r="O812" s="302"/>
      <c r="P812" s="302"/>
      <c r="Q812" s="302"/>
      <c r="R812" s="302"/>
      <c r="S812" s="302"/>
      <c r="T812" s="302"/>
      <c r="U812" s="302"/>
      <c r="V812" s="302"/>
      <c r="W812" s="302"/>
      <c r="X812" s="302"/>
      <c r="Y812" s="302"/>
      <c r="Z812" s="302"/>
      <c r="AA812" s="302"/>
      <c r="AB812" s="302"/>
    </row>
    <row r="813">
      <c r="A813" s="332"/>
      <c r="B813" s="333"/>
      <c r="C813" s="155"/>
      <c r="D813" s="83"/>
      <c r="E813" s="155"/>
      <c r="F813" s="334"/>
      <c r="G813" s="155"/>
      <c r="H813" s="155"/>
      <c r="I813" s="334"/>
      <c r="J813" s="332"/>
      <c r="K813" s="155"/>
      <c r="L813" s="155"/>
      <c r="M813" s="83"/>
      <c r="N813" s="83"/>
      <c r="O813" s="83"/>
      <c r="P813" s="83"/>
      <c r="Q813" s="83"/>
      <c r="R813" s="83"/>
      <c r="S813" s="83"/>
      <c r="T813" s="83"/>
      <c r="U813" s="83"/>
      <c r="V813" s="83"/>
      <c r="W813" s="83"/>
      <c r="X813" s="83"/>
      <c r="Y813" s="83"/>
      <c r="Z813" s="83"/>
      <c r="AA813" s="83"/>
      <c r="AB813" s="83"/>
    </row>
    <row r="814">
      <c r="A814" s="332"/>
      <c r="B814" s="333"/>
      <c r="C814" s="155"/>
      <c r="D814" s="83"/>
      <c r="E814" s="155"/>
      <c r="F814" s="334"/>
      <c r="G814" s="155"/>
      <c r="H814" s="155"/>
      <c r="I814" s="334"/>
      <c r="J814" s="332"/>
      <c r="K814" s="155"/>
      <c r="L814" s="155"/>
      <c r="M814" s="83"/>
      <c r="N814" s="83"/>
      <c r="O814" s="83"/>
      <c r="P814" s="83"/>
      <c r="Q814" s="83"/>
      <c r="R814" s="83"/>
      <c r="S814" s="83"/>
      <c r="T814" s="83"/>
      <c r="U814" s="83"/>
      <c r="V814" s="83"/>
      <c r="W814" s="83"/>
      <c r="X814" s="83"/>
      <c r="Y814" s="83"/>
      <c r="Z814" s="83"/>
      <c r="AA814" s="83"/>
      <c r="AB814" s="83"/>
    </row>
    <row r="815">
      <c r="A815" s="332"/>
      <c r="B815" s="333"/>
      <c r="C815" s="155"/>
      <c r="D815" s="83"/>
      <c r="E815" s="155"/>
      <c r="F815" s="334"/>
      <c r="G815" s="155"/>
      <c r="H815" s="155"/>
      <c r="I815" s="334"/>
      <c r="J815" s="332"/>
      <c r="K815" s="155"/>
      <c r="L815" s="155"/>
      <c r="M815" s="83"/>
      <c r="N815" s="83"/>
      <c r="O815" s="83"/>
      <c r="P815" s="83"/>
      <c r="Q815" s="83"/>
      <c r="R815" s="83"/>
      <c r="S815" s="83"/>
      <c r="T815" s="83"/>
      <c r="U815" s="83"/>
      <c r="V815" s="83"/>
      <c r="W815" s="83"/>
      <c r="X815" s="83"/>
      <c r="Y815" s="83"/>
      <c r="Z815" s="83"/>
      <c r="AA815" s="83"/>
      <c r="AB815" s="83"/>
    </row>
    <row r="816">
      <c r="A816" s="332"/>
      <c r="B816" s="333"/>
      <c r="C816" s="155"/>
      <c r="D816" s="83"/>
      <c r="E816" s="155"/>
      <c r="F816" s="334"/>
      <c r="G816" s="155"/>
      <c r="H816" s="155"/>
      <c r="I816" s="334"/>
      <c r="J816" s="332"/>
      <c r="K816" s="155"/>
      <c r="L816" s="155"/>
      <c r="M816" s="83"/>
      <c r="N816" s="83"/>
      <c r="O816" s="83"/>
      <c r="P816" s="83"/>
      <c r="Q816" s="83"/>
      <c r="R816" s="83"/>
      <c r="S816" s="83"/>
      <c r="T816" s="83"/>
      <c r="U816" s="83"/>
      <c r="V816" s="83"/>
      <c r="W816" s="83"/>
      <c r="X816" s="83"/>
      <c r="Y816" s="83"/>
      <c r="Z816" s="83"/>
      <c r="AA816" s="83"/>
      <c r="AB816" s="83"/>
    </row>
    <row r="817">
      <c r="A817" s="332"/>
      <c r="B817" s="333"/>
      <c r="C817" s="155"/>
      <c r="D817" s="83"/>
      <c r="E817" s="155"/>
      <c r="F817" s="334"/>
      <c r="G817" s="155"/>
      <c r="H817" s="155"/>
      <c r="I817" s="334"/>
      <c r="J817" s="332"/>
      <c r="K817" s="155"/>
      <c r="L817" s="155"/>
      <c r="M817" s="83"/>
      <c r="N817" s="83"/>
      <c r="O817" s="83"/>
      <c r="P817" s="83"/>
      <c r="Q817" s="83"/>
      <c r="R817" s="83"/>
      <c r="S817" s="83"/>
      <c r="T817" s="83"/>
      <c r="U817" s="83"/>
      <c r="V817" s="83"/>
      <c r="W817" s="83"/>
      <c r="X817" s="83"/>
      <c r="Y817" s="83"/>
      <c r="Z817" s="83"/>
      <c r="AA817" s="83"/>
      <c r="AB817" s="83"/>
    </row>
    <row r="818">
      <c r="A818" s="332"/>
      <c r="B818" s="333"/>
      <c r="C818" s="155"/>
      <c r="D818" s="83"/>
      <c r="E818" s="155"/>
      <c r="F818" s="334"/>
      <c r="G818" s="155"/>
      <c r="H818" s="155"/>
      <c r="I818" s="334"/>
      <c r="J818" s="332"/>
      <c r="K818" s="155"/>
      <c r="L818" s="155"/>
      <c r="M818" s="83"/>
      <c r="N818" s="83"/>
      <c r="O818" s="83"/>
      <c r="P818" s="83"/>
      <c r="Q818" s="83"/>
      <c r="R818" s="83"/>
      <c r="S818" s="83"/>
      <c r="T818" s="83"/>
      <c r="U818" s="83"/>
      <c r="V818" s="83"/>
      <c r="W818" s="83"/>
      <c r="X818" s="83"/>
      <c r="Y818" s="83"/>
      <c r="Z818" s="83"/>
      <c r="AA818" s="83"/>
      <c r="AB818" s="83"/>
    </row>
    <row r="819">
      <c r="A819" s="332"/>
      <c r="B819" s="333"/>
      <c r="C819" s="155"/>
      <c r="D819" s="83"/>
      <c r="E819" s="155"/>
      <c r="F819" s="334"/>
      <c r="G819" s="155"/>
      <c r="H819" s="155"/>
      <c r="I819" s="334"/>
      <c r="J819" s="332"/>
      <c r="K819" s="155"/>
      <c r="L819" s="155"/>
      <c r="M819" s="83"/>
      <c r="N819" s="83"/>
      <c r="O819" s="83"/>
      <c r="P819" s="83"/>
      <c r="Q819" s="83"/>
      <c r="R819" s="83"/>
      <c r="S819" s="83"/>
      <c r="T819" s="83"/>
      <c r="U819" s="83"/>
      <c r="V819" s="83"/>
      <c r="W819" s="83"/>
      <c r="X819" s="83"/>
      <c r="Y819" s="83"/>
      <c r="Z819" s="83"/>
      <c r="AA819" s="83"/>
      <c r="AB819" s="83"/>
    </row>
    <row r="820">
      <c r="A820" s="332"/>
      <c r="B820" s="333"/>
      <c r="C820" s="155"/>
      <c r="D820" s="83"/>
      <c r="E820" s="155"/>
      <c r="F820" s="334"/>
      <c r="G820" s="155"/>
      <c r="H820" s="155"/>
      <c r="I820" s="334"/>
      <c r="J820" s="332"/>
      <c r="K820" s="155"/>
      <c r="L820" s="155"/>
      <c r="M820" s="83"/>
      <c r="N820" s="83"/>
      <c r="O820" s="83"/>
      <c r="P820" s="83"/>
      <c r="Q820" s="83"/>
      <c r="R820" s="83"/>
      <c r="S820" s="83"/>
      <c r="T820" s="83"/>
      <c r="U820" s="83"/>
      <c r="V820" s="83"/>
      <c r="W820" s="83"/>
      <c r="X820" s="83"/>
      <c r="Y820" s="83"/>
      <c r="Z820" s="83"/>
      <c r="AA820" s="83"/>
      <c r="AB820" s="83"/>
    </row>
    <row r="821">
      <c r="A821" s="332"/>
      <c r="B821" s="333"/>
      <c r="C821" s="155"/>
      <c r="D821" s="83"/>
      <c r="E821" s="155"/>
      <c r="F821" s="334"/>
      <c r="G821" s="155"/>
      <c r="H821" s="155"/>
      <c r="I821" s="334"/>
      <c r="J821" s="332"/>
      <c r="K821" s="155"/>
      <c r="L821" s="155"/>
      <c r="M821" s="83"/>
      <c r="N821" s="83"/>
      <c r="O821" s="83"/>
      <c r="P821" s="83"/>
      <c r="Q821" s="83"/>
      <c r="R821" s="83"/>
      <c r="S821" s="83"/>
      <c r="T821" s="83"/>
      <c r="U821" s="83"/>
      <c r="V821" s="83"/>
      <c r="W821" s="83"/>
      <c r="X821" s="83"/>
      <c r="Y821" s="83"/>
      <c r="Z821" s="83"/>
      <c r="AA821" s="83"/>
      <c r="AB821" s="83"/>
    </row>
    <row r="822">
      <c r="A822" s="332"/>
      <c r="B822" s="333"/>
      <c r="C822" s="155"/>
      <c r="D822" s="83"/>
      <c r="E822" s="155"/>
      <c r="F822" s="334"/>
      <c r="G822" s="155"/>
      <c r="H822" s="155"/>
      <c r="I822" s="334"/>
      <c r="J822" s="332"/>
      <c r="K822" s="155"/>
      <c r="L822" s="155"/>
      <c r="M822" s="83"/>
      <c r="N822" s="83"/>
      <c r="O822" s="83"/>
      <c r="P822" s="83"/>
      <c r="Q822" s="83"/>
      <c r="R822" s="83"/>
      <c r="S822" s="83"/>
      <c r="T822" s="83"/>
      <c r="U822" s="83"/>
      <c r="V822" s="83"/>
      <c r="W822" s="83"/>
      <c r="X822" s="83"/>
      <c r="Y822" s="83"/>
      <c r="Z822" s="83"/>
      <c r="AA822" s="83"/>
      <c r="AB822" s="83"/>
    </row>
    <row r="823">
      <c r="A823" s="332"/>
      <c r="B823" s="333"/>
      <c r="C823" s="155"/>
      <c r="D823" s="83"/>
      <c r="E823" s="155"/>
      <c r="F823" s="334"/>
      <c r="G823" s="155"/>
      <c r="H823" s="155"/>
      <c r="I823" s="334"/>
      <c r="J823" s="332"/>
      <c r="K823" s="155"/>
      <c r="L823" s="155"/>
      <c r="M823" s="83"/>
      <c r="N823" s="83"/>
      <c r="O823" s="83"/>
      <c r="P823" s="83"/>
      <c r="Q823" s="83"/>
      <c r="R823" s="83"/>
      <c r="S823" s="83"/>
      <c r="T823" s="83"/>
      <c r="U823" s="83"/>
      <c r="V823" s="83"/>
      <c r="W823" s="83"/>
      <c r="X823" s="83"/>
      <c r="Y823" s="83"/>
      <c r="Z823" s="83"/>
      <c r="AA823" s="83"/>
      <c r="AB823" s="83"/>
    </row>
    <row r="824">
      <c r="A824" s="332"/>
      <c r="B824" s="333"/>
      <c r="C824" s="155"/>
      <c r="D824" s="83"/>
      <c r="E824" s="155"/>
      <c r="F824" s="334"/>
      <c r="G824" s="155"/>
      <c r="H824" s="155"/>
      <c r="I824" s="334"/>
      <c r="J824" s="332"/>
      <c r="K824" s="155"/>
      <c r="L824" s="155"/>
      <c r="M824" s="83"/>
      <c r="N824" s="83"/>
      <c r="O824" s="83"/>
      <c r="P824" s="83"/>
      <c r="Q824" s="83"/>
      <c r="R824" s="83"/>
      <c r="S824" s="83"/>
      <c r="T824" s="83"/>
      <c r="U824" s="83"/>
      <c r="V824" s="83"/>
      <c r="W824" s="83"/>
      <c r="X824" s="83"/>
      <c r="Y824" s="83"/>
      <c r="Z824" s="83"/>
      <c r="AA824" s="83"/>
      <c r="AB824" s="83"/>
    </row>
    <row r="825">
      <c r="A825" s="332"/>
      <c r="B825" s="333"/>
      <c r="C825" s="155"/>
      <c r="D825" s="83"/>
      <c r="E825" s="155"/>
      <c r="F825" s="334"/>
      <c r="G825" s="155"/>
      <c r="H825" s="155"/>
      <c r="I825" s="334"/>
      <c r="J825" s="332"/>
      <c r="K825" s="155"/>
      <c r="L825" s="155"/>
      <c r="M825" s="83"/>
      <c r="N825" s="83"/>
      <c r="O825" s="83"/>
      <c r="P825" s="83"/>
      <c r="Q825" s="83"/>
      <c r="R825" s="83"/>
      <c r="S825" s="83"/>
      <c r="T825" s="83"/>
      <c r="U825" s="83"/>
      <c r="V825" s="83"/>
      <c r="W825" s="83"/>
      <c r="X825" s="83"/>
      <c r="Y825" s="83"/>
      <c r="Z825" s="83"/>
      <c r="AA825" s="83"/>
      <c r="AB825" s="83"/>
    </row>
    <row r="826">
      <c r="A826" s="332"/>
      <c r="B826" s="333"/>
      <c r="C826" s="155"/>
      <c r="D826" s="83"/>
      <c r="E826" s="155"/>
      <c r="F826" s="334"/>
      <c r="G826" s="155"/>
      <c r="H826" s="155"/>
      <c r="I826" s="334"/>
      <c r="J826" s="332"/>
      <c r="K826" s="155"/>
      <c r="L826" s="155"/>
      <c r="M826" s="83"/>
      <c r="N826" s="83"/>
      <c r="O826" s="83"/>
      <c r="P826" s="83"/>
      <c r="Q826" s="83"/>
      <c r="R826" s="83"/>
      <c r="S826" s="83"/>
      <c r="T826" s="83"/>
      <c r="U826" s="83"/>
      <c r="V826" s="83"/>
      <c r="W826" s="83"/>
      <c r="X826" s="83"/>
      <c r="Y826" s="83"/>
      <c r="Z826" s="83"/>
      <c r="AA826" s="83"/>
      <c r="AB826" s="83"/>
    </row>
    <row r="827">
      <c r="A827" s="332"/>
      <c r="B827" s="333"/>
      <c r="C827" s="155"/>
      <c r="D827" s="83"/>
      <c r="E827" s="155"/>
      <c r="F827" s="334"/>
      <c r="G827" s="155"/>
      <c r="H827" s="155"/>
      <c r="I827" s="334"/>
      <c r="J827" s="332"/>
      <c r="K827" s="155"/>
      <c r="L827" s="155"/>
      <c r="M827" s="83"/>
      <c r="N827" s="83"/>
      <c r="O827" s="83"/>
      <c r="P827" s="83"/>
      <c r="Q827" s="83"/>
      <c r="R827" s="83"/>
      <c r="S827" s="83"/>
      <c r="T827" s="83"/>
      <c r="U827" s="83"/>
      <c r="V827" s="83"/>
      <c r="W827" s="83"/>
      <c r="X827" s="83"/>
      <c r="Y827" s="83"/>
      <c r="Z827" s="83"/>
      <c r="AA827" s="83"/>
      <c r="AB827" s="83"/>
    </row>
    <row r="828">
      <c r="A828" s="332"/>
      <c r="B828" s="333"/>
      <c r="C828" s="155"/>
      <c r="D828" s="83"/>
      <c r="E828" s="155"/>
      <c r="F828" s="334"/>
      <c r="G828" s="155"/>
      <c r="H828" s="155"/>
      <c r="I828" s="334"/>
      <c r="J828" s="332"/>
      <c r="K828" s="155"/>
      <c r="L828" s="155"/>
      <c r="M828" s="83"/>
      <c r="N828" s="83"/>
      <c r="O828" s="83"/>
      <c r="P828" s="83"/>
      <c r="Q828" s="83"/>
      <c r="R828" s="83"/>
      <c r="S828" s="83"/>
      <c r="T828" s="83"/>
      <c r="U828" s="83"/>
      <c r="V828" s="83"/>
      <c r="W828" s="83"/>
      <c r="X828" s="83"/>
      <c r="Y828" s="83"/>
      <c r="Z828" s="83"/>
      <c r="AA828" s="83"/>
      <c r="AB828" s="83"/>
    </row>
    <row r="829">
      <c r="A829" s="332"/>
      <c r="B829" s="333"/>
      <c r="C829" s="155"/>
      <c r="D829" s="83"/>
      <c r="E829" s="155"/>
      <c r="F829" s="334"/>
      <c r="G829" s="155"/>
      <c r="H829" s="155"/>
      <c r="I829" s="334"/>
      <c r="J829" s="332"/>
      <c r="K829" s="155"/>
      <c r="L829" s="155"/>
      <c r="M829" s="83"/>
      <c r="N829" s="83"/>
      <c r="O829" s="83"/>
      <c r="P829" s="83"/>
      <c r="Q829" s="83"/>
      <c r="R829" s="83"/>
      <c r="S829" s="83"/>
      <c r="T829" s="83"/>
      <c r="U829" s="83"/>
      <c r="V829" s="83"/>
      <c r="W829" s="83"/>
      <c r="X829" s="83"/>
      <c r="Y829" s="83"/>
      <c r="Z829" s="83"/>
      <c r="AA829" s="83"/>
      <c r="AB829" s="83"/>
    </row>
    <row r="830">
      <c r="A830" s="332"/>
      <c r="B830" s="333"/>
      <c r="C830" s="155"/>
      <c r="D830" s="83"/>
      <c r="E830" s="155"/>
      <c r="F830" s="334"/>
      <c r="G830" s="155"/>
      <c r="H830" s="155"/>
      <c r="I830" s="334"/>
      <c r="J830" s="332"/>
      <c r="K830" s="155"/>
      <c r="L830" s="155"/>
      <c r="M830" s="83"/>
      <c r="N830" s="83"/>
      <c r="O830" s="83"/>
      <c r="P830" s="83"/>
      <c r="Q830" s="83"/>
      <c r="R830" s="83"/>
      <c r="S830" s="83"/>
      <c r="T830" s="83"/>
      <c r="U830" s="83"/>
      <c r="V830" s="83"/>
      <c r="W830" s="83"/>
      <c r="X830" s="83"/>
      <c r="Y830" s="83"/>
      <c r="Z830" s="83"/>
      <c r="AA830" s="83"/>
      <c r="AB830" s="83"/>
    </row>
    <row r="831">
      <c r="A831" s="332"/>
      <c r="B831" s="333"/>
      <c r="C831" s="155"/>
      <c r="D831" s="83"/>
      <c r="E831" s="155"/>
      <c r="F831" s="334"/>
      <c r="G831" s="155"/>
      <c r="H831" s="155"/>
      <c r="I831" s="334"/>
      <c r="J831" s="332"/>
      <c r="K831" s="155"/>
      <c r="L831" s="155"/>
      <c r="M831" s="83"/>
      <c r="N831" s="83"/>
      <c r="O831" s="83"/>
      <c r="P831" s="83"/>
      <c r="Q831" s="83"/>
      <c r="R831" s="83"/>
      <c r="S831" s="83"/>
      <c r="T831" s="83"/>
      <c r="U831" s="83"/>
      <c r="V831" s="83"/>
      <c r="W831" s="83"/>
      <c r="X831" s="83"/>
      <c r="Y831" s="83"/>
      <c r="Z831" s="83"/>
      <c r="AA831" s="83"/>
      <c r="AB831" s="83"/>
    </row>
    <row r="832">
      <c r="A832" s="332"/>
      <c r="B832" s="333"/>
      <c r="C832" s="155"/>
      <c r="D832" s="83"/>
      <c r="E832" s="155"/>
      <c r="F832" s="334"/>
      <c r="G832" s="155"/>
      <c r="H832" s="155"/>
      <c r="I832" s="334"/>
      <c r="J832" s="332"/>
      <c r="K832" s="155"/>
      <c r="L832" s="155"/>
      <c r="M832" s="83"/>
      <c r="N832" s="83"/>
      <c r="O832" s="83"/>
      <c r="P832" s="83"/>
      <c r="Q832" s="83"/>
      <c r="R832" s="83"/>
      <c r="S832" s="83"/>
      <c r="T832" s="83"/>
      <c r="U832" s="83"/>
      <c r="V832" s="83"/>
      <c r="W832" s="83"/>
      <c r="X832" s="83"/>
      <c r="Y832" s="83"/>
      <c r="Z832" s="83"/>
      <c r="AA832" s="83"/>
      <c r="AB832" s="83"/>
    </row>
    <row r="833">
      <c r="A833" s="332"/>
      <c r="B833" s="333"/>
      <c r="C833" s="155"/>
      <c r="D833" s="83"/>
      <c r="E833" s="155"/>
      <c r="F833" s="334"/>
      <c r="G833" s="155"/>
      <c r="H833" s="155"/>
      <c r="I833" s="334"/>
      <c r="J833" s="332"/>
      <c r="K833" s="155"/>
      <c r="L833" s="155"/>
      <c r="M833" s="83"/>
      <c r="N833" s="83"/>
      <c r="O833" s="83"/>
      <c r="P833" s="83"/>
      <c r="Q833" s="83"/>
      <c r="R833" s="83"/>
      <c r="S833" s="83"/>
      <c r="T833" s="83"/>
      <c r="U833" s="83"/>
      <c r="V833" s="83"/>
      <c r="W833" s="83"/>
      <c r="X833" s="83"/>
      <c r="Y833" s="83"/>
      <c r="Z833" s="83"/>
      <c r="AA833" s="83"/>
      <c r="AB833" s="83"/>
    </row>
    <row r="834">
      <c r="A834" s="332"/>
      <c r="B834" s="333"/>
      <c r="C834" s="155"/>
      <c r="D834" s="83"/>
      <c r="E834" s="155"/>
      <c r="F834" s="334"/>
      <c r="G834" s="155"/>
      <c r="H834" s="155"/>
      <c r="I834" s="334"/>
      <c r="J834" s="332"/>
      <c r="K834" s="155"/>
      <c r="L834" s="155"/>
      <c r="M834" s="83"/>
      <c r="N834" s="83"/>
      <c r="O834" s="83"/>
      <c r="P834" s="83"/>
      <c r="Q834" s="83"/>
      <c r="R834" s="83"/>
      <c r="S834" s="83"/>
      <c r="T834" s="83"/>
      <c r="U834" s="83"/>
      <c r="V834" s="83"/>
      <c r="W834" s="83"/>
      <c r="X834" s="83"/>
      <c r="Y834" s="83"/>
      <c r="Z834" s="83"/>
      <c r="AA834" s="83"/>
      <c r="AB834" s="83"/>
    </row>
    <row r="835">
      <c r="A835" s="332"/>
      <c r="B835" s="333"/>
      <c r="C835" s="155"/>
      <c r="D835" s="83"/>
      <c r="E835" s="155"/>
      <c r="F835" s="334"/>
      <c r="G835" s="155"/>
      <c r="H835" s="155"/>
      <c r="I835" s="334"/>
      <c r="J835" s="332"/>
      <c r="K835" s="155"/>
      <c r="L835" s="155"/>
      <c r="M835" s="83"/>
      <c r="N835" s="83"/>
      <c r="O835" s="83"/>
      <c r="P835" s="83"/>
      <c r="Q835" s="83"/>
      <c r="R835" s="83"/>
      <c r="S835" s="83"/>
      <c r="T835" s="83"/>
      <c r="U835" s="83"/>
      <c r="V835" s="83"/>
      <c r="W835" s="83"/>
      <c r="X835" s="83"/>
      <c r="Y835" s="83"/>
      <c r="Z835" s="83"/>
      <c r="AA835" s="83"/>
      <c r="AB835" s="83"/>
    </row>
    <row r="836">
      <c r="A836" s="332"/>
      <c r="B836" s="333"/>
      <c r="C836" s="155"/>
      <c r="D836" s="83"/>
      <c r="E836" s="155"/>
      <c r="F836" s="334"/>
      <c r="G836" s="155"/>
      <c r="H836" s="155"/>
      <c r="I836" s="334"/>
      <c r="J836" s="332"/>
      <c r="K836" s="155"/>
      <c r="L836" s="155"/>
      <c r="M836" s="83"/>
      <c r="N836" s="83"/>
      <c r="O836" s="83"/>
      <c r="P836" s="83"/>
      <c r="Q836" s="83"/>
      <c r="R836" s="83"/>
      <c r="S836" s="83"/>
      <c r="T836" s="83"/>
      <c r="U836" s="83"/>
      <c r="V836" s="83"/>
      <c r="W836" s="83"/>
      <c r="X836" s="83"/>
      <c r="Y836" s="83"/>
      <c r="Z836" s="83"/>
      <c r="AA836" s="83"/>
      <c r="AB836" s="83"/>
    </row>
    <row r="837">
      <c r="A837" s="332"/>
      <c r="B837" s="333"/>
      <c r="C837" s="155"/>
      <c r="D837" s="83"/>
      <c r="E837" s="155"/>
      <c r="F837" s="334"/>
      <c r="G837" s="155"/>
      <c r="H837" s="155"/>
      <c r="I837" s="334"/>
      <c r="J837" s="332"/>
      <c r="K837" s="155"/>
      <c r="L837" s="155"/>
      <c r="M837" s="83"/>
      <c r="N837" s="83"/>
      <c r="O837" s="83"/>
      <c r="P837" s="83"/>
      <c r="Q837" s="83"/>
      <c r="R837" s="83"/>
      <c r="S837" s="83"/>
      <c r="T837" s="83"/>
      <c r="U837" s="83"/>
      <c r="V837" s="83"/>
      <c r="W837" s="83"/>
      <c r="X837" s="83"/>
      <c r="Y837" s="83"/>
      <c r="Z837" s="83"/>
      <c r="AA837" s="83"/>
      <c r="AB837" s="83"/>
    </row>
    <row r="838">
      <c r="A838" s="332"/>
      <c r="B838" s="333"/>
      <c r="C838" s="155"/>
      <c r="D838" s="83"/>
      <c r="E838" s="155"/>
      <c r="F838" s="334"/>
      <c r="G838" s="155"/>
      <c r="H838" s="155"/>
      <c r="I838" s="334"/>
      <c r="J838" s="332"/>
      <c r="K838" s="155"/>
      <c r="L838" s="155"/>
      <c r="M838" s="83"/>
      <c r="N838" s="83"/>
      <c r="O838" s="83"/>
      <c r="P838" s="83"/>
      <c r="Q838" s="83"/>
      <c r="R838" s="83"/>
      <c r="S838" s="83"/>
      <c r="T838" s="83"/>
      <c r="U838" s="83"/>
      <c r="V838" s="83"/>
      <c r="W838" s="83"/>
      <c r="X838" s="83"/>
      <c r="Y838" s="83"/>
      <c r="Z838" s="83"/>
      <c r="AA838" s="83"/>
      <c r="AB838" s="83"/>
    </row>
    <row r="839">
      <c r="A839" s="332"/>
      <c r="B839" s="333"/>
      <c r="C839" s="155"/>
      <c r="D839" s="83"/>
      <c r="E839" s="155"/>
      <c r="F839" s="334"/>
      <c r="G839" s="155"/>
      <c r="H839" s="155"/>
      <c r="I839" s="334"/>
      <c r="J839" s="332"/>
      <c r="K839" s="155"/>
      <c r="L839" s="155"/>
      <c r="M839" s="83"/>
      <c r="N839" s="83"/>
      <c r="O839" s="83"/>
      <c r="P839" s="83"/>
      <c r="Q839" s="83"/>
      <c r="R839" s="83"/>
      <c r="S839" s="83"/>
      <c r="T839" s="83"/>
      <c r="U839" s="83"/>
      <c r="V839" s="83"/>
      <c r="W839" s="83"/>
      <c r="X839" s="83"/>
      <c r="Y839" s="83"/>
      <c r="Z839" s="83"/>
      <c r="AA839" s="83"/>
      <c r="AB839" s="83"/>
    </row>
  </sheetData>
  <mergeCells count="11">
    <mergeCell ref="B42:B49"/>
    <mergeCell ref="B50:B55"/>
    <mergeCell ref="B56:B61"/>
    <mergeCell ref="B62:B67"/>
    <mergeCell ref="B2:B10"/>
    <mergeCell ref="B11:B14"/>
    <mergeCell ref="B15:B17"/>
    <mergeCell ref="B18:B20"/>
    <mergeCell ref="B21:B24"/>
    <mergeCell ref="B25:B34"/>
    <mergeCell ref="B35:B41"/>
  </mergeCells>
  <dataValidations>
    <dataValidation type="list" allowBlank="1" sqref="J1:J839">
      <formula1>"Pass,Fail,On-hold,NA"</formula1>
    </dataValidation>
  </dataValidations>
  <hyperlinks>
    <hyperlink r:id="rId1" ref="H2"/>
    <hyperlink r:id="rId2" ref="H3"/>
    <hyperlink r:id="rId3" ref="H4"/>
    <hyperlink r:id="rId4" ref="H5"/>
    <hyperlink r:id="rId5" ref="H6"/>
    <hyperlink r:id="rId6" ref="H7"/>
    <hyperlink r:id="rId7" ref="H8"/>
    <hyperlink r:id="rId8" ref="H9"/>
    <hyperlink r:id="rId9" ref="H10"/>
  </hyperlinks>
  <drawing r:id="rId10"/>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29.75"/>
    <col customWidth="1" min="2" max="2" width="21.63"/>
    <col customWidth="1" min="3" max="3" width="28.0"/>
    <col customWidth="1" min="4" max="4" width="63.5"/>
  </cols>
  <sheetData>
    <row r="1">
      <c r="A1" s="277" t="s">
        <v>145</v>
      </c>
      <c r="B1" s="277" t="s">
        <v>8507</v>
      </c>
      <c r="C1" s="277" t="s">
        <v>9433</v>
      </c>
      <c r="D1" s="277" t="s">
        <v>1700</v>
      </c>
    </row>
    <row r="2">
      <c r="A2" s="203" t="s">
        <v>9434</v>
      </c>
      <c r="B2" s="152" t="s">
        <v>9435</v>
      </c>
      <c r="C2" s="204" t="s">
        <v>9436</v>
      </c>
      <c r="D2" s="204" t="s">
        <v>9437</v>
      </c>
    </row>
    <row r="3">
      <c r="A3" s="108"/>
      <c r="B3" s="108"/>
      <c r="C3" s="204" t="s">
        <v>9438</v>
      </c>
      <c r="D3" s="204" t="s">
        <v>9439</v>
      </c>
    </row>
    <row r="4">
      <c r="A4" s="108"/>
      <c r="B4" s="108"/>
      <c r="C4" s="204" t="s">
        <v>9440</v>
      </c>
      <c r="D4" s="204" t="s">
        <v>9441</v>
      </c>
    </row>
    <row r="5">
      <c r="A5" s="108"/>
      <c r="B5" s="108"/>
      <c r="C5" s="204" t="s">
        <v>9442</v>
      </c>
      <c r="D5" s="204" t="s">
        <v>9443</v>
      </c>
    </row>
    <row r="6">
      <c r="A6" s="108"/>
      <c r="B6" s="108"/>
      <c r="C6" s="204" t="s">
        <v>9444</v>
      </c>
      <c r="D6" s="204" t="s">
        <v>9445</v>
      </c>
    </row>
    <row r="7">
      <c r="A7" s="108"/>
      <c r="B7" s="108"/>
      <c r="C7" s="204" t="s">
        <v>9446</v>
      </c>
      <c r="D7" s="204" t="s">
        <v>9447</v>
      </c>
    </row>
    <row r="8">
      <c r="A8" s="108"/>
      <c r="B8" s="108"/>
      <c r="C8" s="204" t="s">
        <v>9448</v>
      </c>
      <c r="D8" s="204" t="s">
        <v>9449</v>
      </c>
    </row>
    <row r="9">
      <c r="A9" s="108"/>
      <c r="B9" s="108"/>
      <c r="C9" s="204" t="s">
        <v>9450</v>
      </c>
      <c r="D9" s="204" t="s">
        <v>9451</v>
      </c>
    </row>
    <row r="10">
      <c r="A10" s="108"/>
      <c r="B10" s="108"/>
      <c r="C10" s="204" t="s">
        <v>9452</v>
      </c>
      <c r="D10" s="204" t="s">
        <v>9453</v>
      </c>
    </row>
    <row r="11">
      <c r="A11" s="108"/>
      <c r="B11" s="108"/>
      <c r="C11" s="204" t="s">
        <v>9454</v>
      </c>
      <c r="D11" s="204" t="s">
        <v>9455</v>
      </c>
    </row>
    <row r="12">
      <c r="A12" s="108"/>
      <c r="B12" s="108"/>
      <c r="C12" s="204" t="s">
        <v>9456</v>
      </c>
      <c r="D12" s="204" t="s">
        <v>9457</v>
      </c>
    </row>
    <row r="13">
      <c r="A13" s="108"/>
      <c r="B13" s="109"/>
      <c r="C13" s="204" t="s">
        <v>9458</v>
      </c>
      <c r="D13" s="204" t="s">
        <v>9459</v>
      </c>
    </row>
    <row r="14">
      <c r="A14" s="108"/>
      <c r="B14" s="152" t="s">
        <v>9460</v>
      </c>
      <c r="C14" s="204" t="s">
        <v>9461</v>
      </c>
      <c r="D14" s="204" t="s">
        <v>9462</v>
      </c>
    </row>
    <row r="15">
      <c r="A15" s="108"/>
      <c r="B15" s="108"/>
      <c r="C15" s="204" t="s">
        <v>9463</v>
      </c>
      <c r="D15" s="204" t="s">
        <v>9464</v>
      </c>
    </row>
    <row r="16">
      <c r="A16" s="108"/>
      <c r="B16" s="108"/>
      <c r="C16" s="204" t="s">
        <v>9465</v>
      </c>
      <c r="D16" s="204" t="s">
        <v>9466</v>
      </c>
    </row>
    <row r="17">
      <c r="A17" s="108"/>
      <c r="B17" s="108"/>
      <c r="C17" s="204" t="s">
        <v>9467</v>
      </c>
      <c r="D17" s="204" t="s">
        <v>9443</v>
      </c>
    </row>
    <row r="18">
      <c r="A18" s="108"/>
      <c r="B18" s="108"/>
      <c r="C18" s="204" t="s">
        <v>9468</v>
      </c>
      <c r="D18" s="204" t="s">
        <v>9445</v>
      </c>
    </row>
    <row r="19">
      <c r="A19" s="108"/>
      <c r="B19" s="109"/>
      <c r="C19" s="204" t="s">
        <v>9469</v>
      </c>
      <c r="D19" s="204" t="s">
        <v>9447</v>
      </c>
    </row>
    <row r="20">
      <c r="A20" s="108"/>
      <c r="B20" s="152" t="s">
        <v>9470</v>
      </c>
      <c r="C20" s="204" t="s">
        <v>9471</v>
      </c>
      <c r="D20" s="204" t="s">
        <v>9472</v>
      </c>
    </row>
    <row r="21">
      <c r="A21" s="108"/>
      <c r="B21" s="108"/>
      <c r="C21" s="204" t="s">
        <v>9473</v>
      </c>
      <c r="D21" s="204" t="s">
        <v>9474</v>
      </c>
    </row>
    <row r="22">
      <c r="A22" s="108"/>
      <c r="B22" s="108"/>
      <c r="C22" s="204" t="s">
        <v>9475</v>
      </c>
      <c r="D22" s="204" t="s">
        <v>9476</v>
      </c>
    </row>
    <row r="23">
      <c r="A23" s="108"/>
      <c r="B23" s="108"/>
      <c r="C23" s="204" t="s">
        <v>9477</v>
      </c>
      <c r="D23" s="204" t="s">
        <v>9478</v>
      </c>
    </row>
    <row r="24">
      <c r="A24" s="108"/>
      <c r="B24" s="108"/>
      <c r="C24" s="204" t="s">
        <v>9479</v>
      </c>
      <c r="D24" s="204" t="s">
        <v>9480</v>
      </c>
    </row>
    <row r="25">
      <c r="A25" s="108"/>
      <c r="B25" s="108"/>
      <c r="C25" s="204" t="s">
        <v>9481</v>
      </c>
      <c r="D25" s="204" t="s">
        <v>9482</v>
      </c>
    </row>
    <row r="26">
      <c r="A26" s="108"/>
      <c r="B26" s="108"/>
      <c r="C26" s="204" t="s">
        <v>9483</v>
      </c>
      <c r="D26" s="204" t="s">
        <v>9484</v>
      </c>
    </row>
    <row r="27">
      <c r="A27" s="108"/>
      <c r="B27" s="109"/>
      <c r="C27" s="204" t="s">
        <v>9485</v>
      </c>
      <c r="D27" s="204" t="s">
        <v>9486</v>
      </c>
    </row>
    <row r="28">
      <c r="A28" s="108"/>
      <c r="B28" s="335" t="s">
        <v>9487</v>
      </c>
      <c r="C28" s="204" t="s">
        <v>9488</v>
      </c>
      <c r="D28" s="204" t="s">
        <v>9489</v>
      </c>
    </row>
    <row r="29">
      <c r="A29" s="108"/>
      <c r="B29" s="108"/>
      <c r="C29" s="204" t="s">
        <v>9490</v>
      </c>
      <c r="D29" s="204" t="s">
        <v>9491</v>
      </c>
    </row>
    <row r="30">
      <c r="A30" s="108"/>
      <c r="B30" s="108"/>
      <c r="C30" s="204" t="s">
        <v>9492</v>
      </c>
      <c r="D30" s="204" t="s">
        <v>9493</v>
      </c>
    </row>
    <row r="31">
      <c r="A31" s="108"/>
      <c r="B31" s="108"/>
      <c r="C31" s="204" t="s">
        <v>9494</v>
      </c>
      <c r="D31" s="204" t="s">
        <v>9495</v>
      </c>
    </row>
    <row r="32">
      <c r="A32" s="108"/>
      <c r="B32" s="108"/>
      <c r="C32" s="204" t="s">
        <v>9496</v>
      </c>
      <c r="D32" s="204" t="s">
        <v>9497</v>
      </c>
    </row>
    <row r="33">
      <c r="A33" s="108"/>
      <c r="B33" s="108"/>
      <c r="C33" s="204" t="s">
        <v>9498</v>
      </c>
      <c r="D33" s="204" t="s">
        <v>9499</v>
      </c>
    </row>
    <row r="34">
      <c r="A34" s="108"/>
      <c r="B34" s="108"/>
      <c r="C34" s="204" t="s">
        <v>9500</v>
      </c>
      <c r="D34" s="204" t="s">
        <v>9501</v>
      </c>
    </row>
    <row r="35">
      <c r="A35" s="108"/>
      <c r="B35" s="109"/>
      <c r="C35" s="204" t="s">
        <v>9502</v>
      </c>
      <c r="D35" s="204" t="s">
        <v>9503</v>
      </c>
    </row>
    <row r="36">
      <c r="A36" s="108"/>
      <c r="B36" s="152" t="s">
        <v>9504</v>
      </c>
      <c r="C36" s="204" t="s">
        <v>9505</v>
      </c>
      <c r="D36" s="204" t="s">
        <v>9506</v>
      </c>
    </row>
    <row r="37">
      <c r="A37" s="108"/>
      <c r="B37" s="108"/>
      <c r="C37" s="204" t="s">
        <v>9507</v>
      </c>
      <c r="D37" s="204" t="s">
        <v>9508</v>
      </c>
    </row>
    <row r="38">
      <c r="A38" s="108"/>
      <c r="B38" s="108"/>
      <c r="C38" s="204" t="s">
        <v>9509</v>
      </c>
      <c r="D38" s="204" t="s">
        <v>9510</v>
      </c>
    </row>
    <row r="39">
      <c r="A39" s="108"/>
      <c r="B39" s="108"/>
      <c r="C39" s="204" t="s">
        <v>9511</v>
      </c>
      <c r="D39" s="204" t="s">
        <v>9512</v>
      </c>
    </row>
    <row r="40">
      <c r="A40" s="108"/>
      <c r="B40" s="108"/>
      <c r="C40" s="204" t="s">
        <v>9513</v>
      </c>
      <c r="D40" s="204" t="s">
        <v>9514</v>
      </c>
    </row>
    <row r="41">
      <c r="A41" s="108"/>
      <c r="B41" s="108"/>
      <c r="C41" s="204" t="s">
        <v>9515</v>
      </c>
      <c r="D41" s="204" t="s">
        <v>9516</v>
      </c>
    </row>
    <row r="42">
      <c r="A42" s="108"/>
      <c r="B42" s="108"/>
      <c r="C42" s="204" t="s">
        <v>9517</v>
      </c>
      <c r="D42" s="204" t="s">
        <v>9518</v>
      </c>
    </row>
    <row r="43">
      <c r="A43" s="108"/>
      <c r="B43" s="109"/>
      <c r="C43" s="204" t="s">
        <v>9519</v>
      </c>
      <c r="D43" s="204" t="s">
        <v>9520</v>
      </c>
    </row>
    <row r="44">
      <c r="A44" s="108"/>
      <c r="B44" s="152" t="s">
        <v>9521</v>
      </c>
      <c r="C44" s="204" t="s">
        <v>9522</v>
      </c>
      <c r="D44" s="204" t="s">
        <v>9523</v>
      </c>
    </row>
    <row r="45">
      <c r="A45" s="108"/>
      <c r="B45" s="108"/>
      <c r="C45" s="204" t="s">
        <v>9524</v>
      </c>
      <c r="D45" s="204" t="s">
        <v>9525</v>
      </c>
    </row>
    <row r="46">
      <c r="A46" s="108"/>
      <c r="B46" s="108"/>
      <c r="C46" s="204" t="s">
        <v>9526</v>
      </c>
      <c r="D46" s="204" t="s">
        <v>9527</v>
      </c>
    </row>
    <row r="47">
      <c r="A47" s="108"/>
      <c r="B47" s="108"/>
      <c r="C47" s="204" t="s">
        <v>9528</v>
      </c>
      <c r="D47" s="204" t="s">
        <v>9527</v>
      </c>
    </row>
    <row r="48">
      <c r="A48" s="108"/>
      <c r="B48" s="108"/>
      <c r="C48" s="204" t="s">
        <v>9529</v>
      </c>
      <c r="D48" s="204" t="s">
        <v>9530</v>
      </c>
    </row>
    <row r="49">
      <c r="A49" s="108"/>
      <c r="B49" s="108"/>
      <c r="C49" s="204" t="s">
        <v>9531</v>
      </c>
      <c r="D49" s="204" t="s">
        <v>9532</v>
      </c>
    </row>
    <row r="50">
      <c r="A50" s="108"/>
      <c r="B50" s="109"/>
      <c r="C50" s="204" t="s">
        <v>9533</v>
      </c>
      <c r="D50" s="204" t="s">
        <v>9534</v>
      </c>
    </row>
    <row r="51">
      <c r="A51" s="108"/>
      <c r="B51" s="152" t="s">
        <v>9535</v>
      </c>
      <c r="C51" s="204" t="s">
        <v>9536</v>
      </c>
      <c r="D51" s="204" t="s">
        <v>9537</v>
      </c>
    </row>
    <row r="52">
      <c r="A52" s="108"/>
      <c r="B52" s="108"/>
      <c r="C52" s="204" t="s">
        <v>9538</v>
      </c>
      <c r="D52" s="204" t="s">
        <v>9539</v>
      </c>
    </row>
    <row r="53">
      <c r="A53" s="109"/>
      <c r="B53" s="109"/>
      <c r="C53" s="204" t="s">
        <v>9540</v>
      </c>
      <c r="D53" s="204" t="s">
        <v>9541</v>
      </c>
    </row>
    <row r="54">
      <c r="A54" s="203" t="s">
        <v>1775</v>
      </c>
      <c r="B54" s="152" t="s">
        <v>9542</v>
      </c>
      <c r="C54" s="204" t="s">
        <v>9543</v>
      </c>
      <c r="D54" s="204" t="s">
        <v>9544</v>
      </c>
    </row>
    <row r="55">
      <c r="A55" s="108"/>
      <c r="B55" s="108"/>
      <c r="C55" s="204"/>
      <c r="D55" s="204" t="s">
        <v>9545</v>
      </c>
    </row>
    <row r="56">
      <c r="A56" s="108"/>
      <c r="B56" s="108"/>
      <c r="C56" s="204"/>
      <c r="D56" s="204" t="s">
        <v>9546</v>
      </c>
    </row>
    <row r="57">
      <c r="A57" s="108"/>
      <c r="B57" s="108"/>
      <c r="C57" s="204"/>
      <c r="D57" s="204" t="s">
        <v>9547</v>
      </c>
    </row>
    <row r="58">
      <c r="A58" s="108"/>
      <c r="B58" s="108"/>
      <c r="C58" s="204"/>
      <c r="D58" s="204" t="s">
        <v>9548</v>
      </c>
    </row>
    <row r="59">
      <c r="A59" s="108"/>
      <c r="B59" s="108"/>
      <c r="C59" s="204" t="s">
        <v>9549</v>
      </c>
      <c r="D59" s="204" t="s">
        <v>9550</v>
      </c>
    </row>
    <row r="60">
      <c r="A60" s="108"/>
      <c r="B60" s="108"/>
      <c r="C60" s="204"/>
      <c r="D60" s="204" t="s">
        <v>9551</v>
      </c>
    </row>
    <row r="61">
      <c r="A61" s="108"/>
      <c r="B61" s="108"/>
      <c r="C61" s="204"/>
      <c r="D61" s="204" t="s">
        <v>9552</v>
      </c>
    </row>
    <row r="62">
      <c r="A62" s="108"/>
      <c r="B62" s="108"/>
      <c r="C62" s="204"/>
      <c r="D62" s="204" t="s">
        <v>9553</v>
      </c>
    </row>
    <row r="63">
      <c r="A63" s="108"/>
      <c r="B63" s="108"/>
      <c r="C63" s="204"/>
      <c r="D63" s="204" t="s">
        <v>9554</v>
      </c>
    </row>
    <row r="64">
      <c r="A64" s="108"/>
      <c r="B64" s="108"/>
      <c r="C64" s="204"/>
      <c r="D64" s="204" t="s">
        <v>9555</v>
      </c>
    </row>
    <row r="65">
      <c r="A65" s="108"/>
      <c r="B65" s="108"/>
      <c r="C65" s="204" t="s">
        <v>9556</v>
      </c>
      <c r="D65" s="155" t="s">
        <v>9557</v>
      </c>
    </row>
    <row r="66">
      <c r="A66" s="108"/>
      <c r="B66" s="108"/>
      <c r="C66" s="204"/>
      <c r="D66" s="155" t="s">
        <v>9558</v>
      </c>
    </row>
    <row r="67">
      <c r="A67" s="108"/>
      <c r="B67" s="108"/>
      <c r="C67" s="336" t="s">
        <v>9559</v>
      </c>
      <c r="D67" s="204" t="s">
        <v>9560</v>
      </c>
    </row>
    <row r="68">
      <c r="A68" s="108"/>
      <c r="B68" s="108"/>
      <c r="C68" s="336"/>
      <c r="D68" s="204" t="s">
        <v>9561</v>
      </c>
    </row>
    <row r="69">
      <c r="A69" s="108"/>
      <c r="B69" s="108"/>
      <c r="C69" s="337"/>
      <c r="D69" s="338" t="s">
        <v>9562</v>
      </c>
    </row>
    <row r="70">
      <c r="A70" s="108"/>
      <c r="B70" s="108"/>
      <c r="C70" s="337"/>
      <c r="D70" s="155" t="s">
        <v>9563</v>
      </c>
    </row>
    <row r="71">
      <c r="A71" s="108"/>
      <c r="B71" s="109"/>
      <c r="C71" s="339"/>
      <c r="D71" s="155" t="s">
        <v>9564</v>
      </c>
    </row>
    <row r="72">
      <c r="A72" s="108"/>
      <c r="B72" s="152" t="s">
        <v>9565</v>
      </c>
      <c r="C72" s="336" t="s">
        <v>9566</v>
      </c>
      <c r="D72" s="155" t="s">
        <v>9567</v>
      </c>
    </row>
    <row r="73">
      <c r="A73" s="108"/>
      <c r="B73" s="108"/>
      <c r="C73" s="336"/>
      <c r="D73" s="155" t="s">
        <v>9568</v>
      </c>
    </row>
    <row r="74">
      <c r="A74" s="108"/>
      <c r="B74" s="108"/>
      <c r="C74" s="340"/>
      <c r="D74" s="155" t="s">
        <v>9569</v>
      </c>
    </row>
    <row r="75">
      <c r="A75" s="108"/>
      <c r="B75" s="108"/>
      <c r="C75" s="340"/>
      <c r="D75" s="155" t="s">
        <v>9570</v>
      </c>
    </row>
    <row r="76">
      <c r="A76" s="109"/>
      <c r="B76" s="109"/>
      <c r="C76" s="138"/>
      <c r="D76" s="341" t="s">
        <v>9571</v>
      </c>
    </row>
    <row r="77">
      <c r="A77" s="208"/>
      <c r="B77" s="342"/>
      <c r="C77" s="288"/>
    </row>
    <row r="78">
      <c r="A78" s="208"/>
      <c r="B78" s="342"/>
      <c r="C78" s="288"/>
    </row>
    <row r="79">
      <c r="A79" s="208"/>
      <c r="B79" s="342"/>
      <c r="C79" s="288"/>
    </row>
    <row r="80">
      <c r="A80" s="208"/>
      <c r="B80" s="342"/>
      <c r="C80" s="288"/>
    </row>
    <row r="81">
      <c r="A81" s="208"/>
      <c r="B81" s="342"/>
      <c r="C81" s="288"/>
    </row>
    <row r="82">
      <c r="A82" s="208"/>
      <c r="B82" s="342"/>
      <c r="C82" s="288"/>
    </row>
    <row r="83">
      <c r="A83" s="208"/>
      <c r="B83" s="342"/>
      <c r="C83" s="288"/>
    </row>
    <row r="84">
      <c r="A84" s="208"/>
      <c r="B84" s="342"/>
      <c r="C84" s="288"/>
    </row>
    <row r="85">
      <c r="A85" s="208"/>
      <c r="B85" s="342"/>
      <c r="C85" s="288"/>
    </row>
    <row r="86">
      <c r="A86" s="208"/>
      <c r="B86" s="342"/>
      <c r="C86" s="288"/>
    </row>
    <row r="87">
      <c r="A87" s="208"/>
      <c r="B87" s="342"/>
      <c r="C87" s="288"/>
    </row>
    <row r="88">
      <c r="A88" s="208"/>
      <c r="B88" s="342"/>
      <c r="C88" s="288"/>
    </row>
    <row r="89">
      <c r="A89" s="208"/>
      <c r="B89" s="342"/>
      <c r="C89" s="288"/>
    </row>
    <row r="90">
      <c r="A90" s="208"/>
      <c r="B90" s="342"/>
      <c r="C90" s="288"/>
    </row>
    <row r="91">
      <c r="A91" s="208"/>
      <c r="B91" s="342"/>
      <c r="C91" s="288"/>
    </row>
    <row r="92">
      <c r="A92" s="208"/>
      <c r="B92" s="342"/>
      <c r="C92" s="288"/>
    </row>
    <row r="93">
      <c r="A93" s="208"/>
      <c r="B93" s="342"/>
      <c r="C93" s="288"/>
    </row>
    <row r="94">
      <c r="A94" s="208"/>
      <c r="B94" s="342"/>
      <c r="C94" s="288"/>
    </row>
    <row r="95">
      <c r="A95" s="208"/>
      <c r="B95" s="342"/>
      <c r="C95" s="288"/>
    </row>
    <row r="96">
      <c r="A96" s="208"/>
      <c r="B96" s="342"/>
      <c r="C96" s="288"/>
    </row>
    <row r="97">
      <c r="A97" s="208"/>
      <c r="B97" s="342"/>
      <c r="C97" s="288"/>
    </row>
    <row r="98">
      <c r="A98" s="208"/>
      <c r="B98" s="342"/>
      <c r="C98" s="288"/>
    </row>
    <row r="99">
      <c r="A99" s="208"/>
      <c r="B99" s="342"/>
      <c r="C99" s="288"/>
    </row>
    <row r="100">
      <c r="A100" s="208"/>
      <c r="B100" s="342"/>
      <c r="C100" s="288"/>
    </row>
    <row r="101">
      <c r="A101" s="208"/>
      <c r="B101" s="342"/>
      <c r="C101" s="288"/>
    </row>
    <row r="102">
      <c r="A102" s="208"/>
      <c r="B102" s="342"/>
      <c r="C102" s="288"/>
    </row>
    <row r="103">
      <c r="A103" s="208"/>
      <c r="B103" s="342"/>
      <c r="C103" s="288"/>
    </row>
    <row r="104">
      <c r="A104" s="208"/>
      <c r="B104" s="342"/>
      <c r="C104" s="288"/>
    </row>
    <row r="105">
      <c r="A105" s="208"/>
      <c r="B105" s="342"/>
      <c r="C105" s="288"/>
    </row>
    <row r="106">
      <c r="A106" s="208"/>
      <c r="B106" s="342"/>
      <c r="C106" s="288"/>
    </row>
    <row r="107">
      <c r="A107" s="208"/>
      <c r="B107" s="342"/>
      <c r="C107" s="288"/>
    </row>
    <row r="108">
      <c r="A108" s="208"/>
      <c r="B108" s="342"/>
      <c r="C108" s="288"/>
    </row>
    <row r="109">
      <c r="A109" s="208"/>
      <c r="B109" s="342"/>
      <c r="C109" s="288"/>
    </row>
    <row r="110">
      <c r="A110" s="208"/>
      <c r="B110" s="342"/>
      <c r="C110" s="288"/>
    </row>
    <row r="111">
      <c r="A111" s="208"/>
      <c r="B111" s="342"/>
      <c r="C111" s="288"/>
    </row>
    <row r="112">
      <c r="A112" s="208"/>
      <c r="B112" s="342"/>
      <c r="C112" s="288"/>
    </row>
    <row r="113">
      <c r="A113" s="208"/>
      <c r="B113" s="342"/>
      <c r="C113" s="288"/>
    </row>
    <row r="114">
      <c r="A114" s="208"/>
      <c r="B114" s="342"/>
      <c r="C114" s="288"/>
    </row>
    <row r="115">
      <c r="A115" s="208"/>
      <c r="B115" s="342"/>
      <c r="C115" s="288"/>
    </row>
    <row r="116">
      <c r="A116" s="208"/>
      <c r="B116" s="342"/>
      <c r="C116" s="288"/>
    </row>
    <row r="117">
      <c r="A117" s="208"/>
      <c r="B117" s="342"/>
      <c r="C117" s="288"/>
    </row>
    <row r="118">
      <c r="A118" s="208"/>
      <c r="B118" s="342"/>
      <c r="C118" s="288"/>
    </row>
    <row r="119">
      <c r="A119" s="208"/>
      <c r="B119" s="342"/>
      <c r="C119" s="288"/>
    </row>
    <row r="120">
      <c r="A120" s="208"/>
      <c r="B120" s="342"/>
      <c r="C120" s="288"/>
    </row>
    <row r="121">
      <c r="A121" s="208"/>
      <c r="B121" s="342"/>
      <c r="C121" s="288"/>
    </row>
    <row r="122">
      <c r="A122" s="208"/>
      <c r="B122" s="342"/>
      <c r="C122" s="288"/>
    </row>
    <row r="123">
      <c r="A123" s="208"/>
      <c r="B123" s="342"/>
      <c r="C123" s="288"/>
    </row>
    <row r="124">
      <c r="A124" s="208"/>
      <c r="B124" s="342"/>
      <c r="C124" s="288"/>
    </row>
    <row r="125">
      <c r="A125" s="208"/>
      <c r="B125" s="342"/>
      <c r="C125" s="288"/>
    </row>
    <row r="126">
      <c r="A126" s="208"/>
      <c r="B126" s="342"/>
      <c r="C126" s="288"/>
    </row>
    <row r="127">
      <c r="A127" s="208"/>
      <c r="B127" s="342"/>
      <c r="C127" s="288"/>
    </row>
    <row r="128">
      <c r="A128" s="208"/>
      <c r="B128" s="342"/>
      <c r="C128" s="288"/>
    </row>
    <row r="129">
      <c r="A129" s="208"/>
      <c r="B129" s="342"/>
      <c r="C129" s="288"/>
    </row>
    <row r="130">
      <c r="A130" s="208"/>
      <c r="B130" s="342"/>
      <c r="C130" s="288"/>
    </row>
    <row r="131">
      <c r="A131" s="208"/>
      <c r="B131" s="342"/>
      <c r="C131" s="288"/>
    </row>
    <row r="132">
      <c r="A132" s="208"/>
      <c r="B132" s="342"/>
      <c r="C132" s="288"/>
    </row>
    <row r="133">
      <c r="A133" s="208"/>
      <c r="B133" s="342"/>
      <c r="C133" s="288"/>
    </row>
    <row r="134">
      <c r="A134" s="208"/>
      <c r="B134" s="342"/>
      <c r="C134" s="288"/>
    </row>
    <row r="135">
      <c r="A135" s="208"/>
      <c r="B135" s="342"/>
      <c r="C135" s="288"/>
    </row>
    <row r="136">
      <c r="A136" s="208"/>
      <c r="B136" s="342"/>
      <c r="C136" s="288"/>
    </row>
    <row r="137">
      <c r="A137" s="208"/>
      <c r="B137" s="342"/>
      <c r="C137" s="288"/>
    </row>
    <row r="138">
      <c r="A138" s="208"/>
      <c r="B138" s="342"/>
      <c r="C138" s="288"/>
    </row>
    <row r="139">
      <c r="A139" s="208"/>
      <c r="B139" s="342"/>
      <c r="C139" s="288"/>
    </row>
    <row r="140">
      <c r="A140" s="208"/>
      <c r="B140" s="342"/>
      <c r="C140" s="288"/>
    </row>
    <row r="141">
      <c r="A141" s="208"/>
      <c r="B141" s="342"/>
      <c r="C141" s="288"/>
    </row>
    <row r="142">
      <c r="A142" s="208"/>
      <c r="B142" s="342"/>
      <c r="C142" s="288"/>
    </row>
    <row r="143">
      <c r="A143" s="208"/>
      <c r="B143" s="342"/>
      <c r="C143" s="288"/>
    </row>
    <row r="144">
      <c r="A144" s="208"/>
      <c r="B144" s="342"/>
      <c r="C144" s="288"/>
    </row>
    <row r="145">
      <c r="A145" s="208"/>
      <c r="B145" s="342"/>
      <c r="C145" s="288"/>
    </row>
    <row r="146">
      <c r="A146" s="208"/>
      <c r="B146" s="342"/>
      <c r="C146" s="288"/>
    </row>
    <row r="147">
      <c r="A147" s="208"/>
      <c r="B147" s="342"/>
      <c r="C147" s="288"/>
    </row>
    <row r="148">
      <c r="A148" s="208"/>
      <c r="B148" s="342"/>
      <c r="C148" s="288"/>
    </row>
    <row r="149">
      <c r="A149" s="208"/>
      <c r="B149" s="342"/>
      <c r="C149" s="288"/>
    </row>
    <row r="150">
      <c r="A150" s="208"/>
      <c r="B150" s="342"/>
      <c r="C150" s="288"/>
    </row>
    <row r="151">
      <c r="A151" s="208"/>
      <c r="B151" s="342"/>
      <c r="C151" s="288"/>
    </row>
    <row r="152">
      <c r="A152" s="208"/>
      <c r="B152" s="342"/>
      <c r="C152" s="288"/>
    </row>
    <row r="153">
      <c r="A153" s="208"/>
      <c r="B153" s="342"/>
      <c r="C153" s="288"/>
    </row>
    <row r="154">
      <c r="A154" s="208"/>
      <c r="B154" s="342"/>
      <c r="C154" s="288"/>
    </row>
    <row r="155">
      <c r="A155" s="208"/>
      <c r="B155" s="342"/>
      <c r="C155" s="288"/>
    </row>
    <row r="156">
      <c r="A156" s="208"/>
      <c r="B156" s="342"/>
      <c r="C156" s="288"/>
    </row>
    <row r="157">
      <c r="A157" s="208"/>
      <c r="B157" s="342"/>
      <c r="C157" s="288"/>
    </row>
    <row r="158">
      <c r="A158" s="208"/>
      <c r="B158" s="342"/>
      <c r="C158" s="288"/>
    </row>
    <row r="159">
      <c r="A159" s="208"/>
      <c r="B159" s="342"/>
      <c r="C159" s="288"/>
    </row>
    <row r="160">
      <c r="A160" s="208"/>
      <c r="B160" s="342"/>
      <c r="C160" s="288"/>
    </row>
    <row r="161">
      <c r="A161" s="208"/>
      <c r="B161" s="342"/>
      <c r="C161" s="288"/>
    </row>
    <row r="162">
      <c r="A162" s="208"/>
      <c r="B162" s="342"/>
      <c r="C162" s="288"/>
    </row>
    <row r="163">
      <c r="A163" s="208"/>
      <c r="B163" s="342"/>
      <c r="C163" s="288"/>
    </row>
    <row r="164">
      <c r="A164" s="208"/>
      <c r="B164" s="342"/>
      <c r="C164" s="288"/>
    </row>
    <row r="165">
      <c r="A165" s="208"/>
      <c r="B165" s="342"/>
      <c r="C165" s="288"/>
    </row>
    <row r="166">
      <c r="A166" s="208"/>
      <c r="B166" s="342"/>
      <c r="C166" s="288"/>
    </row>
    <row r="167">
      <c r="A167" s="208"/>
      <c r="B167" s="342"/>
      <c r="C167" s="288"/>
    </row>
    <row r="168">
      <c r="A168" s="208"/>
      <c r="B168" s="342"/>
      <c r="C168" s="288"/>
    </row>
    <row r="169">
      <c r="A169" s="208"/>
      <c r="B169" s="342"/>
      <c r="C169" s="288"/>
    </row>
    <row r="170">
      <c r="A170" s="208"/>
      <c r="B170" s="342"/>
      <c r="C170" s="288"/>
    </row>
    <row r="171">
      <c r="A171" s="208"/>
      <c r="B171" s="342"/>
      <c r="C171" s="288"/>
    </row>
    <row r="172">
      <c r="A172" s="208"/>
      <c r="B172" s="342"/>
      <c r="C172" s="288"/>
    </row>
    <row r="173">
      <c r="A173" s="208"/>
      <c r="B173" s="342"/>
      <c r="C173" s="288"/>
    </row>
    <row r="174">
      <c r="A174" s="208"/>
      <c r="B174" s="342"/>
      <c r="C174" s="288"/>
    </row>
    <row r="175">
      <c r="A175" s="208"/>
      <c r="B175" s="342"/>
      <c r="C175" s="288"/>
    </row>
    <row r="176">
      <c r="A176" s="208"/>
      <c r="B176" s="342"/>
      <c r="C176" s="288"/>
    </row>
    <row r="177">
      <c r="A177" s="208"/>
      <c r="B177" s="342"/>
      <c r="C177" s="288"/>
    </row>
    <row r="178">
      <c r="A178" s="208"/>
      <c r="B178" s="342"/>
      <c r="C178" s="288"/>
    </row>
    <row r="179">
      <c r="A179" s="208"/>
      <c r="B179" s="342"/>
      <c r="C179" s="288"/>
    </row>
    <row r="180">
      <c r="A180" s="208"/>
      <c r="B180" s="342"/>
      <c r="C180" s="288"/>
    </row>
    <row r="181">
      <c r="A181" s="208"/>
      <c r="B181" s="342"/>
      <c r="C181" s="288"/>
    </row>
    <row r="182">
      <c r="A182" s="208"/>
      <c r="B182" s="342"/>
      <c r="C182" s="288"/>
    </row>
    <row r="183">
      <c r="A183" s="208"/>
      <c r="B183" s="342"/>
      <c r="C183" s="288"/>
    </row>
    <row r="184">
      <c r="A184" s="208"/>
      <c r="B184" s="342"/>
      <c r="C184" s="288"/>
    </row>
    <row r="185">
      <c r="A185" s="208"/>
      <c r="B185" s="342"/>
      <c r="C185" s="288"/>
    </row>
    <row r="186">
      <c r="A186" s="208"/>
      <c r="B186" s="342"/>
      <c r="C186" s="288"/>
    </row>
    <row r="187">
      <c r="A187" s="208"/>
      <c r="B187" s="342"/>
      <c r="C187" s="288"/>
    </row>
    <row r="188">
      <c r="A188" s="208"/>
      <c r="B188" s="342"/>
      <c r="C188" s="288"/>
    </row>
    <row r="189">
      <c r="A189" s="208"/>
      <c r="B189" s="342"/>
      <c r="C189" s="288"/>
    </row>
    <row r="190">
      <c r="A190" s="208"/>
      <c r="B190" s="342"/>
      <c r="C190" s="288"/>
    </row>
    <row r="191">
      <c r="A191" s="208"/>
      <c r="B191" s="342"/>
      <c r="C191" s="288"/>
    </row>
    <row r="192">
      <c r="A192" s="208"/>
      <c r="B192" s="342"/>
      <c r="C192" s="288"/>
    </row>
    <row r="193">
      <c r="A193" s="208"/>
      <c r="B193" s="342"/>
      <c r="C193" s="288"/>
    </row>
    <row r="194">
      <c r="A194" s="208"/>
      <c r="B194" s="342"/>
      <c r="C194" s="288"/>
    </row>
    <row r="195">
      <c r="A195" s="208"/>
      <c r="B195" s="342"/>
      <c r="C195" s="288"/>
    </row>
    <row r="196">
      <c r="A196" s="208"/>
      <c r="B196" s="342"/>
      <c r="C196" s="288"/>
    </row>
    <row r="197">
      <c r="A197" s="208"/>
      <c r="B197" s="342"/>
      <c r="C197" s="288"/>
    </row>
    <row r="198">
      <c r="A198" s="208"/>
      <c r="B198" s="342"/>
      <c r="C198" s="288"/>
    </row>
    <row r="199">
      <c r="A199" s="208"/>
      <c r="B199" s="342"/>
      <c r="C199" s="288"/>
    </row>
    <row r="200">
      <c r="A200" s="208"/>
      <c r="B200" s="342"/>
      <c r="C200" s="288"/>
    </row>
    <row r="201">
      <c r="A201" s="208"/>
      <c r="B201" s="342"/>
      <c r="C201" s="288"/>
    </row>
    <row r="202">
      <c r="A202" s="208"/>
      <c r="B202" s="342"/>
      <c r="C202" s="288"/>
    </row>
    <row r="203">
      <c r="A203" s="208"/>
      <c r="B203" s="342"/>
      <c r="C203" s="288"/>
    </row>
    <row r="204">
      <c r="A204" s="208"/>
      <c r="B204" s="342"/>
      <c r="C204" s="288"/>
    </row>
    <row r="205">
      <c r="A205" s="208"/>
      <c r="B205" s="342"/>
      <c r="C205" s="288"/>
    </row>
    <row r="206">
      <c r="A206" s="208"/>
      <c r="B206" s="342"/>
      <c r="C206" s="288"/>
    </row>
    <row r="207">
      <c r="A207" s="208"/>
      <c r="B207" s="342"/>
      <c r="C207" s="288"/>
    </row>
    <row r="208">
      <c r="A208" s="208"/>
      <c r="B208" s="342"/>
      <c r="C208" s="288"/>
    </row>
    <row r="209">
      <c r="A209" s="208"/>
      <c r="B209" s="342"/>
      <c r="C209" s="288"/>
    </row>
    <row r="210">
      <c r="A210" s="208"/>
      <c r="B210" s="342"/>
      <c r="C210" s="288"/>
    </row>
    <row r="211">
      <c r="A211" s="208"/>
      <c r="B211" s="342"/>
      <c r="C211" s="288"/>
    </row>
    <row r="212">
      <c r="A212" s="208"/>
      <c r="B212" s="342"/>
      <c r="C212" s="288"/>
    </row>
    <row r="213">
      <c r="A213" s="208"/>
      <c r="B213" s="342"/>
      <c r="C213" s="288"/>
    </row>
    <row r="214">
      <c r="A214" s="208"/>
      <c r="B214" s="342"/>
      <c r="C214" s="288"/>
    </row>
    <row r="215">
      <c r="A215" s="208"/>
      <c r="B215" s="342"/>
      <c r="C215" s="288"/>
    </row>
    <row r="216">
      <c r="A216" s="208"/>
      <c r="B216" s="342"/>
      <c r="C216" s="288"/>
    </row>
    <row r="217">
      <c r="A217" s="208"/>
      <c r="B217" s="342"/>
      <c r="C217" s="288"/>
    </row>
    <row r="218">
      <c r="A218" s="208"/>
      <c r="B218" s="342"/>
      <c r="C218" s="288"/>
    </row>
    <row r="219">
      <c r="A219" s="208"/>
      <c r="B219" s="342"/>
      <c r="C219" s="288"/>
    </row>
    <row r="220">
      <c r="A220" s="208"/>
      <c r="B220" s="342"/>
      <c r="C220" s="288"/>
    </row>
    <row r="221">
      <c r="A221" s="208"/>
      <c r="B221" s="342"/>
      <c r="C221" s="288"/>
    </row>
    <row r="222">
      <c r="A222" s="208"/>
      <c r="B222" s="342"/>
      <c r="C222" s="288"/>
    </row>
    <row r="223">
      <c r="A223" s="208"/>
      <c r="B223" s="342"/>
      <c r="C223" s="288"/>
    </row>
    <row r="224">
      <c r="A224" s="208"/>
      <c r="B224" s="342"/>
      <c r="C224" s="288"/>
    </row>
    <row r="225">
      <c r="A225" s="208"/>
      <c r="B225" s="342"/>
      <c r="C225" s="288"/>
    </row>
    <row r="226">
      <c r="A226" s="208"/>
      <c r="B226" s="342"/>
      <c r="C226" s="288"/>
    </row>
    <row r="227">
      <c r="A227" s="208"/>
      <c r="B227" s="342"/>
      <c r="C227" s="288"/>
    </row>
    <row r="228">
      <c r="A228" s="208"/>
      <c r="B228" s="342"/>
      <c r="C228" s="288"/>
    </row>
    <row r="229">
      <c r="A229" s="208"/>
      <c r="B229" s="342"/>
      <c r="C229" s="288"/>
    </row>
    <row r="230">
      <c r="A230" s="208"/>
      <c r="B230" s="342"/>
      <c r="C230" s="288"/>
    </row>
    <row r="231">
      <c r="A231" s="208"/>
      <c r="B231" s="342"/>
      <c r="C231" s="288"/>
    </row>
    <row r="232">
      <c r="A232" s="208"/>
      <c r="B232" s="342"/>
      <c r="C232" s="288"/>
    </row>
    <row r="233">
      <c r="A233" s="208"/>
      <c r="B233" s="342"/>
      <c r="C233" s="288"/>
    </row>
    <row r="234">
      <c r="A234" s="208"/>
      <c r="B234" s="342"/>
      <c r="C234" s="288"/>
    </row>
    <row r="235">
      <c r="A235" s="208"/>
      <c r="B235" s="342"/>
      <c r="C235" s="288"/>
    </row>
    <row r="236">
      <c r="A236" s="208"/>
      <c r="B236" s="342"/>
      <c r="C236" s="288"/>
    </row>
    <row r="237">
      <c r="A237" s="208"/>
      <c r="B237" s="342"/>
      <c r="C237" s="288"/>
    </row>
    <row r="238">
      <c r="A238" s="208"/>
      <c r="B238" s="342"/>
      <c r="C238" s="288"/>
    </row>
    <row r="239">
      <c r="A239" s="208"/>
      <c r="B239" s="342"/>
      <c r="C239" s="288"/>
    </row>
    <row r="240">
      <c r="A240" s="208"/>
      <c r="B240" s="342"/>
      <c r="C240" s="288"/>
    </row>
    <row r="241">
      <c r="A241" s="208"/>
      <c r="B241" s="342"/>
      <c r="C241" s="288"/>
    </row>
    <row r="242">
      <c r="A242" s="208"/>
      <c r="B242" s="342"/>
      <c r="C242" s="288"/>
    </row>
    <row r="243">
      <c r="A243" s="208"/>
      <c r="B243" s="342"/>
      <c r="C243" s="288"/>
    </row>
    <row r="244">
      <c r="A244" s="208"/>
      <c r="B244" s="342"/>
      <c r="C244" s="288"/>
    </row>
    <row r="245">
      <c r="A245" s="208"/>
      <c r="B245" s="342"/>
      <c r="C245" s="288"/>
    </row>
    <row r="246">
      <c r="A246" s="208"/>
      <c r="B246" s="342"/>
      <c r="C246" s="288"/>
    </row>
    <row r="247">
      <c r="A247" s="208"/>
      <c r="B247" s="342"/>
      <c r="C247" s="288"/>
    </row>
    <row r="248">
      <c r="A248" s="208"/>
      <c r="B248" s="342"/>
      <c r="C248" s="288"/>
    </row>
    <row r="249">
      <c r="A249" s="208"/>
      <c r="B249" s="342"/>
      <c r="C249" s="288"/>
    </row>
    <row r="250">
      <c r="A250" s="208"/>
      <c r="B250" s="342"/>
      <c r="C250" s="288"/>
    </row>
    <row r="251">
      <c r="A251" s="208"/>
      <c r="B251" s="342"/>
      <c r="C251" s="288"/>
    </row>
    <row r="252">
      <c r="A252" s="208"/>
      <c r="B252" s="342"/>
      <c r="C252" s="288"/>
    </row>
    <row r="253">
      <c r="A253" s="208"/>
      <c r="B253" s="342"/>
      <c r="C253" s="288"/>
    </row>
    <row r="254">
      <c r="A254" s="208"/>
      <c r="B254" s="342"/>
      <c r="C254" s="288"/>
    </row>
    <row r="255">
      <c r="A255" s="208"/>
      <c r="B255" s="342"/>
      <c r="C255" s="288"/>
    </row>
    <row r="256">
      <c r="A256" s="208"/>
      <c r="B256" s="342"/>
      <c r="C256" s="288"/>
    </row>
    <row r="257">
      <c r="A257" s="208"/>
      <c r="B257" s="342"/>
      <c r="C257" s="288"/>
    </row>
    <row r="258">
      <c r="A258" s="208"/>
      <c r="B258" s="342"/>
      <c r="C258" s="288"/>
    </row>
    <row r="259">
      <c r="A259" s="208"/>
      <c r="B259" s="342"/>
      <c r="C259" s="288"/>
    </row>
    <row r="260">
      <c r="A260" s="208"/>
      <c r="B260" s="342"/>
      <c r="C260" s="288"/>
    </row>
    <row r="261">
      <c r="A261" s="208"/>
      <c r="B261" s="342"/>
      <c r="C261" s="288"/>
    </row>
    <row r="262">
      <c r="A262" s="208"/>
      <c r="B262" s="342"/>
      <c r="C262" s="288"/>
    </row>
    <row r="263">
      <c r="A263" s="208"/>
      <c r="B263" s="342"/>
      <c r="C263" s="288"/>
    </row>
    <row r="264">
      <c r="A264" s="208"/>
      <c r="B264" s="342"/>
      <c r="C264" s="288"/>
    </row>
    <row r="265">
      <c r="A265" s="208"/>
      <c r="B265" s="342"/>
      <c r="C265" s="288"/>
    </row>
    <row r="266">
      <c r="A266" s="208"/>
      <c r="B266" s="342"/>
      <c r="C266" s="288"/>
    </row>
    <row r="267">
      <c r="A267" s="208"/>
      <c r="B267" s="342"/>
      <c r="C267" s="288"/>
    </row>
    <row r="268">
      <c r="A268" s="208"/>
      <c r="B268" s="342"/>
      <c r="C268" s="288"/>
    </row>
    <row r="269">
      <c r="A269" s="208"/>
      <c r="B269" s="342"/>
      <c r="C269" s="288"/>
    </row>
    <row r="270">
      <c r="A270" s="208"/>
      <c r="B270" s="342"/>
      <c r="C270" s="288"/>
    </row>
    <row r="271">
      <c r="A271" s="208"/>
      <c r="B271" s="342"/>
      <c r="C271" s="288"/>
    </row>
    <row r="272">
      <c r="A272" s="208"/>
      <c r="B272" s="342"/>
      <c r="C272" s="288"/>
    </row>
    <row r="273">
      <c r="A273" s="208"/>
      <c r="B273" s="342"/>
      <c r="C273" s="288"/>
    </row>
    <row r="274">
      <c r="A274" s="208"/>
      <c r="B274" s="342"/>
      <c r="C274" s="288"/>
    </row>
    <row r="275">
      <c r="A275" s="208"/>
      <c r="B275" s="342"/>
      <c r="C275" s="288"/>
    </row>
    <row r="276">
      <c r="A276" s="208"/>
      <c r="B276" s="342"/>
      <c r="C276" s="288"/>
    </row>
    <row r="277">
      <c r="A277" s="208"/>
      <c r="B277" s="342"/>
      <c r="C277" s="288"/>
    </row>
    <row r="278">
      <c r="A278" s="208"/>
      <c r="B278" s="342"/>
      <c r="C278" s="288"/>
    </row>
    <row r="279">
      <c r="A279" s="208"/>
      <c r="B279" s="342"/>
      <c r="C279" s="288"/>
    </row>
    <row r="280">
      <c r="A280" s="208"/>
      <c r="B280" s="342"/>
      <c r="C280" s="288"/>
    </row>
    <row r="281">
      <c r="A281" s="208"/>
      <c r="B281" s="342"/>
      <c r="C281" s="288"/>
    </row>
    <row r="282">
      <c r="A282" s="208"/>
      <c r="B282" s="342"/>
      <c r="C282" s="288"/>
    </row>
    <row r="283">
      <c r="A283" s="208"/>
      <c r="B283" s="342"/>
      <c r="C283" s="288"/>
    </row>
    <row r="284">
      <c r="A284" s="208"/>
      <c r="B284" s="342"/>
      <c r="C284" s="288"/>
    </row>
    <row r="285">
      <c r="A285" s="208"/>
      <c r="B285" s="342"/>
      <c r="C285" s="288"/>
    </row>
    <row r="286">
      <c r="A286" s="208"/>
      <c r="B286" s="342"/>
      <c r="C286" s="288"/>
    </row>
    <row r="287">
      <c r="A287" s="208"/>
      <c r="B287" s="342"/>
      <c r="C287" s="288"/>
    </row>
    <row r="288">
      <c r="A288" s="208"/>
      <c r="B288" s="342"/>
      <c r="C288" s="288"/>
    </row>
    <row r="289">
      <c r="A289" s="208"/>
      <c r="B289" s="342"/>
      <c r="C289" s="288"/>
    </row>
    <row r="290">
      <c r="A290" s="208"/>
      <c r="B290" s="342"/>
      <c r="C290" s="288"/>
    </row>
    <row r="291">
      <c r="A291" s="208"/>
      <c r="B291" s="342"/>
      <c r="C291" s="288"/>
    </row>
    <row r="292">
      <c r="A292" s="208"/>
      <c r="B292" s="342"/>
      <c r="C292" s="288"/>
    </row>
    <row r="293">
      <c r="A293" s="208"/>
      <c r="B293" s="342"/>
      <c r="C293" s="288"/>
    </row>
    <row r="294">
      <c r="A294" s="208"/>
      <c r="B294" s="342"/>
      <c r="C294" s="288"/>
    </row>
    <row r="295">
      <c r="A295" s="208"/>
      <c r="B295" s="342"/>
      <c r="C295" s="288"/>
    </row>
    <row r="296">
      <c r="A296" s="208"/>
      <c r="B296" s="342"/>
      <c r="C296" s="288"/>
    </row>
    <row r="297">
      <c r="A297" s="208"/>
      <c r="B297" s="342"/>
      <c r="C297" s="288"/>
    </row>
    <row r="298">
      <c r="A298" s="208"/>
      <c r="B298" s="342"/>
      <c r="C298" s="288"/>
    </row>
    <row r="299">
      <c r="A299" s="208"/>
      <c r="B299" s="342"/>
      <c r="C299" s="288"/>
    </row>
    <row r="300">
      <c r="A300" s="208"/>
      <c r="B300" s="342"/>
      <c r="C300" s="288"/>
    </row>
    <row r="301">
      <c r="A301" s="208"/>
      <c r="B301" s="342"/>
      <c r="C301" s="288"/>
    </row>
    <row r="302">
      <c r="A302" s="208"/>
      <c r="B302" s="342"/>
      <c r="C302" s="288"/>
    </row>
    <row r="303">
      <c r="A303" s="208"/>
      <c r="B303" s="342"/>
      <c r="C303" s="288"/>
    </row>
    <row r="304">
      <c r="A304" s="208"/>
      <c r="B304" s="342"/>
      <c r="C304" s="288"/>
    </row>
    <row r="305">
      <c r="A305" s="208"/>
      <c r="B305" s="342"/>
      <c r="C305" s="288"/>
    </row>
    <row r="306">
      <c r="A306" s="208"/>
      <c r="B306" s="342"/>
      <c r="C306" s="288"/>
    </row>
    <row r="307">
      <c r="A307" s="208"/>
      <c r="B307" s="342"/>
      <c r="C307" s="288"/>
    </row>
    <row r="308">
      <c r="A308" s="208"/>
      <c r="B308" s="342"/>
      <c r="C308" s="288"/>
    </row>
    <row r="309">
      <c r="A309" s="208"/>
      <c r="B309" s="342"/>
      <c r="C309" s="288"/>
    </row>
    <row r="310">
      <c r="A310" s="208"/>
      <c r="B310" s="342"/>
      <c r="C310" s="288"/>
    </row>
    <row r="311">
      <c r="A311" s="208"/>
      <c r="B311" s="342"/>
      <c r="C311" s="288"/>
    </row>
    <row r="312">
      <c r="A312" s="208"/>
      <c r="B312" s="342"/>
      <c r="C312" s="288"/>
    </row>
    <row r="313">
      <c r="A313" s="208"/>
      <c r="B313" s="342"/>
      <c r="C313" s="288"/>
    </row>
    <row r="314">
      <c r="A314" s="208"/>
      <c r="B314" s="342"/>
      <c r="C314" s="288"/>
    </row>
    <row r="315">
      <c r="A315" s="208"/>
      <c r="B315" s="342"/>
      <c r="C315" s="288"/>
    </row>
    <row r="316">
      <c r="A316" s="208"/>
      <c r="B316" s="342"/>
      <c r="C316" s="288"/>
    </row>
    <row r="317">
      <c r="A317" s="208"/>
      <c r="B317" s="342"/>
      <c r="C317" s="288"/>
    </row>
    <row r="318">
      <c r="A318" s="208"/>
      <c r="B318" s="342"/>
      <c r="C318" s="288"/>
    </row>
    <row r="319">
      <c r="A319" s="208"/>
      <c r="B319" s="342"/>
      <c r="C319" s="288"/>
    </row>
    <row r="320">
      <c r="A320" s="208"/>
      <c r="B320" s="342"/>
      <c r="C320" s="288"/>
    </row>
    <row r="321">
      <c r="A321" s="208"/>
      <c r="B321" s="342"/>
      <c r="C321" s="288"/>
    </row>
    <row r="322">
      <c r="A322" s="208"/>
      <c r="B322" s="342"/>
      <c r="C322" s="288"/>
    </row>
    <row r="323">
      <c r="A323" s="208"/>
      <c r="B323" s="342"/>
      <c r="C323" s="288"/>
    </row>
    <row r="324">
      <c r="A324" s="208"/>
      <c r="B324" s="342"/>
      <c r="C324" s="288"/>
    </row>
    <row r="325">
      <c r="A325" s="208"/>
      <c r="B325" s="342"/>
      <c r="C325" s="288"/>
    </row>
    <row r="326">
      <c r="A326" s="208"/>
      <c r="B326" s="342"/>
      <c r="C326" s="288"/>
    </row>
    <row r="327">
      <c r="A327" s="208"/>
      <c r="B327" s="342"/>
      <c r="C327" s="288"/>
    </row>
    <row r="328">
      <c r="A328" s="208"/>
      <c r="B328" s="342"/>
      <c r="C328" s="288"/>
    </row>
    <row r="329">
      <c r="A329" s="208"/>
      <c r="B329" s="342"/>
      <c r="C329" s="288"/>
    </row>
    <row r="330">
      <c r="A330" s="208"/>
      <c r="B330" s="342"/>
      <c r="C330" s="288"/>
    </row>
    <row r="331">
      <c r="A331" s="208"/>
      <c r="B331" s="342"/>
      <c r="C331" s="288"/>
    </row>
    <row r="332">
      <c r="A332" s="208"/>
      <c r="B332" s="342"/>
      <c r="C332" s="288"/>
    </row>
    <row r="333">
      <c r="A333" s="208"/>
      <c r="B333" s="342"/>
      <c r="C333" s="288"/>
    </row>
    <row r="334">
      <c r="A334" s="208"/>
      <c r="B334" s="342"/>
      <c r="C334" s="288"/>
    </row>
    <row r="335">
      <c r="A335" s="208"/>
      <c r="B335" s="342"/>
      <c r="C335" s="288"/>
    </row>
    <row r="336">
      <c r="A336" s="208"/>
      <c r="B336" s="342"/>
      <c r="C336" s="288"/>
    </row>
    <row r="337">
      <c r="A337" s="208"/>
      <c r="B337" s="342"/>
      <c r="C337" s="288"/>
    </row>
    <row r="338">
      <c r="A338" s="208"/>
      <c r="B338" s="342"/>
      <c r="C338" s="288"/>
    </row>
    <row r="339">
      <c r="A339" s="208"/>
      <c r="B339" s="342"/>
      <c r="C339" s="288"/>
    </row>
    <row r="340">
      <c r="A340" s="208"/>
      <c r="B340" s="342"/>
      <c r="C340" s="288"/>
    </row>
    <row r="341">
      <c r="A341" s="208"/>
      <c r="B341" s="342"/>
      <c r="C341" s="288"/>
    </row>
    <row r="342">
      <c r="A342" s="208"/>
      <c r="B342" s="342"/>
      <c r="C342" s="288"/>
    </row>
    <row r="343">
      <c r="A343" s="208"/>
      <c r="B343" s="342"/>
      <c r="C343" s="288"/>
    </row>
    <row r="344">
      <c r="A344" s="208"/>
      <c r="B344" s="342"/>
      <c r="C344" s="288"/>
    </row>
    <row r="345">
      <c r="A345" s="208"/>
      <c r="B345" s="342"/>
      <c r="C345" s="288"/>
    </row>
    <row r="346">
      <c r="A346" s="208"/>
      <c r="B346" s="342"/>
      <c r="C346" s="288"/>
    </row>
    <row r="347">
      <c r="A347" s="208"/>
      <c r="B347" s="342"/>
      <c r="C347" s="288"/>
    </row>
    <row r="348">
      <c r="A348" s="208"/>
      <c r="B348" s="342"/>
      <c r="C348" s="288"/>
    </row>
    <row r="349">
      <c r="A349" s="208"/>
      <c r="B349" s="342"/>
      <c r="C349" s="288"/>
    </row>
    <row r="350">
      <c r="A350" s="208"/>
      <c r="B350" s="342"/>
      <c r="C350" s="288"/>
    </row>
    <row r="351">
      <c r="A351" s="208"/>
      <c r="B351" s="342"/>
      <c r="C351" s="288"/>
    </row>
    <row r="352">
      <c r="A352" s="208"/>
      <c r="B352" s="342"/>
      <c r="C352" s="288"/>
    </row>
    <row r="353">
      <c r="A353" s="208"/>
      <c r="B353" s="342"/>
      <c r="C353" s="288"/>
    </row>
    <row r="354">
      <c r="A354" s="208"/>
      <c r="B354" s="342"/>
      <c r="C354" s="288"/>
    </row>
    <row r="355">
      <c r="A355" s="208"/>
      <c r="B355" s="342"/>
      <c r="C355" s="288"/>
    </row>
    <row r="356">
      <c r="A356" s="208"/>
      <c r="B356" s="342"/>
      <c r="C356" s="288"/>
    </row>
    <row r="357">
      <c r="A357" s="208"/>
      <c r="B357" s="342"/>
      <c r="C357" s="288"/>
    </row>
    <row r="358">
      <c r="A358" s="208"/>
      <c r="B358" s="342"/>
      <c r="C358" s="288"/>
    </row>
    <row r="359">
      <c r="A359" s="208"/>
      <c r="B359" s="342"/>
      <c r="C359" s="288"/>
    </row>
    <row r="360">
      <c r="A360" s="208"/>
      <c r="B360" s="342"/>
      <c r="C360" s="288"/>
    </row>
    <row r="361">
      <c r="A361" s="208"/>
      <c r="B361" s="342"/>
      <c r="C361" s="288"/>
    </row>
    <row r="362">
      <c r="A362" s="208"/>
      <c r="B362" s="342"/>
      <c r="C362" s="288"/>
    </row>
    <row r="363">
      <c r="A363" s="208"/>
      <c r="B363" s="342"/>
      <c r="C363" s="288"/>
    </row>
    <row r="364">
      <c r="A364" s="208"/>
      <c r="B364" s="342"/>
      <c r="C364" s="288"/>
    </row>
    <row r="365">
      <c r="A365" s="208"/>
      <c r="B365" s="342"/>
      <c r="C365" s="288"/>
    </row>
    <row r="366">
      <c r="A366" s="208"/>
      <c r="B366" s="342"/>
      <c r="C366" s="288"/>
    </row>
    <row r="367">
      <c r="A367" s="208"/>
      <c r="B367" s="342"/>
      <c r="C367" s="288"/>
    </row>
    <row r="368">
      <c r="A368" s="208"/>
      <c r="B368" s="342"/>
      <c r="C368" s="288"/>
    </row>
    <row r="369">
      <c r="A369" s="208"/>
      <c r="B369" s="342"/>
      <c r="C369" s="288"/>
    </row>
    <row r="370">
      <c r="A370" s="208"/>
      <c r="B370" s="342"/>
      <c r="C370" s="288"/>
    </row>
    <row r="371">
      <c r="A371" s="208"/>
      <c r="B371" s="342"/>
      <c r="C371" s="288"/>
    </row>
    <row r="372">
      <c r="A372" s="208"/>
      <c r="B372" s="342"/>
      <c r="C372" s="288"/>
    </row>
    <row r="373">
      <c r="A373" s="208"/>
      <c r="B373" s="342"/>
      <c r="C373" s="288"/>
    </row>
    <row r="374">
      <c r="A374" s="208"/>
      <c r="B374" s="342"/>
      <c r="C374" s="288"/>
    </row>
    <row r="375">
      <c r="A375" s="208"/>
      <c r="B375" s="342"/>
      <c r="C375" s="288"/>
    </row>
    <row r="376">
      <c r="A376" s="208"/>
      <c r="B376" s="342"/>
      <c r="C376" s="288"/>
    </row>
    <row r="377">
      <c r="A377" s="208"/>
      <c r="B377" s="342"/>
      <c r="C377" s="288"/>
    </row>
    <row r="378">
      <c r="A378" s="208"/>
      <c r="B378" s="342"/>
      <c r="C378" s="288"/>
    </row>
    <row r="379">
      <c r="A379" s="208"/>
      <c r="B379" s="342"/>
      <c r="C379" s="288"/>
    </row>
    <row r="380">
      <c r="A380" s="208"/>
      <c r="B380" s="342"/>
      <c r="C380" s="288"/>
    </row>
    <row r="381">
      <c r="A381" s="208"/>
      <c r="B381" s="342"/>
      <c r="C381" s="288"/>
    </row>
    <row r="382">
      <c r="A382" s="208"/>
      <c r="B382" s="342"/>
      <c r="C382" s="288"/>
    </row>
    <row r="383">
      <c r="A383" s="208"/>
      <c r="B383" s="342"/>
      <c r="C383" s="288"/>
    </row>
    <row r="384">
      <c r="A384" s="208"/>
      <c r="B384" s="342"/>
      <c r="C384" s="288"/>
    </row>
    <row r="385">
      <c r="A385" s="208"/>
      <c r="B385" s="342"/>
      <c r="C385" s="288"/>
    </row>
    <row r="386">
      <c r="A386" s="208"/>
      <c r="B386" s="342"/>
      <c r="C386" s="288"/>
    </row>
    <row r="387">
      <c r="A387" s="208"/>
      <c r="B387" s="342"/>
      <c r="C387" s="288"/>
    </row>
    <row r="388">
      <c r="A388" s="208"/>
      <c r="B388" s="342"/>
      <c r="C388" s="288"/>
    </row>
    <row r="389">
      <c r="A389" s="208"/>
      <c r="B389" s="342"/>
      <c r="C389" s="288"/>
    </row>
    <row r="390">
      <c r="A390" s="208"/>
      <c r="B390" s="342"/>
      <c r="C390" s="288"/>
    </row>
    <row r="391">
      <c r="A391" s="208"/>
      <c r="B391" s="342"/>
      <c r="C391" s="288"/>
    </row>
    <row r="392">
      <c r="A392" s="208"/>
      <c r="B392" s="342"/>
      <c r="C392" s="288"/>
    </row>
    <row r="393">
      <c r="A393" s="208"/>
      <c r="B393" s="342"/>
      <c r="C393" s="288"/>
    </row>
    <row r="394">
      <c r="A394" s="208"/>
      <c r="B394" s="342"/>
      <c r="C394" s="288"/>
    </row>
    <row r="395">
      <c r="A395" s="208"/>
      <c r="B395" s="342"/>
      <c r="C395" s="288"/>
    </row>
    <row r="396">
      <c r="A396" s="208"/>
      <c r="B396" s="342"/>
      <c r="C396" s="288"/>
    </row>
    <row r="397">
      <c r="A397" s="208"/>
      <c r="B397" s="342"/>
      <c r="C397" s="288"/>
    </row>
    <row r="398">
      <c r="A398" s="208"/>
      <c r="B398" s="342"/>
      <c r="C398" s="288"/>
    </row>
    <row r="399">
      <c r="A399" s="208"/>
      <c r="B399" s="342"/>
      <c r="C399" s="288"/>
    </row>
    <row r="400">
      <c r="A400" s="208"/>
      <c r="B400" s="342"/>
      <c r="C400" s="288"/>
    </row>
    <row r="401">
      <c r="A401" s="208"/>
      <c r="B401" s="342"/>
      <c r="C401" s="288"/>
    </row>
    <row r="402">
      <c r="A402" s="208"/>
      <c r="B402" s="342"/>
      <c r="C402" s="288"/>
    </row>
    <row r="403">
      <c r="A403" s="208"/>
      <c r="B403" s="342"/>
      <c r="C403" s="288"/>
    </row>
    <row r="404">
      <c r="A404" s="208"/>
      <c r="B404" s="342"/>
      <c r="C404" s="288"/>
    </row>
    <row r="405">
      <c r="A405" s="208"/>
      <c r="B405" s="342"/>
      <c r="C405" s="288"/>
    </row>
    <row r="406">
      <c r="A406" s="208"/>
      <c r="B406" s="342"/>
      <c r="C406" s="288"/>
    </row>
    <row r="407">
      <c r="A407" s="208"/>
      <c r="B407" s="342"/>
      <c r="C407" s="288"/>
    </row>
    <row r="408">
      <c r="A408" s="208"/>
      <c r="B408" s="342"/>
      <c r="C408" s="288"/>
    </row>
    <row r="409">
      <c r="A409" s="208"/>
      <c r="B409" s="342"/>
      <c r="C409" s="288"/>
    </row>
    <row r="410">
      <c r="A410" s="208"/>
      <c r="B410" s="342"/>
      <c r="C410" s="288"/>
    </row>
    <row r="411">
      <c r="A411" s="208"/>
      <c r="B411" s="342"/>
      <c r="C411" s="288"/>
    </row>
    <row r="412">
      <c r="A412" s="208"/>
      <c r="B412" s="342"/>
      <c r="C412" s="288"/>
    </row>
    <row r="413">
      <c r="A413" s="208"/>
      <c r="B413" s="342"/>
      <c r="C413" s="288"/>
    </row>
    <row r="414">
      <c r="A414" s="208"/>
      <c r="B414" s="342"/>
      <c r="C414" s="288"/>
    </row>
    <row r="415">
      <c r="A415" s="208"/>
      <c r="B415" s="342"/>
      <c r="C415" s="288"/>
    </row>
    <row r="416">
      <c r="A416" s="208"/>
      <c r="B416" s="342"/>
      <c r="C416" s="288"/>
    </row>
    <row r="417">
      <c r="A417" s="208"/>
      <c r="B417" s="342"/>
      <c r="C417" s="288"/>
    </row>
    <row r="418">
      <c r="A418" s="208"/>
      <c r="B418" s="342"/>
      <c r="C418" s="288"/>
    </row>
    <row r="419">
      <c r="A419" s="208"/>
      <c r="B419" s="342"/>
      <c r="C419" s="288"/>
    </row>
    <row r="420">
      <c r="A420" s="208"/>
      <c r="B420" s="342"/>
      <c r="C420" s="288"/>
    </row>
    <row r="421">
      <c r="A421" s="208"/>
      <c r="B421" s="342"/>
      <c r="C421" s="288"/>
    </row>
    <row r="422">
      <c r="A422" s="208"/>
      <c r="B422" s="342"/>
      <c r="C422" s="288"/>
    </row>
    <row r="423">
      <c r="A423" s="208"/>
      <c r="B423" s="342"/>
      <c r="C423" s="288"/>
    </row>
    <row r="424">
      <c r="A424" s="208"/>
      <c r="B424" s="342"/>
      <c r="C424" s="288"/>
    </row>
    <row r="425">
      <c r="A425" s="208"/>
      <c r="B425" s="342"/>
      <c r="C425" s="288"/>
    </row>
    <row r="426">
      <c r="A426" s="208"/>
      <c r="B426" s="342"/>
      <c r="C426" s="288"/>
    </row>
    <row r="427">
      <c r="A427" s="208"/>
      <c r="B427" s="342"/>
      <c r="C427" s="288"/>
    </row>
    <row r="428">
      <c r="A428" s="208"/>
      <c r="B428" s="342"/>
      <c r="C428" s="288"/>
    </row>
    <row r="429">
      <c r="A429" s="208"/>
      <c r="B429" s="342"/>
      <c r="C429" s="288"/>
    </row>
    <row r="430">
      <c r="A430" s="208"/>
      <c r="B430" s="342"/>
      <c r="C430" s="288"/>
    </row>
    <row r="431">
      <c r="A431" s="208"/>
      <c r="B431" s="342"/>
      <c r="C431" s="288"/>
    </row>
    <row r="432">
      <c r="A432" s="208"/>
      <c r="B432" s="342"/>
      <c r="C432" s="288"/>
    </row>
    <row r="433">
      <c r="A433" s="208"/>
      <c r="B433" s="342"/>
      <c r="C433" s="288"/>
    </row>
    <row r="434">
      <c r="A434" s="208"/>
      <c r="B434" s="342"/>
      <c r="C434" s="288"/>
    </row>
    <row r="435">
      <c r="A435" s="208"/>
      <c r="B435" s="342"/>
      <c r="C435" s="288"/>
    </row>
    <row r="436">
      <c r="A436" s="208"/>
      <c r="B436" s="342"/>
      <c r="C436" s="288"/>
    </row>
    <row r="437">
      <c r="A437" s="208"/>
      <c r="B437" s="342"/>
      <c r="C437" s="288"/>
    </row>
    <row r="438">
      <c r="A438" s="208"/>
      <c r="B438" s="342"/>
      <c r="C438" s="288"/>
    </row>
    <row r="439">
      <c r="A439" s="208"/>
      <c r="B439" s="342"/>
      <c r="C439" s="288"/>
    </row>
    <row r="440">
      <c r="A440" s="208"/>
      <c r="B440" s="342"/>
      <c r="C440" s="288"/>
    </row>
    <row r="441">
      <c r="A441" s="208"/>
      <c r="B441" s="342"/>
      <c r="C441" s="288"/>
    </row>
    <row r="442">
      <c r="A442" s="208"/>
      <c r="B442" s="342"/>
      <c r="C442" s="288"/>
    </row>
    <row r="443">
      <c r="A443" s="208"/>
      <c r="B443" s="342"/>
      <c r="C443" s="288"/>
    </row>
    <row r="444">
      <c r="A444" s="208"/>
      <c r="B444" s="342"/>
      <c r="C444" s="288"/>
    </row>
    <row r="445">
      <c r="A445" s="208"/>
      <c r="B445" s="342"/>
      <c r="C445" s="288"/>
    </row>
    <row r="446">
      <c r="A446" s="208"/>
      <c r="B446" s="342"/>
      <c r="C446" s="288"/>
    </row>
    <row r="447">
      <c r="A447" s="208"/>
      <c r="B447" s="342"/>
      <c r="C447" s="288"/>
    </row>
    <row r="448">
      <c r="A448" s="208"/>
      <c r="B448" s="342"/>
      <c r="C448" s="288"/>
    </row>
    <row r="449">
      <c r="A449" s="208"/>
      <c r="B449" s="342"/>
      <c r="C449" s="288"/>
    </row>
    <row r="450">
      <c r="A450" s="208"/>
      <c r="B450" s="342"/>
      <c r="C450" s="288"/>
    </row>
    <row r="451">
      <c r="A451" s="208"/>
      <c r="B451" s="342"/>
      <c r="C451" s="288"/>
    </row>
    <row r="452">
      <c r="A452" s="208"/>
      <c r="B452" s="342"/>
      <c r="C452" s="288"/>
    </row>
    <row r="453">
      <c r="A453" s="208"/>
      <c r="B453" s="342"/>
      <c r="C453" s="288"/>
    </row>
    <row r="454">
      <c r="A454" s="208"/>
      <c r="B454" s="342"/>
      <c r="C454" s="288"/>
    </row>
    <row r="455">
      <c r="A455" s="208"/>
      <c r="B455" s="342"/>
      <c r="C455" s="288"/>
    </row>
    <row r="456">
      <c r="A456" s="208"/>
      <c r="B456" s="342"/>
      <c r="C456" s="288"/>
    </row>
    <row r="457">
      <c r="A457" s="208"/>
      <c r="B457" s="342"/>
      <c r="C457" s="288"/>
    </row>
    <row r="458">
      <c r="A458" s="208"/>
      <c r="B458" s="342"/>
      <c r="C458" s="288"/>
    </row>
    <row r="459">
      <c r="A459" s="208"/>
      <c r="B459" s="342"/>
      <c r="C459" s="288"/>
    </row>
    <row r="460">
      <c r="A460" s="208"/>
      <c r="B460" s="342"/>
      <c r="C460" s="288"/>
    </row>
    <row r="461">
      <c r="A461" s="208"/>
      <c r="B461" s="342"/>
      <c r="C461" s="288"/>
    </row>
    <row r="462">
      <c r="A462" s="208"/>
      <c r="B462" s="342"/>
      <c r="C462" s="288"/>
    </row>
    <row r="463">
      <c r="A463" s="208"/>
      <c r="B463" s="342"/>
      <c r="C463" s="288"/>
    </row>
    <row r="464">
      <c r="A464" s="208"/>
      <c r="B464" s="342"/>
      <c r="C464" s="288"/>
    </row>
    <row r="465">
      <c r="A465" s="208"/>
      <c r="B465" s="342"/>
      <c r="C465" s="288"/>
    </row>
    <row r="466">
      <c r="A466" s="208"/>
      <c r="B466" s="342"/>
      <c r="C466" s="288"/>
    </row>
    <row r="467">
      <c r="A467" s="208"/>
      <c r="B467" s="342"/>
      <c r="C467" s="288"/>
    </row>
    <row r="468">
      <c r="A468" s="208"/>
      <c r="B468" s="342"/>
      <c r="C468" s="288"/>
    </row>
    <row r="469">
      <c r="A469" s="208"/>
      <c r="B469" s="342"/>
      <c r="C469" s="288"/>
    </row>
    <row r="470">
      <c r="A470" s="208"/>
      <c r="B470" s="342"/>
      <c r="C470" s="288"/>
    </row>
    <row r="471">
      <c r="A471" s="208"/>
      <c r="B471" s="342"/>
      <c r="C471" s="288"/>
    </row>
    <row r="472">
      <c r="A472" s="208"/>
      <c r="B472" s="342"/>
      <c r="C472" s="288"/>
    </row>
    <row r="473">
      <c r="A473" s="208"/>
      <c r="B473" s="342"/>
      <c r="C473" s="288"/>
    </row>
    <row r="474">
      <c r="A474" s="208"/>
      <c r="B474" s="342"/>
      <c r="C474" s="288"/>
    </row>
    <row r="475">
      <c r="A475" s="208"/>
      <c r="B475" s="342"/>
      <c r="C475" s="288"/>
    </row>
    <row r="476">
      <c r="A476" s="208"/>
      <c r="B476" s="342"/>
      <c r="C476" s="288"/>
    </row>
    <row r="477">
      <c r="A477" s="208"/>
      <c r="B477" s="342"/>
      <c r="C477" s="288"/>
    </row>
    <row r="478">
      <c r="A478" s="208"/>
      <c r="B478" s="342"/>
      <c r="C478" s="288"/>
    </row>
    <row r="479">
      <c r="A479" s="208"/>
      <c r="B479" s="342"/>
      <c r="C479" s="288"/>
    </row>
    <row r="480">
      <c r="A480" s="208"/>
      <c r="B480" s="342"/>
      <c r="C480" s="288"/>
    </row>
    <row r="481">
      <c r="A481" s="208"/>
      <c r="B481" s="342"/>
      <c r="C481" s="288"/>
    </row>
    <row r="482">
      <c r="A482" s="208"/>
      <c r="B482" s="342"/>
      <c r="C482" s="288"/>
    </row>
    <row r="483">
      <c r="A483" s="208"/>
      <c r="B483" s="342"/>
      <c r="C483" s="288"/>
    </row>
    <row r="484">
      <c r="A484" s="208"/>
      <c r="B484" s="342"/>
      <c r="C484" s="288"/>
    </row>
    <row r="485">
      <c r="A485" s="208"/>
      <c r="B485" s="342"/>
      <c r="C485" s="288"/>
    </row>
    <row r="486">
      <c r="A486" s="208"/>
      <c r="B486" s="342"/>
      <c r="C486" s="288"/>
    </row>
    <row r="487">
      <c r="A487" s="208"/>
      <c r="B487" s="342"/>
      <c r="C487" s="288"/>
    </row>
    <row r="488">
      <c r="A488" s="208"/>
      <c r="B488" s="342"/>
      <c r="C488" s="288"/>
    </row>
    <row r="489">
      <c r="A489" s="208"/>
      <c r="B489" s="342"/>
      <c r="C489" s="288"/>
    </row>
    <row r="490">
      <c r="A490" s="208"/>
      <c r="B490" s="342"/>
      <c r="C490" s="288"/>
    </row>
    <row r="491">
      <c r="A491" s="208"/>
      <c r="B491" s="342"/>
      <c r="C491" s="288"/>
    </row>
    <row r="492">
      <c r="A492" s="208"/>
      <c r="B492" s="342"/>
      <c r="C492" s="288"/>
    </row>
    <row r="493">
      <c r="A493" s="208"/>
      <c r="B493" s="342"/>
      <c r="C493" s="288"/>
    </row>
    <row r="494">
      <c r="A494" s="208"/>
      <c r="B494" s="342"/>
      <c r="C494" s="288"/>
    </row>
    <row r="495">
      <c r="A495" s="208"/>
      <c r="B495" s="342"/>
      <c r="C495" s="288"/>
    </row>
    <row r="496">
      <c r="A496" s="208"/>
      <c r="B496" s="342"/>
      <c r="C496" s="288"/>
    </row>
    <row r="497">
      <c r="A497" s="208"/>
      <c r="B497" s="342"/>
      <c r="C497" s="288"/>
    </row>
    <row r="498">
      <c r="A498" s="208"/>
      <c r="B498" s="342"/>
      <c r="C498" s="288"/>
    </row>
    <row r="499">
      <c r="A499" s="208"/>
      <c r="B499" s="342"/>
      <c r="C499" s="288"/>
    </row>
    <row r="500">
      <c r="A500" s="208"/>
      <c r="B500" s="342"/>
      <c r="C500" s="288"/>
    </row>
    <row r="501">
      <c r="A501" s="208"/>
      <c r="B501" s="342"/>
      <c r="C501" s="288"/>
    </row>
    <row r="502">
      <c r="A502" s="208"/>
      <c r="B502" s="342"/>
      <c r="C502" s="288"/>
    </row>
    <row r="503">
      <c r="A503" s="208"/>
      <c r="B503" s="342"/>
      <c r="C503" s="288"/>
    </row>
    <row r="504">
      <c r="A504" s="208"/>
      <c r="B504" s="342"/>
      <c r="C504" s="288"/>
    </row>
    <row r="505">
      <c r="A505" s="208"/>
      <c r="B505" s="342"/>
      <c r="C505" s="288"/>
    </row>
    <row r="506">
      <c r="A506" s="208"/>
      <c r="B506" s="342"/>
      <c r="C506" s="288"/>
    </row>
    <row r="507">
      <c r="A507" s="208"/>
      <c r="B507" s="342"/>
      <c r="C507" s="288"/>
    </row>
    <row r="508">
      <c r="A508" s="208"/>
      <c r="B508" s="342"/>
      <c r="C508" s="288"/>
    </row>
    <row r="509">
      <c r="A509" s="208"/>
      <c r="B509" s="342"/>
      <c r="C509" s="288"/>
    </row>
    <row r="510">
      <c r="A510" s="208"/>
      <c r="B510" s="342"/>
      <c r="C510" s="288"/>
    </row>
    <row r="511">
      <c r="A511" s="208"/>
      <c r="B511" s="342"/>
      <c r="C511" s="288"/>
    </row>
    <row r="512">
      <c r="A512" s="208"/>
      <c r="B512" s="342"/>
      <c r="C512" s="288"/>
    </row>
    <row r="513">
      <c r="A513" s="208"/>
      <c r="B513" s="342"/>
      <c r="C513" s="288"/>
    </row>
    <row r="514">
      <c r="A514" s="208"/>
      <c r="B514" s="342"/>
      <c r="C514" s="288"/>
    </row>
    <row r="515">
      <c r="A515" s="208"/>
      <c r="B515" s="342"/>
      <c r="C515" s="288"/>
    </row>
    <row r="516">
      <c r="A516" s="208"/>
      <c r="B516" s="342"/>
      <c r="C516" s="288"/>
    </row>
    <row r="517">
      <c r="A517" s="208"/>
      <c r="B517" s="342"/>
      <c r="C517" s="288"/>
    </row>
    <row r="518">
      <c r="A518" s="208"/>
      <c r="B518" s="342"/>
      <c r="C518" s="288"/>
    </row>
    <row r="519">
      <c r="A519" s="208"/>
      <c r="B519" s="342"/>
      <c r="C519" s="288"/>
    </row>
    <row r="520">
      <c r="A520" s="208"/>
      <c r="B520" s="342"/>
      <c r="C520" s="288"/>
    </row>
    <row r="521">
      <c r="A521" s="208"/>
      <c r="B521" s="342"/>
      <c r="C521" s="288"/>
    </row>
    <row r="522">
      <c r="A522" s="208"/>
      <c r="B522" s="342"/>
      <c r="C522" s="288"/>
    </row>
    <row r="523">
      <c r="A523" s="208"/>
      <c r="B523" s="342"/>
      <c r="C523" s="288"/>
    </row>
    <row r="524">
      <c r="A524" s="208"/>
      <c r="B524" s="342"/>
      <c r="C524" s="288"/>
    </row>
    <row r="525">
      <c r="A525" s="208"/>
      <c r="B525" s="342"/>
      <c r="C525" s="288"/>
    </row>
    <row r="526">
      <c r="A526" s="208"/>
      <c r="B526" s="342"/>
      <c r="C526" s="288"/>
    </row>
    <row r="527">
      <c r="A527" s="208"/>
      <c r="B527" s="342"/>
      <c r="C527" s="288"/>
    </row>
    <row r="528">
      <c r="A528" s="208"/>
      <c r="B528" s="342"/>
      <c r="C528" s="288"/>
    </row>
    <row r="529">
      <c r="A529" s="208"/>
      <c r="B529" s="342"/>
      <c r="C529" s="288"/>
    </row>
    <row r="530">
      <c r="A530" s="208"/>
      <c r="B530" s="342"/>
      <c r="C530" s="288"/>
    </row>
    <row r="531">
      <c r="A531" s="208"/>
      <c r="B531" s="342"/>
      <c r="C531" s="288"/>
    </row>
    <row r="532">
      <c r="A532" s="208"/>
      <c r="B532" s="342"/>
      <c r="C532" s="288"/>
    </row>
    <row r="533">
      <c r="A533" s="208"/>
      <c r="B533" s="342"/>
      <c r="C533" s="288"/>
    </row>
    <row r="534">
      <c r="A534" s="208"/>
      <c r="B534" s="342"/>
      <c r="C534" s="288"/>
    </row>
    <row r="535">
      <c r="A535" s="208"/>
      <c r="B535" s="342"/>
      <c r="C535" s="288"/>
    </row>
    <row r="536">
      <c r="A536" s="208"/>
      <c r="B536" s="342"/>
      <c r="C536" s="288"/>
    </row>
    <row r="537">
      <c r="A537" s="208"/>
      <c r="B537" s="342"/>
      <c r="C537" s="288"/>
    </row>
    <row r="538">
      <c r="A538" s="208"/>
      <c r="B538" s="342"/>
      <c r="C538" s="288"/>
    </row>
    <row r="539">
      <c r="A539" s="208"/>
      <c r="B539" s="342"/>
      <c r="C539" s="288"/>
    </row>
    <row r="540">
      <c r="A540" s="208"/>
      <c r="B540" s="342"/>
      <c r="C540" s="288"/>
    </row>
    <row r="541">
      <c r="A541" s="208"/>
      <c r="B541" s="342"/>
      <c r="C541" s="288"/>
    </row>
    <row r="542">
      <c r="A542" s="208"/>
      <c r="B542" s="342"/>
      <c r="C542" s="288"/>
    </row>
    <row r="543">
      <c r="A543" s="208"/>
      <c r="B543" s="342"/>
      <c r="C543" s="288"/>
    </row>
    <row r="544">
      <c r="A544" s="208"/>
      <c r="B544" s="342"/>
      <c r="C544" s="288"/>
    </row>
    <row r="545">
      <c r="A545" s="208"/>
      <c r="B545" s="342"/>
      <c r="C545" s="288"/>
    </row>
    <row r="546">
      <c r="A546" s="208"/>
      <c r="B546" s="342"/>
      <c r="C546" s="288"/>
    </row>
    <row r="547">
      <c r="A547" s="208"/>
      <c r="B547" s="342"/>
      <c r="C547" s="288"/>
    </row>
    <row r="548">
      <c r="A548" s="208"/>
      <c r="B548" s="342"/>
      <c r="C548" s="288"/>
    </row>
    <row r="549">
      <c r="A549" s="208"/>
      <c r="B549" s="342"/>
      <c r="C549" s="288"/>
    </row>
    <row r="550">
      <c r="A550" s="208"/>
      <c r="B550" s="342"/>
      <c r="C550" s="288"/>
    </row>
    <row r="551">
      <c r="A551" s="208"/>
      <c r="B551" s="342"/>
      <c r="C551" s="288"/>
    </row>
    <row r="552">
      <c r="A552" s="208"/>
      <c r="B552" s="342"/>
      <c r="C552" s="288"/>
    </row>
    <row r="553">
      <c r="A553" s="208"/>
      <c r="B553" s="342"/>
      <c r="C553" s="288"/>
    </row>
    <row r="554">
      <c r="A554" s="208"/>
      <c r="B554" s="342"/>
      <c r="C554" s="288"/>
    </row>
    <row r="555">
      <c r="A555" s="208"/>
      <c r="B555" s="342"/>
      <c r="C555" s="288"/>
    </row>
    <row r="556">
      <c r="A556" s="208"/>
      <c r="B556" s="342"/>
      <c r="C556" s="288"/>
    </row>
    <row r="557">
      <c r="A557" s="208"/>
      <c r="B557" s="342"/>
      <c r="C557" s="288"/>
    </row>
    <row r="558">
      <c r="A558" s="208"/>
      <c r="B558" s="342"/>
      <c r="C558" s="288"/>
    </row>
    <row r="559">
      <c r="A559" s="208"/>
      <c r="B559" s="342"/>
      <c r="C559" s="288"/>
    </row>
    <row r="560">
      <c r="A560" s="208"/>
      <c r="B560" s="342"/>
      <c r="C560" s="288"/>
    </row>
    <row r="561">
      <c r="A561" s="208"/>
      <c r="B561" s="342"/>
      <c r="C561" s="288"/>
    </row>
    <row r="562">
      <c r="A562" s="208"/>
      <c r="B562" s="342"/>
      <c r="C562" s="288"/>
    </row>
    <row r="563">
      <c r="A563" s="208"/>
      <c r="B563" s="342"/>
      <c r="C563" s="288"/>
    </row>
    <row r="564">
      <c r="A564" s="208"/>
      <c r="B564" s="342"/>
      <c r="C564" s="288"/>
    </row>
    <row r="565">
      <c r="A565" s="208"/>
      <c r="B565" s="342"/>
      <c r="C565" s="288"/>
    </row>
    <row r="566">
      <c r="A566" s="208"/>
      <c r="B566" s="342"/>
      <c r="C566" s="288"/>
    </row>
    <row r="567">
      <c r="A567" s="208"/>
      <c r="B567" s="342"/>
      <c r="C567" s="288"/>
    </row>
    <row r="568">
      <c r="A568" s="208"/>
      <c r="B568" s="342"/>
      <c r="C568" s="288"/>
    </row>
    <row r="569">
      <c r="A569" s="208"/>
      <c r="B569" s="342"/>
      <c r="C569" s="288"/>
    </row>
    <row r="570">
      <c r="A570" s="208"/>
      <c r="B570" s="342"/>
      <c r="C570" s="288"/>
    </row>
    <row r="571">
      <c r="A571" s="208"/>
      <c r="B571" s="342"/>
      <c r="C571" s="288"/>
    </row>
    <row r="572">
      <c r="A572" s="208"/>
      <c r="B572" s="342"/>
      <c r="C572" s="288"/>
    </row>
    <row r="573">
      <c r="A573" s="208"/>
      <c r="B573" s="342"/>
      <c r="C573" s="288"/>
    </row>
    <row r="574">
      <c r="A574" s="208"/>
      <c r="B574" s="342"/>
      <c r="C574" s="288"/>
    </row>
    <row r="575">
      <c r="A575" s="208"/>
      <c r="B575" s="342"/>
      <c r="C575" s="288"/>
    </row>
    <row r="576">
      <c r="A576" s="208"/>
      <c r="B576" s="342"/>
      <c r="C576" s="288"/>
    </row>
    <row r="577">
      <c r="A577" s="208"/>
      <c r="B577" s="342"/>
      <c r="C577" s="288"/>
    </row>
    <row r="578">
      <c r="A578" s="208"/>
      <c r="B578" s="342"/>
      <c r="C578" s="288"/>
    </row>
    <row r="579">
      <c r="A579" s="208"/>
      <c r="B579" s="342"/>
      <c r="C579" s="288"/>
    </row>
    <row r="580">
      <c r="A580" s="208"/>
      <c r="B580" s="342"/>
      <c r="C580" s="288"/>
    </row>
    <row r="581">
      <c r="A581" s="208"/>
      <c r="B581" s="342"/>
      <c r="C581" s="288"/>
    </row>
    <row r="582">
      <c r="A582" s="208"/>
      <c r="B582" s="342"/>
      <c r="C582" s="288"/>
    </row>
    <row r="583">
      <c r="A583" s="208"/>
      <c r="B583" s="342"/>
      <c r="C583" s="288"/>
    </row>
    <row r="584">
      <c r="A584" s="208"/>
      <c r="B584" s="342"/>
      <c r="C584" s="288"/>
    </row>
    <row r="585">
      <c r="A585" s="208"/>
      <c r="B585" s="342"/>
      <c r="C585" s="288"/>
    </row>
    <row r="586">
      <c r="A586" s="208"/>
      <c r="B586" s="342"/>
      <c r="C586" s="288"/>
    </row>
    <row r="587">
      <c r="A587" s="208"/>
      <c r="B587" s="342"/>
      <c r="C587" s="288"/>
    </row>
    <row r="588">
      <c r="A588" s="208"/>
      <c r="B588" s="342"/>
      <c r="C588" s="288"/>
    </row>
    <row r="589">
      <c r="A589" s="208"/>
      <c r="B589" s="342"/>
      <c r="C589" s="288"/>
    </row>
    <row r="590">
      <c r="A590" s="208"/>
      <c r="B590" s="342"/>
      <c r="C590" s="288"/>
    </row>
    <row r="591">
      <c r="A591" s="208"/>
      <c r="B591" s="342"/>
      <c r="C591" s="288"/>
    </row>
    <row r="592">
      <c r="A592" s="208"/>
      <c r="B592" s="342"/>
      <c r="C592" s="288"/>
    </row>
    <row r="593">
      <c r="A593" s="208"/>
      <c r="B593" s="342"/>
      <c r="C593" s="288"/>
    </row>
    <row r="594">
      <c r="A594" s="208"/>
      <c r="B594" s="342"/>
      <c r="C594" s="288"/>
    </row>
    <row r="595">
      <c r="A595" s="208"/>
      <c r="B595" s="342"/>
      <c r="C595" s="288"/>
    </row>
    <row r="596">
      <c r="A596" s="208"/>
      <c r="B596" s="342"/>
      <c r="C596" s="288"/>
    </row>
    <row r="597">
      <c r="A597" s="208"/>
      <c r="B597" s="342"/>
      <c r="C597" s="288"/>
    </row>
    <row r="598">
      <c r="A598" s="208"/>
      <c r="B598" s="342"/>
      <c r="C598" s="288"/>
    </row>
    <row r="599">
      <c r="A599" s="208"/>
      <c r="B599" s="342"/>
      <c r="C599" s="288"/>
    </row>
    <row r="600">
      <c r="A600" s="208"/>
      <c r="B600" s="342"/>
      <c r="C600" s="288"/>
    </row>
    <row r="601">
      <c r="A601" s="208"/>
      <c r="B601" s="342"/>
      <c r="C601" s="288"/>
    </row>
    <row r="602">
      <c r="A602" s="208"/>
      <c r="B602" s="342"/>
      <c r="C602" s="288"/>
    </row>
    <row r="603">
      <c r="A603" s="208"/>
      <c r="B603" s="342"/>
      <c r="C603" s="288"/>
    </row>
    <row r="604">
      <c r="A604" s="208"/>
      <c r="B604" s="342"/>
      <c r="C604" s="288"/>
    </row>
    <row r="605">
      <c r="A605" s="208"/>
      <c r="B605" s="342"/>
      <c r="C605" s="288"/>
    </row>
    <row r="606">
      <c r="A606" s="208"/>
      <c r="B606" s="342"/>
      <c r="C606" s="288"/>
    </row>
    <row r="607">
      <c r="A607" s="208"/>
      <c r="B607" s="342"/>
      <c r="C607" s="288"/>
    </row>
    <row r="608">
      <c r="A608" s="208"/>
      <c r="B608" s="342"/>
      <c r="C608" s="288"/>
    </row>
    <row r="609">
      <c r="A609" s="208"/>
      <c r="B609" s="342"/>
      <c r="C609" s="288"/>
    </row>
    <row r="610">
      <c r="A610" s="208"/>
      <c r="B610" s="342"/>
      <c r="C610" s="288"/>
    </row>
    <row r="611">
      <c r="A611" s="208"/>
      <c r="B611" s="342"/>
      <c r="C611" s="288"/>
    </row>
    <row r="612">
      <c r="A612" s="208"/>
      <c r="B612" s="342"/>
      <c r="C612" s="288"/>
    </row>
    <row r="613">
      <c r="A613" s="208"/>
      <c r="B613" s="342"/>
      <c r="C613" s="288"/>
    </row>
    <row r="614">
      <c r="A614" s="208"/>
      <c r="B614" s="342"/>
      <c r="C614" s="288"/>
    </row>
    <row r="615">
      <c r="A615" s="208"/>
      <c r="B615" s="342"/>
      <c r="C615" s="288"/>
    </row>
    <row r="616">
      <c r="A616" s="208"/>
      <c r="B616" s="342"/>
      <c r="C616" s="288"/>
    </row>
    <row r="617">
      <c r="A617" s="208"/>
      <c r="B617" s="342"/>
      <c r="C617" s="288"/>
    </row>
    <row r="618">
      <c r="A618" s="208"/>
      <c r="B618" s="342"/>
      <c r="C618" s="288"/>
    </row>
    <row r="619">
      <c r="A619" s="208"/>
      <c r="B619" s="342"/>
      <c r="C619" s="288"/>
    </row>
    <row r="620">
      <c r="A620" s="208"/>
      <c r="B620" s="342"/>
      <c r="C620" s="288"/>
    </row>
    <row r="621">
      <c r="A621" s="208"/>
      <c r="B621" s="342"/>
      <c r="C621" s="288"/>
    </row>
    <row r="622">
      <c r="A622" s="208"/>
      <c r="B622" s="342"/>
      <c r="C622" s="288"/>
    </row>
    <row r="623">
      <c r="A623" s="208"/>
      <c r="B623" s="342"/>
      <c r="C623" s="288"/>
    </row>
    <row r="624">
      <c r="A624" s="208"/>
      <c r="B624" s="342"/>
      <c r="C624" s="288"/>
    </row>
    <row r="625">
      <c r="A625" s="208"/>
      <c r="B625" s="342"/>
      <c r="C625" s="288"/>
    </row>
    <row r="626">
      <c r="A626" s="208"/>
      <c r="B626" s="342"/>
      <c r="C626" s="288"/>
    </row>
    <row r="627">
      <c r="A627" s="208"/>
      <c r="B627" s="342"/>
      <c r="C627" s="288"/>
    </row>
    <row r="628">
      <c r="A628" s="208"/>
      <c r="B628" s="342"/>
      <c r="C628" s="288"/>
    </row>
    <row r="629">
      <c r="A629" s="208"/>
      <c r="B629" s="342"/>
      <c r="C629" s="288"/>
    </row>
    <row r="630">
      <c r="A630" s="208"/>
      <c r="B630" s="342"/>
      <c r="C630" s="288"/>
    </row>
    <row r="631">
      <c r="A631" s="208"/>
      <c r="B631" s="342"/>
      <c r="C631" s="288"/>
    </row>
    <row r="632">
      <c r="A632" s="208"/>
      <c r="B632" s="342"/>
      <c r="C632" s="288"/>
    </row>
    <row r="633">
      <c r="A633" s="208"/>
      <c r="B633" s="342"/>
      <c r="C633" s="288"/>
    </row>
    <row r="634">
      <c r="A634" s="208"/>
      <c r="B634" s="342"/>
      <c r="C634" s="288"/>
    </row>
    <row r="635">
      <c r="A635" s="208"/>
      <c r="B635" s="342"/>
      <c r="C635" s="288"/>
    </row>
    <row r="636">
      <c r="A636" s="208"/>
      <c r="B636" s="342"/>
      <c r="C636" s="288"/>
    </row>
    <row r="637">
      <c r="A637" s="208"/>
      <c r="B637" s="342"/>
      <c r="C637" s="288"/>
    </row>
    <row r="638">
      <c r="A638" s="208"/>
      <c r="B638" s="342"/>
      <c r="C638" s="288"/>
    </row>
    <row r="639">
      <c r="A639" s="208"/>
      <c r="B639" s="342"/>
      <c r="C639" s="288"/>
    </row>
    <row r="640">
      <c r="A640" s="208"/>
      <c r="B640" s="342"/>
      <c r="C640" s="288"/>
    </row>
    <row r="641">
      <c r="A641" s="208"/>
      <c r="B641" s="342"/>
      <c r="C641" s="288"/>
    </row>
    <row r="642">
      <c r="A642" s="208"/>
      <c r="B642" s="342"/>
      <c r="C642" s="288"/>
    </row>
    <row r="643">
      <c r="A643" s="208"/>
      <c r="B643" s="342"/>
      <c r="C643" s="288"/>
    </row>
    <row r="644">
      <c r="A644" s="208"/>
      <c r="B644" s="342"/>
      <c r="C644" s="288"/>
    </row>
    <row r="645">
      <c r="A645" s="208"/>
      <c r="B645" s="342"/>
      <c r="C645" s="288"/>
    </row>
    <row r="646">
      <c r="A646" s="208"/>
      <c r="B646" s="342"/>
      <c r="C646" s="288"/>
    </row>
    <row r="647">
      <c r="A647" s="208"/>
      <c r="B647" s="342"/>
      <c r="C647" s="288"/>
    </row>
    <row r="648">
      <c r="A648" s="208"/>
      <c r="B648" s="342"/>
      <c r="C648" s="288"/>
    </row>
    <row r="649">
      <c r="A649" s="208"/>
      <c r="B649" s="342"/>
      <c r="C649" s="288"/>
    </row>
    <row r="650">
      <c r="A650" s="208"/>
      <c r="B650" s="342"/>
      <c r="C650" s="288"/>
    </row>
    <row r="651">
      <c r="A651" s="208"/>
      <c r="B651" s="342"/>
      <c r="C651" s="288"/>
    </row>
    <row r="652">
      <c r="A652" s="208"/>
      <c r="B652" s="342"/>
      <c r="C652" s="288"/>
    </row>
    <row r="653">
      <c r="A653" s="208"/>
      <c r="B653" s="342"/>
      <c r="C653" s="288"/>
    </row>
    <row r="654">
      <c r="A654" s="208"/>
      <c r="B654" s="342"/>
      <c r="C654" s="288"/>
    </row>
    <row r="655">
      <c r="A655" s="208"/>
      <c r="B655" s="342"/>
      <c r="C655" s="288"/>
    </row>
    <row r="656">
      <c r="A656" s="208"/>
      <c r="B656" s="342"/>
      <c r="C656" s="288"/>
    </row>
    <row r="657">
      <c r="A657" s="208"/>
      <c r="B657" s="342"/>
      <c r="C657" s="288"/>
    </row>
    <row r="658">
      <c r="A658" s="208"/>
      <c r="B658" s="342"/>
      <c r="C658" s="288"/>
    </row>
    <row r="659">
      <c r="A659" s="208"/>
      <c r="B659" s="342"/>
      <c r="C659" s="288"/>
    </row>
    <row r="660">
      <c r="A660" s="208"/>
      <c r="B660" s="342"/>
      <c r="C660" s="288"/>
    </row>
    <row r="661">
      <c r="A661" s="208"/>
      <c r="B661" s="342"/>
      <c r="C661" s="288"/>
    </row>
    <row r="662">
      <c r="A662" s="208"/>
      <c r="B662" s="342"/>
      <c r="C662" s="288"/>
    </row>
    <row r="663">
      <c r="A663" s="208"/>
      <c r="B663" s="342"/>
      <c r="C663" s="288"/>
    </row>
    <row r="664">
      <c r="A664" s="208"/>
      <c r="B664" s="342"/>
      <c r="C664" s="288"/>
    </row>
    <row r="665">
      <c r="A665" s="208"/>
      <c r="B665" s="342"/>
      <c r="C665" s="288"/>
    </row>
    <row r="666">
      <c r="A666" s="208"/>
      <c r="B666" s="342"/>
      <c r="C666" s="288"/>
    </row>
    <row r="667">
      <c r="A667" s="208"/>
      <c r="B667" s="342"/>
      <c r="C667" s="288"/>
    </row>
    <row r="668">
      <c r="A668" s="208"/>
      <c r="B668" s="342"/>
      <c r="C668" s="288"/>
    </row>
    <row r="669">
      <c r="A669" s="208"/>
      <c r="B669" s="342"/>
      <c r="C669" s="288"/>
    </row>
    <row r="670">
      <c r="A670" s="208"/>
      <c r="B670" s="342"/>
      <c r="C670" s="288"/>
    </row>
    <row r="671">
      <c r="A671" s="208"/>
      <c r="B671" s="342"/>
      <c r="C671" s="288"/>
    </row>
    <row r="672">
      <c r="A672" s="208"/>
      <c r="B672" s="342"/>
      <c r="C672" s="288"/>
    </row>
    <row r="673">
      <c r="A673" s="208"/>
      <c r="B673" s="342"/>
      <c r="C673" s="288"/>
    </row>
    <row r="674">
      <c r="A674" s="208"/>
      <c r="B674" s="342"/>
      <c r="C674" s="288"/>
    </row>
    <row r="675">
      <c r="A675" s="208"/>
      <c r="B675" s="342"/>
      <c r="C675" s="288"/>
    </row>
    <row r="676">
      <c r="A676" s="208"/>
      <c r="B676" s="342"/>
      <c r="C676" s="288"/>
    </row>
    <row r="677">
      <c r="A677" s="208"/>
      <c r="B677" s="342"/>
      <c r="C677" s="288"/>
    </row>
    <row r="678">
      <c r="A678" s="208"/>
      <c r="B678" s="342"/>
      <c r="C678" s="288"/>
    </row>
    <row r="679">
      <c r="A679" s="208"/>
      <c r="B679" s="342"/>
      <c r="C679" s="288"/>
    </row>
    <row r="680">
      <c r="A680" s="208"/>
      <c r="B680" s="342"/>
      <c r="C680" s="288"/>
    </row>
    <row r="681">
      <c r="A681" s="208"/>
      <c r="B681" s="342"/>
      <c r="C681" s="288"/>
    </row>
    <row r="682">
      <c r="A682" s="208"/>
      <c r="B682" s="342"/>
      <c r="C682" s="288"/>
    </row>
    <row r="683">
      <c r="A683" s="208"/>
      <c r="B683" s="342"/>
      <c r="C683" s="288"/>
    </row>
    <row r="684">
      <c r="A684" s="208"/>
      <c r="B684" s="342"/>
      <c r="C684" s="288"/>
    </row>
    <row r="685">
      <c r="A685" s="208"/>
      <c r="B685" s="342"/>
      <c r="C685" s="288"/>
    </row>
    <row r="686">
      <c r="A686" s="208"/>
      <c r="B686" s="342"/>
      <c r="C686" s="288"/>
    </row>
    <row r="687">
      <c r="A687" s="208"/>
      <c r="B687" s="342"/>
      <c r="C687" s="288"/>
    </row>
    <row r="688">
      <c r="A688" s="208"/>
      <c r="B688" s="342"/>
      <c r="C688" s="288"/>
    </row>
    <row r="689">
      <c r="A689" s="208"/>
      <c r="B689" s="342"/>
      <c r="C689" s="288"/>
    </row>
    <row r="690">
      <c r="A690" s="208"/>
      <c r="B690" s="342"/>
      <c r="C690" s="288"/>
    </row>
    <row r="691">
      <c r="A691" s="208"/>
      <c r="B691" s="342"/>
      <c r="C691" s="288"/>
    </row>
    <row r="692">
      <c r="A692" s="208"/>
      <c r="B692" s="342"/>
      <c r="C692" s="288"/>
    </row>
    <row r="693">
      <c r="A693" s="208"/>
      <c r="B693" s="342"/>
      <c r="C693" s="288"/>
    </row>
    <row r="694">
      <c r="A694" s="208"/>
      <c r="B694" s="342"/>
      <c r="C694" s="288"/>
    </row>
    <row r="695">
      <c r="A695" s="208"/>
      <c r="B695" s="342"/>
      <c r="C695" s="288"/>
    </row>
    <row r="696">
      <c r="A696" s="208"/>
      <c r="B696" s="342"/>
      <c r="C696" s="288"/>
    </row>
    <row r="697">
      <c r="A697" s="208"/>
      <c r="B697" s="342"/>
      <c r="C697" s="288"/>
    </row>
    <row r="698">
      <c r="A698" s="208"/>
      <c r="B698" s="342"/>
      <c r="C698" s="288"/>
    </row>
    <row r="699">
      <c r="A699" s="208"/>
      <c r="B699" s="342"/>
      <c r="C699" s="288"/>
    </row>
    <row r="700">
      <c r="A700" s="208"/>
      <c r="B700" s="342"/>
      <c r="C700" s="288"/>
    </row>
    <row r="701">
      <c r="A701" s="208"/>
      <c r="B701" s="342"/>
      <c r="C701" s="288"/>
    </row>
    <row r="702">
      <c r="A702" s="208"/>
      <c r="B702" s="342"/>
      <c r="C702" s="288"/>
    </row>
    <row r="703">
      <c r="A703" s="208"/>
      <c r="B703" s="342"/>
      <c r="C703" s="288"/>
    </row>
    <row r="704">
      <c r="A704" s="208"/>
      <c r="B704" s="342"/>
      <c r="C704" s="288"/>
    </row>
    <row r="705">
      <c r="A705" s="208"/>
      <c r="B705" s="342"/>
      <c r="C705" s="288"/>
    </row>
    <row r="706">
      <c r="A706" s="208"/>
      <c r="B706" s="342"/>
      <c r="C706" s="288"/>
    </row>
    <row r="707">
      <c r="A707" s="208"/>
      <c r="B707" s="342"/>
      <c r="C707" s="288"/>
    </row>
    <row r="708">
      <c r="A708" s="208"/>
      <c r="B708" s="342"/>
      <c r="C708" s="288"/>
    </row>
    <row r="709">
      <c r="A709" s="208"/>
      <c r="B709" s="342"/>
      <c r="C709" s="288"/>
    </row>
    <row r="710">
      <c r="A710" s="208"/>
      <c r="B710" s="342"/>
      <c r="C710" s="288"/>
    </row>
    <row r="711">
      <c r="A711" s="208"/>
      <c r="B711" s="342"/>
      <c r="C711" s="288"/>
    </row>
    <row r="712">
      <c r="A712" s="208"/>
      <c r="B712" s="342"/>
      <c r="C712" s="288"/>
    </row>
    <row r="713">
      <c r="A713" s="208"/>
      <c r="B713" s="342"/>
      <c r="C713" s="288"/>
    </row>
    <row r="714">
      <c r="A714" s="208"/>
      <c r="B714" s="342"/>
      <c r="C714" s="288"/>
    </row>
    <row r="715">
      <c r="A715" s="208"/>
      <c r="B715" s="342"/>
      <c r="C715" s="288"/>
    </row>
    <row r="716">
      <c r="A716" s="208"/>
      <c r="B716" s="342"/>
      <c r="C716" s="288"/>
    </row>
    <row r="717">
      <c r="A717" s="208"/>
      <c r="B717" s="342"/>
      <c r="C717" s="288"/>
    </row>
    <row r="718">
      <c r="A718" s="208"/>
      <c r="B718" s="342"/>
      <c r="C718" s="288"/>
    </row>
    <row r="719">
      <c r="A719" s="208"/>
      <c r="B719" s="342"/>
      <c r="C719" s="288"/>
    </row>
    <row r="720">
      <c r="A720" s="208"/>
      <c r="B720" s="342"/>
      <c r="C720" s="288"/>
    </row>
    <row r="721">
      <c r="A721" s="208"/>
      <c r="B721" s="342"/>
      <c r="C721" s="288"/>
    </row>
    <row r="722">
      <c r="A722" s="208"/>
      <c r="B722" s="342"/>
      <c r="C722" s="288"/>
    </row>
    <row r="723">
      <c r="A723" s="208"/>
      <c r="B723" s="342"/>
      <c r="C723" s="288"/>
    </row>
    <row r="724">
      <c r="A724" s="208"/>
      <c r="B724" s="342"/>
      <c r="C724" s="288"/>
    </row>
    <row r="725">
      <c r="A725" s="208"/>
      <c r="B725" s="342"/>
      <c r="C725" s="288"/>
    </row>
    <row r="726">
      <c r="A726" s="208"/>
      <c r="B726" s="342"/>
      <c r="C726" s="288"/>
    </row>
    <row r="727">
      <c r="A727" s="208"/>
      <c r="B727" s="342"/>
      <c r="C727" s="288"/>
    </row>
    <row r="728">
      <c r="A728" s="208"/>
      <c r="B728" s="342"/>
      <c r="C728" s="288"/>
    </row>
    <row r="729">
      <c r="A729" s="208"/>
      <c r="B729" s="342"/>
      <c r="C729" s="288"/>
    </row>
    <row r="730">
      <c r="A730" s="208"/>
      <c r="B730" s="342"/>
      <c r="C730" s="288"/>
    </row>
    <row r="731">
      <c r="A731" s="208"/>
      <c r="B731" s="342"/>
      <c r="C731" s="288"/>
    </row>
    <row r="732">
      <c r="A732" s="208"/>
      <c r="B732" s="342"/>
      <c r="C732" s="288"/>
    </row>
    <row r="733">
      <c r="A733" s="208"/>
      <c r="B733" s="342"/>
      <c r="C733" s="288"/>
    </row>
    <row r="734">
      <c r="A734" s="208"/>
      <c r="B734" s="342"/>
      <c r="C734" s="288"/>
    </row>
    <row r="735">
      <c r="A735" s="208"/>
      <c r="B735" s="342"/>
      <c r="C735" s="288"/>
    </row>
    <row r="736">
      <c r="A736" s="208"/>
      <c r="B736" s="342"/>
      <c r="C736" s="288"/>
    </row>
    <row r="737">
      <c r="A737" s="208"/>
      <c r="B737" s="342"/>
      <c r="C737" s="288"/>
    </row>
    <row r="738">
      <c r="A738" s="208"/>
      <c r="B738" s="342"/>
      <c r="C738" s="288"/>
    </row>
    <row r="739">
      <c r="A739" s="208"/>
      <c r="B739" s="342"/>
      <c r="C739" s="288"/>
    </row>
    <row r="740">
      <c r="A740" s="208"/>
      <c r="B740" s="342"/>
      <c r="C740" s="288"/>
    </row>
    <row r="741">
      <c r="A741" s="208"/>
      <c r="B741" s="342"/>
      <c r="C741" s="288"/>
    </row>
    <row r="742">
      <c r="A742" s="208"/>
      <c r="B742" s="342"/>
      <c r="C742" s="288"/>
    </row>
    <row r="743">
      <c r="A743" s="208"/>
      <c r="B743" s="342"/>
      <c r="C743" s="288"/>
    </row>
    <row r="744">
      <c r="A744" s="208"/>
      <c r="B744" s="342"/>
      <c r="C744" s="288"/>
    </row>
    <row r="745">
      <c r="A745" s="208"/>
      <c r="B745" s="342"/>
      <c r="C745" s="288"/>
    </row>
    <row r="746">
      <c r="A746" s="208"/>
      <c r="B746" s="342"/>
      <c r="C746" s="288"/>
    </row>
    <row r="747">
      <c r="A747" s="208"/>
      <c r="B747" s="342"/>
      <c r="C747" s="288"/>
    </row>
    <row r="748">
      <c r="A748" s="208"/>
      <c r="B748" s="342"/>
      <c r="C748" s="288"/>
    </row>
    <row r="749">
      <c r="A749" s="208"/>
      <c r="B749" s="342"/>
      <c r="C749" s="288"/>
    </row>
    <row r="750">
      <c r="A750" s="208"/>
      <c r="B750" s="342"/>
      <c r="C750" s="288"/>
    </row>
    <row r="751">
      <c r="A751" s="208"/>
      <c r="B751" s="342"/>
      <c r="C751" s="288"/>
    </row>
    <row r="752">
      <c r="A752" s="208"/>
      <c r="B752" s="342"/>
      <c r="C752" s="288"/>
    </row>
    <row r="753">
      <c r="A753" s="208"/>
      <c r="B753" s="342"/>
      <c r="C753" s="288"/>
    </row>
    <row r="754">
      <c r="A754" s="208"/>
      <c r="B754" s="342"/>
      <c r="C754" s="288"/>
    </row>
    <row r="755">
      <c r="A755" s="208"/>
      <c r="B755" s="342"/>
      <c r="C755" s="288"/>
    </row>
    <row r="756">
      <c r="A756" s="208"/>
      <c r="B756" s="342"/>
      <c r="C756" s="288"/>
    </row>
    <row r="757">
      <c r="A757" s="208"/>
      <c r="B757" s="342"/>
      <c r="C757" s="288"/>
    </row>
    <row r="758">
      <c r="A758" s="208"/>
      <c r="B758" s="342"/>
      <c r="C758" s="288"/>
    </row>
    <row r="759">
      <c r="A759" s="208"/>
      <c r="B759" s="342"/>
      <c r="C759" s="288"/>
    </row>
    <row r="760">
      <c r="A760" s="208"/>
      <c r="B760" s="342"/>
      <c r="C760" s="288"/>
    </row>
    <row r="761">
      <c r="A761" s="208"/>
      <c r="B761" s="342"/>
      <c r="C761" s="288"/>
    </row>
    <row r="762">
      <c r="A762" s="208"/>
      <c r="B762" s="342"/>
      <c r="C762" s="288"/>
    </row>
    <row r="763">
      <c r="A763" s="208"/>
      <c r="B763" s="342"/>
      <c r="C763" s="288"/>
    </row>
    <row r="764">
      <c r="A764" s="208"/>
      <c r="B764" s="342"/>
      <c r="C764" s="288"/>
    </row>
    <row r="765">
      <c r="A765" s="208"/>
      <c r="B765" s="342"/>
      <c r="C765" s="288"/>
    </row>
    <row r="766">
      <c r="A766" s="208"/>
      <c r="B766" s="342"/>
      <c r="C766" s="288"/>
    </row>
    <row r="767">
      <c r="A767" s="208"/>
      <c r="B767" s="342"/>
      <c r="C767" s="288"/>
    </row>
    <row r="768">
      <c r="A768" s="208"/>
      <c r="B768" s="342"/>
      <c r="C768" s="288"/>
    </row>
    <row r="769">
      <c r="A769" s="208"/>
      <c r="B769" s="342"/>
      <c r="C769" s="288"/>
    </row>
    <row r="770">
      <c r="A770" s="208"/>
      <c r="B770" s="342"/>
      <c r="C770" s="288"/>
    </row>
    <row r="771">
      <c r="A771" s="208"/>
      <c r="B771" s="342"/>
      <c r="C771" s="288"/>
    </row>
    <row r="772">
      <c r="A772" s="208"/>
      <c r="B772" s="342"/>
      <c r="C772" s="288"/>
    </row>
    <row r="773">
      <c r="A773" s="208"/>
      <c r="B773" s="342"/>
      <c r="C773" s="288"/>
    </row>
    <row r="774">
      <c r="A774" s="208"/>
      <c r="B774" s="342"/>
      <c r="C774" s="288"/>
    </row>
    <row r="775">
      <c r="A775" s="208"/>
      <c r="B775" s="342"/>
      <c r="C775" s="288"/>
    </row>
    <row r="776">
      <c r="A776" s="208"/>
      <c r="B776" s="342"/>
      <c r="C776" s="288"/>
    </row>
    <row r="777">
      <c r="A777" s="208"/>
      <c r="B777" s="342"/>
      <c r="C777" s="288"/>
    </row>
    <row r="778">
      <c r="A778" s="208"/>
      <c r="B778" s="342"/>
      <c r="C778" s="288"/>
    </row>
    <row r="779">
      <c r="A779" s="208"/>
      <c r="B779" s="342"/>
      <c r="C779" s="288"/>
    </row>
    <row r="780">
      <c r="A780" s="208"/>
      <c r="B780" s="342"/>
      <c r="C780" s="288"/>
    </row>
    <row r="781">
      <c r="A781" s="208"/>
      <c r="B781" s="342"/>
      <c r="C781" s="288"/>
    </row>
    <row r="782">
      <c r="A782" s="208"/>
      <c r="B782" s="342"/>
      <c r="C782" s="288"/>
    </row>
    <row r="783">
      <c r="A783" s="208"/>
      <c r="B783" s="342"/>
      <c r="C783" s="288"/>
    </row>
    <row r="784">
      <c r="A784" s="208"/>
      <c r="B784" s="342"/>
      <c r="C784" s="288"/>
    </row>
    <row r="785">
      <c r="A785" s="208"/>
      <c r="B785" s="342"/>
      <c r="C785" s="288"/>
    </row>
    <row r="786">
      <c r="A786" s="208"/>
      <c r="B786" s="342"/>
      <c r="C786" s="288"/>
    </row>
    <row r="787">
      <c r="A787" s="208"/>
      <c r="B787" s="342"/>
      <c r="C787" s="288"/>
    </row>
    <row r="788">
      <c r="A788" s="208"/>
      <c r="B788" s="342"/>
      <c r="C788" s="288"/>
    </row>
    <row r="789">
      <c r="A789" s="208"/>
      <c r="B789" s="342"/>
      <c r="C789" s="288"/>
    </row>
    <row r="790">
      <c r="A790" s="208"/>
      <c r="B790" s="342"/>
      <c r="C790" s="288"/>
    </row>
    <row r="791">
      <c r="A791" s="208"/>
      <c r="B791" s="342"/>
      <c r="C791" s="288"/>
    </row>
    <row r="792">
      <c r="A792" s="208"/>
      <c r="B792" s="342"/>
      <c r="C792" s="288"/>
    </row>
    <row r="793">
      <c r="A793" s="208"/>
      <c r="B793" s="342"/>
      <c r="C793" s="288"/>
    </row>
    <row r="794">
      <c r="A794" s="208"/>
      <c r="B794" s="342"/>
      <c r="C794" s="288"/>
    </row>
    <row r="795">
      <c r="A795" s="208"/>
      <c r="B795" s="342"/>
      <c r="C795" s="288"/>
    </row>
    <row r="796">
      <c r="A796" s="208"/>
      <c r="B796" s="342"/>
      <c r="C796" s="288"/>
    </row>
    <row r="797">
      <c r="A797" s="208"/>
      <c r="B797" s="342"/>
      <c r="C797" s="288"/>
    </row>
    <row r="798">
      <c r="A798" s="208"/>
      <c r="B798" s="342"/>
      <c r="C798" s="288"/>
    </row>
    <row r="799">
      <c r="A799" s="208"/>
      <c r="B799" s="342"/>
      <c r="C799" s="288"/>
    </row>
    <row r="800">
      <c r="A800" s="208"/>
      <c r="B800" s="342"/>
      <c r="C800" s="288"/>
    </row>
    <row r="801">
      <c r="A801" s="208"/>
      <c r="B801" s="342"/>
      <c r="C801" s="288"/>
    </row>
    <row r="802">
      <c r="A802" s="208"/>
      <c r="B802" s="342"/>
      <c r="C802" s="288"/>
    </row>
    <row r="803">
      <c r="A803" s="208"/>
      <c r="B803" s="342"/>
      <c r="C803" s="288"/>
    </row>
    <row r="804">
      <c r="A804" s="208"/>
      <c r="B804" s="342"/>
      <c r="C804" s="288"/>
    </row>
    <row r="805">
      <c r="A805" s="208"/>
      <c r="B805" s="342"/>
      <c r="C805" s="288"/>
    </row>
    <row r="806">
      <c r="A806" s="208"/>
      <c r="B806" s="342"/>
      <c r="C806" s="288"/>
    </row>
    <row r="807">
      <c r="A807" s="208"/>
      <c r="B807" s="342"/>
      <c r="C807" s="288"/>
    </row>
    <row r="808">
      <c r="A808" s="208"/>
      <c r="B808" s="342"/>
      <c r="C808" s="288"/>
    </row>
    <row r="809">
      <c r="A809" s="208"/>
      <c r="B809" s="342"/>
      <c r="C809" s="288"/>
    </row>
    <row r="810">
      <c r="A810" s="208"/>
      <c r="B810" s="342"/>
      <c r="C810" s="288"/>
    </row>
    <row r="811">
      <c r="A811" s="208"/>
      <c r="B811" s="342"/>
      <c r="C811" s="288"/>
    </row>
    <row r="812">
      <c r="A812" s="208"/>
      <c r="B812" s="342"/>
      <c r="C812" s="288"/>
    </row>
    <row r="813">
      <c r="A813" s="208"/>
      <c r="B813" s="342"/>
      <c r="C813" s="288"/>
    </row>
    <row r="814">
      <c r="A814" s="208"/>
      <c r="B814" s="342"/>
      <c r="C814" s="288"/>
    </row>
    <row r="815">
      <c r="A815" s="208"/>
      <c r="B815" s="342"/>
      <c r="C815" s="288"/>
    </row>
    <row r="816">
      <c r="A816" s="208"/>
      <c r="B816" s="342"/>
      <c r="C816" s="288"/>
    </row>
    <row r="817">
      <c r="A817" s="208"/>
      <c r="B817" s="342"/>
      <c r="C817" s="288"/>
    </row>
    <row r="818">
      <c r="A818" s="208"/>
      <c r="B818" s="342"/>
      <c r="C818" s="288"/>
    </row>
    <row r="819">
      <c r="A819" s="208"/>
      <c r="B819" s="342"/>
      <c r="C819" s="288"/>
    </row>
    <row r="820">
      <c r="A820" s="208"/>
      <c r="B820" s="342"/>
      <c r="C820" s="288"/>
    </row>
    <row r="821">
      <c r="A821" s="208"/>
      <c r="B821" s="342"/>
      <c r="C821" s="288"/>
    </row>
    <row r="822">
      <c r="A822" s="208"/>
      <c r="B822" s="342"/>
      <c r="C822" s="288"/>
    </row>
    <row r="823">
      <c r="A823" s="208"/>
      <c r="B823" s="342"/>
      <c r="C823" s="288"/>
    </row>
    <row r="824">
      <c r="A824" s="208"/>
      <c r="B824" s="342"/>
      <c r="C824" s="288"/>
    </row>
    <row r="825">
      <c r="A825" s="208"/>
      <c r="B825" s="342"/>
      <c r="C825" s="288"/>
    </row>
    <row r="826">
      <c r="A826" s="208"/>
      <c r="B826" s="342"/>
      <c r="C826" s="288"/>
    </row>
    <row r="827">
      <c r="A827" s="208"/>
      <c r="B827" s="342"/>
      <c r="C827" s="288"/>
    </row>
    <row r="828">
      <c r="A828" s="208"/>
      <c r="B828" s="342"/>
      <c r="C828" s="288"/>
    </row>
    <row r="829">
      <c r="A829" s="208"/>
      <c r="B829" s="342"/>
      <c r="C829" s="288"/>
    </row>
    <row r="830">
      <c r="A830" s="208"/>
      <c r="B830" s="342"/>
      <c r="C830" s="288"/>
    </row>
    <row r="831">
      <c r="A831" s="208"/>
      <c r="B831" s="342"/>
      <c r="C831" s="288"/>
    </row>
    <row r="832">
      <c r="A832" s="208"/>
      <c r="B832" s="342"/>
      <c r="C832" s="288"/>
    </row>
    <row r="833">
      <c r="A833" s="208"/>
      <c r="B833" s="342"/>
      <c r="C833" s="288"/>
    </row>
    <row r="834">
      <c r="A834" s="208"/>
      <c r="B834" s="342"/>
      <c r="C834" s="288"/>
    </row>
    <row r="835">
      <c r="A835" s="208"/>
      <c r="B835" s="342"/>
      <c r="C835" s="288"/>
    </row>
    <row r="836">
      <c r="A836" s="208"/>
      <c r="B836" s="342"/>
      <c r="C836" s="288"/>
    </row>
    <row r="837">
      <c r="A837" s="208"/>
      <c r="B837" s="342"/>
      <c r="C837" s="288"/>
    </row>
    <row r="838">
      <c r="A838" s="208"/>
      <c r="B838" s="342"/>
      <c r="C838" s="288"/>
    </row>
    <row r="839">
      <c r="A839" s="208"/>
      <c r="B839" s="342"/>
      <c r="C839" s="288"/>
    </row>
    <row r="840">
      <c r="A840" s="208"/>
      <c r="B840" s="342"/>
      <c r="C840" s="288"/>
    </row>
    <row r="841">
      <c r="A841" s="208"/>
      <c r="B841" s="342"/>
      <c r="C841" s="288"/>
    </row>
    <row r="842">
      <c r="A842" s="208"/>
      <c r="B842" s="342"/>
      <c r="C842" s="288"/>
    </row>
    <row r="843">
      <c r="A843" s="208"/>
      <c r="B843" s="342"/>
      <c r="C843" s="288"/>
    </row>
    <row r="844">
      <c r="A844" s="208"/>
      <c r="B844" s="342"/>
      <c r="C844" s="288"/>
    </row>
    <row r="845">
      <c r="A845" s="208"/>
      <c r="B845" s="342"/>
      <c r="C845" s="288"/>
    </row>
    <row r="846">
      <c r="A846" s="208"/>
      <c r="B846" s="342"/>
      <c r="C846" s="288"/>
    </row>
    <row r="847">
      <c r="A847" s="208"/>
      <c r="B847" s="342"/>
      <c r="C847" s="288"/>
    </row>
    <row r="848">
      <c r="A848" s="208"/>
      <c r="B848" s="342"/>
      <c r="C848" s="288"/>
    </row>
    <row r="849">
      <c r="A849" s="208"/>
      <c r="B849" s="342"/>
      <c r="C849" s="288"/>
    </row>
    <row r="850">
      <c r="A850" s="208"/>
      <c r="B850" s="342"/>
      <c r="C850" s="288"/>
    </row>
    <row r="851">
      <c r="A851" s="208"/>
      <c r="B851" s="342"/>
      <c r="C851" s="288"/>
    </row>
    <row r="852">
      <c r="A852" s="208"/>
      <c r="B852" s="342"/>
      <c r="C852" s="288"/>
    </row>
    <row r="853">
      <c r="A853" s="208"/>
      <c r="B853" s="342"/>
      <c r="C853" s="288"/>
    </row>
    <row r="854">
      <c r="A854" s="208"/>
      <c r="B854" s="342"/>
      <c r="C854" s="288"/>
    </row>
    <row r="855">
      <c r="A855" s="208"/>
      <c r="B855" s="342"/>
      <c r="C855" s="288"/>
    </row>
    <row r="856">
      <c r="A856" s="208"/>
      <c r="B856" s="342"/>
      <c r="C856" s="288"/>
    </row>
    <row r="857">
      <c r="A857" s="208"/>
      <c r="B857" s="342"/>
      <c r="C857" s="288"/>
    </row>
    <row r="858">
      <c r="A858" s="208"/>
      <c r="B858" s="342"/>
      <c r="C858" s="288"/>
    </row>
    <row r="859">
      <c r="A859" s="208"/>
      <c r="B859" s="342"/>
      <c r="C859" s="288"/>
    </row>
    <row r="860">
      <c r="A860" s="208"/>
      <c r="B860" s="342"/>
      <c r="C860" s="288"/>
    </row>
    <row r="861">
      <c r="A861" s="208"/>
      <c r="B861" s="342"/>
      <c r="C861" s="288"/>
    </row>
    <row r="862">
      <c r="A862" s="208"/>
      <c r="B862" s="342"/>
      <c r="C862" s="288"/>
    </row>
    <row r="863">
      <c r="A863" s="208"/>
      <c r="B863" s="342"/>
      <c r="C863" s="288"/>
    </row>
    <row r="864">
      <c r="A864" s="208"/>
      <c r="B864" s="342"/>
      <c r="C864" s="288"/>
    </row>
    <row r="865">
      <c r="A865" s="208"/>
      <c r="B865" s="342"/>
      <c r="C865" s="288"/>
    </row>
    <row r="866">
      <c r="A866" s="208"/>
      <c r="B866" s="342"/>
      <c r="C866" s="288"/>
    </row>
    <row r="867">
      <c r="A867" s="208"/>
      <c r="B867" s="342"/>
      <c r="C867" s="288"/>
    </row>
    <row r="868">
      <c r="A868" s="208"/>
      <c r="B868" s="342"/>
      <c r="C868" s="288"/>
    </row>
    <row r="869">
      <c r="A869" s="208"/>
      <c r="B869" s="342"/>
      <c r="C869" s="288"/>
    </row>
    <row r="870">
      <c r="A870" s="208"/>
      <c r="B870" s="342"/>
      <c r="C870" s="288"/>
    </row>
    <row r="871">
      <c r="A871" s="208"/>
      <c r="B871" s="342"/>
      <c r="C871" s="288"/>
    </row>
    <row r="872">
      <c r="A872" s="208"/>
      <c r="B872" s="342"/>
      <c r="C872" s="288"/>
    </row>
    <row r="873">
      <c r="A873" s="208"/>
      <c r="B873" s="342"/>
      <c r="C873" s="288"/>
    </row>
    <row r="874">
      <c r="A874" s="208"/>
      <c r="B874" s="342"/>
      <c r="C874" s="288"/>
    </row>
    <row r="875">
      <c r="A875" s="208"/>
      <c r="B875" s="342"/>
      <c r="C875" s="288"/>
    </row>
    <row r="876">
      <c r="A876" s="208"/>
      <c r="B876" s="342"/>
      <c r="C876" s="288"/>
    </row>
    <row r="877">
      <c r="A877" s="208"/>
      <c r="B877" s="342"/>
      <c r="C877" s="288"/>
    </row>
    <row r="878">
      <c r="A878" s="208"/>
      <c r="B878" s="342"/>
      <c r="C878" s="288"/>
    </row>
    <row r="879">
      <c r="A879" s="208"/>
      <c r="B879" s="342"/>
      <c r="C879" s="288"/>
    </row>
    <row r="880">
      <c r="A880" s="208"/>
      <c r="B880" s="342"/>
      <c r="C880" s="288"/>
    </row>
    <row r="881">
      <c r="A881" s="208"/>
      <c r="B881" s="342"/>
      <c r="C881" s="288"/>
    </row>
    <row r="882">
      <c r="A882" s="208"/>
      <c r="B882" s="342"/>
      <c r="C882" s="288"/>
    </row>
    <row r="883">
      <c r="A883" s="208"/>
      <c r="B883" s="342"/>
      <c r="C883" s="288"/>
    </row>
    <row r="884">
      <c r="A884" s="208"/>
      <c r="B884" s="342"/>
      <c r="C884" s="288"/>
    </row>
    <row r="885">
      <c r="A885" s="208"/>
      <c r="B885" s="342"/>
      <c r="C885" s="288"/>
    </row>
    <row r="886">
      <c r="A886" s="208"/>
      <c r="B886" s="342"/>
      <c r="C886" s="288"/>
    </row>
    <row r="887">
      <c r="A887" s="208"/>
      <c r="B887" s="342"/>
      <c r="C887" s="288"/>
    </row>
    <row r="888">
      <c r="A888" s="208"/>
      <c r="B888" s="342"/>
      <c r="C888" s="288"/>
    </row>
    <row r="889">
      <c r="A889" s="208"/>
      <c r="B889" s="342"/>
      <c r="C889" s="288"/>
    </row>
    <row r="890">
      <c r="A890" s="208"/>
      <c r="B890" s="342"/>
      <c r="C890" s="288"/>
    </row>
    <row r="891">
      <c r="A891" s="208"/>
      <c r="B891" s="342"/>
      <c r="C891" s="288"/>
    </row>
    <row r="892">
      <c r="A892" s="208"/>
      <c r="B892" s="342"/>
      <c r="C892" s="288"/>
    </row>
    <row r="893">
      <c r="A893" s="208"/>
      <c r="B893" s="342"/>
      <c r="C893" s="288"/>
    </row>
    <row r="894">
      <c r="A894" s="208"/>
      <c r="B894" s="342"/>
      <c r="C894" s="288"/>
    </row>
    <row r="895">
      <c r="A895" s="208"/>
      <c r="B895" s="342"/>
      <c r="C895" s="288"/>
    </row>
    <row r="896">
      <c r="A896" s="208"/>
      <c r="B896" s="342"/>
      <c r="C896" s="288"/>
    </row>
    <row r="897">
      <c r="A897" s="208"/>
      <c r="B897" s="342"/>
      <c r="C897" s="288"/>
    </row>
    <row r="898">
      <c r="A898" s="208"/>
      <c r="B898" s="342"/>
      <c r="C898" s="288"/>
    </row>
    <row r="899">
      <c r="A899" s="208"/>
      <c r="B899" s="342"/>
      <c r="C899" s="288"/>
    </row>
    <row r="900">
      <c r="A900" s="208"/>
      <c r="B900" s="342"/>
      <c r="C900" s="288"/>
    </row>
    <row r="901">
      <c r="A901" s="208"/>
      <c r="B901" s="342"/>
      <c r="C901" s="288"/>
    </row>
    <row r="902">
      <c r="A902" s="208"/>
      <c r="B902" s="342"/>
      <c r="C902" s="288"/>
    </row>
    <row r="903">
      <c r="A903" s="208"/>
      <c r="B903" s="342"/>
      <c r="C903" s="288"/>
    </row>
    <row r="904">
      <c r="A904" s="208"/>
      <c r="B904" s="342"/>
      <c r="C904" s="288"/>
    </row>
    <row r="905">
      <c r="A905" s="208"/>
      <c r="B905" s="342"/>
      <c r="C905" s="288"/>
    </row>
    <row r="906">
      <c r="A906" s="208"/>
      <c r="B906" s="342"/>
      <c r="C906" s="288"/>
    </row>
    <row r="907">
      <c r="A907" s="208"/>
      <c r="B907" s="342"/>
      <c r="C907" s="288"/>
    </row>
    <row r="908">
      <c r="A908" s="208"/>
      <c r="B908" s="342"/>
      <c r="C908" s="288"/>
    </row>
    <row r="909">
      <c r="A909" s="208"/>
      <c r="B909" s="342"/>
      <c r="C909" s="288"/>
    </row>
    <row r="910">
      <c r="A910" s="208"/>
      <c r="B910" s="342"/>
      <c r="C910" s="288"/>
    </row>
    <row r="911">
      <c r="A911" s="208"/>
      <c r="B911" s="342"/>
      <c r="C911" s="288"/>
    </row>
    <row r="912">
      <c r="A912" s="208"/>
      <c r="B912" s="342"/>
      <c r="C912" s="288"/>
    </row>
    <row r="913">
      <c r="A913" s="208"/>
      <c r="B913" s="342"/>
      <c r="C913" s="288"/>
    </row>
    <row r="914">
      <c r="A914" s="208"/>
      <c r="B914" s="342"/>
      <c r="C914" s="288"/>
    </row>
    <row r="915">
      <c r="A915" s="208"/>
      <c r="B915" s="342"/>
      <c r="C915" s="288"/>
    </row>
    <row r="916">
      <c r="A916" s="208"/>
      <c r="B916" s="342"/>
      <c r="C916" s="288"/>
    </row>
    <row r="917">
      <c r="A917" s="208"/>
      <c r="B917" s="342"/>
      <c r="C917" s="288"/>
    </row>
    <row r="918">
      <c r="A918" s="208"/>
      <c r="B918" s="342"/>
      <c r="C918" s="288"/>
    </row>
    <row r="919">
      <c r="A919" s="208"/>
      <c r="B919" s="342"/>
      <c r="C919" s="288"/>
    </row>
    <row r="920">
      <c r="A920" s="208"/>
      <c r="B920" s="342"/>
      <c r="C920" s="288"/>
    </row>
    <row r="921">
      <c r="A921" s="208"/>
      <c r="B921" s="342"/>
      <c r="C921" s="288"/>
    </row>
    <row r="922">
      <c r="A922" s="208"/>
      <c r="B922" s="342"/>
      <c r="C922" s="288"/>
    </row>
    <row r="923">
      <c r="A923" s="208"/>
      <c r="B923" s="342"/>
      <c r="C923" s="288"/>
    </row>
    <row r="924">
      <c r="A924" s="208"/>
      <c r="B924" s="342"/>
      <c r="C924" s="288"/>
    </row>
    <row r="925">
      <c r="A925" s="208"/>
      <c r="B925" s="342"/>
      <c r="C925" s="288"/>
    </row>
    <row r="926">
      <c r="A926" s="208"/>
      <c r="B926" s="342"/>
      <c r="C926" s="288"/>
    </row>
    <row r="927">
      <c r="A927" s="208"/>
      <c r="B927" s="342"/>
      <c r="C927" s="288"/>
    </row>
    <row r="928">
      <c r="A928" s="208"/>
      <c r="B928" s="342"/>
      <c r="C928" s="288"/>
    </row>
    <row r="929">
      <c r="A929" s="208"/>
      <c r="B929" s="342"/>
      <c r="C929" s="288"/>
    </row>
    <row r="930">
      <c r="A930" s="208"/>
      <c r="B930" s="342"/>
      <c r="C930" s="288"/>
    </row>
    <row r="931">
      <c r="A931" s="208"/>
      <c r="B931" s="342"/>
      <c r="C931" s="288"/>
    </row>
    <row r="932">
      <c r="A932" s="208"/>
      <c r="B932" s="342"/>
      <c r="C932" s="288"/>
    </row>
    <row r="933">
      <c r="A933" s="208"/>
      <c r="B933" s="342"/>
      <c r="C933" s="288"/>
    </row>
    <row r="934">
      <c r="A934" s="208"/>
      <c r="B934" s="342"/>
      <c r="C934" s="288"/>
    </row>
    <row r="935">
      <c r="A935" s="208"/>
      <c r="B935" s="342"/>
      <c r="C935" s="288"/>
    </row>
    <row r="936">
      <c r="A936" s="208"/>
      <c r="B936" s="342"/>
      <c r="C936" s="288"/>
    </row>
    <row r="937">
      <c r="A937" s="208"/>
      <c r="B937" s="342"/>
      <c r="C937" s="288"/>
    </row>
    <row r="938">
      <c r="A938" s="208"/>
      <c r="B938" s="342"/>
      <c r="C938" s="288"/>
    </row>
    <row r="939">
      <c r="A939" s="208"/>
      <c r="B939" s="342"/>
      <c r="C939" s="288"/>
    </row>
    <row r="940">
      <c r="A940" s="208"/>
      <c r="B940" s="342"/>
      <c r="C940" s="288"/>
    </row>
    <row r="941">
      <c r="A941" s="208"/>
      <c r="B941" s="342"/>
      <c r="C941" s="288"/>
    </row>
    <row r="942">
      <c r="A942" s="208"/>
      <c r="B942" s="342"/>
      <c r="C942" s="288"/>
    </row>
    <row r="943">
      <c r="A943" s="208"/>
      <c r="B943" s="342"/>
      <c r="C943" s="288"/>
    </row>
    <row r="944">
      <c r="A944" s="208"/>
      <c r="B944" s="342"/>
      <c r="C944" s="288"/>
    </row>
    <row r="945">
      <c r="A945" s="208"/>
      <c r="B945" s="342"/>
      <c r="C945" s="288"/>
    </row>
    <row r="946">
      <c r="A946" s="208"/>
      <c r="B946" s="342"/>
      <c r="C946" s="288"/>
    </row>
    <row r="947">
      <c r="A947" s="208"/>
      <c r="B947" s="342"/>
      <c r="C947" s="288"/>
    </row>
    <row r="948">
      <c r="A948" s="208"/>
      <c r="B948" s="342"/>
      <c r="C948" s="288"/>
    </row>
    <row r="949">
      <c r="A949" s="208"/>
      <c r="B949" s="342"/>
      <c r="C949" s="288"/>
    </row>
    <row r="950">
      <c r="A950" s="208"/>
      <c r="B950" s="342"/>
      <c r="C950" s="288"/>
    </row>
    <row r="951">
      <c r="A951" s="208"/>
      <c r="B951" s="342"/>
      <c r="C951" s="288"/>
    </row>
    <row r="952">
      <c r="A952" s="208"/>
      <c r="B952" s="342"/>
      <c r="C952" s="288"/>
    </row>
    <row r="953">
      <c r="A953" s="208"/>
      <c r="B953" s="342"/>
      <c r="C953" s="288"/>
    </row>
    <row r="954">
      <c r="A954" s="208"/>
      <c r="B954" s="342"/>
      <c r="C954" s="288"/>
    </row>
    <row r="955">
      <c r="A955" s="208"/>
      <c r="B955" s="342"/>
      <c r="C955" s="288"/>
    </row>
    <row r="956">
      <c r="A956" s="208"/>
      <c r="B956" s="342"/>
      <c r="C956" s="288"/>
    </row>
    <row r="957">
      <c r="A957" s="208"/>
      <c r="B957" s="342"/>
      <c r="C957" s="288"/>
    </row>
    <row r="958">
      <c r="A958" s="208"/>
      <c r="B958" s="342"/>
      <c r="C958" s="288"/>
    </row>
    <row r="959">
      <c r="A959" s="208"/>
      <c r="B959" s="342"/>
      <c r="C959" s="288"/>
    </row>
    <row r="960">
      <c r="A960" s="208"/>
      <c r="B960" s="342"/>
      <c r="C960" s="288"/>
    </row>
    <row r="961">
      <c r="A961" s="208"/>
      <c r="B961" s="342"/>
      <c r="C961" s="288"/>
    </row>
    <row r="962">
      <c r="A962" s="208"/>
      <c r="B962" s="342"/>
      <c r="C962" s="288"/>
    </row>
    <row r="963">
      <c r="A963" s="208"/>
      <c r="B963" s="342"/>
      <c r="C963" s="288"/>
    </row>
    <row r="964">
      <c r="A964" s="208"/>
      <c r="B964" s="342"/>
      <c r="C964" s="288"/>
    </row>
    <row r="965">
      <c r="A965" s="208"/>
      <c r="B965" s="342"/>
      <c r="C965" s="288"/>
    </row>
    <row r="966">
      <c r="A966" s="208"/>
      <c r="B966" s="342"/>
      <c r="C966" s="288"/>
    </row>
    <row r="967">
      <c r="A967" s="208"/>
      <c r="B967" s="342"/>
      <c r="C967" s="288"/>
    </row>
    <row r="968">
      <c r="A968" s="208"/>
      <c r="B968" s="342"/>
      <c r="C968" s="288"/>
    </row>
    <row r="969">
      <c r="A969" s="208"/>
      <c r="B969" s="342"/>
      <c r="C969" s="288"/>
    </row>
    <row r="970">
      <c r="A970" s="208"/>
      <c r="B970" s="342"/>
      <c r="C970" s="288"/>
    </row>
    <row r="971">
      <c r="A971" s="208"/>
      <c r="B971" s="342"/>
      <c r="C971" s="288"/>
    </row>
    <row r="972">
      <c r="A972" s="208"/>
      <c r="B972" s="342"/>
      <c r="C972" s="288"/>
    </row>
    <row r="973">
      <c r="A973" s="208"/>
      <c r="B973" s="342"/>
      <c r="C973" s="288"/>
    </row>
    <row r="974">
      <c r="A974" s="208"/>
      <c r="B974" s="342"/>
      <c r="C974" s="288"/>
    </row>
    <row r="975">
      <c r="A975" s="208"/>
      <c r="B975" s="342"/>
      <c r="C975" s="288"/>
    </row>
    <row r="976">
      <c r="A976" s="208"/>
      <c r="B976" s="342"/>
      <c r="C976" s="288"/>
    </row>
    <row r="977">
      <c r="A977" s="208"/>
      <c r="B977" s="342"/>
      <c r="C977" s="288"/>
    </row>
    <row r="978">
      <c r="A978" s="208"/>
      <c r="B978" s="342"/>
      <c r="C978" s="288"/>
    </row>
    <row r="979">
      <c r="A979" s="208"/>
      <c r="B979" s="342"/>
      <c r="C979" s="288"/>
    </row>
    <row r="980">
      <c r="A980" s="208"/>
      <c r="B980" s="342"/>
      <c r="C980" s="288"/>
    </row>
    <row r="981">
      <c r="A981" s="208"/>
      <c r="B981" s="342"/>
      <c r="C981" s="288"/>
    </row>
    <row r="982">
      <c r="A982" s="208"/>
      <c r="B982" s="342"/>
      <c r="C982" s="288"/>
    </row>
    <row r="983">
      <c r="A983" s="208"/>
      <c r="B983" s="342"/>
      <c r="C983" s="288"/>
    </row>
    <row r="984">
      <c r="A984" s="208"/>
      <c r="B984" s="342"/>
      <c r="C984" s="288"/>
    </row>
    <row r="985">
      <c r="A985" s="208"/>
      <c r="B985" s="342"/>
      <c r="C985" s="288"/>
    </row>
    <row r="986">
      <c r="A986" s="208"/>
      <c r="B986" s="342"/>
      <c r="C986" s="288"/>
    </row>
    <row r="987">
      <c r="A987" s="208"/>
      <c r="B987" s="342"/>
      <c r="C987" s="288"/>
    </row>
    <row r="988">
      <c r="A988" s="208"/>
      <c r="B988" s="342"/>
      <c r="C988" s="288"/>
    </row>
    <row r="989">
      <c r="A989" s="208"/>
      <c r="B989" s="342"/>
      <c r="C989" s="288"/>
    </row>
    <row r="990">
      <c r="A990" s="208"/>
      <c r="B990" s="342"/>
      <c r="C990" s="288"/>
    </row>
    <row r="991">
      <c r="A991" s="208"/>
      <c r="B991" s="342"/>
      <c r="C991" s="288"/>
    </row>
    <row r="992">
      <c r="A992" s="208"/>
      <c r="B992" s="342"/>
      <c r="C992" s="288"/>
    </row>
    <row r="993">
      <c r="A993" s="208"/>
      <c r="B993" s="342"/>
      <c r="C993" s="288"/>
    </row>
    <row r="994">
      <c r="A994" s="208"/>
      <c r="B994" s="342"/>
      <c r="C994" s="288"/>
    </row>
    <row r="995">
      <c r="A995" s="208"/>
      <c r="B995" s="342"/>
      <c r="C995" s="288"/>
    </row>
    <row r="996">
      <c r="A996" s="208"/>
      <c r="B996" s="342"/>
      <c r="C996" s="288"/>
    </row>
    <row r="997">
      <c r="A997" s="208"/>
      <c r="B997" s="342"/>
      <c r="C997" s="288"/>
    </row>
    <row r="998">
      <c r="A998" s="208"/>
      <c r="B998" s="342"/>
      <c r="C998" s="288"/>
    </row>
    <row r="999">
      <c r="A999" s="208"/>
      <c r="B999" s="342"/>
      <c r="C999" s="288"/>
    </row>
    <row r="1000">
      <c r="A1000" s="208"/>
      <c r="B1000" s="342"/>
      <c r="C1000" s="288"/>
    </row>
    <row r="1001">
      <c r="A1001" s="208"/>
      <c r="B1001" s="342"/>
      <c r="C1001" s="288"/>
    </row>
    <row r="1002">
      <c r="A1002" s="208"/>
      <c r="B1002" s="342"/>
      <c r="C1002" s="288"/>
    </row>
    <row r="1003">
      <c r="A1003" s="208"/>
      <c r="B1003" s="342"/>
      <c r="C1003" s="288"/>
    </row>
  </sheetData>
  <mergeCells count="11">
    <mergeCell ref="A2:A53"/>
    <mergeCell ref="A54:A76"/>
    <mergeCell ref="B54:B71"/>
    <mergeCell ref="B72:B76"/>
    <mergeCell ref="B2:B13"/>
    <mergeCell ref="B14:B19"/>
    <mergeCell ref="B20:B27"/>
    <mergeCell ref="B28:B35"/>
    <mergeCell ref="B36:B43"/>
    <mergeCell ref="B44:B50"/>
    <mergeCell ref="B51:B53"/>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sheetViews>
  <sheetFormatPr customHeight="1" defaultColWidth="12.63" defaultRowHeight="15.0"/>
  <cols>
    <col customWidth="1" min="1" max="1" width="11.13"/>
    <col customWidth="1" min="2" max="2" width="29.13"/>
    <col customWidth="1" min="3" max="3" width="19.13"/>
    <col customWidth="1" min="4" max="4" width="11.75"/>
    <col customWidth="1" min="5" max="5" width="15.63"/>
    <col customWidth="1" min="6" max="6" width="44.25"/>
    <col customWidth="1" min="7" max="7" width="40.0"/>
    <col customWidth="1" min="8" max="8" width="34.5"/>
    <col customWidth="1" min="9" max="9" width="9.88"/>
    <col customWidth="1" min="10" max="10" width="13.13"/>
    <col customWidth="1" min="11" max="11" width="11.0"/>
    <col customWidth="1" min="12" max="12" width="30.88"/>
    <col customWidth="1" min="13" max="27" width="11.13"/>
  </cols>
  <sheetData>
    <row r="1" ht="14.25" customHeight="1">
      <c r="A1" s="158" t="s">
        <v>9572</v>
      </c>
      <c r="B1" s="343" t="s">
        <v>269</v>
      </c>
      <c r="C1" s="344" t="s">
        <v>270</v>
      </c>
      <c r="D1" s="344" t="s">
        <v>8558</v>
      </c>
      <c r="E1" s="343" t="s">
        <v>145</v>
      </c>
      <c r="F1" s="344" t="s">
        <v>30</v>
      </c>
      <c r="G1" s="345" t="s">
        <v>9573</v>
      </c>
      <c r="H1" s="344" t="s">
        <v>273</v>
      </c>
      <c r="I1" s="344" t="s">
        <v>32</v>
      </c>
      <c r="J1" s="344" t="s">
        <v>33</v>
      </c>
      <c r="K1" s="344" t="s">
        <v>274</v>
      </c>
      <c r="L1" s="346"/>
      <c r="M1" s="346"/>
      <c r="N1" s="347"/>
      <c r="O1" s="347"/>
      <c r="P1" s="347"/>
      <c r="Q1" s="347"/>
      <c r="R1" s="347"/>
      <c r="S1" s="347"/>
      <c r="T1" s="347"/>
      <c r="U1" s="347"/>
      <c r="V1" s="347"/>
      <c r="W1" s="347"/>
      <c r="X1" s="347"/>
      <c r="Y1" s="346"/>
      <c r="Z1" s="346"/>
      <c r="AA1" s="346"/>
    </row>
    <row r="2" ht="14.25" customHeight="1">
      <c r="A2" s="348" t="s">
        <v>9574</v>
      </c>
      <c r="B2" s="188" t="s">
        <v>9575</v>
      </c>
      <c r="C2" s="311" t="s">
        <v>9576</v>
      </c>
      <c r="D2" s="349" t="s">
        <v>271</v>
      </c>
      <c r="E2" s="165" t="s">
        <v>8677</v>
      </c>
      <c r="F2" s="311" t="s">
        <v>9577</v>
      </c>
      <c r="G2" s="311" t="s">
        <v>9578</v>
      </c>
      <c r="H2" s="311" t="s">
        <v>9579</v>
      </c>
      <c r="I2" s="349" t="s">
        <v>36</v>
      </c>
      <c r="J2" s="311" t="s">
        <v>1784</v>
      </c>
      <c r="K2" s="350"/>
      <c r="L2" s="351"/>
      <c r="M2" s="351"/>
      <c r="N2" s="351"/>
      <c r="O2" s="351"/>
      <c r="P2" s="351"/>
      <c r="Q2" s="351"/>
      <c r="R2" s="351"/>
      <c r="S2" s="351"/>
      <c r="T2" s="351"/>
      <c r="U2" s="351"/>
      <c r="V2" s="351"/>
      <c r="W2" s="351"/>
      <c r="X2" s="351"/>
      <c r="Y2" s="351"/>
      <c r="Z2" s="351"/>
      <c r="AA2" s="351"/>
    </row>
    <row r="3" ht="14.25" customHeight="1">
      <c r="A3" s="348" t="s">
        <v>9574</v>
      </c>
      <c r="B3" s="108"/>
      <c r="C3" s="311" t="s">
        <v>9580</v>
      </c>
      <c r="D3" s="349" t="s">
        <v>271</v>
      </c>
      <c r="E3" s="165" t="s">
        <v>8677</v>
      </c>
      <c r="F3" s="311" t="s">
        <v>9581</v>
      </c>
      <c r="G3" s="311" t="s">
        <v>9582</v>
      </c>
      <c r="H3" s="311" t="s">
        <v>9579</v>
      </c>
      <c r="I3" s="349" t="s">
        <v>36</v>
      </c>
      <c r="J3" s="311" t="s">
        <v>1784</v>
      </c>
      <c r="K3" s="350"/>
      <c r="L3" s="351"/>
      <c r="M3" s="351"/>
      <c r="N3" s="351"/>
      <c r="O3" s="351"/>
      <c r="P3" s="351"/>
      <c r="Q3" s="351"/>
      <c r="R3" s="351"/>
      <c r="S3" s="351"/>
      <c r="T3" s="351"/>
      <c r="U3" s="351"/>
      <c r="V3" s="351"/>
      <c r="W3" s="351"/>
      <c r="X3" s="351"/>
      <c r="Y3" s="351"/>
      <c r="Z3" s="351"/>
      <c r="AA3" s="351"/>
    </row>
    <row r="4" ht="14.25" customHeight="1">
      <c r="A4" s="348" t="s">
        <v>9574</v>
      </c>
      <c r="B4" s="108"/>
      <c r="C4" s="311" t="s">
        <v>9583</v>
      </c>
      <c r="D4" s="349" t="s">
        <v>271</v>
      </c>
      <c r="E4" s="165" t="s">
        <v>8677</v>
      </c>
      <c r="F4" s="311" t="s">
        <v>9584</v>
      </c>
      <c r="G4" s="311" t="s">
        <v>9585</v>
      </c>
      <c r="H4" s="311" t="s">
        <v>9579</v>
      </c>
      <c r="I4" s="349" t="s">
        <v>36</v>
      </c>
      <c r="J4" s="311" t="s">
        <v>1784</v>
      </c>
      <c r="K4" s="350"/>
      <c r="L4" s="351"/>
      <c r="M4" s="351"/>
      <c r="N4" s="351"/>
      <c r="O4" s="351"/>
      <c r="P4" s="351"/>
      <c r="Q4" s="351"/>
      <c r="R4" s="351"/>
      <c r="S4" s="351"/>
      <c r="T4" s="351"/>
      <c r="U4" s="351"/>
      <c r="V4" s="351"/>
      <c r="W4" s="351"/>
      <c r="X4" s="351"/>
      <c r="Y4" s="351"/>
      <c r="Z4" s="351"/>
      <c r="AA4" s="351"/>
    </row>
    <row r="5" ht="14.25" customHeight="1">
      <c r="A5" s="348" t="s">
        <v>9574</v>
      </c>
      <c r="B5" s="109"/>
      <c r="C5" s="311" t="s">
        <v>9586</v>
      </c>
      <c r="D5" s="349" t="s">
        <v>271</v>
      </c>
      <c r="E5" s="165" t="s">
        <v>8677</v>
      </c>
      <c r="F5" s="311" t="s">
        <v>9587</v>
      </c>
      <c r="G5" s="311" t="s">
        <v>9588</v>
      </c>
      <c r="H5" s="311" t="s">
        <v>9589</v>
      </c>
      <c r="I5" s="349" t="s">
        <v>36</v>
      </c>
      <c r="J5" s="311" t="s">
        <v>1784</v>
      </c>
      <c r="K5" s="350"/>
      <c r="L5" s="351"/>
      <c r="M5" s="351"/>
      <c r="N5" s="351"/>
      <c r="O5" s="351"/>
      <c r="P5" s="351"/>
      <c r="Q5" s="351"/>
      <c r="R5" s="351"/>
      <c r="S5" s="351"/>
      <c r="T5" s="351"/>
      <c r="U5" s="351"/>
      <c r="V5" s="351"/>
      <c r="W5" s="351"/>
      <c r="X5" s="351"/>
      <c r="Y5" s="351"/>
      <c r="Z5" s="351"/>
      <c r="AA5" s="351"/>
    </row>
    <row r="6" ht="14.25" customHeight="1">
      <c r="A6" s="348" t="s">
        <v>9590</v>
      </c>
      <c r="B6" s="188" t="s">
        <v>9591</v>
      </c>
      <c r="C6" s="311" t="s">
        <v>9592</v>
      </c>
      <c r="D6" s="349" t="s">
        <v>2482</v>
      </c>
      <c r="E6" s="165" t="s">
        <v>9593</v>
      </c>
      <c r="F6" s="311" t="s">
        <v>9594</v>
      </c>
      <c r="G6" s="352"/>
      <c r="H6" s="311" t="s">
        <v>9595</v>
      </c>
      <c r="I6" s="349" t="s">
        <v>36</v>
      </c>
      <c r="J6" s="311" t="s">
        <v>2062</v>
      </c>
      <c r="K6" s="350"/>
      <c r="L6" s="351"/>
      <c r="M6" s="351"/>
      <c r="N6" s="351"/>
      <c r="O6" s="351"/>
      <c r="P6" s="351"/>
      <c r="Q6" s="351"/>
      <c r="R6" s="351"/>
      <c r="S6" s="351"/>
      <c r="T6" s="351"/>
      <c r="U6" s="351"/>
      <c r="V6" s="351"/>
      <c r="W6" s="351"/>
      <c r="X6" s="351"/>
      <c r="Y6" s="351"/>
      <c r="Z6" s="351"/>
      <c r="AA6" s="351"/>
    </row>
    <row r="7" ht="14.25" customHeight="1">
      <c r="A7" s="348" t="s">
        <v>9590</v>
      </c>
      <c r="B7" s="109"/>
      <c r="C7" s="311" t="s">
        <v>9596</v>
      </c>
      <c r="D7" s="349" t="s">
        <v>2482</v>
      </c>
      <c r="E7" s="165" t="s">
        <v>9593</v>
      </c>
      <c r="F7" s="311" t="s">
        <v>9597</v>
      </c>
      <c r="G7" s="352"/>
      <c r="H7" s="311" t="s">
        <v>9598</v>
      </c>
      <c r="I7" s="349" t="s">
        <v>36</v>
      </c>
      <c r="J7" s="353"/>
      <c r="K7" s="350"/>
      <c r="L7" s="351"/>
      <c r="M7" s="351"/>
      <c r="N7" s="351"/>
      <c r="O7" s="351"/>
      <c r="P7" s="351"/>
      <c r="Q7" s="351"/>
      <c r="R7" s="351"/>
      <c r="S7" s="351"/>
      <c r="T7" s="351"/>
      <c r="U7" s="351"/>
      <c r="V7" s="351"/>
      <c r="W7" s="351"/>
      <c r="X7" s="351"/>
      <c r="Y7" s="351"/>
      <c r="Z7" s="351"/>
      <c r="AA7" s="351"/>
    </row>
    <row r="8" ht="14.25" customHeight="1">
      <c r="A8" s="348" t="s">
        <v>9599</v>
      </c>
      <c r="B8" s="188" t="s">
        <v>9600</v>
      </c>
      <c r="C8" s="354" t="s">
        <v>9601</v>
      </c>
      <c r="D8" s="349" t="s">
        <v>271</v>
      </c>
      <c r="E8" s="355" t="s">
        <v>9602</v>
      </c>
      <c r="F8" s="328" t="s">
        <v>9603</v>
      </c>
      <c r="G8" s="311"/>
      <c r="H8" s="355" t="s">
        <v>9604</v>
      </c>
      <c r="I8" s="349" t="s">
        <v>36</v>
      </c>
      <c r="J8" s="356"/>
      <c r="K8" s="350"/>
      <c r="L8" s="351"/>
      <c r="M8" s="351"/>
      <c r="N8" s="351"/>
      <c r="O8" s="351"/>
      <c r="P8" s="351"/>
      <c r="Q8" s="351"/>
      <c r="R8" s="351"/>
      <c r="S8" s="351"/>
      <c r="T8" s="351"/>
      <c r="U8" s="351"/>
      <c r="V8" s="351"/>
      <c r="W8" s="351"/>
      <c r="X8" s="351"/>
      <c r="Y8" s="351"/>
      <c r="Z8" s="351"/>
      <c r="AA8" s="351"/>
    </row>
    <row r="9" ht="14.25" customHeight="1">
      <c r="A9" s="348" t="s">
        <v>9599</v>
      </c>
      <c r="B9" s="108"/>
      <c r="C9" s="354" t="s">
        <v>9605</v>
      </c>
      <c r="D9" s="349" t="s">
        <v>271</v>
      </c>
      <c r="E9" s="355" t="s">
        <v>9602</v>
      </c>
      <c r="F9" s="328" t="s">
        <v>9606</v>
      </c>
      <c r="G9" s="311"/>
      <c r="H9" s="355" t="s">
        <v>9604</v>
      </c>
      <c r="I9" s="349" t="s">
        <v>36</v>
      </c>
      <c r="J9" s="356"/>
      <c r="K9" s="350"/>
      <c r="L9" s="351"/>
      <c r="M9" s="351"/>
      <c r="N9" s="351"/>
      <c r="O9" s="351"/>
      <c r="P9" s="351"/>
      <c r="Q9" s="351"/>
      <c r="R9" s="351"/>
      <c r="S9" s="351"/>
      <c r="T9" s="351"/>
      <c r="U9" s="351"/>
      <c r="V9" s="351"/>
      <c r="W9" s="351"/>
      <c r="X9" s="351"/>
      <c r="Y9" s="351"/>
      <c r="Z9" s="351"/>
      <c r="AA9" s="351"/>
    </row>
    <row r="10" ht="14.25" customHeight="1">
      <c r="A10" s="348" t="s">
        <v>9599</v>
      </c>
      <c r="B10" s="108"/>
      <c r="C10" s="354" t="s">
        <v>9607</v>
      </c>
      <c r="D10" s="349" t="s">
        <v>271</v>
      </c>
      <c r="E10" s="355" t="s">
        <v>9602</v>
      </c>
      <c r="F10" s="328" t="s">
        <v>9608</v>
      </c>
      <c r="G10" s="311"/>
      <c r="H10" s="355" t="s">
        <v>9604</v>
      </c>
      <c r="I10" s="349" t="s">
        <v>36</v>
      </c>
      <c r="J10" s="356"/>
      <c r="K10" s="350"/>
      <c r="L10" s="351"/>
      <c r="M10" s="351"/>
      <c r="N10" s="351"/>
      <c r="O10" s="351"/>
      <c r="P10" s="351"/>
      <c r="Q10" s="351"/>
      <c r="R10" s="351"/>
      <c r="S10" s="351"/>
      <c r="T10" s="351"/>
      <c r="U10" s="351"/>
      <c r="V10" s="351"/>
      <c r="W10" s="351"/>
      <c r="X10" s="351"/>
      <c r="Y10" s="351"/>
      <c r="Z10" s="351"/>
      <c r="AA10" s="351"/>
    </row>
    <row r="11" ht="14.25" customHeight="1">
      <c r="A11" s="348" t="s">
        <v>9599</v>
      </c>
      <c r="B11" s="108"/>
      <c r="C11" s="354" t="s">
        <v>9609</v>
      </c>
      <c r="D11" s="349" t="s">
        <v>271</v>
      </c>
      <c r="E11" s="355" t="s">
        <v>9602</v>
      </c>
      <c r="F11" s="331" t="s">
        <v>9610</v>
      </c>
      <c r="G11" s="311"/>
      <c r="H11" s="355" t="s">
        <v>9604</v>
      </c>
      <c r="I11" s="349" t="s">
        <v>36</v>
      </c>
      <c r="J11" s="356"/>
      <c r="K11" s="350"/>
      <c r="L11" s="351"/>
      <c r="M11" s="351"/>
      <c r="N11" s="351"/>
      <c r="O11" s="351"/>
      <c r="P11" s="351"/>
      <c r="Q11" s="351"/>
      <c r="R11" s="351"/>
      <c r="S11" s="351"/>
      <c r="T11" s="351"/>
      <c r="U11" s="351"/>
      <c r="V11" s="351"/>
      <c r="W11" s="351"/>
      <c r="X11" s="351"/>
      <c r="Y11" s="351"/>
      <c r="Z11" s="351"/>
      <c r="AA11" s="351"/>
    </row>
    <row r="12" ht="14.25" customHeight="1">
      <c r="A12" s="348" t="s">
        <v>9599</v>
      </c>
      <c r="B12" s="108"/>
      <c r="C12" s="354" t="s">
        <v>9611</v>
      </c>
      <c r="D12" s="349" t="s">
        <v>271</v>
      </c>
      <c r="E12" s="355" t="s">
        <v>9602</v>
      </c>
      <c r="F12" s="331" t="s">
        <v>9612</v>
      </c>
      <c r="G12" s="311"/>
      <c r="H12" s="355" t="s">
        <v>9604</v>
      </c>
      <c r="I12" s="349" t="s">
        <v>36</v>
      </c>
      <c r="J12" s="356"/>
      <c r="K12" s="350"/>
      <c r="L12" s="351"/>
      <c r="M12" s="351"/>
      <c r="N12" s="351"/>
      <c r="O12" s="351"/>
      <c r="P12" s="351"/>
      <c r="Q12" s="351"/>
      <c r="R12" s="351"/>
      <c r="S12" s="351"/>
      <c r="T12" s="351"/>
      <c r="U12" s="351"/>
      <c r="V12" s="351"/>
      <c r="W12" s="351"/>
      <c r="X12" s="351"/>
      <c r="Y12" s="351"/>
      <c r="Z12" s="351"/>
      <c r="AA12" s="351"/>
    </row>
    <row r="13" ht="14.25" customHeight="1">
      <c r="A13" s="348" t="s">
        <v>9599</v>
      </c>
      <c r="B13" s="108"/>
      <c r="C13" s="354" t="s">
        <v>9613</v>
      </c>
      <c r="D13" s="349" t="s">
        <v>271</v>
      </c>
      <c r="E13" s="355" t="s">
        <v>9602</v>
      </c>
      <c r="F13" s="331" t="s">
        <v>9614</v>
      </c>
      <c r="G13" s="311"/>
      <c r="H13" s="355" t="s">
        <v>9604</v>
      </c>
      <c r="I13" s="349" t="s">
        <v>36</v>
      </c>
      <c r="J13" s="356"/>
      <c r="K13" s="350"/>
      <c r="L13" s="351"/>
      <c r="M13" s="351"/>
      <c r="N13" s="351"/>
      <c r="O13" s="351"/>
      <c r="P13" s="351"/>
      <c r="Q13" s="351"/>
      <c r="R13" s="351"/>
      <c r="S13" s="351"/>
      <c r="T13" s="351"/>
      <c r="U13" s="351"/>
      <c r="V13" s="351"/>
      <c r="W13" s="351"/>
      <c r="X13" s="351"/>
      <c r="Y13" s="351"/>
      <c r="Z13" s="351"/>
      <c r="AA13" s="351"/>
    </row>
    <row r="14" ht="14.25" customHeight="1">
      <c r="A14" s="348" t="s">
        <v>9599</v>
      </c>
      <c r="B14" s="108"/>
      <c r="C14" s="354" t="s">
        <v>9615</v>
      </c>
      <c r="D14" s="349" t="s">
        <v>271</v>
      </c>
      <c r="E14" s="355" t="s">
        <v>9616</v>
      </c>
      <c r="F14" s="331" t="s">
        <v>9617</v>
      </c>
      <c r="G14" s="311"/>
      <c r="H14" s="355" t="s">
        <v>9604</v>
      </c>
      <c r="I14" s="349" t="s">
        <v>36</v>
      </c>
      <c r="J14" s="356"/>
      <c r="K14" s="350"/>
      <c r="L14" s="351"/>
      <c r="M14" s="351"/>
      <c r="N14" s="351"/>
      <c r="O14" s="351"/>
      <c r="P14" s="351"/>
      <c r="Q14" s="351"/>
      <c r="R14" s="351"/>
      <c r="S14" s="351"/>
      <c r="T14" s="351"/>
      <c r="U14" s="351"/>
      <c r="V14" s="351"/>
      <c r="W14" s="351"/>
      <c r="X14" s="351"/>
      <c r="Y14" s="351"/>
      <c r="Z14" s="351"/>
      <c r="AA14" s="351"/>
    </row>
    <row r="15" ht="14.25" customHeight="1">
      <c r="A15" s="348" t="s">
        <v>9599</v>
      </c>
      <c r="B15" s="108"/>
      <c r="C15" s="354" t="s">
        <v>9618</v>
      </c>
      <c r="D15" s="349" t="s">
        <v>271</v>
      </c>
      <c r="E15" s="355" t="s">
        <v>9616</v>
      </c>
      <c r="F15" s="331" t="s">
        <v>9619</v>
      </c>
      <c r="G15" s="311"/>
      <c r="H15" s="355" t="s">
        <v>9604</v>
      </c>
      <c r="I15" s="349" t="s">
        <v>36</v>
      </c>
      <c r="J15" s="356"/>
      <c r="K15" s="350"/>
      <c r="L15" s="351"/>
      <c r="M15" s="351"/>
      <c r="N15" s="351"/>
      <c r="O15" s="351"/>
      <c r="P15" s="351"/>
      <c r="Q15" s="351"/>
      <c r="R15" s="351"/>
      <c r="S15" s="351"/>
      <c r="T15" s="351"/>
      <c r="U15" s="351"/>
      <c r="V15" s="351"/>
      <c r="W15" s="351"/>
      <c r="X15" s="351"/>
      <c r="Y15" s="351"/>
      <c r="Z15" s="351"/>
      <c r="AA15" s="351"/>
    </row>
    <row r="16" ht="14.25" customHeight="1">
      <c r="A16" s="348" t="s">
        <v>9599</v>
      </c>
      <c r="B16" s="108"/>
      <c r="C16" s="354" t="s">
        <v>9620</v>
      </c>
      <c r="D16" s="349" t="s">
        <v>271</v>
      </c>
      <c r="E16" s="355" t="s">
        <v>9616</v>
      </c>
      <c r="F16" s="331" t="s">
        <v>9621</v>
      </c>
      <c r="G16" s="311"/>
      <c r="H16" s="355" t="s">
        <v>9604</v>
      </c>
      <c r="I16" s="349" t="s">
        <v>36</v>
      </c>
      <c r="J16" s="356"/>
      <c r="K16" s="350"/>
      <c r="L16" s="351"/>
      <c r="M16" s="351"/>
      <c r="N16" s="351"/>
      <c r="O16" s="351"/>
      <c r="P16" s="351"/>
      <c r="Q16" s="351"/>
      <c r="R16" s="351"/>
      <c r="S16" s="351"/>
      <c r="T16" s="351"/>
      <c r="U16" s="351"/>
      <c r="V16" s="351"/>
      <c r="W16" s="351"/>
      <c r="X16" s="351"/>
      <c r="Y16" s="351"/>
      <c r="Z16" s="351"/>
      <c r="AA16" s="351"/>
    </row>
    <row r="17" ht="14.25" customHeight="1">
      <c r="A17" s="348" t="s">
        <v>9599</v>
      </c>
      <c r="B17" s="108"/>
      <c r="C17" s="354" t="s">
        <v>9622</v>
      </c>
      <c r="D17" s="349" t="s">
        <v>271</v>
      </c>
      <c r="E17" s="355" t="s">
        <v>9616</v>
      </c>
      <c r="F17" s="331" t="s">
        <v>9623</v>
      </c>
      <c r="G17" s="311"/>
      <c r="H17" s="355" t="s">
        <v>9604</v>
      </c>
      <c r="I17" s="349" t="s">
        <v>36</v>
      </c>
      <c r="J17" s="356"/>
      <c r="K17" s="350"/>
      <c r="L17" s="351"/>
      <c r="M17" s="351"/>
      <c r="N17" s="351"/>
      <c r="O17" s="351"/>
      <c r="P17" s="351"/>
      <c r="Q17" s="351"/>
      <c r="R17" s="351"/>
      <c r="S17" s="351"/>
      <c r="T17" s="351"/>
      <c r="U17" s="351"/>
      <c r="V17" s="351"/>
      <c r="W17" s="351"/>
      <c r="X17" s="351"/>
      <c r="Y17" s="351"/>
      <c r="Z17" s="351"/>
      <c r="AA17" s="351"/>
    </row>
    <row r="18" ht="14.25" customHeight="1">
      <c r="A18" s="348" t="s">
        <v>9599</v>
      </c>
      <c r="B18" s="108"/>
      <c r="C18" s="354" t="s">
        <v>9624</v>
      </c>
      <c r="D18" s="349" t="s">
        <v>271</v>
      </c>
      <c r="E18" s="355" t="s">
        <v>9625</v>
      </c>
      <c r="F18" s="331" t="s">
        <v>9626</v>
      </c>
      <c r="G18" s="311"/>
      <c r="H18" s="355" t="s">
        <v>9604</v>
      </c>
      <c r="I18" s="349" t="s">
        <v>36</v>
      </c>
      <c r="J18" s="356"/>
      <c r="K18" s="350"/>
      <c r="L18" s="351"/>
      <c r="M18" s="351"/>
      <c r="N18" s="351"/>
      <c r="O18" s="351"/>
      <c r="P18" s="351"/>
      <c r="Q18" s="351"/>
      <c r="R18" s="351"/>
      <c r="S18" s="351"/>
      <c r="T18" s="351"/>
      <c r="U18" s="351"/>
      <c r="V18" s="351"/>
      <c r="W18" s="351"/>
      <c r="X18" s="351"/>
      <c r="Y18" s="351"/>
      <c r="Z18" s="351"/>
      <c r="AA18" s="351"/>
    </row>
    <row r="19" ht="14.25" customHeight="1">
      <c r="A19" s="348" t="s">
        <v>9599</v>
      </c>
      <c r="B19" s="108"/>
      <c r="C19" s="354" t="s">
        <v>9627</v>
      </c>
      <c r="D19" s="349" t="s">
        <v>271</v>
      </c>
      <c r="E19" s="355" t="s">
        <v>9625</v>
      </c>
      <c r="F19" s="331" t="s">
        <v>9628</v>
      </c>
      <c r="G19" s="311"/>
      <c r="H19" s="355" t="s">
        <v>9604</v>
      </c>
      <c r="I19" s="349" t="s">
        <v>36</v>
      </c>
      <c r="J19" s="356"/>
      <c r="K19" s="350"/>
      <c r="L19" s="351"/>
      <c r="M19" s="351"/>
      <c r="N19" s="351"/>
      <c r="O19" s="351"/>
      <c r="P19" s="351"/>
      <c r="Q19" s="351"/>
      <c r="R19" s="351"/>
      <c r="S19" s="351"/>
      <c r="T19" s="351"/>
      <c r="U19" s="351"/>
      <c r="V19" s="351"/>
      <c r="W19" s="351"/>
      <c r="X19" s="351"/>
      <c r="Y19" s="351"/>
      <c r="Z19" s="351"/>
      <c r="AA19" s="351"/>
    </row>
    <row r="20" ht="14.25" customHeight="1">
      <c r="A20" s="348" t="s">
        <v>9599</v>
      </c>
      <c r="B20" s="108"/>
      <c r="C20" s="354" t="s">
        <v>9629</v>
      </c>
      <c r="D20" s="349" t="s">
        <v>271</v>
      </c>
      <c r="E20" s="355" t="s">
        <v>9616</v>
      </c>
      <c r="F20" s="331" t="s">
        <v>9630</v>
      </c>
      <c r="G20" s="311"/>
      <c r="H20" s="355" t="s">
        <v>9604</v>
      </c>
      <c r="I20" s="349" t="s">
        <v>36</v>
      </c>
      <c r="J20" s="356"/>
      <c r="K20" s="350"/>
      <c r="L20" s="351"/>
      <c r="M20" s="351"/>
      <c r="N20" s="351"/>
      <c r="O20" s="351"/>
      <c r="P20" s="351"/>
      <c r="Q20" s="351"/>
      <c r="R20" s="351"/>
      <c r="S20" s="351"/>
      <c r="T20" s="351"/>
      <c r="U20" s="351"/>
      <c r="V20" s="351"/>
      <c r="W20" s="351"/>
      <c r="X20" s="351"/>
      <c r="Y20" s="351"/>
      <c r="Z20" s="351"/>
      <c r="AA20" s="351"/>
    </row>
    <row r="21" ht="14.25" customHeight="1">
      <c r="A21" s="348" t="s">
        <v>9599</v>
      </c>
      <c r="B21" s="108"/>
      <c r="C21" s="354" t="s">
        <v>9631</v>
      </c>
      <c r="D21" s="349" t="s">
        <v>271</v>
      </c>
      <c r="E21" s="355" t="s">
        <v>9616</v>
      </c>
      <c r="F21" s="331" t="s">
        <v>9632</v>
      </c>
      <c r="G21" s="311"/>
      <c r="H21" s="355" t="s">
        <v>9604</v>
      </c>
      <c r="I21" s="349" t="s">
        <v>36</v>
      </c>
      <c r="J21" s="356"/>
      <c r="K21" s="350"/>
      <c r="L21" s="351"/>
      <c r="M21" s="351"/>
      <c r="N21" s="351"/>
      <c r="O21" s="351"/>
      <c r="P21" s="351"/>
      <c r="Q21" s="351"/>
      <c r="R21" s="351"/>
      <c r="S21" s="351"/>
      <c r="T21" s="351"/>
      <c r="U21" s="351"/>
      <c r="V21" s="351"/>
      <c r="W21" s="351"/>
      <c r="X21" s="351"/>
      <c r="Y21" s="351"/>
      <c r="Z21" s="351"/>
      <c r="AA21" s="351"/>
    </row>
    <row r="22" ht="14.25" customHeight="1">
      <c r="A22" s="348" t="s">
        <v>9599</v>
      </c>
      <c r="B22" s="108"/>
      <c r="C22" s="354" t="s">
        <v>9633</v>
      </c>
      <c r="D22" s="349" t="s">
        <v>271</v>
      </c>
      <c r="E22" s="355" t="s">
        <v>9616</v>
      </c>
      <c r="F22" s="331" t="s">
        <v>9634</v>
      </c>
      <c r="G22" s="311"/>
      <c r="H22" s="355" t="s">
        <v>9604</v>
      </c>
      <c r="I22" s="349" t="s">
        <v>36</v>
      </c>
      <c r="J22" s="356"/>
      <c r="K22" s="350"/>
      <c r="L22" s="351"/>
      <c r="M22" s="351"/>
      <c r="N22" s="351"/>
      <c r="O22" s="351"/>
      <c r="P22" s="351"/>
      <c r="Q22" s="351"/>
      <c r="R22" s="351"/>
      <c r="S22" s="351"/>
      <c r="T22" s="351"/>
      <c r="U22" s="351"/>
      <c r="V22" s="351"/>
      <c r="W22" s="351"/>
      <c r="X22" s="351"/>
      <c r="Y22" s="351"/>
      <c r="Z22" s="351"/>
      <c r="AA22" s="351"/>
    </row>
    <row r="23" ht="14.25" customHeight="1">
      <c r="A23" s="348" t="s">
        <v>9599</v>
      </c>
      <c r="B23" s="108"/>
      <c r="C23" s="354" t="s">
        <v>9635</v>
      </c>
      <c r="D23" s="349" t="s">
        <v>271</v>
      </c>
      <c r="E23" s="355" t="s">
        <v>9616</v>
      </c>
      <c r="F23" s="331" t="s">
        <v>9636</v>
      </c>
      <c r="G23" s="311"/>
      <c r="H23" s="355" t="s">
        <v>9604</v>
      </c>
      <c r="I23" s="349" t="s">
        <v>36</v>
      </c>
      <c r="J23" s="356"/>
      <c r="K23" s="350"/>
      <c r="L23" s="351"/>
      <c r="M23" s="351"/>
      <c r="N23" s="351"/>
      <c r="O23" s="351"/>
      <c r="P23" s="351"/>
      <c r="Q23" s="351"/>
      <c r="R23" s="351"/>
      <c r="S23" s="351"/>
      <c r="T23" s="351"/>
      <c r="U23" s="351"/>
      <c r="V23" s="351"/>
      <c r="W23" s="351"/>
      <c r="X23" s="351"/>
      <c r="Y23" s="351"/>
      <c r="Z23" s="351"/>
      <c r="AA23" s="351"/>
    </row>
    <row r="24" ht="14.25" customHeight="1">
      <c r="A24" s="348" t="s">
        <v>9599</v>
      </c>
      <c r="B24" s="108"/>
      <c r="C24" s="354" t="s">
        <v>9637</v>
      </c>
      <c r="D24" s="349" t="s">
        <v>271</v>
      </c>
      <c r="E24" s="355" t="s">
        <v>9616</v>
      </c>
      <c r="F24" s="331" t="s">
        <v>9638</v>
      </c>
      <c r="G24" s="311"/>
      <c r="H24" s="355" t="s">
        <v>9604</v>
      </c>
      <c r="I24" s="349" t="s">
        <v>36</v>
      </c>
      <c r="J24" s="356"/>
      <c r="K24" s="350"/>
      <c r="L24" s="351"/>
      <c r="M24" s="351"/>
      <c r="N24" s="351"/>
      <c r="O24" s="351"/>
      <c r="P24" s="351"/>
      <c r="Q24" s="351"/>
      <c r="R24" s="351"/>
      <c r="S24" s="351"/>
      <c r="T24" s="351"/>
      <c r="U24" s="351"/>
      <c r="V24" s="351"/>
      <c r="W24" s="351"/>
      <c r="X24" s="351"/>
      <c r="Y24" s="351"/>
      <c r="Z24" s="351"/>
      <c r="AA24" s="351"/>
    </row>
    <row r="25" ht="14.25" customHeight="1">
      <c r="A25" s="348" t="s">
        <v>9599</v>
      </c>
      <c r="B25" s="108"/>
      <c r="C25" s="354" t="s">
        <v>9639</v>
      </c>
      <c r="D25" s="349" t="s">
        <v>271</v>
      </c>
      <c r="E25" s="355" t="s">
        <v>9616</v>
      </c>
      <c r="F25" s="331" t="s">
        <v>9640</v>
      </c>
      <c r="G25" s="311"/>
      <c r="H25" s="355" t="s">
        <v>9604</v>
      </c>
      <c r="I25" s="349" t="s">
        <v>36</v>
      </c>
      <c r="J25" s="356"/>
      <c r="K25" s="350"/>
      <c r="L25" s="351"/>
      <c r="M25" s="351"/>
      <c r="N25" s="351"/>
      <c r="O25" s="351"/>
      <c r="P25" s="351"/>
      <c r="Q25" s="351"/>
      <c r="R25" s="351"/>
      <c r="S25" s="351"/>
      <c r="T25" s="351"/>
      <c r="U25" s="351"/>
      <c r="V25" s="351"/>
      <c r="W25" s="351"/>
      <c r="X25" s="351"/>
      <c r="Y25" s="351"/>
      <c r="Z25" s="351"/>
      <c r="AA25" s="351"/>
    </row>
    <row r="26" ht="14.25" customHeight="1">
      <c r="A26" s="348" t="s">
        <v>9599</v>
      </c>
      <c r="B26" s="108"/>
      <c r="C26" s="354" t="s">
        <v>9641</v>
      </c>
      <c r="D26" s="349" t="s">
        <v>271</v>
      </c>
      <c r="E26" s="355" t="s">
        <v>9602</v>
      </c>
      <c r="F26" s="331" t="s">
        <v>9642</v>
      </c>
      <c r="G26" s="311"/>
      <c r="H26" s="355" t="s">
        <v>9604</v>
      </c>
      <c r="I26" s="349" t="s">
        <v>36</v>
      </c>
      <c r="J26" s="356"/>
      <c r="K26" s="350"/>
      <c r="L26" s="351"/>
      <c r="M26" s="351"/>
      <c r="N26" s="351"/>
      <c r="O26" s="351"/>
      <c r="P26" s="351"/>
      <c r="Q26" s="351"/>
      <c r="R26" s="351"/>
      <c r="S26" s="351"/>
      <c r="T26" s="351"/>
      <c r="U26" s="351"/>
      <c r="V26" s="351"/>
      <c r="W26" s="351"/>
      <c r="X26" s="351"/>
      <c r="Y26" s="351"/>
      <c r="Z26" s="351"/>
      <c r="AA26" s="351"/>
    </row>
    <row r="27" ht="14.25" customHeight="1">
      <c r="A27" s="348" t="s">
        <v>9599</v>
      </c>
      <c r="B27" s="108"/>
      <c r="C27" s="354" t="s">
        <v>9643</v>
      </c>
      <c r="D27" s="349" t="s">
        <v>271</v>
      </c>
      <c r="E27" s="355" t="s">
        <v>9602</v>
      </c>
      <c r="F27" s="331" t="s">
        <v>9644</v>
      </c>
      <c r="G27" s="311"/>
      <c r="H27" s="355" t="s">
        <v>9604</v>
      </c>
      <c r="I27" s="349" t="s">
        <v>36</v>
      </c>
      <c r="J27" s="356"/>
      <c r="K27" s="350"/>
      <c r="L27" s="351"/>
      <c r="M27" s="351"/>
      <c r="N27" s="351"/>
      <c r="O27" s="351"/>
      <c r="P27" s="351"/>
      <c r="Q27" s="351"/>
      <c r="R27" s="351"/>
      <c r="S27" s="351"/>
      <c r="T27" s="351"/>
      <c r="U27" s="351"/>
      <c r="V27" s="351"/>
      <c r="W27" s="351"/>
      <c r="X27" s="351"/>
      <c r="Y27" s="351"/>
      <c r="Z27" s="351"/>
      <c r="AA27" s="351"/>
    </row>
    <row r="28" ht="14.25" customHeight="1">
      <c r="A28" s="348" t="s">
        <v>9599</v>
      </c>
      <c r="B28" s="108"/>
      <c r="C28" s="354" t="s">
        <v>9645</v>
      </c>
      <c r="D28" s="349" t="s">
        <v>271</v>
      </c>
      <c r="E28" s="355" t="s">
        <v>9602</v>
      </c>
      <c r="F28" s="331" t="s">
        <v>9646</v>
      </c>
      <c r="G28" s="311"/>
      <c r="H28" s="355" t="s">
        <v>9604</v>
      </c>
      <c r="I28" s="349" t="s">
        <v>36</v>
      </c>
      <c r="J28" s="356"/>
      <c r="K28" s="350"/>
      <c r="L28" s="351"/>
      <c r="M28" s="351"/>
      <c r="N28" s="351"/>
      <c r="O28" s="351"/>
      <c r="P28" s="351"/>
      <c r="Q28" s="351"/>
      <c r="R28" s="351"/>
      <c r="S28" s="351"/>
      <c r="T28" s="351"/>
      <c r="U28" s="351"/>
      <c r="V28" s="351"/>
      <c r="W28" s="351"/>
      <c r="X28" s="351"/>
      <c r="Y28" s="351"/>
      <c r="Z28" s="351"/>
      <c r="AA28" s="351"/>
    </row>
    <row r="29" ht="14.25" customHeight="1">
      <c r="A29" s="348" t="s">
        <v>9599</v>
      </c>
      <c r="B29" s="108"/>
      <c r="C29" s="354" t="s">
        <v>9647</v>
      </c>
      <c r="D29" s="349" t="s">
        <v>271</v>
      </c>
      <c r="E29" s="355" t="s">
        <v>9602</v>
      </c>
      <c r="F29" s="331" t="s">
        <v>9648</v>
      </c>
      <c r="G29" s="311"/>
      <c r="H29" s="355" t="s">
        <v>9604</v>
      </c>
      <c r="I29" s="349" t="s">
        <v>36</v>
      </c>
      <c r="J29" s="356"/>
      <c r="K29" s="350"/>
      <c r="L29" s="351"/>
      <c r="M29" s="351"/>
      <c r="N29" s="351"/>
      <c r="O29" s="351"/>
      <c r="P29" s="351"/>
      <c r="Q29" s="351"/>
      <c r="R29" s="351"/>
      <c r="S29" s="351"/>
      <c r="T29" s="351"/>
      <c r="U29" s="351"/>
      <c r="V29" s="351"/>
      <c r="W29" s="351"/>
      <c r="X29" s="351"/>
      <c r="Y29" s="351"/>
      <c r="Z29" s="351"/>
      <c r="AA29" s="351"/>
    </row>
    <row r="30" ht="14.25" customHeight="1">
      <c r="A30" s="348" t="s">
        <v>9599</v>
      </c>
      <c r="B30" s="108"/>
      <c r="C30" s="354" t="s">
        <v>9649</v>
      </c>
      <c r="D30" s="349" t="s">
        <v>271</v>
      </c>
      <c r="E30" s="355" t="s">
        <v>9602</v>
      </c>
      <c r="F30" s="331" t="s">
        <v>9650</v>
      </c>
      <c r="G30" s="311"/>
      <c r="H30" s="355" t="s">
        <v>9604</v>
      </c>
      <c r="I30" s="349" t="s">
        <v>36</v>
      </c>
      <c r="J30" s="356"/>
      <c r="K30" s="350"/>
      <c r="L30" s="351"/>
      <c r="M30" s="351"/>
      <c r="N30" s="351"/>
      <c r="O30" s="351"/>
      <c r="P30" s="351"/>
      <c r="Q30" s="351"/>
      <c r="R30" s="351"/>
      <c r="S30" s="351"/>
      <c r="T30" s="351"/>
      <c r="U30" s="351"/>
      <c r="V30" s="351"/>
      <c r="W30" s="351"/>
      <c r="X30" s="351"/>
      <c r="Y30" s="351"/>
      <c r="Z30" s="351"/>
      <c r="AA30" s="351"/>
    </row>
    <row r="31" ht="14.25" customHeight="1">
      <c r="A31" s="348" t="s">
        <v>9599</v>
      </c>
      <c r="B31" s="108"/>
      <c r="C31" s="354" t="s">
        <v>9651</v>
      </c>
      <c r="D31" s="349" t="s">
        <v>271</v>
      </c>
      <c r="E31" s="355" t="s">
        <v>9602</v>
      </c>
      <c r="F31" s="331" t="s">
        <v>9652</v>
      </c>
      <c r="G31" s="311"/>
      <c r="H31" s="355" t="s">
        <v>9604</v>
      </c>
      <c r="I31" s="349" t="s">
        <v>36</v>
      </c>
      <c r="J31" s="356"/>
      <c r="K31" s="350"/>
      <c r="L31" s="351"/>
      <c r="M31" s="351"/>
      <c r="N31" s="351"/>
      <c r="O31" s="351"/>
      <c r="P31" s="351"/>
      <c r="Q31" s="351"/>
      <c r="R31" s="351"/>
      <c r="S31" s="351"/>
      <c r="T31" s="351"/>
      <c r="U31" s="351"/>
      <c r="V31" s="351"/>
      <c r="W31" s="351"/>
      <c r="X31" s="351"/>
      <c r="Y31" s="351"/>
      <c r="Z31" s="351"/>
      <c r="AA31" s="351"/>
    </row>
    <row r="32" ht="14.25" customHeight="1">
      <c r="A32" s="348" t="s">
        <v>9599</v>
      </c>
      <c r="B32" s="108"/>
      <c r="C32" s="354" t="s">
        <v>9653</v>
      </c>
      <c r="D32" s="349" t="s">
        <v>271</v>
      </c>
      <c r="E32" s="355" t="s">
        <v>9602</v>
      </c>
      <c r="F32" s="331" t="s">
        <v>9654</v>
      </c>
      <c r="G32" s="311"/>
      <c r="H32" s="355" t="s">
        <v>9604</v>
      </c>
      <c r="I32" s="349" t="s">
        <v>36</v>
      </c>
      <c r="J32" s="356"/>
      <c r="K32" s="350"/>
      <c r="L32" s="351"/>
      <c r="M32" s="351"/>
      <c r="N32" s="351"/>
      <c r="O32" s="351"/>
      <c r="P32" s="351"/>
      <c r="Q32" s="351"/>
      <c r="R32" s="351"/>
      <c r="S32" s="351"/>
      <c r="T32" s="351"/>
      <c r="U32" s="351"/>
      <c r="V32" s="351"/>
      <c r="W32" s="351"/>
      <c r="X32" s="351"/>
      <c r="Y32" s="351"/>
      <c r="Z32" s="351"/>
      <c r="AA32" s="351"/>
    </row>
    <row r="33" ht="14.25" customHeight="1">
      <c r="A33" s="348" t="s">
        <v>9599</v>
      </c>
      <c r="B33" s="108"/>
      <c r="C33" s="354" t="s">
        <v>9655</v>
      </c>
      <c r="D33" s="349" t="s">
        <v>271</v>
      </c>
      <c r="E33" s="355" t="s">
        <v>9656</v>
      </c>
      <c r="F33" s="331" t="s">
        <v>9657</v>
      </c>
      <c r="G33" s="311"/>
      <c r="H33" s="355" t="s">
        <v>9604</v>
      </c>
      <c r="I33" s="349" t="s">
        <v>36</v>
      </c>
      <c r="J33" s="356"/>
      <c r="K33" s="350"/>
      <c r="L33" s="351"/>
      <c r="M33" s="351"/>
      <c r="N33" s="351"/>
      <c r="O33" s="351"/>
      <c r="P33" s="351"/>
      <c r="Q33" s="351"/>
      <c r="R33" s="351"/>
      <c r="S33" s="351"/>
      <c r="T33" s="351"/>
      <c r="U33" s="351"/>
      <c r="V33" s="351"/>
      <c r="W33" s="351"/>
      <c r="X33" s="351"/>
      <c r="Y33" s="351"/>
      <c r="Z33" s="351"/>
      <c r="AA33" s="351"/>
    </row>
    <row r="34" ht="14.25" customHeight="1">
      <c r="A34" s="348" t="s">
        <v>9599</v>
      </c>
      <c r="B34" s="108"/>
      <c r="C34" s="354" t="s">
        <v>9658</v>
      </c>
      <c r="D34" s="349" t="s">
        <v>271</v>
      </c>
      <c r="E34" s="355" t="s">
        <v>9656</v>
      </c>
      <c r="F34" s="331" t="s">
        <v>9659</v>
      </c>
      <c r="G34" s="311"/>
      <c r="H34" s="355" t="s">
        <v>9604</v>
      </c>
      <c r="I34" s="349" t="s">
        <v>36</v>
      </c>
      <c r="J34" s="356"/>
      <c r="K34" s="350"/>
      <c r="L34" s="351"/>
      <c r="M34" s="351"/>
      <c r="N34" s="351"/>
      <c r="O34" s="351"/>
      <c r="P34" s="351"/>
      <c r="Q34" s="351"/>
      <c r="R34" s="351"/>
      <c r="S34" s="351"/>
      <c r="T34" s="351"/>
      <c r="U34" s="351"/>
      <c r="V34" s="351"/>
      <c r="W34" s="351"/>
      <c r="X34" s="351"/>
      <c r="Y34" s="351"/>
      <c r="Z34" s="351"/>
      <c r="AA34" s="351"/>
    </row>
    <row r="35" ht="14.25" customHeight="1">
      <c r="A35" s="348" t="s">
        <v>9599</v>
      </c>
      <c r="B35" s="108"/>
      <c r="C35" s="354" t="s">
        <v>9660</v>
      </c>
      <c r="D35" s="349" t="s">
        <v>271</v>
      </c>
      <c r="E35" s="355" t="s">
        <v>9616</v>
      </c>
      <c r="F35" s="331" t="s">
        <v>9661</v>
      </c>
      <c r="G35" s="311"/>
      <c r="H35" s="355" t="s">
        <v>9604</v>
      </c>
      <c r="I35" s="349" t="s">
        <v>36</v>
      </c>
      <c r="J35" s="356"/>
      <c r="K35" s="350"/>
      <c r="L35" s="351"/>
      <c r="M35" s="351"/>
      <c r="N35" s="351"/>
      <c r="O35" s="351"/>
      <c r="P35" s="351"/>
      <c r="Q35" s="351"/>
      <c r="R35" s="351"/>
      <c r="S35" s="351"/>
      <c r="T35" s="351"/>
      <c r="U35" s="351"/>
      <c r="V35" s="351"/>
      <c r="W35" s="351"/>
      <c r="X35" s="351"/>
      <c r="Y35" s="351"/>
      <c r="Z35" s="351"/>
      <c r="AA35" s="351"/>
    </row>
    <row r="36" ht="14.25" customHeight="1">
      <c r="A36" s="348" t="s">
        <v>9599</v>
      </c>
      <c r="B36" s="108"/>
      <c r="C36" s="354" t="s">
        <v>9662</v>
      </c>
      <c r="D36" s="349" t="s">
        <v>271</v>
      </c>
      <c r="E36" s="355" t="s">
        <v>9663</v>
      </c>
      <c r="F36" s="331" t="s">
        <v>9664</v>
      </c>
      <c r="G36" s="311"/>
      <c r="H36" s="355" t="s">
        <v>9604</v>
      </c>
      <c r="I36" s="349" t="s">
        <v>36</v>
      </c>
      <c r="J36" s="356"/>
      <c r="K36" s="350"/>
      <c r="L36" s="351"/>
      <c r="M36" s="351"/>
      <c r="N36" s="351"/>
      <c r="O36" s="351"/>
      <c r="P36" s="351"/>
      <c r="Q36" s="351"/>
      <c r="R36" s="351"/>
      <c r="S36" s="351"/>
      <c r="T36" s="351"/>
      <c r="U36" s="351"/>
      <c r="V36" s="351"/>
      <c r="W36" s="351"/>
      <c r="X36" s="351"/>
      <c r="Y36" s="351"/>
      <c r="Z36" s="351"/>
      <c r="AA36" s="351"/>
    </row>
    <row r="37" ht="14.25" customHeight="1">
      <c r="A37" s="348" t="s">
        <v>9599</v>
      </c>
      <c r="B37" s="108"/>
      <c r="C37" s="354" t="s">
        <v>9665</v>
      </c>
      <c r="D37" s="349" t="s">
        <v>271</v>
      </c>
      <c r="E37" s="355" t="s">
        <v>9663</v>
      </c>
      <c r="F37" s="331" t="s">
        <v>9666</v>
      </c>
      <c r="G37" s="311"/>
      <c r="H37" s="355" t="s">
        <v>9604</v>
      </c>
      <c r="I37" s="349" t="s">
        <v>36</v>
      </c>
      <c r="J37" s="356"/>
      <c r="K37" s="350"/>
      <c r="L37" s="351"/>
      <c r="M37" s="351"/>
      <c r="N37" s="351"/>
      <c r="O37" s="351"/>
      <c r="P37" s="351"/>
      <c r="Q37" s="351"/>
      <c r="R37" s="351"/>
      <c r="S37" s="351"/>
      <c r="T37" s="351"/>
      <c r="U37" s="351"/>
      <c r="V37" s="351"/>
      <c r="W37" s="351"/>
      <c r="X37" s="351"/>
      <c r="Y37" s="351"/>
      <c r="Z37" s="351"/>
      <c r="AA37" s="351"/>
    </row>
    <row r="38" ht="14.25" customHeight="1">
      <c r="A38" s="348" t="s">
        <v>9599</v>
      </c>
      <c r="B38" s="108"/>
      <c r="C38" s="354" t="s">
        <v>9667</v>
      </c>
      <c r="D38" s="349" t="s">
        <v>271</v>
      </c>
      <c r="E38" s="355" t="s">
        <v>9663</v>
      </c>
      <c r="F38" s="331" t="s">
        <v>9668</v>
      </c>
      <c r="G38" s="311"/>
      <c r="H38" s="355" t="s">
        <v>9604</v>
      </c>
      <c r="I38" s="349" t="s">
        <v>36</v>
      </c>
      <c r="J38" s="356"/>
      <c r="K38" s="350"/>
      <c r="L38" s="351"/>
      <c r="M38" s="351"/>
      <c r="N38" s="351"/>
      <c r="O38" s="351"/>
      <c r="P38" s="351"/>
      <c r="Q38" s="351"/>
      <c r="R38" s="351"/>
      <c r="S38" s="351"/>
      <c r="T38" s="351"/>
      <c r="U38" s="351"/>
      <c r="V38" s="351"/>
      <c r="W38" s="351"/>
      <c r="X38" s="351"/>
      <c r="Y38" s="351"/>
      <c r="Z38" s="351"/>
      <c r="AA38" s="351"/>
    </row>
    <row r="39" ht="14.25" customHeight="1">
      <c r="A39" s="348" t="s">
        <v>9599</v>
      </c>
      <c r="B39" s="108"/>
      <c r="C39" s="354" t="s">
        <v>9669</v>
      </c>
      <c r="D39" s="349" t="s">
        <v>271</v>
      </c>
      <c r="E39" s="355" t="s">
        <v>9663</v>
      </c>
      <c r="F39" s="331" t="s">
        <v>9670</v>
      </c>
      <c r="G39" s="311"/>
      <c r="H39" s="355" t="s">
        <v>9604</v>
      </c>
      <c r="I39" s="349" t="s">
        <v>36</v>
      </c>
      <c r="J39" s="356"/>
      <c r="K39" s="350"/>
      <c r="L39" s="351"/>
      <c r="M39" s="351"/>
      <c r="N39" s="351"/>
      <c r="O39" s="351"/>
      <c r="P39" s="351"/>
      <c r="Q39" s="351"/>
      <c r="R39" s="351"/>
      <c r="S39" s="351"/>
      <c r="T39" s="351"/>
      <c r="U39" s="351"/>
      <c r="V39" s="351"/>
      <c r="W39" s="351"/>
      <c r="X39" s="351"/>
      <c r="Y39" s="351"/>
      <c r="Z39" s="351"/>
      <c r="AA39" s="351"/>
    </row>
    <row r="40" ht="14.25" customHeight="1">
      <c r="A40" s="348" t="s">
        <v>9599</v>
      </c>
      <c r="B40" s="108"/>
      <c r="C40" s="354" t="s">
        <v>9671</v>
      </c>
      <c r="D40" s="349" t="s">
        <v>271</v>
      </c>
      <c r="E40" s="355" t="s">
        <v>9663</v>
      </c>
      <c r="F40" s="331" t="s">
        <v>9672</v>
      </c>
      <c r="G40" s="311"/>
      <c r="H40" s="355" t="s">
        <v>9604</v>
      </c>
      <c r="I40" s="349" t="s">
        <v>36</v>
      </c>
      <c r="J40" s="356"/>
      <c r="K40" s="350"/>
      <c r="L40" s="351"/>
      <c r="M40" s="351"/>
      <c r="N40" s="351"/>
      <c r="O40" s="351"/>
      <c r="P40" s="351"/>
      <c r="Q40" s="351"/>
      <c r="R40" s="351"/>
      <c r="S40" s="351"/>
      <c r="T40" s="351"/>
      <c r="U40" s="351"/>
      <c r="V40" s="351"/>
      <c r="W40" s="351"/>
      <c r="X40" s="351"/>
      <c r="Y40" s="351"/>
      <c r="Z40" s="351"/>
      <c r="AA40" s="351"/>
    </row>
    <row r="41" ht="14.25" customHeight="1">
      <c r="A41" s="348" t="s">
        <v>9599</v>
      </c>
      <c r="B41" s="108"/>
      <c r="C41" s="354" t="s">
        <v>9673</v>
      </c>
      <c r="D41" s="349" t="s">
        <v>271</v>
      </c>
      <c r="E41" s="355" t="s">
        <v>9663</v>
      </c>
      <c r="F41" s="331" t="s">
        <v>9674</v>
      </c>
      <c r="G41" s="311"/>
      <c r="H41" s="355" t="s">
        <v>9604</v>
      </c>
      <c r="I41" s="349" t="s">
        <v>36</v>
      </c>
      <c r="J41" s="356"/>
      <c r="K41" s="350"/>
      <c r="L41" s="351"/>
      <c r="M41" s="351"/>
      <c r="N41" s="351"/>
      <c r="O41" s="351"/>
      <c r="P41" s="351"/>
      <c r="Q41" s="351"/>
      <c r="R41" s="351"/>
      <c r="S41" s="351"/>
      <c r="T41" s="351"/>
      <c r="U41" s="351"/>
      <c r="V41" s="351"/>
      <c r="W41" s="351"/>
      <c r="X41" s="351"/>
      <c r="Y41" s="351"/>
      <c r="Z41" s="351"/>
      <c r="AA41" s="351"/>
    </row>
    <row r="42" ht="14.25" customHeight="1">
      <c r="A42" s="348" t="s">
        <v>9599</v>
      </c>
      <c r="B42" s="108"/>
      <c r="C42" s="354" t="s">
        <v>9675</v>
      </c>
      <c r="D42" s="349" t="s">
        <v>271</v>
      </c>
      <c r="E42" s="355" t="s">
        <v>9663</v>
      </c>
      <c r="F42" s="331" t="s">
        <v>9676</v>
      </c>
      <c r="G42" s="311"/>
      <c r="H42" s="355" t="s">
        <v>9604</v>
      </c>
      <c r="I42" s="349" t="s">
        <v>36</v>
      </c>
      <c r="J42" s="356"/>
      <c r="K42" s="350"/>
      <c r="L42" s="351"/>
      <c r="M42" s="351"/>
      <c r="N42" s="351"/>
      <c r="O42" s="351"/>
      <c r="P42" s="351"/>
      <c r="Q42" s="351"/>
      <c r="R42" s="351"/>
      <c r="S42" s="351"/>
      <c r="T42" s="351"/>
      <c r="U42" s="351"/>
      <c r="V42" s="351"/>
      <c r="W42" s="351"/>
      <c r="X42" s="351"/>
      <c r="Y42" s="351"/>
      <c r="Z42" s="351"/>
      <c r="AA42" s="351"/>
    </row>
    <row r="43" ht="14.25" customHeight="1">
      <c r="A43" s="348" t="s">
        <v>9599</v>
      </c>
      <c r="B43" s="108"/>
      <c r="C43" s="354" t="s">
        <v>9677</v>
      </c>
      <c r="D43" s="349" t="s">
        <v>271</v>
      </c>
      <c r="E43" s="355" t="s">
        <v>9663</v>
      </c>
      <c r="F43" s="331" t="s">
        <v>9678</v>
      </c>
      <c r="G43" s="311"/>
      <c r="H43" s="355" t="s">
        <v>9604</v>
      </c>
      <c r="I43" s="349" t="s">
        <v>36</v>
      </c>
      <c r="J43" s="356"/>
      <c r="K43" s="350"/>
      <c r="L43" s="351"/>
      <c r="M43" s="351"/>
      <c r="N43" s="351"/>
      <c r="O43" s="351"/>
      <c r="P43" s="351"/>
      <c r="Q43" s="351"/>
      <c r="R43" s="351"/>
      <c r="S43" s="351"/>
      <c r="T43" s="351"/>
      <c r="U43" s="351"/>
      <c r="V43" s="351"/>
      <c r="W43" s="351"/>
      <c r="X43" s="351"/>
      <c r="Y43" s="351"/>
      <c r="Z43" s="351"/>
      <c r="AA43" s="351"/>
    </row>
    <row r="44" ht="14.25" customHeight="1">
      <c r="A44" s="348" t="s">
        <v>9599</v>
      </c>
      <c r="B44" s="108"/>
      <c r="C44" s="354" t="s">
        <v>9679</v>
      </c>
      <c r="D44" s="349" t="s">
        <v>271</v>
      </c>
      <c r="E44" s="355" t="s">
        <v>9663</v>
      </c>
      <c r="F44" s="331" t="s">
        <v>9680</v>
      </c>
      <c r="G44" s="311"/>
      <c r="H44" s="355" t="s">
        <v>9604</v>
      </c>
      <c r="I44" s="349" t="s">
        <v>36</v>
      </c>
      <c r="J44" s="356"/>
      <c r="K44" s="350"/>
      <c r="L44" s="351"/>
      <c r="M44" s="351"/>
      <c r="N44" s="351"/>
      <c r="O44" s="351"/>
      <c r="P44" s="351"/>
      <c r="Q44" s="351"/>
      <c r="R44" s="351"/>
      <c r="S44" s="351"/>
      <c r="T44" s="351"/>
      <c r="U44" s="351"/>
      <c r="V44" s="351"/>
      <c r="W44" s="351"/>
      <c r="X44" s="351"/>
      <c r="Y44" s="351"/>
      <c r="Z44" s="351"/>
      <c r="AA44" s="351"/>
    </row>
    <row r="45" ht="14.25" customHeight="1">
      <c r="A45" s="348" t="s">
        <v>9599</v>
      </c>
      <c r="B45" s="108"/>
      <c r="C45" s="354" t="s">
        <v>9681</v>
      </c>
      <c r="D45" s="349" t="s">
        <v>271</v>
      </c>
      <c r="E45" s="355" t="s">
        <v>9663</v>
      </c>
      <c r="F45" s="331" t="s">
        <v>9682</v>
      </c>
      <c r="G45" s="311"/>
      <c r="H45" s="355" t="s">
        <v>9604</v>
      </c>
      <c r="I45" s="349" t="s">
        <v>36</v>
      </c>
      <c r="J45" s="356"/>
      <c r="K45" s="350"/>
      <c r="L45" s="351"/>
      <c r="M45" s="351"/>
      <c r="N45" s="351"/>
      <c r="O45" s="351"/>
      <c r="P45" s="351"/>
      <c r="Q45" s="351"/>
      <c r="R45" s="351"/>
      <c r="S45" s="351"/>
      <c r="T45" s="351"/>
      <c r="U45" s="351"/>
      <c r="V45" s="351"/>
      <c r="W45" s="351"/>
      <c r="X45" s="351"/>
      <c r="Y45" s="351"/>
      <c r="Z45" s="351"/>
      <c r="AA45" s="351"/>
    </row>
    <row r="46" ht="14.25" customHeight="1">
      <c r="A46" s="348" t="s">
        <v>9599</v>
      </c>
      <c r="B46" s="108"/>
      <c r="C46" s="354" t="s">
        <v>9683</v>
      </c>
      <c r="D46" s="349" t="s">
        <v>271</v>
      </c>
      <c r="E46" s="355" t="s">
        <v>9684</v>
      </c>
      <c r="F46" s="331" t="s">
        <v>9685</v>
      </c>
      <c r="G46" s="311"/>
      <c r="H46" s="355" t="s">
        <v>9604</v>
      </c>
      <c r="I46" s="349" t="s">
        <v>36</v>
      </c>
      <c r="J46" s="356"/>
      <c r="K46" s="350"/>
      <c r="L46" s="351"/>
      <c r="M46" s="351"/>
      <c r="N46" s="351"/>
      <c r="O46" s="351"/>
      <c r="P46" s="351"/>
      <c r="Q46" s="351"/>
      <c r="R46" s="351"/>
      <c r="S46" s="351"/>
      <c r="T46" s="351"/>
      <c r="U46" s="351"/>
      <c r="V46" s="351"/>
      <c r="W46" s="351"/>
      <c r="X46" s="351"/>
      <c r="Y46" s="351"/>
      <c r="Z46" s="351"/>
      <c r="AA46" s="351"/>
    </row>
    <row r="47" ht="14.25" customHeight="1">
      <c r="A47" s="348" t="s">
        <v>9599</v>
      </c>
      <c r="B47" s="108"/>
      <c r="C47" s="354" t="s">
        <v>9686</v>
      </c>
      <c r="D47" s="349" t="s">
        <v>271</v>
      </c>
      <c r="E47" s="355" t="s">
        <v>9684</v>
      </c>
      <c r="F47" s="331" t="s">
        <v>9687</v>
      </c>
      <c r="G47" s="311"/>
      <c r="H47" s="355" t="s">
        <v>9604</v>
      </c>
      <c r="I47" s="349" t="s">
        <v>36</v>
      </c>
      <c r="J47" s="356"/>
      <c r="K47" s="350"/>
      <c r="L47" s="351"/>
      <c r="M47" s="351"/>
      <c r="N47" s="351"/>
      <c r="O47" s="351"/>
      <c r="P47" s="351"/>
      <c r="Q47" s="351"/>
      <c r="R47" s="351"/>
      <c r="S47" s="351"/>
      <c r="T47" s="351"/>
      <c r="U47" s="351"/>
      <c r="V47" s="351"/>
      <c r="W47" s="351"/>
      <c r="X47" s="351"/>
      <c r="Y47" s="351"/>
      <c r="Z47" s="351"/>
      <c r="AA47" s="351"/>
    </row>
    <row r="48" ht="14.25" customHeight="1">
      <c r="A48" s="348" t="s">
        <v>9599</v>
      </c>
      <c r="B48" s="108"/>
      <c r="C48" s="354" t="s">
        <v>9688</v>
      </c>
      <c r="D48" s="349" t="s">
        <v>271</v>
      </c>
      <c r="E48" s="355" t="s">
        <v>9684</v>
      </c>
      <c r="F48" s="331" t="s">
        <v>9689</v>
      </c>
      <c r="G48" s="311"/>
      <c r="H48" s="355" t="s">
        <v>9604</v>
      </c>
      <c r="I48" s="349" t="s">
        <v>36</v>
      </c>
      <c r="J48" s="356"/>
      <c r="K48" s="350"/>
      <c r="L48" s="351"/>
      <c r="M48" s="351"/>
      <c r="N48" s="351"/>
      <c r="O48" s="351"/>
      <c r="P48" s="351"/>
      <c r="Q48" s="351"/>
      <c r="R48" s="351"/>
      <c r="S48" s="351"/>
      <c r="T48" s="351"/>
      <c r="U48" s="351"/>
      <c r="V48" s="351"/>
      <c r="W48" s="351"/>
      <c r="X48" s="351"/>
      <c r="Y48" s="351"/>
      <c r="Z48" s="351"/>
      <c r="AA48" s="351"/>
    </row>
    <row r="49" ht="14.25" customHeight="1">
      <c r="A49" s="348" t="s">
        <v>9599</v>
      </c>
      <c r="B49" s="108"/>
      <c r="C49" s="354" t="s">
        <v>9690</v>
      </c>
      <c r="D49" s="349" t="s">
        <v>271</v>
      </c>
      <c r="E49" s="355" t="s">
        <v>9684</v>
      </c>
      <c r="F49" s="331" t="s">
        <v>9691</v>
      </c>
      <c r="G49" s="311"/>
      <c r="H49" s="355" t="s">
        <v>9604</v>
      </c>
      <c r="I49" s="349" t="s">
        <v>36</v>
      </c>
      <c r="J49" s="356"/>
      <c r="K49" s="350"/>
      <c r="L49" s="351"/>
      <c r="M49" s="351"/>
      <c r="N49" s="351"/>
      <c r="O49" s="351"/>
      <c r="P49" s="351"/>
      <c r="Q49" s="351"/>
      <c r="R49" s="351"/>
      <c r="S49" s="351"/>
      <c r="T49" s="351"/>
      <c r="U49" s="351"/>
      <c r="V49" s="351"/>
      <c r="W49" s="351"/>
      <c r="X49" s="351"/>
      <c r="Y49" s="351"/>
      <c r="Z49" s="351"/>
      <c r="AA49" s="351"/>
    </row>
    <row r="50" ht="14.25" customHeight="1">
      <c r="A50" s="348" t="s">
        <v>9599</v>
      </c>
      <c r="B50" s="108"/>
      <c r="C50" s="354" t="s">
        <v>9692</v>
      </c>
      <c r="D50" s="349" t="s">
        <v>271</v>
      </c>
      <c r="E50" s="355" t="s">
        <v>9684</v>
      </c>
      <c r="F50" s="331" t="s">
        <v>9693</v>
      </c>
      <c r="G50" s="311"/>
      <c r="H50" s="355" t="s">
        <v>9604</v>
      </c>
      <c r="I50" s="349" t="s">
        <v>36</v>
      </c>
      <c r="J50" s="356"/>
      <c r="K50" s="350"/>
      <c r="L50" s="351"/>
      <c r="M50" s="351"/>
      <c r="N50" s="351"/>
      <c r="O50" s="351"/>
      <c r="P50" s="351"/>
      <c r="Q50" s="351"/>
      <c r="R50" s="351"/>
      <c r="S50" s="351"/>
      <c r="T50" s="351"/>
      <c r="U50" s="351"/>
      <c r="V50" s="351"/>
      <c r="W50" s="351"/>
      <c r="X50" s="351"/>
      <c r="Y50" s="351"/>
      <c r="Z50" s="351"/>
      <c r="AA50" s="351"/>
    </row>
    <row r="51" ht="14.25" customHeight="1">
      <c r="A51" s="348" t="s">
        <v>9599</v>
      </c>
      <c r="B51" s="108"/>
      <c r="C51" s="354" t="s">
        <v>9694</v>
      </c>
      <c r="D51" s="349" t="s">
        <v>271</v>
      </c>
      <c r="E51" s="355" t="s">
        <v>9684</v>
      </c>
      <c r="F51" s="331" t="s">
        <v>9695</v>
      </c>
      <c r="G51" s="311"/>
      <c r="H51" s="355" t="s">
        <v>9604</v>
      </c>
      <c r="I51" s="349" t="s">
        <v>36</v>
      </c>
      <c r="J51" s="356"/>
      <c r="K51" s="350"/>
      <c r="L51" s="351"/>
      <c r="M51" s="351"/>
      <c r="N51" s="351"/>
      <c r="O51" s="351"/>
      <c r="P51" s="351"/>
      <c r="Q51" s="351"/>
      <c r="R51" s="351"/>
      <c r="S51" s="351"/>
      <c r="T51" s="351"/>
      <c r="U51" s="351"/>
      <c r="V51" s="351"/>
      <c r="W51" s="351"/>
      <c r="X51" s="351"/>
      <c r="Y51" s="351"/>
      <c r="Z51" s="351"/>
      <c r="AA51" s="351"/>
    </row>
    <row r="52" ht="14.25" customHeight="1">
      <c r="A52" s="348" t="s">
        <v>9599</v>
      </c>
      <c r="B52" s="108"/>
      <c r="C52" s="354" t="s">
        <v>9696</v>
      </c>
      <c r="D52" s="349" t="s">
        <v>271</v>
      </c>
      <c r="E52" s="355" t="s">
        <v>9684</v>
      </c>
      <c r="F52" s="331" t="s">
        <v>9697</v>
      </c>
      <c r="G52" s="311"/>
      <c r="H52" s="355" t="s">
        <v>9604</v>
      </c>
      <c r="I52" s="349" t="s">
        <v>36</v>
      </c>
      <c r="J52" s="356"/>
      <c r="K52" s="350"/>
      <c r="L52" s="351"/>
      <c r="M52" s="351"/>
      <c r="N52" s="351"/>
      <c r="O52" s="351"/>
      <c r="P52" s="351"/>
      <c r="Q52" s="351"/>
      <c r="R52" s="351"/>
      <c r="S52" s="351"/>
      <c r="T52" s="351"/>
      <c r="U52" s="351"/>
      <c r="V52" s="351"/>
      <c r="W52" s="351"/>
      <c r="X52" s="351"/>
      <c r="Y52" s="351"/>
      <c r="Z52" s="351"/>
      <c r="AA52" s="351"/>
    </row>
    <row r="53" ht="14.25" customHeight="1">
      <c r="A53" s="348" t="s">
        <v>9599</v>
      </c>
      <c r="B53" s="108"/>
      <c r="C53" s="354" t="s">
        <v>9698</v>
      </c>
      <c r="D53" s="349" t="s">
        <v>271</v>
      </c>
      <c r="E53" s="355" t="s">
        <v>9684</v>
      </c>
      <c r="F53" s="331" t="s">
        <v>9699</v>
      </c>
      <c r="G53" s="311"/>
      <c r="H53" s="355" t="s">
        <v>9604</v>
      </c>
      <c r="I53" s="349" t="s">
        <v>36</v>
      </c>
      <c r="J53" s="356"/>
      <c r="K53" s="350"/>
      <c r="L53" s="351"/>
      <c r="M53" s="351"/>
      <c r="N53" s="351"/>
      <c r="O53" s="351"/>
      <c r="P53" s="351"/>
      <c r="Q53" s="351"/>
      <c r="R53" s="351"/>
      <c r="S53" s="351"/>
      <c r="T53" s="351"/>
      <c r="U53" s="351"/>
      <c r="V53" s="351"/>
      <c r="W53" s="351"/>
      <c r="X53" s="351"/>
      <c r="Y53" s="351"/>
      <c r="Z53" s="351"/>
      <c r="AA53" s="351"/>
    </row>
    <row r="54" ht="14.25" customHeight="1">
      <c r="A54" s="348" t="s">
        <v>9599</v>
      </c>
      <c r="B54" s="108"/>
      <c r="C54" s="354" t="s">
        <v>9700</v>
      </c>
      <c r="D54" s="349" t="s">
        <v>271</v>
      </c>
      <c r="E54" s="355" t="s">
        <v>9616</v>
      </c>
      <c r="F54" s="331" t="s">
        <v>9701</v>
      </c>
      <c r="G54" s="311"/>
      <c r="H54" s="355" t="s">
        <v>9604</v>
      </c>
      <c r="I54" s="349" t="s">
        <v>36</v>
      </c>
      <c r="J54" s="356"/>
      <c r="K54" s="350"/>
      <c r="L54" s="351"/>
      <c r="M54" s="351"/>
      <c r="N54" s="351"/>
      <c r="O54" s="351"/>
      <c r="P54" s="351"/>
      <c r="Q54" s="351"/>
      <c r="R54" s="351"/>
      <c r="S54" s="351"/>
      <c r="T54" s="351"/>
      <c r="U54" s="351"/>
      <c r="V54" s="351"/>
      <c r="W54" s="351"/>
      <c r="X54" s="351"/>
      <c r="Y54" s="351"/>
      <c r="Z54" s="351"/>
      <c r="AA54" s="351"/>
    </row>
    <row r="55" ht="14.25" customHeight="1">
      <c r="A55" s="348" t="s">
        <v>9599</v>
      </c>
      <c r="B55" s="108"/>
      <c r="C55" s="354" t="s">
        <v>9702</v>
      </c>
      <c r="D55" s="349" t="s">
        <v>271</v>
      </c>
      <c r="E55" s="355" t="s">
        <v>9616</v>
      </c>
      <c r="F55" s="331" t="s">
        <v>9703</v>
      </c>
      <c r="G55" s="311"/>
      <c r="H55" s="355" t="s">
        <v>9604</v>
      </c>
      <c r="I55" s="349" t="s">
        <v>36</v>
      </c>
      <c r="J55" s="356"/>
      <c r="K55" s="350"/>
      <c r="L55" s="351"/>
      <c r="M55" s="351"/>
      <c r="N55" s="351"/>
      <c r="O55" s="351"/>
      <c r="P55" s="351"/>
      <c r="Q55" s="351"/>
      <c r="R55" s="351"/>
      <c r="S55" s="351"/>
      <c r="T55" s="351"/>
      <c r="U55" s="351"/>
      <c r="V55" s="351"/>
      <c r="W55" s="351"/>
      <c r="X55" s="351"/>
      <c r="Y55" s="351"/>
      <c r="Z55" s="351"/>
      <c r="AA55" s="351"/>
    </row>
    <row r="56" ht="14.25" customHeight="1">
      <c r="A56" s="348" t="s">
        <v>9599</v>
      </c>
      <c r="B56" s="108"/>
      <c r="C56" s="354" t="s">
        <v>9704</v>
      </c>
      <c r="D56" s="349" t="s">
        <v>271</v>
      </c>
      <c r="E56" s="355" t="s">
        <v>9616</v>
      </c>
      <c r="F56" s="331" t="s">
        <v>9705</v>
      </c>
      <c r="G56" s="311"/>
      <c r="H56" s="355" t="s">
        <v>9604</v>
      </c>
      <c r="I56" s="349" t="s">
        <v>36</v>
      </c>
      <c r="J56" s="356"/>
      <c r="K56" s="350"/>
      <c r="L56" s="351"/>
      <c r="M56" s="351"/>
      <c r="N56" s="351"/>
      <c r="O56" s="351"/>
      <c r="P56" s="351"/>
      <c r="Q56" s="351"/>
      <c r="R56" s="351"/>
      <c r="S56" s="351"/>
      <c r="T56" s="351"/>
      <c r="U56" s="351"/>
      <c r="V56" s="351"/>
      <c r="W56" s="351"/>
      <c r="X56" s="351"/>
      <c r="Y56" s="351"/>
      <c r="Z56" s="351"/>
      <c r="AA56" s="351"/>
    </row>
    <row r="57" ht="14.25" customHeight="1">
      <c r="A57" s="348" t="s">
        <v>9599</v>
      </c>
      <c r="B57" s="108"/>
      <c r="C57" s="354" t="s">
        <v>9706</v>
      </c>
      <c r="D57" s="349" t="s">
        <v>271</v>
      </c>
      <c r="E57" s="355" t="s">
        <v>9602</v>
      </c>
      <c r="F57" s="331" t="s">
        <v>9707</v>
      </c>
      <c r="G57" s="311"/>
      <c r="H57" s="355" t="s">
        <v>9604</v>
      </c>
      <c r="I57" s="349" t="s">
        <v>36</v>
      </c>
      <c r="J57" s="356"/>
      <c r="K57" s="350"/>
      <c r="L57" s="351"/>
      <c r="M57" s="351"/>
      <c r="N57" s="351"/>
      <c r="O57" s="351"/>
      <c r="P57" s="351"/>
      <c r="Q57" s="351"/>
      <c r="R57" s="351"/>
      <c r="S57" s="351"/>
      <c r="T57" s="351"/>
      <c r="U57" s="351"/>
      <c r="V57" s="351"/>
      <c r="W57" s="351"/>
      <c r="X57" s="351"/>
      <c r="Y57" s="351"/>
      <c r="Z57" s="351"/>
      <c r="AA57" s="351"/>
    </row>
    <row r="58" ht="14.25" customHeight="1">
      <c r="A58" s="348" t="s">
        <v>9599</v>
      </c>
      <c r="B58" s="108"/>
      <c r="C58" s="354" t="s">
        <v>9708</v>
      </c>
      <c r="D58" s="349" t="s">
        <v>271</v>
      </c>
      <c r="E58" s="355" t="s">
        <v>9602</v>
      </c>
      <c r="F58" s="331" t="s">
        <v>9644</v>
      </c>
      <c r="G58" s="311"/>
      <c r="H58" s="355" t="s">
        <v>9604</v>
      </c>
      <c r="I58" s="349" t="s">
        <v>36</v>
      </c>
      <c r="J58" s="356"/>
      <c r="K58" s="350"/>
      <c r="L58" s="351"/>
      <c r="M58" s="351"/>
      <c r="N58" s="351"/>
      <c r="O58" s="351"/>
      <c r="P58" s="351"/>
      <c r="Q58" s="351"/>
      <c r="R58" s="351"/>
      <c r="S58" s="351"/>
      <c r="T58" s="351"/>
      <c r="U58" s="351"/>
      <c r="V58" s="351"/>
      <c r="W58" s="351"/>
      <c r="X58" s="351"/>
      <c r="Y58" s="351"/>
      <c r="Z58" s="351"/>
      <c r="AA58" s="351"/>
    </row>
    <row r="59" ht="14.25" customHeight="1">
      <c r="A59" s="348" t="s">
        <v>9599</v>
      </c>
      <c r="B59" s="108"/>
      <c r="C59" s="354" t="s">
        <v>9709</v>
      </c>
      <c r="D59" s="349" t="s">
        <v>271</v>
      </c>
      <c r="E59" s="355" t="s">
        <v>9602</v>
      </c>
      <c r="F59" s="331" t="s">
        <v>9710</v>
      </c>
      <c r="G59" s="311"/>
      <c r="H59" s="355" t="s">
        <v>9604</v>
      </c>
      <c r="I59" s="349" t="s">
        <v>36</v>
      </c>
      <c r="J59" s="356"/>
      <c r="K59" s="350"/>
      <c r="L59" s="351"/>
      <c r="M59" s="351"/>
      <c r="N59" s="351"/>
      <c r="O59" s="351"/>
      <c r="P59" s="351"/>
      <c r="Q59" s="351"/>
      <c r="R59" s="351"/>
      <c r="S59" s="351"/>
      <c r="T59" s="351"/>
      <c r="U59" s="351"/>
      <c r="V59" s="351"/>
      <c r="W59" s="351"/>
      <c r="X59" s="351"/>
      <c r="Y59" s="351"/>
      <c r="Z59" s="351"/>
      <c r="AA59" s="351"/>
    </row>
    <row r="60" ht="14.25" customHeight="1">
      <c r="A60" s="348" t="s">
        <v>9599</v>
      </c>
      <c r="B60" s="108"/>
      <c r="C60" s="354" t="s">
        <v>9711</v>
      </c>
      <c r="D60" s="349" t="s">
        <v>271</v>
      </c>
      <c r="E60" s="355" t="s">
        <v>9602</v>
      </c>
      <c r="F60" s="331" t="s">
        <v>9712</v>
      </c>
      <c r="G60" s="311"/>
      <c r="H60" s="355" t="s">
        <v>9604</v>
      </c>
      <c r="I60" s="349" t="s">
        <v>36</v>
      </c>
      <c r="J60" s="356"/>
      <c r="K60" s="350"/>
      <c r="L60" s="351"/>
      <c r="M60" s="351"/>
      <c r="N60" s="351"/>
      <c r="O60" s="351"/>
      <c r="P60" s="351"/>
      <c r="Q60" s="351"/>
      <c r="R60" s="351"/>
      <c r="S60" s="351"/>
      <c r="T60" s="351"/>
      <c r="U60" s="351"/>
      <c r="V60" s="351"/>
      <c r="W60" s="351"/>
      <c r="X60" s="351"/>
      <c r="Y60" s="351"/>
      <c r="Z60" s="351"/>
      <c r="AA60" s="351"/>
    </row>
    <row r="61" ht="14.25" customHeight="1">
      <c r="A61" s="348" t="s">
        <v>9599</v>
      </c>
      <c r="B61" s="109"/>
      <c r="C61" s="354" t="s">
        <v>9713</v>
      </c>
      <c r="D61" s="349" t="s">
        <v>271</v>
      </c>
      <c r="E61" s="355" t="s">
        <v>9602</v>
      </c>
      <c r="F61" s="331" t="s">
        <v>9714</v>
      </c>
      <c r="G61" s="311"/>
      <c r="H61" s="355" t="s">
        <v>9604</v>
      </c>
      <c r="I61" s="349" t="s">
        <v>36</v>
      </c>
      <c r="J61" s="356"/>
      <c r="K61" s="350"/>
      <c r="L61" s="351"/>
      <c r="M61" s="351"/>
      <c r="N61" s="351"/>
      <c r="O61" s="351"/>
      <c r="P61" s="351"/>
      <c r="Q61" s="351"/>
      <c r="R61" s="351"/>
      <c r="S61" s="351"/>
      <c r="T61" s="351"/>
      <c r="U61" s="351"/>
      <c r="V61" s="351"/>
      <c r="W61" s="351"/>
      <c r="X61" s="351"/>
      <c r="Y61" s="351"/>
      <c r="Z61" s="351"/>
      <c r="AA61" s="351"/>
    </row>
    <row r="62" ht="14.25" customHeight="1">
      <c r="A62" s="348" t="s">
        <v>9715</v>
      </c>
      <c r="B62" s="188" t="s">
        <v>9716</v>
      </c>
      <c r="C62" s="311" t="s">
        <v>9717</v>
      </c>
      <c r="D62" s="349" t="s">
        <v>271</v>
      </c>
      <c r="E62" s="165" t="s">
        <v>9718</v>
      </c>
      <c r="F62" s="311" t="s">
        <v>9719</v>
      </c>
      <c r="G62" s="311" t="s">
        <v>9720</v>
      </c>
      <c r="H62" s="311" t="s">
        <v>9721</v>
      </c>
      <c r="I62" s="349" t="s">
        <v>36</v>
      </c>
      <c r="J62" s="311" t="s">
        <v>9722</v>
      </c>
      <c r="K62" s="350"/>
      <c r="L62" s="351"/>
      <c r="M62" s="351"/>
      <c r="N62" s="351"/>
      <c r="O62" s="351"/>
      <c r="P62" s="351"/>
      <c r="Q62" s="351"/>
      <c r="R62" s="351"/>
      <c r="S62" s="351"/>
      <c r="T62" s="351"/>
      <c r="U62" s="351"/>
      <c r="V62" s="351"/>
      <c r="W62" s="351"/>
      <c r="X62" s="351"/>
      <c r="Y62" s="351"/>
      <c r="Z62" s="351"/>
      <c r="AA62" s="351"/>
    </row>
    <row r="63" ht="14.25" customHeight="1">
      <c r="A63" s="348" t="s">
        <v>9715</v>
      </c>
      <c r="B63" s="108"/>
      <c r="C63" s="311" t="s">
        <v>9723</v>
      </c>
      <c r="D63" s="349" t="s">
        <v>271</v>
      </c>
      <c r="E63" s="165" t="s">
        <v>9718</v>
      </c>
      <c r="F63" s="311" t="s">
        <v>9724</v>
      </c>
      <c r="G63" s="311" t="s">
        <v>9725</v>
      </c>
      <c r="H63" s="311" t="s">
        <v>9726</v>
      </c>
      <c r="I63" s="349" t="s">
        <v>36</v>
      </c>
      <c r="J63" s="311" t="s">
        <v>9722</v>
      </c>
      <c r="K63" s="350"/>
      <c r="L63" s="351"/>
      <c r="M63" s="351"/>
      <c r="N63" s="351"/>
      <c r="O63" s="351"/>
      <c r="P63" s="351"/>
      <c r="Q63" s="351"/>
      <c r="R63" s="351"/>
      <c r="S63" s="351"/>
      <c r="T63" s="351"/>
      <c r="U63" s="351"/>
      <c r="V63" s="351"/>
      <c r="W63" s="351"/>
      <c r="X63" s="351"/>
      <c r="Y63" s="351"/>
      <c r="Z63" s="351"/>
      <c r="AA63" s="351"/>
    </row>
    <row r="64" ht="14.25" customHeight="1">
      <c r="A64" s="348" t="s">
        <v>9715</v>
      </c>
      <c r="B64" s="108"/>
      <c r="C64" s="311" t="s">
        <v>9727</v>
      </c>
      <c r="D64" s="349" t="s">
        <v>271</v>
      </c>
      <c r="E64" s="165" t="s">
        <v>9728</v>
      </c>
      <c r="F64" s="311" t="s">
        <v>9729</v>
      </c>
      <c r="G64" s="311" t="s">
        <v>9730</v>
      </c>
      <c r="H64" s="311" t="s">
        <v>9731</v>
      </c>
      <c r="I64" s="349" t="s">
        <v>36</v>
      </c>
      <c r="J64" s="311" t="s">
        <v>9722</v>
      </c>
      <c r="K64" s="350"/>
      <c r="L64" s="351"/>
      <c r="M64" s="351"/>
      <c r="N64" s="351"/>
      <c r="O64" s="351"/>
      <c r="P64" s="351"/>
      <c r="Q64" s="351"/>
      <c r="R64" s="351"/>
      <c r="S64" s="351"/>
      <c r="T64" s="351"/>
      <c r="U64" s="351"/>
      <c r="V64" s="351"/>
      <c r="W64" s="351"/>
      <c r="X64" s="351"/>
      <c r="Y64" s="351"/>
      <c r="Z64" s="351"/>
      <c r="AA64" s="351"/>
    </row>
    <row r="65" ht="14.25" customHeight="1">
      <c r="A65" s="348" t="s">
        <v>9715</v>
      </c>
      <c r="B65" s="108"/>
      <c r="C65" s="311" t="s">
        <v>9732</v>
      </c>
      <c r="D65" s="349" t="s">
        <v>271</v>
      </c>
      <c r="E65" s="165" t="s">
        <v>9728</v>
      </c>
      <c r="F65" s="311" t="s">
        <v>9733</v>
      </c>
      <c r="G65" s="311" t="s">
        <v>9734</v>
      </c>
      <c r="H65" s="311" t="s">
        <v>9735</v>
      </c>
      <c r="I65" s="349" t="s">
        <v>36</v>
      </c>
      <c r="J65" s="311" t="s">
        <v>9722</v>
      </c>
      <c r="K65" s="350"/>
      <c r="L65" s="351"/>
      <c r="M65" s="351"/>
      <c r="N65" s="351"/>
      <c r="O65" s="351"/>
      <c r="P65" s="351"/>
      <c r="Q65" s="351"/>
      <c r="R65" s="351"/>
      <c r="S65" s="351"/>
      <c r="T65" s="351"/>
      <c r="U65" s="351"/>
      <c r="V65" s="351"/>
      <c r="W65" s="351"/>
      <c r="X65" s="351"/>
      <c r="Y65" s="351"/>
      <c r="Z65" s="351"/>
      <c r="AA65" s="351"/>
    </row>
    <row r="66" ht="14.25" customHeight="1">
      <c r="A66" s="348" t="s">
        <v>9715</v>
      </c>
      <c r="B66" s="108"/>
      <c r="C66" s="311" t="s">
        <v>9736</v>
      </c>
      <c r="D66" s="349" t="s">
        <v>271</v>
      </c>
      <c r="E66" s="165" t="s">
        <v>9728</v>
      </c>
      <c r="F66" s="311" t="s">
        <v>9737</v>
      </c>
      <c r="G66" s="311" t="s">
        <v>9738</v>
      </c>
      <c r="H66" s="311" t="s">
        <v>9739</v>
      </c>
      <c r="I66" s="349" t="s">
        <v>36</v>
      </c>
      <c r="J66" s="311" t="s">
        <v>9722</v>
      </c>
      <c r="K66" s="350"/>
      <c r="L66" s="351"/>
      <c r="M66" s="351"/>
      <c r="N66" s="351"/>
      <c r="O66" s="351"/>
      <c r="P66" s="351"/>
      <c r="Q66" s="351"/>
      <c r="R66" s="351"/>
      <c r="S66" s="351"/>
      <c r="T66" s="351"/>
      <c r="U66" s="351"/>
      <c r="V66" s="351"/>
      <c r="W66" s="351"/>
      <c r="X66" s="351"/>
      <c r="Y66" s="351"/>
      <c r="Z66" s="351"/>
      <c r="AA66" s="351"/>
    </row>
    <row r="67" ht="14.25" customHeight="1">
      <c r="A67" s="348" t="s">
        <v>9715</v>
      </c>
      <c r="B67" s="108"/>
      <c r="C67" s="311" t="s">
        <v>9740</v>
      </c>
      <c r="D67" s="349" t="s">
        <v>271</v>
      </c>
      <c r="E67" s="165" t="s">
        <v>9728</v>
      </c>
      <c r="F67" s="311" t="s">
        <v>9741</v>
      </c>
      <c r="G67" s="311" t="s">
        <v>9742</v>
      </c>
      <c r="H67" s="311" t="s">
        <v>9743</v>
      </c>
      <c r="I67" s="349" t="s">
        <v>36</v>
      </c>
      <c r="J67" s="311" t="s">
        <v>9722</v>
      </c>
      <c r="K67" s="350"/>
      <c r="L67" s="351"/>
      <c r="M67" s="351"/>
      <c r="N67" s="351"/>
      <c r="O67" s="351"/>
      <c r="P67" s="351"/>
      <c r="Q67" s="351"/>
      <c r="R67" s="351"/>
      <c r="S67" s="351"/>
      <c r="T67" s="351"/>
      <c r="U67" s="351"/>
      <c r="V67" s="351"/>
      <c r="W67" s="351"/>
      <c r="X67" s="351"/>
      <c r="Y67" s="351"/>
      <c r="Z67" s="351"/>
      <c r="AA67" s="351"/>
    </row>
    <row r="68" ht="14.25" customHeight="1">
      <c r="A68" s="348" t="s">
        <v>9715</v>
      </c>
      <c r="B68" s="108"/>
      <c r="C68" s="311" t="s">
        <v>9744</v>
      </c>
      <c r="D68" s="349" t="s">
        <v>271</v>
      </c>
      <c r="E68" s="165" t="s">
        <v>9745</v>
      </c>
      <c r="F68" s="311" t="s">
        <v>9746</v>
      </c>
      <c r="G68" s="311" t="s">
        <v>9747</v>
      </c>
      <c r="H68" s="311" t="s">
        <v>9748</v>
      </c>
      <c r="I68" s="349" t="s">
        <v>36</v>
      </c>
      <c r="J68" s="311" t="s">
        <v>9722</v>
      </c>
      <c r="K68" s="350"/>
      <c r="L68" s="351"/>
      <c r="M68" s="351"/>
      <c r="N68" s="351"/>
      <c r="O68" s="351"/>
      <c r="P68" s="351"/>
      <c r="Q68" s="351"/>
      <c r="R68" s="351"/>
      <c r="S68" s="351"/>
      <c r="T68" s="351"/>
      <c r="U68" s="351"/>
      <c r="V68" s="351"/>
      <c r="W68" s="351"/>
      <c r="X68" s="351"/>
      <c r="Y68" s="351"/>
      <c r="Z68" s="351"/>
      <c r="AA68" s="351"/>
    </row>
    <row r="69" ht="14.25" customHeight="1">
      <c r="A69" s="348" t="s">
        <v>9715</v>
      </c>
      <c r="B69" s="108"/>
      <c r="C69" s="311" t="s">
        <v>9749</v>
      </c>
      <c r="D69" s="349" t="s">
        <v>271</v>
      </c>
      <c r="E69" s="165" t="s">
        <v>9750</v>
      </c>
      <c r="F69" s="311" t="s">
        <v>9751</v>
      </c>
      <c r="G69" s="311" t="s">
        <v>9752</v>
      </c>
      <c r="H69" s="311" t="s">
        <v>9753</v>
      </c>
      <c r="I69" s="349" t="s">
        <v>36</v>
      </c>
      <c r="J69" s="311" t="s">
        <v>9722</v>
      </c>
      <c r="K69" s="350"/>
      <c r="L69" s="351"/>
      <c r="M69" s="351"/>
      <c r="N69" s="351"/>
      <c r="O69" s="351"/>
      <c r="P69" s="351"/>
      <c r="Q69" s="351"/>
      <c r="R69" s="351"/>
      <c r="S69" s="351"/>
      <c r="T69" s="351"/>
      <c r="U69" s="351"/>
      <c r="V69" s="351"/>
      <c r="W69" s="351"/>
      <c r="X69" s="351"/>
      <c r="Y69" s="351"/>
      <c r="Z69" s="351"/>
      <c r="AA69" s="351"/>
    </row>
    <row r="70" ht="14.25" customHeight="1">
      <c r="A70" s="348" t="s">
        <v>9715</v>
      </c>
      <c r="B70" s="108"/>
      <c r="C70" s="311" t="s">
        <v>9754</v>
      </c>
      <c r="D70" s="349" t="s">
        <v>271</v>
      </c>
      <c r="E70" s="165" t="s">
        <v>9755</v>
      </c>
      <c r="F70" s="311" t="s">
        <v>9756</v>
      </c>
      <c r="G70" s="311" t="s">
        <v>9757</v>
      </c>
      <c r="H70" s="311" t="s">
        <v>9758</v>
      </c>
      <c r="I70" s="349" t="s">
        <v>36</v>
      </c>
      <c r="J70" s="311" t="s">
        <v>9722</v>
      </c>
      <c r="K70" s="350"/>
      <c r="L70" s="351"/>
      <c r="M70" s="351"/>
      <c r="N70" s="351"/>
      <c r="O70" s="351"/>
      <c r="P70" s="351"/>
      <c r="Q70" s="351"/>
      <c r="R70" s="351"/>
      <c r="S70" s="351"/>
      <c r="T70" s="351"/>
      <c r="U70" s="351"/>
      <c r="V70" s="351"/>
      <c r="W70" s="351"/>
      <c r="X70" s="351"/>
      <c r="Y70" s="351"/>
      <c r="Z70" s="351"/>
      <c r="AA70" s="351"/>
    </row>
    <row r="71" ht="14.25" customHeight="1">
      <c r="A71" s="348" t="s">
        <v>9715</v>
      </c>
      <c r="B71" s="108"/>
      <c r="C71" s="311" t="s">
        <v>9759</v>
      </c>
      <c r="D71" s="349" t="s">
        <v>271</v>
      </c>
      <c r="E71" s="165" t="s">
        <v>9755</v>
      </c>
      <c r="F71" s="311" t="s">
        <v>9760</v>
      </c>
      <c r="G71" s="311" t="s">
        <v>9761</v>
      </c>
      <c r="H71" s="311" t="s">
        <v>9762</v>
      </c>
      <c r="I71" s="349" t="s">
        <v>36</v>
      </c>
      <c r="J71" s="311" t="s">
        <v>9722</v>
      </c>
      <c r="K71" s="350"/>
      <c r="L71" s="351"/>
      <c r="M71" s="351"/>
      <c r="N71" s="351"/>
      <c r="O71" s="351"/>
      <c r="P71" s="351"/>
      <c r="Q71" s="351"/>
      <c r="R71" s="351"/>
      <c r="S71" s="351"/>
      <c r="T71" s="351"/>
      <c r="U71" s="351"/>
      <c r="V71" s="351"/>
      <c r="W71" s="351"/>
      <c r="X71" s="351"/>
      <c r="Y71" s="351"/>
      <c r="Z71" s="351"/>
      <c r="AA71" s="351"/>
    </row>
    <row r="72" ht="14.25" customHeight="1">
      <c r="A72" s="348" t="s">
        <v>9715</v>
      </c>
      <c r="B72" s="108"/>
      <c r="C72" s="311" t="s">
        <v>9763</v>
      </c>
      <c r="D72" s="349" t="s">
        <v>271</v>
      </c>
      <c r="E72" s="165" t="s">
        <v>9755</v>
      </c>
      <c r="F72" s="311" t="s">
        <v>9764</v>
      </c>
      <c r="G72" s="311" t="s">
        <v>9765</v>
      </c>
      <c r="H72" s="311" t="s">
        <v>9766</v>
      </c>
      <c r="I72" s="349" t="s">
        <v>36</v>
      </c>
      <c r="J72" s="311" t="s">
        <v>9722</v>
      </c>
      <c r="K72" s="350"/>
      <c r="L72" s="351"/>
      <c r="M72" s="351"/>
      <c r="N72" s="351"/>
      <c r="O72" s="351"/>
      <c r="P72" s="351"/>
      <c r="Q72" s="351"/>
      <c r="R72" s="351"/>
      <c r="S72" s="351"/>
      <c r="T72" s="351"/>
      <c r="U72" s="351"/>
      <c r="V72" s="351"/>
      <c r="W72" s="351"/>
      <c r="X72" s="351"/>
      <c r="Y72" s="351"/>
      <c r="Z72" s="351"/>
      <c r="AA72" s="351"/>
    </row>
    <row r="73" ht="14.25" customHeight="1">
      <c r="A73" s="348" t="s">
        <v>9715</v>
      </c>
      <c r="B73" s="108"/>
      <c r="C73" s="311" t="s">
        <v>9767</v>
      </c>
      <c r="D73" s="349" t="s">
        <v>271</v>
      </c>
      <c r="E73" s="165" t="s">
        <v>9768</v>
      </c>
      <c r="F73" s="311" t="s">
        <v>9769</v>
      </c>
      <c r="G73" s="311" t="s">
        <v>9770</v>
      </c>
      <c r="H73" s="311" t="s">
        <v>9771</v>
      </c>
      <c r="I73" s="349" t="s">
        <v>36</v>
      </c>
      <c r="J73" s="311" t="s">
        <v>1784</v>
      </c>
      <c r="K73" s="350"/>
      <c r="L73" s="351"/>
      <c r="M73" s="351"/>
      <c r="N73" s="351"/>
      <c r="O73" s="351"/>
      <c r="P73" s="351"/>
      <c r="Q73" s="351"/>
      <c r="R73" s="351"/>
      <c r="S73" s="351"/>
      <c r="T73" s="351"/>
      <c r="U73" s="351"/>
      <c r="V73" s="351"/>
      <c r="W73" s="351"/>
      <c r="X73" s="351"/>
      <c r="Y73" s="351"/>
      <c r="Z73" s="351"/>
      <c r="AA73" s="351"/>
    </row>
    <row r="74" ht="14.25" customHeight="1">
      <c r="A74" s="348" t="s">
        <v>9715</v>
      </c>
      <c r="B74" s="109"/>
      <c r="C74" s="311" t="s">
        <v>9772</v>
      </c>
      <c r="D74" s="349" t="s">
        <v>271</v>
      </c>
      <c r="E74" s="165" t="s">
        <v>9773</v>
      </c>
      <c r="F74" s="311" t="s">
        <v>9774</v>
      </c>
      <c r="G74" s="311" t="s">
        <v>9775</v>
      </c>
      <c r="H74" s="311" t="s">
        <v>9776</v>
      </c>
      <c r="I74" s="349" t="s">
        <v>36</v>
      </c>
      <c r="J74" s="311" t="s">
        <v>9722</v>
      </c>
      <c r="K74" s="350"/>
      <c r="L74" s="351"/>
      <c r="M74" s="351"/>
      <c r="N74" s="351"/>
      <c r="O74" s="351"/>
      <c r="P74" s="351"/>
      <c r="Q74" s="351"/>
      <c r="R74" s="351"/>
      <c r="S74" s="351"/>
      <c r="T74" s="351"/>
      <c r="U74" s="351"/>
      <c r="V74" s="351"/>
      <c r="W74" s="351"/>
      <c r="X74" s="351"/>
      <c r="Y74" s="351"/>
      <c r="Z74" s="351"/>
      <c r="AA74" s="351"/>
    </row>
    <row r="75" ht="14.25" customHeight="1">
      <c r="A75" s="348" t="s">
        <v>9777</v>
      </c>
      <c r="B75" s="188" t="s">
        <v>9778</v>
      </c>
      <c r="C75" s="311" t="s">
        <v>9779</v>
      </c>
      <c r="D75" s="349" t="s">
        <v>271</v>
      </c>
      <c r="E75" s="165" t="s">
        <v>9780</v>
      </c>
      <c r="F75" s="311" t="s">
        <v>9781</v>
      </c>
      <c r="G75" s="311" t="s">
        <v>9782</v>
      </c>
      <c r="H75" s="311" t="s">
        <v>9783</v>
      </c>
      <c r="I75" s="349" t="s">
        <v>36</v>
      </c>
      <c r="J75" s="311" t="s">
        <v>9784</v>
      </c>
      <c r="K75" s="350"/>
      <c r="L75" s="351"/>
      <c r="M75" s="351"/>
      <c r="N75" s="351"/>
      <c r="O75" s="351"/>
      <c r="P75" s="351"/>
      <c r="Q75" s="351"/>
      <c r="R75" s="351"/>
      <c r="S75" s="351"/>
      <c r="T75" s="351"/>
      <c r="U75" s="351"/>
      <c r="V75" s="351"/>
      <c r="W75" s="351"/>
      <c r="X75" s="351"/>
      <c r="Y75" s="351"/>
      <c r="Z75" s="351"/>
      <c r="AA75" s="351"/>
    </row>
    <row r="76" ht="14.25" customHeight="1">
      <c r="A76" s="348" t="s">
        <v>9777</v>
      </c>
      <c r="B76" s="108"/>
      <c r="C76" s="311" t="s">
        <v>9785</v>
      </c>
      <c r="D76" s="349" t="s">
        <v>271</v>
      </c>
      <c r="E76" s="165" t="s">
        <v>9780</v>
      </c>
      <c r="F76" s="311" t="s">
        <v>9786</v>
      </c>
      <c r="G76" s="311" t="s">
        <v>9787</v>
      </c>
      <c r="H76" s="311" t="s">
        <v>9788</v>
      </c>
      <c r="I76" s="349" t="s">
        <v>36</v>
      </c>
      <c r="J76" s="357" t="s">
        <v>9784</v>
      </c>
      <c r="K76" s="350"/>
      <c r="L76" s="351"/>
      <c r="M76" s="351"/>
      <c r="N76" s="351"/>
      <c r="O76" s="351"/>
      <c r="P76" s="351"/>
      <c r="Q76" s="351"/>
      <c r="R76" s="351"/>
      <c r="S76" s="351"/>
      <c r="T76" s="351"/>
      <c r="U76" s="351"/>
      <c r="V76" s="351"/>
      <c r="W76" s="351"/>
      <c r="X76" s="351"/>
      <c r="Y76" s="351"/>
      <c r="Z76" s="351"/>
      <c r="AA76" s="351"/>
    </row>
    <row r="77" ht="14.25" customHeight="1">
      <c r="A77" s="348" t="s">
        <v>9777</v>
      </c>
      <c r="B77" s="109"/>
      <c r="C77" s="311" t="s">
        <v>9789</v>
      </c>
      <c r="D77" s="349" t="s">
        <v>271</v>
      </c>
      <c r="E77" s="165" t="s">
        <v>9780</v>
      </c>
      <c r="F77" s="311" t="s">
        <v>9790</v>
      </c>
      <c r="G77" s="311" t="s">
        <v>9791</v>
      </c>
      <c r="H77" s="311" t="s">
        <v>9792</v>
      </c>
      <c r="I77" s="349" t="s">
        <v>36</v>
      </c>
      <c r="J77" s="357" t="s">
        <v>9784</v>
      </c>
      <c r="K77" s="350"/>
      <c r="L77" s="351"/>
      <c r="M77" s="351"/>
      <c r="N77" s="351"/>
      <c r="O77" s="351"/>
      <c r="P77" s="351"/>
      <c r="Q77" s="351"/>
      <c r="R77" s="351"/>
      <c r="S77" s="351"/>
      <c r="T77" s="351"/>
      <c r="U77" s="351"/>
      <c r="V77" s="351"/>
      <c r="W77" s="351"/>
      <c r="X77" s="351"/>
      <c r="Y77" s="351"/>
      <c r="Z77" s="351"/>
      <c r="AA77" s="351"/>
    </row>
    <row r="78" ht="14.25" customHeight="1">
      <c r="A78" s="348" t="s">
        <v>9793</v>
      </c>
      <c r="B78" s="188" t="s">
        <v>9794</v>
      </c>
      <c r="C78" s="311" t="s">
        <v>9795</v>
      </c>
      <c r="D78" s="349" t="s">
        <v>271</v>
      </c>
      <c r="E78" s="165" t="s">
        <v>9796</v>
      </c>
      <c r="F78" s="311" t="s">
        <v>9797</v>
      </c>
      <c r="G78" s="311" t="s">
        <v>9798</v>
      </c>
      <c r="H78" s="311" t="s">
        <v>9799</v>
      </c>
      <c r="I78" s="349" t="s">
        <v>36</v>
      </c>
      <c r="J78" s="311" t="s">
        <v>9800</v>
      </c>
      <c r="K78" s="350"/>
      <c r="L78" s="351"/>
      <c r="M78" s="351"/>
      <c r="N78" s="351"/>
      <c r="O78" s="351"/>
      <c r="P78" s="351"/>
      <c r="Q78" s="351"/>
      <c r="R78" s="351"/>
      <c r="S78" s="351"/>
      <c r="T78" s="351"/>
      <c r="U78" s="351"/>
      <c r="V78" s="351"/>
      <c r="W78" s="351"/>
      <c r="X78" s="351"/>
      <c r="Y78" s="351"/>
      <c r="Z78" s="351"/>
      <c r="AA78" s="351"/>
    </row>
    <row r="79" ht="14.25" customHeight="1">
      <c r="A79" s="348" t="s">
        <v>9793</v>
      </c>
      <c r="B79" s="108"/>
      <c r="C79" s="311" t="s">
        <v>9801</v>
      </c>
      <c r="D79" s="349" t="s">
        <v>271</v>
      </c>
      <c r="E79" s="165" t="s">
        <v>9796</v>
      </c>
      <c r="F79" s="311" t="s">
        <v>9802</v>
      </c>
      <c r="G79" s="352"/>
      <c r="H79" s="311" t="s">
        <v>9803</v>
      </c>
      <c r="I79" s="349" t="s">
        <v>36</v>
      </c>
      <c r="J79" s="311" t="s">
        <v>9800</v>
      </c>
      <c r="K79" s="350"/>
      <c r="L79" s="351"/>
      <c r="M79" s="351"/>
      <c r="N79" s="351"/>
      <c r="O79" s="351"/>
      <c r="P79" s="351"/>
      <c r="Q79" s="351"/>
      <c r="R79" s="351"/>
      <c r="S79" s="351"/>
      <c r="T79" s="351"/>
      <c r="U79" s="351"/>
      <c r="V79" s="351"/>
      <c r="W79" s="351"/>
      <c r="X79" s="351"/>
      <c r="Y79" s="351"/>
      <c r="Z79" s="351"/>
      <c r="AA79" s="351"/>
    </row>
    <row r="80" ht="14.25" customHeight="1">
      <c r="A80" s="348" t="s">
        <v>9793</v>
      </c>
      <c r="B80" s="108"/>
      <c r="C80" s="311" t="s">
        <v>9804</v>
      </c>
      <c r="D80" s="349" t="s">
        <v>271</v>
      </c>
      <c r="E80" s="165" t="s">
        <v>9796</v>
      </c>
      <c r="F80" s="311" t="s">
        <v>9805</v>
      </c>
      <c r="G80" s="352"/>
      <c r="H80" s="311" t="s">
        <v>9806</v>
      </c>
      <c r="I80" s="349" t="s">
        <v>36</v>
      </c>
      <c r="J80" s="311" t="s">
        <v>9800</v>
      </c>
      <c r="K80" s="350"/>
      <c r="L80" s="351"/>
      <c r="M80" s="351"/>
      <c r="N80" s="351"/>
      <c r="O80" s="351"/>
      <c r="P80" s="351"/>
      <c r="Q80" s="351"/>
      <c r="R80" s="351"/>
      <c r="S80" s="351"/>
      <c r="T80" s="351"/>
      <c r="U80" s="351"/>
      <c r="V80" s="351"/>
      <c r="W80" s="351"/>
      <c r="X80" s="351"/>
      <c r="Y80" s="351"/>
      <c r="Z80" s="351"/>
      <c r="AA80" s="351"/>
    </row>
    <row r="81" ht="14.25" customHeight="1">
      <c r="A81" s="348" t="s">
        <v>9793</v>
      </c>
      <c r="B81" s="109"/>
      <c r="C81" s="311" t="s">
        <v>9807</v>
      </c>
      <c r="D81" s="349" t="s">
        <v>271</v>
      </c>
      <c r="E81" s="165" t="s">
        <v>9796</v>
      </c>
      <c r="F81" s="311" t="s">
        <v>9808</v>
      </c>
      <c r="G81" s="352"/>
      <c r="H81" s="311" t="s">
        <v>9809</v>
      </c>
      <c r="I81" s="349" t="s">
        <v>36</v>
      </c>
      <c r="J81" s="311" t="s">
        <v>9800</v>
      </c>
      <c r="K81" s="350"/>
      <c r="L81" s="351"/>
      <c r="M81" s="351"/>
      <c r="N81" s="351"/>
      <c r="O81" s="351"/>
      <c r="P81" s="351"/>
      <c r="Q81" s="351"/>
      <c r="R81" s="351"/>
      <c r="S81" s="351"/>
      <c r="T81" s="351"/>
      <c r="U81" s="351"/>
      <c r="V81" s="351"/>
      <c r="W81" s="351"/>
      <c r="X81" s="351"/>
      <c r="Y81" s="351"/>
      <c r="Z81" s="351"/>
      <c r="AA81" s="351"/>
    </row>
    <row r="82" ht="14.25" customHeight="1">
      <c r="A82" s="348" t="s">
        <v>9810</v>
      </c>
      <c r="B82" s="188" t="s">
        <v>9811</v>
      </c>
      <c r="C82" s="311" t="s">
        <v>9812</v>
      </c>
      <c r="D82" s="349" t="s">
        <v>271</v>
      </c>
      <c r="E82" s="165" t="s">
        <v>9813</v>
      </c>
      <c r="F82" s="311" t="s">
        <v>9814</v>
      </c>
      <c r="G82" s="352"/>
      <c r="H82" s="311" t="s">
        <v>9815</v>
      </c>
      <c r="I82" s="349" t="s">
        <v>36</v>
      </c>
      <c r="J82" s="311" t="s">
        <v>9816</v>
      </c>
      <c r="K82" s="350"/>
      <c r="L82" s="351"/>
      <c r="M82" s="351"/>
      <c r="N82" s="351"/>
      <c r="O82" s="351"/>
      <c r="P82" s="351"/>
      <c r="Q82" s="351"/>
      <c r="R82" s="351"/>
      <c r="S82" s="351"/>
      <c r="T82" s="351"/>
      <c r="U82" s="351"/>
      <c r="V82" s="351"/>
      <c r="W82" s="351"/>
      <c r="X82" s="351"/>
      <c r="Y82" s="351"/>
      <c r="Z82" s="351"/>
      <c r="AA82" s="351"/>
    </row>
    <row r="83" ht="14.25" customHeight="1">
      <c r="A83" s="348" t="s">
        <v>9810</v>
      </c>
      <c r="B83" s="108"/>
      <c r="C83" s="311" t="s">
        <v>9817</v>
      </c>
      <c r="D83" s="349" t="s">
        <v>271</v>
      </c>
      <c r="E83" s="165" t="s">
        <v>9813</v>
      </c>
      <c r="F83" s="311" t="s">
        <v>9818</v>
      </c>
      <c r="G83" s="352"/>
      <c r="H83" s="311" t="s">
        <v>9819</v>
      </c>
      <c r="I83" s="349" t="s">
        <v>36</v>
      </c>
      <c r="J83" s="311" t="s">
        <v>9816</v>
      </c>
      <c r="K83" s="350"/>
      <c r="L83" s="351"/>
      <c r="M83" s="351"/>
      <c r="N83" s="351"/>
      <c r="O83" s="351"/>
      <c r="P83" s="351"/>
      <c r="Q83" s="351"/>
      <c r="R83" s="351"/>
      <c r="S83" s="351"/>
      <c r="T83" s="351"/>
      <c r="U83" s="351"/>
      <c r="V83" s="351"/>
      <c r="W83" s="351"/>
      <c r="X83" s="351"/>
      <c r="Y83" s="351"/>
      <c r="Z83" s="351"/>
      <c r="AA83" s="351"/>
    </row>
    <row r="84" ht="14.25" customHeight="1">
      <c r="A84" s="348" t="s">
        <v>9810</v>
      </c>
      <c r="B84" s="108"/>
      <c r="C84" s="311" t="s">
        <v>9820</v>
      </c>
      <c r="D84" s="349" t="s">
        <v>271</v>
      </c>
      <c r="E84" s="165" t="s">
        <v>9813</v>
      </c>
      <c r="F84" s="311" t="s">
        <v>9821</v>
      </c>
      <c r="G84" s="352"/>
      <c r="H84" s="311" t="s">
        <v>9819</v>
      </c>
      <c r="I84" s="349" t="s">
        <v>36</v>
      </c>
      <c r="J84" s="353"/>
      <c r="K84" s="350"/>
      <c r="L84" s="351"/>
      <c r="M84" s="351"/>
      <c r="N84" s="351"/>
      <c r="O84" s="351"/>
      <c r="P84" s="351"/>
      <c r="Q84" s="351"/>
      <c r="R84" s="351"/>
      <c r="S84" s="351"/>
      <c r="T84" s="351"/>
      <c r="U84" s="351"/>
      <c r="V84" s="351"/>
      <c r="W84" s="351"/>
      <c r="X84" s="351"/>
      <c r="Y84" s="351"/>
      <c r="Z84" s="351"/>
      <c r="AA84" s="351"/>
    </row>
    <row r="85" ht="14.25" customHeight="1">
      <c r="A85" s="348" t="s">
        <v>9810</v>
      </c>
      <c r="B85" s="108"/>
      <c r="C85" s="311" t="s">
        <v>9822</v>
      </c>
      <c r="D85" s="349" t="s">
        <v>271</v>
      </c>
      <c r="E85" s="165" t="s">
        <v>9813</v>
      </c>
      <c r="F85" s="311" t="s">
        <v>9823</v>
      </c>
      <c r="G85" s="352"/>
      <c r="H85" s="311" t="s">
        <v>9819</v>
      </c>
      <c r="I85" s="349" t="s">
        <v>36</v>
      </c>
      <c r="J85" s="353"/>
      <c r="K85" s="350"/>
      <c r="L85" s="351"/>
      <c r="M85" s="351"/>
      <c r="N85" s="351"/>
      <c r="O85" s="351"/>
      <c r="P85" s="351"/>
      <c r="Q85" s="351"/>
      <c r="R85" s="351"/>
      <c r="S85" s="351"/>
      <c r="T85" s="351"/>
      <c r="U85" s="351"/>
      <c r="V85" s="351"/>
      <c r="W85" s="351"/>
      <c r="X85" s="351"/>
      <c r="Y85" s="351"/>
      <c r="Z85" s="351"/>
      <c r="AA85" s="351"/>
    </row>
    <row r="86" ht="14.25" customHeight="1">
      <c r="A86" s="348" t="s">
        <v>9810</v>
      </c>
      <c r="B86" s="108"/>
      <c r="C86" s="311" t="s">
        <v>9824</v>
      </c>
      <c r="D86" s="349" t="s">
        <v>271</v>
      </c>
      <c r="E86" s="165" t="s">
        <v>9813</v>
      </c>
      <c r="F86" s="311" t="s">
        <v>9825</v>
      </c>
      <c r="G86" s="352"/>
      <c r="H86" s="311" t="s">
        <v>9819</v>
      </c>
      <c r="I86" s="349" t="s">
        <v>36</v>
      </c>
      <c r="J86" s="353"/>
      <c r="K86" s="350"/>
      <c r="L86" s="351"/>
      <c r="M86" s="351"/>
      <c r="N86" s="351"/>
      <c r="O86" s="351"/>
      <c r="P86" s="351"/>
      <c r="Q86" s="351"/>
      <c r="R86" s="351"/>
      <c r="S86" s="351"/>
      <c r="T86" s="351"/>
      <c r="U86" s="351"/>
      <c r="V86" s="351"/>
      <c r="W86" s="351"/>
      <c r="X86" s="351"/>
      <c r="Y86" s="351"/>
      <c r="Z86" s="351"/>
      <c r="AA86" s="351"/>
    </row>
    <row r="87" ht="14.25" customHeight="1">
      <c r="A87" s="348" t="s">
        <v>9810</v>
      </c>
      <c r="B87" s="108"/>
      <c r="C87" s="311" t="s">
        <v>9826</v>
      </c>
      <c r="D87" s="349" t="s">
        <v>271</v>
      </c>
      <c r="E87" s="165" t="s">
        <v>9813</v>
      </c>
      <c r="F87" s="311" t="s">
        <v>9827</v>
      </c>
      <c r="G87" s="352"/>
      <c r="H87" s="311" t="s">
        <v>9828</v>
      </c>
      <c r="I87" s="349" t="s">
        <v>36</v>
      </c>
      <c r="J87" s="353"/>
      <c r="K87" s="350"/>
      <c r="L87" s="351"/>
      <c r="M87" s="351"/>
      <c r="N87" s="351"/>
      <c r="O87" s="351"/>
      <c r="P87" s="351"/>
      <c r="Q87" s="351"/>
      <c r="R87" s="351"/>
      <c r="S87" s="351"/>
      <c r="T87" s="351"/>
      <c r="U87" s="351"/>
      <c r="V87" s="351"/>
      <c r="W87" s="351"/>
      <c r="X87" s="351"/>
      <c r="Y87" s="351"/>
      <c r="Z87" s="351"/>
      <c r="AA87" s="351"/>
    </row>
    <row r="88" ht="14.25" customHeight="1">
      <c r="A88" s="348" t="s">
        <v>9810</v>
      </c>
      <c r="B88" s="108"/>
      <c r="C88" s="311" t="s">
        <v>9829</v>
      </c>
      <c r="D88" s="349" t="s">
        <v>271</v>
      </c>
      <c r="E88" s="165" t="s">
        <v>9813</v>
      </c>
      <c r="F88" s="311" t="s">
        <v>9830</v>
      </c>
      <c r="G88" s="352"/>
      <c r="H88" s="311" t="s">
        <v>9831</v>
      </c>
      <c r="I88" s="349" t="s">
        <v>36</v>
      </c>
      <c r="J88" s="353"/>
      <c r="K88" s="350"/>
      <c r="L88" s="351"/>
      <c r="M88" s="351"/>
      <c r="N88" s="351"/>
      <c r="O88" s="351"/>
      <c r="P88" s="351"/>
      <c r="Q88" s="351"/>
      <c r="R88" s="351"/>
      <c r="S88" s="351"/>
      <c r="T88" s="351"/>
      <c r="U88" s="351"/>
      <c r="V88" s="351"/>
      <c r="W88" s="351"/>
      <c r="X88" s="351"/>
      <c r="Y88" s="351"/>
      <c r="Z88" s="351"/>
      <c r="AA88" s="351"/>
    </row>
    <row r="89" ht="14.25" customHeight="1">
      <c r="A89" s="348" t="s">
        <v>9810</v>
      </c>
      <c r="B89" s="108"/>
      <c r="C89" s="311" t="s">
        <v>9832</v>
      </c>
      <c r="D89" s="349" t="s">
        <v>271</v>
      </c>
      <c r="E89" s="165" t="s">
        <v>9813</v>
      </c>
      <c r="F89" s="311" t="s">
        <v>9833</v>
      </c>
      <c r="G89" s="352"/>
      <c r="H89" s="311" t="s">
        <v>9834</v>
      </c>
      <c r="I89" s="349" t="s">
        <v>36</v>
      </c>
      <c r="J89" s="353"/>
      <c r="K89" s="350"/>
      <c r="L89" s="351"/>
      <c r="M89" s="351"/>
      <c r="N89" s="351"/>
      <c r="O89" s="351"/>
      <c r="P89" s="351"/>
      <c r="Q89" s="351"/>
      <c r="R89" s="351"/>
      <c r="S89" s="351"/>
      <c r="T89" s="351"/>
      <c r="U89" s="351"/>
      <c r="V89" s="351"/>
      <c r="W89" s="351"/>
      <c r="X89" s="351"/>
      <c r="Y89" s="351"/>
      <c r="Z89" s="351"/>
      <c r="AA89" s="351"/>
    </row>
    <row r="90" ht="14.25" customHeight="1">
      <c r="A90" s="348" t="s">
        <v>9810</v>
      </c>
      <c r="B90" s="108"/>
      <c r="C90" s="311" t="s">
        <v>9835</v>
      </c>
      <c r="D90" s="349" t="s">
        <v>271</v>
      </c>
      <c r="E90" s="165" t="s">
        <v>9813</v>
      </c>
      <c r="F90" s="311" t="s">
        <v>9836</v>
      </c>
      <c r="G90" s="352"/>
      <c r="H90" s="311" t="s">
        <v>9837</v>
      </c>
      <c r="I90" s="349" t="s">
        <v>36</v>
      </c>
      <c r="J90" s="353"/>
      <c r="K90" s="350"/>
      <c r="L90" s="351"/>
      <c r="M90" s="351"/>
      <c r="N90" s="351"/>
      <c r="O90" s="351"/>
      <c r="P90" s="351"/>
      <c r="Q90" s="351"/>
      <c r="R90" s="351"/>
      <c r="S90" s="351"/>
      <c r="T90" s="351"/>
      <c r="U90" s="351"/>
      <c r="V90" s="351"/>
      <c r="W90" s="351"/>
      <c r="X90" s="351"/>
      <c r="Y90" s="351"/>
      <c r="Z90" s="351"/>
      <c r="AA90" s="351"/>
    </row>
    <row r="91" ht="14.25" customHeight="1">
      <c r="A91" s="348" t="s">
        <v>9810</v>
      </c>
      <c r="B91" s="108"/>
      <c r="C91" s="311" t="s">
        <v>9838</v>
      </c>
      <c r="D91" s="349" t="s">
        <v>271</v>
      </c>
      <c r="E91" s="165" t="s">
        <v>9813</v>
      </c>
      <c r="F91" s="311" t="s">
        <v>9839</v>
      </c>
      <c r="G91" s="352"/>
      <c r="H91" s="311" t="s">
        <v>9840</v>
      </c>
      <c r="I91" s="349" t="s">
        <v>36</v>
      </c>
      <c r="J91" s="353"/>
      <c r="K91" s="350"/>
      <c r="L91" s="351"/>
      <c r="M91" s="351"/>
      <c r="N91" s="351"/>
      <c r="O91" s="351"/>
      <c r="P91" s="351"/>
      <c r="Q91" s="351"/>
      <c r="R91" s="351"/>
      <c r="S91" s="351"/>
      <c r="T91" s="351"/>
      <c r="U91" s="351"/>
      <c r="V91" s="351"/>
      <c r="W91" s="351"/>
      <c r="X91" s="351"/>
      <c r="Y91" s="351"/>
      <c r="Z91" s="351"/>
      <c r="AA91" s="351"/>
    </row>
    <row r="92" ht="14.25" customHeight="1">
      <c r="A92" s="348" t="s">
        <v>9810</v>
      </c>
      <c r="B92" s="108"/>
      <c r="C92" s="311" t="s">
        <v>9841</v>
      </c>
      <c r="D92" s="349" t="s">
        <v>271</v>
      </c>
      <c r="E92" s="165" t="s">
        <v>9813</v>
      </c>
      <c r="F92" s="311" t="s">
        <v>9842</v>
      </c>
      <c r="G92" s="352"/>
      <c r="H92" s="311" t="s">
        <v>9843</v>
      </c>
      <c r="I92" s="349" t="s">
        <v>36</v>
      </c>
      <c r="J92" s="353"/>
      <c r="K92" s="350"/>
      <c r="L92" s="351"/>
      <c r="M92" s="351"/>
      <c r="N92" s="351"/>
      <c r="O92" s="351"/>
      <c r="P92" s="351"/>
      <c r="Q92" s="351"/>
      <c r="R92" s="351"/>
      <c r="S92" s="351"/>
      <c r="T92" s="351"/>
      <c r="U92" s="351"/>
      <c r="V92" s="351"/>
      <c r="W92" s="351"/>
      <c r="X92" s="351"/>
      <c r="Y92" s="351"/>
      <c r="Z92" s="351"/>
      <c r="AA92" s="351"/>
    </row>
    <row r="93" ht="14.25" customHeight="1">
      <c r="A93" s="348" t="s">
        <v>9810</v>
      </c>
      <c r="B93" s="108"/>
      <c r="C93" s="311" t="s">
        <v>9844</v>
      </c>
      <c r="D93" s="349" t="s">
        <v>271</v>
      </c>
      <c r="E93" s="165" t="s">
        <v>9813</v>
      </c>
      <c r="F93" s="311" t="s">
        <v>9845</v>
      </c>
      <c r="G93" s="352"/>
      <c r="H93" s="311" t="s">
        <v>9846</v>
      </c>
      <c r="I93" s="349" t="s">
        <v>36</v>
      </c>
      <c r="J93" s="353"/>
      <c r="K93" s="350"/>
      <c r="L93" s="351"/>
      <c r="M93" s="351"/>
      <c r="N93" s="351"/>
      <c r="O93" s="351"/>
      <c r="P93" s="351"/>
      <c r="Q93" s="351"/>
      <c r="R93" s="351"/>
      <c r="S93" s="351"/>
      <c r="T93" s="351"/>
      <c r="U93" s="351"/>
      <c r="V93" s="351"/>
      <c r="W93" s="351"/>
      <c r="X93" s="351"/>
      <c r="Y93" s="351"/>
      <c r="Z93" s="351"/>
      <c r="AA93" s="351"/>
    </row>
    <row r="94" ht="14.25" customHeight="1">
      <c r="A94" s="348" t="s">
        <v>9810</v>
      </c>
      <c r="B94" s="108"/>
      <c r="C94" s="311" t="s">
        <v>9847</v>
      </c>
      <c r="D94" s="349" t="s">
        <v>271</v>
      </c>
      <c r="E94" s="165" t="s">
        <v>9813</v>
      </c>
      <c r="F94" s="311" t="s">
        <v>9848</v>
      </c>
      <c r="G94" s="352"/>
      <c r="H94" s="311" t="s">
        <v>9849</v>
      </c>
      <c r="I94" s="349" t="s">
        <v>36</v>
      </c>
      <c r="J94" s="353"/>
      <c r="K94" s="350"/>
      <c r="L94" s="351"/>
      <c r="M94" s="351"/>
      <c r="N94" s="351"/>
      <c r="O94" s="351"/>
      <c r="P94" s="351"/>
      <c r="Q94" s="351"/>
      <c r="R94" s="351"/>
      <c r="S94" s="351"/>
      <c r="T94" s="351"/>
      <c r="U94" s="351"/>
      <c r="V94" s="351"/>
      <c r="W94" s="351"/>
      <c r="X94" s="351"/>
      <c r="Y94" s="351"/>
      <c r="Z94" s="351"/>
      <c r="AA94" s="351"/>
    </row>
    <row r="95" ht="14.25" customHeight="1">
      <c r="A95" s="348" t="s">
        <v>9810</v>
      </c>
      <c r="B95" s="108"/>
      <c r="C95" s="311" t="s">
        <v>9850</v>
      </c>
      <c r="D95" s="349" t="s">
        <v>271</v>
      </c>
      <c r="E95" s="165" t="s">
        <v>9813</v>
      </c>
      <c r="F95" s="311" t="s">
        <v>9851</v>
      </c>
      <c r="G95" s="352"/>
      <c r="H95" s="311" t="s">
        <v>9852</v>
      </c>
      <c r="I95" s="349" t="s">
        <v>36</v>
      </c>
      <c r="J95" s="353"/>
      <c r="K95" s="350"/>
      <c r="L95" s="351"/>
      <c r="M95" s="351"/>
      <c r="N95" s="351"/>
      <c r="O95" s="351"/>
      <c r="P95" s="351"/>
      <c r="Q95" s="351"/>
      <c r="R95" s="351"/>
      <c r="S95" s="351"/>
      <c r="T95" s="351"/>
      <c r="U95" s="351"/>
      <c r="V95" s="351"/>
      <c r="W95" s="351"/>
      <c r="X95" s="351"/>
      <c r="Y95" s="351"/>
      <c r="Z95" s="351"/>
      <c r="AA95" s="351"/>
    </row>
    <row r="96" ht="14.25" customHeight="1">
      <c r="A96" s="348" t="s">
        <v>9810</v>
      </c>
      <c r="B96" s="108"/>
      <c r="C96" s="311" t="s">
        <v>9853</v>
      </c>
      <c r="D96" s="349" t="s">
        <v>271</v>
      </c>
      <c r="E96" s="165" t="s">
        <v>9813</v>
      </c>
      <c r="F96" s="311" t="s">
        <v>9854</v>
      </c>
      <c r="G96" s="352"/>
      <c r="H96" s="311" t="s">
        <v>9855</v>
      </c>
      <c r="I96" s="349" t="s">
        <v>36</v>
      </c>
      <c r="J96" s="353"/>
      <c r="K96" s="350"/>
      <c r="L96" s="351"/>
      <c r="M96" s="351"/>
      <c r="N96" s="351"/>
      <c r="O96" s="351"/>
      <c r="P96" s="351"/>
      <c r="Q96" s="351"/>
      <c r="R96" s="351"/>
      <c r="S96" s="351"/>
      <c r="T96" s="351"/>
      <c r="U96" s="351"/>
      <c r="V96" s="351"/>
      <c r="W96" s="351"/>
      <c r="X96" s="351"/>
      <c r="Y96" s="351"/>
      <c r="Z96" s="351"/>
      <c r="AA96" s="351"/>
    </row>
    <row r="97" ht="14.25" customHeight="1">
      <c r="A97" s="348" t="s">
        <v>9810</v>
      </c>
      <c r="B97" s="108"/>
      <c r="C97" s="311" t="s">
        <v>9856</v>
      </c>
      <c r="D97" s="349" t="s">
        <v>271</v>
      </c>
      <c r="E97" s="165" t="s">
        <v>9813</v>
      </c>
      <c r="F97" s="311" t="s">
        <v>9857</v>
      </c>
      <c r="G97" s="352"/>
      <c r="H97" s="311" t="s">
        <v>9858</v>
      </c>
      <c r="I97" s="349" t="s">
        <v>36</v>
      </c>
      <c r="J97" s="353"/>
      <c r="K97" s="350"/>
      <c r="L97" s="351"/>
      <c r="M97" s="351"/>
      <c r="N97" s="351"/>
      <c r="O97" s="351"/>
      <c r="P97" s="351"/>
      <c r="Q97" s="351"/>
      <c r="R97" s="351"/>
      <c r="S97" s="351"/>
      <c r="T97" s="351"/>
      <c r="U97" s="351"/>
      <c r="V97" s="351"/>
      <c r="W97" s="351"/>
      <c r="X97" s="351"/>
      <c r="Y97" s="351"/>
      <c r="Z97" s="351"/>
      <c r="AA97" s="351"/>
    </row>
    <row r="98" ht="14.25" customHeight="1">
      <c r="A98" s="348" t="s">
        <v>9810</v>
      </c>
      <c r="B98" s="109"/>
      <c r="C98" s="311" t="s">
        <v>9859</v>
      </c>
      <c r="D98" s="349" t="s">
        <v>271</v>
      </c>
      <c r="E98" s="165" t="s">
        <v>9813</v>
      </c>
      <c r="F98" s="311" t="s">
        <v>9860</v>
      </c>
      <c r="G98" s="352"/>
      <c r="H98" s="311" t="s">
        <v>9861</v>
      </c>
      <c r="I98" s="349" t="s">
        <v>36</v>
      </c>
      <c r="J98" s="353"/>
      <c r="K98" s="350"/>
      <c r="L98" s="351"/>
      <c r="M98" s="351"/>
      <c r="N98" s="351"/>
      <c r="O98" s="351"/>
      <c r="P98" s="351"/>
      <c r="Q98" s="351"/>
      <c r="R98" s="351"/>
      <c r="S98" s="351"/>
      <c r="T98" s="351"/>
      <c r="U98" s="351"/>
      <c r="V98" s="351"/>
      <c r="W98" s="351"/>
      <c r="X98" s="351"/>
      <c r="Y98" s="351"/>
      <c r="Z98" s="351"/>
      <c r="AA98" s="351"/>
    </row>
    <row r="99" ht="14.25" customHeight="1">
      <c r="A99" s="348" t="s">
        <v>9862</v>
      </c>
      <c r="B99" s="188" t="s">
        <v>9863</v>
      </c>
      <c r="C99" s="311" t="s">
        <v>9864</v>
      </c>
      <c r="D99" s="349" t="s">
        <v>271</v>
      </c>
      <c r="E99" s="165" t="s">
        <v>9865</v>
      </c>
      <c r="F99" s="311" t="s">
        <v>9866</v>
      </c>
      <c r="G99" s="311" t="s">
        <v>9867</v>
      </c>
      <c r="H99" s="311" t="s">
        <v>9868</v>
      </c>
      <c r="I99" s="349" t="s">
        <v>36</v>
      </c>
      <c r="J99" s="311" t="s">
        <v>2062</v>
      </c>
      <c r="K99" s="350"/>
      <c r="L99" s="351"/>
      <c r="M99" s="351"/>
      <c r="N99" s="351"/>
      <c r="O99" s="351"/>
      <c r="P99" s="351"/>
      <c r="Q99" s="351"/>
      <c r="R99" s="351"/>
      <c r="S99" s="351"/>
      <c r="T99" s="351"/>
      <c r="U99" s="351"/>
      <c r="V99" s="351"/>
      <c r="W99" s="351"/>
      <c r="X99" s="351"/>
      <c r="Y99" s="351"/>
      <c r="Z99" s="351"/>
      <c r="AA99" s="351"/>
    </row>
    <row r="100" ht="14.25" customHeight="1">
      <c r="A100" s="348" t="s">
        <v>9862</v>
      </c>
      <c r="B100" s="108"/>
      <c r="C100" s="311" t="s">
        <v>9869</v>
      </c>
      <c r="D100" s="349" t="s">
        <v>271</v>
      </c>
      <c r="E100" s="165" t="s">
        <v>9865</v>
      </c>
      <c r="F100" s="311" t="s">
        <v>9870</v>
      </c>
      <c r="G100" s="311" t="s">
        <v>9871</v>
      </c>
      <c r="H100" s="311" t="s">
        <v>9872</v>
      </c>
      <c r="I100" s="349" t="s">
        <v>36</v>
      </c>
      <c r="J100" s="311" t="s">
        <v>2062</v>
      </c>
      <c r="K100" s="350"/>
      <c r="L100" s="351"/>
      <c r="M100" s="351"/>
      <c r="N100" s="351"/>
      <c r="O100" s="351"/>
      <c r="P100" s="351"/>
      <c r="Q100" s="351"/>
      <c r="R100" s="351"/>
      <c r="S100" s="351"/>
      <c r="T100" s="351"/>
      <c r="U100" s="351"/>
      <c r="V100" s="351"/>
      <c r="W100" s="351"/>
      <c r="X100" s="351"/>
      <c r="Y100" s="351"/>
      <c r="Z100" s="351"/>
      <c r="AA100" s="351"/>
    </row>
    <row r="101" ht="14.25" customHeight="1">
      <c r="A101" s="348" t="s">
        <v>9862</v>
      </c>
      <c r="B101" s="108"/>
      <c r="C101" s="311" t="s">
        <v>9873</v>
      </c>
      <c r="D101" s="349" t="s">
        <v>271</v>
      </c>
      <c r="E101" s="165" t="s">
        <v>9865</v>
      </c>
      <c r="F101" s="311" t="s">
        <v>9874</v>
      </c>
      <c r="G101" s="311" t="s">
        <v>9875</v>
      </c>
      <c r="H101" s="311" t="s">
        <v>9868</v>
      </c>
      <c r="I101" s="349" t="s">
        <v>36</v>
      </c>
      <c r="J101" s="311" t="s">
        <v>2062</v>
      </c>
      <c r="K101" s="350"/>
      <c r="L101" s="351"/>
      <c r="M101" s="351"/>
      <c r="N101" s="351"/>
      <c r="O101" s="351"/>
      <c r="P101" s="351"/>
      <c r="Q101" s="351"/>
      <c r="R101" s="351"/>
      <c r="S101" s="351"/>
      <c r="T101" s="351"/>
      <c r="U101" s="351"/>
      <c r="V101" s="351"/>
      <c r="W101" s="351"/>
      <c r="X101" s="351"/>
      <c r="Y101" s="351"/>
      <c r="Z101" s="351"/>
      <c r="AA101" s="351"/>
    </row>
    <row r="102" ht="14.25" customHeight="1">
      <c r="A102" s="348" t="s">
        <v>9862</v>
      </c>
      <c r="B102" s="108"/>
      <c r="C102" s="311" t="s">
        <v>9876</v>
      </c>
      <c r="D102" s="349" t="s">
        <v>271</v>
      </c>
      <c r="E102" s="165" t="s">
        <v>9865</v>
      </c>
      <c r="F102" s="311" t="s">
        <v>9877</v>
      </c>
      <c r="G102" s="311" t="s">
        <v>9878</v>
      </c>
      <c r="H102" s="311" t="s">
        <v>9879</v>
      </c>
      <c r="I102" s="349" t="s">
        <v>36</v>
      </c>
      <c r="J102" s="311" t="s">
        <v>2062</v>
      </c>
      <c r="K102" s="350"/>
      <c r="L102" s="351"/>
      <c r="M102" s="351"/>
      <c r="N102" s="351"/>
      <c r="O102" s="351"/>
      <c r="P102" s="351"/>
      <c r="Q102" s="351"/>
      <c r="R102" s="351"/>
      <c r="S102" s="351"/>
      <c r="T102" s="351"/>
      <c r="U102" s="351"/>
      <c r="V102" s="351"/>
      <c r="W102" s="351"/>
      <c r="X102" s="351"/>
      <c r="Y102" s="351"/>
      <c r="Z102" s="351"/>
      <c r="AA102" s="351"/>
    </row>
    <row r="103" ht="14.25" customHeight="1">
      <c r="A103" s="348" t="s">
        <v>9862</v>
      </c>
      <c r="B103" s="108"/>
      <c r="C103" s="311" t="s">
        <v>9880</v>
      </c>
      <c r="D103" s="349" t="s">
        <v>271</v>
      </c>
      <c r="E103" s="165" t="s">
        <v>9865</v>
      </c>
      <c r="F103" s="311" t="s">
        <v>9881</v>
      </c>
      <c r="G103" s="311" t="s">
        <v>9875</v>
      </c>
      <c r="H103" s="311" t="s">
        <v>9882</v>
      </c>
      <c r="I103" s="349" t="s">
        <v>36</v>
      </c>
      <c r="J103" s="311" t="s">
        <v>2062</v>
      </c>
      <c r="K103" s="350"/>
      <c r="L103" s="351"/>
      <c r="M103" s="351"/>
      <c r="N103" s="351"/>
      <c r="O103" s="351"/>
      <c r="P103" s="351"/>
      <c r="Q103" s="351"/>
      <c r="R103" s="351"/>
      <c r="S103" s="351"/>
      <c r="T103" s="351"/>
      <c r="U103" s="351"/>
      <c r="V103" s="351"/>
      <c r="W103" s="351"/>
      <c r="X103" s="351"/>
      <c r="Y103" s="351"/>
      <c r="Z103" s="351"/>
      <c r="AA103" s="351"/>
    </row>
    <row r="104" ht="14.25" customHeight="1">
      <c r="A104" s="348" t="s">
        <v>9862</v>
      </c>
      <c r="B104" s="109"/>
      <c r="C104" s="311" t="s">
        <v>9883</v>
      </c>
      <c r="D104" s="349" t="s">
        <v>271</v>
      </c>
      <c r="E104" s="165" t="s">
        <v>9865</v>
      </c>
      <c r="F104" s="311" t="s">
        <v>9884</v>
      </c>
      <c r="G104" s="311" t="s">
        <v>9885</v>
      </c>
      <c r="H104" s="311" t="s">
        <v>9886</v>
      </c>
      <c r="I104" s="349" t="s">
        <v>36</v>
      </c>
      <c r="J104" s="311" t="s">
        <v>2062</v>
      </c>
      <c r="K104" s="350"/>
      <c r="L104" s="351"/>
      <c r="M104" s="351"/>
      <c r="N104" s="351"/>
      <c r="O104" s="351"/>
      <c r="P104" s="351"/>
      <c r="Q104" s="351"/>
      <c r="R104" s="351"/>
      <c r="S104" s="351"/>
      <c r="T104" s="351"/>
      <c r="U104" s="351"/>
      <c r="V104" s="351"/>
      <c r="W104" s="351"/>
      <c r="X104" s="351"/>
      <c r="Y104" s="351"/>
      <c r="Z104" s="351"/>
      <c r="AA104" s="351"/>
    </row>
    <row r="105" ht="14.25" customHeight="1">
      <c r="A105" s="348" t="s">
        <v>9887</v>
      </c>
      <c r="B105" s="188" t="s">
        <v>9888</v>
      </c>
      <c r="C105" s="311" t="s">
        <v>9889</v>
      </c>
      <c r="D105" s="349" t="s">
        <v>271</v>
      </c>
      <c r="E105" s="165" t="s">
        <v>9813</v>
      </c>
      <c r="F105" s="311" t="s">
        <v>9814</v>
      </c>
      <c r="G105" s="352"/>
      <c r="H105" s="311" t="s">
        <v>9815</v>
      </c>
      <c r="I105" s="349" t="s">
        <v>36</v>
      </c>
      <c r="J105" s="353"/>
      <c r="K105" s="350"/>
      <c r="L105" s="351"/>
      <c r="M105" s="351"/>
      <c r="N105" s="351"/>
      <c r="O105" s="351"/>
      <c r="P105" s="351"/>
      <c r="Q105" s="351"/>
      <c r="R105" s="351"/>
      <c r="S105" s="351"/>
      <c r="T105" s="351"/>
      <c r="U105" s="351"/>
      <c r="V105" s="351"/>
      <c r="W105" s="351"/>
      <c r="X105" s="351"/>
      <c r="Y105" s="351"/>
      <c r="Z105" s="351"/>
      <c r="AA105" s="351"/>
    </row>
    <row r="106" ht="14.25" customHeight="1">
      <c r="A106" s="348" t="s">
        <v>9887</v>
      </c>
      <c r="B106" s="108"/>
      <c r="C106" s="311" t="s">
        <v>9890</v>
      </c>
      <c r="D106" s="349" t="s">
        <v>271</v>
      </c>
      <c r="E106" s="165" t="s">
        <v>9813</v>
      </c>
      <c r="F106" s="311" t="s">
        <v>9818</v>
      </c>
      <c r="G106" s="352"/>
      <c r="H106" s="311" t="s">
        <v>9819</v>
      </c>
      <c r="I106" s="349" t="s">
        <v>36</v>
      </c>
      <c r="J106" s="353"/>
      <c r="K106" s="350"/>
      <c r="L106" s="351"/>
      <c r="M106" s="351"/>
      <c r="N106" s="351"/>
      <c r="O106" s="351"/>
      <c r="P106" s="351"/>
      <c r="Q106" s="351"/>
      <c r="R106" s="351"/>
      <c r="S106" s="351"/>
      <c r="T106" s="351"/>
      <c r="U106" s="351"/>
      <c r="V106" s="351"/>
      <c r="W106" s="351"/>
      <c r="X106" s="351"/>
      <c r="Y106" s="351"/>
      <c r="Z106" s="351"/>
      <c r="AA106" s="351"/>
    </row>
    <row r="107" ht="14.25" customHeight="1">
      <c r="A107" s="348" t="s">
        <v>9887</v>
      </c>
      <c r="B107" s="108"/>
      <c r="C107" s="311" t="s">
        <v>9891</v>
      </c>
      <c r="D107" s="349" t="s">
        <v>271</v>
      </c>
      <c r="E107" s="165" t="s">
        <v>9813</v>
      </c>
      <c r="F107" s="311" t="s">
        <v>9821</v>
      </c>
      <c r="G107" s="352"/>
      <c r="H107" s="311" t="s">
        <v>9892</v>
      </c>
      <c r="I107" s="349" t="s">
        <v>36</v>
      </c>
      <c r="J107" s="353"/>
      <c r="K107" s="350"/>
      <c r="L107" s="351"/>
      <c r="M107" s="351"/>
      <c r="N107" s="351"/>
      <c r="O107" s="351"/>
      <c r="P107" s="351"/>
      <c r="Q107" s="351"/>
      <c r="R107" s="351"/>
      <c r="S107" s="351"/>
      <c r="T107" s="351"/>
      <c r="U107" s="351"/>
      <c r="V107" s="351"/>
      <c r="W107" s="351"/>
      <c r="X107" s="351"/>
      <c r="Y107" s="351"/>
      <c r="Z107" s="351"/>
      <c r="AA107" s="351"/>
    </row>
    <row r="108" ht="14.25" customHeight="1">
      <c r="A108" s="348" t="s">
        <v>9887</v>
      </c>
      <c r="B108" s="108"/>
      <c r="C108" s="311" t="s">
        <v>9893</v>
      </c>
      <c r="D108" s="349" t="s">
        <v>271</v>
      </c>
      <c r="E108" s="165" t="s">
        <v>9813</v>
      </c>
      <c r="F108" s="311" t="s">
        <v>9823</v>
      </c>
      <c r="G108" s="352"/>
      <c r="H108" s="311" t="s">
        <v>9894</v>
      </c>
      <c r="I108" s="349" t="s">
        <v>36</v>
      </c>
      <c r="J108" s="353"/>
      <c r="K108" s="350"/>
      <c r="L108" s="351"/>
      <c r="M108" s="351"/>
      <c r="N108" s="351"/>
      <c r="O108" s="351"/>
      <c r="P108" s="351"/>
      <c r="Q108" s="351"/>
      <c r="R108" s="351"/>
      <c r="S108" s="351"/>
      <c r="T108" s="351"/>
      <c r="U108" s="351"/>
      <c r="V108" s="351"/>
      <c r="W108" s="351"/>
      <c r="X108" s="351"/>
      <c r="Y108" s="351"/>
      <c r="Z108" s="351"/>
      <c r="AA108" s="351"/>
    </row>
    <row r="109" ht="14.25" customHeight="1">
      <c r="A109" s="348" t="s">
        <v>9887</v>
      </c>
      <c r="B109" s="108"/>
      <c r="C109" s="311" t="s">
        <v>9895</v>
      </c>
      <c r="D109" s="349" t="s">
        <v>271</v>
      </c>
      <c r="E109" s="165" t="s">
        <v>9813</v>
      </c>
      <c r="F109" s="311" t="s">
        <v>9827</v>
      </c>
      <c r="G109" s="352"/>
      <c r="H109" s="311" t="s">
        <v>9828</v>
      </c>
      <c r="I109" s="349" t="s">
        <v>36</v>
      </c>
      <c r="J109" s="353"/>
      <c r="K109" s="350"/>
      <c r="L109" s="351"/>
      <c r="M109" s="351"/>
      <c r="N109" s="351"/>
      <c r="O109" s="351"/>
      <c r="P109" s="351"/>
      <c r="Q109" s="351"/>
      <c r="R109" s="351"/>
      <c r="S109" s="351"/>
      <c r="T109" s="351"/>
      <c r="U109" s="351"/>
      <c r="V109" s="351"/>
      <c r="W109" s="351"/>
      <c r="X109" s="351"/>
      <c r="Y109" s="351"/>
      <c r="Z109" s="351"/>
      <c r="AA109" s="351"/>
    </row>
    <row r="110" ht="14.25" customHeight="1">
      <c r="A110" s="348" t="s">
        <v>9887</v>
      </c>
      <c r="B110" s="108"/>
      <c r="C110" s="311" t="s">
        <v>9896</v>
      </c>
      <c r="D110" s="349" t="s">
        <v>271</v>
      </c>
      <c r="E110" s="165" t="s">
        <v>9813</v>
      </c>
      <c r="F110" s="311" t="s">
        <v>9830</v>
      </c>
      <c r="G110" s="352"/>
      <c r="H110" s="311" t="s">
        <v>9831</v>
      </c>
      <c r="I110" s="349" t="s">
        <v>36</v>
      </c>
      <c r="J110" s="353"/>
      <c r="K110" s="350"/>
      <c r="L110" s="351"/>
      <c r="M110" s="351"/>
      <c r="N110" s="351"/>
      <c r="O110" s="351"/>
      <c r="P110" s="351"/>
      <c r="Q110" s="351"/>
      <c r="R110" s="351"/>
      <c r="S110" s="351"/>
      <c r="T110" s="351"/>
      <c r="U110" s="351"/>
      <c r="V110" s="351"/>
      <c r="W110" s="351"/>
      <c r="X110" s="351"/>
      <c r="Y110" s="351"/>
      <c r="Z110" s="351"/>
      <c r="AA110" s="351"/>
    </row>
    <row r="111" ht="14.25" customHeight="1">
      <c r="A111" s="348" t="s">
        <v>9887</v>
      </c>
      <c r="B111" s="108"/>
      <c r="C111" s="311" t="s">
        <v>9897</v>
      </c>
      <c r="D111" s="349" t="s">
        <v>271</v>
      </c>
      <c r="E111" s="165" t="s">
        <v>9813</v>
      </c>
      <c r="F111" s="311" t="s">
        <v>9833</v>
      </c>
      <c r="G111" s="352"/>
      <c r="H111" s="311" t="s">
        <v>9834</v>
      </c>
      <c r="I111" s="349" t="s">
        <v>36</v>
      </c>
      <c r="J111" s="353"/>
      <c r="K111" s="350"/>
      <c r="L111" s="351"/>
      <c r="M111" s="351"/>
      <c r="N111" s="351"/>
      <c r="O111" s="351"/>
      <c r="P111" s="351"/>
      <c r="Q111" s="351"/>
      <c r="R111" s="351"/>
      <c r="S111" s="351"/>
      <c r="T111" s="351"/>
      <c r="U111" s="351"/>
      <c r="V111" s="351"/>
      <c r="W111" s="351"/>
      <c r="X111" s="351"/>
      <c r="Y111" s="351"/>
      <c r="Z111" s="351"/>
      <c r="AA111" s="351"/>
    </row>
    <row r="112" ht="14.25" customHeight="1">
      <c r="A112" s="348" t="s">
        <v>9887</v>
      </c>
      <c r="B112" s="108"/>
      <c r="C112" s="311" t="s">
        <v>9898</v>
      </c>
      <c r="D112" s="349" t="s">
        <v>271</v>
      </c>
      <c r="E112" s="165" t="s">
        <v>9899</v>
      </c>
      <c r="F112" s="311" t="s">
        <v>9900</v>
      </c>
      <c r="G112" s="352"/>
      <c r="H112" s="311" t="s">
        <v>9901</v>
      </c>
      <c r="I112" s="349" t="s">
        <v>36</v>
      </c>
      <c r="J112" s="353"/>
      <c r="K112" s="350"/>
      <c r="L112" s="351"/>
      <c r="M112" s="351"/>
      <c r="N112" s="351"/>
      <c r="O112" s="351"/>
      <c r="P112" s="351"/>
      <c r="Q112" s="351"/>
      <c r="R112" s="351"/>
      <c r="S112" s="351"/>
      <c r="T112" s="351"/>
      <c r="U112" s="351"/>
      <c r="V112" s="351"/>
      <c r="W112" s="351"/>
      <c r="X112" s="351"/>
      <c r="Y112" s="351"/>
      <c r="Z112" s="351"/>
      <c r="AA112" s="351"/>
    </row>
    <row r="113" ht="14.25" customHeight="1">
      <c r="A113" s="348" t="s">
        <v>9887</v>
      </c>
      <c r="B113" s="108"/>
      <c r="C113" s="311" t="s">
        <v>9902</v>
      </c>
      <c r="D113" s="349" t="s">
        <v>271</v>
      </c>
      <c r="E113" s="165" t="s">
        <v>9899</v>
      </c>
      <c r="F113" s="311" t="s">
        <v>9903</v>
      </c>
      <c r="G113" s="352"/>
      <c r="H113" s="311" t="s">
        <v>9904</v>
      </c>
      <c r="I113" s="349" t="s">
        <v>36</v>
      </c>
      <c r="J113" s="353"/>
      <c r="K113" s="350"/>
      <c r="L113" s="351"/>
      <c r="M113" s="351"/>
      <c r="N113" s="351"/>
      <c r="O113" s="351"/>
      <c r="P113" s="351"/>
      <c r="Q113" s="351"/>
      <c r="R113" s="351"/>
      <c r="S113" s="351"/>
      <c r="T113" s="351"/>
      <c r="U113" s="351"/>
      <c r="V113" s="351"/>
      <c r="W113" s="351"/>
      <c r="X113" s="351"/>
      <c r="Y113" s="351"/>
      <c r="Z113" s="351"/>
      <c r="AA113" s="351"/>
    </row>
    <row r="114" ht="14.25" customHeight="1">
      <c r="A114" s="348" t="s">
        <v>9887</v>
      </c>
      <c r="B114" s="108"/>
      <c r="C114" s="311" t="s">
        <v>9905</v>
      </c>
      <c r="D114" s="349" t="s">
        <v>271</v>
      </c>
      <c r="E114" s="165" t="s">
        <v>9899</v>
      </c>
      <c r="F114" s="311" t="s">
        <v>9906</v>
      </c>
      <c r="G114" s="352"/>
      <c r="H114" s="311" t="s">
        <v>9907</v>
      </c>
      <c r="I114" s="349" t="s">
        <v>36</v>
      </c>
      <c r="J114" s="353"/>
      <c r="K114" s="350"/>
      <c r="L114" s="351"/>
      <c r="M114" s="351"/>
      <c r="N114" s="351"/>
      <c r="O114" s="351"/>
      <c r="P114" s="351"/>
      <c r="Q114" s="351"/>
      <c r="R114" s="351"/>
      <c r="S114" s="351"/>
      <c r="T114" s="351"/>
      <c r="U114" s="351"/>
      <c r="V114" s="351"/>
      <c r="W114" s="351"/>
      <c r="X114" s="351"/>
      <c r="Y114" s="351"/>
      <c r="Z114" s="351"/>
      <c r="AA114" s="351"/>
    </row>
    <row r="115" ht="14.25" customHeight="1">
      <c r="A115" s="348" t="s">
        <v>9887</v>
      </c>
      <c r="B115" s="108"/>
      <c r="C115" s="311" t="s">
        <v>9908</v>
      </c>
      <c r="D115" s="349" t="s">
        <v>271</v>
      </c>
      <c r="E115" s="165" t="s">
        <v>9899</v>
      </c>
      <c r="F115" s="311" t="s">
        <v>9909</v>
      </c>
      <c r="G115" s="352"/>
      <c r="H115" s="311" t="s">
        <v>9910</v>
      </c>
      <c r="I115" s="349" t="s">
        <v>36</v>
      </c>
      <c r="J115" s="353"/>
      <c r="K115" s="350"/>
      <c r="L115" s="351"/>
      <c r="M115" s="351"/>
      <c r="N115" s="351"/>
      <c r="O115" s="351"/>
      <c r="P115" s="351"/>
      <c r="Q115" s="351"/>
      <c r="R115" s="351"/>
      <c r="S115" s="351"/>
      <c r="T115" s="351"/>
      <c r="U115" s="351"/>
      <c r="V115" s="351"/>
      <c r="W115" s="351"/>
      <c r="X115" s="351"/>
      <c r="Y115" s="351"/>
      <c r="Z115" s="351"/>
      <c r="AA115" s="351"/>
    </row>
    <row r="116" ht="14.25" customHeight="1">
      <c r="A116" s="348" t="s">
        <v>9887</v>
      </c>
      <c r="B116" s="108"/>
      <c r="C116" s="311" t="s">
        <v>9911</v>
      </c>
      <c r="D116" s="349" t="s">
        <v>271</v>
      </c>
      <c r="E116" s="165" t="s">
        <v>9899</v>
      </c>
      <c r="F116" s="311" t="s">
        <v>9912</v>
      </c>
      <c r="G116" s="352"/>
      <c r="H116" s="311" t="s">
        <v>9913</v>
      </c>
      <c r="I116" s="349" t="s">
        <v>36</v>
      </c>
      <c r="J116" s="353"/>
      <c r="K116" s="350"/>
      <c r="L116" s="351"/>
      <c r="M116" s="351"/>
      <c r="N116" s="351"/>
      <c r="O116" s="351"/>
      <c r="P116" s="351"/>
      <c r="Q116" s="351"/>
      <c r="R116" s="351"/>
      <c r="S116" s="351"/>
      <c r="T116" s="351"/>
      <c r="U116" s="351"/>
      <c r="V116" s="351"/>
      <c r="W116" s="351"/>
      <c r="X116" s="351"/>
      <c r="Y116" s="351"/>
      <c r="Z116" s="351"/>
      <c r="AA116" s="351"/>
    </row>
    <row r="117" ht="14.25" customHeight="1">
      <c r="A117" s="348" t="s">
        <v>9887</v>
      </c>
      <c r="B117" s="108"/>
      <c r="C117" s="311" t="s">
        <v>9914</v>
      </c>
      <c r="D117" s="349" t="s">
        <v>271</v>
      </c>
      <c r="E117" s="165" t="s">
        <v>9899</v>
      </c>
      <c r="F117" s="311" t="s">
        <v>9915</v>
      </c>
      <c r="G117" s="352"/>
      <c r="H117" s="311" t="s">
        <v>9916</v>
      </c>
      <c r="I117" s="349" t="s">
        <v>36</v>
      </c>
      <c r="J117" s="353"/>
      <c r="K117" s="350"/>
      <c r="L117" s="351"/>
      <c r="M117" s="351"/>
      <c r="N117" s="351"/>
      <c r="O117" s="351"/>
      <c r="P117" s="351"/>
      <c r="Q117" s="351"/>
      <c r="R117" s="351"/>
      <c r="S117" s="351"/>
      <c r="T117" s="351"/>
      <c r="U117" s="351"/>
      <c r="V117" s="351"/>
      <c r="W117" s="351"/>
      <c r="X117" s="351"/>
      <c r="Y117" s="351"/>
      <c r="Z117" s="351"/>
      <c r="AA117" s="351"/>
    </row>
    <row r="118" ht="14.25" customHeight="1">
      <c r="A118" s="348" t="s">
        <v>9887</v>
      </c>
      <c r="B118" s="108"/>
      <c r="C118" s="311" t="s">
        <v>9917</v>
      </c>
      <c r="D118" s="349" t="s">
        <v>271</v>
      </c>
      <c r="E118" s="165" t="s">
        <v>9899</v>
      </c>
      <c r="F118" s="311" t="s">
        <v>9918</v>
      </c>
      <c r="G118" s="352"/>
      <c r="H118" s="311" t="s">
        <v>9919</v>
      </c>
      <c r="I118" s="349" t="s">
        <v>36</v>
      </c>
      <c r="J118" s="353"/>
      <c r="K118" s="350"/>
      <c r="L118" s="351"/>
      <c r="M118" s="351"/>
      <c r="N118" s="351"/>
      <c r="O118" s="351"/>
      <c r="P118" s="351"/>
      <c r="Q118" s="351"/>
      <c r="R118" s="351"/>
      <c r="S118" s="351"/>
      <c r="T118" s="351"/>
      <c r="U118" s="351"/>
      <c r="V118" s="351"/>
      <c r="W118" s="351"/>
      <c r="X118" s="351"/>
      <c r="Y118" s="351"/>
      <c r="Z118" s="351"/>
      <c r="AA118" s="351"/>
    </row>
    <row r="119" ht="14.25" customHeight="1">
      <c r="A119" s="348" t="s">
        <v>9887</v>
      </c>
      <c r="B119" s="108"/>
      <c r="C119" s="311" t="s">
        <v>9920</v>
      </c>
      <c r="D119" s="349" t="s">
        <v>271</v>
      </c>
      <c r="E119" s="165" t="s">
        <v>9899</v>
      </c>
      <c r="F119" s="311" t="s">
        <v>9921</v>
      </c>
      <c r="G119" s="352"/>
      <c r="H119" s="311" t="s">
        <v>9922</v>
      </c>
      <c r="I119" s="349" t="s">
        <v>36</v>
      </c>
      <c r="J119" s="353"/>
      <c r="K119" s="350"/>
      <c r="L119" s="351"/>
      <c r="M119" s="351"/>
      <c r="N119" s="351"/>
      <c r="O119" s="351"/>
      <c r="P119" s="351"/>
      <c r="Q119" s="351"/>
      <c r="R119" s="351"/>
      <c r="S119" s="351"/>
      <c r="T119" s="351"/>
      <c r="U119" s="351"/>
      <c r="V119" s="351"/>
      <c r="W119" s="351"/>
      <c r="X119" s="351"/>
      <c r="Y119" s="351"/>
      <c r="Z119" s="351"/>
      <c r="AA119" s="351"/>
    </row>
    <row r="120" ht="14.25" customHeight="1">
      <c r="A120" s="348" t="s">
        <v>9887</v>
      </c>
      <c r="B120" s="108"/>
      <c r="C120" s="311" t="s">
        <v>9923</v>
      </c>
      <c r="D120" s="349" t="s">
        <v>271</v>
      </c>
      <c r="E120" s="165" t="s">
        <v>9899</v>
      </c>
      <c r="F120" s="311" t="s">
        <v>9924</v>
      </c>
      <c r="G120" s="352"/>
      <c r="H120" s="311" t="s">
        <v>9925</v>
      </c>
      <c r="I120" s="349" t="s">
        <v>36</v>
      </c>
      <c r="J120" s="353"/>
      <c r="K120" s="350"/>
      <c r="L120" s="351"/>
      <c r="M120" s="351"/>
      <c r="N120" s="351"/>
      <c r="O120" s="351"/>
      <c r="P120" s="351"/>
      <c r="Q120" s="351"/>
      <c r="R120" s="351"/>
      <c r="S120" s="351"/>
      <c r="T120" s="351"/>
      <c r="U120" s="351"/>
      <c r="V120" s="351"/>
      <c r="W120" s="351"/>
      <c r="X120" s="351"/>
      <c r="Y120" s="351"/>
      <c r="Z120" s="351"/>
      <c r="AA120" s="351"/>
    </row>
    <row r="121" ht="14.25" customHeight="1">
      <c r="A121" s="348" t="s">
        <v>9887</v>
      </c>
      <c r="B121" s="108"/>
      <c r="C121" s="311" t="s">
        <v>9926</v>
      </c>
      <c r="D121" s="349" t="s">
        <v>271</v>
      </c>
      <c r="E121" s="165" t="s">
        <v>9899</v>
      </c>
      <c r="F121" s="311" t="s">
        <v>9842</v>
      </c>
      <c r="G121" s="352"/>
      <c r="H121" s="311" t="s">
        <v>9843</v>
      </c>
      <c r="I121" s="349" t="s">
        <v>36</v>
      </c>
      <c r="J121" s="353"/>
      <c r="K121" s="350"/>
      <c r="L121" s="351"/>
      <c r="M121" s="351"/>
      <c r="N121" s="351"/>
      <c r="O121" s="351"/>
      <c r="P121" s="351"/>
      <c r="Q121" s="351"/>
      <c r="R121" s="351"/>
      <c r="S121" s="351"/>
      <c r="T121" s="351"/>
      <c r="U121" s="351"/>
      <c r="V121" s="351"/>
      <c r="W121" s="351"/>
      <c r="X121" s="351"/>
      <c r="Y121" s="351"/>
      <c r="Z121" s="351"/>
      <c r="AA121" s="351"/>
    </row>
    <row r="122" ht="14.25" customHeight="1">
      <c r="A122" s="348" t="s">
        <v>9887</v>
      </c>
      <c r="B122" s="108"/>
      <c r="C122" s="311" t="s">
        <v>9927</v>
      </c>
      <c r="D122" s="349" t="s">
        <v>271</v>
      </c>
      <c r="E122" s="165" t="s">
        <v>9899</v>
      </c>
      <c r="F122" s="311" t="s">
        <v>9845</v>
      </c>
      <c r="G122" s="352"/>
      <c r="H122" s="311" t="s">
        <v>9846</v>
      </c>
      <c r="I122" s="349" t="s">
        <v>36</v>
      </c>
      <c r="J122" s="353"/>
      <c r="K122" s="350"/>
      <c r="L122" s="351"/>
      <c r="M122" s="351"/>
      <c r="N122" s="351"/>
      <c r="O122" s="351"/>
      <c r="P122" s="351"/>
      <c r="Q122" s="351"/>
      <c r="R122" s="351"/>
      <c r="S122" s="351"/>
      <c r="T122" s="351"/>
      <c r="U122" s="351"/>
      <c r="V122" s="351"/>
      <c r="W122" s="351"/>
      <c r="X122" s="351"/>
      <c r="Y122" s="351"/>
      <c r="Z122" s="351"/>
      <c r="AA122" s="351"/>
    </row>
    <row r="123" ht="14.25" customHeight="1">
      <c r="A123" s="348" t="s">
        <v>9887</v>
      </c>
      <c r="B123" s="108"/>
      <c r="C123" s="311" t="s">
        <v>9928</v>
      </c>
      <c r="D123" s="349" t="s">
        <v>271</v>
      </c>
      <c r="E123" s="165" t="s">
        <v>9899</v>
      </c>
      <c r="F123" s="311" t="s">
        <v>9848</v>
      </c>
      <c r="G123" s="352"/>
      <c r="H123" s="311" t="s">
        <v>9849</v>
      </c>
      <c r="I123" s="349" t="s">
        <v>36</v>
      </c>
      <c r="J123" s="353"/>
      <c r="K123" s="350"/>
      <c r="L123" s="351"/>
      <c r="M123" s="351"/>
      <c r="N123" s="351"/>
      <c r="O123" s="351"/>
      <c r="P123" s="351"/>
      <c r="Q123" s="351"/>
      <c r="R123" s="351"/>
      <c r="S123" s="351"/>
      <c r="T123" s="351"/>
      <c r="U123" s="351"/>
      <c r="V123" s="351"/>
      <c r="W123" s="351"/>
      <c r="X123" s="351"/>
      <c r="Y123" s="351"/>
      <c r="Z123" s="351"/>
      <c r="AA123" s="351"/>
    </row>
    <row r="124" ht="14.25" customHeight="1">
      <c r="A124" s="348" t="s">
        <v>9887</v>
      </c>
      <c r="B124" s="109"/>
      <c r="C124" s="311" t="s">
        <v>9929</v>
      </c>
      <c r="D124" s="349" t="s">
        <v>271</v>
      </c>
      <c r="E124" s="165" t="s">
        <v>9899</v>
      </c>
      <c r="F124" s="311" t="s">
        <v>9851</v>
      </c>
      <c r="G124" s="352"/>
      <c r="H124" s="311" t="s">
        <v>9930</v>
      </c>
      <c r="I124" s="349" t="s">
        <v>36</v>
      </c>
      <c r="J124" s="353"/>
      <c r="K124" s="350"/>
      <c r="L124" s="351"/>
      <c r="M124" s="351"/>
      <c r="N124" s="351"/>
      <c r="O124" s="351"/>
      <c r="P124" s="351"/>
      <c r="Q124" s="351"/>
      <c r="R124" s="351"/>
      <c r="S124" s="351"/>
      <c r="T124" s="351"/>
      <c r="U124" s="351"/>
      <c r="V124" s="351"/>
      <c r="W124" s="351"/>
      <c r="X124" s="351"/>
      <c r="Y124" s="351"/>
      <c r="Z124" s="351"/>
      <c r="AA124" s="351"/>
    </row>
    <row r="125" ht="14.25" customHeight="1">
      <c r="A125" s="348" t="s">
        <v>9931</v>
      </c>
      <c r="B125" s="188" t="s">
        <v>9932</v>
      </c>
      <c r="C125" s="311" t="s">
        <v>9933</v>
      </c>
      <c r="D125" s="349" t="s">
        <v>271</v>
      </c>
      <c r="E125" s="165" t="s">
        <v>9934</v>
      </c>
      <c r="F125" s="298" t="s">
        <v>9935</v>
      </c>
      <c r="G125" s="311" t="s">
        <v>9936</v>
      </c>
      <c r="H125" s="296" t="s">
        <v>9937</v>
      </c>
      <c r="I125" s="349" t="s">
        <v>36</v>
      </c>
      <c r="J125" s="311" t="s">
        <v>2062</v>
      </c>
      <c r="K125" s="350"/>
      <c r="L125" s="351"/>
      <c r="M125" s="351"/>
      <c r="N125" s="351"/>
      <c r="O125" s="351"/>
      <c r="P125" s="351"/>
      <c r="Q125" s="351"/>
      <c r="R125" s="351"/>
      <c r="S125" s="351"/>
      <c r="T125" s="351"/>
      <c r="U125" s="351"/>
      <c r="V125" s="351"/>
      <c r="W125" s="351"/>
      <c r="X125" s="351"/>
      <c r="Y125" s="351"/>
      <c r="Z125" s="351"/>
      <c r="AA125" s="351"/>
    </row>
    <row r="126" ht="14.25" customHeight="1">
      <c r="A126" s="348" t="s">
        <v>9931</v>
      </c>
      <c r="B126" s="108"/>
      <c r="C126" s="311" t="s">
        <v>9938</v>
      </c>
      <c r="D126" s="349" t="s">
        <v>271</v>
      </c>
      <c r="E126" s="165" t="s">
        <v>9934</v>
      </c>
      <c r="F126" s="298" t="s">
        <v>9939</v>
      </c>
      <c r="G126" s="311" t="s">
        <v>9940</v>
      </c>
      <c r="H126" s="296" t="s">
        <v>9941</v>
      </c>
      <c r="I126" s="349" t="s">
        <v>36</v>
      </c>
      <c r="J126" s="311" t="s">
        <v>2062</v>
      </c>
      <c r="K126" s="350"/>
      <c r="L126" s="351"/>
      <c r="M126" s="351"/>
      <c r="N126" s="351"/>
      <c r="O126" s="351"/>
      <c r="P126" s="351"/>
      <c r="Q126" s="351"/>
      <c r="R126" s="351"/>
      <c r="S126" s="351"/>
      <c r="T126" s="351"/>
      <c r="U126" s="351"/>
      <c r="V126" s="351"/>
      <c r="W126" s="351"/>
      <c r="X126" s="351"/>
      <c r="Y126" s="351"/>
      <c r="Z126" s="351"/>
      <c r="AA126" s="351"/>
    </row>
    <row r="127" ht="14.25" customHeight="1">
      <c r="A127" s="348" t="s">
        <v>9931</v>
      </c>
      <c r="B127" s="109"/>
      <c r="C127" s="311" t="s">
        <v>9942</v>
      </c>
      <c r="D127" s="349" t="s">
        <v>271</v>
      </c>
      <c r="E127" s="165" t="s">
        <v>9934</v>
      </c>
      <c r="F127" s="298" t="s">
        <v>9943</v>
      </c>
      <c r="G127" s="311" t="s">
        <v>9944</v>
      </c>
      <c r="H127" s="311" t="s">
        <v>9945</v>
      </c>
      <c r="I127" s="349" t="s">
        <v>36</v>
      </c>
      <c r="J127" s="311" t="s">
        <v>2062</v>
      </c>
      <c r="K127" s="350"/>
      <c r="L127" s="351"/>
      <c r="M127" s="351"/>
      <c r="N127" s="351"/>
      <c r="O127" s="351"/>
      <c r="P127" s="351"/>
      <c r="Q127" s="351"/>
      <c r="R127" s="351"/>
      <c r="S127" s="351"/>
      <c r="T127" s="351"/>
      <c r="U127" s="351"/>
      <c r="V127" s="351"/>
      <c r="W127" s="351"/>
      <c r="X127" s="351"/>
      <c r="Y127" s="351"/>
      <c r="Z127" s="351"/>
      <c r="AA127" s="351"/>
    </row>
    <row r="128" ht="14.25" customHeight="1">
      <c r="A128" s="348" t="s">
        <v>9946</v>
      </c>
      <c r="B128" s="358" t="s">
        <v>9947</v>
      </c>
      <c r="C128" s="311" t="s">
        <v>9948</v>
      </c>
      <c r="D128" s="349" t="s">
        <v>271</v>
      </c>
      <c r="E128" s="165" t="s">
        <v>9949</v>
      </c>
      <c r="F128" s="240" t="s">
        <v>9950</v>
      </c>
      <c r="G128" s="240" t="s">
        <v>9951</v>
      </c>
      <c r="H128" s="240" t="s">
        <v>9952</v>
      </c>
      <c r="I128" s="349" t="s">
        <v>36</v>
      </c>
      <c r="J128" s="311" t="s">
        <v>1784</v>
      </c>
      <c r="K128" s="350"/>
      <c r="L128" s="351"/>
      <c r="M128" s="351"/>
      <c r="N128" s="351"/>
      <c r="O128" s="351"/>
      <c r="P128" s="351"/>
      <c r="Q128" s="351"/>
      <c r="R128" s="351"/>
      <c r="S128" s="351"/>
      <c r="T128" s="351"/>
      <c r="U128" s="351"/>
      <c r="V128" s="351"/>
      <c r="W128" s="351"/>
      <c r="X128" s="351"/>
      <c r="Y128" s="351"/>
      <c r="Z128" s="351"/>
      <c r="AA128" s="351"/>
    </row>
    <row r="129" ht="14.25" customHeight="1">
      <c r="A129" s="348" t="s">
        <v>9946</v>
      </c>
      <c r="B129" s="108"/>
      <c r="C129" s="311" t="s">
        <v>9953</v>
      </c>
      <c r="D129" s="349" t="s">
        <v>271</v>
      </c>
      <c r="E129" s="165" t="s">
        <v>9949</v>
      </c>
      <c r="F129" s="240" t="s">
        <v>9954</v>
      </c>
      <c r="G129" s="240" t="s">
        <v>9955</v>
      </c>
      <c r="H129" s="240" t="s">
        <v>9956</v>
      </c>
      <c r="I129" s="349" t="s">
        <v>36</v>
      </c>
      <c r="J129" s="311" t="s">
        <v>1784</v>
      </c>
      <c r="K129" s="350"/>
      <c r="L129" s="351"/>
      <c r="M129" s="351"/>
      <c r="N129" s="351"/>
      <c r="O129" s="351"/>
      <c r="P129" s="351"/>
      <c r="Q129" s="351"/>
      <c r="R129" s="351"/>
      <c r="S129" s="351"/>
      <c r="T129" s="351"/>
      <c r="U129" s="351"/>
      <c r="V129" s="351"/>
      <c r="W129" s="351"/>
      <c r="X129" s="351"/>
      <c r="Y129" s="351"/>
      <c r="Z129" s="351"/>
      <c r="AA129" s="351"/>
    </row>
    <row r="130" ht="14.25" customHeight="1">
      <c r="A130" s="348" t="s">
        <v>9946</v>
      </c>
      <c r="B130" s="108"/>
      <c r="C130" s="311" t="s">
        <v>9957</v>
      </c>
      <c r="D130" s="349" t="s">
        <v>271</v>
      </c>
      <c r="E130" s="165" t="s">
        <v>9949</v>
      </c>
      <c r="F130" s="240" t="s">
        <v>9958</v>
      </c>
      <c r="G130" s="240" t="s">
        <v>9959</v>
      </c>
      <c r="H130" s="240" t="s">
        <v>9960</v>
      </c>
      <c r="I130" s="349" t="s">
        <v>36</v>
      </c>
      <c r="J130" s="311" t="s">
        <v>1784</v>
      </c>
      <c r="K130" s="350"/>
      <c r="L130" s="351"/>
      <c r="M130" s="351"/>
      <c r="N130" s="351"/>
      <c r="O130" s="351"/>
      <c r="P130" s="351"/>
      <c r="Q130" s="351"/>
      <c r="R130" s="351"/>
      <c r="S130" s="351"/>
      <c r="T130" s="351"/>
      <c r="U130" s="351"/>
      <c r="V130" s="351"/>
      <c r="W130" s="351"/>
      <c r="X130" s="351"/>
      <c r="Y130" s="351"/>
      <c r="Z130" s="351"/>
      <c r="AA130" s="351"/>
    </row>
    <row r="131" ht="14.25" customHeight="1">
      <c r="A131" s="348" t="s">
        <v>9946</v>
      </c>
      <c r="B131" s="109"/>
      <c r="C131" s="311" t="s">
        <v>9961</v>
      </c>
      <c r="D131" s="349" t="s">
        <v>271</v>
      </c>
      <c r="E131" s="165" t="s">
        <v>9949</v>
      </c>
      <c r="F131" s="240" t="s">
        <v>9962</v>
      </c>
      <c r="G131" s="240" t="s">
        <v>9951</v>
      </c>
      <c r="H131" s="240" t="s">
        <v>9963</v>
      </c>
      <c r="I131" s="349" t="s">
        <v>36</v>
      </c>
      <c r="J131" s="311" t="s">
        <v>1784</v>
      </c>
      <c r="K131" s="350"/>
      <c r="L131" s="351"/>
      <c r="M131" s="351"/>
      <c r="N131" s="351"/>
      <c r="O131" s="351"/>
      <c r="P131" s="351"/>
      <c r="Q131" s="351"/>
      <c r="R131" s="351"/>
      <c r="S131" s="351"/>
      <c r="T131" s="351"/>
      <c r="U131" s="351"/>
      <c r="V131" s="351"/>
      <c r="W131" s="351"/>
      <c r="X131" s="351"/>
      <c r="Y131" s="351"/>
      <c r="Z131" s="351"/>
      <c r="AA131" s="351"/>
    </row>
    <row r="132" ht="14.25" customHeight="1">
      <c r="A132" s="348" t="s">
        <v>9964</v>
      </c>
      <c r="B132" s="358" t="s">
        <v>9965</v>
      </c>
      <c r="C132" s="311" t="s">
        <v>9966</v>
      </c>
      <c r="D132" s="359"/>
      <c r="E132" s="165" t="s">
        <v>9967</v>
      </c>
      <c r="F132" s="240" t="s">
        <v>9968</v>
      </c>
      <c r="G132" s="240" t="s">
        <v>9969</v>
      </c>
      <c r="H132" s="240" t="s">
        <v>9970</v>
      </c>
      <c r="I132" s="267" t="s">
        <v>36</v>
      </c>
      <c r="J132" s="353"/>
      <c r="K132" s="350"/>
      <c r="L132" s="351"/>
      <c r="M132" s="351"/>
      <c r="N132" s="351"/>
      <c r="O132" s="351"/>
      <c r="P132" s="351"/>
      <c r="Q132" s="351"/>
      <c r="R132" s="351"/>
      <c r="S132" s="351"/>
      <c r="T132" s="351"/>
      <c r="U132" s="351"/>
      <c r="V132" s="351"/>
      <c r="W132" s="351"/>
      <c r="X132" s="351"/>
      <c r="Y132" s="351"/>
      <c r="Z132" s="351"/>
      <c r="AA132" s="351"/>
    </row>
    <row r="133" ht="14.25" customHeight="1">
      <c r="A133" s="348" t="s">
        <v>9964</v>
      </c>
      <c r="B133" s="108"/>
      <c r="C133" s="311" t="s">
        <v>9971</v>
      </c>
      <c r="D133" s="359"/>
      <c r="E133" s="165" t="s">
        <v>9967</v>
      </c>
      <c r="F133" s="240" t="s">
        <v>9972</v>
      </c>
      <c r="G133" s="240" t="s">
        <v>9973</v>
      </c>
      <c r="H133" s="240" t="s">
        <v>9974</v>
      </c>
      <c r="I133" s="267" t="s">
        <v>36</v>
      </c>
      <c r="J133" s="353"/>
      <c r="K133" s="350"/>
      <c r="L133" s="351"/>
      <c r="M133" s="351"/>
      <c r="N133" s="351"/>
      <c r="O133" s="351"/>
      <c r="P133" s="351"/>
      <c r="Q133" s="351"/>
      <c r="R133" s="351"/>
      <c r="S133" s="351"/>
      <c r="T133" s="351"/>
      <c r="U133" s="351"/>
      <c r="V133" s="351"/>
      <c r="W133" s="351"/>
      <c r="X133" s="351"/>
      <c r="Y133" s="351"/>
      <c r="Z133" s="351"/>
      <c r="AA133" s="351"/>
    </row>
    <row r="134" ht="14.25" customHeight="1">
      <c r="A134" s="348" t="s">
        <v>9964</v>
      </c>
      <c r="B134" s="108"/>
      <c r="C134" s="311" t="s">
        <v>9975</v>
      </c>
      <c r="D134" s="359"/>
      <c r="E134" s="165" t="s">
        <v>9967</v>
      </c>
      <c r="F134" s="240" t="s">
        <v>9976</v>
      </c>
      <c r="G134" s="240" t="s">
        <v>9977</v>
      </c>
      <c r="H134" s="240" t="s">
        <v>9978</v>
      </c>
      <c r="I134" s="267" t="s">
        <v>36</v>
      </c>
      <c r="J134" s="353"/>
      <c r="K134" s="350"/>
      <c r="L134" s="351"/>
      <c r="M134" s="351"/>
      <c r="N134" s="351"/>
      <c r="O134" s="351"/>
      <c r="P134" s="351"/>
      <c r="Q134" s="351"/>
      <c r="R134" s="351"/>
      <c r="S134" s="351"/>
      <c r="T134" s="351"/>
      <c r="U134" s="351"/>
      <c r="V134" s="351"/>
      <c r="W134" s="351"/>
      <c r="X134" s="351"/>
      <c r="Y134" s="351"/>
      <c r="Z134" s="351"/>
      <c r="AA134" s="351"/>
    </row>
    <row r="135" ht="14.25" customHeight="1">
      <c r="A135" s="348" t="s">
        <v>9964</v>
      </c>
      <c r="B135" s="108"/>
      <c r="C135" s="311" t="s">
        <v>9979</v>
      </c>
      <c r="D135" s="359"/>
      <c r="E135" s="165" t="s">
        <v>9967</v>
      </c>
      <c r="F135" s="240" t="s">
        <v>9980</v>
      </c>
      <c r="G135" s="240" t="s">
        <v>9981</v>
      </c>
      <c r="H135" s="240" t="s">
        <v>9982</v>
      </c>
      <c r="I135" s="267" t="s">
        <v>36</v>
      </c>
      <c r="J135" s="353"/>
      <c r="K135" s="350"/>
      <c r="L135" s="351"/>
      <c r="M135" s="351"/>
      <c r="N135" s="351"/>
      <c r="O135" s="351"/>
      <c r="P135" s="351"/>
      <c r="Q135" s="351"/>
      <c r="R135" s="351"/>
      <c r="S135" s="351"/>
      <c r="T135" s="351"/>
      <c r="U135" s="351"/>
      <c r="V135" s="351"/>
      <c r="W135" s="351"/>
      <c r="X135" s="351"/>
      <c r="Y135" s="351"/>
      <c r="Z135" s="351"/>
      <c r="AA135" s="351"/>
    </row>
    <row r="136" ht="14.25" customHeight="1">
      <c r="A136" s="348" t="s">
        <v>9964</v>
      </c>
      <c r="B136" s="108"/>
      <c r="C136" s="311" t="s">
        <v>9983</v>
      </c>
      <c r="D136" s="359"/>
      <c r="E136" s="165" t="s">
        <v>9967</v>
      </c>
      <c r="F136" s="240" t="s">
        <v>9984</v>
      </c>
      <c r="G136" s="240" t="s">
        <v>9985</v>
      </c>
      <c r="H136" s="240" t="s">
        <v>9986</v>
      </c>
      <c r="I136" s="267" t="s">
        <v>36</v>
      </c>
      <c r="J136" s="353"/>
      <c r="K136" s="350"/>
      <c r="L136" s="351"/>
      <c r="M136" s="351"/>
      <c r="N136" s="351"/>
      <c r="O136" s="351"/>
      <c r="P136" s="351"/>
      <c r="Q136" s="351"/>
      <c r="R136" s="351"/>
      <c r="S136" s="351"/>
      <c r="T136" s="351"/>
      <c r="U136" s="351"/>
      <c r="V136" s="351"/>
      <c r="W136" s="351"/>
      <c r="X136" s="351"/>
      <c r="Y136" s="351"/>
      <c r="Z136" s="351"/>
      <c r="AA136" s="351"/>
    </row>
    <row r="137" ht="14.25" customHeight="1">
      <c r="A137" s="348" t="s">
        <v>9964</v>
      </c>
      <c r="B137" s="108"/>
      <c r="C137" s="311" t="s">
        <v>9987</v>
      </c>
      <c r="D137" s="359"/>
      <c r="E137" s="165" t="s">
        <v>9967</v>
      </c>
      <c r="F137" s="240" t="s">
        <v>9988</v>
      </c>
      <c r="G137" s="240" t="s">
        <v>9989</v>
      </c>
      <c r="H137" s="240" t="s">
        <v>9990</v>
      </c>
      <c r="I137" s="267" t="s">
        <v>36</v>
      </c>
      <c r="J137" s="353"/>
      <c r="K137" s="350"/>
      <c r="L137" s="351"/>
      <c r="M137" s="351"/>
      <c r="N137" s="351"/>
      <c r="O137" s="351"/>
      <c r="P137" s="351"/>
      <c r="Q137" s="351"/>
      <c r="R137" s="351"/>
      <c r="S137" s="351"/>
      <c r="T137" s="351"/>
      <c r="U137" s="351"/>
      <c r="V137" s="351"/>
      <c r="W137" s="351"/>
      <c r="X137" s="351"/>
      <c r="Y137" s="351"/>
      <c r="Z137" s="351"/>
      <c r="AA137" s="351"/>
    </row>
    <row r="138" ht="14.25" customHeight="1">
      <c r="A138" s="348" t="s">
        <v>9964</v>
      </c>
      <c r="B138" s="108"/>
      <c r="C138" s="311" t="s">
        <v>9991</v>
      </c>
      <c r="D138" s="359"/>
      <c r="E138" s="165" t="s">
        <v>9967</v>
      </c>
      <c r="F138" s="240" t="s">
        <v>9992</v>
      </c>
      <c r="G138" s="240" t="s">
        <v>9993</v>
      </c>
      <c r="H138" s="240" t="s">
        <v>9994</v>
      </c>
      <c r="I138" s="267" t="s">
        <v>36</v>
      </c>
      <c r="J138" s="353"/>
      <c r="K138" s="350"/>
      <c r="L138" s="351"/>
      <c r="M138" s="351"/>
      <c r="N138" s="351"/>
      <c r="O138" s="351"/>
      <c r="P138" s="351"/>
      <c r="Q138" s="351"/>
      <c r="R138" s="351"/>
      <c r="S138" s="351"/>
      <c r="T138" s="351"/>
      <c r="U138" s="351"/>
      <c r="V138" s="351"/>
      <c r="W138" s="351"/>
      <c r="X138" s="351"/>
      <c r="Y138" s="351"/>
      <c r="Z138" s="351"/>
      <c r="AA138" s="351"/>
    </row>
    <row r="139" ht="14.25" customHeight="1">
      <c r="A139" s="348" t="s">
        <v>9964</v>
      </c>
      <c r="B139" s="108"/>
      <c r="C139" s="311" t="s">
        <v>9995</v>
      </c>
      <c r="D139" s="359"/>
      <c r="E139" s="165" t="s">
        <v>9967</v>
      </c>
      <c r="F139" s="240" t="s">
        <v>9996</v>
      </c>
      <c r="G139" s="240" t="s">
        <v>9997</v>
      </c>
      <c r="H139" s="240" t="s">
        <v>9998</v>
      </c>
      <c r="I139" s="267" t="s">
        <v>36</v>
      </c>
      <c r="J139" s="353"/>
      <c r="K139" s="350"/>
      <c r="L139" s="351"/>
      <c r="M139" s="351"/>
      <c r="N139" s="351"/>
      <c r="O139" s="351"/>
      <c r="P139" s="351"/>
      <c r="Q139" s="351"/>
      <c r="R139" s="351"/>
      <c r="S139" s="351"/>
      <c r="T139" s="351"/>
      <c r="U139" s="351"/>
      <c r="V139" s="351"/>
      <c r="W139" s="351"/>
      <c r="X139" s="351"/>
      <c r="Y139" s="351"/>
      <c r="Z139" s="351"/>
      <c r="AA139" s="351"/>
    </row>
    <row r="140" ht="14.25" customHeight="1">
      <c r="A140" s="348" t="s">
        <v>9964</v>
      </c>
      <c r="B140" s="108"/>
      <c r="C140" s="311" t="s">
        <v>9999</v>
      </c>
      <c r="D140" s="359"/>
      <c r="E140" s="165" t="s">
        <v>9967</v>
      </c>
      <c r="F140" s="240" t="s">
        <v>10000</v>
      </c>
      <c r="G140" s="240" t="s">
        <v>10001</v>
      </c>
      <c r="H140" s="240" t="s">
        <v>10002</v>
      </c>
      <c r="I140" s="267" t="s">
        <v>36</v>
      </c>
      <c r="J140" s="353"/>
      <c r="K140" s="350"/>
      <c r="L140" s="351"/>
      <c r="M140" s="351"/>
      <c r="N140" s="351"/>
      <c r="O140" s="351"/>
      <c r="P140" s="351"/>
      <c r="Q140" s="351"/>
      <c r="R140" s="351"/>
      <c r="S140" s="351"/>
      <c r="T140" s="351"/>
      <c r="U140" s="351"/>
      <c r="V140" s="351"/>
      <c r="W140" s="351"/>
      <c r="X140" s="351"/>
      <c r="Y140" s="351"/>
      <c r="Z140" s="351"/>
      <c r="AA140" s="351"/>
    </row>
    <row r="141" ht="14.25" customHeight="1">
      <c r="A141" s="348" t="s">
        <v>9964</v>
      </c>
      <c r="B141" s="108"/>
      <c r="C141" s="311" t="s">
        <v>10003</v>
      </c>
      <c r="D141" s="359"/>
      <c r="E141" s="165" t="s">
        <v>9967</v>
      </c>
      <c r="F141" s="240" t="s">
        <v>10004</v>
      </c>
      <c r="G141" s="240" t="s">
        <v>10005</v>
      </c>
      <c r="H141" s="240" t="s">
        <v>10006</v>
      </c>
      <c r="I141" s="267" t="s">
        <v>36</v>
      </c>
      <c r="J141" s="353"/>
      <c r="K141" s="350"/>
      <c r="L141" s="351"/>
      <c r="M141" s="351"/>
      <c r="N141" s="351"/>
      <c r="O141" s="351"/>
      <c r="P141" s="351"/>
      <c r="Q141" s="351"/>
      <c r="R141" s="351"/>
      <c r="S141" s="351"/>
      <c r="T141" s="351"/>
      <c r="U141" s="351"/>
      <c r="V141" s="351"/>
      <c r="W141" s="351"/>
      <c r="X141" s="351"/>
      <c r="Y141" s="351"/>
      <c r="Z141" s="351"/>
      <c r="AA141" s="351"/>
    </row>
    <row r="142" ht="14.25" customHeight="1">
      <c r="A142" s="348" t="s">
        <v>9964</v>
      </c>
      <c r="B142" s="108"/>
      <c r="C142" s="311" t="s">
        <v>10007</v>
      </c>
      <c r="D142" s="359"/>
      <c r="E142" s="165" t="s">
        <v>9967</v>
      </c>
      <c r="F142" s="240" t="s">
        <v>10008</v>
      </c>
      <c r="G142" s="240" t="s">
        <v>10009</v>
      </c>
      <c r="H142" s="240" t="s">
        <v>10010</v>
      </c>
      <c r="I142" s="267" t="s">
        <v>36</v>
      </c>
      <c r="J142" s="353"/>
      <c r="K142" s="350"/>
      <c r="L142" s="351"/>
      <c r="M142" s="351"/>
      <c r="N142" s="351"/>
      <c r="O142" s="351"/>
      <c r="P142" s="351"/>
      <c r="Q142" s="351"/>
      <c r="R142" s="351"/>
      <c r="S142" s="351"/>
      <c r="T142" s="351"/>
      <c r="U142" s="351"/>
      <c r="V142" s="351"/>
      <c r="W142" s="351"/>
      <c r="X142" s="351"/>
      <c r="Y142" s="351"/>
      <c r="Z142" s="351"/>
      <c r="AA142" s="351"/>
    </row>
    <row r="143" ht="14.25" customHeight="1">
      <c r="A143" s="348" t="s">
        <v>9964</v>
      </c>
      <c r="B143" s="108"/>
      <c r="C143" s="311" t="s">
        <v>10011</v>
      </c>
      <c r="D143" s="359"/>
      <c r="E143" s="165" t="s">
        <v>9967</v>
      </c>
      <c r="F143" s="240" t="s">
        <v>10012</v>
      </c>
      <c r="G143" s="240" t="s">
        <v>10005</v>
      </c>
      <c r="H143" s="240" t="s">
        <v>10013</v>
      </c>
      <c r="I143" s="267" t="s">
        <v>36</v>
      </c>
      <c r="J143" s="353"/>
      <c r="K143" s="350"/>
      <c r="L143" s="351"/>
      <c r="M143" s="351"/>
      <c r="N143" s="351"/>
      <c r="O143" s="351"/>
      <c r="P143" s="351"/>
      <c r="Q143" s="351"/>
      <c r="R143" s="351"/>
      <c r="S143" s="351"/>
      <c r="T143" s="351"/>
      <c r="U143" s="351"/>
      <c r="V143" s="351"/>
      <c r="W143" s="351"/>
      <c r="X143" s="351"/>
      <c r="Y143" s="351"/>
      <c r="Z143" s="351"/>
      <c r="AA143" s="351"/>
    </row>
    <row r="144" ht="14.25" customHeight="1">
      <c r="A144" s="348" t="s">
        <v>9964</v>
      </c>
      <c r="B144" s="108"/>
      <c r="C144" s="311" t="s">
        <v>10014</v>
      </c>
      <c r="D144" s="359"/>
      <c r="E144" s="165" t="s">
        <v>9967</v>
      </c>
      <c r="F144" s="240" t="s">
        <v>10015</v>
      </c>
      <c r="G144" s="240" t="s">
        <v>10016</v>
      </c>
      <c r="H144" s="240" t="s">
        <v>10017</v>
      </c>
      <c r="I144" s="267" t="s">
        <v>36</v>
      </c>
      <c r="J144" s="353"/>
      <c r="K144" s="350"/>
      <c r="L144" s="351"/>
      <c r="M144" s="351"/>
      <c r="N144" s="351"/>
      <c r="O144" s="351"/>
      <c r="P144" s="351"/>
      <c r="Q144" s="351"/>
      <c r="R144" s="351"/>
      <c r="S144" s="351"/>
      <c r="T144" s="351"/>
      <c r="U144" s="351"/>
      <c r="V144" s="351"/>
      <c r="W144" s="351"/>
      <c r="X144" s="351"/>
      <c r="Y144" s="351"/>
      <c r="Z144" s="351"/>
      <c r="AA144" s="351"/>
    </row>
    <row r="145" ht="14.25" customHeight="1">
      <c r="A145" s="348" t="s">
        <v>9964</v>
      </c>
      <c r="B145" s="108"/>
      <c r="C145" s="311" t="s">
        <v>10018</v>
      </c>
      <c r="D145" s="359"/>
      <c r="E145" s="165" t="s">
        <v>9967</v>
      </c>
      <c r="F145" s="240" t="s">
        <v>10019</v>
      </c>
      <c r="G145" s="240" t="s">
        <v>10020</v>
      </c>
      <c r="H145" s="240" t="s">
        <v>10021</v>
      </c>
      <c r="I145" s="267" t="s">
        <v>36</v>
      </c>
      <c r="J145" s="353"/>
      <c r="K145" s="350"/>
      <c r="L145" s="351"/>
      <c r="M145" s="351"/>
      <c r="N145" s="351"/>
      <c r="O145" s="351"/>
      <c r="P145" s="351"/>
      <c r="Q145" s="351"/>
      <c r="R145" s="351"/>
      <c r="S145" s="351"/>
      <c r="T145" s="351"/>
      <c r="U145" s="351"/>
      <c r="V145" s="351"/>
      <c r="W145" s="351"/>
      <c r="X145" s="351"/>
      <c r="Y145" s="351"/>
      <c r="Z145" s="351"/>
      <c r="AA145" s="351"/>
    </row>
    <row r="146" ht="14.25" customHeight="1">
      <c r="A146" s="348" t="s">
        <v>9964</v>
      </c>
      <c r="B146" s="109"/>
      <c r="C146" s="311" t="s">
        <v>10022</v>
      </c>
      <c r="D146" s="359"/>
      <c r="E146" s="165" t="s">
        <v>9967</v>
      </c>
      <c r="F146" s="240" t="s">
        <v>10023</v>
      </c>
      <c r="G146" s="240" t="s">
        <v>10020</v>
      </c>
      <c r="H146" s="240" t="s">
        <v>10021</v>
      </c>
      <c r="I146" s="267" t="s">
        <v>36</v>
      </c>
      <c r="J146" s="353"/>
      <c r="K146" s="350"/>
      <c r="L146" s="351"/>
      <c r="M146" s="351"/>
      <c r="N146" s="351"/>
      <c r="O146" s="351"/>
      <c r="P146" s="351"/>
      <c r="Q146" s="351"/>
      <c r="R146" s="351"/>
      <c r="S146" s="351"/>
      <c r="T146" s="351"/>
      <c r="U146" s="351"/>
      <c r="V146" s="351"/>
      <c r="W146" s="351"/>
      <c r="X146" s="351"/>
      <c r="Y146" s="351"/>
      <c r="Z146" s="351"/>
      <c r="AA146" s="351"/>
    </row>
    <row r="147" ht="14.25" customHeight="1">
      <c r="A147" s="348" t="s">
        <v>10024</v>
      </c>
      <c r="B147" s="295" t="s">
        <v>10025</v>
      </c>
      <c r="C147" s="296" t="s">
        <v>10026</v>
      </c>
      <c r="D147" s="360" t="s">
        <v>271</v>
      </c>
      <c r="E147" s="361" t="s">
        <v>10027</v>
      </c>
      <c r="F147" s="298" t="s">
        <v>10028</v>
      </c>
      <c r="G147" s="296" t="s">
        <v>10029</v>
      </c>
      <c r="H147" s="296" t="s">
        <v>10030</v>
      </c>
      <c r="I147" s="303" t="s">
        <v>36</v>
      </c>
      <c r="J147" s="362"/>
      <c r="K147" s="351"/>
      <c r="L147" s="351"/>
      <c r="M147" s="351"/>
      <c r="N147" s="351"/>
      <c r="O147" s="351"/>
      <c r="P147" s="351"/>
      <c r="Q147" s="351"/>
      <c r="R147" s="351"/>
      <c r="S147" s="351"/>
      <c r="T147" s="351"/>
      <c r="U147" s="351"/>
      <c r="V147" s="351"/>
      <c r="W147" s="351"/>
      <c r="X147" s="351"/>
      <c r="Y147" s="351"/>
      <c r="Z147" s="351"/>
      <c r="AA147" s="351"/>
    </row>
    <row r="148" ht="14.25" customHeight="1">
      <c r="A148" s="348" t="s">
        <v>10024</v>
      </c>
      <c r="B148" s="108"/>
      <c r="C148" s="296" t="s">
        <v>10031</v>
      </c>
      <c r="D148" s="360" t="s">
        <v>271</v>
      </c>
      <c r="E148" s="361" t="s">
        <v>10027</v>
      </c>
      <c r="F148" s="298" t="s">
        <v>10032</v>
      </c>
      <c r="G148" s="296" t="s">
        <v>10033</v>
      </c>
      <c r="H148" s="296" t="s">
        <v>10030</v>
      </c>
      <c r="I148" s="303" t="s">
        <v>36</v>
      </c>
      <c r="J148" s="362"/>
      <c r="K148" s="351"/>
      <c r="L148" s="351"/>
      <c r="M148" s="351"/>
      <c r="N148" s="351"/>
      <c r="O148" s="351"/>
      <c r="P148" s="351"/>
      <c r="Q148" s="351"/>
      <c r="R148" s="351"/>
      <c r="S148" s="351"/>
      <c r="T148" s="351"/>
      <c r="U148" s="351"/>
      <c r="V148" s="351"/>
      <c r="W148" s="351"/>
      <c r="X148" s="351"/>
      <c r="Y148" s="351"/>
      <c r="Z148" s="351"/>
      <c r="AA148" s="351"/>
    </row>
    <row r="149" ht="14.25" customHeight="1">
      <c r="A149" s="348" t="s">
        <v>10024</v>
      </c>
      <c r="B149" s="108"/>
      <c r="C149" s="296" t="s">
        <v>10034</v>
      </c>
      <c r="D149" s="360" t="s">
        <v>271</v>
      </c>
      <c r="E149" s="361" t="s">
        <v>10027</v>
      </c>
      <c r="F149" s="298" t="s">
        <v>10035</v>
      </c>
      <c r="G149" s="296" t="s">
        <v>10036</v>
      </c>
      <c r="H149" s="296" t="s">
        <v>10030</v>
      </c>
      <c r="I149" s="303" t="s">
        <v>36</v>
      </c>
      <c r="J149" s="362"/>
      <c r="K149" s="351"/>
      <c r="L149" s="351"/>
      <c r="M149" s="351"/>
      <c r="N149" s="351"/>
      <c r="O149" s="351"/>
      <c r="P149" s="351"/>
      <c r="Q149" s="351"/>
      <c r="R149" s="351"/>
      <c r="S149" s="351"/>
      <c r="T149" s="351"/>
      <c r="U149" s="351"/>
      <c r="V149" s="351"/>
      <c r="W149" s="351"/>
      <c r="X149" s="351"/>
      <c r="Y149" s="351"/>
      <c r="Z149" s="351"/>
      <c r="AA149" s="351"/>
    </row>
    <row r="150" ht="14.25" customHeight="1">
      <c r="A150" s="348" t="s">
        <v>10024</v>
      </c>
      <c r="B150" s="108"/>
      <c r="C150" s="296" t="s">
        <v>10037</v>
      </c>
      <c r="D150" s="360" t="s">
        <v>271</v>
      </c>
      <c r="E150" s="361" t="s">
        <v>10027</v>
      </c>
      <c r="F150" s="298" t="s">
        <v>10038</v>
      </c>
      <c r="G150" s="296" t="s">
        <v>10039</v>
      </c>
      <c r="H150" s="296" t="s">
        <v>10030</v>
      </c>
      <c r="I150" s="303" t="s">
        <v>36</v>
      </c>
      <c r="J150" s="362"/>
      <c r="K150" s="351"/>
      <c r="L150" s="351"/>
      <c r="M150" s="351"/>
      <c r="N150" s="351"/>
      <c r="O150" s="351"/>
      <c r="P150" s="351"/>
      <c r="Q150" s="351"/>
      <c r="R150" s="351"/>
      <c r="S150" s="351"/>
      <c r="T150" s="351"/>
      <c r="U150" s="351"/>
      <c r="V150" s="351"/>
      <c r="W150" s="351"/>
      <c r="X150" s="351"/>
      <c r="Y150" s="351"/>
      <c r="Z150" s="351"/>
      <c r="AA150" s="351"/>
    </row>
    <row r="151" ht="14.25" customHeight="1">
      <c r="A151" s="348" t="s">
        <v>10024</v>
      </c>
      <c r="B151" s="108"/>
      <c r="C151" s="296" t="s">
        <v>10040</v>
      </c>
      <c r="D151" s="360" t="s">
        <v>271</v>
      </c>
      <c r="E151" s="361" t="s">
        <v>10027</v>
      </c>
      <c r="F151" s="298" t="s">
        <v>10041</v>
      </c>
      <c r="G151" s="296" t="s">
        <v>10042</v>
      </c>
      <c r="H151" s="296" t="s">
        <v>10030</v>
      </c>
      <c r="I151" s="303" t="s">
        <v>36</v>
      </c>
      <c r="J151" s="362"/>
      <c r="K151" s="351"/>
      <c r="L151" s="351"/>
      <c r="M151" s="351"/>
      <c r="N151" s="351"/>
      <c r="O151" s="351"/>
      <c r="P151" s="351"/>
      <c r="Q151" s="351"/>
      <c r="R151" s="351"/>
      <c r="S151" s="351"/>
      <c r="T151" s="351"/>
      <c r="U151" s="351"/>
      <c r="V151" s="351"/>
      <c r="W151" s="351"/>
      <c r="X151" s="351"/>
      <c r="Y151" s="351"/>
      <c r="Z151" s="351"/>
      <c r="AA151" s="351"/>
    </row>
    <row r="152" ht="14.25" customHeight="1">
      <c r="A152" s="348" t="s">
        <v>10024</v>
      </c>
      <c r="B152" s="108"/>
      <c r="C152" s="296" t="s">
        <v>10043</v>
      </c>
      <c r="D152" s="360" t="s">
        <v>271</v>
      </c>
      <c r="E152" s="361" t="s">
        <v>10027</v>
      </c>
      <c r="F152" s="298" t="s">
        <v>10044</v>
      </c>
      <c r="G152" s="296" t="s">
        <v>10045</v>
      </c>
      <c r="H152" s="296" t="s">
        <v>10030</v>
      </c>
      <c r="I152" s="303" t="s">
        <v>36</v>
      </c>
      <c r="J152" s="362"/>
      <c r="K152" s="351"/>
      <c r="L152" s="351"/>
      <c r="M152" s="351"/>
      <c r="N152" s="351"/>
      <c r="O152" s="351"/>
      <c r="P152" s="351"/>
      <c r="Q152" s="351"/>
      <c r="R152" s="351"/>
      <c r="S152" s="351"/>
      <c r="T152" s="351"/>
      <c r="U152" s="351"/>
      <c r="V152" s="351"/>
      <c r="W152" s="351"/>
      <c r="X152" s="351"/>
      <c r="Y152" s="351"/>
      <c r="Z152" s="351"/>
      <c r="AA152" s="351"/>
    </row>
    <row r="153" ht="14.25" customHeight="1">
      <c r="A153" s="348" t="s">
        <v>10024</v>
      </c>
      <c r="B153" s="108"/>
      <c r="C153" s="296" t="s">
        <v>10046</v>
      </c>
      <c r="D153" s="360" t="s">
        <v>271</v>
      </c>
      <c r="E153" s="361" t="s">
        <v>10027</v>
      </c>
      <c r="F153" s="298" t="s">
        <v>10047</v>
      </c>
      <c r="G153" s="296" t="s">
        <v>10048</v>
      </c>
      <c r="H153" s="296" t="s">
        <v>10030</v>
      </c>
      <c r="I153" s="303" t="s">
        <v>36</v>
      </c>
      <c r="J153" s="362"/>
      <c r="K153" s="351"/>
      <c r="L153" s="351"/>
      <c r="M153" s="351"/>
      <c r="N153" s="351"/>
      <c r="O153" s="351"/>
      <c r="P153" s="351"/>
      <c r="Q153" s="351"/>
      <c r="R153" s="351"/>
      <c r="S153" s="351"/>
      <c r="T153" s="351"/>
      <c r="U153" s="351"/>
      <c r="V153" s="351"/>
      <c r="W153" s="351"/>
      <c r="X153" s="351"/>
      <c r="Y153" s="351"/>
      <c r="Z153" s="351"/>
      <c r="AA153" s="351"/>
    </row>
    <row r="154" ht="14.25" customHeight="1">
      <c r="A154" s="348" t="s">
        <v>10024</v>
      </c>
      <c r="B154" s="108"/>
      <c r="C154" s="296" t="s">
        <v>10049</v>
      </c>
      <c r="D154" s="360" t="s">
        <v>271</v>
      </c>
      <c r="E154" s="361" t="s">
        <v>10027</v>
      </c>
      <c r="F154" s="298" t="s">
        <v>10050</v>
      </c>
      <c r="G154" s="296" t="s">
        <v>10051</v>
      </c>
      <c r="H154" s="296" t="s">
        <v>10030</v>
      </c>
      <c r="I154" s="303" t="s">
        <v>36</v>
      </c>
      <c r="J154" s="362"/>
      <c r="K154" s="351"/>
      <c r="L154" s="351"/>
      <c r="M154" s="351"/>
      <c r="N154" s="351"/>
      <c r="O154" s="351"/>
      <c r="P154" s="351"/>
      <c r="Q154" s="351"/>
      <c r="R154" s="351"/>
      <c r="S154" s="351"/>
      <c r="T154" s="351"/>
      <c r="U154" s="351"/>
      <c r="V154" s="351"/>
      <c r="W154" s="351"/>
      <c r="X154" s="351"/>
      <c r="Y154" s="351"/>
      <c r="Z154" s="351"/>
      <c r="AA154" s="351"/>
    </row>
    <row r="155" ht="14.25" customHeight="1">
      <c r="A155" s="348" t="s">
        <v>10024</v>
      </c>
      <c r="B155" s="109"/>
      <c r="C155" s="296" t="s">
        <v>10052</v>
      </c>
      <c r="D155" s="360" t="s">
        <v>271</v>
      </c>
      <c r="E155" s="361" t="s">
        <v>10027</v>
      </c>
      <c r="F155" s="298" t="s">
        <v>10053</v>
      </c>
      <c r="G155" s="296" t="s">
        <v>10054</v>
      </c>
      <c r="H155" s="296" t="s">
        <v>10030</v>
      </c>
      <c r="I155" s="303" t="s">
        <v>36</v>
      </c>
      <c r="J155" s="362"/>
      <c r="K155" s="351"/>
      <c r="L155" s="351"/>
      <c r="M155" s="351"/>
      <c r="N155" s="351"/>
      <c r="O155" s="351"/>
      <c r="P155" s="351"/>
      <c r="Q155" s="351"/>
      <c r="R155" s="351"/>
      <c r="S155" s="351"/>
      <c r="T155" s="351"/>
      <c r="U155" s="351"/>
      <c r="V155" s="351"/>
      <c r="W155" s="351"/>
      <c r="X155" s="351"/>
      <c r="Y155" s="351"/>
      <c r="Z155" s="351"/>
      <c r="AA155" s="351"/>
    </row>
    <row r="156" ht="14.25" customHeight="1">
      <c r="A156" s="348" t="s">
        <v>10055</v>
      </c>
      <c r="B156" s="363" t="s">
        <v>10056</v>
      </c>
      <c r="C156" s="311" t="s">
        <v>10057</v>
      </c>
      <c r="D156" s="349" t="s">
        <v>271</v>
      </c>
      <c r="E156" s="137" t="s">
        <v>10058</v>
      </c>
      <c r="F156" s="298" t="s">
        <v>10059</v>
      </c>
      <c r="G156" s="298" t="s">
        <v>10060</v>
      </c>
      <c r="H156" s="298" t="s">
        <v>10061</v>
      </c>
      <c r="I156" s="349" t="s">
        <v>36</v>
      </c>
      <c r="J156" s="311" t="s">
        <v>2062</v>
      </c>
      <c r="K156" s="350"/>
      <c r="L156" s="351"/>
      <c r="M156" s="351"/>
      <c r="N156" s="351"/>
      <c r="O156" s="351"/>
      <c r="P156" s="351"/>
      <c r="Q156" s="351"/>
      <c r="R156" s="351"/>
      <c r="S156" s="351"/>
      <c r="T156" s="351"/>
      <c r="U156" s="351"/>
      <c r="V156" s="351"/>
      <c r="W156" s="351"/>
      <c r="X156" s="351"/>
      <c r="Y156" s="351"/>
      <c r="Z156" s="351"/>
      <c r="AA156" s="351"/>
    </row>
    <row r="157" ht="14.25" customHeight="1">
      <c r="A157" s="348" t="s">
        <v>10055</v>
      </c>
      <c r="B157" s="108"/>
      <c r="C157" s="311" t="s">
        <v>10062</v>
      </c>
      <c r="D157" s="349" t="s">
        <v>271</v>
      </c>
      <c r="E157" s="137" t="s">
        <v>10058</v>
      </c>
      <c r="F157" s="298" t="s">
        <v>10063</v>
      </c>
      <c r="G157" s="298" t="s">
        <v>10064</v>
      </c>
      <c r="H157" s="298" t="s">
        <v>10065</v>
      </c>
      <c r="I157" s="349" t="s">
        <v>36</v>
      </c>
      <c r="J157" s="311" t="s">
        <v>2062</v>
      </c>
      <c r="K157" s="350"/>
      <c r="L157" s="351"/>
      <c r="M157" s="351"/>
      <c r="N157" s="351"/>
      <c r="O157" s="351"/>
      <c r="P157" s="351"/>
      <c r="Q157" s="351"/>
      <c r="R157" s="351"/>
      <c r="S157" s="351"/>
      <c r="T157" s="351"/>
      <c r="U157" s="351"/>
      <c r="V157" s="351"/>
      <c r="W157" s="351"/>
      <c r="X157" s="351"/>
      <c r="Y157" s="351"/>
      <c r="Z157" s="351"/>
      <c r="AA157" s="351"/>
    </row>
    <row r="158" ht="14.25" customHeight="1">
      <c r="A158" s="348" t="s">
        <v>10055</v>
      </c>
      <c r="B158" s="108"/>
      <c r="C158" s="311" t="s">
        <v>10066</v>
      </c>
      <c r="D158" s="349" t="s">
        <v>271</v>
      </c>
      <c r="E158" s="137" t="s">
        <v>10058</v>
      </c>
      <c r="F158" s="298" t="s">
        <v>10067</v>
      </c>
      <c r="G158" s="298" t="s">
        <v>10068</v>
      </c>
      <c r="H158" s="298" t="s">
        <v>10069</v>
      </c>
      <c r="I158" s="349" t="s">
        <v>36</v>
      </c>
      <c r="J158" s="311" t="s">
        <v>2062</v>
      </c>
      <c r="K158" s="350"/>
      <c r="L158" s="351"/>
      <c r="M158" s="351"/>
      <c r="N158" s="351"/>
      <c r="O158" s="351"/>
      <c r="P158" s="351"/>
      <c r="Q158" s="351"/>
      <c r="R158" s="351"/>
      <c r="S158" s="351"/>
      <c r="T158" s="351"/>
      <c r="U158" s="351"/>
      <c r="V158" s="351"/>
      <c r="W158" s="351"/>
      <c r="X158" s="351"/>
      <c r="Y158" s="351"/>
      <c r="Z158" s="351"/>
      <c r="AA158" s="351"/>
    </row>
    <row r="159" ht="14.25" customHeight="1">
      <c r="A159" s="348" t="s">
        <v>10055</v>
      </c>
      <c r="B159" s="108"/>
      <c r="C159" s="311" t="s">
        <v>10070</v>
      </c>
      <c r="D159" s="349" t="s">
        <v>271</v>
      </c>
      <c r="E159" s="137" t="s">
        <v>10058</v>
      </c>
      <c r="F159" s="298" t="s">
        <v>10071</v>
      </c>
      <c r="G159" s="298" t="s">
        <v>10072</v>
      </c>
      <c r="H159" s="298" t="s">
        <v>10065</v>
      </c>
      <c r="I159" s="349" t="s">
        <v>36</v>
      </c>
      <c r="J159" s="311" t="s">
        <v>2062</v>
      </c>
      <c r="K159" s="350"/>
      <c r="L159" s="351"/>
      <c r="M159" s="351"/>
      <c r="N159" s="351"/>
      <c r="O159" s="351"/>
      <c r="P159" s="351"/>
      <c r="Q159" s="351"/>
      <c r="R159" s="351"/>
      <c r="S159" s="351"/>
      <c r="T159" s="351"/>
      <c r="U159" s="351"/>
      <c r="V159" s="351"/>
      <c r="W159" s="351"/>
      <c r="X159" s="351"/>
      <c r="Y159" s="351"/>
      <c r="Z159" s="351"/>
      <c r="AA159" s="351"/>
    </row>
    <row r="160" ht="14.25" customHeight="1">
      <c r="A160" s="348" t="s">
        <v>10055</v>
      </c>
      <c r="B160" s="108"/>
      <c r="C160" s="311" t="s">
        <v>10073</v>
      </c>
      <c r="D160" s="349" t="s">
        <v>271</v>
      </c>
      <c r="E160" s="137" t="s">
        <v>10058</v>
      </c>
      <c r="F160" s="298" t="s">
        <v>10074</v>
      </c>
      <c r="G160" s="298" t="s">
        <v>10075</v>
      </c>
      <c r="H160" s="298" t="s">
        <v>10076</v>
      </c>
      <c r="I160" s="349" t="s">
        <v>36</v>
      </c>
      <c r="J160" s="311" t="s">
        <v>2062</v>
      </c>
      <c r="K160" s="350"/>
      <c r="L160" s="351"/>
      <c r="M160" s="351"/>
      <c r="N160" s="351"/>
      <c r="O160" s="351"/>
      <c r="P160" s="351"/>
      <c r="Q160" s="351"/>
      <c r="R160" s="351"/>
      <c r="S160" s="351"/>
      <c r="T160" s="351"/>
      <c r="U160" s="351"/>
      <c r="V160" s="351"/>
      <c r="W160" s="351"/>
      <c r="X160" s="351"/>
      <c r="Y160" s="351"/>
      <c r="Z160" s="351"/>
      <c r="AA160" s="351"/>
    </row>
    <row r="161" ht="14.25" customHeight="1">
      <c r="A161" s="348" t="s">
        <v>10055</v>
      </c>
      <c r="B161" s="108"/>
      <c r="C161" s="311" t="s">
        <v>10077</v>
      </c>
      <c r="D161" s="349" t="s">
        <v>271</v>
      </c>
      <c r="E161" s="137" t="s">
        <v>10058</v>
      </c>
      <c r="F161" s="298" t="s">
        <v>10078</v>
      </c>
      <c r="G161" s="298" t="s">
        <v>10079</v>
      </c>
      <c r="H161" s="298" t="s">
        <v>10061</v>
      </c>
      <c r="I161" s="349" t="s">
        <v>36</v>
      </c>
      <c r="J161" s="311" t="s">
        <v>2062</v>
      </c>
      <c r="K161" s="350"/>
      <c r="L161" s="351"/>
      <c r="M161" s="351"/>
      <c r="N161" s="351"/>
      <c r="O161" s="351"/>
      <c r="P161" s="351"/>
      <c r="Q161" s="351"/>
      <c r="R161" s="351"/>
      <c r="S161" s="351"/>
      <c r="T161" s="351"/>
      <c r="U161" s="351"/>
      <c r="V161" s="351"/>
      <c r="W161" s="351"/>
      <c r="X161" s="351"/>
      <c r="Y161" s="351"/>
      <c r="Z161" s="351"/>
      <c r="AA161" s="351"/>
    </row>
    <row r="162" ht="14.25" customHeight="1">
      <c r="A162" s="348" t="s">
        <v>10055</v>
      </c>
      <c r="B162" s="108"/>
      <c r="C162" s="311" t="s">
        <v>10080</v>
      </c>
      <c r="D162" s="349" t="s">
        <v>271</v>
      </c>
      <c r="E162" s="137" t="s">
        <v>10058</v>
      </c>
      <c r="F162" s="298" t="s">
        <v>10081</v>
      </c>
      <c r="G162" s="298" t="s">
        <v>10082</v>
      </c>
      <c r="H162" s="298" t="s">
        <v>10061</v>
      </c>
      <c r="I162" s="349" t="s">
        <v>36</v>
      </c>
      <c r="J162" s="311" t="s">
        <v>2062</v>
      </c>
      <c r="K162" s="350"/>
      <c r="L162" s="351"/>
      <c r="M162" s="351"/>
      <c r="N162" s="351"/>
      <c r="O162" s="351"/>
      <c r="P162" s="351"/>
      <c r="Q162" s="351"/>
      <c r="R162" s="351"/>
      <c r="S162" s="351"/>
      <c r="T162" s="351"/>
      <c r="U162" s="351"/>
      <c r="V162" s="351"/>
      <c r="W162" s="351"/>
      <c r="X162" s="351"/>
      <c r="Y162" s="351"/>
      <c r="Z162" s="351"/>
      <c r="AA162" s="351"/>
    </row>
    <row r="163" ht="14.25" customHeight="1">
      <c r="A163" s="348" t="s">
        <v>10055</v>
      </c>
      <c r="B163" s="108"/>
      <c r="C163" s="311" t="s">
        <v>10083</v>
      </c>
      <c r="D163" s="349" t="s">
        <v>271</v>
      </c>
      <c r="E163" s="137" t="s">
        <v>10058</v>
      </c>
      <c r="F163" s="298" t="s">
        <v>10084</v>
      </c>
      <c r="G163" s="298" t="s">
        <v>10085</v>
      </c>
      <c r="H163" s="298" t="s">
        <v>10065</v>
      </c>
      <c r="I163" s="349" t="s">
        <v>36</v>
      </c>
      <c r="J163" s="311" t="s">
        <v>2062</v>
      </c>
      <c r="K163" s="350"/>
      <c r="L163" s="351"/>
      <c r="M163" s="351"/>
      <c r="N163" s="351"/>
      <c r="O163" s="351"/>
      <c r="P163" s="351"/>
      <c r="Q163" s="351"/>
      <c r="R163" s="351"/>
      <c r="S163" s="351"/>
      <c r="T163" s="351"/>
      <c r="U163" s="351"/>
      <c r="V163" s="351"/>
      <c r="W163" s="351"/>
      <c r="X163" s="351"/>
      <c r="Y163" s="351"/>
      <c r="Z163" s="351"/>
      <c r="AA163" s="351"/>
    </row>
    <row r="164" ht="14.25" customHeight="1">
      <c r="A164" s="348" t="s">
        <v>10055</v>
      </c>
      <c r="B164" s="108"/>
      <c r="C164" s="311" t="s">
        <v>10086</v>
      </c>
      <c r="D164" s="349" t="s">
        <v>271</v>
      </c>
      <c r="E164" s="137" t="s">
        <v>10058</v>
      </c>
      <c r="F164" s="298" t="s">
        <v>10087</v>
      </c>
      <c r="G164" s="298" t="s">
        <v>10088</v>
      </c>
      <c r="H164" s="298" t="s">
        <v>10069</v>
      </c>
      <c r="I164" s="349" t="s">
        <v>36</v>
      </c>
      <c r="J164" s="311" t="s">
        <v>2062</v>
      </c>
      <c r="K164" s="350"/>
      <c r="L164" s="351"/>
      <c r="M164" s="351"/>
      <c r="N164" s="351"/>
      <c r="O164" s="351"/>
      <c r="P164" s="351"/>
      <c r="Q164" s="351"/>
      <c r="R164" s="351"/>
      <c r="S164" s="351"/>
      <c r="T164" s="351"/>
      <c r="U164" s="351"/>
      <c r="V164" s="351"/>
      <c r="W164" s="351"/>
      <c r="X164" s="351"/>
      <c r="Y164" s="351"/>
      <c r="Z164" s="351"/>
      <c r="AA164" s="351"/>
    </row>
    <row r="165" ht="14.25" customHeight="1">
      <c r="A165" s="348" t="s">
        <v>10055</v>
      </c>
      <c r="B165" s="108"/>
      <c r="C165" s="311" t="s">
        <v>10089</v>
      </c>
      <c r="D165" s="349" t="s">
        <v>271</v>
      </c>
      <c r="E165" s="137" t="s">
        <v>10058</v>
      </c>
      <c r="F165" s="298" t="s">
        <v>10090</v>
      </c>
      <c r="G165" s="298" t="s">
        <v>10091</v>
      </c>
      <c r="H165" s="298" t="s">
        <v>10065</v>
      </c>
      <c r="I165" s="349" t="s">
        <v>36</v>
      </c>
      <c r="J165" s="311" t="s">
        <v>2062</v>
      </c>
      <c r="K165" s="350"/>
      <c r="L165" s="351"/>
      <c r="M165" s="351"/>
      <c r="N165" s="351"/>
      <c r="O165" s="351"/>
      <c r="P165" s="351"/>
      <c r="Q165" s="351"/>
      <c r="R165" s="351"/>
      <c r="S165" s="351"/>
      <c r="T165" s="351"/>
      <c r="U165" s="351"/>
      <c r="V165" s="351"/>
      <c r="W165" s="351"/>
      <c r="X165" s="351"/>
      <c r="Y165" s="351"/>
      <c r="Z165" s="351"/>
      <c r="AA165" s="351"/>
    </row>
    <row r="166" ht="14.25" customHeight="1">
      <c r="A166" s="348" t="s">
        <v>10055</v>
      </c>
      <c r="B166" s="108"/>
      <c r="C166" s="311" t="s">
        <v>10092</v>
      </c>
      <c r="D166" s="349" t="s">
        <v>271</v>
      </c>
      <c r="E166" s="137" t="s">
        <v>10058</v>
      </c>
      <c r="F166" s="298" t="s">
        <v>10093</v>
      </c>
      <c r="G166" s="298" t="s">
        <v>10094</v>
      </c>
      <c r="H166" s="298" t="s">
        <v>10061</v>
      </c>
      <c r="I166" s="349" t="s">
        <v>36</v>
      </c>
      <c r="J166" s="311" t="s">
        <v>2062</v>
      </c>
      <c r="K166" s="350"/>
      <c r="L166" s="351"/>
      <c r="M166" s="351"/>
      <c r="N166" s="351"/>
      <c r="O166" s="351"/>
      <c r="P166" s="351"/>
      <c r="Q166" s="351"/>
      <c r="R166" s="351"/>
      <c r="S166" s="351"/>
      <c r="T166" s="351"/>
      <c r="U166" s="351"/>
      <c r="V166" s="351"/>
      <c r="W166" s="351"/>
      <c r="X166" s="351"/>
      <c r="Y166" s="351"/>
      <c r="Z166" s="351"/>
      <c r="AA166" s="351"/>
    </row>
    <row r="167" ht="14.25" customHeight="1">
      <c r="A167" s="348" t="s">
        <v>10055</v>
      </c>
      <c r="B167" s="108"/>
      <c r="C167" s="311" t="s">
        <v>10095</v>
      </c>
      <c r="D167" s="349" t="s">
        <v>271</v>
      </c>
      <c r="E167" s="137" t="s">
        <v>10058</v>
      </c>
      <c r="F167" s="298" t="s">
        <v>10096</v>
      </c>
      <c r="G167" s="298" t="s">
        <v>10097</v>
      </c>
      <c r="H167" s="298" t="s">
        <v>10061</v>
      </c>
      <c r="I167" s="349" t="s">
        <v>36</v>
      </c>
      <c r="J167" s="311" t="s">
        <v>2062</v>
      </c>
      <c r="K167" s="350"/>
      <c r="L167" s="351"/>
      <c r="M167" s="351"/>
      <c r="N167" s="351"/>
      <c r="O167" s="351"/>
      <c r="P167" s="351"/>
      <c r="Q167" s="351"/>
      <c r="R167" s="351"/>
      <c r="S167" s="351"/>
      <c r="T167" s="351"/>
      <c r="U167" s="351"/>
      <c r="V167" s="351"/>
      <c r="W167" s="351"/>
      <c r="X167" s="351"/>
      <c r="Y167" s="351"/>
      <c r="Z167" s="351"/>
      <c r="AA167" s="351"/>
    </row>
    <row r="168" ht="14.25" customHeight="1">
      <c r="A168" s="348" t="s">
        <v>10055</v>
      </c>
      <c r="B168" s="108"/>
      <c r="C168" s="311" t="s">
        <v>10098</v>
      </c>
      <c r="D168" s="349" t="s">
        <v>271</v>
      </c>
      <c r="E168" s="137" t="s">
        <v>10058</v>
      </c>
      <c r="F168" s="298" t="s">
        <v>10099</v>
      </c>
      <c r="G168" s="298" t="s">
        <v>10100</v>
      </c>
      <c r="H168" s="298" t="s">
        <v>10065</v>
      </c>
      <c r="I168" s="349" t="s">
        <v>36</v>
      </c>
      <c r="J168" s="311" t="s">
        <v>2062</v>
      </c>
      <c r="K168" s="350"/>
      <c r="L168" s="351"/>
      <c r="M168" s="351"/>
      <c r="N168" s="351"/>
      <c r="O168" s="351"/>
      <c r="P168" s="351"/>
      <c r="Q168" s="351"/>
      <c r="R168" s="351"/>
      <c r="S168" s="351"/>
      <c r="T168" s="351"/>
      <c r="U168" s="351"/>
      <c r="V168" s="351"/>
      <c r="W168" s="351"/>
      <c r="X168" s="351"/>
      <c r="Y168" s="351"/>
      <c r="Z168" s="351"/>
      <c r="AA168" s="351"/>
    </row>
    <row r="169" ht="14.25" customHeight="1">
      <c r="A169" s="348" t="s">
        <v>10055</v>
      </c>
      <c r="B169" s="108"/>
      <c r="C169" s="311" t="s">
        <v>10101</v>
      </c>
      <c r="D169" s="349" t="s">
        <v>271</v>
      </c>
      <c r="E169" s="137" t="s">
        <v>10058</v>
      </c>
      <c r="F169" s="298" t="s">
        <v>10102</v>
      </c>
      <c r="G169" s="298" t="s">
        <v>10103</v>
      </c>
      <c r="H169" s="298" t="s">
        <v>10104</v>
      </c>
      <c r="I169" s="349" t="s">
        <v>36</v>
      </c>
      <c r="J169" s="311" t="s">
        <v>2062</v>
      </c>
      <c r="K169" s="350"/>
      <c r="L169" s="351"/>
      <c r="M169" s="351"/>
      <c r="N169" s="351"/>
      <c r="O169" s="351"/>
      <c r="P169" s="351"/>
      <c r="Q169" s="351"/>
      <c r="R169" s="351"/>
      <c r="S169" s="351"/>
      <c r="T169" s="351"/>
      <c r="U169" s="351"/>
      <c r="V169" s="351"/>
      <c r="W169" s="351"/>
      <c r="X169" s="351"/>
      <c r="Y169" s="351"/>
      <c r="Z169" s="351"/>
      <c r="AA169" s="351"/>
    </row>
    <row r="170" ht="14.25" customHeight="1">
      <c r="A170" s="348" t="s">
        <v>10055</v>
      </c>
      <c r="B170" s="108"/>
      <c r="C170" s="311" t="s">
        <v>10105</v>
      </c>
      <c r="D170" s="349" t="s">
        <v>271</v>
      </c>
      <c r="E170" s="137" t="s">
        <v>10058</v>
      </c>
      <c r="F170" s="298" t="s">
        <v>10106</v>
      </c>
      <c r="G170" s="298" t="s">
        <v>10107</v>
      </c>
      <c r="H170" s="298" t="s">
        <v>10061</v>
      </c>
      <c r="I170" s="349" t="s">
        <v>36</v>
      </c>
      <c r="J170" s="311" t="s">
        <v>2062</v>
      </c>
      <c r="K170" s="350"/>
      <c r="L170" s="351"/>
      <c r="M170" s="351"/>
      <c r="N170" s="351"/>
      <c r="O170" s="351"/>
      <c r="P170" s="351"/>
      <c r="Q170" s="351"/>
      <c r="R170" s="351"/>
      <c r="S170" s="351"/>
      <c r="T170" s="351"/>
      <c r="U170" s="351"/>
      <c r="V170" s="351"/>
      <c r="W170" s="351"/>
      <c r="X170" s="351"/>
      <c r="Y170" s="351"/>
      <c r="Z170" s="351"/>
      <c r="AA170" s="351"/>
    </row>
    <row r="171" ht="14.25" customHeight="1">
      <c r="A171" s="348" t="s">
        <v>10055</v>
      </c>
      <c r="B171" s="108"/>
      <c r="C171" s="311" t="s">
        <v>10108</v>
      </c>
      <c r="D171" s="349" t="s">
        <v>271</v>
      </c>
      <c r="E171" s="137" t="s">
        <v>10058</v>
      </c>
      <c r="F171" s="298" t="s">
        <v>10109</v>
      </c>
      <c r="G171" s="298" t="s">
        <v>10110</v>
      </c>
      <c r="H171" s="298" t="s">
        <v>10065</v>
      </c>
      <c r="I171" s="349" t="s">
        <v>36</v>
      </c>
      <c r="J171" s="311" t="s">
        <v>2062</v>
      </c>
      <c r="K171" s="350"/>
      <c r="L171" s="351"/>
      <c r="M171" s="351"/>
      <c r="N171" s="351"/>
      <c r="O171" s="351"/>
      <c r="P171" s="351"/>
      <c r="Q171" s="351"/>
      <c r="R171" s="351"/>
      <c r="S171" s="351"/>
      <c r="T171" s="351"/>
      <c r="U171" s="351"/>
      <c r="V171" s="351"/>
      <c r="W171" s="351"/>
      <c r="X171" s="351"/>
      <c r="Y171" s="351"/>
      <c r="Z171" s="351"/>
      <c r="AA171" s="351"/>
    </row>
    <row r="172" ht="14.25" customHeight="1">
      <c r="A172" s="348" t="s">
        <v>10055</v>
      </c>
      <c r="B172" s="108"/>
      <c r="C172" s="311" t="s">
        <v>10111</v>
      </c>
      <c r="D172" s="349" t="s">
        <v>271</v>
      </c>
      <c r="E172" s="137" t="s">
        <v>10058</v>
      </c>
      <c r="F172" s="298" t="s">
        <v>10112</v>
      </c>
      <c r="G172" s="298" t="s">
        <v>10113</v>
      </c>
      <c r="H172" s="298" t="s">
        <v>10065</v>
      </c>
      <c r="I172" s="349" t="s">
        <v>36</v>
      </c>
      <c r="J172" s="311" t="s">
        <v>2062</v>
      </c>
      <c r="K172" s="350"/>
      <c r="L172" s="351"/>
      <c r="M172" s="351"/>
      <c r="N172" s="351"/>
      <c r="O172" s="351"/>
      <c r="P172" s="351"/>
      <c r="Q172" s="351"/>
      <c r="R172" s="351"/>
      <c r="S172" s="351"/>
      <c r="T172" s="351"/>
      <c r="U172" s="351"/>
      <c r="V172" s="351"/>
      <c r="W172" s="351"/>
      <c r="X172" s="351"/>
      <c r="Y172" s="351"/>
      <c r="Z172" s="351"/>
      <c r="AA172" s="351"/>
    </row>
    <row r="173" ht="14.25" customHeight="1">
      <c r="A173" s="348" t="s">
        <v>10055</v>
      </c>
      <c r="B173" s="108"/>
      <c r="C173" s="311" t="s">
        <v>10114</v>
      </c>
      <c r="D173" s="349" t="s">
        <v>271</v>
      </c>
      <c r="E173" s="137" t="s">
        <v>10115</v>
      </c>
      <c r="F173" s="298" t="s">
        <v>10116</v>
      </c>
      <c r="G173" s="298" t="s">
        <v>10117</v>
      </c>
      <c r="H173" s="298" t="s">
        <v>10061</v>
      </c>
      <c r="I173" s="349" t="s">
        <v>36</v>
      </c>
      <c r="J173" s="311" t="s">
        <v>2062</v>
      </c>
      <c r="K173" s="350"/>
      <c r="L173" s="351"/>
      <c r="M173" s="351"/>
      <c r="N173" s="351"/>
      <c r="O173" s="351"/>
      <c r="P173" s="351"/>
      <c r="Q173" s="351"/>
      <c r="R173" s="351"/>
      <c r="S173" s="351"/>
      <c r="T173" s="351"/>
      <c r="U173" s="351"/>
      <c r="V173" s="351"/>
      <c r="W173" s="351"/>
      <c r="X173" s="351"/>
      <c r="Y173" s="351"/>
      <c r="Z173" s="351"/>
      <c r="AA173" s="351"/>
    </row>
    <row r="174" ht="14.25" customHeight="1">
      <c r="A174" s="348" t="s">
        <v>10055</v>
      </c>
      <c r="B174" s="108"/>
      <c r="C174" s="311" t="s">
        <v>10118</v>
      </c>
      <c r="D174" s="349" t="s">
        <v>271</v>
      </c>
      <c r="E174" s="137" t="s">
        <v>10115</v>
      </c>
      <c r="F174" s="298" t="s">
        <v>10119</v>
      </c>
      <c r="G174" s="298" t="s">
        <v>10120</v>
      </c>
      <c r="H174" s="298" t="s">
        <v>10069</v>
      </c>
      <c r="I174" s="349" t="s">
        <v>36</v>
      </c>
      <c r="J174" s="311" t="s">
        <v>2062</v>
      </c>
      <c r="K174" s="350"/>
      <c r="L174" s="351"/>
      <c r="M174" s="351"/>
      <c r="N174" s="351"/>
      <c r="O174" s="351"/>
      <c r="P174" s="351"/>
      <c r="Q174" s="351"/>
      <c r="R174" s="351"/>
      <c r="S174" s="351"/>
      <c r="T174" s="351"/>
      <c r="U174" s="351"/>
      <c r="V174" s="351"/>
      <c r="W174" s="351"/>
      <c r="X174" s="351"/>
      <c r="Y174" s="351"/>
      <c r="Z174" s="351"/>
      <c r="AA174" s="351"/>
    </row>
    <row r="175" ht="14.25" customHeight="1">
      <c r="A175" s="348" t="s">
        <v>10055</v>
      </c>
      <c r="B175" s="108"/>
      <c r="C175" s="311" t="s">
        <v>10121</v>
      </c>
      <c r="D175" s="349" t="s">
        <v>271</v>
      </c>
      <c r="E175" s="137" t="s">
        <v>10115</v>
      </c>
      <c r="F175" s="298" t="s">
        <v>10122</v>
      </c>
      <c r="G175" s="298" t="s">
        <v>10123</v>
      </c>
      <c r="H175" s="298" t="s">
        <v>10065</v>
      </c>
      <c r="I175" s="349" t="s">
        <v>36</v>
      </c>
      <c r="J175" s="311" t="s">
        <v>2062</v>
      </c>
      <c r="K175" s="350"/>
      <c r="L175" s="351"/>
      <c r="M175" s="351"/>
      <c r="N175" s="351"/>
      <c r="O175" s="351"/>
      <c r="P175" s="351"/>
      <c r="Q175" s="351"/>
      <c r="R175" s="351"/>
      <c r="S175" s="351"/>
      <c r="T175" s="351"/>
      <c r="U175" s="351"/>
      <c r="V175" s="351"/>
      <c r="W175" s="351"/>
      <c r="X175" s="351"/>
      <c r="Y175" s="351"/>
      <c r="Z175" s="351"/>
      <c r="AA175" s="351"/>
    </row>
    <row r="176" ht="14.25" customHeight="1">
      <c r="A176" s="348" t="s">
        <v>10055</v>
      </c>
      <c r="B176" s="108"/>
      <c r="C176" s="311" t="s">
        <v>10124</v>
      </c>
      <c r="D176" s="349" t="s">
        <v>271</v>
      </c>
      <c r="E176" s="137" t="s">
        <v>10115</v>
      </c>
      <c r="F176" s="298" t="s">
        <v>10125</v>
      </c>
      <c r="G176" s="298" t="s">
        <v>10126</v>
      </c>
      <c r="H176" s="298" t="s">
        <v>10061</v>
      </c>
      <c r="I176" s="349" t="s">
        <v>36</v>
      </c>
      <c r="J176" s="311" t="s">
        <v>2062</v>
      </c>
      <c r="K176" s="350"/>
      <c r="L176" s="351"/>
      <c r="M176" s="351"/>
      <c r="N176" s="351"/>
      <c r="O176" s="351"/>
      <c r="P176" s="351"/>
      <c r="Q176" s="351"/>
      <c r="R176" s="351"/>
      <c r="S176" s="351"/>
      <c r="T176" s="351"/>
      <c r="U176" s="351"/>
      <c r="V176" s="351"/>
      <c r="W176" s="351"/>
      <c r="X176" s="351"/>
      <c r="Y176" s="351"/>
      <c r="Z176" s="351"/>
      <c r="AA176" s="351"/>
    </row>
    <row r="177" ht="14.25" customHeight="1">
      <c r="A177" s="348" t="s">
        <v>10055</v>
      </c>
      <c r="B177" s="108"/>
      <c r="C177" s="311" t="s">
        <v>10127</v>
      </c>
      <c r="D177" s="349" t="s">
        <v>271</v>
      </c>
      <c r="E177" s="137" t="s">
        <v>10115</v>
      </c>
      <c r="F177" s="298" t="s">
        <v>10128</v>
      </c>
      <c r="G177" s="298" t="s">
        <v>10129</v>
      </c>
      <c r="H177" s="298" t="s">
        <v>10061</v>
      </c>
      <c r="I177" s="349" t="s">
        <v>36</v>
      </c>
      <c r="J177" s="311" t="s">
        <v>2062</v>
      </c>
      <c r="K177" s="350"/>
      <c r="L177" s="351"/>
      <c r="M177" s="351"/>
      <c r="N177" s="351"/>
      <c r="O177" s="351"/>
      <c r="P177" s="351"/>
      <c r="Q177" s="351"/>
      <c r="R177" s="351"/>
      <c r="S177" s="351"/>
      <c r="T177" s="351"/>
      <c r="U177" s="351"/>
      <c r="V177" s="351"/>
      <c r="W177" s="351"/>
      <c r="X177" s="351"/>
      <c r="Y177" s="351"/>
      <c r="Z177" s="351"/>
      <c r="AA177" s="351"/>
    </row>
    <row r="178" ht="14.25" customHeight="1">
      <c r="A178" s="348" t="s">
        <v>10055</v>
      </c>
      <c r="B178" s="108"/>
      <c r="C178" s="311" t="s">
        <v>10130</v>
      </c>
      <c r="D178" s="349" t="s">
        <v>271</v>
      </c>
      <c r="E178" s="137" t="s">
        <v>10115</v>
      </c>
      <c r="F178" s="298" t="s">
        <v>10131</v>
      </c>
      <c r="G178" s="298" t="s">
        <v>10132</v>
      </c>
      <c r="H178" s="298" t="s">
        <v>10061</v>
      </c>
      <c r="I178" s="349" t="s">
        <v>36</v>
      </c>
      <c r="J178" s="311" t="s">
        <v>2062</v>
      </c>
      <c r="K178" s="350"/>
      <c r="L178" s="351"/>
      <c r="M178" s="351"/>
      <c r="N178" s="351"/>
      <c r="O178" s="351"/>
      <c r="P178" s="351"/>
      <c r="Q178" s="351"/>
      <c r="R178" s="351"/>
      <c r="S178" s="351"/>
      <c r="T178" s="351"/>
      <c r="U178" s="351"/>
      <c r="V178" s="351"/>
      <c r="W178" s="351"/>
      <c r="X178" s="351"/>
      <c r="Y178" s="351"/>
      <c r="Z178" s="351"/>
      <c r="AA178" s="351"/>
    </row>
    <row r="179" ht="14.25" customHeight="1">
      <c r="A179" s="348" t="s">
        <v>10055</v>
      </c>
      <c r="B179" s="108"/>
      <c r="C179" s="311" t="s">
        <v>10133</v>
      </c>
      <c r="D179" s="349" t="s">
        <v>271</v>
      </c>
      <c r="E179" s="137" t="s">
        <v>10115</v>
      </c>
      <c r="F179" s="298" t="s">
        <v>10134</v>
      </c>
      <c r="G179" s="298" t="s">
        <v>10135</v>
      </c>
      <c r="H179" s="298" t="s">
        <v>10104</v>
      </c>
      <c r="I179" s="349" t="s">
        <v>36</v>
      </c>
      <c r="J179" s="311" t="s">
        <v>2062</v>
      </c>
      <c r="K179" s="350"/>
      <c r="L179" s="351"/>
      <c r="M179" s="351"/>
      <c r="N179" s="351"/>
      <c r="O179" s="351"/>
      <c r="P179" s="351"/>
      <c r="Q179" s="351"/>
      <c r="R179" s="351"/>
      <c r="S179" s="351"/>
      <c r="T179" s="351"/>
      <c r="U179" s="351"/>
      <c r="V179" s="351"/>
      <c r="W179" s="351"/>
      <c r="X179" s="351"/>
      <c r="Y179" s="351"/>
      <c r="Z179" s="351"/>
      <c r="AA179" s="351"/>
    </row>
    <row r="180" ht="14.25" customHeight="1">
      <c r="A180" s="348" t="s">
        <v>10055</v>
      </c>
      <c r="B180" s="108"/>
      <c r="C180" s="311" t="s">
        <v>10136</v>
      </c>
      <c r="D180" s="349" t="s">
        <v>271</v>
      </c>
      <c r="E180" s="137" t="s">
        <v>10115</v>
      </c>
      <c r="F180" s="298" t="s">
        <v>10137</v>
      </c>
      <c r="G180" s="298" t="s">
        <v>10138</v>
      </c>
      <c r="H180" s="298" t="s">
        <v>10061</v>
      </c>
      <c r="I180" s="349" t="s">
        <v>36</v>
      </c>
      <c r="J180" s="311" t="s">
        <v>2062</v>
      </c>
      <c r="K180" s="350"/>
      <c r="L180" s="351"/>
      <c r="M180" s="351"/>
      <c r="N180" s="351"/>
      <c r="O180" s="351"/>
      <c r="P180" s="351"/>
      <c r="Q180" s="351"/>
      <c r="R180" s="351"/>
      <c r="S180" s="351"/>
      <c r="T180" s="351"/>
      <c r="U180" s="351"/>
      <c r="V180" s="351"/>
      <c r="W180" s="351"/>
      <c r="X180" s="351"/>
      <c r="Y180" s="351"/>
      <c r="Z180" s="351"/>
      <c r="AA180" s="351"/>
    </row>
    <row r="181" ht="14.25" customHeight="1">
      <c r="A181" s="348" t="s">
        <v>10055</v>
      </c>
      <c r="B181" s="108"/>
      <c r="C181" s="311" t="s">
        <v>10139</v>
      </c>
      <c r="D181" s="349" t="s">
        <v>271</v>
      </c>
      <c r="E181" s="137" t="s">
        <v>10115</v>
      </c>
      <c r="F181" s="298" t="s">
        <v>10140</v>
      </c>
      <c r="G181" s="298" t="s">
        <v>10141</v>
      </c>
      <c r="H181" s="298" t="s">
        <v>10061</v>
      </c>
      <c r="I181" s="349" t="s">
        <v>36</v>
      </c>
      <c r="J181" s="311" t="s">
        <v>2062</v>
      </c>
      <c r="K181" s="350"/>
      <c r="L181" s="351"/>
      <c r="M181" s="351"/>
      <c r="N181" s="351"/>
      <c r="O181" s="351"/>
      <c r="P181" s="351"/>
      <c r="Q181" s="351"/>
      <c r="R181" s="351"/>
      <c r="S181" s="351"/>
      <c r="T181" s="351"/>
      <c r="U181" s="351"/>
      <c r="V181" s="351"/>
      <c r="W181" s="351"/>
      <c r="X181" s="351"/>
      <c r="Y181" s="351"/>
      <c r="Z181" s="351"/>
      <c r="AA181" s="351"/>
    </row>
    <row r="182" ht="14.25" customHeight="1">
      <c r="A182" s="348" t="s">
        <v>10055</v>
      </c>
      <c r="B182" s="108"/>
      <c r="C182" s="311" t="s">
        <v>10142</v>
      </c>
      <c r="D182" s="349" t="s">
        <v>271</v>
      </c>
      <c r="E182" s="137" t="s">
        <v>10115</v>
      </c>
      <c r="F182" s="298" t="s">
        <v>10143</v>
      </c>
      <c r="G182" s="298" t="s">
        <v>10144</v>
      </c>
      <c r="H182" s="298" t="s">
        <v>10065</v>
      </c>
      <c r="I182" s="349" t="s">
        <v>36</v>
      </c>
      <c r="J182" s="311" t="s">
        <v>2062</v>
      </c>
      <c r="K182" s="350"/>
      <c r="L182" s="351"/>
      <c r="M182" s="351"/>
      <c r="N182" s="351"/>
      <c r="O182" s="351"/>
      <c r="P182" s="351"/>
      <c r="Q182" s="351"/>
      <c r="R182" s="351"/>
      <c r="S182" s="351"/>
      <c r="T182" s="351"/>
      <c r="U182" s="351"/>
      <c r="V182" s="351"/>
      <c r="W182" s="351"/>
      <c r="X182" s="351"/>
      <c r="Y182" s="351"/>
      <c r="Z182" s="351"/>
      <c r="AA182" s="351"/>
    </row>
    <row r="183" ht="14.25" customHeight="1">
      <c r="A183" s="348" t="s">
        <v>10055</v>
      </c>
      <c r="B183" s="108"/>
      <c r="C183" s="311" t="s">
        <v>10145</v>
      </c>
      <c r="D183" s="349" t="s">
        <v>271</v>
      </c>
      <c r="E183" s="137" t="s">
        <v>10115</v>
      </c>
      <c r="F183" s="298" t="s">
        <v>10146</v>
      </c>
      <c r="G183" s="298" t="s">
        <v>10147</v>
      </c>
      <c r="H183" s="298" t="s">
        <v>10065</v>
      </c>
      <c r="I183" s="349" t="s">
        <v>36</v>
      </c>
      <c r="J183" s="311" t="s">
        <v>2062</v>
      </c>
      <c r="K183" s="350"/>
      <c r="L183" s="351"/>
      <c r="M183" s="351"/>
      <c r="N183" s="351"/>
      <c r="O183" s="351"/>
      <c r="P183" s="351"/>
      <c r="Q183" s="351"/>
      <c r="R183" s="351"/>
      <c r="S183" s="351"/>
      <c r="T183" s="351"/>
      <c r="U183" s="351"/>
      <c r="V183" s="351"/>
      <c r="W183" s="351"/>
      <c r="X183" s="351"/>
      <c r="Y183" s="351"/>
      <c r="Z183" s="351"/>
      <c r="AA183" s="351"/>
    </row>
    <row r="184" ht="14.25" customHeight="1">
      <c r="A184" s="348" t="s">
        <v>10055</v>
      </c>
      <c r="B184" s="108"/>
      <c r="C184" s="311" t="s">
        <v>10148</v>
      </c>
      <c r="D184" s="349" t="s">
        <v>271</v>
      </c>
      <c r="E184" s="137" t="s">
        <v>10115</v>
      </c>
      <c r="F184" s="298" t="s">
        <v>10149</v>
      </c>
      <c r="G184" s="298" t="s">
        <v>10150</v>
      </c>
      <c r="H184" s="298" t="s">
        <v>10061</v>
      </c>
      <c r="I184" s="349" t="s">
        <v>36</v>
      </c>
      <c r="J184" s="311" t="s">
        <v>2062</v>
      </c>
      <c r="K184" s="350"/>
      <c r="L184" s="351"/>
      <c r="M184" s="351"/>
      <c r="N184" s="351"/>
      <c r="O184" s="351"/>
      <c r="P184" s="351"/>
      <c r="Q184" s="351"/>
      <c r="R184" s="351"/>
      <c r="S184" s="351"/>
      <c r="T184" s="351"/>
      <c r="U184" s="351"/>
      <c r="V184" s="351"/>
      <c r="W184" s="351"/>
      <c r="X184" s="351"/>
      <c r="Y184" s="351"/>
      <c r="Z184" s="351"/>
      <c r="AA184" s="351"/>
    </row>
    <row r="185" ht="14.25" customHeight="1">
      <c r="A185" s="348" t="s">
        <v>10055</v>
      </c>
      <c r="B185" s="108"/>
      <c r="C185" s="311" t="s">
        <v>10151</v>
      </c>
      <c r="D185" s="349" t="s">
        <v>271</v>
      </c>
      <c r="E185" s="137" t="s">
        <v>10115</v>
      </c>
      <c r="F185" s="298" t="s">
        <v>10152</v>
      </c>
      <c r="G185" s="298" t="s">
        <v>10153</v>
      </c>
      <c r="H185" s="298" t="s">
        <v>10065</v>
      </c>
      <c r="I185" s="349" t="s">
        <v>36</v>
      </c>
      <c r="J185" s="311" t="s">
        <v>2062</v>
      </c>
      <c r="K185" s="350"/>
      <c r="L185" s="351"/>
      <c r="M185" s="351"/>
      <c r="N185" s="351"/>
      <c r="O185" s="351"/>
      <c r="P185" s="351"/>
      <c r="Q185" s="351"/>
      <c r="R185" s="351"/>
      <c r="S185" s="351"/>
      <c r="T185" s="351"/>
      <c r="U185" s="351"/>
      <c r="V185" s="351"/>
      <c r="W185" s="351"/>
      <c r="X185" s="351"/>
      <c r="Y185" s="351"/>
      <c r="Z185" s="351"/>
      <c r="AA185" s="351"/>
    </row>
    <row r="186" ht="14.25" customHeight="1">
      <c r="A186" s="348" t="s">
        <v>10055</v>
      </c>
      <c r="B186" s="108"/>
      <c r="C186" s="311" t="s">
        <v>10154</v>
      </c>
      <c r="D186" s="349" t="s">
        <v>271</v>
      </c>
      <c r="E186" s="137" t="s">
        <v>10115</v>
      </c>
      <c r="F186" s="298" t="s">
        <v>10155</v>
      </c>
      <c r="G186" s="298" t="s">
        <v>10156</v>
      </c>
      <c r="H186" s="298" t="s">
        <v>10061</v>
      </c>
      <c r="I186" s="349" t="s">
        <v>36</v>
      </c>
      <c r="J186" s="311" t="s">
        <v>2062</v>
      </c>
      <c r="K186" s="350"/>
      <c r="L186" s="351"/>
      <c r="M186" s="351"/>
      <c r="N186" s="351"/>
      <c r="O186" s="351"/>
      <c r="P186" s="351"/>
      <c r="Q186" s="351"/>
      <c r="R186" s="351"/>
      <c r="S186" s="351"/>
      <c r="T186" s="351"/>
      <c r="U186" s="351"/>
      <c r="V186" s="351"/>
      <c r="W186" s="351"/>
      <c r="X186" s="351"/>
      <c r="Y186" s="351"/>
      <c r="Z186" s="351"/>
      <c r="AA186" s="351"/>
    </row>
    <row r="187" ht="14.25" customHeight="1">
      <c r="A187" s="348" t="s">
        <v>10055</v>
      </c>
      <c r="B187" s="108"/>
      <c r="C187" s="311" t="s">
        <v>10157</v>
      </c>
      <c r="D187" s="349" t="s">
        <v>271</v>
      </c>
      <c r="E187" s="137" t="s">
        <v>10115</v>
      </c>
      <c r="F187" s="298" t="s">
        <v>10158</v>
      </c>
      <c r="G187" s="298" t="s">
        <v>10117</v>
      </c>
      <c r="H187" s="298" t="s">
        <v>10061</v>
      </c>
      <c r="I187" s="349" t="s">
        <v>36</v>
      </c>
      <c r="J187" s="311" t="s">
        <v>2062</v>
      </c>
      <c r="K187" s="350"/>
      <c r="L187" s="351"/>
      <c r="M187" s="351"/>
      <c r="N187" s="351"/>
      <c r="O187" s="351"/>
      <c r="P187" s="351"/>
      <c r="Q187" s="351"/>
      <c r="R187" s="351"/>
      <c r="S187" s="351"/>
      <c r="T187" s="351"/>
      <c r="U187" s="351"/>
      <c r="V187" s="351"/>
      <c r="W187" s="351"/>
      <c r="X187" s="351"/>
      <c r="Y187" s="351"/>
      <c r="Z187" s="351"/>
      <c r="AA187" s="351"/>
    </row>
    <row r="188" ht="14.25" customHeight="1">
      <c r="A188" s="348" t="s">
        <v>10055</v>
      </c>
      <c r="B188" s="108"/>
      <c r="C188" s="311" t="s">
        <v>10159</v>
      </c>
      <c r="D188" s="349" t="s">
        <v>271</v>
      </c>
      <c r="E188" s="137" t="s">
        <v>10115</v>
      </c>
      <c r="F188" s="298" t="s">
        <v>10160</v>
      </c>
      <c r="G188" s="298" t="s">
        <v>10161</v>
      </c>
      <c r="H188" s="298" t="s">
        <v>10061</v>
      </c>
      <c r="I188" s="349" t="s">
        <v>36</v>
      </c>
      <c r="J188" s="311" t="s">
        <v>2062</v>
      </c>
      <c r="K188" s="350"/>
      <c r="L188" s="351"/>
      <c r="M188" s="351"/>
      <c r="N188" s="351"/>
      <c r="O188" s="351"/>
      <c r="P188" s="351"/>
      <c r="Q188" s="351"/>
      <c r="R188" s="351"/>
      <c r="S188" s="351"/>
      <c r="T188" s="351"/>
      <c r="U188" s="351"/>
      <c r="V188" s="351"/>
      <c r="W188" s="351"/>
      <c r="X188" s="351"/>
      <c r="Y188" s="351"/>
      <c r="Z188" s="351"/>
      <c r="AA188" s="351"/>
    </row>
    <row r="189" ht="14.25" customHeight="1">
      <c r="A189" s="348" t="s">
        <v>10055</v>
      </c>
      <c r="B189" s="108"/>
      <c r="C189" s="311" t="s">
        <v>10162</v>
      </c>
      <c r="D189" s="349" t="s">
        <v>271</v>
      </c>
      <c r="E189" s="137" t="s">
        <v>10115</v>
      </c>
      <c r="F189" s="298" t="s">
        <v>10163</v>
      </c>
      <c r="G189" s="298" t="s">
        <v>10164</v>
      </c>
      <c r="H189" s="298" t="s">
        <v>10065</v>
      </c>
      <c r="I189" s="349" t="s">
        <v>36</v>
      </c>
      <c r="J189" s="311" t="s">
        <v>2062</v>
      </c>
      <c r="K189" s="350"/>
      <c r="L189" s="351"/>
      <c r="M189" s="351"/>
      <c r="N189" s="351"/>
      <c r="O189" s="351"/>
      <c r="P189" s="351"/>
      <c r="Q189" s="351"/>
      <c r="R189" s="351"/>
      <c r="S189" s="351"/>
      <c r="T189" s="351"/>
      <c r="U189" s="351"/>
      <c r="V189" s="351"/>
      <c r="W189" s="351"/>
      <c r="X189" s="351"/>
      <c r="Y189" s="351"/>
      <c r="Z189" s="351"/>
      <c r="AA189" s="351"/>
    </row>
    <row r="190" ht="14.25" customHeight="1">
      <c r="A190" s="348" t="s">
        <v>10055</v>
      </c>
      <c r="B190" s="108"/>
      <c r="C190" s="311" t="s">
        <v>10165</v>
      </c>
      <c r="D190" s="349" t="s">
        <v>271</v>
      </c>
      <c r="E190" s="137" t="s">
        <v>10115</v>
      </c>
      <c r="F190" s="298" t="s">
        <v>10166</v>
      </c>
      <c r="G190" s="298" t="s">
        <v>10167</v>
      </c>
      <c r="H190" s="298" t="s">
        <v>10065</v>
      </c>
      <c r="I190" s="349" t="s">
        <v>36</v>
      </c>
      <c r="J190" s="311" t="s">
        <v>2062</v>
      </c>
      <c r="K190" s="350"/>
      <c r="L190" s="351"/>
      <c r="M190" s="351"/>
      <c r="N190" s="351"/>
      <c r="O190" s="351"/>
      <c r="P190" s="351"/>
      <c r="Q190" s="351"/>
      <c r="R190" s="351"/>
      <c r="S190" s="351"/>
      <c r="T190" s="351"/>
      <c r="U190" s="351"/>
      <c r="V190" s="351"/>
      <c r="W190" s="351"/>
      <c r="X190" s="351"/>
      <c r="Y190" s="351"/>
      <c r="Z190" s="351"/>
      <c r="AA190" s="351"/>
    </row>
    <row r="191" ht="14.25" customHeight="1">
      <c r="A191" s="348" t="s">
        <v>10055</v>
      </c>
      <c r="B191" s="108"/>
      <c r="C191" s="311" t="s">
        <v>10168</v>
      </c>
      <c r="D191" s="349" t="s">
        <v>271</v>
      </c>
      <c r="E191" s="137" t="s">
        <v>10115</v>
      </c>
      <c r="F191" s="298" t="s">
        <v>10169</v>
      </c>
      <c r="G191" s="298" t="s">
        <v>10170</v>
      </c>
      <c r="H191" s="364" t="s">
        <v>10065</v>
      </c>
      <c r="I191" s="349" t="s">
        <v>36</v>
      </c>
      <c r="J191" s="311" t="s">
        <v>2062</v>
      </c>
      <c r="K191" s="350"/>
      <c r="L191" s="351"/>
      <c r="M191" s="351"/>
      <c r="N191" s="351"/>
      <c r="O191" s="351"/>
      <c r="P191" s="351"/>
      <c r="Q191" s="351"/>
      <c r="R191" s="351"/>
      <c r="S191" s="351"/>
      <c r="T191" s="351"/>
      <c r="U191" s="351"/>
      <c r="V191" s="351"/>
      <c r="W191" s="351"/>
      <c r="X191" s="351"/>
      <c r="Y191" s="351"/>
      <c r="Z191" s="351"/>
      <c r="AA191" s="351"/>
    </row>
    <row r="192" ht="14.25" customHeight="1">
      <c r="A192" s="348" t="s">
        <v>10055</v>
      </c>
      <c r="B192" s="108"/>
      <c r="C192" s="311" t="s">
        <v>10171</v>
      </c>
      <c r="D192" s="349" t="s">
        <v>271</v>
      </c>
      <c r="E192" s="137" t="s">
        <v>10172</v>
      </c>
      <c r="F192" s="298" t="s">
        <v>10173</v>
      </c>
      <c r="G192" s="298" t="s">
        <v>10174</v>
      </c>
      <c r="H192" s="298" t="s">
        <v>10104</v>
      </c>
      <c r="I192" s="349" t="s">
        <v>36</v>
      </c>
      <c r="J192" s="311" t="s">
        <v>2062</v>
      </c>
      <c r="K192" s="350"/>
      <c r="L192" s="351"/>
      <c r="M192" s="351"/>
      <c r="N192" s="351"/>
      <c r="O192" s="351"/>
      <c r="P192" s="351"/>
      <c r="Q192" s="351"/>
      <c r="R192" s="351"/>
      <c r="S192" s="351"/>
      <c r="T192" s="351"/>
      <c r="U192" s="351"/>
      <c r="V192" s="351"/>
      <c r="W192" s="351"/>
      <c r="X192" s="351"/>
      <c r="Y192" s="351"/>
      <c r="Z192" s="351"/>
      <c r="AA192" s="351"/>
    </row>
    <row r="193" ht="14.25" customHeight="1">
      <c r="A193" s="348" t="s">
        <v>10055</v>
      </c>
      <c r="B193" s="108"/>
      <c r="C193" s="311" t="s">
        <v>10175</v>
      </c>
      <c r="D193" s="349" t="s">
        <v>271</v>
      </c>
      <c r="E193" s="137" t="s">
        <v>10172</v>
      </c>
      <c r="F193" s="298" t="s">
        <v>10176</v>
      </c>
      <c r="G193" s="298" t="s">
        <v>10177</v>
      </c>
      <c r="H193" s="298" t="s">
        <v>10104</v>
      </c>
      <c r="I193" s="349" t="s">
        <v>36</v>
      </c>
      <c r="J193" s="311" t="s">
        <v>2062</v>
      </c>
      <c r="K193" s="350"/>
      <c r="L193" s="351"/>
      <c r="M193" s="351"/>
      <c r="N193" s="351"/>
      <c r="O193" s="351"/>
      <c r="P193" s="351"/>
      <c r="Q193" s="351"/>
      <c r="R193" s="351"/>
      <c r="S193" s="351"/>
      <c r="T193" s="351"/>
      <c r="U193" s="351"/>
      <c r="V193" s="351"/>
      <c r="W193" s="351"/>
      <c r="X193" s="351"/>
      <c r="Y193" s="351"/>
      <c r="Z193" s="351"/>
      <c r="AA193" s="351"/>
    </row>
    <row r="194" ht="14.25" customHeight="1">
      <c r="A194" s="348" t="s">
        <v>10055</v>
      </c>
      <c r="B194" s="108"/>
      <c r="C194" s="311" t="s">
        <v>10178</v>
      </c>
      <c r="D194" s="349" t="s">
        <v>271</v>
      </c>
      <c r="E194" s="137" t="s">
        <v>10172</v>
      </c>
      <c r="F194" s="298" t="s">
        <v>10179</v>
      </c>
      <c r="G194" s="298" t="s">
        <v>10180</v>
      </c>
      <c r="H194" s="298" t="s">
        <v>10181</v>
      </c>
      <c r="I194" s="349" t="s">
        <v>36</v>
      </c>
      <c r="J194" s="311" t="s">
        <v>2062</v>
      </c>
      <c r="K194" s="350"/>
      <c r="L194" s="351"/>
      <c r="M194" s="351"/>
      <c r="N194" s="351"/>
      <c r="O194" s="351"/>
      <c r="P194" s="351"/>
      <c r="Q194" s="351"/>
      <c r="R194" s="351"/>
      <c r="S194" s="351"/>
      <c r="T194" s="351"/>
      <c r="U194" s="351"/>
      <c r="V194" s="351"/>
      <c r="W194" s="351"/>
      <c r="X194" s="351"/>
      <c r="Y194" s="351"/>
      <c r="Z194" s="351"/>
      <c r="AA194" s="351"/>
    </row>
    <row r="195" ht="14.25" customHeight="1">
      <c r="A195" s="348" t="s">
        <v>10055</v>
      </c>
      <c r="B195" s="108"/>
      <c r="C195" s="311" t="s">
        <v>10182</v>
      </c>
      <c r="D195" s="349" t="s">
        <v>271</v>
      </c>
      <c r="E195" s="137" t="s">
        <v>10172</v>
      </c>
      <c r="F195" s="298" t="s">
        <v>10183</v>
      </c>
      <c r="G195" s="298" t="s">
        <v>10184</v>
      </c>
      <c r="H195" s="298" t="s">
        <v>10069</v>
      </c>
      <c r="I195" s="349" t="s">
        <v>36</v>
      </c>
      <c r="J195" s="311" t="s">
        <v>2062</v>
      </c>
      <c r="K195" s="350"/>
      <c r="L195" s="351"/>
      <c r="M195" s="351"/>
      <c r="N195" s="351"/>
      <c r="O195" s="351"/>
      <c r="P195" s="351"/>
      <c r="Q195" s="351"/>
      <c r="R195" s="351"/>
      <c r="S195" s="351"/>
      <c r="T195" s="351"/>
      <c r="U195" s="351"/>
      <c r="V195" s="351"/>
      <c r="W195" s="351"/>
      <c r="X195" s="351"/>
      <c r="Y195" s="351"/>
      <c r="Z195" s="351"/>
      <c r="AA195" s="351"/>
    </row>
    <row r="196" ht="14.25" customHeight="1">
      <c r="A196" s="348" t="s">
        <v>10055</v>
      </c>
      <c r="B196" s="108"/>
      <c r="C196" s="311" t="s">
        <v>10185</v>
      </c>
      <c r="D196" s="349" t="s">
        <v>271</v>
      </c>
      <c r="E196" s="137" t="s">
        <v>10172</v>
      </c>
      <c r="F196" s="298" t="s">
        <v>10186</v>
      </c>
      <c r="G196" s="298" t="s">
        <v>10187</v>
      </c>
      <c r="H196" s="298" t="s">
        <v>10065</v>
      </c>
      <c r="I196" s="349" t="s">
        <v>36</v>
      </c>
      <c r="J196" s="311" t="s">
        <v>2062</v>
      </c>
      <c r="K196" s="350"/>
      <c r="L196" s="351"/>
      <c r="M196" s="351"/>
      <c r="N196" s="351"/>
      <c r="O196" s="351"/>
      <c r="P196" s="351"/>
      <c r="Q196" s="351"/>
      <c r="R196" s="351"/>
      <c r="S196" s="351"/>
      <c r="T196" s="351"/>
      <c r="U196" s="351"/>
      <c r="V196" s="351"/>
      <c r="W196" s="351"/>
      <c r="X196" s="351"/>
      <c r="Y196" s="351"/>
      <c r="Z196" s="351"/>
      <c r="AA196" s="351"/>
    </row>
    <row r="197" ht="14.25" customHeight="1">
      <c r="A197" s="348" t="s">
        <v>10055</v>
      </c>
      <c r="B197" s="108"/>
      <c r="C197" s="311" t="s">
        <v>10188</v>
      </c>
      <c r="D197" s="349" t="s">
        <v>271</v>
      </c>
      <c r="E197" s="137" t="s">
        <v>10172</v>
      </c>
      <c r="F197" s="298" t="s">
        <v>10189</v>
      </c>
      <c r="G197" s="298" t="s">
        <v>10190</v>
      </c>
      <c r="H197" s="298" t="s">
        <v>10065</v>
      </c>
      <c r="I197" s="349" t="s">
        <v>36</v>
      </c>
      <c r="J197" s="311" t="s">
        <v>2062</v>
      </c>
      <c r="K197" s="350"/>
      <c r="L197" s="351"/>
      <c r="M197" s="351"/>
      <c r="N197" s="351"/>
      <c r="O197" s="351"/>
      <c r="P197" s="351"/>
      <c r="Q197" s="351"/>
      <c r="R197" s="351"/>
      <c r="S197" s="351"/>
      <c r="T197" s="351"/>
      <c r="U197" s="351"/>
      <c r="V197" s="351"/>
      <c r="W197" s="351"/>
      <c r="X197" s="351"/>
      <c r="Y197" s="351"/>
      <c r="Z197" s="351"/>
      <c r="AA197" s="351"/>
    </row>
    <row r="198" ht="14.25" customHeight="1">
      <c r="A198" s="348" t="s">
        <v>10055</v>
      </c>
      <c r="B198" s="108"/>
      <c r="C198" s="311" t="s">
        <v>10191</v>
      </c>
      <c r="D198" s="349" t="s">
        <v>271</v>
      </c>
      <c r="E198" s="137" t="s">
        <v>10172</v>
      </c>
      <c r="F198" s="298" t="s">
        <v>10192</v>
      </c>
      <c r="G198" s="298" t="s">
        <v>10193</v>
      </c>
      <c r="H198" s="298" t="s">
        <v>10065</v>
      </c>
      <c r="I198" s="349" t="s">
        <v>36</v>
      </c>
      <c r="J198" s="311" t="s">
        <v>2062</v>
      </c>
      <c r="K198" s="350"/>
      <c r="L198" s="351"/>
      <c r="M198" s="351"/>
      <c r="N198" s="351"/>
      <c r="O198" s="351"/>
      <c r="P198" s="351"/>
      <c r="Q198" s="351"/>
      <c r="R198" s="351"/>
      <c r="S198" s="351"/>
      <c r="T198" s="351"/>
      <c r="U198" s="351"/>
      <c r="V198" s="351"/>
      <c r="W198" s="351"/>
      <c r="X198" s="351"/>
      <c r="Y198" s="351"/>
      <c r="Z198" s="351"/>
      <c r="AA198" s="351"/>
    </row>
    <row r="199" ht="14.25" customHeight="1">
      <c r="A199" s="348" t="s">
        <v>10055</v>
      </c>
      <c r="B199" s="109"/>
      <c r="C199" s="311" t="s">
        <v>10194</v>
      </c>
      <c r="D199" s="349" t="s">
        <v>271</v>
      </c>
      <c r="E199" s="137" t="s">
        <v>10172</v>
      </c>
      <c r="F199" s="298" t="s">
        <v>10195</v>
      </c>
      <c r="G199" s="298" t="s">
        <v>10196</v>
      </c>
      <c r="H199" s="298" t="s">
        <v>10065</v>
      </c>
      <c r="I199" s="349" t="s">
        <v>36</v>
      </c>
      <c r="J199" s="311" t="s">
        <v>2062</v>
      </c>
      <c r="K199" s="350"/>
      <c r="L199" s="351"/>
      <c r="M199" s="351"/>
      <c r="N199" s="351"/>
      <c r="O199" s="351"/>
      <c r="P199" s="351"/>
      <c r="Q199" s="351"/>
      <c r="R199" s="351"/>
      <c r="S199" s="351"/>
      <c r="T199" s="351"/>
      <c r="U199" s="351"/>
      <c r="V199" s="351"/>
      <c r="W199" s="351"/>
      <c r="X199" s="351"/>
      <c r="Y199" s="351"/>
      <c r="Z199" s="351"/>
      <c r="AA199" s="351"/>
    </row>
    <row r="200" ht="14.25" customHeight="1">
      <c r="A200" s="365" t="s">
        <v>10197</v>
      </c>
      <c r="B200" s="363" t="s">
        <v>10198</v>
      </c>
      <c r="C200" s="296" t="s">
        <v>10199</v>
      </c>
      <c r="D200" s="303" t="s">
        <v>271</v>
      </c>
      <c r="E200" s="137" t="s">
        <v>10172</v>
      </c>
      <c r="F200" s="296" t="s">
        <v>10200</v>
      </c>
      <c r="G200" s="296" t="s">
        <v>10201</v>
      </c>
      <c r="H200" s="296" t="s">
        <v>10202</v>
      </c>
      <c r="I200" s="303" t="s">
        <v>36</v>
      </c>
      <c r="J200" s="296" t="s">
        <v>1784</v>
      </c>
      <c r="K200" s="351"/>
      <c r="L200" s="351"/>
      <c r="M200" s="351"/>
      <c r="N200" s="351"/>
      <c r="O200" s="351"/>
      <c r="P200" s="351"/>
      <c r="Q200" s="351"/>
      <c r="R200" s="351"/>
      <c r="S200" s="351"/>
      <c r="T200" s="351"/>
      <c r="U200" s="351"/>
      <c r="V200" s="351"/>
      <c r="W200" s="351"/>
      <c r="X200" s="351"/>
      <c r="Y200" s="351"/>
      <c r="Z200" s="351"/>
      <c r="AA200" s="351"/>
    </row>
    <row r="201" ht="14.25" customHeight="1">
      <c r="A201" s="365" t="s">
        <v>10197</v>
      </c>
      <c r="B201" s="108"/>
      <c r="C201" s="296" t="s">
        <v>10203</v>
      </c>
      <c r="D201" s="303" t="s">
        <v>271</v>
      </c>
      <c r="E201" s="137" t="s">
        <v>10172</v>
      </c>
      <c r="F201" s="296" t="s">
        <v>10204</v>
      </c>
      <c r="G201" s="296" t="s">
        <v>10201</v>
      </c>
      <c r="H201" s="296" t="s">
        <v>10205</v>
      </c>
      <c r="I201" s="303" t="s">
        <v>36</v>
      </c>
      <c r="J201" s="296" t="s">
        <v>1784</v>
      </c>
      <c r="K201" s="351"/>
      <c r="L201" s="351"/>
      <c r="M201" s="351"/>
      <c r="N201" s="351"/>
      <c r="O201" s="351"/>
      <c r="P201" s="351"/>
      <c r="Q201" s="351"/>
      <c r="R201" s="351"/>
      <c r="S201" s="351"/>
      <c r="T201" s="351"/>
      <c r="U201" s="351"/>
      <c r="V201" s="351"/>
      <c r="W201" s="351"/>
      <c r="X201" s="351"/>
      <c r="Y201" s="351"/>
      <c r="Z201" s="351"/>
      <c r="AA201" s="351"/>
    </row>
    <row r="202" ht="14.25" customHeight="1">
      <c r="A202" s="365" t="s">
        <v>10197</v>
      </c>
      <c r="B202" s="108"/>
      <c r="C202" s="296" t="s">
        <v>10206</v>
      </c>
      <c r="D202" s="303" t="s">
        <v>271</v>
      </c>
      <c r="E202" s="137" t="s">
        <v>10172</v>
      </c>
      <c r="F202" s="296" t="s">
        <v>10207</v>
      </c>
      <c r="G202" s="296" t="s">
        <v>10201</v>
      </c>
      <c r="H202" s="296" t="s">
        <v>10208</v>
      </c>
      <c r="I202" s="303" t="s">
        <v>36</v>
      </c>
      <c r="J202" s="296" t="s">
        <v>1784</v>
      </c>
      <c r="K202" s="351"/>
      <c r="L202" s="351"/>
      <c r="M202" s="351"/>
      <c r="N202" s="351"/>
      <c r="O202" s="351"/>
      <c r="P202" s="351"/>
      <c r="Q202" s="351"/>
      <c r="R202" s="351"/>
      <c r="S202" s="351"/>
      <c r="T202" s="351"/>
      <c r="U202" s="351"/>
      <c r="V202" s="351"/>
      <c r="W202" s="351"/>
      <c r="X202" s="351"/>
      <c r="Y202" s="351"/>
      <c r="Z202" s="351"/>
      <c r="AA202" s="351"/>
    </row>
    <row r="203" ht="14.25" customHeight="1">
      <c r="A203" s="365" t="s">
        <v>10197</v>
      </c>
      <c r="B203" s="108"/>
      <c r="C203" s="296" t="s">
        <v>10209</v>
      </c>
      <c r="D203" s="303" t="s">
        <v>271</v>
      </c>
      <c r="E203" s="137" t="s">
        <v>10172</v>
      </c>
      <c r="F203" s="296" t="s">
        <v>10210</v>
      </c>
      <c r="G203" s="296" t="s">
        <v>10201</v>
      </c>
      <c r="H203" s="296" t="s">
        <v>10211</v>
      </c>
      <c r="I203" s="303" t="s">
        <v>36</v>
      </c>
      <c r="J203" s="296" t="s">
        <v>1784</v>
      </c>
      <c r="K203" s="351"/>
      <c r="L203" s="351"/>
      <c r="M203" s="351"/>
      <c r="N203" s="351"/>
      <c r="O203" s="351"/>
      <c r="P203" s="351"/>
      <c r="Q203" s="351"/>
      <c r="R203" s="351"/>
      <c r="S203" s="351"/>
      <c r="T203" s="351"/>
      <c r="U203" s="351"/>
      <c r="V203" s="351"/>
      <c r="W203" s="351"/>
      <c r="X203" s="351"/>
      <c r="Y203" s="351"/>
      <c r="Z203" s="351"/>
      <c r="AA203" s="351"/>
    </row>
    <row r="204" ht="14.25" customHeight="1">
      <c r="A204" s="365" t="s">
        <v>10197</v>
      </c>
      <c r="B204" s="108"/>
      <c r="C204" s="296" t="s">
        <v>10212</v>
      </c>
      <c r="D204" s="303" t="s">
        <v>271</v>
      </c>
      <c r="E204" s="137" t="s">
        <v>10172</v>
      </c>
      <c r="F204" s="296" t="s">
        <v>10213</v>
      </c>
      <c r="G204" s="296" t="s">
        <v>10201</v>
      </c>
      <c r="H204" s="296" t="s">
        <v>10211</v>
      </c>
      <c r="I204" s="303" t="s">
        <v>36</v>
      </c>
      <c r="J204" s="296" t="s">
        <v>1784</v>
      </c>
      <c r="K204" s="351"/>
      <c r="L204" s="351"/>
      <c r="M204" s="351"/>
      <c r="N204" s="351"/>
      <c r="O204" s="351"/>
      <c r="P204" s="351"/>
      <c r="Q204" s="351"/>
      <c r="R204" s="351"/>
      <c r="S204" s="351"/>
      <c r="T204" s="351"/>
      <c r="U204" s="351"/>
      <c r="V204" s="351"/>
      <c r="W204" s="351"/>
      <c r="X204" s="351"/>
      <c r="Y204" s="351"/>
      <c r="Z204" s="351"/>
      <c r="AA204" s="351"/>
    </row>
    <row r="205" ht="14.25" customHeight="1">
      <c r="A205" s="365" t="s">
        <v>10197</v>
      </c>
      <c r="B205" s="108"/>
      <c r="C205" s="296" t="s">
        <v>10214</v>
      </c>
      <c r="D205" s="303" t="s">
        <v>271</v>
      </c>
      <c r="E205" s="137" t="s">
        <v>10172</v>
      </c>
      <c r="F205" s="296" t="s">
        <v>10215</v>
      </c>
      <c r="G205" s="296" t="s">
        <v>10201</v>
      </c>
      <c r="H205" s="296" t="s">
        <v>10216</v>
      </c>
      <c r="I205" s="303" t="s">
        <v>36</v>
      </c>
      <c r="J205" s="296" t="s">
        <v>1784</v>
      </c>
      <c r="K205" s="351"/>
      <c r="L205" s="351"/>
      <c r="M205" s="351"/>
      <c r="N205" s="351"/>
      <c r="O205" s="351"/>
      <c r="P205" s="351"/>
      <c r="Q205" s="351"/>
      <c r="R205" s="351"/>
      <c r="S205" s="351"/>
      <c r="T205" s="351"/>
      <c r="U205" s="351"/>
      <c r="V205" s="351"/>
      <c r="W205" s="351"/>
      <c r="X205" s="351"/>
      <c r="Y205" s="351"/>
      <c r="Z205" s="351"/>
      <c r="AA205" s="351"/>
    </row>
    <row r="206" ht="14.25" customHeight="1">
      <c r="A206" s="365" t="s">
        <v>10197</v>
      </c>
      <c r="B206" s="108"/>
      <c r="C206" s="296" t="s">
        <v>10217</v>
      </c>
      <c r="D206" s="303" t="s">
        <v>271</v>
      </c>
      <c r="E206" s="137" t="s">
        <v>10172</v>
      </c>
      <c r="F206" s="296" t="s">
        <v>10218</v>
      </c>
      <c r="G206" s="296" t="s">
        <v>10201</v>
      </c>
      <c r="H206" s="296" t="s">
        <v>10219</v>
      </c>
      <c r="I206" s="303" t="s">
        <v>36</v>
      </c>
      <c r="J206" s="296" t="s">
        <v>1784</v>
      </c>
      <c r="K206" s="351"/>
      <c r="L206" s="351"/>
      <c r="M206" s="351"/>
      <c r="N206" s="351"/>
      <c r="O206" s="351"/>
      <c r="P206" s="351"/>
      <c r="Q206" s="351"/>
      <c r="R206" s="351"/>
      <c r="S206" s="351"/>
      <c r="T206" s="351"/>
      <c r="U206" s="351"/>
      <c r="V206" s="351"/>
      <c r="W206" s="351"/>
      <c r="X206" s="351"/>
      <c r="Y206" s="351"/>
      <c r="Z206" s="351"/>
      <c r="AA206" s="351"/>
    </row>
    <row r="207" ht="14.25" customHeight="1">
      <c r="A207" s="365" t="s">
        <v>10197</v>
      </c>
      <c r="B207" s="108"/>
      <c r="C207" s="296" t="s">
        <v>10220</v>
      </c>
      <c r="D207" s="303" t="s">
        <v>271</v>
      </c>
      <c r="E207" s="137" t="s">
        <v>10172</v>
      </c>
      <c r="F207" s="296" t="s">
        <v>10221</v>
      </c>
      <c r="G207" s="296" t="s">
        <v>10201</v>
      </c>
      <c r="H207" s="296" t="s">
        <v>10222</v>
      </c>
      <c r="I207" s="303" t="s">
        <v>36</v>
      </c>
      <c r="J207" s="296" t="s">
        <v>1784</v>
      </c>
      <c r="K207" s="351"/>
      <c r="L207" s="351"/>
      <c r="M207" s="351"/>
      <c r="N207" s="351"/>
      <c r="O207" s="351"/>
      <c r="P207" s="351"/>
      <c r="Q207" s="351"/>
      <c r="R207" s="351"/>
      <c r="S207" s="351"/>
      <c r="T207" s="351"/>
      <c r="U207" s="351"/>
      <c r="V207" s="351"/>
      <c r="W207" s="351"/>
      <c r="X207" s="351"/>
      <c r="Y207" s="351"/>
      <c r="Z207" s="351"/>
      <c r="AA207" s="351"/>
    </row>
    <row r="208" ht="14.25" customHeight="1">
      <c r="A208" s="365" t="s">
        <v>10197</v>
      </c>
      <c r="B208" s="108"/>
      <c r="C208" s="296" t="s">
        <v>10223</v>
      </c>
      <c r="D208" s="303" t="s">
        <v>271</v>
      </c>
      <c r="E208" s="137" t="s">
        <v>10172</v>
      </c>
      <c r="F208" s="296" t="s">
        <v>10224</v>
      </c>
      <c r="G208" s="296" t="s">
        <v>10201</v>
      </c>
      <c r="H208" s="296" t="s">
        <v>10219</v>
      </c>
      <c r="I208" s="303" t="s">
        <v>36</v>
      </c>
      <c r="J208" s="296" t="s">
        <v>1784</v>
      </c>
      <c r="K208" s="351"/>
      <c r="L208" s="351"/>
      <c r="M208" s="351"/>
      <c r="N208" s="351"/>
      <c r="O208" s="351"/>
      <c r="P208" s="351"/>
      <c r="Q208" s="351"/>
      <c r="R208" s="351"/>
      <c r="S208" s="351"/>
      <c r="T208" s="351"/>
      <c r="U208" s="351"/>
      <c r="V208" s="351"/>
      <c r="W208" s="351"/>
      <c r="X208" s="351"/>
      <c r="Y208" s="351"/>
      <c r="Z208" s="351"/>
      <c r="AA208" s="351"/>
    </row>
    <row r="209" ht="14.25" customHeight="1">
      <c r="A209" s="365" t="s">
        <v>10197</v>
      </c>
      <c r="B209" s="108"/>
      <c r="C209" s="296" t="s">
        <v>10225</v>
      </c>
      <c r="D209" s="303" t="s">
        <v>271</v>
      </c>
      <c r="E209" s="137" t="s">
        <v>10172</v>
      </c>
      <c r="F209" s="296" t="s">
        <v>10226</v>
      </c>
      <c r="G209" s="296" t="s">
        <v>10201</v>
      </c>
      <c r="H209" s="296" t="s">
        <v>10219</v>
      </c>
      <c r="I209" s="303" t="s">
        <v>36</v>
      </c>
      <c r="J209" s="296" t="s">
        <v>1784</v>
      </c>
      <c r="K209" s="351"/>
      <c r="L209" s="351"/>
      <c r="M209" s="351"/>
      <c r="N209" s="351"/>
      <c r="O209" s="351"/>
      <c r="P209" s="351"/>
      <c r="Q209" s="351"/>
      <c r="R209" s="351"/>
      <c r="S209" s="351"/>
      <c r="T209" s="351"/>
      <c r="U209" s="351"/>
      <c r="V209" s="351"/>
      <c r="W209" s="351"/>
      <c r="X209" s="351"/>
      <c r="Y209" s="351"/>
      <c r="Z209" s="351"/>
      <c r="AA209" s="351"/>
    </row>
    <row r="210" ht="14.25" customHeight="1">
      <c r="A210" s="365" t="s">
        <v>10197</v>
      </c>
      <c r="B210" s="108"/>
      <c r="C210" s="296" t="s">
        <v>10227</v>
      </c>
      <c r="D210" s="303" t="s">
        <v>271</v>
      </c>
      <c r="E210" s="137" t="s">
        <v>10172</v>
      </c>
      <c r="F210" s="296" t="s">
        <v>10228</v>
      </c>
      <c r="G210" s="296" t="s">
        <v>10201</v>
      </c>
      <c r="H210" s="296" t="s">
        <v>10219</v>
      </c>
      <c r="I210" s="303" t="s">
        <v>36</v>
      </c>
      <c r="J210" s="296" t="s">
        <v>1784</v>
      </c>
      <c r="K210" s="351"/>
      <c r="L210" s="351"/>
      <c r="M210" s="351"/>
      <c r="N210" s="351"/>
      <c r="O210" s="351"/>
      <c r="P210" s="351"/>
      <c r="Q210" s="351"/>
      <c r="R210" s="351"/>
      <c r="S210" s="351"/>
      <c r="T210" s="351"/>
      <c r="U210" s="351"/>
      <c r="V210" s="351"/>
      <c r="W210" s="351"/>
      <c r="X210" s="351"/>
      <c r="Y210" s="351"/>
      <c r="Z210" s="351"/>
      <c r="AA210" s="351"/>
    </row>
    <row r="211" ht="14.25" customHeight="1">
      <c r="A211" s="365" t="s">
        <v>10197</v>
      </c>
      <c r="B211" s="108"/>
      <c r="C211" s="296" t="s">
        <v>10229</v>
      </c>
      <c r="D211" s="303" t="s">
        <v>271</v>
      </c>
      <c r="E211" s="137" t="s">
        <v>10172</v>
      </c>
      <c r="F211" s="296" t="s">
        <v>10230</v>
      </c>
      <c r="G211" s="296" t="s">
        <v>10201</v>
      </c>
      <c r="H211" s="296" t="s">
        <v>10222</v>
      </c>
      <c r="I211" s="303" t="s">
        <v>36</v>
      </c>
      <c r="J211" s="296" t="s">
        <v>1784</v>
      </c>
      <c r="K211" s="351"/>
      <c r="L211" s="351"/>
      <c r="M211" s="351"/>
      <c r="N211" s="351"/>
      <c r="O211" s="351"/>
      <c r="P211" s="351"/>
      <c r="Q211" s="351"/>
      <c r="R211" s="351"/>
      <c r="S211" s="351"/>
      <c r="T211" s="351"/>
      <c r="U211" s="351"/>
      <c r="V211" s="351"/>
      <c r="W211" s="351"/>
      <c r="X211" s="351"/>
      <c r="Y211" s="351"/>
      <c r="Z211" s="351"/>
      <c r="AA211" s="351"/>
    </row>
    <row r="212" ht="14.25" customHeight="1">
      <c r="A212" s="365" t="s">
        <v>10197</v>
      </c>
      <c r="B212" s="108"/>
      <c r="C212" s="296" t="s">
        <v>10231</v>
      </c>
      <c r="D212" s="303" t="s">
        <v>271</v>
      </c>
      <c r="E212" s="137" t="s">
        <v>10172</v>
      </c>
      <c r="F212" s="296" t="s">
        <v>10232</v>
      </c>
      <c r="G212" s="296" t="s">
        <v>10201</v>
      </c>
      <c r="H212" s="296" t="s">
        <v>10233</v>
      </c>
      <c r="I212" s="303" t="s">
        <v>36</v>
      </c>
      <c r="J212" s="296" t="s">
        <v>1784</v>
      </c>
      <c r="K212" s="351"/>
      <c r="L212" s="351"/>
      <c r="M212" s="351"/>
      <c r="N212" s="351"/>
      <c r="O212" s="351"/>
      <c r="P212" s="351"/>
      <c r="Q212" s="351"/>
      <c r="R212" s="351"/>
      <c r="S212" s="351"/>
      <c r="T212" s="351"/>
      <c r="U212" s="351"/>
      <c r="V212" s="351"/>
      <c r="W212" s="351"/>
      <c r="X212" s="351"/>
      <c r="Y212" s="351"/>
      <c r="Z212" s="351"/>
      <c r="AA212" s="351"/>
    </row>
    <row r="213" ht="14.25" customHeight="1">
      <c r="A213" s="365" t="s">
        <v>10197</v>
      </c>
      <c r="B213" s="108"/>
      <c r="C213" s="296" t="s">
        <v>10234</v>
      </c>
      <c r="D213" s="303" t="s">
        <v>271</v>
      </c>
      <c r="E213" s="137" t="s">
        <v>10172</v>
      </c>
      <c r="F213" s="296" t="s">
        <v>10235</v>
      </c>
      <c r="G213" s="296" t="s">
        <v>10201</v>
      </c>
      <c r="H213" s="296" t="s">
        <v>10233</v>
      </c>
      <c r="I213" s="303" t="s">
        <v>36</v>
      </c>
      <c r="J213" s="296" t="s">
        <v>1784</v>
      </c>
      <c r="K213" s="351"/>
      <c r="L213" s="351"/>
      <c r="M213" s="351"/>
      <c r="N213" s="351"/>
      <c r="O213" s="351"/>
      <c r="P213" s="351"/>
      <c r="Q213" s="351"/>
      <c r="R213" s="351"/>
      <c r="S213" s="351"/>
      <c r="T213" s="351"/>
      <c r="U213" s="351"/>
      <c r="V213" s="351"/>
      <c r="W213" s="351"/>
      <c r="X213" s="351"/>
      <c r="Y213" s="351"/>
      <c r="Z213" s="351"/>
      <c r="AA213" s="351"/>
    </row>
    <row r="214" ht="14.25" customHeight="1">
      <c r="A214" s="365" t="s">
        <v>10197</v>
      </c>
      <c r="B214" s="109"/>
      <c r="C214" s="296" t="s">
        <v>10236</v>
      </c>
      <c r="D214" s="303" t="s">
        <v>271</v>
      </c>
      <c r="E214" s="137" t="s">
        <v>10172</v>
      </c>
      <c r="F214" s="296" t="s">
        <v>10237</v>
      </c>
      <c r="G214" s="296" t="s">
        <v>10201</v>
      </c>
      <c r="H214" s="296" t="s">
        <v>10233</v>
      </c>
      <c r="I214" s="303" t="s">
        <v>36</v>
      </c>
      <c r="J214" s="296" t="s">
        <v>1784</v>
      </c>
      <c r="K214" s="351"/>
      <c r="L214" s="351"/>
      <c r="M214" s="351"/>
      <c r="N214" s="351"/>
      <c r="O214" s="351"/>
      <c r="P214" s="351"/>
      <c r="Q214" s="351"/>
      <c r="R214" s="351"/>
      <c r="S214" s="351"/>
      <c r="T214" s="351"/>
      <c r="U214" s="351"/>
      <c r="V214" s="351"/>
      <c r="W214" s="351"/>
      <c r="X214" s="351"/>
      <c r="Y214" s="351"/>
      <c r="Z214" s="351"/>
      <c r="AA214" s="351"/>
    </row>
    <row r="215" ht="14.25" customHeight="1">
      <c r="A215" s="365" t="s">
        <v>10238</v>
      </c>
      <c r="B215" s="366" t="s">
        <v>10239</v>
      </c>
      <c r="C215" s="296" t="s">
        <v>10240</v>
      </c>
      <c r="D215" s="303" t="s">
        <v>271</v>
      </c>
      <c r="E215" s="366" t="s">
        <v>10241</v>
      </c>
      <c r="F215" s="258" t="s">
        <v>10242</v>
      </c>
      <c r="G215" s="367" t="s">
        <v>10243</v>
      </c>
      <c r="H215" s="367" t="s">
        <v>10244</v>
      </c>
      <c r="I215" s="368" t="s">
        <v>36</v>
      </c>
      <c r="J215" s="296" t="s">
        <v>1784</v>
      </c>
      <c r="K215" s="351"/>
      <c r="L215" s="351"/>
      <c r="M215" s="351"/>
      <c r="N215" s="351"/>
      <c r="O215" s="351"/>
      <c r="P215" s="351"/>
      <c r="Q215" s="351"/>
      <c r="R215" s="351"/>
      <c r="S215" s="351"/>
      <c r="T215" s="351"/>
      <c r="U215" s="351"/>
      <c r="V215" s="351"/>
      <c r="W215" s="351"/>
      <c r="X215" s="351"/>
      <c r="Y215" s="351"/>
      <c r="Z215" s="351"/>
      <c r="AA215" s="351"/>
    </row>
    <row r="216" ht="14.25" customHeight="1">
      <c r="A216" s="365" t="s">
        <v>10238</v>
      </c>
      <c r="B216" s="108"/>
      <c r="C216" s="296" t="s">
        <v>10245</v>
      </c>
      <c r="D216" s="303" t="s">
        <v>271</v>
      </c>
      <c r="E216" s="108"/>
      <c r="F216" s="369" t="s">
        <v>10246</v>
      </c>
      <c r="G216" s="370" t="s">
        <v>10247</v>
      </c>
      <c r="H216" s="370" t="s">
        <v>10248</v>
      </c>
      <c r="I216" s="368" t="s">
        <v>36</v>
      </c>
      <c r="J216" s="296" t="s">
        <v>1784</v>
      </c>
      <c r="K216" s="351"/>
      <c r="L216" s="351"/>
      <c r="M216" s="351"/>
      <c r="N216" s="351"/>
      <c r="O216" s="351"/>
      <c r="P216" s="351"/>
      <c r="Q216" s="351"/>
      <c r="R216" s="351"/>
      <c r="S216" s="351"/>
      <c r="T216" s="351"/>
      <c r="U216" s="351"/>
      <c r="V216" s="351"/>
      <c r="W216" s="351"/>
      <c r="X216" s="351"/>
      <c r="Y216" s="351"/>
      <c r="Z216" s="351"/>
      <c r="AA216" s="351"/>
    </row>
    <row r="217" ht="14.25" customHeight="1">
      <c r="A217" s="365" t="s">
        <v>10238</v>
      </c>
      <c r="B217" s="108"/>
      <c r="C217" s="296" t="s">
        <v>10249</v>
      </c>
      <c r="D217" s="303" t="s">
        <v>271</v>
      </c>
      <c r="E217" s="108"/>
      <c r="F217" s="369" t="s">
        <v>10250</v>
      </c>
      <c r="G217" s="370" t="s">
        <v>10251</v>
      </c>
      <c r="H217" s="370" t="s">
        <v>10252</v>
      </c>
      <c r="I217" s="368" t="s">
        <v>36</v>
      </c>
      <c r="J217" s="296" t="s">
        <v>1784</v>
      </c>
      <c r="K217" s="351"/>
      <c r="L217" s="351"/>
      <c r="M217" s="351"/>
      <c r="N217" s="351"/>
      <c r="O217" s="351"/>
      <c r="P217" s="351"/>
      <c r="Q217" s="351"/>
      <c r="R217" s="351"/>
      <c r="S217" s="351"/>
      <c r="T217" s="351"/>
      <c r="U217" s="351"/>
      <c r="V217" s="351"/>
      <c r="W217" s="351"/>
      <c r="X217" s="351"/>
      <c r="Y217" s="351"/>
      <c r="Z217" s="351"/>
      <c r="AA217" s="351"/>
    </row>
    <row r="218" ht="14.25" customHeight="1">
      <c r="A218" s="365" t="s">
        <v>10238</v>
      </c>
      <c r="B218" s="108"/>
      <c r="C218" s="296" t="s">
        <v>10253</v>
      </c>
      <c r="D218" s="303" t="s">
        <v>271</v>
      </c>
      <c r="E218" s="108"/>
      <c r="F218" s="369" t="s">
        <v>10254</v>
      </c>
      <c r="G218" s="370" t="s">
        <v>10255</v>
      </c>
      <c r="H218" s="370" t="s">
        <v>10256</v>
      </c>
      <c r="I218" s="368" t="s">
        <v>36</v>
      </c>
      <c r="J218" s="296" t="s">
        <v>1784</v>
      </c>
      <c r="K218" s="351"/>
      <c r="L218" s="351"/>
      <c r="M218" s="351"/>
      <c r="N218" s="351"/>
      <c r="O218" s="351"/>
      <c r="P218" s="351"/>
      <c r="Q218" s="351"/>
      <c r="R218" s="351"/>
      <c r="S218" s="351"/>
      <c r="T218" s="351"/>
      <c r="U218" s="351"/>
      <c r="V218" s="351"/>
      <c r="W218" s="351"/>
      <c r="X218" s="351"/>
      <c r="Y218" s="351"/>
      <c r="Z218" s="351"/>
      <c r="AA218" s="351"/>
    </row>
    <row r="219" ht="14.25" customHeight="1">
      <c r="A219" s="365" t="s">
        <v>10238</v>
      </c>
      <c r="B219" s="108"/>
      <c r="C219" s="296" t="s">
        <v>10257</v>
      </c>
      <c r="D219" s="303" t="s">
        <v>271</v>
      </c>
      <c r="E219" s="108"/>
      <c r="F219" s="369" t="s">
        <v>10254</v>
      </c>
      <c r="G219" s="370" t="s">
        <v>10258</v>
      </c>
      <c r="H219" s="370" t="s">
        <v>10259</v>
      </c>
      <c r="I219" s="368" t="s">
        <v>36</v>
      </c>
      <c r="J219" s="296" t="s">
        <v>1784</v>
      </c>
      <c r="K219" s="351"/>
      <c r="L219" s="351"/>
      <c r="M219" s="351"/>
      <c r="N219" s="351"/>
      <c r="O219" s="351"/>
      <c r="P219" s="351"/>
      <c r="Q219" s="351"/>
      <c r="R219" s="351"/>
      <c r="S219" s="351"/>
      <c r="T219" s="351"/>
      <c r="U219" s="351"/>
      <c r="V219" s="351"/>
      <c r="W219" s="351"/>
      <c r="X219" s="351"/>
      <c r="Y219" s="351"/>
      <c r="Z219" s="351"/>
      <c r="AA219" s="351"/>
    </row>
    <row r="220" ht="14.25" customHeight="1">
      <c r="A220" s="365" t="s">
        <v>10238</v>
      </c>
      <c r="B220" s="108"/>
      <c r="C220" s="296" t="s">
        <v>10260</v>
      </c>
      <c r="D220" s="303" t="s">
        <v>271</v>
      </c>
      <c r="E220" s="108"/>
      <c r="F220" s="369" t="s">
        <v>10242</v>
      </c>
      <c r="G220" s="370" t="s">
        <v>10261</v>
      </c>
      <c r="H220" s="370" t="s">
        <v>10262</v>
      </c>
      <c r="I220" s="368" t="s">
        <v>36</v>
      </c>
      <c r="J220" s="296" t="s">
        <v>1784</v>
      </c>
      <c r="K220" s="351"/>
      <c r="L220" s="351"/>
      <c r="M220" s="351"/>
      <c r="N220" s="351"/>
      <c r="O220" s="351"/>
      <c r="P220" s="351"/>
      <c r="Q220" s="351"/>
      <c r="R220" s="351"/>
      <c r="S220" s="351"/>
      <c r="T220" s="351"/>
      <c r="U220" s="351"/>
      <c r="V220" s="351"/>
      <c r="W220" s="351"/>
      <c r="X220" s="351"/>
      <c r="Y220" s="351"/>
      <c r="Z220" s="351"/>
      <c r="AA220" s="351"/>
    </row>
    <row r="221" ht="14.25" customHeight="1">
      <c r="A221" s="365" t="s">
        <v>10238</v>
      </c>
      <c r="B221" s="108"/>
      <c r="C221" s="296" t="s">
        <v>10263</v>
      </c>
      <c r="D221" s="303" t="s">
        <v>271</v>
      </c>
      <c r="E221" s="108"/>
      <c r="F221" s="369" t="s">
        <v>10254</v>
      </c>
      <c r="G221" s="370" t="s">
        <v>10264</v>
      </c>
      <c r="H221" s="370" t="s">
        <v>10265</v>
      </c>
      <c r="I221" s="368" t="s">
        <v>36</v>
      </c>
      <c r="J221" s="296" t="s">
        <v>1784</v>
      </c>
      <c r="K221" s="351"/>
      <c r="L221" s="351"/>
      <c r="M221" s="351"/>
      <c r="N221" s="351"/>
      <c r="O221" s="351"/>
      <c r="P221" s="351"/>
      <c r="Q221" s="351"/>
      <c r="R221" s="351"/>
      <c r="S221" s="351"/>
      <c r="T221" s="351"/>
      <c r="U221" s="351"/>
      <c r="V221" s="351"/>
      <c r="W221" s="351"/>
      <c r="X221" s="351"/>
      <c r="Y221" s="351"/>
      <c r="Z221" s="351"/>
      <c r="AA221" s="351"/>
    </row>
    <row r="222" ht="14.25" customHeight="1">
      <c r="A222" s="365" t="s">
        <v>10238</v>
      </c>
      <c r="B222" s="108"/>
      <c r="C222" s="296" t="s">
        <v>10266</v>
      </c>
      <c r="D222" s="303" t="s">
        <v>271</v>
      </c>
      <c r="E222" s="108"/>
      <c r="F222" s="369" t="s">
        <v>10267</v>
      </c>
      <c r="G222" s="370" t="s">
        <v>10268</v>
      </c>
      <c r="H222" s="370" t="s">
        <v>10269</v>
      </c>
      <c r="I222" s="368" t="s">
        <v>36</v>
      </c>
      <c r="J222" s="296" t="s">
        <v>1784</v>
      </c>
      <c r="K222" s="351"/>
      <c r="L222" s="351"/>
      <c r="M222" s="351"/>
      <c r="N222" s="351"/>
      <c r="O222" s="351"/>
      <c r="P222" s="351"/>
      <c r="Q222" s="351"/>
      <c r="R222" s="351"/>
      <c r="S222" s="351"/>
      <c r="T222" s="351"/>
      <c r="U222" s="351"/>
      <c r="V222" s="351"/>
      <c r="W222" s="351"/>
      <c r="X222" s="351"/>
      <c r="Y222" s="351"/>
      <c r="Z222" s="351"/>
      <c r="AA222" s="351"/>
    </row>
    <row r="223" ht="14.25" customHeight="1">
      <c r="A223" s="365" t="s">
        <v>10238</v>
      </c>
      <c r="B223" s="108"/>
      <c r="C223" s="296" t="s">
        <v>10270</v>
      </c>
      <c r="D223" s="303" t="s">
        <v>271</v>
      </c>
      <c r="E223" s="108"/>
      <c r="F223" s="369" t="s">
        <v>10271</v>
      </c>
      <c r="G223" s="370" t="s">
        <v>10272</v>
      </c>
      <c r="H223" s="370" t="s">
        <v>10273</v>
      </c>
      <c r="I223" s="368" t="s">
        <v>36</v>
      </c>
      <c r="J223" s="296" t="s">
        <v>1784</v>
      </c>
      <c r="K223" s="351"/>
      <c r="L223" s="351"/>
      <c r="M223" s="351"/>
      <c r="N223" s="351"/>
      <c r="O223" s="351"/>
      <c r="P223" s="351"/>
      <c r="Q223" s="351"/>
      <c r="R223" s="351"/>
      <c r="S223" s="351"/>
      <c r="T223" s="351"/>
      <c r="U223" s="351"/>
      <c r="V223" s="351"/>
      <c r="W223" s="351"/>
      <c r="X223" s="351"/>
      <c r="Y223" s="351"/>
      <c r="Z223" s="351"/>
      <c r="AA223" s="351"/>
    </row>
    <row r="224" ht="14.25" customHeight="1">
      <c r="A224" s="365" t="s">
        <v>10238</v>
      </c>
      <c r="B224" s="108"/>
      <c r="C224" s="296" t="s">
        <v>10274</v>
      </c>
      <c r="D224" s="303" t="s">
        <v>271</v>
      </c>
      <c r="E224" s="108"/>
      <c r="F224" s="369" t="s">
        <v>10275</v>
      </c>
      <c r="G224" s="370" t="s">
        <v>10276</v>
      </c>
      <c r="H224" s="370" t="s">
        <v>10277</v>
      </c>
      <c r="I224" s="368" t="s">
        <v>36</v>
      </c>
      <c r="J224" s="296" t="s">
        <v>1784</v>
      </c>
      <c r="K224" s="351"/>
      <c r="L224" s="351"/>
      <c r="M224" s="351"/>
      <c r="N224" s="351"/>
      <c r="O224" s="351"/>
      <c r="P224" s="351"/>
      <c r="Q224" s="351"/>
      <c r="R224" s="351"/>
      <c r="S224" s="351"/>
      <c r="T224" s="351"/>
      <c r="U224" s="351"/>
      <c r="V224" s="351"/>
      <c r="W224" s="351"/>
      <c r="X224" s="351"/>
      <c r="Y224" s="351"/>
      <c r="Z224" s="351"/>
      <c r="AA224" s="351"/>
    </row>
    <row r="225" ht="14.25" customHeight="1">
      <c r="A225" s="365" t="s">
        <v>10238</v>
      </c>
      <c r="B225" s="108"/>
      <c r="C225" s="296" t="s">
        <v>10278</v>
      </c>
      <c r="D225" s="303" t="s">
        <v>271</v>
      </c>
      <c r="E225" s="108"/>
      <c r="F225" s="369" t="s">
        <v>10279</v>
      </c>
      <c r="G225" s="370" t="s">
        <v>10280</v>
      </c>
      <c r="H225" s="370" t="s">
        <v>10281</v>
      </c>
      <c r="I225" s="368" t="s">
        <v>36</v>
      </c>
      <c r="J225" s="296" t="s">
        <v>1784</v>
      </c>
      <c r="K225" s="351"/>
      <c r="L225" s="351"/>
      <c r="M225" s="351"/>
      <c r="N225" s="351"/>
      <c r="O225" s="351"/>
      <c r="P225" s="351"/>
      <c r="Q225" s="351"/>
      <c r="R225" s="351"/>
      <c r="S225" s="351"/>
      <c r="T225" s="351"/>
      <c r="U225" s="351"/>
      <c r="V225" s="351"/>
      <c r="W225" s="351"/>
      <c r="X225" s="351"/>
      <c r="Y225" s="351"/>
      <c r="Z225" s="351"/>
      <c r="AA225" s="351"/>
    </row>
    <row r="226" ht="14.25" customHeight="1">
      <c r="A226" s="365" t="s">
        <v>10238</v>
      </c>
      <c r="B226" s="108"/>
      <c r="C226" s="296" t="s">
        <v>10282</v>
      </c>
      <c r="D226" s="303" t="s">
        <v>271</v>
      </c>
      <c r="E226" s="108"/>
      <c r="F226" s="369" t="s">
        <v>10283</v>
      </c>
      <c r="G226" s="370" t="s">
        <v>10284</v>
      </c>
      <c r="H226" s="370" t="s">
        <v>10285</v>
      </c>
      <c r="I226" s="368" t="s">
        <v>36</v>
      </c>
      <c r="J226" s="296" t="s">
        <v>1784</v>
      </c>
      <c r="K226" s="351"/>
      <c r="L226" s="351"/>
      <c r="M226" s="351"/>
      <c r="N226" s="351"/>
      <c r="O226" s="351"/>
      <c r="P226" s="351"/>
      <c r="Q226" s="351"/>
      <c r="R226" s="351"/>
      <c r="S226" s="351"/>
      <c r="T226" s="351"/>
      <c r="U226" s="351"/>
      <c r="V226" s="351"/>
      <c r="W226" s="351"/>
      <c r="X226" s="351"/>
      <c r="Y226" s="351"/>
      <c r="Z226" s="351"/>
      <c r="AA226" s="351"/>
    </row>
    <row r="227" ht="14.25" customHeight="1">
      <c r="A227" s="365" t="s">
        <v>10238</v>
      </c>
      <c r="B227" s="108"/>
      <c r="C227" s="296" t="s">
        <v>10286</v>
      </c>
      <c r="D227" s="303" t="s">
        <v>271</v>
      </c>
      <c r="E227" s="108"/>
      <c r="F227" s="369" t="s">
        <v>10287</v>
      </c>
      <c r="G227" s="370" t="s">
        <v>10288</v>
      </c>
      <c r="H227" s="370" t="s">
        <v>10289</v>
      </c>
      <c r="I227" s="368" t="s">
        <v>36</v>
      </c>
      <c r="J227" s="296" t="s">
        <v>1784</v>
      </c>
      <c r="K227" s="351"/>
      <c r="L227" s="351"/>
      <c r="M227" s="351"/>
      <c r="N227" s="351"/>
      <c r="O227" s="351"/>
      <c r="P227" s="351"/>
      <c r="Q227" s="351"/>
      <c r="R227" s="351"/>
      <c r="S227" s="351"/>
      <c r="T227" s="351"/>
      <c r="U227" s="351"/>
      <c r="V227" s="351"/>
      <c r="W227" s="351"/>
      <c r="X227" s="351"/>
      <c r="Y227" s="351"/>
      <c r="Z227" s="351"/>
      <c r="AA227" s="351"/>
    </row>
    <row r="228" ht="14.25" customHeight="1">
      <c r="A228" s="365" t="s">
        <v>10238</v>
      </c>
      <c r="B228" s="108"/>
      <c r="C228" s="296" t="s">
        <v>10290</v>
      </c>
      <c r="D228" s="303" t="s">
        <v>271</v>
      </c>
      <c r="E228" s="108"/>
      <c r="F228" s="369" t="s">
        <v>10291</v>
      </c>
      <c r="G228" s="370" t="s">
        <v>10292</v>
      </c>
      <c r="H228" s="370" t="s">
        <v>10293</v>
      </c>
      <c r="I228" s="368" t="s">
        <v>36</v>
      </c>
      <c r="J228" s="296" t="s">
        <v>1784</v>
      </c>
      <c r="K228" s="351"/>
      <c r="L228" s="351"/>
      <c r="M228" s="351"/>
      <c r="N228" s="351"/>
      <c r="O228" s="351"/>
      <c r="P228" s="351"/>
      <c r="Q228" s="351"/>
      <c r="R228" s="351"/>
      <c r="S228" s="351"/>
      <c r="T228" s="351"/>
      <c r="U228" s="351"/>
      <c r="V228" s="351"/>
      <c r="W228" s="351"/>
      <c r="X228" s="351"/>
      <c r="Y228" s="351"/>
      <c r="Z228" s="351"/>
      <c r="AA228" s="351"/>
    </row>
    <row r="229" ht="14.25" customHeight="1">
      <c r="A229" s="365" t="s">
        <v>10238</v>
      </c>
      <c r="B229" s="108"/>
      <c r="C229" s="296" t="s">
        <v>10294</v>
      </c>
      <c r="D229" s="303" t="s">
        <v>271</v>
      </c>
      <c r="E229" s="108"/>
      <c r="F229" s="369" t="s">
        <v>10295</v>
      </c>
      <c r="G229" s="370" t="s">
        <v>10296</v>
      </c>
      <c r="H229" s="370" t="s">
        <v>10297</v>
      </c>
      <c r="I229" s="368" t="s">
        <v>36</v>
      </c>
      <c r="J229" s="296" t="s">
        <v>1784</v>
      </c>
      <c r="K229" s="351"/>
      <c r="L229" s="351"/>
      <c r="M229" s="351"/>
      <c r="N229" s="351"/>
      <c r="O229" s="351"/>
      <c r="P229" s="351"/>
      <c r="Q229" s="351"/>
      <c r="R229" s="351"/>
      <c r="S229" s="351"/>
      <c r="T229" s="351"/>
      <c r="U229" s="351"/>
      <c r="V229" s="351"/>
      <c r="W229" s="351"/>
      <c r="X229" s="351"/>
      <c r="Y229" s="351"/>
      <c r="Z229" s="351"/>
      <c r="AA229" s="351"/>
    </row>
    <row r="230" ht="14.25" customHeight="1">
      <c r="A230" s="365" t="s">
        <v>10238</v>
      </c>
      <c r="B230" s="109"/>
      <c r="C230" s="296" t="s">
        <v>10298</v>
      </c>
      <c r="D230" s="303" t="s">
        <v>271</v>
      </c>
      <c r="E230" s="109"/>
      <c r="F230" s="369" t="s">
        <v>10279</v>
      </c>
      <c r="G230" s="370" t="s">
        <v>10299</v>
      </c>
      <c r="H230" s="370" t="s">
        <v>10300</v>
      </c>
      <c r="I230" s="368" t="s">
        <v>36</v>
      </c>
      <c r="J230" s="296" t="s">
        <v>1784</v>
      </c>
      <c r="K230" s="351"/>
      <c r="L230" s="351"/>
      <c r="M230" s="351"/>
      <c r="N230" s="351"/>
      <c r="O230" s="351"/>
      <c r="P230" s="351"/>
      <c r="Q230" s="351"/>
      <c r="R230" s="351"/>
      <c r="S230" s="351"/>
      <c r="T230" s="351"/>
      <c r="U230" s="351"/>
      <c r="V230" s="351"/>
      <c r="W230" s="351"/>
      <c r="X230" s="351"/>
      <c r="Y230" s="351"/>
      <c r="Z230" s="351"/>
      <c r="AA230" s="351"/>
    </row>
    <row r="231" ht="14.25" customHeight="1">
      <c r="A231" s="365" t="s">
        <v>10301</v>
      </c>
      <c r="B231" s="366" t="s">
        <v>10302</v>
      </c>
      <c r="C231" s="296" t="s">
        <v>9717</v>
      </c>
      <c r="D231" s="303" t="s">
        <v>271</v>
      </c>
      <c r="E231" s="258" t="s">
        <v>10303</v>
      </c>
      <c r="F231" s="258" t="s">
        <v>10304</v>
      </c>
      <c r="G231" s="367" t="s">
        <v>10305</v>
      </c>
      <c r="H231" s="367" t="s">
        <v>10306</v>
      </c>
      <c r="I231" s="368" t="s">
        <v>36</v>
      </c>
      <c r="J231" s="362"/>
      <c r="K231" s="351"/>
      <c r="L231" s="351"/>
      <c r="M231" s="351"/>
      <c r="N231" s="351"/>
      <c r="O231" s="351"/>
      <c r="P231" s="351"/>
      <c r="Q231" s="351"/>
      <c r="R231" s="351"/>
      <c r="S231" s="351"/>
      <c r="T231" s="351"/>
      <c r="U231" s="351"/>
      <c r="V231" s="351"/>
      <c r="W231" s="351"/>
      <c r="X231" s="351"/>
      <c r="Y231" s="351"/>
      <c r="Z231" s="351"/>
      <c r="AA231" s="351"/>
    </row>
    <row r="232" ht="14.25" customHeight="1">
      <c r="A232" s="365" t="s">
        <v>10301</v>
      </c>
      <c r="B232" s="108"/>
      <c r="C232" s="296" t="s">
        <v>9723</v>
      </c>
      <c r="D232" s="303" t="s">
        <v>271</v>
      </c>
      <c r="E232" s="371"/>
      <c r="F232" s="369" t="s">
        <v>10307</v>
      </c>
      <c r="G232" s="370" t="s">
        <v>10308</v>
      </c>
      <c r="H232" s="370" t="s">
        <v>10309</v>
      </c>
      <c r="I232" s="368" t="s">
        <v>36</v>
      </c>
      <c r="J232" s="362"/>
      <c r="K232" s="351"/>
      <c r="L232" s="351"/>
      <c r="M232" s="351"/>
      <c r="N232" s="351"/>
      <c r="O232" s="351"/>
      <c r="P232" s="351"/>
      <c r="Q232" s="351"/>
      <c r="R232" s="351"/>
      <c r="S232" s="351"/>
      <c r="T232" s="351"/>
      <c r="U232" s="351"/>
      <c r="V232" s="351"/>
      <c r="W232" s="351"/>
      <c r="X232" s="351"/>
      <c r="Y232" s="351"/>
      <c r="Z232" s="351"/>
      <c r="AA232" s="351"/>
    </row>
    <row r="233" ht="14.25" customHeight="1">
      <c r="A233" s="365" t="s">
        <v>10301</v>
      </c>
      <c r="B233" s="108"/>
      <c r="C233" s="296" t="s">
        <v>9727</v>
      </c>
      <c r="D233" s="303" t="s">
        <v>271</v>
      </c>
      <c r="E233" s="371"/>
      <c r="F233" s="369" t="s">
        <v>9729</v>
      </c>
      <c r="G233" s="370" t="s">
        <v>10310</v>
      </c>
      <c r="H233" s="370" t="s">
        <v>9731</v>
      </c>
      <c r="I233" s="372" t="s">
        <v>36</v>
      </c>
      <c r="J233" s="362"/>
      <c r="K233" s="351"/>
      <c r="L233" s="351"/>
      <c r="M233" s="351"/>
      <c r="N233" s="351"/>
      <c r="O233" s="351"/>
      <c r="P233" s="351"/>
      <c r="Q233" s="351"/>
      <c r="R233" s="351"/>
      <c r="S233" s="351"/>
      <c r="T233" s="351"/>
      <c r="U233" s="351"/>
      <c r="V233" s="351"/>
      <c r="W233" s="351"/>
      <c r="X233" s="351"/>
      <c r="Y233" s="351"/>
      <c r="Z233" s="351"/>
      <c r="AA233" s="351"/>
    </row>
    <row r="234" ht="14.25" customHeight="1">
      <c r="A234" s="365" t="s">
        <v>10301</v>
      </c>
      <c r="B234" s="108"/>
      <c r="C234" s="296" t="s">
        <v>9732</v>
      </c>
      <c r="D234" s="303" t="s">
        <v>271</v>
      </c>
      <c r="E234" s="371"/>
      <c r="F234" s="369" t="s">
        <v>9733</v>
      </c>
      <c r="G234" s="370" t="s">
        <v>10311</v>
      </c>
      <c r="H234" s="370" t="s">
        <v>10312</v>
      </c>
      <c r="I234" s="372" t="s">
        <v>36</v>
      </c>
      <c r="J234" s="362"/>
      <c r="K234" s="351"/>
      <c r="L234" s="351"/>
      <c r="M234" s="351"/>
      <c r="N234" s="351"/>
      <c r="O234" s="351"/>
      <c r="P234" s="351"/>
      <c r="Q234" s="351"/>
      <c r="R234" s="351"/>
      <c r="S234" s="351"/>
      <c r="T234" s="351"/>
      <c r="U234" s="351"/>
      <c r="V234" s="351"/>
      <c r="W234" s="351"/>
      <c r="X234" s="351"/>
      <c r="Y234" s="351"/>
      <c r="Z234" s="351"/>
      <c r="AA234" s="351"/>
    </row>
    <row r="235" ht="14.25" customHeight="1">
      <c r="A235" s="365" t="s">
        <v>10301</v>
      </c>
      <c r="B235" s="108"/>
      <c r="C235" s="296" t="s">
        <v>9736</v>
      </c>
      <c r="D235" s="303" t="s">
        <v>271</v>
      </c>
      <c r="E235" s="371"/>
      <c r="F235" s="369" t="s">
        <v>10313</v>
      </c>
      <c r="G235" s="370" t="s">
        <v>10314</v>
      </c>
      <c r="H235" s="370" t="s">
        <v>10315</v>
      </c>
      <c r="I235" s="372" t="s">
        <v>36</v>
      </c>
      <c r="J235" s="362"/>
      <c r="K235" s="351"/>
      <c r="L235" s="351"/>
      <c r="M235" s="351"/>
      <c r="N235" s="351"/>
      <c r="O235" s="351"/>
      <c r="P235" s="351"/>
      <c r="Q235" s="351"/>
      <c r="R235" s="351"/>
      <c r="S235" s="351"/>
      <c r="T235" s="351"/>
      <c r="U235" s="351"/>
      <c r="V235" s="351"/>
      <c r="W235" s="351"/>
      <c r="X235" s="351"/>
      <c r="Y235" s="351"/>
      <c r="Z235" s="351"/>
      <c r="AA235" s="351"/>
    </row>
    <row r="236" ht="14.25" customHeight="1">
      <c r="A236" s="365" t="s">
        <v>10301</v>
      </c>
      <c r="B236" s="108"/>
      <c r="C236" s="296" t="s">
        <v>9740</v>
      </c>
      <c r="D236" s="303" t="s">
        <v>271</v>
      </c>
      <c r="E236" s="371"/>
      <c r="F236" s="369" t="s">
        <v>10316</v>
      </c>
      <c r="G236" s="370" t="s">
        <v>10317</v>
      </c>
      <c r="H236" s="370" t="s">
        <v>10318</v>
      </c>
      <c r="I236" s="372" t="s">
        <v>36</v>
      </c>
      <c r="J236" s="362"/>
      <c r="K236" s="351"/>
      <c r="L236" s="351"/>
      <c r="M236" s="351"/>
      <c r="N236" s="351"/>
      <c r="O236" s="351"/>
      <c r="P236" s="351"/>
      <c r="Q236" s="351"/>
      <c r="R236" s="351"/>
      <c r="S236" s="351"/>
      <c r="T236" s="351"/>
      <c r="U236" s="351"/>
      <c r="V236" s="351"/>
      <c r="W236" s="351"/>
      <c r="X236" s="351"/>
      <c r="Y236" s="351"/>
      <c r="Z236" s="351"/>
      <c r="AA236" s="351"/>
    </row>
    <row r="237" ht="14.25" customHeight="1">
      <c r="A237" s="365" t="s">
        <v>10301</v>
      </c>
      <c r="B237" s="108"/>
      <c r="C237" s="296" t="s">
        <v>9744</v>
      </c>
      <c r="D237" s="303" t="s">
        <v>271</v>
      </c>
      <c r="E237" s="371"/>
      <c r="F237" s="369" t="s">
        <v>10319</v>
      </c>
      <c r="G237" s="370" t="s">
        <v>10317</v>
      </c>
      <c r="H237" s="370" t="s">
        <v>10320</v>
      </c>
      <c r="I237" s="372" t="s">
        <v>317</v>
      </c>
      <c r="J237" s="296" t="s">
        <v>10321</v>
      </c>
      <c r="K237" s="351"/>
      <c r="L237" s="351"/>
      <c r="M237" s="351"/>
      <c r="N237" s="351"/>
      <c r="O237" s="351"/>
      <c r="P237" s="351"/>
      <c r="Q237" s="351"/>
      <c r="R237" s="351"/>
      <c r="S237" s="351"/>
      <c r="T237" s="351"/>
      <c r="U237" s="351"/>
      <c r="V237" s="351"/>
      <c r="W237" s="351"/>
      <c r="X237" s="351"/>
      <c r="Y237" s="351"/>
      <c r="Z237" s="351"/>
      <c r="AA237" s="351"/>
    </row>
    <row r="238" ht="14.25" customHeight="1">
      <c r="A238" s="365" t="s">
        <v>10301</v>
      </c>
      <c r="B238" s="108"/>
      <c r="C238" s="296" t="s">
        <v>9749</v>
      </c>
      <c r="D238" s="303" t="s">
        <v>271</v>
      </c>
      <c r="E238" s="371"/>
      <c r="F238" s="369" t="s">
        <v>10322</v>
      </c>
      <c r="G238" s="370" t="s">
        <v>10323</v>
      </c>
      <c r="H238" s="370" t="s">
        <v>10324</v>
      </c>
      <c r="I238" s="372" t="s">
        <v>36</v>
      </c>
      <c r="J238" s="362"/>
      <c r="K238" s="351"/>
      <c r="L238" s="351"/>
      <c r="M238" s="351"/>
      <c r="N238" s="351"/>
      <c r="O238" s="351"/>
      <c r="P238" s="351"/>
      <c r="Q238" s="351"/>
      <c r="R238" s="351"/>
      <c r="S238" s="351"/>
      <c r="T238" s="351"/>
      <c r="U238" s="351"/>
      <c r="V238" s="351"/>
      <c r="W238" s="351"/>
      <c r="X238" s="351"/>
      <c r="Y238" s="351"/>
      <c r="Z238" s="351"/>
      <c r="AA238" s="351"/>
    </row>
    <row r="239" ht="14.25" customHeight="1">
      <c r="A239" s="365" t="s">
        <v>10301</v>
      </c>
      <c r="B239" s="108"/>
      <c r="C239" s="296" t="s">
        <v>9754</v>
      </c>
      <c r="D239" s="303" t="s">
        <v>271</v>
      </c>
      <c r="E239" s="371"/>
      <c r="F239" s="369" t="s">
        <v>10325</v>
      </c>
      <c r="G239" s="370" t="s">
        <v>10326</v>
      </c>
      <c r="H239" s="370" t="s">
        <v>10327</v>
      </c>
      <c r="I239" s="372" t="s">
        <v>36</v>
      </c>
      <c r="J239" s="362"/>
      <c r="K239" s="351"/>
      <c r="L239" s="351"/>
      <c r="M239" s="351"/>
      <c r="N239" s="351"/>
      <c r="O239" s="351"/>
      <c r="P239" s="351"/>
      <c r="Q239" s="351"/>
      <c r="R239" s="351"/>
      <c r="S239" s="351"/>
      <c r="T239" s="351"/>
      <c r="U239" s="351"/>
      <c r="V239" s="351"/>
      <c r="W239" s="351"/>
      <c r="X239" s="351"/>
      <c r="Y239" s="351"/>
      <c r="Z239" s="351"/>
      <c r="AA239" s="351"/>
    </row>
    <row r="240" ht="14.25" customHeight="1">
      <c r="A240" s="365" t="s">
        <v>10301</v>
      </c>
      <c r="B240" s="108"/>
      <c r="C240" s="296" t="s">
        <v>9759</v>
      </c>
      <c r="D240" s="303" t="s">
        <v>271</v>
      </c>
      <c r="E240" s="371"/>
      <c r="F240" s="369" t="s">
        <v>10328</v>
      </c>
      <c r="G240" s="370" t="s">
        <v>10329</v>
      </c>
      <c r="H240" s="370" t="s">
        <v>9731</v>
      </c>
      <c r="I240" s="372" t="s">
        <v>36</v>
      </c>
      <c r="J240" s="362"/>
      <c r="K240" s="351"/>
      <c r="L240" s="351"/>
      <c r="M240" s="351"/>
      <c r="N240" s="351"/>
      <c r="O240" s="351"/>
      <c r="P240" s="351"/>
      <c r="Q240" s="351"/>
      <c r="R240" s="351"/>
      <c r="S240" s="351"/>
      <c r="T240" s="351"/>
      <c r="U240" s="351"/>
      <c r="V240" s="351"/>
      <c r="W240" s="351"/>
      <c r="X240" s="351"/>
      <c r="Y240" s="351"/>
      <c r="Z240" s="351"/>
      <c r="AA240" s="351"/>
    </row>
    <row r="241" ht="14.25" customHeight="1">
      <c r="A241" s="365" t="s">
        <v>10301</v>
      </c>
      <c r="B241" s="108"/>
      <c r="C241" s="296" t="s">
        <v>9763</v>
      </c>
      <c r="D241" s="303" t="s">
        <v>271</v>
      </c>
      <c r="E241" s="371"/>
      <c r="F241" s="369" t="s">
        <v>10330</v>
      </c>
      <c r="G241" s="370" t="s">
        <v>10331</v>
      </c>
      <c r="H241" s="370" t="s">
        <v>10332</v>
      </c>
      <c r="I241" s="372" t="s">
        <v>36</v>
      </c>
      <c r="J241" s="362"/>
      <c r="K241" s="351"/>
      <c r="L241" s="351"/>
      <c r="M241" s="351"/>
      <c r="N241" s="351"/>
      <c r="O241" s="351"/>
      <c r="P241" s="351"/>
      <c r="Q241" s="351"/>
      <c r="R241" s="351"/>
      <c r="S241" s="351"/>
      <c r="T241" s="351"/>
      <c r="U241" s="351"/>
      <c r="V241" s="351"/>
      <c r="W241" s="351"/>
      <c r="X241" s="351"/>
      <c r="Y241" s="351"/>
      <c r="Z241" s="351"/>
      <c r="AA241" s="351"/>
    </row>
    <row r="242" ht="14.25" customHeight="1">
      <c r="A242" s="365" t="s">
        <v>10301</v>
      </c>
      <c r="B242" s="108"/>
      <c r="C242" s="296" t="s">
        <v>9767</v>
      </c>
      <c r="D242" s="303" t="s">
        <v>271</v>
      </c>
      <c r="E242" s="371"/>
      <c r="F242" s="369" t="s">
        <v>10333</v>
      </c>
      <c r="G242" s="370" t="s">
        <v>10334</v>
      </c>
      <c r="H242" s="370" t="s">
        <v>10335</v>
      </c>
      <c r="I242" s="372" t="s">
        <v>36</v>
      </c>
      <c r="J242" s="362"/>
      <c r="K242" s="351"/>
      <c r="L242" s="351"/>
      <c r="M242" s="351"/>
      <c r="N242" s="351"/>
      <c r="O242" s="351"/>
      <c r="P242" s="351"/>
      <c r="Q242" s="351"/>
      <c r="R242" s="351"/>
      <c r="S242" s="351"/>
      <c r="T242" s="351"/>
      <c r="U242" s="351"/>
      <c r="V242" s="351"/>
      <c r="W242" s="351"/>
      <c r="X242" s="351"/>
      <c r="Y242" s="351"/>
      <c r="Z242" s="351"/>
      <c r="AA242" s="351"/>
    </row>
    <row r="243" ht="14.25" customHeight="1">
      <c r="A243" s="365" t="s">
        <v>10301</v>
      </c>
      <c r="B243" s="108"/>
      <c r="C243" s="296" t="s">
        <v>9772</v>
      </c>
      <c r="D243" s="303" t="s">
        <v>271</v>
      </c>
      <c r="E243" s="371"/>
      <c r="F243" s="369" t="s">
        <v>10336</v>
      </c>
      <c r="G243" s="370" t="s">
        <v>10337</v>
      </c>
      <c r="H243" s="370" t="s">
        <v>10338</v>
      </c>
      <c r="I243" s="372" t="s">
        <v>36</v>
      </c>
      <c r="J243" s="362"/>
      <c r="K243" s="351"/>
      <c r="L243" s="351"/>
      <c r="M243" s="351"/>
      <c r="N243" s="351"/>
      <c r="O243" s="351"/>
      <c r="P243" s="351"/>
      <c r="Q243" s="351"/>
      <c r="R243" s="351"/>
      <c r="S243" s="351"/>
      <c r="T243" s="351"/>
      <c r="U243" s="351"/>
      <c r="V243" s="351"/>
      <c r="W243" s="351"/>
      <c r="X243" s="351"/>
      <c r="Y243" s="351"/>
      <c r="Z243" s="351"/>
      <c r="AA243" s="351"/>
    </row>
    <row r="244" ht="14.25" customHeight="1">
      <c r="A244" s="365" t="s">
        <v>10301</v>
      </c>
      <c r="B244" s="108"/>
      <c r="C244" s="296" t="s">
        <v>10339</v>
      </c>
      <c r="D244" s="303" t="s">
        <v>271</v>
      </c>
      <c r="E244" s="371"/>
      <c r="F244" s="369" t="s">
        <v>10340</v>
      </c>
      <c r="G244" s="370" t="s">
        <v>10341</v>
      </c>
      <c r="H244" s="370" t="s">
        <v>10342</v>
      </c>
      <c r="I244" s="372" t="s">
        <v>36</v>
      </c>
      <c r="J244" s="362"/>
      <c r="K244" s="351"/>
      <c r="L244" s="351"/>
      <c r="M244" s="351"/>
      <c r="N244" s="351"/>
      <c r="O244" s="351"/>
      <c r="P244" s="351"/>
      <c r="Q244" s="351"/>
      <c r="R244" s="351"/>
      <c r="S244" s="351"/>
      <c r="T244" s="351"/>
      <c r="U244" s="351"/>
      <c r="V244" s="351"/>
      <c r="W244" s="351"/>
      <c r="X244" s="351"/>
      <c r="Y244" s="351"/>
      <c r="Z244" s="351"/>
      <c r="AA244" s="351"/>
    </row>
    <row r="245" ht="14.25" customHeight="1">
      <c r="A245" s="365" t="s">
        <v>10301</v>
      </c>
      <c r="B245" s="108"/>
      <c r="C245" s="296" t="s">
        <v>10343</v>
      </c>
      <c r="D245" s="303" t="s">
        <v>271</v>
      </c>
      <c r="E245" s="371"/>
      <c r="F245" s="369" t="s">
        <v>10344</v>
      </c>
      <c r="G245" s="370" t="s">
        <v>10345</v>
      </c>
      <c r="H245" s="370" t="s">
        <v>10346</v>
      </c>
      <c r="I245" s="372" t="s">
        <v>36</v>
      </c>
      <c r="J245" s="362"/>
      <c r="K245" s="351"/>
      <c r="L245" s="351"/>
      <c r="M245" s="351"/>
      <c r="N245" s="351"/>
      <c r="O245" s="351"/>
      <c r="P245" s="351"/>
      <c r="Q245" s="351"/>
      <c r="R245" s="351"/>
      <c r="S245" s="351"/>
      <c r="T245" s="351"/>
      <c r="U245" s="351"/>
      <c r="V245" s="351"/>
      <c r="W245" s="351"/>
      <c r="X245" s="351"/>
      <c r="Y245" s="351"/>
      <c r="Z245" s="351"/>
      <c r="AA245" s="351"/>
    </row>
    <row r="246" ht="14.25" customHeight="1">
      <c r="A246" s="365" t="s">
        <v>10301</v>
      </c>
      <c r="B246" s="108"/>
      <c r="C246" s="296" t="s">
        <v>10347</v>
      </c>
      <c r="D246" s="303" t="s">
        <v>271</v>
      </c>
      <c r="E246" s="371"/>
      <c r="F246" s="369" t="s">
        <v>10348</v>
      </c>
      <c r="G246" s="370" t="s">
        <v>10349</v>
      </c>
      <c r="H246" s="370" t="s">
        <v>10350</v>
      </c>
      <c r="I246" s="372" t="s">
        <v>36</v>
      </c>
      <c r="J246" s="362"/>
      <c r="K246" s="351"/>
      <c r="L246" s="351"/>
      <c r="M246" s="351"/>
      <c r="N246" s="351"/>
      <c r="O246" s="351"/>
      <c r="P246" s="351"/>
      <c r="Q246" s="351"/>
      <c r="R246" s="351"/>
      <c r="S246" s="351"/>
      <c r="T246" s="351"/>
      <c r="U246" s="351"/>
      <c r="V246" s="351"/>
      <c r="W246" s="351"/>
      <c r="X246" s="351"/>
      <c r="Y246" s="351"/>
      <c r="Z246" s="351"/>
      <c r="AA246" s="351"/>
    </row>
    <row r="247" ht="14.25" customHeight="1">
      <c r="A247" s="365" t="s">
        <v>10301</v>
      </c>
      <c r="B247" s="108"/>
      <c r="C247" s="296" t="s">
        <v>10351</v>
      </c>
      <c r="D247" s="303" t="s">
        <v>271</v>
      </c>
      <c r="E247" s="371"/>
      <c r="F247" s="369" t="s">
        <v>10352</v>
      </c>
      <c r="G247" s="370" t="s">
        <v>10353</v>
      </c>
      <c r="H247" s="370" t="s">
        <v>10354</v>
      </c>
      <c r="I247" s="372" t="s">
        <v>36</v>
      </c>
      <c r="J247" s="362"/>
      <c r="K247" s="351"/>
      <c r="L247" s="351"/>
      <c r="M247" s="351"/>
      <c r="N247" s="351"/>
      <c r="O247" s="351"/>
      <c r="P247" s="351"/>
      <c r="Q247" s="351"/>
      <c r="R247" s="351"/>
      <c r="S247" s="351"/>
      <c r="T247" s="351"/>
      <c r="U247" s="351"/>
      <c r="V247" s="351"/>
      <c r="W247" s="351"/>
      <c r="X247" s="351"/>
      <c r="Y247" s="351"/>
      <c r="Z247" s="351"/>
      <c r="AA247" s="351"/>
    </row>
    <row r="248" ht="14.25" customHeight="1">
      <c r="A248" s="365" t="s">
        <v>10301</v>
      </c>
      <c r="B248" s="108"/>
      <c r="C248" s="296" t="s">
        <v>10355</v>
      </c>
      <c r="D248" s="303" t="s">
        <v>271</v>
      </c>
      <c r="E248" s="371"/>
      <c r="F248" s="369" t="s">
        <v>10356</v>
      </c>
      <c r="G248" s="370" t="s">
        <v>10357</v>
      </c>
      <c r="H248" s="370" t="s">
        <v>9758</v>
      </c>
      <c r="I248" s="372" t="s">
        <v>36</v>
      </c>
      <c r="J248" s="362"/>
      <c r="K248" s="351"/>
      <c r="L248" s="351"/>
      <c r="M248" s="351"/>
      <c r="N248" s="351"/>
      <c r="O248" s="351"/>
      <c r="P248" s="351"/>
      <c r="Q248" s="351"/>
      <c r="R248" s="351"/>
      <c r="S248" s="351"/>
      <c r="T248" s="351"/>
      <c r="U248" s="351"/>
      <c r="V248" s="351"/>
      <c r="W248" s="351"/>
      <c r="X248" s="351"/>
      <c r="Y248" s="351"/>
      <c r="Z248" s="351"/>
      <c r="AA248" s="351"/>
    </row>
    <row r="249" ht="14.25" customHeight="1">
      <c r="A249" s="365" t="s">
        <v>10301</v>
      </c>
      <c r="B249" s="108"/>
      <c r="C249" s="296" t="s">
        <v>10358</v>
      </c>
      <c r="D249" s="303" t="s">
        <v>271</v>
      </c>
      <c r="E249" s="371"/>
      <c r="F249" s="369" t="s">
        <v>10359</v>
      </c>
      <c r="G249" s="370" t="s">
        <v>10360</v>
      </c>
      <c r="H249" s="370" t="s">
        <v>9762</v>
      </c>
      <c r="I249" s="372" t="s">
        <v>317</v>
      </c>
      <c r="J249" s="296" t="s">
        <v>10361</v>
      </c>
      <c r="K249" s="351"/>
      <c r="L249" s="351"/>
      <c r="M249" s="351"/>
      <c r="N249" s="351"/>
      <c r="O249" s="351"/>
      <c r="P249" s="351"/>
      <c r="Q249" s="351"/>
      <c r="R249" s="351"/>
      <c r="S249" s="351"/>
      <c r="T249" s="351"/>
      <c r="U249" s="351"/>
      <c r="V249" s="351"/>
      <c r="W249" s="351"/>
      <c r="X249" s="351"/>
      <c r="Y249" s="351"/>
      <c r="Z249" s="351"/>
      <c r="AA249" s="351"/>
    </row>
    <row r="250" ht="14.25" customHeight="1">
      <c r="A250" s="365" t="s">
        <v>10301</v>
      </c>
      <c r="B250" s="108"/>
      <c r="C250" s="296" t="s">
        <v>10362</v>
      </c>
      <c r="D250" s="303" t="s">
        <v>271</v>
      </c>
      <c r="E250" s="371"/>
      <c r="F250" s="369" t="s">
        <v>10363</v>
      </c>
      <c r="G250" s="370" t="s">
        <v>10364</v>
      </c>
      <c r="H250" s="370" t="s">
        <v>9766</v>
      </c>
      <c r="I250" s="372" t="s">
        <v>36</v>
      </c>
      <c r="J250" s="362"/>
      <c r="K250" s="351"/>
      <c r="L250" s="351"/>
      <c r="M250" s="351"/>
      <c r="N250" s="351"/>
      <c r="O250" s="351"/>
      <c r="P250" s="351"/>
      <c r="Q250" s="351"/>
      <c r="R250" s="351"/>
      <c r="S250" s="351"/>
      <c r="T250" s="351"/>
      <c r="U250" s="351"/>
      <c r="V250" s="351"/>
      <c r="W250" s="351"/>
      <c r="X250" s="351"/>
      <c r="Y250" s="351"/>
      <c r="Z250" s="351"/>
      <c r="AA250" s="351"/>
    </row>
    <row r="251" ht="14.25" customHeight="1">
      <c r="A251" s="365" t="s">
        <v>10301</v>
      </c>
      <c r="B251" s="108"/>
      <c r="C251" s="296" t="s">
        <v>10365</v>
      </c>
      <c r="D251" s="303" t="s">
        <v>271</v>
      </c>
      <c r="E251" s="371"/>
      <c r="F251" s="369" t="s">
        <v>10366</v>
      </c>
      <c r="G251" s="370" t="s">
        <v>10367</v>
      </c>
      <c r="H251" s="370" t="s">
        <v>10368</v>
      </c>
      <c r="I251" s="372" t="s">
        <v>36</v>
      </c>
      <c r="J251" s="362"/>
      <c r="K251" s="351"/>
      <c r="L251" s="351"/>
      <c r="M251" s="351"/>
      <c r="N251" s="351"/>
      <c r="O251" s="351"/>
      <c r="P251" s="351"/>
      <c r="Q251" s="351"/>
      <c r="R251" s="351"/>
      <c r="S251" s="351"/>
      <c r="T251" s="351"/>
      <c r="U251" s="351"/>
      <c r="V251" s="351"/>
      <c r="W251" s="351"/>
      <c r="X251" s="351"/>
      <c r="Y251" s="351"/>
      <c r="Z251" s="351"/>
      <c r="AA251" s="351"/>
    </row>
    <row r="252" ht="14.25" customHeight="1">
      <c r="A252" s="365" t="s">
        <v>10301</v>
      </c>
      <c r="B252" s="108"/>
      <c r="C252" s="296" t="s">
        <v>10369</v>
      </c>
      <c r="D252" s="303" t="s">
        <v>271</v>
      </c>
      <c r="E252" s="371"/>
      <c r="F252" s="369" t="s">
        <v>10370</v>
      </c>
      <c r="G252" s="370" t="s">
        <v>10371</v>
      </c>
      <c r="H252" s="370" t="s">
        <v>10372</v>
      </c>
      <c r="I252" s="368" t="s">
        <v>36</v>
      </c>
      <c r="J252" s="362"/>
      <c r="K252" s="351"/>
      <c r="L252" s="351"/>
      <c r="M252" s="351"/>
      <c r="N252" s="351"/>
      <c r="O252" s="351"/>
      <c r="P252" s="351"/>
      <c r="Q252" s="351"/>
      <c r="R252" s="351"/>
      <c r="S252" s="351"/>
      <c r="T252" s="351"/>
      <c r="U252" s="351"/>
      <c r="V252" s="351"/>
      <c r="W252" s="351"/>
      <c r="X252" s="351"/>
      <c r="Y252" s="351"/>
      <c r="Z252" s="351"/>
      <c r="AA252" s="351"/>
    </row>
    <row r="253" ht="14.25" customHeight="1">
      <c r="A253" s="365" t="s">
        <v>10301</v>
      </c>
      <c r="B253" s="108"/>
      <c r="C253" s="296" t="s">
        <v>10373</v>
      </c>
      <c r="D253" s="303" t="s">
        <v>271</v>
      </c>
      <c r="E253" s="371"/>
      <c r="F253" s="369" t="s">
        <v>10374</v>
      </c>
      <c r="G253" s="370" t="s">
        <v>10375</v>
      </c>
      <c r="H253" s="370" t="s">
        <v>9731</v>
      </c>
      <c r="I253" s="373" t="s">
        <v>36</v>
      </c>
      <c r="J253" s="362"/>
      <c r="K253" s="351"/>
      <c r="L253" s="351"/>
      <c r="M253" s="351"/>
      <c r="N253" s="351"/>
      <c r="O253" s="351"/>
      <c r="P253" s="351"/>
      <c r="Q253" s="351"/>
      <c r="R253" s="351"/>
      <c r="S253" s="351"/>
      <c r="T253" s="351"/>
      <c r="U253" s="351"/>
      <c r="V253" s="351"/>
      <c r="W253" s="351"/>
      <c r="X253" s="351"/>
      <c r="Y253" s="351"/>
      <c r="Z253" s="351"/>
      <c r="AA253" s="351"/>
    </row>
    <row r="254" ht="14.25" customHeight="1">
      <c r="A254" s="365" t="s">
        <v>10301</v>
      </c>
      <c r="B254" s="108"/>
      <c r="C254" s="296" t="s">
        <v>10376</v>
      </c>
      <c r="D254" s="303" t="s">
        <v>271</v>
      </c>
      <c r="E254" s="371"/>
      <c r="F254" s="369" t="s">
        <v>10377</v>
      </c>
      <c r="G254" s="370" t="s">
        <v>10378</v>
      </c>
      <c r="H254" s="370" t="s">
        <v>10379</v>
      </c>
      <c r="I254" s="373" t="s">
        <v>36</v>
      </c>
      <c r="J254" s="362"/>
      <c r="K254" s="351"/>
      <c r="L254" s="351"/>
      <c r="M254" s="351"/>
      <c r="N254" s="351"/>
      <c r="O254" s="351"/>
      <c r="P254" s="351"/>
      <c r="Q254" s="351"/>
      <c r="R254" s="351"/>
      <c r="S254" s="351"/>
      <c r="T254" s="351"/>
      <c r="U254" s="351"/>
      <c r="V254" s="351"/>
      <c r="W254" s="351"/>
      <c r="X254" s="351"/>
      <c r="Y254" s="351"/>
      <c r="Z254" s="351"/>
      <c r="AA254" s="351"/>
    </row>
    <row r="255" ht="14.25" customHeight="1">
      <c r="A255" s="365" t="s">
        <v>10301</v>
      </c>
      <c r="B255" s="108"/>
      <c r="C255" s="296" t="s">
        <v>10380</v>
      </c>
      <c r="D255" s="303" t="s">
        <v>271</v>
      </c>
      <c r="E255" s="371"/>
      <c r="F255" s="369" t="s">
        <v>10381</v>
      </c>
      <c r="G255" s="370" t="s">
        <v>10382</v>
      </c>
      <c r="H255" s="370" t="s">
        <v>10383</v>
      </c>
      <c r="I255" s="373" t="s">
        <v>36</v>
      </c>
      <c r="J255" s="362"/>
      <c r="K255" s="351"/>
      <c r="L255" s="351"/>
      <c r="M255" s="351"/>
      <c r="N255" s="351"/>
      <c r="O255" s="351"/>
      <c r="P255" s="351"/>
      <c r="Q255" s="351"/>
      <c r="R255" s="351"/>
      <c r="S255" s="351"/>
      <c r="T255" s="351"/>
      <c r="U255" s="351"/>
      <c r="V255" s="351"/>
      <c r="W255" s="351"/>
      <c r="X255" s="351"/>
      <c r="Y255" s="351"/>
      <c r="Z255" s="351"/>
      <c r="AA255" s="351"/>
    </row>
    <row r="256" ht="14.25" customHeight="1">
      <c r="A256" s="365" t="s">
        <v>10301</v>
      </c>
      <c r="B256" s="108"/>
      <c r="C256" s="296" t="s">
        <v>10384</v>
      </c>
      <c r="D256" s="303" t="s">
        <v>271</v>
      </c>
      <c r="E256" s="371"/>
      <c r="F256" s="369" t="s">
        <v>10385</v>
      </c>
      <c r="G256" s="370" t="s">
        <v>10386</v>
      </c>
      <c r="H256" s="370" t="s">
        <v>10387</v>
      </c>
      <c r="I256" s="373" t="s">
        <v>36</v>
      </c>
      <c r="J256" s="362"/>
      <c r="K256" s="351"/>
      <c r="L256" s="351"/>
      <c r="M256" s="351"/>
      <c r="N256" s="351"/>
      <c r="O256" s="351"/>
      <c r="P256" s="351"/>
      <c r="Q256" s="351"/>
      <c r="R256" s="351"/>
      <c r="S256" s="351"/>
      <c r="T256" s="351"/>
      <c r="U256" s="351"/>
      <c r="V256" s="351"/>
      <c r="W256" s="351"/>
      <c r="X256" s="351"/>
      <c r="Y256" s="351"/>
      <c r="Z256" s="351"/>
      <c r="AA256" s="351"/>
    </row>
    <row r="257" ht="14.25" customHeight="1">
      <c r="A257" s="365" t="s">
        <v>10301</v>
      </c>
      <c r="B257" s="108"/>
      <c r="C257" s="296" t="s">
        <v>10388</v>
      </c>
      <c r="D257" s="303" t="s">
        <v>271</v>
      </c>
      <c r="E257" s="371"/>
      <c r="F257" s="369" t="s">
        <v>10389</v>
      </c>
      <c r="G257" s="370" t="s">
        <v>10390</v>
      </c>
      <c r="H257" s="370" t="s">
        <v>10391</v>
      </c>
      <c r="I257" s="373" t="s">
        <v>36</v>
      </c>
      <c r="J257" s="362"/>
      <c r="K257" s="351"/>
      <c r="L257" s="351"/>
      <c r="M257" s="351"/>
      <c r="N257" s="351"/>
      <c r="O257" s="351"/>
      <c r="P257" s="351"/>
      <c r="Q257" s="351"/>
      <c r="R257" s="351"/>
      <c r="S257" s="351"/>
      <c r="T257" s="351"/>
      <c r="U257" s="351"/>
      <c r="V257" s="351"/>
      <c r="W257" s="351"/>
      <c r="X257" s="351"/>
      <c r="Y257" s="351"/>
      <c r="Z257" s="351"/>
      <c r="AA257" s="351"/>
    </row>
    <row r="258" ht="14.25" customHeight="1">
      <c r="A258" s="365" t="s">
        <v>10301</v>
      </c>
      <c r="B258" s="108"/>
      <c r="C258" s="296" t="s">
        <v>10392</v>
      </c>
      <c r="D258" s="303" t="s">
        <v>271</v>
      </c>
      <c r="E258" s="371"/>
      <c r="F258" s="369" t="s">
        <v>10393</v>
      </c>
      <c r="G258" s="370" t="s">
        <v>10394</v>
      </c>
      <c r="H258" s="370" t="s">
        <v>10395</v>
      </c>
      <c r="I258" s="373" t="s">
        <v>36</v>
      </c>
      <c r="J258" s="362"/>
      <c r="K258" s="351"/>
      <c r="L258" s="351"/>
      <c r="M258" s="351"/>
      <c r="N258" s="351"/>
      <c r="O258" s="351"/>
      <c r="P258" s="351"/>
      <c r="Q258" s="351"/>
      <c r="R258" s="351"/>
      <c r="S258" s="351"/>
      <c r="T258" s="351"/>
      <c r="U258" s="351"/>
      <c r="V258" s="351"/>
      <c r="W258" s="351"/>
      <c r="X258" s="351"/>
      <c r="Y258" s="351"/>
      <c r="Z258" s="351"/>
      <c r="AA258" s="351"/>
    </row>
    <row r="259" ht="14.25" customHeight="1">
      <c r="A259" s="365" t="s">
        <v>10301</v>
      </c>
      <c r="B259" s="108"/>
      <c r="C259" s="296" t="s">
        <v>10396</v>
      </c>
      <c r="D259" s="303" t="s">
        <v>271</v>
      </c>
      <c r="E259" s="371"/>
      <c r="F259" s="369" t="s">
        <v>10397</v>
      </c>
      <c r="G259" s="370" t="s">
        <v>10394</v>
      </c>
      <c r="H259" s="370" t="s">
        <v>10398</v>
      </c>
      <c r="I259" s="373" t="s">
        <v>36</v>
      </c>
      <c r="J259" s="362"/>
      <c r="K259" s="351"/>
      <c r="L259" s="351"/>
      <c r="M259" s="351"/>
      <c r="N259" s="351"/>
      <c r="O259" s="351"/>
      <c r="P259" s="351"/>
      <c r="Q259" s="351"/>
      <c r="R259" s="351"/>
      <c r="S259" s="351"/>
      <c r="T259" s="351"/>
      <c r="U259" s="351"/>
      <c r="V259" s="351"/>
      <c r="W259" s="351"/>
      <c r="X259" s="351"/>
      <c r="Y259" s="351"/>
      <c r="Z259" s="351"/>
      <c r="AA259" s="351"/>
    </row>
    <row r="260" ht="14.25" customHeight="1">
      <c r="A260" s="365" t="s">
        <v>10301</v>
      </c>
      <c r="B260" s="108"/>
      <c r="C260" s="296" t="s">
        <v>10399</v>
      </c>
      <c r="D260" s="303" t="s">
        <v>271</v>
      </c>
      <c r="E260" s="371"/>
      <c r="F260" s="369" t="s">
        <v>10400</v>
      </c>
      <c r="G260" s="370" t="s">
        <v>10401</v>
      </c>
      <c r="H260" s="370" t="s">
        <v>10402</v>
      </c>
      <c r="I260" s="373" t="s">
        <v>36</v>
      </c>
      <c r="J260" s="362"/>
      <c r="K260" s="351"/>
      <c r="L260" s="351"/>
      <c r="M260" s="351"/>
      <c r="N260" s="351"/>
      <c r="O260" s="351"/>
      <c r="P260" s="351"/>
      <c r="Q260" s="351"/>
      <c r="R260" s="351"/>
      <c r="S260" s="351"/>
      <c r="T260" s="351"/>
      <c r="U260" s="351"/>
      <c r="V260" s="351"/>
      <c r="W260" s="351"/>
      <c r="X260" s="351"/>
      <c r="Y260" s="351"/>
      <c r="Z260" s="351"/>
      <c r="AA260" s="351"/>
    </row>
    <row r="261" ht="14.25" customHeight="1">
      <c r="A261" s="365" t="s">
        <v>10301</v>
      </c>
      <c r="B261" s="108"/>
      <c r="C261" s="296" t="s">
        <v>10403</v>
      </c>
      <c r="D261" s="303" t="s">
        <v>271</v>
      </c>
      <c r="E261" s="371"/>
      <c r="F261" s="369" t="s">
        <v>10356</v>
      </c>
      <c r="G261" s="370" t="s">
        <v>10404</v>
      </c>
      <c r="H261" s="370" t="s">
        <v>9758</v>
      </c>
      <c r="I261" s="373" t="s">
        <v>317</v>
      </c>
      <c r="J261" s="296" t="s">
        <v>10405</v>
      </c>
      <c r="K261" s="351"/>
      <c r="L261" s="351"/>
      <c r="M261" s="351"/>
      <c r="N261" s="351"/>
      <c r="O261" s="351"/>
      <c r="P261" s="351"/>
      <c r="Q261" s="351"/>
      <c r="R261" s="351"/>
      <c r="S261" s="351"/>
      <c r="T261" s="351"/>
      <c r="U261" s="351"/>
      <c r="V261" s="351"/>
      <c r="W261" s="351"/>
      <c r="X261" s="351"/>
      <c r="Y261" s="351"/>
      <c r="Z261" s="351"/>
      <c r="AA261" s="351"/>
    </row>
    <row r="262" ht="14.25" customHeight="1">
      <c r="A262" s="365" t="s">
        <v>10301</v>
      </c>
      <c r="B262" s="108"/>
      <c r="C262" s="296" t="s">
        <v>10406</v>
      </c>
      <c r="D262" s="303" t="s">
        <v>271</v>
      </c>
      <c r="E262" s="371"/>
      <c r="F262" s="369" t="s">
        <v>10407</v>
      </c>
      <c r="G262" s="370" t="s">
        <v>10408</v>
      </c>
      <c r="H262" s="370" t="s">
        <v>9762</v>
      </c>
      <c r="I262" s="373" t="s">
        <v>36</v>
      </c>
      <c r="J262" s="362"/>
      <c r="K262" s="351"/>
      <c r="L262" s="351"/>
      <c r="M262" s="351"/>
      <c r="N262" s="351"/>
      <c r="O262" s="351"/>
      <c r="P262" s="351"/>
      <c r="Q262" s="351"/>
      <c r="R262" s="351"/>
      <c r="S262" s="351"/>
      <c r="T262" s="351"/>
      <c r="U262" s="351"/>
      <c r="V262" s="351"/>
      <c r="W262" s="351"/>
      <c r="X262" s="351"/>
      <c r="Y262" s="351"/>
      <c r="Z262" s="351"/>
      <c r="AA262" s="351"/>
    </row>
    <row r="263" ht="14.25" customHeight="1">
      <c r="A263" s="365" t="s">
        <v>10301</v>
      </c>
      <c r="B263" s="108"/>
      <c r="C263" s="296" t="s">
        <v>10409</v>
      </c>
      <c r="D263" s="303" t="s">
        <v>271</v>
      </c>
      <c r="E263" s="371"/>
      <c r="F263" s="369" t="s">
        <v>10410</v>
      </c>
      <c r="G263" s="370" t="s">
        <v>10411</v>
      </c>
      <c r="H263" s="370" t="s">
        <v>9766</v>
      </c>
      <c r="I263" s="373" t="s">
        <v>36</v>
      </c>
      <c r="J263" s="362"/>
      <c r="K263" s="351"/>
      <c r="L263" s="351"/>
      <c r="M263" s="351"/>
      <c r="N263" s="351"/>
      <c r="O263" s="351"/>
      <c r="P263" s="351"/>
      <c r="Q263" s="351"/>
      <c r="R263" s="351"/>
      <c r="S263" s="351"/>
      <c r="T263" s="351"/>
      <c r="U263" s="351"/>
      <c r="V263" s="351"/>
      <c r="W263" s="351"/>
      <c r="X263" s="351"/>
      <c r="Y263" s="351"/>
      <c r="Z263" s="351"/>
      <c r="AA263" s="351"/>
    </row>
    <row r="264" ht="14.25" customHeight="1">
      <c r="A264" s="365" t="s">
        <v>10301</v>
      </c>
      <c r="B264" s="109"/>
      <c r="C264" s="296" t="s">
        <v>10412</v>
      </c>
      <c r="D264" s="303" t="s">
        <v>271</v>
      </c>
      <c r="E264" s="371"/>
      <c r="F264" s="298" t="s">
        <v>10413</v>
      </c>
      <c r="G264" s="370" t="s">
        <v>10414</v>
      </c>
      <c r="H264" s="296" t="s">
        <v>10415</v>
      </c>
      <c r="I264" s="303" t="s">
        <v>36</v>
      </c>
      <c r="J264" s="362"/>
      <c r="K264" s="351"/>
      <c r="L264" s="351"/>
      <c r="M264" s="351"/>
      <c r="N264" s="351"/>
      <c r="O264" s="351"/>
      <c r="P264" s="351"/>
      <c r="Q264" s="351"/>
      <c r="R264" s="351"/>
      <c r="S264" s="351"/>
      <c r="T264" s="351"/>
      <c r="U264" s="351"/>
      <c r="V264" s="351"/>
      <c r="W264" s="351"/>
      <c r="X264" s="351"/>
      <c r="Y264" s="351"/>
      <c r="Z264" s="351"/>
      <c r="AA264" s="351"/>
    </row>
    <row r="265" ht="14.25" customHeight="1">
      <c r="A265" s="365" t="s">
        <v>10416</v>
      </c>
      <c r="B265" s="374" t="s">
        <v>10417</v>
      </c>
      <c r="C265" s="296" t="s">
        <v>9717</v>
      </c>
      <c r="D265" s="303" t="s">
        <v>271</v>
      </c>
      <c r="E265" s="375" t="s">
        <v>10418</v>
      </c>
      <c r="F265" s="258" t="s">
        <v>10419</v>
      </c>
      <c r="G265" s="367" t="s">
        <v>10420</v>
      </c>
      <c r="H265" s="367" t="s">
        <v>10421</v>
      </c>
      <c r="I265" s="303" t="s">
        <v>36</v>
      </c>
      <c r="J265" s="362"/>
      <c r="K265" s="351"/>
      <c r="L265" s="351"/>
      <c r="M265" s="351"/>
      <c r="N265" s="351"/>
      <c r="O265" s="351"/>
      <c r="P265" s="351"/>
      <c r="Q265" s="351"/>
      <c r="R265" s="351"/>
      <c r="S265" s="351"/>
      <c r="T265" s="351"/>
      <c r="U265" s="351"/>
      <c r="V265" s="351"/>
      <c r="W265" s="351"/>
      <c r="X265" s="351"/>
      <c r="Y265" s="351"/>
      <c r="Z265" s="351"/>
      <c r="AA265" s="351"/>
    </row>
    <row r="266" ht="14.25" customHeight="1">
      <c r="A266" s="365" t="s">
        <v>10416</v>
      </c>
      <c r="B266" s="108"/>
      <c r="C266" s="296" t="s">
        <v>9723</v>
      </c>
      <c r="D266" s="303" t="s">
        <v>271</v>
      </c>
      <c r="E266" s="371"/>
      <c r="F266" s="369" t="s">
        <v>10422</v>
      </c>
      <c r="G266" s="370" t="s">
        <v>10423</v>
      </c>
      <c r="H266" s="370" t="s">
        <v>10424</v>
      </c>
      <c r="I266" s="303" t="s">
        <v>36</v>
      </c>
      <c r="J266" s="362"/>
      <c r="K266" s="351"/>
      <c r="L266" s="351"/>
      <c r="M266" s="351"/>
      <c r="N266" s="351"/>
      <c r="O266" s="351"/>
      <c r="P266" s="351"/>
      <c r="Q266" s="351"/>
      <c r="R266" s="351"/>
      <c r="S266" s="351"/>
      <c r="T266" s="351"/>
      <c r="U266" s="351"/>
      <c r="V266" s="351"/>
      <c r="W266" s="351"/>
      <c r="X266" s="351"/>
      <c r="Y266" s="351"/>
      <c r="Z266" s="351"/>
      <c r="AA266" s="351"/>
    </row>
    <row r="267" ht="14.25" customHeight="1">
      <c r="A267" s="365" t="s">
        <v>10416</v>
      </c>
      <c r="B267" s="108"/>
      <c r="C267" s="296" t="s">
        <v>9727</v>
      </c>
      <c r="D267" s="303" t="s">
        <v>271</v>
      </c>
      <c r="E267" s="371"/>
      <c r="F267" s="369" t="s">
        <v>10425</v>
      </c>
      <c r="G267" s="370" t="s">
        <v>10426</v>
      </c>
      <c r="H267" s="370" t="s">
        <v>10427</v>
      </c>
      <c r="I267" s="303" t="s">
        <v>36</v>
      </c>
      <c r="J267" s="362"/>
      <c r="K267" s="351"/>
      <c r="L267" s="351"/>
      <c r="M267" s="351"/>
      <c r="N267" s="351"/>
      <c r="O267" s="351"/>
      <c r="P267" s="351"/>
      <c r="Q267" s="351"/>
      <c r="R267" s="351"/>
      <c r="S267" s="351"/>
      <c r="T267" s="351"/>
      <c r="U267" s="351"/>
      <c r="V267" s="351"/>
      <c r="W267" s="351"/>
      <c r="X267" s="351"/>
      <c r="Y267" s="351"/>
      <c r="Z267" s="351"/>
      <c r="AA267" s="351"/>
    </row>
    <row r="268" ht="14.25" customHeight="1">
      <c r="A268" s="365" t="s">
        <v>10416</v>
      </c>
      <c r="B268" s="108"/>
      <c r="C268" s="296" t="s">
        <v>9732</v>
      </c>
      <c r="D268" s="303" t="s">
        <v>271</v>
      </c>
      <c r="E268" s="371"/>
      <c r="F268" s="369" t="s">
        <v>10428</v>
      </c>
      <c r="G268" s="370" t="s">
        <v>10429</v>
      </c>
      <c r="H268" s="370" t="s">
        <v>10430</v>
      </c>
      <c r="I268" s="303" t="s">
        <v>36</v>
      </c>
      <c r="J268" s="362"/>
      <c r="K268" s="351"/>
      <c r="L268" s="351"/>
      <c r="M268" s="351"/>
      <c r="N268" s="351"/>
      <c r="O268" s="351"/>
      <c r="P268" s="351"/>
      <c r="Q268" s="351"/>
      <c r="R268" s="351"/>
      <c r="S268" s="351"/>
      <c r="T268" s="351"/>
      <c r="U268" s="351"/>
      <c r="V268" s="351"/>
      <c r="W268" s="351"/>
      <c r="X268" s="351"/>
      <c r="Y268" s="351"/>
      <c r="Z268" s="351"/>
      <c r="AA268" s="351"/>
    </row>
    <row r="269" ht="14.25" customHeight="1">
      <c r="A269" s="365" t="s">
        <v>10416</v>
      </c>
      <c r="B269" s="108"/>
      <c r="C269" s="296" t="s">
        <v>9736</v>
      </c>
      <c r="D269" s="303" t="s">
        <v>271</v>
      </c>
      <c r="E269" s="371"/>
      <c r="F269" s="369" t="s">
        <v>10431</v>
      </c>
      <c r="G269" s="370" t="s">
        <v>10429</v>
      </c>
      <c r="H269" s="370" t="s">
        <v>10432</v>
      </c>
      <c r="I269" s="303" t="s">
        <v>36</v>
      </c>
      <c r="J269" s="362"/>
      <c r="K269" s="351"/>
      <c r="L269" s="351"/>
      <c r="M269" s="351"/>
      <c r="N269" s="351"/>
      <c r="O269" s="351"/>
      <c r="P269" s="351"/>
      <c r="Q269" s="351"/>
      <c r="R269" s="351"/>
      <c r="S269" s="351"/>
      <c r="T269" s="351"/>
      <c r="U269" s="351"/>
      <c r="V269" s="351"/>
      <c r="W269" s="351"/>
      <c r="X269" s="351"/>
      <c r="Y269" s="351"/>
      <c r="Z269" s="351"/>
      <c r="AA269" s="351"/>
    </row>
    <row r="270" ht="14.25" customHeight="1">
      <c r="A270" s="365" t="s">
        <v>10416</v>
      </c>
      <c r="B270" s="108"/>
      <c r="C270" s="296" t="s">
        <v>9740</v>
      </c>
      <c r="D270" s="303" t="s">
        <v>271</v>
      </c>
      <c r="E270" s="371"/>
      <c r="F270" s="369" t="s">
        <v>10433</v>
      </c>
      <c r="G270" s="370" t="s">
        <v>10429</v>
      </c>
      <c r="H270" s="370" t="s">
        <v>10434</v>
      </c>
      <c r="I270" s="303" t="s">
        <v>36</v>
      </c>
      <c r="J270" s="362"/>
      <c r="K270" s="351"/>
      <c r="L270" s="351"/>
      <c r="M270" s="351"/>
      <c r="N270" s="351"/>
      <c r="O270" s="351"/>
      <c r="P270" s="351"/>
      <c r="Q270" s="351"/>
      <c r="R270" s="351"/>
      <c r="S270" s="351"/>
      <c r="T270" s="351"/>
      <c r="U270" s="351"/>
      <c r="V270" s="351"/>
      <c r="W270" s="351"/>
      <c r="X270" s="351"/>
      <c r="Y270" s="351"/>
      <c r="Z270" s="351"/>
      <c r="AA270" s="351"/>
    </row>
    <row r="271" ht="14.25" customHeight="1">
      <c r="A271" s="365" t="s">
        <v>10416</v>
      </c>
      <c r="B271" s="108"/>
      <c r="C271" s="296" t="s">
        <v>9744</v>
      </c>
      <c r="D271" s="303" t="s">
        <v>271</v>
      </c>
      <c r="E271" s="371"/>
      <c r="F271" s="369" t="s">
        <v>10435</v>
      </c>
      <c r="G271" s="370" t="s">
        <v>10436</v>
      </c>
      <c r="H271" s="370" t="s">
        <v>10437</v>
      </c>
      <c r="I271" s="303" t="s">
        <v>36</v>
      </c>
      <c r="J271" s="362"/>
      <c r="K271" s="351"/>
      <c r="L271" s="351"/>
      <c r="M271" s="351"/>
      <c r="N271" s="351"/>
      <c r="O271" s="351"/>
      <c r="P271" s="351"/>
      <c r="Q271" s="351"/>
      <c r="R271" s="351"/>
      <c r="S271" s="351"/>
      <c r="T271" s="351"/>
      <c r="U271" s="351"/>
      <c r="V271" s="351"/>
      <c r="W271" s="351"/>
      <c r="X271" s="351"/>
      <c r="Y271" s="351"/>
      <c r="Z271" s="351"/>
      <c r="AA271" s="351"/>
    </row>
    <row r="272" ht="14.25" customHeight="1">
      <c r="A272" s="365" t="s">
        <v>10416</v>
      </c>
      <c r="B272" s="108"/>
      <c r="C272" s="296" t="s">
        <v>9749</v>
      </c>
      <c r="D272" s="303" t="s">
        <v>271</v>
      </c>
      <c r="E272" s="371"/>
      <c r="F272" s="369" t="s">
        <v>10438</v>
      </c>
      <c r="G272" s="370" t="s">
        <v>10436</v>
      </c>
      <c r="H272" s="370" t="s">
        <v>10439</v>
      </c>
      <c r="I272" s="303" t="s">
        <v>36</v>
      </c>
      <c r="J272" s="362"/>
      <c r="K272" s="351"/>
      <c r="L272" s="351"/>
      <c r="M272" s="351"/>
      <c r="N272" s="351"/>
      <c r="O272" s="351"/>
      <c r="P272" s="351"/>
      <c r="Q272" s="351"/>
      <c r="R272" s="351"/>
      <c r="S272" s="351"/>
      <c r="T272" s="351"/>
      <c r="U272" s="351"/>
      <c r="V272" s="351"/>
      <c r="W272" s="351"/>
      <c r="X272" s="351"/>
      <c r="Y272" s="351"/>
      <c r="Z272" s="351"/>
      <c r="AA272" s="351"/>
    </row>
    <row r="273" ht="14.25" customHeight="1">
      <c r="A273" s="365" t="s">
        <v>10416</v>
      </c>
      <c r="B273" s="108"/>
      <c r="C273" s="296" t="s">
        <v>9754</v>
      </c>
      <c r="D273" s="303" t="s">
        <v>271</v>
      </c>
      <c r="E273" s="371"/>
      <c r="F273" s="369" t="s">
        <v>10440</v>
      </c>
      <c r="G273" s="370" t="s">
        <v>10436</v>
      </c>
      <c r="H273" s="370" t="s">
        <v>10441</v>
      </c>
      <c r="I273" s="303" t="s">
        <v>36</v>
      </c>
      <c r="J273" s="362"/>
      <c r="K273" s="351"/>
      <c r="L273" s="351"/>
      <c r="M273" s="351"/>
      <c r="N273" s="351"/>
      <c r="O273" s="351"/>
      <c r="P273" s="351"/>
      <c r="Q273" s="351"/>
      <c r="R273" s="351"/>
      <c r="S273" s="351"/>
      <c r="T273" s="351"/>
      <c r="U273" s="351"/>
      <c r="V273" s="351"/>
      <c r="W273" s="351"/>
      <c r="X273" s="351"/>
      <c r="Y273" s="351"/>
      <c r="Z273" s="351"/>
      <c r="AA273" s="351"/>
    </row>
    <row r="274" ht="14.25" customHeight="1">
      <c r="A274" s="365" t="s">
        <v>10416</v>
      </c>
      <c r="B274" s="108"/>
      <c r="C274" s="296" t="s">
        <v>9759</v>
      </c>
      <c r="D274" s="303" t="s">
        <v>271</v>
      </c>
      <c r="E274" s="371"/>
      <c r="F274" s="369" t="s">
        <v>10442</v>
      </c>
      <c r="G274" s="370" t="s">
        <v>10443</v>
      </c>
      <c r="H274" s="370" t="s">
        <v>10444</v>
      </c>
      <c r="I274" s="303" t="s">
        <v>36</v>
      </c>
      <c r="J274" s="362"/>
      <c r="K274" s="351"/>
      <c r="L274" s="351"/>
      <c r="M274" s="351"/>
      <c r="N274" s="351"/>
      <c r="O274" s="351"/>
      <c r="P274" s="351"/>
      <c r="Q274" s="351"/>
      <c r="R274" s="351"/>
      <c r="S274" s="351"/>
      <c r="T274" s="351"/>
      <c r="U274" s="351"/>
      <c r="V274" s="351"/>
      <c r="W274" s="351"/>
      <c r="X274" s="351"/>
      <c r="Y274" s="351"/>
      <c r="Z274" s="351"/>
      <c r="AA274" s="351"/>
    </row>
    <row r="275" ht="14.25" customHeight="1">
      <c r="A275" s="365" t="s">
        <v>10416</v>
      </c>
      <c r="B275" s="108"/>
      <c r="C275" s="296" t="s">
        <v>9763</v>
      </c>
      <c r="D275" s="303" t="s">
        <v>271</v>
      </c>
      <c r="E275" s="371"/>
      <c r="F275" s="369" t="s">
        <v>10445</v>
      </c>
      <c r="G275" s="370" t="s">
        <v>10446</v>
      </c>
      <c r="H275" s="370" t="s">
        <v>10447</v>
      </c>
      <c r="I275" s="303" t="s">
        <v>36</v>
      </c>
      <c r="J275" s="362"/>
      <c r="K275" s="351"/>
      <c r="L275" s="351"/>
      <c r="M275" s="351"/>
      <c r="N275" s="351"/>
      <c r="O275" s="351"/>
      <c r="P275" s="351"/>
      <c r="Q275" s="351"/>
      <c r="R275" s="351"/>
      <c r="S275" s="351"/>
      <c r="T275" s="351"/>
      <c r="U275" s="351"/>
      <c r="V275" s="351"/>
      <c r="W275" s="351"/>
      <c r="X275" s="351"/>
      <c r="Y275" s="351"/>
      <c r="Z275" s="351"/>
      <c r="AA275" s="351"/>
    </row>
    <row r="276" ht="14.25" customHeight="1">
      <c r="A276" s="365" t="s">
        <v>10416</v>
      </c>
      <c r="B276" s="108"/>
      <c r="C276" s="296" t="s">
        <v>9767</v>
      </c>
      <c r="D276" s="303" t="s">
        <v>271</v>
      </c>
      <c r="E276" s="371"/>
      <c r="F276" s="369" t="s">
        <v>10448</v>
      </c>
      <c r="G276" s="370" t="s">
        <v>10449</v>
      </c>
      <c r="H276" s="370" t="s">
        <v>10447</v>
      </c>
      <c r="I276" s="303" t="s">
        <v>36</v>
      </c>
      <c r="J276" s="362"/>
      <c r="K276" s="351"/>
      <c r="L276" s="351"/>
      <c r="M276" s="351"/>
      <c r="N276" s="351"/>
      <c r="O276" s="351"/>
      <c r="P276" s="351"/>
      <c r="Q276" s="351"/>
      <c r="R276" s="351"/>
      <c r="S276" s="351"/>
      <c r="T276" s="351"/>
      <c r="U276" s="351"/>
      <c r="V276" s="351"/>
      <c r="W276" s="351"/>
      <c r="X276" s="351"/>
      <c r="Y276" s="351"/>
      <c r="Z276" s="351"/>
      <c r="AA276" s="351"/>
    </row>
    <row r="277" ht="14.25" customHeight="1">
      <c r="A277" s="365" t="s">
        <v>10416</v>
      </c>
      <c r="B277" s="108"/>
      <c r="C277" s="296" t="s">
        <v>9772</v>
      </c>
      <c r="D277" s="303" t="s">
        <v>271</v>
      </c>
      <c r="E277" s="371"/>
      <c r="F277" s="369" t="s">
        <v>10450</v>
      </c>
      <c r="G277" s="370" t="s">
        <v>10451</v>
      </c>
      <c r="H277" s="370" t="s">
        <v>10452</v>
      </c>
      <c r="I277" s="303" t="s">
        <v>36</v>
      </c>
      <c r="J277" s="362"/>
      <c r="K277" s="351"/>
      <c r="L277" s="351"/>
      <c r="M277" s="351"/>
      <c r="N277" s="351"/>
      <c r="O277" s="351"/>
      <c r="P277" s="351"/>
      <c r="Q277" s="351"/>
      <c r="R277" s="351"/>
      <c r="S277" s="351"/>
      <c r="T277" s="351"/>
      <c r="U277" s="351"/>
      <c r="V277" s="351"/>
      <c r="W277" s="351"/>
      <c r="X277" s="351"/>
      <c r="Y277" s="351"/>
      <c r="Z277" s="351"/>
      <c r="AA277" s="351"/>
    </row>
    <row r="278" ht="14.25" customHeight="1">
      <c r="A278" s="365" t="s">
        <v>10416</v>
      </c>
      <c r="B278" s="108"/>
      <c r="C278" s="296" t="s">
        <v>10339</v>
      </c>
      <c r="D278" s="303" t="s">
        <v>271</v>
      </c>
      <c r="E278" s="371"/>
      <c r="F278" s="369" t="s">
        <v>10453</v>
      </c>
      <c r="G278" s="370" t="s">
        <v>10454</v>
      </c>
      <c r="H278" s="370" t="s">
        <v>10455</v>
      </c>
      <c r="I278" s="303" t="s">
        <v>36</v>
      </c>
      <c r="J278" s="362"/>
      <c r="K278" s="351"/>
      <c r="L278" s="351"/>
      <c r="M278" s="351"/>
      <c r="N278" s="351"/>
      <c r="O278" s="351"/>
      <c r="P278" s="351"/>
      <c r="Q278" s="351"/>
      <c r="R278" s="351"/>
      <c r="S278" s="351"/>
      <c r="T278" s="351"/>
      <c r="U278" s="351"/>
      <c r="V278" s="351"/>
      <c r="W278" s="351"/>
      <c r="X278" s="351"/>
      <c r="Y278" s="351"/>
      <c r="Z278" s="351"/>
      <c r="AA278" s="351"/>
    </row>
    <row r="279" ht="14.25" customHeight="1">
      <c r="A279" s="365" t="s">
        <v>10416</v>
      </c>
      <c r="B279" s="108"/>
      <c r="C279" s="296" t="s">
        <v>10343</v>
      </c>
      <c r="D279" s="303" t="s">
        <v>271</v>
      </c>
      <c r="E279" s="371"/>
      <c r="F279" s="369" t="s">
        <v>10456</v>
      </c>
      <c r="G279" s="370" t="s">
        <v>10457</v>
      </c>
      <c r="H279" s="370" t="s">
        <v>10458</v>
      </c>
      <c r="I279" s="303" t="s">
        <v>36</v>
      </c>
      <c r="J279" s="362"/>
      <c r="K279" s="351"/>
      <c r="L279" s="351"/>
      <c r="M279" s="351"/>
      <c r="N279" s="351"/>
      <c r="O279" s="351"/>
      <c r="P279" s="351"/>
      <c r="Q279" s="351"/>
      <c r="R279" s="351"/>
      <c r="S279" s="351"/>
      <c r="T279" s="351"/>
      <c r="U279" s="351"/>
      <c r="V279" s="351"/>
      <c r="W279" s="351"/>
      <c r="X279" s="351"/>
      <c r="Y279" s="351"/>
      <c r="Z279" s="351"/>
      <c r="AA279" s="351"/>
    </row>
    <row r="280" ht="14.25" customHeight="1">
      <c r="A280" s="365" t="s">
        <v>10416</v>
      </c>
      <c r="B280" s="108"/>
      <c r="C280" s="296" t="s">
        <v>10347</v>
      </c>
      <c r="D280" s="303" t="s">
        <v>271</v>
      </c>
      <c r="E280" s="371"/>
      <c r="F280" s="369" t="s">
        <v>10459</v>
      </c>
      <c r="G280" s="370" t="s">
        <v>10460</v>
      </c>
      <c r="H280" s="370" t="s">
        <v>10461</v>
      </c>
      <c r="I280" s="303" t="s">
        <v>317</v>
      </c>
      <c r="J280" s="296" t="s">
        <v>10462</v>
      </c>
      <c r="K280" s="351"/>
      <c r="L280" s="351"/>
      <c r="M280" s="351"/>
      <c r="N280" s="351"/>
      <c r="O280" s="351"/>
      <c r="P280" s="351"/>
      <c r="Q280" s="351"/>
      <c r="R280" s="351"/>
      <c r="S280" s="351"/>
      <c r="T280" s="351"/>
      <c r="U280" s="351"/>
      <c r="V280" s="351"/>
      <c r="W280" s="351"/>
      <c r="X280" s="351"/>
      <c r="Y280" s="351"/>
      <c r="Z280" s="351"/>
      <c r="AA280" s="351"/>
    </row>
    <row r="281" ht="14.25" customHeight="1">
      <c r="A281" s="365" t="s">
        <v>10416</v>
      </c>
      <c r="B281" s="108"/>
      <c r="C281" s="296" t="s">
        <v>10351</v>
      </c>
      <c r="D281" s="303" t="s">
        <v>271</v>
      </c>
      <c r="E281" s="371"/>
      <c r="F281" s="369" t="s">
        <v>10463</v>
      </c>
      <c r="G281" s="370" t="s">
        <v>10464</v>
      </c>
      <c r="H281" s="370" t="s">
        <v>10465</v>
      </c>
      <c r="I281" s="303" t="s">
        <v>36</v>
      </c>
      <c r="J281" s="362"/>
      <c r="K281" s="351"/>
      <c r="L281" s="351"/>
      <c r="M281" s="351"/>
      <c r="N281" s="351"/>
      <c r="O281" s="351"/>
      <c r="P281" s="351"/>
      <c r="Q281" s="351"/>
      <c r="R281" s="351"/>
      <c r="S281" s="351"/>
      <c r="T281" s="351"/>
      <c r="U281" s="351"/>
      <c r="V281" s="351"/>
      <c r="W281" s="351"/>
      <c r="X281" s="351"/>
      <c r="Y281" s="351"/>
      <c r="Z281" s="351"/>
      <c r="AA281" s="351"/>
    </row>
    <row r="282" ht="14.25" customHeight="1">
      <c r="A282" s="365" t="s">
        <v>10416</v>
      </c>
      <c r="B282" s="108"/>
      <c r="C282" s="296" t="s">
        <v>10355</v>
      </c>
      <c r="D282" s="303" t="s">
        <v>271</v>
      </c>
      <c r="E282" s="371"/>
      <c r="F282" s="369" t="s">
        <v>10466</v>
      </c>
      <c r="G282" s="370" t="s">
        <v>10467</v>
      </c>
      <c r="H282" s="370" t="s">
        <v>10468</v>
      </c>
      <c r="I282" s="303" t="s">
        <v>36</v>
      </c>
      <c r="J282" s="362"/>
      <c r="K282" s="351"/>
      <c r="L282" s="351"/>
      <c r="M282" s="351"/>
      <c r="N282" s="351"/>
      <c r="O282" s="351"/>
      <c r="P282" s="351"/>
      <c r="Q282" s="351"/>
      <c r="R282" s="351"/>
      <c r="S282" s="351"/>
      <c r="T282" s="351"/>
      <c r="U282" s="351"/>
      <c r="V282" s="351"/>
      <c r="W282" s="351"/>
      <c r="X282" s="351"/>
      <c r="Y282" s="351"/>
      <c r="Z282" s="351"/>
      <c r="AA282" s="351"/>
    </row>
    <row r="283" ht="14.25" customHeight="1">
      <c r="A283" s="365" t="s">
        <v>10416</v>
      </c>
      <c r="B283" s="108"/>
      <c r="C283" s="296" t="s">
        <v>10358</v>
      </c>
      <c r="D283" s="303" t="s">
        <v>271</v>
      </c>
      <c r="E283" s="371"/>
      <c r="F283" s="369" t="s">
        <v>10469</v>
      </c>
      <c r="G283" s="370" t="s">
        <v>10470</v>
      </c>
      <c r="H283" s="370" t="s">
        <v>10471</v>
      </c>
      <c r="I283" s="303" t="s">
        <v>36</v>
      </c>
      <c r="J283" s="362"/>
      <c r="K283" s="351"/>
      <c r="L283" s="351"/>
      <c r="M283" s="351"/>
      <c r="N283" s="351"/>
      <c r="O283" s="351"/>
      <c r="P283" s="351"/>
      <c r="Q283" s="351"/>
      <c r="R283" s="351"/>
      <c r="S283" s="351"/>
      <c r="T283" s="351"/>
      <c r="U283" s="351"/>
      <c r="V283" s="351"/>
      <c r="W283" s="351"/>
      <c r="X283" s="351"/>
      <c r="Y283" s="351"/>
      <c r="Z283" s="351"/>
      <c r="AA283" s="351"/>
    </row>
    <row r="284" ht="14.25" customHeight="1">
      <c r="A284" s="365" t="s">
        <v>10416</v>
      </c>
      <c r="B284" s="108"/>
      <c r="C284" s="296" t="s">
        <v>10362</v>
      </c>
      <c r="D284" s="303" t="s">
        <v>271</v>
      </c>
      <c r="E284" s="371"/>
      <c r="F284" s="369" t="s">
        <v>10472</v>
      </c>
      <c r="G284" s="370" t="s">
        <v>10473</v>
      </c>
      <c r="H284" s="370" t="s">
        <v>10474</v>
      </c>
      <c r="I284" s="303" t="s">
        <v>36</v>
      </c>
      <c r="J284" s="362"/>
      <c r="K284" s="351"/>
      <c r="L284" s="351"/>
      <c r="M284" s="351"/>
      <c r="N284" s="351"/>
      <c r="O284" s="351"/>
      <c r="P284" s="351"/>
      <c r="Q284" s="351"/>
      <c r="R284" s="351"/>
      <c r="S284" s="351"/>
      <c r="T284" s="351"/>
      <c r="U284" s="351"/>
      <c r="V284" s="351"/>
      <c r="W284" s="351"/>
      <c r="X284" s="351"/>
      <c r="Y284" s="351"/>
      <c r="Z284" s="351"/>
      <c r="AA284" s="351"/>
    </row>
    <row r="285" ht="14.25" customHeight="1">
      <c r="A285" s="365" t="s">
        <v>10416</v>
      </c>
      <c r="B285" s="108"/>
      <c r="C285" s="296" t="s">
        <v>10365</v>
      </c>
      <c r="D285" s="303" t="s">
        <v>271</v>
      </c>
      <c r="E285" s="371"/>
      <c r="F285" s="369" t="s">
        <v>10475</v>
      </c>
      <c r="G285" s="370" t="s">
        <v>10476</v>
      </c>
      <c r="H285" s="370" t="s">
        <v>10477</v>
      </c>
      <c r="I285" s="303" t="s">
        <v>36</v>
      </c>
      <c r="J285" s="362"/>
      <c r="K285" s="351"/>
      <c r="L285" s="351"/>
      <c r="M285" s="351"/>
      <c r="N285" s="351"/>
      <c r="O285" s="351"/>
      <c r="P285" s="351"/>
      <c r="Q285" s="351"/>
      <c r="R285" s="351"/>
      <c r="S285" s="351"/>
      <c r="T285" s="351"/>
      <c r="U285" s="351"/>
      <c r="V285" s="351"/>
      <c r="W285" s="351"/>
      <c r="X285" s="351"/>
      <c r="Y285" s="351"/>
      <c r="Z285" s="351"/>
      <c r="AA285" s="351"/>
    </row>
    <row r="286" ht="14.25" customHeight="1">
      <c r="A286" s="365" t="s">
        <v>10416</v>
      </c>
      <c r="B286" s="108"/>
      <c r="C286" s="296" t="s">
        <v>10369</v>
      </c>
      <c r="D286" s="303" t="s">
        <v>271</v>
      </c>
      <c r="E286" s="371"/>
      <c r="F286" s="369" t="s">
        <v>10478</v>
      </c>
      <c r="G286" s="370" t="s">
        <v>10479</v>
      </c>
      <c r="H286" s="370" t="s">
        <v>10480</v>
      </c>
      <c r="I286" s="303" t="s">
        <v>36</v>
      </c>
      <c r="J286" s="362"/>
      <c r="K286" s="351"/>
      <c r="L286" s="351"/>
      <c r="M286" s="351"/>
      <c r="N286" s="351"/>
      <c r="O286" s="351"/>
      <c r="P286" s="351"/>
      <c r="Q286" s="351"/>
      <c r="R286" s="351"/>
      <c r="S286" s="351"/>
      <c r="T286" s="351"/>
      <c r="U286" s="351"/>
      <c r="V286" s="351"/>
      <c r="W286" s="351"/>
      <c r="X286" s="351"/>
      <c r="Y286" s="351"/>
      <c r="Z286" s="351"/>
      <c r="AA286" s="351"/>
    </row>
    <row r="287" ht="14.25" customHeight="1">
      <c r="A287" s="365" t="s">
        <v>10416</v>
      </c>
      <c r="B287" s="108"/>
      <c r="C287" s="296" t="s">
        <v>10373</v>
      </c>
      <c r="D287" s="303" t="s">
        <v>271</v>
      </c>
      <c r="E287" s="371"/>
      <c r="F287" s="376" t="s">
        <v>10481</v>
      </c>
      <c r="G287" s="377" t="s">
        <v>10482</v>
      </c>
      <c r="H287" s="377" t="s">
        <v>10483</v>
      </c>
      <c r="I287" s="303" t="s">
        <v>36</v>
      </c>
      <c r="J287" s="362"/>
      <c r="K287" s="351"/>
      <c r="L287" s="351"/>
      <c r="M287" s="351"/>
      <c r="N287" s="351"/>
      <c r="O287" s="351"/>
      <c r="P287" s="351"/>
      <c r="Q287" s="351"/>
      <c r="R287" s="351"/>
      <c r="S287" s="351"/>
      <c r="T287" s="351"/>
      <c r="U287" s="351"/>
      <c r="V287" s="351"/>
      <c r="W287" s="351"/>
      <c r="X287" s="351"/>
      <c r="Y287" s="351"/>
      <c r="Z287" s="351"/>
      <c r="AA287" s="351"/>
    </row>
    <row r="288" ht="14.25" customHeight="1">
      <c r="A288" s="365" t="s">
        <v>10416</v>
      </c>
      <c r="B288" s="108"/>
      <c r="C288" s="296" t="s">
        <v>10376</v>
      </c>
      <c r="D288" s="303" t="s">
        <v>271</v>
      </c>
      <c r="E288" s="371"/>
      <c r="F288" s="369" t="s">
        <v>10484</v>
      </c>
      <c r="G288" s="370" t="s">
        <v>10485</v>
      </c>
      <c r="H288" s="370" t="s">
        <v>10486</v>
      </c>
      <c r="I288" s="303" t="s">
        <v>36</v>
      </c>
      <c r="J288" s="362"/>
      <c r="K288" s="351"/>
      <c r="L288" s="351"/>
      <c r="M288" s="351"/>
      <c r="N288" s="351"/>
      <c r="O288" s="351"/>
      <c r="P288" s="351"/>
      <c r="Q288" s="351"/>
      <c r="R288" s="351"/>
      <c r="S288" s="351"/>
      <c r="T288" s="351"/>
      <c r="U288" s="351"/>
      <c r="V288" s="351"/>
      <c r="W288" s="351"/>
      <c r="X288" s="351"/>
      <c r="Y288" s="351"/>
      <c r="Z288" s="351"/>
      <c r="AA288" s="351"/>
    </row>
    <row r="289" ht="14.25" customHeight="1">
      <c r="A289" s="365" t="s">
        <v>10416</v>
      </c>
      <c r="B289" s="108"/>
      <c r="C289" s="296" t="s">
        <v>10380</v>
      </c>
      <c r="D289" s="303" t="s">
        <v>271</v>
      </c>
      <c r="E289" s="371"/>
      <c r="F289" s="369" t="s">
        <v>10487</v>
      </c>
      <c r="G289" s="370" t="s">
        <v>10488</v>
      </c>
      <c r="H289" s="370" t="s">
        <v>10489</v>
      </c>
      <c r="I289" s="303" t="s">
        <v>36</v>
      </c>
      <c r="J289" s="362"/>
      <c r="K289" s="351"/>
      <c r="L289" s="351"/>
      <c r="M289" s="351"/>
      <c r="N289" s="351"/>
      <c r="O289" s="351"/>
      <c r="P289" s="351"/>
      <c r="Q289" s="351"/>
      <c r="R289" s="351"/>
      <c r="S289" s="351"/>
      <c r="T289" s="351"/>
      <c r="U289" s="351"/>
      <c r="V289" s="351"/>
      <c r="W289" s="351"/>
      <c r="X289" s="351"/>
      <c r="Y289" s="351"/>
      <c r="Z289" s="351"/>
      <c r="AA289" s="351"/>
    </row>
    <row r="290" ht="14.25" customHeight="1">
      <c r="A290" s="365" t="s">
        <v>10416</v>
      </c>
      <c r="B290" s="108"/>
      <c r="C290" s="296" t="s">
        <v>10384</v>
      </c>
      <c r="D290" s="303" t="s">
        <v>271</v>
      </c>
      <c r="E290" s="371"/>
      <c r="F290" s="369" t="s">
        <v>10490</v>
      </c>
      <c r="G290" s="370" t="s">
        <v>10491</v>
      </c>
      <c r="H290" s="370" t="s">
        <v>10492</v>
      </c>
      <c r="I290" s="303" t="s">
        <v>36</v>
      </c>
      <c r="J290" s="362"/>
      <c r="K290" s="351"/>
      <c r="L290" s="351"/>
      <c r="M290" s="351"/>
      <c r="N290" s="351"/>
      <c r="O290" s="351"/>
      <c r="P290" s="351"/>
      <c r="Q290" s="351"/>
      <c r="R290" s="351"/>
      <c r="S290" s="351"/>
      <c r="T290" s="351"/>
      <c r="U290" s="351"/>
      <c r="V290" s="351"/>
      <c r="W290" s="351"/>
      <c r="X290" s="351"/>
      <c r="Y290" s="351"/>
      <c r="Z290" s="351"/>
      <c r="AA290" s="351"/>
    </row>
    <row r="291" ht="14.25" customHeight="1">
      <c r="A291" s="365" t="s">
        <v>10416</v>
      </c>
      <c r="B291" s="108"/>
      <c r="C291" s="296" t="s">
        <v>10388</v>
      </c>
      <c r="D291" s="303" t="s">
        <v>271</v>
      </c>
      <c r="E291" s="371"/>
      <c r="F291" s="369" t="s">
        <v>10493</v>
      </c>
      <c r="G291" s="370" t="s">
        <v>10494</v>
      </c>
      <c r="H291" s="370" t="s">
        <v>10495</v>
      </c>
      <c r="I291" s="303" t="s">
        <v>36</v>
      </c>
      <c r="J291" s="362"/>
      <c r="K291" s="351"/>
      <c r="L291" s="351"/>
      <c r="M291" s="351"/>
      <c r="N291" s="351"/>
      <c r="O291" s="351"/>
      <c r="P291" s="351"/>
      <c r="Q291" s="351"/>
      <c r="R291" s="351"/>
      <c r="S291" s="351"/>
      <c r="T291" s="351"/>
      <c r="U291" s="351"/>
      <c r="V291" s="351"/>
      <c r="W291" s="351"/>
      <c r="X291" s="351"/>
      <c r="Y291" s="351"/>
      <c r="Z291" s="351"/>
      <c r="AA291" s="351"/>
    </row>
    <row r="292" ht="14.25" customHeight="1">
      <c r="A292" s="365" t="s">
        <v>10416</v>
      </c>
      <c r="B292" s="108"/>
      <c r="C292" s="296" t="s">
        <v>10392</v>
      </c>
      <c r="D292" s="303" t="s">
        <v>271</v>
      </c>
      <c r="E292" s="371"/>
      <c r="F292" s="369" t="s">
        <v>10496</v>
      </c>
      <c r="G292" s="370" t="s">
        <v>10497</v>
      </c>
      <c r="H292" s="370" t="s">
        <v>10498</v>
      </c>
      <c r="I292" s="303" t="s">
        <v>36</v>
      </c>
      <c r="J292" s="362"/>
      <c r="K292" s="351"/>
      <c r="L292" s="351"/>
      <c r="M292" s="351"/>
      <c r="N292" s="351"/>
      <c r="O292" s="351"/>
      <c r="P292" s="351"/>
      <c r="Q292" s="351"/>
      <c r="R292" s="351"/>
      <c r="S292" s="351"/>
      <c r="T292" s="351"/>
      <c r="U292" s="351"/>
      <c r="V292" s="351"/>
      <c r="W292" s="351"/>
      <c r="X292" s="351"/>
      <c r="Y292" s="351"/>
      <c r="Z292" s="351"/>
      <c r="AA292" s="351"/>
    </row>
    <row r="293" ht="14.25" customHeight="1">
      <c r="A293" s="365" t="s">
        <v>10416</v>
      </c>
      <c r="B293" s="108"/>
      <c r="C293" s="296" t="s">
        <v>10396</v>
      </c>
      <c r="D293" s="303" t="s">
        <v>271</v>
      </c>
      <c r="E293" s="371"/>
      <c r="F293" s="369" t="s">
        <v>10499</v>
      </c>
      <c r="G293" s="370" t="s">
        <v>10500</v>
      </c>
      <c r="H293" s="370" t="s">
        <v>10501</v>
      </c>
      <c r="I293" s="303" t="s">
        <v>317</v>
      </c>
      <c r="J293" s="362"/>
      <c r="K293" s="351"/>
      <c r="L293" s="351"/>
      <c r="M293" s="351"/>
      <c r="N293" s="351"/>
      <c r="O293" s="351"/>
      <c r="P293" s="351"/>
      <c r="Q293" s="351"/>
      <c r="R293" s="351"/>
      <c r="S293" s="351"/>
      <c r="T293" s="351"/>
      <c r="U293" s="351"/>
      <c r="V293" s="351"/>
      <c r="W293" s="351"/>
      <c r="X293" s="351"/>
      <c r="Y293" s="351"/>
      <c r="Z293" s="351"/>
      <c r="AA293" s="351"/>
    </row>
    <row r="294" ht="14.25" customHeight="1">
      <c r="A294" s="365" t="s">
        <v>10416</v>
      </c>
      <c r="B294" s="108"/>
      <c r="C294" s="296" t="s">
        <v>10399</v>
      </c>
      <c r="D294" s="303" t="s">
        <v>271</v>
      </c>
      <c r="E294" s="371"/>
      <c r="F294" s="369" t="s">
        <v>10502</v>
      </c>
      <c r="G294" s="370" t="s">
        <v>10503</v>
      </c>
      <c r="H294" s="370" t="s">
        <v>10504</v>
      </c>
      <c r="I294" s="303" t="s">
        <v>36</v>
      </c>
      <c r="J294" s="362"/>
      <c r="K294" s="351"/>
      <c r="L294" s="351"/>
      <c r="M294" s="351"/>
      <c r="N294" s="351"/>
      <c r="O294" s="351"/>
      <c r="P294" s="351"/>
      <c r="Q294" s="351"/>
      <c r="R294" s="351"/>
      <c r="S294" s="351"/>
      <c r="T294" s="351"/>
      <c r="U294" s="351"/>
      <c r="V294" s="351"/>
      <c r="W294" s="351"/>
      <c r="X294" s="351"/>
      <c r="Y294" s="351"/>
      <c r="Z294" s="351"/>
      <c r="AA294" s="351"/>
    </row>
    <row r="295" ht="14.25" customHeight="1">
      <c r="A295" s="365" t="s">
        <v>10416</v>
      </c>
      <c r="B295" s="108"/>
      <c r="C295" s="296" t="s">
        <v>10403</v>
      </c>
      <c r="D295" s="303" t="s">
        <v>271</v>
      </c>
      <c r="E295" s="371"/>
      <c r="F295" s="369" t="s">
        <v>10505</v>
      </c>
      <c r="G295" s="370" t="s">
        <v>10506</v>
      </c>
      <c r="H295" s="370" t="s">
        <v>10507</v>
      </c>
      <c r="I295" s="303" t="s">
        <v>36</v>
      </c>
      <c r="J295" s="362"/>
      <c r="K295" s="351"/>
      <c r="L295" s="351"/>
      <c r="M295" s="351"/>
      <c r="N295" s="351"/>
      <c r="O295" s="351"/>
      <c r="P295" s="351"/>
      <c r="Q295" s="351"/>
      <c r="R295" s="351"/>
      <c r="S295" s="351"/>
      <c r="T295" s="351"/>
      <c r="U295" s="351"/>
      <c r="V295" s="351"/>
      <c r="W295" s="351"/>
      <c r="X295" s="351"/>
      <c r="Y295" s="351"/>
      <c r="Z295" s="351"/>
      <c r="AA295" s="351"/>
    </row>
    <row r="296" ht="14.25" customHeight="1">
      <c r="A296" s="365" t="s">
        <v>10416</v>
      </c>
      <c r="B296" s="108"/>
      <c r="C296" s="296" t="s">
        <v>10406</v>
      </c>
      <c r="D296" s="303" t="s">
        <v>271</v>
      </c>
      <c r="E296" s="371"/>
      <c r="F296" s="369" t="s">
        <v>10508</v>
      </c>
      <c r="G296" s="370" t="s">
        <v>10509</v>
      </c>
      <c r="H296" s="370" t="s">
        <v>10510</v>
      </c>
      <c r="I296" s="303" t="s">
        <v>36</v>
      </c>
      <c r="J296" s="362"/>
      <c r="K296" s="351"/>
      <c r="L296" s="351"/>
      <c r="M296" s="351"/>
      <c r="N296" s="351"/>
      <c r="O296" s="351"/>
      <c r="P296" s="351"/>
      <c r="Q296" s="351"/>
      <c r="R296" s="351"/>
      <c r="S296" s="351"/>
      <c r="T296" s="351"/>
      <c r="U296" s="351"/>
      <c r="V296" s="351"/>
      <c r="W296" s="351"/>
      <c r="X296" s="351"/>
      <c r="Y296" s="351"/>
      <c r="Z296" s="351"/>
      <c r="AA296" s="351"/>
    </row>
    <row r="297" ht="14.25" customHeight="1">
      <c r="A297" s="365" t="s">
        <v>10416</v>
      </c>
      <c r="B297" s="108"/>
      <c r="C297" s="296" t="s">
        <v>10409</v>
      </c>
      <c r="D297" s="303" t="s">
        <v>271</v>
      </c>
      <c r="E297" s="371"/>
      <c r="F297" s="369" t="s">
        <v>10511</v>
      </c>
      <c r="G297" s="370" t="s">
        <v>10512</v>
      </c>
      <c r="H297" s="370" t="s">
        <v>10513</v>
      </c>
      <c r="I297" s="303" t="s">
        <v>36</v>
      </c>
      <c r="J297" s="362"/>
      <c r="K297" s="351"/>
      <c r="L297" s="351"/>
      <c r="M297" s="351"/>
      <c r="N297" s="351"/>
      <c r="O297" s="351"/>
      <c r="P297" s="351"/>
      <c r="Q297" s="351"/>
      <c r="R297" s="351"/>
      <c r="S297" s="351"/>
      <c r="T297" s="351"/>
      <c r="U297" s="351"/>
      <c r="V297" s="351"/>
      <c r="W297" s="351"/>
      <c r="X297" s="351"/>
      <c r="Y297" s="351"/>
      <c r="Z297" s="351"/>
      <c r="AA297" s="351"/>
    </row>
    <row r="298" ht="14.25" customHeight="1">
      <c r="A298" s="365" t="s">
        <v>10416</v>
      </c>
      <c r="B298" s="108"/>
      <c r="C298" s="296" t="s">
        <v>10412</v>
      </c>
      <c r="D298" s="303" t="s">
        <v>271</v>
      </c>
      <c r="E298" s="371"/>
      <c r="F298" s="369" t="s">
        <v>10514</v>
      </c>
      <c r="G298" s="370" t="s">
        <v>10515</v>
      </c>
      <c r="H298" s="370" t="s">
        <v>10516</v>
      </c>
      <c r="I298" s="303" t="s">
        <v>36</v>
      </c>
      <c r="J298" s="362"/>
      <c r="K298" s="351"/>
      <c r="L298" s="351"/>
      <c r="M298" s="351"/>
      <c r="N298" s="351"/>
      <c r="O298" s="351"/>
      <c r="P298" s="351"/>
      <c r="Q298" s="351"/>
      <c r="R298" s="351"/>
      <c r="S298" s="351"/>
      <c r="T298" s="351"/>
      <c r="U298" s="351"/>
      <c r="V298" s="351"/>
      <c r="W298" s="351"/>
      <c r="X298" s="351"/>
      <c r="Y298" s="351"/>
      <c r="Z298" s="351"/>
      <c r="AA298" s="351"/>
    </row>
    <row r="299" ht="14.25" customHeight="1">
      <c r="A299" s="365" t="s">
        <v>10416</v>
      </c>
      <c r="B299" s="108"/>
      <c r="C299" s="296" t="s">
        <v>10517</v>
      </c>
      <c r="D299" s="303" t="s">
        <v>271</v>
      </c>
      <c r="E299" s="371"/>
      <c r="F299" s="369" t="s">
        <v>10518</v>
      </c>
      <c r="G299" s="370" t="s">
        <v>10519</v>
      </c>
      <c r="H299" s="370" t="s">
        <v>10520</v>
      </c>
      <c r="I299" s="303" t="s">
        <v>36</v>
      </c>
      <c r="J299" s="362"/>
      <c r="K299" s="351"/>
      <c r="L299" s="351"/>
      <c r="M299" s="351"/>
      <c r="N299" s="351"/>
      <c r="O299" s="351"/>
      <c r="P299" s="351"/>
      <c r="Q299" s="351"/>
      <c r="R299" s="351"/>
      <c r="S299" s="351"/>
      <c r="T299" s="351"/>
      <c r="U299" s="351"/>
      <c r="V299" s="351"/>
      <c r="W299" s="351"/>
      <c r="X299" s="351"/>
      <c r="Y299" s="351"/>
      <c r="Z299" s="351"/>
      <c r="AA299" s="351"/>
    </row>
    <row r="300" ht="14.25" customHeight="1">
      <c r="A300" s="365" t="s">
        <v>10416</v>
      </c>
      <c r="B300" s="108"/>
      <c r="C300" s="296" t="s">
        <v>10521</v>
      </c>
      <c r="D300" s="303" t="s">
        <v>271</v>
      </c>
      <c r="E300" s="371"/>
      <c r="F300" s="369" t="s">
        <v>10522</v>
      </c>
      <c r="G300" s="370" t="s">
        <v>10523</v>
      </c>
      <c r="H300" s="370" t="s">
        <v>10524</v>
      </c>
      <c r="I300" s="303" t="s">
        <v>36</v>
      </c>
      <c r="J300" s="362"/>
      <c r="K300" s="351"/>
      <c r="L300" s="351"/>
      <c r="M300" s="351"/>
      <c r="N300" s="351"/>
      <c r="O300" s="351"/>
      <c r="P300" s="351"/>
      <c r="Q300" s="351"/>
      <c r="R300" s="351"/>
      <c r="S300" s="351"/>
      <c r="T300" s="351"/>
      <c r="U300" s="351"/>
      <c r="V300" s="351"/>
      <c r="W300" s="351"/>
      <c r="X300" s="351"/>
      <c r="Y300" s="351"/>
      <c r="Z300" s="351"/>
      <c r="AA300" s="351"/>
    </row>
    <row r="301" ht="14.25" customHeight="1">
      <c r="A301" s="365" t="s">
        <v>10416</v>
      </c>
      <c r="B301" s="108"/>
      <c r="C301" s="296" t="s">
        <v>10525</v>
      </c>
      <c r="D301" s="303" t="s">
        <v>271</v>
      </c>
      <c r="E301" s="371"/>
      <c r="F301" s="369" t="s">
        <v>10526</v>
      </c>
      <c r="G301" s="370" t="s">
        <v>10527</v>
      </c>
      <c r="H301" s="370" t="s">
        <v>10528</v>
      </c>
      <c r="I301" s="303" t="s">
        <v>36</v>
      </c>
      <c r="J301" s="362"/>
      <c r="K301" s="351"/>
      <c r="L301" s="351"/>
      <c r="M301" s="351"/>
      <c r="N301" s="351"/>
      <c r="O301" s="351"/>
      <c r="P301" s="351"/>
      <c r="Q301" s="351"/>
      <c r="R301" s="351"/>
      <c r="S301" s="351"/>
      <c r="T301" s="351"/>
      <c r="U301" s="351"/>
      <c r="V301" s="351"/>
      <c r="W301" s="351"/>
      <c r="X301" s="351"/>
      <c r="Y301" s="351"/>
      <c r="Z301" s="351"/>
      <c r="AA301" s="351"/>
    </row>
    <row r="302" ht="14.25" customHeight="1">
      <c r="A302" s="365" t="s">
        <v>10416</v>
      </c>
      <c r="B302" s="108"/>
      <c r="C302" s="296" t="s">
        <v>10529</v>
      </c>
      <c r="D302" s="303" t="s">
        <v>271</v>
      </c>
      <c r="E302" s="371"/>
      <c r="F302" s="369" t="s">
        <v>10530</v>
      </c>
      <c r="G302" s="370" t="s">
        <v>10531</v>
      </c>
      <c r="H302" s="370" t="s">
        <v>10532</v>
      </c>
      <c r="I302" s="303" t="s">
        <v>36</v>
      </c>
      <c r="J302" s="362"/>
      <c r="K302" s="351"/>
      <c r="L302" s="351"/>
      <c r="M302" s="351"/>
      <c r="N302" s="351"/>
      <c r="O302" s="351"/>
      <c r="P302" s="351"/>
      <c r="Q302" s="351"/>
      <c r="R302" s="351"/>
      <c r="S302" s="351"/>
      <c r="T302" s="351"/>
      <c r="U302" s="351"/>
      <c r="V302" s="351"/>
      <c r="W302" s="351"/>
      <c r="X302" s="351"/>
      <c r="Y302" s="351"/>
      <c r="Z302" s="351"/>
      <c r="AA302" s="351"/>
    </row>
    <row r="303" ht="14.25" customHeight="1">
      <c r="A303" s="365" t="s">
        <v>10416</v>
      </c>
      <c r="B303" s="108"/>
      <c r="C303" s="296" t="s">
        <v>10533</v>
      </c>
      <c r="D303" s="303" t="s">
        <v>271</v>
      </c>
      <c r="E303" s="371"/>
      <c r="F303" s="369" t="s">
        <v>10534</v>
      </c>
      <c r="G303" s="370" t="s">
        <v>10535</v>
      </c>
      <c r="H303" s="370" t="s">
        <v>10536</v>
      </c>
      <c r="I303" s="303" t="s">
        <v>36</v>
      </c>
      <c r="J303" s="362"/>
      <c r="K303" s="351"/>
      <c r="L303" s="351"/>
      <c r="M303" s="351"/>
      <c r="N303" s="351"/>
      <c r="O303" s="351"/>
      <c r="P303" s="351"/>
      <c r="Q303" s="351"/>
      <c r="R303" s="351"/>
      <c r="S303" s="351"/>
      <c r="T303" s="351"/>
      <c r="U303" s="351"/>
      <c r="V303" s="351"/>
      <c r="W303" s="351"/>
      <c r="X303" s="351"/>
      <c r="Y303" s="351"/>
      <c r="Z303" s="351"/>
      <c r="AA303" s="351"/>
    </row>
    <row r="304" ht="14.25" customHeight="1">
      <c r="A304" s="365" t="s">
        <v>10416</v>
      </c>
      <c r="B304" s="108"/>
      <c r="C304" s="296" t="s">
        <v>10537</v>
      </c>
      <c r="D304" s="303" t="s">
        <v>271</v>
      </c>
      <c r="E304" s="371"/>
      <c r="F304" s="369" t="s">
        <v>10538</v>
      </c>
      <c r="G304" s="370" t="s">
        <v>10539</v>
      </c>
      <c r="H304" s="370" t="s">
        <v>10540</v>
      </c>
      <c r="I304" s="303" t="s">
        <v>36</v>
      </c>
      <c r="J304" s="362"/>
      <c r="K304" s="351"/>
      <c r="L304" s="351"/>
      <c r="M304" s="351"/>
      <c r="N304" s="351"/>
      <c r="O304" s="351"/>
      <c r="P304" s="351"/>
      <c r="Q304" s="351"/>
      <c r="R304" s="351"/>
      <c r="S304" s="351"/>
      <c r="T304" s="351"/>
      <c r="U304" s="351"/>
      <c r="V304" s="351"/>
      <c r="W304" s="351"/>
      <c r="X304" s="351"/>
      <c r="Y304" s="351"/>
      <c r="Z304" s="351"/>
      <c r="AA304" s="351"/>
    </row>
    <row r="305" ht="14.25" customHeight="1">
      <c r="A305" s="365" t="s">
        <v>10416</v>
      </c>
      <c r="B305" s="108"/>
      <c r="C305" s="296" t="s">
        <v>10541</v>
      </c>
      <c r="D305" s="303" t="s">
        <v>271</v>
      </c>
      <c r="E305" s="371"/>
      <c r="F305" s="369" t="s">
        <v>10542</v>
      </c>
      <c r="G305" s="370" t="s">
        <v>10543</v>
      </c>
      <c r="H305" s="370" t="s">
        <v>10544</v>
      </c>
      <c r="I305" s="303" t="s">
        <v>36</v>
      </c>
      <c r="J305" s="362"/>
      <c r="K305" s="351"/>
      <c r="L305" s="351"/>
      <c r="M305" s="351"/>
      <c r="N305" s="351"/>
      <c r="O305" s="351"/>
      <c r="P305" s="351"/>
      <c r="Q305" s="351"/>
      <c r="R305" s="351"/>
      <c r="S305" s="351"/>
      <c r="T305" s="351"/>
      <c r="U305" s="351"/>
      <c r="V305" s="351"/>
      <c r="W305" s="351"/>
      <c r="X305" s="351"/>
      <c r="Y305" s="351"/>
      <c r="Z305" s="351"/>
      <c r="AA305" s="351"/>
    </row>
    <row r="306" ht="14.25" customHeight="1">
      <c r="A306" s="365" t="s">
        <v>10416</v>
      </c>
      <c r="B306" s="108"/>
      <c r="C306" s="296" t="s">
        <v>10545</v>
      </c>
      <c r="D306" s="303" t="s">
        <v>271</v>
      </c>
      <c r="E306" s="371"/>
      <c r="F306" s="369" t="s">
        <v>10546</v>
      </c>
      <c r="G306" s="370" t="s">
        <v>10547</v>
      </c>
      <c r="H306" s="370" t="s">
        <v>10548</v>
      </c>
      <c r="I306" s="303" t="s">
        <v>36</v>
      </c>
      <c r="J306" s="362"/>
      <c r="K306" s="351"/>
      <c r="L306" s="351"/>
      <c r="M306" s="351"/>
      <c r="N306" s="351"/>
      <c r="O306" s="351"/>
      <c r="P306" s="351"/>
      <c r="Q306" s="351"/>
      <c r="R306" s="351"/>
      <c r="S306" s="351"/>
      <c r="T306" s="351"/>
      <c r="U306" s="351"/>
      <c r="V306" s="351"/>
      <c r="W306" s="351"/>
      <c r="X306" s="351"/>
      <c r="Y306" s="351"/>
      <c r="Z306" s="351"/>
      <c r="AA306" s="351"/>
    </row>
    <row r="307" ht="14.25" customHeight="1">
      <c r="A307" s="365" t="s">
        <v>10416</v>
      </c>
      <c r="B307" s="108"/>
      <c r="C307" s="296" t="s">
        <v>10549</v>
      </c>
      <c r="D307" s="303" t="s">
        <v>271</v>
      </c>
      <c r="E307" s="371"/>
      <c r="F307" s="369" t="s">
        <v>10550</v>
      </c>
      <c r="G307" s="370" t="s">
        <v>10551</v>
      </c>
      <c r="H307" s="370" t="s">
        <v>10552</v>
      </c>
      <c r="I307" s="303" t="s">
        <v>36</v>
      </c>
      <c r="J307" s="362"/>
      <c r="K307" s="351"/>
      <c r="L307" s="351"/>
      <c r="M307" s="351"/>
      <c r="N307" s="351"/>
      <c r="O307" s="351"/>
      <c r="P307" s="351"/>
      <c r="Q307" s="351"/>
      <c r="R307" s="351"/>
      <c r="S307" s="351"/>
      <c r="T307" s="351"/>
      <c r="U307" s="351"/>
      <c r="V307" s="351"/>
      <c r="W307" s="351"/>
      <c r="X307" s="351"/>
      <c r="Y307" s="351"/>
      <c r="Z307" s="351"/>
      <c r="AA307" s="351"/>
    </row>
    <row r="308" ht="14.25" customHeight="1">
      <c r="A308" s="365" t="s">
        <v>10416</v>
      </c>
      <c r="B308" s="108"/>
      <c r="C308" s="296" t="s">
        <v>10553</v>
      </c>
      <c r="D308" s="303" t="s">
        <v>271</v>
      </c>
      <c r="E308" s="371"/>
      <c r="F308" s="369" t="s">
        <v>10554</v>
      </c>
      <c r="G308" s="370" t="s">
        <v>10555</v>
      </c>
      <c r="H308" s="370" t="s">
        <v>10556</v>
      </c>
      <c r="I308" s="303" t="s">
        <v>36</v>
      </c>
      <c r="J308" s="362"/>
      <c r="K308" s="351"/>
      <c r="L308" s="351"/>
      <c r="M308" s="351"/>
      <c r="N308" s="351"/>
      <c r="O308" s="351"/>
      <c r="P308" s="351"/>
      <c r="Q308" s="351"/>
      <c r="R308" s="351"/>
      <c r="S308" s="351"/>
      <c r="T308" s="351"/>
      <c r="U308" s="351"/>
      <c r="V308" s="351"/>
      <c r="W308" s="351"/>
      <c r="X308" s="351"/>
      <c r="Y308" s="351"/>
      <c r="Z308" s="351"/>
      <c r="AA308" s="351"/>
    </row>
    <row r="309" ht="14.25" customHeight="1">
      <c r="A309" s="365" t="s">
        <v>10416</v>
      </c>
      <c r="B309" s="108"/>
      <c r="C309" s="296" t="s">
        <v>10557</v>
      </c>
      <c r="D309" s="303" t="s">
        <v>271</v>
      </c>
      <c r="E309" s="371"/>
      <c r="F309" s="369" t="s">
        <v>10558</v>
      </c>
      <c r="G309" s="370" t="s">
        <v>10559</v>
      </c>
      <c r="H309" s="370" t="s">
        <v>10560</v>
      </c>
      <c r="I309" s="303" t="s">
        <v>317</v>
      </c>
      <c r="J309" s="296" t="s">
        <v>10561</v>
      </c>
      <c r="K309" s="351"/>
      <c r="L309" s="351"/>
      <c r="M309" s="351"/>
      <c r="N309" s="351"/>
      <c r="O309" s="351"/>
      <c r="P309" s="351"/>
      <c r="Q309" s="351"/>
      <c r="R309" s="351"/>
      <c r="S309" s="351"/>
      <c r="T309" s="351"/>
      <c r="U309" s="351"/>
      <c r="V309" s="351"/>
      <c r="W309" s="351"/>
      <c r="X309" s="351"/>
      <c r="Y309" s="351"/>
      <c r="Z309" s="351"/>
      <c r="AA309" s="351"/>
    </row>
    <row r="310" ht="14.25" customHeight="1">
      <c r="A310" s="365" t="s">
        <v>10416</v>
      </c>
      <c r="B310" s="108"/>
      <c r="C310" s="296" t="s">
        <v>10562</v>
      </c>
      <c r="D310" s="303" t="s">
        <v>271</v>
      </c>
      <c r="E310" s="371"/>
      <c r="F310" s="369" t="s">
        <v>10563</v>
      </c>
      <c r="G310" s="370" t="s">
        <v>10564</v>
      </c>
      <c r="H310" s="370" t="s">
        <v>10565</v>
      </c>
      <c r="I310" s="303" t="s">
        <v>36</v>
      </c>
      <c r="J310" s="362"/>
      <c r="K310" s="351"/>
      <c r="L310" s="351"/>
      <c r="M310" s="351"/>
      <c r="N310" s="351"/>
      <c r="O310" s="351"/>
      <c r="P310" s="351"/>
      <c r="Q310" s="351"/>
      <c r="R310" s="351"/>
      <c r="S310" s="351"/>
      <c r="T310" s="351"/>
      <c r="U310" s="351"/>
      <c r="V310" s="351"/>
      <c r="W310" s="351"/>
      <c r="X310" s="351"/>
      <c r="Y310" s="351"/>
      <c r="Z310" s="351"/>
      <c r="AA310" s="351"/>
    </row>
    <row r="311" ht="14.25" customHeight="1">
      <c r="A311" s="365" t="s">
        <v>10416</v>
      </c>
      <c r="B311" s="109"/>
      <c r="C311" s="296" t="s">
        <v>10566</v>
      </c>
      <c r="D311" s="303" t="s">
        <v>271</v>
      </c>
      <c r="E311" s="371"/>
      <c r="F311" s="369" t="s">
        <v>10567</v>
      </c>
      <c r="G311" s="370" t="s">
        <v>10568</v>
      </c>
      <c r="H311" s="370" t="s">
        <v>10569</v>
      </c>
      <c r="I311" s="303" t="s">
        <v>36</v>
      </c>
      <c r="J311" s="362"/>
      <c r="K311" s="351"/>
      <c r="L311" s="351"/>
      <c r="M311" s="351"/>
      <c r="N311" s="351"/>
      <c r="O311" s="351"/>
      <c r="P311" s="351"/>
      <c r="Q311" s="351"/>
      <c r="R311" s="351"/>
      <c r="S311" s="351"/>
      <c r="T311" s="351"/>
      <c r="U311" s="351"/>
      <c r="V311" s="351"/>
      <c r="W311" s="351"/>
      <c r="X311" s="351"/>
      <c r="Y311" s="351"/>
      <c r="Z311" s="351"/>
      <c r="AA311" s="351"/>
    </row>
    <row r="312" ht="14.25" customHeight="1">
      <c r="A312" s="365" t="s">
        <v>10570</v>
      </c>
      <c r="B312" s="358" t="s">
        <v>10571</v>
      </c>
      <c r="C312" s="296" t="s">
        <v>9717</v>
      </c>
      <c r="D312" s="303" t="s">
        <v>271</v>
      </c>
      <c r="E312" s="258" t="s">
        <v>10572</v>
      </c>
      <c r="F312" s="367" t="s">
        <v>10573</v>
      </c>
      <c r="G312" s="367" t="s">
        <v>10574</v>
      </c>
      <c r="H312" s="367" t="s">
        <v>10575</v>
      </c>
      <c r="I312" s="303" t="s">
        <v>36</v>
      </c>
      <c r="J312" s="362"/>
      <c r="K312" s="351"/>
      <c r="L312" s="351"/>
      <c r="M312" s="351"/>
      <c r="N312" s="351"/>
      <c r="O312" s="351"/>
      <c r="P312" s="351"/>
      <c r="Q312" s="351"/>
      <c r="R312" s="351"/>
      <c r="S312" s="351"/>
      <c r="T312" s="351"/>
      <c r="U312" s="351"/>
      <c r="V312" s="351"/>
      <c r="W312" s="351"/>
      <c r="X312" s="351"/>
      <c r="Y312" s="351"/>
      <c r="Z312" s="351"/>
      <c r="AA312" s="351"/>
    </row>
    <row r="313" ht="14.25" customHeight="1">
      <c r="A313" s="365" t="s">
        <v>10570</v>
      </c>
      <c r="B313" s="108"/>
      <c r="C313" s="296" t="s">
        <v>9723</v>
      </c>
      <c r="D313" s="303" t="s">
        <v>271</v>
      </c>
      <c r="E313" s="378"/>
      <c r="F313" s="367" t="s">
        <v>10576</v>
      </c>
      <c r="G313" s="367" t="s">
        <v>10577</v>
      </c>
      <c r="H313" s="367" t="s">
        <v>10578</v>
      </c>
      <c r="I313" s="303" t="s">
        <v>36</v>
      </c>
      <c r="J313" s="362"/>
      <c r="K313" s="351"/>
      <c r="L313" s="351"/>
      <c r="M313" s="351"/>
      <c r="N313" s="351"/>
      <c r="O313" s="351"/>
      <c r="P313" s="351"/>
      <c r="Q313" s="351"/>
      <c r="R313" s="351"/>
      <c r="S313" s="351"/>
      <c r="T313" s="351"/>
      <c r="U313" s="351"/>
      <c r="V313" s="351"/>
      <c r="W313" s="351"/>
      <c r="X313" s="351"/>
      <c r="Y313" s="351"/>
      <c r="Z313" s="351"/>
      <c r="AA313" s="351"/>
    </row>
    <row r="314" ht="14.25" customHeight="1">
      <c r="A314" s="365" t="s">
        <v>10570</v>
      </c>
      <c r="B314" s="108"/>
      <c r="C314" s="296" t="s">
        <v>9727</v>
      </c>
      <c r="D314" s="303" t="s">
        <v>271</v>
      </c>
      <c r="E314" s="378"/>
      <c r="F314" s="370" t="s">
        <v>10579</v>
      </c>
      <c r="G314" s="370" t="s">
        <v>10580</v>
      </c>
      <c r="H314" s="370" t="s">
        <v>10581</v>
      </c>
      <c r="I314" s="303" t="s">
        <v>36</v>
      </c>
      <c r="J314" s="362"/>
      <c r="K314" s="351"/>
      <c r="L314" s="351"/>
      <c r="M314" s="351"/>
      <c r="N314" s="351"/>
      <c r="O314" s="351"/>
      <c r="P314" s="351"/>
      <c r="Q314" s="351"/>
      <c r="R314" s="351"/>
      <c r="S314" s="351"/>
      <c r="T314" s="351"/>
      <c r="U314" s="351"/>
      <c r="V314" s="351"/>
      <c r="W314" s="351"/>
      <c r="X314" s="351"/>
      <c r="Y314" s="351"/>
      <c r="Z314" s="351"/>
      <c r="AA314" s="351"/>
    </row>
    <row r="315" ht="14.25" customHeight="1">
      <c r="A315" s="365" t="s">
        <v>10570</v>
      </c>
      <c r="B315" s="108"/>
      <c r="C315" s="296" t="s">
        <v>9732</v>
      </c>
      <c r="D315" s="303" t="s">
        <v>271</v>
      </c>
      <c r="E315" s="378"/>
      <c r="F315" s="370" t="s">
        <v>10582</v>
      </c>
      <c r="G315" s="370" t="s">
        <v>10583</v>
      </c>
      <c r="H315" s="370" t="s">
        <v>10584</v>
      </c>
      <c r="I315" s="303" t="s">
        <v>36</v>
      </c>
      <c r="J315" s="362"/>
      <c r="K315" s="351"/>
      <c r="L315" s="351"/>
      <c r="M315" s="351"/>
      <c r="N315" s="351"/>
      <c r="O315" s="351"/>
      <c r="P315" s="351"/>
      <c r="Q315" s="351"/>
      <c r="R315" s="351"/>
      <c r="S315" s="351"/>
      <c r="T315" s="351"/>
      <c r="U315" s="351"/>
      <c r="V315" s="351"/>
      <c r="W315" s="351"/>
      <c r="X315" s="351"/>
      <c r="Y315" s="351"/>
      <c r="Z315" s="351"/>
      <c r="AA315" s="351"/>
    </row>
    <row r="316" ht="14.25" customHeight="1">
      <c r="A316" s="365" t="s">
        <v>10570</v>
      </c>
      <c r="B316" s="108"/>
      <c r="C316" s="296" t="s">
        <v>9736</v>
      </c>
      <c r="D316" s="303" t="s">
        <v>271</v>
      </c>
      <c r="E316" s="378"/>
      <c r="F316" s="370" t="s">
        <v>10585</v>
      </c>
      <c r="G316" s="370" t="s">
        <v>10586</v>
      </c>
      <c r="H316" s="370" t="s">
        <v>10587</v>
      </c>
      <c r="I316" s="303" t="s">
        <v>36</v>
      </c>
      <c r="J316" s="362"/>
      <c r="K316" s="351"/>
      <c r="L316" s="351"/>
      <c r="M316" s="351"/>
      <c r="N316" s="351"/>
      <c r="O316" s="351"/>
      <c r="P316" s="351"/>
      <c r="Q316" s="351"/>
      <c r="R316" s="351"/>
      <c r="S316" s="351"/>
      <c r="T316" s="351"/>
      <c r="U316" s="351"/>
      <c r="V316" s="351"/>
      <c r="W316" s="351"/>
      <c r="X316" s="351"/>
      <c r="Y316" s="351"/>
      <c r="Z316" s="351"/>
      <c r="AA316" s="351"/>
    </row>
    <row r="317" ht="14.25" customHeight="1">
      <c r="A317" s="365" t="s">
        <v>10570</v>
      </c>
      <c r="B317" s="108"/>
      <c r="C317" s="296" t="s">
        <v>9740</v>
      </c>
      <c r="D317" s="303" t="s">
        <v>271</v>
      </c>
      <c r="E317" s="378"/>
      <c r="F317" s="370" t="s">
        <v>10588</v>
      </c>
      <c r="G317" s="370" t="s">
        <v>10589</v>
      </c>
      <c r="H317" s="370" t="s">
        <v>10590</v>
      </c>
      <c r="I317" s="303" t="s">
        <v>36</v>
      </c>
      <c r="J317" s="362"/>
      <c r="K317" s="351"/>
      <c r="L317" s="351"/>
      <c r="M317" s="351"/>
      <c r="N317" s="351"/>
      <c r="O317" s="351"/>
      <c r="P317" s="351"/>
      <c r="Q317" s="351"/>
      <c r="R317" s="351"/>
      <c r="S317" s="351"/>
      <c r="T317" s="351"/>
      <c r="U317" s="351"/>
      <c r="V317" s="351"/>
      <c r="W317" s="351"/>
      <c r="X317" s="351"/>
      <c r="Y317" s="351"/>
      <c r="Z317" s="351"/>
      <c r="AA317" s="351"/>
    </row>
    <row r="318" ht="14.25" customHeight="1">
      <c r="A318" s="365" t="s">
        <v>10570</v>
      </c>
      <c r="B318" s="108"/>
      <c r="C318" s="296" t="s">
        <v>9744</v>
      </c>
      <c r="D318" s="303" t="s">
        <v>271</v>
      </c>
      <c r="E318" s="378"/>
      <c r="F318" s="370" t="s">
        <v>10591</v>
      </c>
      <c r="G318" s="370" t="s">
        <v>10592</v>
      </c>
      <c r="H318" s="370" t="s">
        <v>10590</v>
      </c>
      <c r="I318" s="303" t="s">
        <v>36</v>
      </c>
      <c r="J318" s="362"/>
      <c r="K318" s="351"/>
      <c r="L318" s="351"/>
      <c r="M318" s="351"/>
      <c r="N318" s="351"/>
      <c r="O318" s="351"/>
      <c r="P318" s="351"/>
      <c r="Q318" s="351"/>
      <c r="R318" s="351"/>
      <c r="S318" s="351"/>
      <c r="T318" s="351"/>
      <c r="U318" s="351"/>
      <c r="V318" s="351"/>
      <c r="W318" s="351"/>
      <c r="X318" s="351"/>
      <c r="Y318" s="351"/>
      <c r="Z318" s="351"/>
      <c r="AA318" s="351"/>
    </row>
    <row r="319" ht="14.25" customHeight="1">
      <c r="A319" s="365" t="s">
        <v>10570</v>
      </c>
      <c r="B319" s="108"/>
      <c r="C319" s="296" t="s">
        <v>9749</v>
      </c>
      <c r="D319" s="303" t="s">
        <v>271</v>
      </c>
      <c r="E319" s="378"/>
      <c r="F319" s="370" t="s">
        <v>10593</v>
      </c>
      <c r="G319" s="370" t="s">
        <v>10594</v>
      </c>
      <c r="H319" s="370" t="s">
        <v>10595</v>
      </c>
      <c r="I319" s="303" t="s">
        <v>317</v>
      </c>
      <c r="J319" s="296" t="s">
        <v>10596</v>
      </c>
      <c r="K319" s="351"/>
      <c r="L319" s="351"/>
      <c r="M319" s="351"/>
      <c r="N319" s="351"/>
      <c r="O319" s="351"/>
      <c r="P319" s="351"/>
      <c r="Q319" s="351"/>
      <c r="R319" s="351"/>
      <c r="S319" s="351"/>
      <c r="T319" s="351"/>
      <c r="U319" s="351"/>
      <c r="V319" s="351"/>
      <c r="W319" s="351"/>
      <c r="X319" s="351"/>
      <c r="Y319" s="351"/>
      <c r="Z319" s="351"/>
      <c r="AA319" s="351"/>
    </row>
    <row r="320" ht="14.25" customHeight="1">
      <c r="A320" s="365" t="s">
        <v>10570</v>
      </c>
      <c r="B320" s="108"/>
      <c r="C320" s="296" t="s">
        <v>9754</v>
      </c>
      <c r="D320" s="303" t="s">
        <v>271</v>
      </c>
      <c r="E320" s="378"/>
      <c r="F320" s="370" t="s">
        <v>10597</v>
      </c>
      <c r="G320" s="370" t="s">
        <v>10598</v>
      </c>
      <c r="H320" s="370" t="s">
        <v>10599</v>
      </c>
      <c r="I320" s="303" t="s">
        <v>36</v>
      </c>
      <c r="J320" s="362"/>
      <c r="K320" s="351"/>
      <c r="L320" s="351"/>
      <c r="M320" s="351"/>
      <c r="N320" s="351"/>
      <c r="O320" s="351"/>
      <c r="P320" s="351"/>
      <c r="Q320" s="351"/>
      <c r="R320" s="351"/>
      <c r="S320" s="351"/>
      <c r="T320" s="351"/>
      <c r="U320" s="351"/>
      <c r="V320" s="351"/>
      <c r="W320" s="351"/>
      <c r="X320" s="351"/>
      <c r="Y320" s="351"/>
      <c r="Z320" s="351"/>
      <c r="AA320" s="351"/>
    </row>
    <row r="321" ht="14.25" customHeight="1">
      <c r="A321" s="365" t="s">
        <v>10570</v>
      </c>
      <c r="B321" s="108"/>
      <c r="C321" s="296" t="s">
        <v>9759</v>
      </c>
      <c r="D321" s="303" t="s">
        <v>271</v>
      </c>
      <c r="E321" s="378"/>
      <c r="F321" s="370" t="s">
        <v>10600</v>
      </c>
      <c r="G321" s="370" t="s">
        <v>10601</v>
      </c>
      <c r="H321" s="370" t="s">
        <v>10602</v>
      </c>
      <c r="I321" s="303" t="s">
        <v>36</v>
      </c>
      <c r="J321" s="362"/>
      <c r="K321" s="351"/>
      <c r="L321" s="351"/>
      <c r="M321" s="351"/>
      <c r="N321" s="351"/>
      <c r="O321" s="351"/>
      <c r="P321" s="351"/>
      <c r="Q321" s="351"/>
      <c r="R321" s="351"/>
      <c r="S321" s="351"/>
      <c r="T321" s="351"/>
      <c r="U321" s="351"/>
      <c r="V321" s="351"/>
      <c r="W321" s="351"/>
      <c r="X321" s="351"/>
      <c r="Y321" s="351"/>
      <c r="Z321" s="351"/>
      <c r="AA321" s="351"/>
    </row>
    <row r="322" ht="14.25" customHeight="1">
      <c r="A322" s="365" t="s">
        <v>10570</v>
      </c>
      <c r="B322" s="108"/>
      <c r="C322" s="296" t="s">
        <v>9763</v>
      </c>
      <c r="D322" s="303" t="s">
        <v>271</v>
      </c>
      <c r="E322" s="369" t="s">
        <v>10603</v>
      </c>
      <c r="F322" s="367" t="s">
        <v>10604</v>
      </c>
      <c r="G322" s="367" t="s">
        <v>10605</v>
      </c>
      <c r="H322" s="367" t="s">
        <v>10606</v>
      </c>
      <c r="I322" s="303" t="s">
        <v>36</v>
      </c>
      <c r="J322" s="362"/>
      <c r="K322" s="351"/>
      <c r="L322" s="351"/>
      <c r="M322" s="351"/>
      <c r="N322" s="351"/>
      <c r="O322" s="351"/>
      <c r="P322" s="351"/>
      <c r="Q322" s="351"/>
      <c r="R322" s="351"/>
      <c r="S322" s="351"/>
      <c r="T322" s="351"/>
      <c r="U322" s="351"/>
      <c r="V322" s="351"/>
      <c r="W322" s="351"/>
      <c r="X322" s="351"/>
      <c r="Y322" s="351"/>
      <c r="Z322" s="351"/>
      <c r="AA322" s="351"/>
    </row>
    <row r="323" ht="14.25" customHeight="1">
      <c r="A323" s="365" t="s">
        <v>10570</v>
      </c>
      <c r="B323" s="108"/>
      <c r="C323" s="296" t="s">
        <v>9767</v>
      </c>
      <c r="D323" s="303" t="s">
        <v>271</v>
      </c>
      <c r="E323" s="369"/>
      <c r="F323" s="367" t="s">
        <v>10607</v>
      </c>
      <c r="G323" s="367" t="s">
        <v>10608</v>
      </c>
      <c r="H323" s="367" t="s">
        <v>10578</v>
      </c>
      <c r="I323" s="303" t="s">
        <v>36</v>
      </c>
      <c r="J323" s="362"/>
      <c r="K323" s="351"/>
      <c r="L323" s="351"/>
      <c r="M323" s="351"/>
      <c r="N323" s="351"/>
      <c r="O323" s="351"/>
      <c r="P323" s="351"/>
      <c r="Q323" s="351"/>
      <c r="R323" s="351"/>
      <c r="S323" s="351"/>
      <c r="T323" s="351"/>
      <c r="U323" s="351"/>
      <c r="V323" s="351"/>
      <c r="W323" s="351"/>
      <c r="X323" s="351"/>
      <c r="Y323" s="351"/>
      <c r="Z323" s="351"/>
      <c r="AA323" s="351"/>
    </row>
    <row r="324" ht="14.25" customHeight="1">
      <c r="A324" s="365" t="s">
        <v>10570</v>
      </c>
      <c r="B324" s="108"/>
      <c r="C324" s="296" t="s">
        <v>9772</v>
      </c>
      <c r="D324" s="303" t="s">
        <v>271</v>
      </c>
      <c r="E324" s="369"/>
      <c r="F324" s="370" t="s">
        <v>10609</v>
      </c>
      <c r="G324" s="370" t="s">
        <v>10610</v>
      </c>
      <c r="H324" s="370" t="s">
        <v>10611</v>
      </c>
      <c r="I324" s="303" t="s">
        <v>36</v>
      </c>
      <c r="J324" s="362"/>
      <c r="K324" s="351"/>
      <c r="L324" s="351"/>
      <c r="M324" s="351"/>
      <c r="N324" s="351"/>
      <c r="O324" s="351"/>
      <c r="P324" s="351"/>
      <c r="Q324" s="351"/>
      <c r="R324" s="351"/>
      <c r="S324" s="351"/>
      <c r="T324" s="351"/>
      <c r="U324" s="351"/>
      <c r="V324" s="351"/>
      <c r="W324" s="351"/>
      <c r="X324" s="351"/>
      <c r="Y324" s="351"/>
      <c r="Z324" s="351"/>
      <c r="AA324" s="351"/>
    </row>
    <row r="325" ht="14.25" customHeight="1">
      <c r="A325" s="365" t="s">
        <v>10570</v>
      </c>
      <c r="B325" s="108"/>
      <c r="C325" s="296" t="s">
        <v>10339</v>
      </c>
      <c r="D325" s="303" t="s">
        <v>271</v>
      </c>
      <c r="E325" s="369"/>
      <c r="F325" s="370" t="s">
        <v>10612</v>
      </c>
      <c r="G325" s="370" t="s">
        <v>10613</v>
      </c>
      <c r="H325" s="370" t="s">
        <v>10584</v>
      </c>
      <c r="I325" s="303" t="s">
        <v>36</v>
      </c>
      <c r="J325" s="362"/>
      <c r="K325" s="351"/>
      <c r="L325" s="351"/>
      <c r="M325" s="351"/>
      <c r="N325" s="351"/>
      <c r="O325" s="351"/>
      <c r="P325" s="351"/>
      <c r="Q325" s="351"/>
      <c r="R325" s="351"/>
      <c r="S325" s="351"/>
      <c r="T325" s="351"/>
      <c r="U325" s="351"/>
      <c r="V325" s="351"/>
      <c r="W325" s="351"/>
      <c r="X325" s="351"/>
      <c r="Y325" s="351"/>
      <c r="Z325" s="351"/>
      <c r="AA325" s="351"/>
    </row>
    <row r="326" ht="14.25" customHeight="1">
      <c r="A326" s="365" t="s">
        <v>10570</v>
      </c>
      <c r="B326" s="108"/>
      <c r="C326" s="296" t="s">
        <v>10343</v>
      </c>
      <c r="D326" s="303" t="s">
        <v>271</v>
      </c>
      <c r="E326" s="369"/>
      <c r="F326" s="370" t="s">
        <v>10614</v>
      </c>
      <c r="G326" s="370" t="s">
        <v>10615</v>
      </c>
      <c r="H326" s="370" t="s">
        <v>10616</v>
      </c>
      <c r="I326" s="303" t="s">
        <v>36</v>
      </c>
      <c r="J326" s="362"/>
      <c r="K326" s="351"/>
      <c r="L326" s="351"/>
      <c r="M326" s="351"/>
      <c r="N326" s="351"/>
      <c r="O326" s="351"/>
      <c r="P326" s="351"/>
      <c r="Q326" s="351"/>
      <c r="R326" s="351"/>
      <c r="S326" s="351"/>
      <c r="T326" s="351"/>
      <c r="U326" s="351"/>
      <c r="V326" s="351"/>
      <c r="W326" s="351"/>
      <c r="X326" s="351"/>
      <c r="Y326" s="351"/>
      <c r="Z326" s="351"/>
      <c r="AA326" s="351"/>
    </row>
    <row r="327" ht="14.25" customHeight="1">
      <c r="A327" s="365" t="s">
        <v>10570</v>
      </c>
      <c r="B327" s="108"/>
      <c r="C327" s="296" t="s">
        <v>10347</v>
      </c>
      <c r="D327" s="303" t="s">
        <v>271</v>
      </c>
      <c r="E327" s="369"/>
      <c r="F327" s="370" t="s">
        <v>10617</v>
      </c>
      <c r="G327" s="370" t="s">
        <v>10618</v>
      </c>
      <c r="H327" s="370" t="s">
        <v>10619</v>
      </c>
      <c r="I327" s="303" t="s">
        <v>36</v>
      </c>
      <c r="J327" s="362"/>
      <c r="K327" s="351"/>
      <c r="L327" s="351"/>
      <c r="M327" s="351"/>
      <c r="N327" s="351"/>
      <c r="O327" s="351"/>
      <c r="P327" s="351"/>
      <c r="Q327" s="351"/>
      <c r="R327" s="351"/>
      <c r="S327" s="351"/>
      <c r="T327" s="351"/>
      <c r="U327" s="351"/>
      <c r="V327" s="351"/>
      <c r="W327" s="351"/>
      <c r="X327" s="351"/>
      <c r="Y327" s="351"/>
      <c r="Z327" s="351"/>
      <c r="AA327" s="351"/>
    </row>
    <row r="328" ht="14.25" customHeight="1">
      <c r="A328" s="365" t="s">
        <v>10570</v>
      </c>
      <c r="B328" s="108"/>
      <c r="C328" s="296" t="s">
        <v>10351</v>
      </c>
      <c r="D328" s="303" t="s">
        <v>271</v>
      </c>
      <c r="E328" s="369"/>
      <c r="F328" s="370" t="s">
        <v>10620</v>
      </c>
      <c r="G328" s="370" t="s">
        <v>10621</v>
      </c>
      <c r="H328" s="370" t="s">
        <v>10622</v>
      </c>
      <c r="I328" s="303" t="s">
        <v>36</v>
      </c>
      <c r="J328" s="362"/>
      <c r="K328" s="351"/>
      <c r="L328" s="351"/>
      <c r="M328" s="351"/>
      <c r="N328" s="351"/>
      <c r="O328" s="351"/>
      <c r="P328" s="351"/>
      <c r="Q328" s="351"/>
      <c r="R328" s="351"/>
      <c r="S328" s="351"/>
      <c r="T328" s="351"/>
      <c r="U328" s="351"/>
      <c r="V328" s="351"/>
      <c r="W328" s="351"/>
      <c r="X328" s="351"/>
      <c r="Y328" s="351"/>
      <c r="Z328" s="351"/>
      <c r="AA328" s="351"/>
    </row>
    <row r="329" ht="14.25" customHeight="1">
      <c r="A329" s="365" t="s">
        <v>10570</v>
      </c>
      <c r="B329" s="108"/>
      <c r="C329" s="296" t="s">
        <v>10355</v>
      </c>
      <c r="D329" s="303" t="s">
        <v>271</v>
      </c>
      <c r="E329" s="369"/>
      <c r="F329" s="370" t="s">
        <v>10623</v>
      </c>
      <c r="G329" s="370" t="s">
        <v>10624</v>
      </c>
      <c r="H329" s="370" t="s">
        <v>10625</v>
      </c>
      <c r="I329" s="303" t="s">
        <v>317</v>
      </c>
      <c r="J329" s="296" t="s">
        <v>10626</v>
      </c>
      <c r="K329" s="351"/>
      <c r="L329" s="351"/>
      <c r="M329" s="351"/>
      <c r="N329" s="351"/>
      <c r="O329" s="351"/>
      <c r="P329" s="351"/>
      <c r="Q329" s="351"/>
      <c r="R329" s="351"/>
      <c r="S329" s="351"/>
      <c r="T329" s="351"/>
      <c r="U329" s="351"/>
      <c r="V329" s="351"/>
      <c r="W329" s="351"/>
      <c r="X329" s="351"/>
      <c r="Y329" s="351"/>
      <c r="Z329" s="351"/>
      <c r="AA329" s="351"/>
    </row>
    <row r="330" ht="14.25" customHeight="1">
      <c r="A330" s="365" t="s">
        <v>10570</v>
      </c>
      <c r="B330" s="108"/>
      <c r="C330" s="296" t="s">
        <v>10358</v>
      </c>
      <c r="D330" s="303" t="s">
        <v>271</v>
      </c>
      <c r="E330" s="369"/>
      <c r="F330" s="370" t="s">
        <v>10627</v>
      </c>
      <c r="G330" s="370" t="s">
        <v>10628</v>
      </c>
      <c r="H330" s="370" t="s">
        <v>10629</v>
      </c>
      <c r="I330" s="303" t="s">
        <v>36</v>
      </c>
      <c r="J330" s="362"/>
      <c r="K330" s="351"/>
      <c r="L330" s="351"/>
      <c r="M330" s="351"/>
      <c r="N330" s="351"/>
      <c r="O330" s="351"/>
      <c r="P330" s="351"/>
      <c r="Q330" s="351"/>
      <c r="R330" s="351"/>
      <c r="S330" s="351"/>
      <c r="T330" s="351"/>
      <c r="U330" s="351"/>
      <c r="V330" s="351"/>
      <c r="W330" s="351"/>
      <c r="X330" s="351"/>
      <c r="Y330" s="351"/>
      <c r="Z330" s="351"/>
      <c r="AA330" s="351"/>
    </row>
    <row r="331" ht="14.25" customHeight="1">
      <c r="A331" s="365" t="s">
        <v>10570</v>
      </c>
      <c r="B331" s="108"/>
      <c r="C331" s="296" t="s">
        <v>10362</v>
      </c>
      <c r="D331" s="303" t="s">
        <v>271</v>
      </c>
      <c r="E331" s="369"/>
      <c r="F331" s="370" t="s">
        <v>10630</v>
      </c>
      <c r="G331" s="370" t="s">
        <v>10631</v>
      </c>
      <c r="H331" s="370" t="s">
        <v>10632</v>
      </c>
      <c r="I331" s="303" t="s">
        <v>36</v>
      </c>
      <c r="J331" s="362"/>
      <c r="K331" s="351"/>
      <c r="L331" s="351"/>
      <c r="M331" s="351"/>
      <c r="N331" s="351"/>
      <c r="O331" s="351"/>
      <c r="P331" s="351"/>
      <c r="Q331" s="351"/>
      <c r="R331" s="351"/>
      <c r="S331" s="351"/>
      <c r="T331" s="351"/>
      <c r="U331" s="351"/>
      <c r="V331" s="351"/>
      <c r="W331" s="351"/>
      <c r="X331" s="351"/>
      <c r="Y331" s="351"/>
      <c r="Z331" s="351"/>
      <c r="AA331" s="351"/>
    </row>
    <row r="332" ht="14.25" customHeight="1">
      <c r="A332" s="365" t="s">
        <v>10570</v>
      </c>
      <c r="B332" s="108"/>
      <c r="C332" s="296" t="s">
        <v>10365</v>
      </c>
      <c r="D332" s="303" t="s">
        <v>271</v>
      </c>
      <c r="E332" s="369" t="s">
        <v>10633</v>
      </c>
      <c r="F332" s="367" t="s">
        <v>10634</v>
      </c>
      <c r="G332" s="367" t="s">
        <v>10635</v>
      </c>
      <c r="H332" s="367" t="s">
        <v>10636</v>
      </c>
      <c r="I332" s="379" t="s">
        <v>36</v>
      </c>
      <c r="J332" s="362"/>
      <c r="K332" s="351"/>
      <c r="L332" s="351"/>
      <c r="M332" s="351"/>
      <c r="N332" s="351"/>
      <c r="O332" s="351"/>
      <c r="P332" s="351"/>
      <c r="Q332" s="351"/>
      <c r="R332" s="351"/>
      <c r="S332" s="351"/>
      <c r="T332" s="351"/>
      <c r="U332" s="351"/>
      <c r="V332" s="351"/>
      <c r="W332" s="351"/>
      <c r="X332" s="351"/>
      <c r="Y332" s="351"/>
      <c r="Z332" s="351"/>
      <c r="AA332" s="351"/>
    </row>
    <row r="333" ht="14.25" customHeight="1">
      <c r="A333" s="365" t="s">
        <v>10570</v>
      </c>
      <c r="B333" s="108"/>
      <c r="C333" s="296" t="s">
        <v>10369</v>
      </c>
      <c r="D333" s="303" t="s">
        <v>271</v>
      </c>
      <c r="E333" s="378"/>
      <c r="F333" s="367" t="s">
        <v>10637</v>
      </c>
      <c r="G333" s="370" t="s">
        <v>10638</v>
      </c>
      <c r="H333" s="370" t="s">
        <v>10639</v>
      </c>
      <c r="I333" s="303" t="s">
        <v>36</v>
      </c>
      <c r="J333" s="362"/>
      <c r="K333" s="351"/>
      <c r="L333" s="351"/>
      <c r="M333" s="351"/>
      <c r="N333" s="351"/>
      <c r="O333" s="351"/>
      <c r="P333" s="351"/>
      <c r="Q333" s="351"/>
      <c r="R333" s="351"/>
      <c r="S333" s="351"/>
      <c r="T333" s="351"/>
      <c r="U333" s="351"/>
      <c r="V333" s="351"/>
      <c r="W333" s="351"/>
      <c r="X333" s="351"/>
      <c r="Y333" s="351"/>
      <c r="Z333" s="351"/>
      <c r="AA333" s="351"/>
    </row>
    <row r="334" ht="14.25" customHeight="1">
      <c r="A334" s="365" t="s">
        <v>10570</v>
      </c>
      <c r="B334" s="108"/>
      <c r="C334" s="296" t="s">
        <v>10373</v>
      </c>
      <c r="D334" s="303" t="s">
        <v>271</v>
      </c>
      <c r="E334" s="378"/>
      <c r="F334" s="370" t="s">
        <v>10640</v>
      </c>
      <c r="G334" s="370" t="s">
        <v>10610</v>
      </c>
      <c r="H334" s="370" t="s">
        <v>10641</v>
      </c>
      <c r="I334" s="303" t="s">
        <v>36</v>
      </c>
      <c r="J334" s="362"/>
      <c r="K334" s="351"/>
      <c r="L334" s="351"/>
      <c r="M334" s="351"/>
      <c r="N334" s="351"/>
      <c r="O334" s="351"/>
      <c r="P334" s="351"/>
      <c r="Q334" s="351"/>
      <c r="R334" s="351"/>
      <c r="S334" s="351"/>
      <c r="T334" s="351"/>
      <c r="U334" s="351"/>
      <c r="V334" s="351"/>
      <c r="W334" s="351"/>
      <c r="X334" s="351"/>
      <c r="Y334" s="351"/>
      <c r="Z334" s="351"/>
      <c r="AA334" s="351"/>
    </row>
    <row r="335" ht="14.25" customHeight="1">
      <c r="A335" s="365" t="s">
        <v>10570</v>
      </c>
      <c r="B335" s="108"/>
      <c r="C335" s="296" t="s">
        <v>10376</v>
      </c>
      <c r="D335" s="303" t="s">
        <v>271</v>
      </c>
      <c r="E335" s="378"/>
      <c r="F335" s="370" t="s">
        <v>10642</v>
      </c>
      <c r="G335" s="370" t="s">
        <v>10613</v>
      </c>
      <c r="H335" s="370" t="s">
        <v>10584</v>
      </c>
      <c r="I335" s="303" t="s">
        <v>36</v>
      </c>
      <c r="J335" s="362"/>
      <c r="K335" s="351"/>
      <c r="L335" s="351"/>
      <c r="M335" s="351"/>
      <c r="N335" s="351"/>
      <c r="O335" s="351"/>
      <c r="P335" s="351"/>
      <c r="Q335" s="351"/>
      <c r="R335" s="351"/>
      <c r="S335" s="351"/>
      <c r="T335" s="351"/>
      <c r="U335" s="351"/>
      <c r="V335" s="351"/>
      <c r="W335" s="351"/>
      <c r="X335" s="351"/>
      <c r="Y335" s="351"/>
      <c r="Z335" s="351"/>
      <c r="AA335" s="351"/>
    </row>
    <row r="336" ht="14.25" customHeight="1">
      <c r="A336" s="365" t="s">
        <v>10570</v>
      </c>
      <c r="B336" s="108"/>
      <c r="C336" s="296" t="s">
        <v>10380</v>
      </c>
      <c r="D336" s="303" t="s">
        <v>271</v>
      </c>
      <c r="E336" s="378"/>
      <c r="F336" s="370" t="s">
        <v>10643</v>
      </c>
      <c r="G336" s="370" t="s">
        <v>10644</v>
      </c>
      <c r="H336" s="370" t="s">
        <v>10645</v>
      </c>
      <c r="I336" s="303" t="s">
        <v>36</v>
      </c>
      <c r="J336" s="362"/>
      <c r="K336" s="351"/>
      <c r="L336" s="351"/>
      <c r="M336" s="351"/>
      <c r="N336" s="351"/>
      <c r="O336" s="351"/>
      <c r="P336" s="351"/>
      <c r="Q336" s="351"/>
      <c r="R336" s="351"/>
      <c r="S336" s="351"/>
      <c r="T336" s="351"/>
      <c r="U336" s="351"/>
      <c r="V336" s="351"/>
      <c r="W336" s="351"/>
      <c r="X336" s="351"/>
      <c r="Y336" s="351"/>
      <c r="Z336" s="351"/>
      <c r="AA336" s="351"/>
    </row>
    <row r="337" ht="14.25" customHeight="1">
      <c r="A337" s="365" t="s">
        <v>10570</v>
      </c>
      <c r="B337" s="108"/>
      <c r="C337" s="296" t="s">
        <v>10384</v>
      </c>
      <c r="D337" s="303" t="s">
        <v>271</v>
      </c>
      <c r="E337" s="378"/>
      <c r="F337" s="370" t="s">
        <v>10646</v>
      </c>
      <c r="G337" s="370" t="s">
        <v>10647</v>
      </c>
      <c r="H337" s="370" t="s">
        <v>10648</v>
      </c>
      <c r="I337" s="303" t="s">
        <v>36</v>
      </c>
      <c r="J337" s="362"/>
      <c r="K337" s="351"/>
      <c r="L337" s="351"/>
      <c r="M337" s="351"/>
      <c r="N337" s="351"/>
      <c r="O337" s="351"/>
      <c r="P337" s="351"/>
      <c r="Q337" s="351"/>
      <c r="R337" s="351"/>
      <c r="S337" s="351"/>
      <c r="T337" s="351"/>
      <c r="U337" s="351"/>
      <c r="V337" s="351"/>
      <c r="W337" s="351"/>
      <c r="X337" s="351"/>
      <c r="Y337" s="351"/>
      <c r="Z337" s="351"/>
      <c r="AA337" s="351"/>
    </row>
    <row r="338" ht="14.25" customHeight="1">
      <c r="A338" s="365" t="s">
        <v>10570</v>
      </c>
      <c r="B338" s="108"/>
      <c r="C338" s="296" t="s">
        <v>10388</v>
      </c>
      <c r="D338" s="303" t="s">
        <v>271</v>
      </c>
      <c r="E338" s="378"/>
      <c r="F338" s="370" t="s">
        <v>10649</v>
      </c>
      <c r="G338" s="370" t="s">
        <v>10650</v>
      </c>
      <c r="H338" s="370" t="s">
        <v>10651</v>
      </c>
      <c r="I338" s="303" t="s">
        <v>36</v>
      </c>
      <c r="J338" s="362"/>
      <c r="K338" s="351"/>
      <c r="L338" s="351"/>
      <c r="M338" s="351"/>
      <c r="N338" s="351"/>
      <c r="O338" s="351"/>
      <c r="P338" s="351"/>
      <c r="Q338" s="351"/>
      <c r="R338" s="351"/>
      <c r="S338" s="351"/>
      <c r="T338" s="351"/>
      <c r="U338" s="351"/>
      <c r="V338" s="351"/>
      <c r="W338" s="351"/>
      <c r="X338" s="351"/>
      <c r="Y338" s="351"/>
      <c r="Z338" s="351"/>
      <c r="AA338" s="351"/>
    </row>
    <row r="339" ht="14.25" customHeight="1">
      <c r="A339" s="365" t="s">
        <v>10570</v>
      </c>
      <c r="B339" s="108"/>
      <c r="C339" s="296" t="s">
        <v>10392</v>
      </c>
      <c r="D339" s="303" t="s">
        <v>271</v>
      </c>
      <c r="E339" s="378"/>
      <c r="F339" s="370" t="s">
        <v>10652</v>
      </c>
      <c r="G339" s="370" t="s">
        <v>10653</v>
      </c>
      <c r="H339" s="370" t="s">
        <v>10654</v>
      </c>
      <c r="I339" s="303" t="s">
        <v>36</v>
      </c>
      <c r="J339" s="362"/>
      <c r="K339" s="351"/>
      <c r="L339" s="351"/>
      <c r="M339" s="351"/>
      <c r="N339" s="351"/>
      <c r="O339" s="351"/>
      <c r="P339" s="351"/>
      <c r="Q339" s="351"/>
      <c r="R339" s="351"/>
      <c r="S339" s="351"/>
      <c r="T339" s="351"/>
      <c r="U339" s="351"/>
      <c r="V339" s="351"/>
      <c r="W339" s="351"/>
      <c r="X339" s="351"/>
      <c r="Y339" s="351"/>
      <c r="Z339" s="351"/>
      <c r="AA339" s="351"/>
    </row>
    <row r="340" ht="14.25" customHeight="1">
      <c r="A340" s="365" t="s">
        <v>10570</v>
      </c>
      <c r="B340" s="108"/>
      <c r="C340" s="296" t="s">
        <v>10396</v>
      </c>
      <c r="D340" s="303" t="s">
        <v>271</v>
      </c>
      <c r="E340" s="378"/>
      <c r="F340" s="370" t="s">
        <v>10655</v>
      </c>
      <c r="G340" s="370" t="s">
        <v>10624</v>
      </c>
      <c r="H340" s="370" t="s">
        <v>10656</v>
      </c>
      <c r="I340" s="303" t="s">
        <v>317</v>
      </c>
      <c r="J340" s="296" t="s">
        <v>10626</v>
      </c>
      <c r="K340" s="351"/>
      <c r="L340" s="351"/>
      <c r="M340" s="351"/>
      <c r="N340" s="351"/>
      <c r="O340" s="351"/>
      <c r="P340" s="351"/>
      <c r="Q340" s="351"/>
      <c r="R340" s="351"/>
      <c r="S340" s="351"/>
      <c r="T340" s="351"/>
      <c r="U340" s="351"/>
      <c r="V340" s="351"/>
      <c r="W340" s="351"/>
      <c r="X340" s="351"/>
      <c r="Y340" s="351"/>
      <c r="Z340" s="351"/>
      <c r="AA340" s="351"/>
    </row>
    <row r="341" ht="14.25" customHeight="1">
      <c r="A341" s="365" t="s">
        <v>10570</v>
      </c>
      <c r="B341" s="108"/>
      <c r="C341" s="296" t="s">
        <v>10399</v>
      </c>
      <c r="D341" s="303" t="s">
        <v>271</v>
      </c>
      <c r="E341" s="378"/>
      <c r="F341" s="370" t="s">
        <v>10657</v>
      </c>
      <c r="G341" s="370" t="s">
        <v>10658</v>
      </c>
      <c r="H341" s="370" t="s">
        <v>10659</v>
      </c>
      <c r="I341" s="303" t="s">
        <v>36</v>
      </c>
      <c r="J341" s="362"/>
      <c r="K341" s="351"/>
      <c r="L341" s="351"/>
      <c r="M341" s="351"/>
      <c r="N341" s="351"/>
      <c r="O341" s="351"/>
      <c r="P341" s="351"/>
      <c r="Q341" s="351"/>
      <c r="R341" s="351"/>
      <c r="S341" s="351"/>
      <c r="T341" s="351"/>
      <c r="U341" s="351"/>
      <c r="V341" s="351"/>
      <c r="W341" s="351"/>
      <c r="X341" s="351"/>
      <c r="Y341" s="351"/>
      <c r="Z341" s="351"/>
      <c r="AA341" s="351"/>
    </row>
    <row r="342" ht="14.25" customHeight="1">
      <c r="A342" s="365" t="s">
        <v>10570</v>
      </c>
      <c r="B342" s="108"/>
      <c r="C342" s="296" t="s">
        <v>10403</v>
      </c>
      <c r="D342" s="303" t="s">
        <v>271</v>
      </c>
      <c r="E342" s="378"/>
      <c r="F342" s="370" t="s">
        <v>10660</v>
      </c>
      <c r="G342" s="370" t="s">
        <v>10661</v>
      </c>
      <c r="H342" s="370" t="s">
        <v>10662</v>
      </c>
      <c r="I342" s="303" t="s">
        <v>36</v>
      </c>
      <c r="J342" s="362"/>
      <c r="K342" s="351"/>
      <c r="L342" s="351"/>
      <c r="M342" s="351"/>
      <c r="N342" s="351"/>
      <c r="O342" s="351"/>
      <c r="P342" s="351"/>
      <c r="Q342" s="351"/>
      <c r="R342" s="351"/>
      <c r="S342" s="351"/>
      <c r="T342" s="351"/>
      <c r="U342" s="351"/>
      <c r="V342" s="351"/>
      <c r="W342" s="351"/>
      <c r="X342" s="351"/>
      <c r="Y342" s="351"/>
      <c r="Z342" s="351"/>
      <c r="AA342" s="351"/>
    </row>
    <row r="343" ht="14.25" customHeight="1">
      <c r="A343" s="365" t="s">
        <v>10570</v>
      </c>
      <c r="B343" s="108"/>
      <c r="C343" s="296" t="s">
        <v>10406</v>
      </c>
      <c r="D343" s="303" t="s">
        <v>271</v>
      </c>
      <c r="E343" s="378"/>
      <c r="F343" s="370" t="s">
        <v>10663</v>
      </c>
      <c r="G343" s="370" t="s">
        <v>10664</v>
      </c>
      <c r="H343" s="370" t="s">
        <v>10665</v>
      </c>
      <c r="I343" s="303" t="s">
        <v>36</v>
      </c>
      <c r="J343" s="362"/>
      <c r="K343" s="351"/>
      <c r="L343" s="351"/>
      <c r="M343" s="351"/>
      <c r="N343" s="351"/>
      <c r="O343" s="351"/>
      <c r="P343" s="351"/>
      <c r="Q343" s="351"/>
      <c r="R343" s="351"/>
      <c r="S343" s="351"/>
      <c r="T343" s="351"/>
      <c r="U343" s="351"/>
      <c r="V343" s="351"/>
      <c r="W343" s="351"/>
      <c r="X343" s="351"/>
      <c r="Y343" s="351"/>
      <c r="Z343" s="351"/>
      <c r="AA343" s="351"/>
    </row>
    <row r="344" ht="14.25" customHeight="1">
      <c r="A344" s="365" t="s">
        <v>10570</v>
      </c>
      <c r="B344" s="108"/>
      <c r="C344" s="296" t="s">
        <v>10409</v>
      </c>
      <c r="D344" s="303" t="s">
        <v>271</v>
      </c>
      <c r="E344" s="378"/>
      <c r="F344" s="370" t="s">
        <v>10666</v>
      </c>
      <c r="G344" s="370" t="s">
        <v>10667</v>
      </c>
      <c r="H344" s="370" t="s">
        <v>10668</v>
      </c>
      <c r="I344" s="303" t="s">
        <v>36</v>
      </c>
      <c r="J344" s="362"/>
      <c r="K344" s="351"/>
      <c r="L344" s="351"/>
      <c r="M344" s="351"/>
      <c r="N344" s="351"/>
      <c r="O344" s="351"/>
      <c r="P344" s="351"/>
      <c r="Q344" s="351"/>
      <c r="R344" s="351"/>
      <c r="S344" s="351"/>
      <c r="T344" s="351"/>
      <c r="U344" s="351"/>
      <c r="V344" s="351"/>
      <c r="W344" s="351"/>
      <c r="X344" s="351"/>
      <c r="Y344" s="351"/>
      <c r="Z344" s="351"/>
      <c r="AA344" s="351"/>
    </row>
    <row r="345" ht="14.25" customHeight="1">
      <c r="A345" s="365" t="s">
        <v>10570</v>
      </c>
      <c r="B345" s="108"/>
      <c r="C345" s="296" t="s">
        <v>10412</v>
      </c>
      <c r="D345" s="303" t="s">
        <v>271</v>
      </c>
      <c r="E345" s="378"/>
      <c r="F345" s="370" t="s">
        <v>10669</v>
      </c>
      <c r="G345" s="370" t="s">
        <v>10670</v>
      </c>
      <c r="H345" s="370" t="s">
        <v>10671</v>
      </c>
      <c r="I345" s="303" t="s">
        <v>36</v>
      </c>
      <c r="J345" s="362"/>
      <c r="K345" s="351"/>
      <c r="L345" s="351"/>
      <c r="M345" s="351"/>
      <c r="N345" s="351"/>
      <c r="O345" s="351"/>
      <c r="P345" s="351"/>
      <c r="Q345" s="351"/>
      <c r="R345" s="351"/>
      <c r="S345" s="351"/>
      <c r="T345" s="351"/>
      <c r="U345" s="351"/>
      <c r="V345" s="351"/>
      <c r="W345" s="351"/>
      <c r="X345" s="351"/>
      <c r="Y345" s="351"/>
      <c r="Z345" s="351"/>
      <c r="AA345" s="351"/>
    </row>
    <row r="346" ht="14.25" customHeight="1">
      <c r="A346" s="365" t="s">
        <v>10570</v>
      </c>
      <c r="B346" s="108"/>
      <c r="C346" s="296" t="s">
        <v>10517</v>
      </c>
      <c r="D346" s="303" t="s">
        <v>271</v>
      </c>
      <c r="E346" s="369" t="s">
        <v>10672</v>
      </c>
      <c r="F346" s="367" t="s">
        <v>10673</v>
      </c>
      <c r="G346" s="367" t="s">
        <v>10674</v>
      </c>
      <c r="H346" s="367" t="s">
        <v>10675</v>
      </c>
      <c r="I346" s="303" t="s">
        <v>36</v>
      </c>
      <c r="J346" s="362"/>
      <c r="K346" s="351"/>
      <c r="L346" s="351"/>
      <c r="M346" s="351"/>
      <c r="N346" s="351"/>
      <c r="O346" s="351"/>
      <c r="P346" s="351"/>
      <c r="Q346" s="351"/>
      <c r="R346" s="351"/>
      <c r="S346" s="351"/>
      <c r="T346" s="351"/>
      <c r="U346" s="351"/>
      <c r="V346" s="351"/>
      <c r="W346" s="351"/>
      <c r="X346" s="351"/>
      <c r="Y346" s="351"/>
      <c r="Z346" s="351"/>
      <c r="AA346" s="351"/>
    </row>
    <row r="347" ht="14.25" customHeight="1">
      <c r="A347" s="365" t="s">
        <v>10570</v>
      </c>
      <c r="B347" s="108"/>
      <c r="C347" s="296" t="s">
        <v>10521</v>
      </c>
      <c r="D347" s="303" t="s">
        <v>271</v>
      </c>
      <c r="E347" s="378"/>
      <c r="F347" s="367" t="s">
        <v>10676</v>
      </c>
      <c r="G347" s="367" t="s">
        <v>10677</v>
      </c>
      <c r="H347" s="367" t="s">
        <v>10678</v>
      </c>
      <c r="I347" s="303" t="s">
        <v>36</v>
      </c>
      <c r="J347" s="362"/>
      <c r="K347" s="351"/>
      <c r="L347" s="351"/>
      <c r="M347" s="351"/>
      <c r="N347" s="351"/>
      <c r="O347" s="351"/>
      <c r="P347" s="351"/>
      <c r="Q347" s="351"/>
      <c r="R347" s="351"/>
      <c r="S347" s="351"/>
      <c r="T347" s="351"/>
      <c r="U347" s="351"/>
      <c r="V347" s="351"/>
      <c r="W347" s="351"/>
      <c r="X347" s="351"/>
      <c r="Y347" s="351"/>
      <c r="Z347" s="351"/>
      <c r="AA347" s="351"/>
    </row>
    <row r="348" ht="14.25" customHeight="1">
      <c r="A348" s="365" t="s">
        <v>10570</v>
      </c>
      <c r="B348" s="108"/>
      <c r="C348" s="296" t="s">
        <v>10525</v>
      </c>
      <c r="D348" s="303" t="s">
        <v>271</v>
      </c>
      <c r="E348" s="380"/>
      <c r="F348" s="370" t="s">
        <v>10679</v>
      </c>
      <c r="G348" s="370" t="s">
        <v>10680</v>
      </c>
      <c r="H348" s="370" t="s">
        <v>10681</v>
      </c>
      <c r="I348" s="303" t="s">
        <v>36</v>
      </c>
      <c r="J348" s="362"/>
      <c r="K348" s="351"/>
      <c r="L348" s="351"/>
      <c r="M348" s="351"/>
      <c r="N348" s="351"/>
      <c r="O348" s="351"/>
      <c r="P348" s="351"/>
      <c r="Q348" s="351"/>
      <c r="R348" s="351"/>
      <c r="S348" s="351"/>
      <c r="T348" s="351"/>
      <c r="U348" s="351"/>
      <c r="V348" s="351"/>
      <c r="W348" s="351"/>
      <c r="X348" s="351"/>
      <c r="Y348" s="351"/>
      <c r="Z348" s="351"/>
      <c r="AA348" s="351"/>
    </row>
    <row r="349" ht="14.25" customHeight="1">
      <c r="A349" s="365" t="s">
        <v>10570</v>
      </c>
      <c r="B349" s="108"/>
      <c r="C349" s="296" t="s">
        <v>10529</v>
      </c>
      <c r="D349" s="303" t="s">
        <v>271</v>
      </c>
      <c r="E349" s="371"/>
      <c r="F349" s="370" t="s">
        <v>10682</v>
      </c>
      <c r="G349" s="370" t="s">
        <v>10683</v>
      </c>
      <c r="H349" s="370" t="s">
        <v>10584</v>
      </c>
      <c r="I349" s="303" t="s">
        <v>36</v>
      </c>
      <c r="J349" s="362"/>
      <c r="K349" s="351"/>
      <c r="L349" s="351"/>
      <c r="M349" s="351"/>
      <c r="N349" s="351"/>
      <c r="O349" s="351"/>
      <c r="P349" s="351"/>
      <c r="Q349" s="351"/>
      <c r="R349" s="351"/>
      <c r="S349" s="351"/>
      <c r="T349" s="351"/>
      <c r="U349" s="351"/>
      <c r="V349" s="351"/>
      <c r="W349" s="351"/>
      <c r="X349" s="351"/>
      <c r="Y349" s="351"/>
      <c r="Z349" s="351"/>
      <c r="AA349" s="351"/>
    </row>
    <row r="350" ht="14.25" customHeight="1">
      <c r="A350" s="365" t="s">
        <v>10570</v>
      </c>
      <c r="B350" s="108"/>
      <c r="C350" s="296" t="s">
        <v>10533</v>
      </c>
      <c r="D350" s="303" t="s">
        <v>271</v>
      </c>
      <c r="E350" s="371"/>
      <c r="F350" s="370" t="s">
        <v>10684</v>
      </c>
      <c r="G350" s="370" t="s">
        <v>10685</v>
      </c>
      <c r="H350" s="370" t="s">
        <v>10686</v>
      </c>
      <c r="I350" s="303" t="s">
        <v>36</v>
      </c>
      <c r="J350" s="362"/>
      <c r="K350" s="351"/>
      <c r="L350" s="351"/>
      <c r="M350" s="351"/>
      <c r="N350" s="351"/>
      <c r="O350" s="351"/>
      <c r="P350" s="351"/>
      <c r="Q350" s="351"/>
      <c r="R350" s="351"/>
      <c r="S350" s="351"/>
      <c r="T350" s="351"/>
      <c r="U350" s="351"/>
      <c r="V350" s="351"/>
      <c r="W350" s="351"/>
      <c r="X350" s="351"/>
      <c r="Y350" s="351"/>
      <c r="Z350" s="351"/>
      <c r="AA350" s="351"/>
    </row>
    <row r="351" ht="14.25" customHeight="1">
      <c r="A351" s="365" t="s">
        <v>10570</v>
      </c>
      <c r="B351" s="108"/>
      <c r="C351" s="296" t="s">
        <v>10537</v>
      </c>
      <c r="D351" s="303" t="s">
        <v>271</v>
      </c>
      <c r="E351" s="371"/>
      <c r="F351" s="370" t="s">
        <v>10687</v>
      </c>
      <c r="G351" s="370" t="s">
        <v>10688</v>
      </c>
      <c r="H351" s="370" t="s">
        <v>10689</v>
      </c>
      <c r="I351" s="303" t="s">
        <v>36</v>
      </c>
      <c r="J351" s="362"/>
      <c r="K351" s="351"/>
      <c r="L351" s="351"/>
      <c r="M351" s="351"/>
      <c r="N351" s="351"/>
      <c r="O351" s="351"/>
      <c r="P351" s="351"/>
      <c r="Q351" s="351"/>
      <c r="R351" s="351"/>
      <c r="S351" s="351"/>
      <c r="T351" s="351"/>
      <c r="U351" s="351"/>
      <c r="V351" s="351"/>
      <c r="W351" s="351"/>
      <c r="X351" s="351"/>
      <c r="Y351" s="351"/>
      <c r="Z351" s="351"/>
      <c r="AA351" s="351"/>
    </row>
    <row r="352" ht="14.25" customHeight="1">
      <c r="A352" s="365" t="s">
        <v>10570</v>
      </c>
      <c r="B352" s="108"/>
      <c r="C352" s="296" t="s">
        <v>10541</v>
      </c>
      <c r="D352" s="303" t="s">
        <v>271</v>
      </c>
      <c r="E352" s="371"/>
      <c r="F352" s="370" t="s">
        <v>10690</v>
      </c>
      <c r="G352" s="370" t="s">
        <v>10691</v>
      </c>
      <c r="H352" s="370" t="s">
        <v>10692</v>
      </c>
      <c r="I352" s="303" t="s">
        <v>36</v>
      </c>
      <c r="J352" s="362"/>
      <c r="K352" s="351"/>
      <c r="L352" s="351"/>
      <c r="M352" s="351"/>
      <c r="N352" s="351"/>
      <c r="O352" s="351"/>
      <c r="P352" s="351"/>
      <c r="Q352" s="351"/>
      <c r="R352" s="351"/>
      <c r="S352" s="351"/>
      <c r="T352" s="351"/>
      <c r="U352" s="351"/>
      <c r="V352" s="351"/>
      <c r="W352" s="351"/>
      <c r="X352" s="351"/>
      <c r="Y352" s="351"/>
      <c r="Z352" s="351"/>
      <c r="AA352" s="351"/>
    </row>
    <row r="353" ht="14.25" customHeight="1">
      <c r="A353" s="365" t="s">
        <v>10570</v>
      </c>
      <c r="B353" s="108"/>
      <c r="C353" s="296" t="s">
        <v>10545</v>
      </c>
      <c r="D353" s="303" t="s">
        <v>271</v>
      </c>
      <c r="E353" s="371"/>
      <c r="F353" s="370" t="s">
        <v>10693</v>
      </c>
      <c r="G353" s="370" t="s">
        <v>10694</v>
      </c>
      <c r="H353" s="370" t="s">
        <v>10695</v>
      </c>
      <c r="I353" s="303" t="s">
        <v>317</v>
      </c>
      <c r="J353" s="296" t="s">
        <v>10696</v>
      </c>
      <c r="K353" s="351"/>
      <c r="L353" s="351"/>
      <c r="M353" s="351"/>
      <c r="N353" s="351"/>
      <c r="O353" s="351"/>
      <c r="P353" s="351"/>
      <c r="Q353" s="351"/>
      <c r="R353" s="351"/>
      <c r="S353" s="351"/>
      <c r="T353" s="351"/>
      <c r="U353" s="351"/>
      <c r="V353" s="351"/>
      <c r="W353" s="351"/>
      <c r="X353" s="351"/>
      <c r="Y353" s="351"/>
      <c r="Z353" s="351"/>
      <c r="AA353" s="351"/>
    </row>
    <row r="354" ht="14.25" customHeight="1">
      <c r="A354" s="365" t="s">
        <v>10570</v>
      </c>
      <c r="B354" s="108"/>
      <c r="C354" s="296" t="s">
        <v>10549</v>
      </c>
      <c r="D354" s="303" t="s">
        <v>271</v>
      </c>
      <c r="E354" s="371"/>
      <c r="F354" s="298" t="s">
        <v>10697</v>
      </c>
      <c r="G354" s="370" t="s">
        <v>10698</v>
      </c>
      <c r="H354" s="296" t="s">
        <v>10699</v>
      </c>
      <c r="I354" s="303" t="s">
        <v>36</v>
      </c>
      <c r="J354" s="362"/>
      <c r="K354" s="351"/>
      <c r="L354" s="351"/>
      <c r="M354" s="351"/>
      <c r="N354" s="351"/>
      <c r="O354" s="351"/>
      <c r="P354" s="351"/>
      <c r="Q354" s="351"/>
      <c r="R354" s="351"/>
      <c r="S354" s="351"/>
      <c r="T354" s="351"/>
      <c r="U354" s="351"/>
      <c r="V354" s="351"/>
      <c r="W354" s="351"/>
      <c r="X354" s="351"/>
      <c r="Y354" s="351"/>
      <c r="Z354" s="351"/>
      <c r="AA354" s="351"/>
    </row>
    <row r="355" ht="14.25" customHeight="1">
      <c r="A355" s="365" t="s">
        <v>10570</v>
      </c>
      <c r="B355" s="109"/>
      <c r="C355" s="296" t="s">
        <v>10553</v>
      </c>
      <c r="D355" s="303" t="s">
        <v>271</v>
      </c>
      <c r="E355" s="371"/>
      <c r="F355" s="298" t="s">
        <v>10700</v>
      </c>
      <c r="G355" s="370" t="s">
        <v>10701</v>
      </c>
      <c r="H355" s="296" t="s">
        <v>10702</v>
      </c>
      <c r="I355" s="303" t="s">
        <v>36</v>
      </c>
      <c r="J355" s="362"/>
      <c r="K355" s="351"/>
      <c r="L355" s="351"/>
      <c r="M355" s="351"/>
      <c r="N355" s="351"/>
      <c r="O355" s="351"/>
      <c r="P355" s="351"/>
      <c r="Q355" s="351"/>
      <c r="R355" s="351"/>
      <c r="S355" s="351"/>
      <c r="T355" s="351"/>
      <c r="U355" s="351"/>
      <c r="V355" s="351"/>
      <c r="W355" s="351"/>
      <c r="X355" s="351"/>
      <c r="Y355" s="351"/>
      <c r="Z355" s="351"/>
      <c r="AA355" s="351"/>
    </row>
    <row r="356" ht="14.25" customHeight="1">
      <c r="A356" s="365" t="s">
        <v>10703</v>
      </c>
      <c r="B356" s="375" t="s">
        <v>10704</v>
      </c>
      <c r="C356" s="296" t="s">
        <v>9717</v>
      </c>
      <c r="D356" s="303" t="s">
        <v>271</v>
      </c>
      <c r="E356" s="137" t="s">
        <v>10705</v>
      </c>
      <c r="F356" s="258" t="s">
        <v>10706</v>
      </c>
      <c r="G356" s="367" t="s">
        <v>10707</v>
      </c>
      <c r="H356" s="367" t="s">
        <v>10708</v>
      </c>
      <c r="I356" s="303" t="s">
        <v>36</v>
      </c>
      <c r="J356" s="362"/>
      <c r="K356" s="351"/>
      <c r="L356" s="351"/>
      <c r="M356" s="351"/>
      <c r="N356" s="351"/>
      <c r="O356" s="351"/>
      <c r="P356" s="351"/>
      <c r="Q356" s="351"/>
      <c r="R356" s="351"/>
      <c r="S356" s="351"/>
      <c r="T356" s="351"/>
      <c r="U356" s="351"/>
      <c r="V356" s="351"/>
      <c r="W356" s="351"/>
      <c r="X356" s="351"/>
      <c r="Y356" s="351"/>
      <c r="Z356" s="351"/>
      <c r="AA356" s="351"/>
    </row>
    <row r="357" ht="14.25" customHeight="1">
      <c r="A357" s="365" t="s">
        <v>10703</v>
      </c>
      <c r="B357" s="108"/>
      <c r="C357" s="296" t="s">
        <v>9723</v>
      </c>
      <c r="D357" s="303" t="s">
        <v>271</v>
      </c>
      <c r="E357" s="371"/>
      <c r="F357" s="369" t="s">
        <v>10709</v>
      </c>
      <c r="G357" s="370" t="s">
        <v>10710</v>
      </c>
      <c r="H357" s="370" t="s">
        <v>10711</v>
      </c>
      <c r="I357" s="303" t="s">
        <v>36</v>
      </c>
      <c r="J357" s="362"/>
      <c r="K357" s="351"/>
      <c r="L357" s="351"/>
      <c r="M357" s="351"/>
      <c r="N357" s="351"/>
      <c r="O357" s="351"/>
      <c r="P357" s="351"/>
      <c r="Q357" s="351"/>
      <c r="R357" s="351"/>
      <c r="S357" s="351"/>
      <c r="T357" s="351"/>
      <c r="U357" s="351"/>
      <c r="V357" s="351"/>
      <c r="W357" s="351"/>
      <c r="X357" s="351"/>
      <c r="Y357" s="351"/>
      <c r="Z357" s="351"/>
      <c r="AA357" s="351"/>
    </row>
    <row r="358" ht="14.25" customHeight="1">
      <c r="A358" s="365" t="s">
        <v>10703</v>
      </c>
      <c r="B358" s="108"/>
      <c r="C358" s="296" t="s">
        <v>9727</v>
      </c>
      <c r="D358" s="303" t="s">
        <v>271</v>
      </c>
      <c r="E358" s="371"/>
      <c r="F358" s="369" t="s">
        <v>10712</v>
      </c>
      <c r="G358" s="370" t="s">
        <v>10713</v>
      </c>
      <c r="H358" s="370" t="s">
        <v>10714</v>
      </c>
      <c r="I358" s="303" t="s">
        <v>36</v>
      </c>
      <c r="J358" s="362"/>
      <c r="K358" s="351"/>
      <c r="L358" s="351"/>
      <c r="M358" s="351"/>
      <c r="N358" s="351"/>
      <c r="O358" s="351"/>
      <c r="P358" s="351"/>
      <c r="Q358" s="351"/>
      <c r="R358" s="351"/>
      <c r="S358" s="351"/>
      <c r="T358" s="351"/>
      <c r="U358" s="351"/>
      <c r="V358" s="351"/>
      <c r="W358" s="351"/>
      <c r="X358" s="351"/>
      <c r="Y358" s="351"/>
      <c r="Z358" s="351"/>
      <c r="AA358" s="351"/>
    </row>
    <row r="359" ht="14.25" customHeight="1">
      <c r="A359" s="365" t="s">
        <v>10703</v>
      </c>
      <c r="B359" s="108"/>
      <c r="C359" s="296" t="s">
        <v>9732</v>
      </c>
      <c r="D359" s="303" t="s">
        <v>271</v>
      </c>
      <c r="E359" s="371"/>
      <c r="F359" s="369" t="s">
        <v>10715</v>
      </c>
      <c r="G359" s="370" t="s">
        <v>10716</v>
      </c>
      <c r="H359" s="370" t="s">
        <v>10717</v>
      </c>
      <c r="I359" s="303" t="s">
        <v>36</v>
      </c>
      <c r="J359" s="362"/>
      <c r="K359" s="351"/>
      <c r="L359" s="351"/>
      <c r="M359" s="351"/>
      <c r="N359" s="351"/>
      <c r="O359" s="351"/>
      <c r="P359" s="351"/>
      <c r="Q359" s="351"/>
      <c r="R359" s="351"/>
      <c r="S359" s="351"/>
      <c r="T359" s="351"/>
      <c r="U359" s="351"/>
      <c r="V359" s="351"/>
      <c r="W359" s="351"/>
      <c r="X359" s="351"/>
      <c r="Y359" s="351"/>
      <c r="Z359" s="351"/>
      <c r="AA359" s="351"/>
    </row>
    <row r="360" ht="14.25" customHeight="1">
      <c r="A360" s="365" t="s">
        <v>10703</v>
      </c>
      <c r="B360" s="108"/>
      <c r="C360" s="296" t="s">
        <v>9736</v>
      </c>
      <c r="D360" s="303" t="s">
        <v>271</v>
      </c>
      <c r="E360" s="371"/>
      <c r="F360" s="369" t="s">
        <v>10718</v>
      </c>
      <c r="G360" s="370" t="s">
        <v>10719</v>
      </c>
      <c r="H360" s="370" t="s">
        <v>10720</v>
      </c>
      <c r="I360" s="303" t="s">
        <v>36</v>
      </c>
      <c r="J360" s="362"/>
      <c r="K360" s="351"/>
      <c r="L360" s="351"/>
      <c r="M360" s="351"/>
      <c r="N360" s="351"/>
      <c r="O360" s="351"/>
      <c r="P360" s="351"/>
      <c r="Q360" s="351"/>
      <c r="R360" s="351"/>
      <c r="S360" s="351"/>
      <c r="T360" s="351"/>
      <c r="U360" s="351"/>
      <c r="V360" s="351"/>
      <c r="W360" s="351"/>
      <c r="X360" s="351"/>
      <c r="Y360" s="351"/>
      <c r="Z360" s="351"/>
      <c r="AA360" s="351"/>
    </row>
    <row r="361" ht="14.25" customHeight="1">
      <c r="A361" s="365" t="s">
        <v>10703</v>
      </c>
      <c r="B361" s="108"/>
      <c r="C361" s="296" t="s">
        <v>9740</v>
      </c>
      <c r="D361" s="303" t="s">
        <v>271</v>
      </c>
      <c r="E361" s="371"/>
      <c r="F361" s="369" t="s">
        <v>10721</v>
      </c>
      <c r="G361" s="370" t="s">
        <v>10722</v>
      </c>
      <c r="H361" s="370" t="s">
        <v>10489</v>
      </c>
      <c r="I361" s="303" t="s">
        <v>36</v>
      </c>
      <c r="J361" s="362"/>
      <c r="K361" s="351"/>
      <c r="L361" s="351"/>
      <c r="M361" s="351"/>
      <c r="N361" s="351"/>
      <c r="O361" s="351"/>
      <c r="P361" s="351"/>
      <c r="Q361" s="351"/>
      <c r="R361" s="351"/>
      <c r="S361" s="351"/>
      <c r="T361" s="351"/>
      <c r="U361" s="351"/>
      <c r="V361" s="351"/>
      <c r="W361" s="351"/>
      <c r="X361" s="351"/>
      <c r="Y361" s="351"/>
      <c r="Z361" s="351"/>
      <c r="AA361" s="351"/>
    </row>
    <row r="362" ht="14.25" customHeight="1">
      <c r="A362" s="365" t="s">
        <v>10703</v>
      </c>
      <c r="B362" s="108"/>
      <c r="C362" s="296" t="s">
        <v>9744</v>
      </c>
      <c r="D362" s="303" t="s">
        <v>271</v>
      </c>
      <c r="E362" s="371"/>
      <c r="F362" s="369" t="s">
        <v>10723</v>
      </c>
      <c r="G362" s="370" t="s">
        <v>10724</v>
      </c>
      <c r="H362" s="370" t="s">
        <v>10725</v>
      </c>
      <c r="I362" s="303" t="s">
        <v>36</v>
      </c>
      <c r="J362" s="362"/>
      <c r="K362" s="351"/>
      <c r="L362" s="351"/>
      <c r="M362" s="351"/>
      <c r="N362" s="351"/>
      <c r="O362" s="351"/>
      <c r="P362" s="351"/>
      <c r="Q362" s="351"/>
      <c r="R362" s="351"/>
      <c r="S362" s="351"/>
      <c r="T362" s="351"/>
      <c r="U362" s="351"/>
      <c r="V362" s="351"/>
      <c r="W362" s="351"/>
      <c r="X362" s="351"/>
      <c r="Y362" s="351"/>
      <c r="Z362" s="351"/>
      <c r="AA362" s="351"/>
    </row>
    <row r="363" ht="14.25" customHeight="1">
      <c r="A363" s="365" t="s">
        <v>10703</v>
      </c>
      <c r="B363" s="108"/>
      <c r="C363" s="296" t="s">
        <v>9749</v>
      </c>
      <c r="D363" s="303" t="s">
        <v>271</v>
      </c>
      <c r="E363" s="371"/>
      <c r="F363" s="369" t="s">
        <v>10726</v>
      </c>
      <c r="G363" s="370" t="s">
        <v>10727</v>
      </c>
      <c r="H363" s="370" t="s">
        <v>10728</v>
      </c>
      <c r="I363" s="303" t="s">
        <v>36</v>
      </c>
      <c r="J363" s="362"/>
      <c r="K363" s="351"/>
      <c r="L363" s="351"/>
      <c r="M363" s="351"/>
      <c r="N363" s="351"/>
      <c r="O363" s="351"/>
      <c r="P363" s="351"/>
      <c r="Q363" s="351"/>
      <c r="R363" s="351"/>
      <c r="S363" s="351"/>
      <c r="T363" s="351"/>
      <c r="U363" s="351"/>
      <c r="V363" s="351"/>
      <c r="W363" s="351"/>
      <c r="X363" s="351"/>
      <c r="Y363" s="351"/>
      <c r="Z363" s="351"/>
      <c r="AA363" s="351"/>
    </row>
    <row r="364" ht="14.25" customHeight="1">
      <c r="A364" s="365" t="s">
        <v>10703</v>
      </c>
      <c r="B364" s="108"/>
      <c r="C364" s="296" t="s">
        <v>9754</v>
      </c>
      <c r="D364" s="303" t="s">
        <v>271</v>
      </c>
      <c r="E364" s="371"/>
      <c r="F364" s="369" t="s">
        <v>10729</v>
      </c>
      <c r="G364" s="370" t="s">
        <v>10730</v>
      </c>
      <c r="H364" s="370" t="s">
        <v>10731</v>
      </c>
      <c r="I364" s="303" t="s">
        <v>36</v>
      </c>
      <c r="J364" s="362"/>
      <c r="K364" s="351"/>
      <c r="L364" s="351"/>
      <c r="M364" s="351"/>
      <c r="N364" s="351"/>
      <c r="O364" s="351"/>
      <c r="P364" s="351"/>
      <c r="Q364" s="351"/>
      <c r="R364" s="351"/>
      <c r="S364" s="351"/>
      <c r="T364" s="351"/>
      <c r="U364" s="351"/>
      <c r="V364" s="351"/>
      <c r="W364" s="351"/>
      <c r="X364" s="351"/>
      <c r="Y364" s="351"/>
      <c r="Z364" s="351"/>
      <c r="AA364" s="351"/>
    </row>
    <row r="365" ht="14.25" customHeight="1">
      <c r="A365" s="365" t="s">
        <v>10703</v>
      </c>
      <c r="B365" s="108"/>
      <c r="C365" s="296" t="s">
        <v>9759</v>
      </c>
      <c r="D365" s="303" t="s">
        <v>271</v>
      </c>
      <c r="E365" s="371"/>
      <c r="F365" s="369" t="s">
        <v>10732</v>
      </c>
      <c r="G365" s="370" t="s">
        <v>10733</v>
      </c>
      <c r="H365" s="370" t="s">
        <v>10734</v>
      </c>
      <c r="I365" s="303" t="s">
        <v>36</v>
      </c>
      <c r="J365" s="362"/>
      <c r="K365" s="351"/>
      <c r="L365" s="351"/>
      <c r="M365" s="351"/>
      <c r="N365" s="351"/>
      <c r="O365" s="351"/>
      <c r="P365" s="351"/>
      <c r="Q365" s="351"/>
      <c r="R365" s="351"/>
      <c r="S365" s="351"/>
      <c r="T365" s="351"/>
      <c r="U365" s="351"/>
      <c r="V365" s="351"/>
      <c r="W365" s="351"/>
      <c r="X365" s="351"/>
      <c r="Y365" s="351"/>
      <c r="Z365" s="351"/>
      <c r="AA365" s="351"/>
    </row>
    <row r="366" ht="14.25" customHeight="1">
      <c r="A366" s="365" t="s">
        <v>10703</v>
      </c>
      <c r="B366" s="108"/>
      <c r="C366" s="296" t="s">
        <v>9763</v>
      </c>
      <c r="D366" s="303" t="s">
        <v>271</v>
      </c>
      <c r="E366" s="371"/>
      <c r="F366" s="369" t="s">
        <v>10735</v>
      </c>
      <c r="G366" s="370" t="s">
        <v>10736</v>
      </c>
      <c r="H366" s="370" t="s">
        <v>10737</v>
      </c>
      <c r="I366" s="303" t="s">
        <v>36</v>
      </c>
      <c r="J366" s="362"/>
      <c r="K366" s="351"/>
      <c r="L366" s="351"/>
      <c r="M366" s="351"/>
      <c r="N366" s="351"/>
      <c r="O366" s="351"/>
      <c r="P366" s="351"/>
      <c r="Q366" s="351"/>
      <c r="R366" s="351"/>
      <c r="S366" s="351"/>
      <c r="T366" s="351"/>
      <c r="U366" s="351"/>
      <c r="V366" s="351"/>
      <c r="W366" s="351"/>
      <c r="X366" s="351"/>
      <c r="Y366" s="351"/>
      <c r="Z366" s="351"/>
      <c r="AA366" s="351"/>
    </row>
    <row r="367" ht="14.25" customHeight="1">
      <c r="A367" s="365" t="s">
        <v>10703</v>
      </c>
      <c r="B367" s="108"/>
      <c r="C367" s="296" t="s">
        <v>9767</v>
      </c>
      <c r="D367" s="303" t="s">
        <v>271</v>
      </c>
      <c r="E367" s="371"/>
      <c r="F367" s="369" t="s">
        <v>10738</v>
      </c>
      <c r="G367" s="370" t="s">
        <v>10739</v>
      </c>
      <c r="H367" s="370" t="s">
        <v>10740</v>
      </c>
      <c r="I367" s="303" t="s">
        <v>36</v>
      </c>
      <c r="J367" s="362"/>
      <c r="K367" s="351"/>
      <c r="L367" s="351"/>
      <c r="M367" s="351"/>
      <c r="N367" s="351"/>
      <c r="O367" s="351"/>
      <c r="P367" s="351"/>
      <c r="Q367" s="351"/>
      <c r="R367" s="351"/>
      <c r="S367" s="351"/>
      <c r="T367" s="351"/>
      <c r="U367" s="351"/>
      <c r="V367" s="351"/>
      <c r="W367" s="351"/>
      <c r="X367" s="351"/>
      <c r="Y367" s="351"/>
      <c r="Z367" s="351"/>
      <c r="AA367" s="351"/>
    </row>
    <row r="368" ht="14.25" customHeight="1">
      <c r="A368" s="365" t="s">
        <v>10703</v>
      </c>
      <c r="B368" s="108"/>
      <c r="C368" s="296" t="s">
        <v>9772</v>
      </c>
      <c r="D368" s="303" t="s">
        <v>271</v>
      </c>
      <c r="E368" s="371"/>
      <c r="F368" s="369" t="s">
        <v>10741</v>
      </c>
      <c r="G368" s="370" t="s">
        <v>10742</v>
      </c>
      <c r="H368" s="370" t="s">
        <v>10743</v>
      </c>
      <c r="I368" s="303" t="s">
        <v>36</v>
      </c>
      <c r="J368" s="362"/>
      <c r="K368" s="351"/>
      <c r="L368" s="351"/>
      <c r="M368" s="351"/>
      <c r="N368" s="351"/>
      <c r="O368" s="351"/>
      <c r="P368" s="351"/>
      <c r="Q368" s="351"/>
      <c r="R368" s="351"/>
      <c r="S368" s="351"/>
      <c r="T368" s="351"/>
      <c r="U368" s="351"/>
      <c r="V368" s="351"/>
      <c r="W368" s="351"/>
      <c r="X368" s="351"/>
      <c r="Y368" s="351"/>
      <c r="Z368" s="351"/>
      <c r="AA368" s="351"/>
    </row>
    <row r="369" ht="14.25" customHeight="1">
      <c r="A369" s="365" t="s">
        <v>10703</v>
      </c>
      <c r="B369" s="108"/>
      <c r="C369" s="296" t="s">
        <v>10339</v>
      </c>
      <c r="D369" s="303" t="s">
        <v>271</v>
      </c>
      <c r="E369" s="371"/>
      <c r="F369" s="369" t="s">
        <v>10744</v>
      </c>
      <c r="G369" s="370" t="s">
        <v>10745</v>
      </c>
      <c r="H369" s="370" t="s">
        <v>10746</v>
      </c>
      <c r="I369" s="303" t="s">
        <v>36</v>
      </c>
      <c r="J369" s="362"/>
      <c r="K369" s="351"/>
      <c r="L369" s="351"/>
      <c r="M369" s="351"/>
      <c r="N369" s="351"/>
      <c r="O369" s="351"/>
      <c r="P369" s="351"/>
      <c r="Q369" s="351"/>
      <c r="R369" s="351"/>
      <c r="S369" s="351"/>
      <c r="T369" s="351"/>
      <c r="U369" s="351"/>
      <c r="V369" s="351"/>
      <c r="W369" s="351"/>
      <c r="X369" s="351"/>
      <c r="Y369" s="351"/>
      <c r="Z369" s="351"/>
      <c r="AA369" s="351"/>
    </row>
    <row r="370" ht="14.25" customHeight="1">
      <c r="A370" s="365" t="s">
        <v>10703</v>
      </c>
      <c r="B370" s="108"/>
      <c r="C370" s="296" t="s">
        <v>10343</v>
      </c>
      <c r="D370" s="303" t="s">
        <v>271</v>
      </c>
      <c r="E370" s="371"/>
      <c r="F370" s="298" t="s">
        <v>10747</v>
      </c>
      <c r="G370" s="296" t="s">
        <v>10748</v>
      </c>
      <c r="H370" s="296" t="s">
        <v>10749</v>
      </c>
      <c r="I370" s="303" t="s">
        <v>36</v>
      </c>
      <c r="J370" s="362"/>
      <c r="K370" s="351"/>
      <c r="L370" s="351"/>
      <c r="M370" s="351"/>
      <c r="N370" s="351"/>
      <c r="O370" s="351"/>
      <c r="P370" s="351"/>
      <c r="Q370" s="351"/>
      <c r="R370" s="351"/>
      <c r="S370" s="351"/>
      <c r="T370" s="351"/>
      <c r="U370" s="351"/>
      <c r="V370" s="351"/>
      <c r="W370" s="351"/>
      <c r="X370" s="351"/>
      <c r="Y370" s="351"/>
      <c r="Z370" s="351"/>
      <c r="AA370" s="351"/>
    </row>
    <row r="371" ht="14.25" customHeight="1">
      <c r="A371" s="365" t="s">
        <v>10703</v>
      </c>
      <c r="B371" s="108"/>
      <c r="C371" s="296" t="s">
        <v>10347</v>
      </c>
      <c r="D371" s="303" t="s">
        <v>271</v>
      </c>
      <c r="E371" s="371"/>
      <c r="F371" s="298" t="s">
        <v>10750</v>
      </c>
      <c r="G371" s="296" t="s">
        <v>10748</v>
      </c>
      <c r="H371" s="296" t="s">
        <v>10751</v>
      </c>
      <c r="I371" s="303" t="s">
        <v>36</v>
      </c>
      <c r="J371" s="362"/>
      <c r="K371" s="351"/>
      <c r="L371" s="351"/>
      <c r="M371" s="351"/>
      <c r="N371" s="351"/>
      <c r="O371" s="351"/>
      <c r="P371" s="351"/>
      <c r="Q371" s="351"/>
      <c r="R371" s="351"/>
      <c r="S371" s="351"/>
      <c r="T371" s="351"/>
      <c r="U371" s="351"/>
      <c r="V371" s="351"/>
      <c r="W371" s="351"/>
      <c r="X371" s="351"/>
      <c r="Y371" s="351"/>
      <c r="Z371" s="351"/>
      <c r="AA371" s="351"/>
    </row>
    <row r="372" ht="14.25" customHeight="1">
      <c r="A372" s="365" t="s">
        <v>10703</v>
      </c>
      <c r="B372" s="108"/>
      <c r="C372" s="296" t="s">
        <v>10351</v>
      </c>
      <c r="D372" s="303" t="s">
        <v>271</v>
      </c>
      <c r="E372" s="371"/>
      <c r="F372" s="298" t="s">
        <v>10752</v>
      </c>
      <c r="G372" s="296" t="s">
        <v>10753</v>
      </c>
      <c r="H372" s="296" t="s">
        <v>10754</v>
      </c>
      <c r="I372" s="303" t="s">
        <v>317</v>
      </c>
      <c r="J372" s="296" t="s">
        <v>10755</v>
      </c>
      <c r="K372" s="351"/>
      <c r="L372" s="351"/>
      <c r="M372" s="351"/>
      <c r="N372" s="351"/>
      <c r="O372" s="351"/>
      <c r="P372" s="351"/>
      <c r="Q372" s="351"/>
      <c r="R372" s="351"/>
      <c r="S372" s="351"/>
      <c r="T372" s="351"/>
      <c r="U372" s="351"/>
      <c r="V372" s="351"/>
      <c r="W372" s="351"/>
      <c r="X372" s="351"/>
      <c r="Y372" s="351"/>
      <c r="Z372" s="351"/>
      <c r="AA372" s="351"/>
    </row>
    <row r="373" ht="14.25" customHeight="1">
      <c r="A373" s="365" t="s">
        <v>10703</v>
      </c>
      <c r="B373" s="109"/>
      <c r="C373" s="296" t="s">
        <v>10355</v>
      </c>
      <c r="D373" s="303" t="s">
        <v>271</v>
      </c>
      <c r="E373" s="371"/>
      <c r="F373" s="298" t="s">
        <v>10756</v>
      </c>
      <c r="G373" s="296" t="s">
        <v>10757</v>
      </c>
      <c r="H373" s="296" t="s">
        <v>10758</v>
      </c>
      <c r="I373" s="303" t="s">
        <v>36</v>
      </c>
      <c r="J373" s="362"/>
      <c r="K373" s="351"/>
      <c r="L373" s="351"/>
      <c r="M373" s="351"/>
      <c r="N373" s="351"/>
      <c r="O373" s="351"/>
      <c r="P373" s="351"/>
      <c r="Q373" s="351"/>
      <c r="R373" s="351"/>
      <c r="S373" s="351"/>
      <c r="T373" s="351"/>
      <c r="U373" s="351"/>
      <c r="V373" s="351"/>
      <c r="W373" s="351"/>
      <c r="X373" s="351"/>
      <c r="Y373" s="351"/>
      <c r="Z373" s="351"/>
      <c r="AA373" s="351"/>
    </row>
    <row r="374" ht="14.25" customHeight="1">
      <c r="A374" s="365" t="s">
        <v>10759</v>
      </c>
      <c r="B374" s="381" t="s">
        <v>10760</v>
      </c>
      <c r="C374" s="296" t="s">
        <v>9717</v>
      </c>
      <c r="D374" s="303" t="s">
        <v>271</v>
      </c>
      <c r="E374" s="137" t="s">
        <v>10761</v>
      </c>
      <c r="F374" s="331" t="s">
        <v>10762</v>
      </c>
      <c r="G374" s="331" t="s">
        <v>10763</v>
      </c>
      <c r="H374" s="331" t="s">
        <v>10764</v>
      </c>
      <c r="I374" s="382" t="s">
        <v>36</v>
      </c>
      <c r="J374" s="362"/>
      <c r="K374" s="351"/>
      <c r="L374" s="351"/>
      <c r="M374" s="351"/>
      <c r="N374" s="351"/>
      <c r="O374" s="351"/>
      <c r="P374" s="351"/>
      <c r="Q374" s="351"/>
      <c r="R374" s="351"/>
      <c r="S374" s="351"/>
      <c r="T374" s="351"/>
      <c r="U374" s="351"/>
      <c r="V374" s="351"/>
      <c r="W374" s="351"/>
      <c r="X374" s="351"/>
      <c r="Y374" s="351"/>
      <c r="Z374" s="351"/>
      <c r="AA374" s="351"/>
    </row>
    <row r="375" ht="14.25" customHeight="1">
      <c r="A375" s="365" t="s">
        <v>10759</v>
      </c>
      <c r="B375" s="177"/>
      <c r="C375" s="296" t="s">
        <v>9723</v>
      </c>
      <c r="D375" s="303" t="s">
        <v>271</v>
      </c>
      <c r="E375" s="371"/>
      <c r="F375" s="331" t="s">
        <v>10765</v>
      </c>
      <c r="G375" s="331" t="s">
        <v>10766</v>
      </c>
      <c r="H375" s="331" t="s">
        <v>10767</v>
      </c>
      <c r="I375" s="382" t="s">
        <v>36</v>
      </c>
      <c r="J375" s="362"/>
      <c r="K375" s="351"/>
      <c r="L375" s="351"/>
      <c r="M375" s="351"/>
      <c r="N375" s="351"/>
      <c r="O375" s="351"/>
      <c r="P375" s="351"/>
      <c r="Q375" s="351"/>
      <c r="R375" s="351"/>
      <c r="S375" s="351"/>
      <c r="T375" s="351"/>
      <c r="U375" s="351"/>
      <c r="V375" s="351"/>
      <c r="W375" s="351"/>
      <c r="X375" s="351"/>
      <c r="Y375" s="351"/>
      <c r="Z375" s="351"/>
      <c r="AA375" s="351"/>
    </row>
    <row r="376" ht="14.25" customHeight="1">
      <c r="A376" s="365" t="s">
        <v>10759</v>
      </c>
      <c r="B376" s="177"/>
      <c r="C376" s="296" t="s">
        <v>9727</v>
      </c>
      <c r="D376" s="303" t="s">
        <v>271</v>
      </c>
      <c r="E376" s="371"/>
      <c r="F376" s="331" t="s">
        <v>10768</v>
      </c>
      <c r="G376" s="331" t="s">
        <v>10769</v>
      </c>
      <c r="H376" s="331" t="s">
        <v>10770</v>
      </c>
      <c r="I376" s="382" t="s">
        <v>36</v>
      </c>
      <c r="J376" s="362"/>
      <c r="K376" s="351"/>
      <c r="L376" s="351"/>
      <c r="M376" s="351"/>
      <c r="N376" s="351"/>
      <c r="O376" s="351"/>
      <c r="P376" s="351"/>
      <c r="Q376" s="351"/>
      <c r="R376" s="351"/>
      <c r="S376" s="351"/>
      <c r="T376" s="351"/>
      <c r="U376" s="351"/>
      <c r="V376" s="351"/>
      <c r="W376" s="351"/>
      <c r="X376" s="351"/>
      <c r="Y376" s="351"/>
      <c r="Z376" s="351"/>
      <c r="AA376" s="351"/>
    </row>
    <row r="377" ht="14.25" customHeight="1">
      <c r="A377" s="365" t="s">
        <v>10759</v>
      </c>
      <c r="B377" s="177"/>
      <c r="C377" s="296" t="s">
        <v>9732</v>
      </c>
      <c r="D377" s="303" t="s">
        <v>271</v>
      </c>
      <c r="E377" s="371"/>
      <c r="F377" s="331" t="s">
        <v>10771</v>
      </c>
      <c r="G377" s="331" t="s">
        <v>10772</v>
      </c>
      <c r="H377" s="331" t="s">
        <v>10773</v>
      </c>
      <c r="I377" s="382" t="s">
        <v>36</v>
      </c>
      <c r="J377" s="362"/>
      <c r="K377" s="351"/>
      <c r="L377" s="351"/>
      <c r="M377" s="351"/>
      <c r="N377" s="351"/>
      <c r="O377" s="351"/>
      <c r="P377" s="351"/>
      <c r="Q377" s="351"/>
      <c r="R377" s="351"/>
      <c r="S377" s="351"/>
      <c r="T377" s="351"/>
      <c r="U377" s="351"/>
      <c r="V377" s="351"/>
      <c r="W377" s="351"/>
      <c r="X377" s="351"/>
      <c r="Y377" s="351"/>
      <c r="Z377" s="351"/>
      <c r="AA377" s="351"/>
    </row>
    <row r="378" ht="14.25" customHeight="1">
      <c r="A378" s="365" t="s">
        <v>10759</v>
      </c>
      <c r="B378" s="177"/>
      <c r="C378" s="296" t="s">
        <v>9736</v>
      </c>
      <c r="D378" s="303" t="s">
        <v>271</v>
      </c>
      <c r="E378" s="371"/>
      <c r="F378" s="331" t="s">
        <v>10774</v>
      </c>
      <c r="G378" s="331" t="s">
        <v>10775</v>
      </c>
      <c r="H378" s="331" t="s">
        <v>10776</v>
      </c>
      <c r="I378" s="382" t="s">
        <v>36</v>
      </c>
      <c r="J378" s="362"/>
      <c r="K378" s="351"/>
      <c r="L378" s="351"/>
      <c r="M378" s="351"/>
      <c r="N378" s="351"/>
      <c r="O378" s="351"/>
      <c r="P378" s="351"/>
      <c r="Q378" s="351"/>
      <c r="R378" s="351"/>
      <c r="S378" s="351"/>
      <c r="T378" s="351"/>
      <c r="U378" s="351"/>
      <c r="V378" s="351"/>
      <c r="W378" s="351"/>
      <c r="X378" s="351"/>
      <c r="Y378" s="351"/>
      <c r="Z378" s="351"/>
      <c r="AA378" s="351"/>
    </row>
    <row r="379" ht="14.25" customHeight="1">
      <c r="A379" s="365" t="s">
        <v>10759</v>
      </c>
      <c r="B379" s="177"/>
      <c r="C379" s="296" t="s">
        <v>9740</v>
      </c>
      <c r="D379" s="303" t="s">
        <v>271</v>
      </c>
      <c r="E379" s="371"/>
      <c r="F379" s="331" t="s">
        <v>10777</v>
      </c>
      <c r="G379" s="331" t="s">
        <v>10778</v>
      </c>
      <c r="H379" s="331" t="s">
        <v>10779</v>
      </c>
      <c r="I379" s="382" t="s">
        <v>36</v>
      </c>
      <c r="J379" s="362"/>
      <c r="K379" s="351"/>
      <c r="L379" s="351"/>
      <c r="M379" s="351"/>
      <c r="N379" s="351"/>
      <c r="O379" s="351"/>
      <c r="P379" s="351"/>
      <c r="Q379" s="351"/>
      <c r="R379" s="351"/>
      <c r="S379" s="351"/>
      <c r="T379" s="351"/>
      <c r="U379" s="351"/>
      <c r="V379" s="351"/>
      <c r="W379" s="351"/>
      <c r="X379" s="351"/>
      <c r="Y379" s="351"/>
      <c r="Z379" s="351"/>
      <c r="AA379" s="351"/>
    </row>
    <row r="380" ht="14.25" customHeight="1">
      <c r="A380" s="365" t="s">
        <v>10759</v>
      </c>
      <c r="B380" s="177"/>
      <c r="C380" s="296" t="s">
        <v>9744</v>
      </c>
      <c r="D380" s="303" t="s">
        <v>271</v>
      </c>
      <c r="E380" s="371"/>
      <c r="F380" s="331" t="s">
        <v>10780</v>
      </c>
      <c r="G380" s="331" t="s">
        <v>10781</v>
      </c>
      <c r="H380" s="331" t="s">
        <v>10782</v>
      </c>
      <c r="I380" s="382" t="s">
        <v>36</v>
      </c>
      <c r="J380" s="362"/>
      <c r="K380" s="351"/>
      <c r="L380" s="351"/>
      <c r="M380" s="351"/>
      <c r="N380" s="351"/>
      <c r="O380" s="351"/>
      <c r="P380" s="351"/>
      <c r="Q380" s="351"/>
      <c r="R380" s="351"/>
      <c r="S380" s="351"/>
      <c r="T380" s="351"/>
      <c r="U380" s="351"/>
      <c r="V380" s="351"/>
      <c r="W380" s="351"/>
      <c r="X380" s="351"/>
      <c r="Y380" s="351"/>
      <c r="Z380" s="351"/>
      <c r="AA380" s="351"/>
    </row>
    <row r="381" ht="14.25" customHeight="1">
      <c r="A381" s="365" t="s">
        <v>10759</v>
      </c>
      <c r="B381" s="177"/>
      <c r="C381" s="296" t="s">
        <v>9749</v>
      </c>
      <c r="D381" s="303" t="s">
        <v>271</v>
      </c>
      <c r="E381" s="371"/>
      <c r="F381" s="331" t="s">
        <v>10783</v>
      </c>
      <c r="G381" s="331" t="s">
        <v>10784</v>
      </c>
      <c r="H381" s="331" t="s">
        <v>10785</v>
      </c>
      <c r="I381" s="382" t="s">
        <v>36</v>
      </c>
      <c r="J381" s="362"/>
      <c r="K381" s="351"/>
      <c r="L381" s="351"/>
      <c r="M381" s="351"/>
      <c r="N381" s="351"/>
      <c r="O381" s="351"/>
      <c r="P381" s="351"/>
      <c r="Q381" s="351"/>
      <c r="R381" s="351"/>
      <c r="S381" s="351"/>
      <c r="T381" s="351"/>
      <c r="U381" s="351"/>
      <c r="V381" s="351"/>
      <c r="W381" s="351"/>
      <c r="X381" s="351"/>
      <c r="Y381" s="351"/>
      <c r="Z381" s="351"/>
      <c r="AA381" s="351"/>
    </row>
    <row r="382" ht="14.25" customHeight="1">
      <c r="A382" s="365" t="s">
        <v>10759</v>
      </c>
      <c r="B382" s="177"/>
      <c r="C382" s="296" t="s">
        <v>9754</v>
      </c>
      <c r="D382" s="303" t="s">
        <v>271</v>
      </c>
      <c r="E382" s="371"/>
      <c r="F382" s="331" t="s">
        <v>10786</v>
      </c>
      <c r="G382" s="331" t="s">
        <v>10787</v>
      </c>
      <c r="H382" s="331" t="s">
        <v>10788</v>
      </c>
      <c r="I382" s="382" t="s">
        <v>36</v>
      </c>
      <c r="J382" s="362"/>
      <c r="K382" s="351"/>
      <c r="L382" s="351"/>
      <c r="M382" s="351"/>
      <c r="N382" s="351"/>
      <c r="O382" s="351"/>
      <c r="P382" s="351"/>
      <c r="Q382" s="351"/>
      <c r="R382" s="351"/>
      <c r="S382" s="351"/>
      <c r="T382" s="351"/>
      <c r="U382" s="351"/>
      <c r="V382" s="351"/>
      <c r="W382" s="351"/>
      <c r="X382" s="351"/>
      <c r="Y382" s="351"/>
      <c r="Z382" s="351"/>
      <c r="AA382" s="351"/>
    </row>
    <row r="383" ht="14.25" customHeight="1">
      <c r="A383" s="365" t="s">
        <v>10759</v>
      </c>
      <c r="B383" s="177"/>
      <c r="C383" s="296" t="s">
        <v>9759</v>
      </c>
      <c r="D383" s="303" t="s">
        <v>271</v>
      </c>
      <c r="E383" s="371"/>
      <c r="F383" s="331" t="s">
        <v>10789</v>
      </c>
      <c r="G383" s="331" t="s">
        <v>10790</v>
      </c>
      <c r="H383" s="331" t="s">
        <v>10791</v>
      </c>
      <c r="I383" s="382" t="s">
        <v>36</v>
      </c>
      <c r="J383" s="362"/>
      <c r="K383" s="351"/>
      <c r="L383" s="351"/>
      <c r="M383" s="351"/>
      <c r="N383" s="351"/>
      <c r="O383" s="351"/>
      <c r="P383" s="351"/>
      <c r="Q383" s="351"/>
      <c r="R383" s="351"/>
      <c r="S383" s="351"/>
      <c r="T383" s="351"/>
      <c r="U383" s="351"/>
      <c r="V383" s="351"/>
      <c r="W383" s="351"/>
      <c r="X383" s="351"/>
      <c r="Y383" s="351"/>
      <c r="Z383" s="351"/>
      <c r="AA383" s="351"/>
    </row>
    <row r="384" ht="14.25" customHeight="1">
      <c r="A384" s="365" t="s">
        <v>10759</v>
      </c>
      <c r="B384" s="177"/>
      <c r="C384" s="296" t="s">
        <v>9763</v>
      </c>
      <c r="D384" s="303" t="s">
        <v>271</v>
      </c>
      <c r="E384" s="371"/>
      <c r="F384" s="331" t="s">
        <v>10792</v>
      </c>
      <c r="G384" s="331" t="s">
        <v>10793</v>
      </c>
      <c r="H384" s="331" t="s">
        <v>10794</v>
      </c>
      <c r="I384" s="382" t="s">
        <v>36</v>
      </c>
      <c r="J384" s="362"/>
      <c r="K384" s="351"/>
      <c r="L384" s="351"/>
      <c r="M384" s="351"/>
      <c r="N384" s="351"/>
      <c r="O384" s="351"/>
      <c r="P384" s="351"/>
      <c r="Q384" s="351"/>
      <c r="R384" s="351"/>
      <c r="S384" s="351"/>
      <c r="T384" s="351"/>
      <c r="U384" s="351"/>
      <c r="V384" s="351"/>
      <c r="W384" s="351"/>
      <c r="X384" s="351"/>
      <c r="Y384" s="351"/>
      <c r="Z384" s="351"/>
      <c r="AA384" s="351"/>
    </row>
    <row r="385" ht="14.25" customHeight="1">
      <c r="A385" s="365" t="s">
        <v>10759</v>
      </c>
      <c r="B385" s="177"/>
      <c r="C385" s="296" t="s">
        <v>9767</v>
      </c>
      <c r="D385" s="303" t="s">
        <v>271</v>
      </c>
      <c r="E385" s="371"/>
      <c r="F385" s="331" t="s">
        <v>10795</v>
      </c>
      <c r="G385" s="331" t="s">
        <v>10796</v>
      </c>
      <c r="H385" s="331" t="s">
        <v>10797</v>
      </c>
      <c r="I385" s="382" t="s">
        <v>36</v>
      </c>
      <c r="J385" s="362"/>
      <c r="K385" s="351"/>
      <c r="L385" s="351"/>
      <c r="M385" s="351"/>
      <c r="N385" s="351"/>
      <c r="O385" s="351"/>
      <c r="P385" s="351"/>
      <c r="Q385" s="351"/>
      <c r="R385" s="351"/>
      <c r="S385" s="351"/>
      <c r="T385" s="351"/>
      <c r="U385" s="351"/>
      <c r="V385" s="351"/>
      <c r="W385" s="351"/>
      <c r="X385" s="351"/>
      <c r="Y385" s="351"/>
      <c r="Z385" s="351"/>
      <c r="AA385" s="351"/>
    </row>
    <row r="386" ht="14.25" customHeight="1">
      <c r="A386" s="365" t="s">
        <v>10759</v>
      </c>
      <c r="B386" s="177"/>
      <c r="C386" s="296" t="s">
        <v>9772</v>
      </c>
      <c r="D386" s="303" t="s">
        <v>271</v>
      </c>
      <c r="E386" s="371"/>
      <c r="F386" s="331" t="s">
        <v>10798</v>
      </c>
      <c r="G386" s="331" t="s">
        <v>10799</v>
      </c>
      <c r="H386" s="331" t="s">
        <v>10800</v>
      </c>
      <c r="I386" s="382" t="s">
        <v>317</v>
      </c>
      <c r="J386" s="362"/>
      <c r="K386" s="351"/>
      <c r="L386" s="351"/>
      <c r="M386" s="351"/>
      <c r="N386" s="351"/>
      <c r="O386" s="351"/>
      <c r="P386" s="351"/>
      <c r="Q386" s="351"/>
      <c r="R386" s="351"/>
      <c r="S386" s="351"/>
      <c r="T386" s="351"/>
      <c r="U386" s="351"/>
      <c r="V386" s="351"/>
      <c r="W386" s="351"/>
      <c r="X386" s="351"/>
      <c r="Y386" s="351"/>
      <c r="Z386" s="351"/>
      <c r="AA386" s="351"/>
    </row>
    <row r="387" ht="14.25" customHeight="1">
      <c r="A387" s="365" t="s">
        <v>10759</v>
      </c>
      <c r="B387" s="177"/>
      <c r="C387" s="296" t="s">
        <v>10339</v>
      </c>
      <c r="D387" s="303" t="s">
        <v>271</v>
      </c>
      <c r="E387" s="371"/>
      <c r="F387" s="331" t="s">
        <v>10792</v>
      </c>
      <c r="G387" s="331" t="s">
        <v>10801</v>
      </c>
      <c r="H387" s="331" t="s">
        <v>10802</v>
      </c>
      <c r="I387" s="382" t="s">
        <v>36</v>
      </c>
      <c r="J387" s="362"/>
      <c r="K387" s="351"/>
      <c r="L387" s="351"/>
      <c r="M387" s="351"/>
      <c r="N387" s="351"/>
      <c r="O387" s="351"/>
      <c r="P387" s="351"/>
      <c r="Q387" s="351"/>
      <c r="R387" s="351"/>
      <c r="S387" s="351"/>
      <c r="T387" s="351"/>
      <c r="U387" s="351"/>
      <c r="V387" s="351"/>
      <c r="W387" s="351"/>
      <c r="X387" s="351"/>
      <c r="Y387" s="351"/>
      <c r="Z387" s="351"/>
      <c r="AA387" s="351"/>
    </row>
    <row r="388" ht="14.25" customHeight="1">
      <c r="A388" s="365" t="s">
        <v>10759</v>
      </c>
      <c r="B388" s="177"/>
      <c r="C388" s="296" t="s">
        <v>10343</v>
      </c>
      <c r="D388" s="303" t="s">
        <v>271</v>
      </c>
      <c r="E388" s="371"/>
      <c r="F388" s="331" t="s">
        <v>10803</v>
      </c>
      <c r="G388" s="331" t="s">
        <v>10804</v>
      </c>
      <c r="H388" s="331" t="s">
        <v>10805</v>
      </c>
      <c r="I388" s="382" t="s">
        <v>36</v>
      </c>
      <c r="J388" s="362"/>
      <c r="K388" s="351"/>
      <c r="L388" s="351"/>
      <c r="M388" s="351"/>
      <c r="N388" s="351"/>
      <c r="O388" s="351"/>
      <c r="P388" s="351"/>
      <c r="Q388" s="351"/>
      <c r="R388" s="351"/>
      <c r="S388" s="351"/>
      <c r="T388" s="351"/>
      <c r="U388" s="351"/>
      <c r="V388" s="351"/>
      <c r="W388" s="351"/>
      <c r="X388" s="351"/>
      <c r="Y388" s="351"/>
      <c r="Z388" s="351"/>
      <c r="AA388" s="351"/>
    </row>
    <row r="389" ht="14.25" customHeight="1">
      <c r="A389" s="365" t="s">
        <v>10759</v>
      </c>
      <c r="B389" s="179"/>
      <c r="C389" s="296" t="s">
        <v>10347</v>
      </c>
      <c r="D389" s="303" t="s">
        <v>271</v>
      </c>
      <c r="E389" s="371"/>
      <c r="F389" s="331" t="s">
        <v>10806</v>
      </c>
      <c r="G389" s="331" t="s">
        <v>10807</v>
      </c>
      <c r="H389" s="331" t="s">
        <v>10808</v>
      </c>
      <c r="I389" s="382" t="s">
        <v>36</v>
      </c>
      <c r="J389" s="362"/>
      <c r="K389" s="351"/>
      <c r="L389" s="351"/>
      <c r="M389" s="351"/>
      <c r="N389" s="351"/>
      <c r="O389" s="351"/>
      <c r="P389" s="351"/>
      <c r="Q389" s="351"/>
      <c r="R389" s="351"/>
      <c r="S389" s="351"/>
      <c r="T389" s="351"/>
      <c r="U389" s="351"/>
      <c r="V389" s="351"/>
      <c r="W389" s="351"/>
      <c r="X389" s="351"/>
      <c r="Y389" s="351"/>
      <c r="Z389" s="351"/>
      <c r="AA389" s="351"/>
    </row>
    <row r="390" ht="14.25" customHeight="1">
      <c r="A390" s="383"/>
      <c r="B390" s="371"/>
      <c r="C390" s="296" t="s">
        <v>10240</v>
      </c>
      <c r="D390" s="351"/>
      <c r="E390" s="137" t="s">
        <v>10809</v>
      </c>
      <c r="F390" s="331" t="s">
        <v>10810</v>
      </c>
      <c r="G390" s="331" t="s">
        <v>10811</v>
      </c>
      <c r="H390" s="331" t="s">
        <v>10812</v>
      </c>
      <c r="I390" s="303" t="s">
        <v>36</v>
      </c>
      <c r="J390" s="362"/>
      <c r="K390" s="351"/>
      <c r="L390" s="351"/>
      <c r="M390" s="351"/>
      <c r="N390" s="351"/>
      <c r="O390" s="351"/>
      <c r="P390" s="351"/>
      <c r="Q390" s="351"/>
      <c r="R390" s="351"/>
      <c r="S390" s="351"/>
      <c r="T390" s="351"/>
      <c r="U390" s="351"/>
      <c r="V390" s="351"/>
      <c r="W390" s="351"/>
      <c r="X390" s="351"/>
      <c r="Y390" s="351"/>
      <c r="Z390" s="351"/>
      <c r="AA390" s="351"/>
    </row>
    <row r="391" ht="14.25" customHeight="1">
      <c r="A391" s="383"/>
      <c r="B391" s="371"/>
      <c r="C391" s="296" t="s">
        <v>10245</v>
      </c>
      <c r="D391" s="351"/>
      <c r="E391" s="371"/>
      <c r="F391" s="331" t="s">
        <v>10813</v>
      </c>
      <c r="G391" s="331" t="s">
        <v>10814</v>
      </c>
      <c r="H391" s="331" t="s">
        <v>10815</v>
      </c>
      <c r="I391" s="303" t="s">
        <v>36</v>
      </c>
      <c r="J391" s="362"/>
      <c r="K391" s="351"/>
      <c r="L391" s="351"/>
      <c r="M391" s="351"/>
      <c r="N391" s="351"/>
      <c r="O391" s="351"/>
      <c r="P391" s="351"/>
      <c r="Q391" s="351"/>
      <c r="R391" s="351"/>
      <c r="S391" s="351"/>
      <c r="T391" s="351"/>
      <c r="U391" s="351"/>
      <c r="V391" s="351"/>
      <c r="W391" s="351"/>
      <c r="X391" s="351"/>
      <c r="Y391" s="351"/>
      <c r="Z391" s="351"/>
      <c r="AA391" s="351"/>
    </row>
    <row r="392" ht="14.25" customHeight="1">
      <c r="A392" s="383"/>
      <c r="B392" s="371"/>
      <c r="C392" s="296" t="s">
        <v>10249</v>
      </c>
      <c r="D392" s="351"/>
      <c r="E392" s="371"/>
      <c r="F392" s="331" t="s">
        <v>10816</v>
      </c>
      <c r="G392" s="331" t="s">
        <v>10817</v>
      </c>
      <c r="H392" s="331" t="s">
        <v>10818</v>
      </c>
      <c r="I392" s="303" t="s">
        <v>36</v>
      </c>
      <c r="J392" s="362"/>
      <c r="K392" s="351"/>
      <c r="L392" s="351"/>
      <c r="M392" s="351"/>
      <c r="N392" s="351"/>
      <c r="O392" s="351"/>
      <c r="P392" s="351"/>
      <c r="Q392" s="351"/>
      <c r="R392" s="351"/>
      <c r="S392" s="351"/>
      <c r="T392" s="351"/>
      <c r="U392" s="351"/>
      <c r="V392" s="351"/>
      <c r="W392" s="351"/>
      <c r="X392" s="351"/>
      <c r="Y392" s="351"/>
      <c r="Z392" s="351"/>
      <c r="AA392" s="351"/>
    </row>
    <row r="393" ht="14.25" customHeight="1">
      <c r="A393" s="383"/>
      <c r="B393" s="371"/>
      <c r="C393" s="296" t="s">
        <v>10253</v>
      </c>
      <c r="D393" s="351"/>
      <c r="E393" s="371"/>
      <c r="F393" s="331" t="s">
        <v>10819</v>
      </c>
      <c r="G393" s="331" t="s">
        <v>10820</v>
      </c>
      <c r="H393" s="331" t="s">
        <v>10821</v>
      </c>
      <c r="I393" s="303" t="s">
        <v>36</v>
      </c>
      <c r="J393" s="362"/>
      <c r="K393" s="351"/>
      <c r="L393" s="351"/>
      <c r="M393" s="351"/>
      <c r="N393" s="351"/>
      <c r="O393" s="351"/>
      <c r="P393" s="351"/>
      <c r="Q393" s="351"/>
      <c r="R393" s="351"/>
      <c r="S393" s="351"/>
      <c r="T393" s="351"/>
      <c r="U393" s="351"/>
      <c r="V393" s="351"/>
      <c r="W393" s="351"/>
      <c r="X393" s="351"/>
      <c r="Y393" s="351"/>
      <c r="Z393" s="351"/>
      <c r="AA393" s="351"/>
    </row>
    <row r="394" ht="14.25" customHeight="1">
      <c r="A394" s="383"/>
      <c r="B394" s="371"/>
      <c r="C394" s="296" t="s">
        <v>10257</v>
      </c>
      <c r="D394" s="351"/>
      <c r="E394" s="371"/>
      <c r="F394" s="331" t="s">
        <v>10822</v>
      </c>
      <c r="G394" s="331" t="s">
        <v>10817</v>
      </c>
      <c r="H394" s="331" t="s">
        <v>10823</v>
      </c>
      <c r="I394" s="303" t="s">
        <v>36</v>
      </c>
      <c r="J394" s="362"/>
      <c r="K394" s="351"/>
      <c r="L394" s="351"/>
      <c r="M394" s="351"/>
      <c r="N394" s="351"/>
      <c r="O394" s="351"/>
      <c r="P394" s="351"/>
      <c r="Q394" s="351"/>
      <c r="R394" s="351"/>
      <c r="S394" s="351"/>
      <c r="T394" s="351"/>
      <c r="U394" s="351"/>
      <c r="V394" s="351"/>
      <c r="W394" s="351"/>
      <c r="X394" s="351"/>
      <c r="Y394" s="351"/>
      <c r="Z394" s="351"/>
      <c r="AA394" s="351"/>
    </row>
    <row r="395" ht="14.25" customHeight="1">
      <c r="A395" s="383"/>
      <c r="B395" s="371"/>
      <c r="C395" s="296" t="s">
        <v>10260</v>
      </c>
      <c r="D395" s="351"/>
      <c r="E395" s="371"/>
      <c r="F395" s="331" t="s">
        <v>10824</v>
      </c>
      <c r="G395" s="331" t="s">
        <v>10820</v>
      </c>
      <c r="H395" s="331" t="s">
        <v>10825</v>
      </c>
      <c r="I395" s="303" t="s">
        <v>36</v>
      </c>
      <c r="J395" s="362"/>
      <c r="K395" s="351"/>
      <c r="L395" s="351"/>
      <c r="M395" s="351"/>
      <c r="N395" s="351"/>
      <c r="O395" s="351"/>
      <c r="P395" s="351"/>
      <c r="Q395" s="351"/>
      <c r="R395" s="351"/>
      <c r="S395" s="351"/>
      <c r="T395" s="351"/>
      <c r="U395" s="351"/>
      <c r="V395" s="351"/>
      <c r="W395" s="351"/>
      <c r="X395" s="351"/>
      <c r="Y395" s="351"/>
      <c r="Z395" s="351"/>
      <c r="AA395" s="351"/>
    </row>
    <row r="396" ht="14.25" customHeight="1">
      <c r="A396" s="383"/>
      <c r="B396" s="371"/>
      <c r="C396" s="296" t="s">
        <v>10263</v>
      </c>
      <c r="D396" s="351"/>
      <c r="E396" s="371"/>
      <c r="F396" s="331" t="s">
        <v>10826</v>
      </c>
      <c r="G396" s="331" t="s">
        <v>10827</v>
      </c>
      <c r="H396" s="331" t="s">
        <v>10828</v>
      </c>
      <c r="I396" s="303" t="s">
        <v>36</v>
      </c>
      <c r="J396" s="362"/>
      <c r="K396" s="351"/>
      <c r="L396" s="351"/>
      <c r="M396" s="351"/>
      <c r="N396" s="351"/>
      <c r="O396" s="351"/>
      <c r="P396" s="351"/>
      <c r="Q396" s="351"/>
      <c r="R396" s="351"/>
      <c r="S396" s="351"/>
      <c r="T396" s="351"/>
      <c r="U396" s="351"/>
      <c r="V396" s="351"/>
      <c r="W396" s="351"/>
      <c r="X396" s="351"/>
      <c r="Y396" s="351"/>
      <c r="Z396" s="351"/>
      <c r="AA396" s="351"/>
    </row>
    <row r="397" ht="14.25" customHeight="1">
      <c r="A397" s="383"/>
      <c r="B397" s="137" t="s">
        <v>1775</v>
      </c>
      <c r="C397" s="296" t="s">
        <v>10829</v>
      </c>
      <c r="D397" s="351"/>
      <c r="E397" s="137" t="s">
        <v>10830</v>
      </c>
      <c r="F397" s="331" t="s">
        <v>10831</v>
      </c>
      <c r="G397" s="331" t="s">
        <v>10832</v>
      </c>
      <c r="H397" s="331" t="s">
        <v>10833</v>
      </c>
      <c r="I397" s="303" t="s">
        <v>36</v>
      </c>
      <c r="J397" s="362"/>
      <c r="K397" s="351"/>
      <c r="L397" s="351"/>
      <c r="M397" s="351"/>
      <c r="N397" s="351"/>
      <c r="O397" s="351"/>
      <c r="P397" s="351"/>
      <c r="Q397" s="351"/>
      <c r="R397" s="351"/>
      <c r="S397" s="351"/>
      <c r="T397" s="351"/>
      <c r="U397" s="351"/>
      <c r="V397" s="351"/>
      <c r="W397" s="351"/>
      <c r="X397" s="351"/>
      <c r="Y397" s="351"/>
      <c r="Z397" s="351"/>
      <c r="AA397" s="351"/>
    </row>
    <row r="398" ht="14.25" customHeight="1">
      <c r="A398" s="383"/>
      <c r="B398" s="371"/>
      <c r="C398" s="296" t="s">
        <v>10834</v>
      </c>
      <c r="D398" s="351"/>
      <c r="E398" s="371"/>
      <c r="F398" s="331" t="s">
        <v>10835</v>
      </c>
      <c r="G398" s="331" t="s">
        <v>10836</v>
      </c>
      <c r="H398" s="331" t="s">
        <v>10837</v>
      </c>
      <c r="I398" s="303" t="s">
        <v>36</v>
      </c>
      <c r="J398" s="362"/>
      <c r="K398" s="351"/>
      <c r="L398" s="351"/>
      <c r="M398" s="351"/>
      <c r="N398" s="351"/>
      <c r="O398" s="351"/>
      <c r="P398" s="351"/>
      <c r="Q398" s="351"/>
      <c r="R398" s="351"/>
      <c r="S398" s="351"/>
      <c r="T398" s="351"/>
      <c r="U398" s="351"/>
      <c r="V398" s="351"/>
      <c r="W398" s="351"/>
      <c r="X398" s="351"/>
      <c r="Y398" s="351"/>
      <c r="Z398" s="351"/>
      <c r="AA398" s="351"/>
    </row>
    <row r="399" ht="14.25" customHeight="1">
      <c r="A399" s="383"/>
      <c r="B399" s="371"/>
      <c r="C399" s="296" t="s">
        <v>10838</v>
      </c>
      <c r="D399" s="351"/>
      <c r="E399" s="371"/>
      <c r="F399" s="331" t="s">
        <v>10839</v>
      </c>
      <c r="G399" s="331" t="s">
        <v>10840</v>
      </c>
      <c r="H399" s="331" t="s">
        <v>10841</v>
      </c>
      <c r="I399" s="303" t="s">
        <v>36</v>
      </c>
      <c r="J399" s="362"/>
      <c r="K399" s="351"/>
      <c r="L399" s="351"/>
      <c r="M399" s="351"/>
      <c r="N399" s="351"/>
      <c r="O399" s="351"/>
      <c r="P399" s="351"/>
      <c r="Q399" s="351"/>
      <c r="R399" s="351"/>
      <c r="S399" s="351"/>
      <c r="T399" s="351"/>
      <c r="U399" s="351"/>
      <c r="V399" s="351"/>
      <c r="W399" s="351"/>
      <c r="X399" s="351"/>
      <c r="Y399" s="351"/>
      <c r="Z399" s="351"/>
      <c r="AA399" s="351"/>
    </row>
    <row r="400" ht="14.25" customHeight="1">
      <c r="A400" s="383"/>
      <c r="B400" s="371"/>
      <c r="C400" s="296" t="s">
        <v>10842</v>
      </c>
      <c r="D400" s="351"/>
      <c r="E400" s="371"/>
      <c r="F400" s="331" t="s">
        <v>10843</v>
      </c>
      <c r="G400" s="331" t="s">
        <v>10844</v>
      </c>
      <c r="H400" s="331" t="s">
        <v>10845</v>
      </c>
      <c r="I400" s="303" t="s">
        <v>36</v>
      </c>
      <c r="J400" s="362"/>
      <c r="K400" s="351"/>
      <c r="L400" s="351"/>
      <c r="M400" s="351"/>
      <c r="N400" s="351"/>
      <c r="O400" s="351"/>
      <c r="P400" s="351"/>
      <c r="Q400" s="351"/>
      <c r="R400" s="351"/>
      <c r="S400" s="351"/>
      <c r="T400" s="351"/>
      <c r="U400" s="351"/>
      <c r="V400" s="351"/>
      <c r="W400" s="351"/>
      <c r="X400" s="351"/>
      <c r="Y400" s="351"/>
      <c r="Z400" s="351"/>
      <c r="AA400" s="351"/>
    </row>
    <row r="401" ht="14.25" customHeight="1">
      <c r="A401" s="383"/>
      <c r="B401" s="371"/>
      <c r="C401" s="296" t="s">
        <v>10846</v>
      </c>
      <c r="D401" s="351"/>
      <c r="E401" s="371"/>
      <c r="F401" s="331" t="s">
        <v>10847</v>
      </c>
      <c r="G401" s="331" t="s">
        <v>10848</v>
      </c>
      <c r="H401" s="331" t="s">
        <v>10849</v>
      </c>
      <c r="I401" s="303" t="s">
        <v>36</v>
      </c>
      <c r="J401" s="362"/>
      <c r="K401" s="351"/>
      <c r="L401" s="351"/>
      <c r="M401" s="351"/>
      <c r="N401" s="351"/>
      <c r="O401" s="351"/>
      <c r="P401" s="351"/>
      <c r="Q401" s="351"/>
      <c r="R401" s="351"/>
      <c r="S401" s="351"/>
      <c r="T401" s="351"/>
      <c r="U401" s="351"/>
      <c r="V401" s="351"/>
      <c r="W401" s="351"/>
      <c r="X401" s="351"/>
      <c r="Y401" s="351"/>
      <c r="Z401" s="351"/>
      <c r="AA401" s="351"/>
    </row>
    <row r="402" ht="14.25" customHeight="1">
      <c r="A402" s="383"/>
      <c r="B402" s="371"/>
      <c r="C402" s="296" t="s">
        <v>10850</v>
      </c>
      <c r="D402" s="351"/>
      <c r="E402" s="371"/>
      <c r="F402" s="331" t="s">
        <v>10851</v>
      </c>
      <c r="G402" s="331" t="s">
        <v>10852</v>
      </c>
      <c r="H402" s="331" t="s">
        <v>10853</v>
      </c>
      <c r="I402" s="303" t="s">
        <v>36</v>
      </c>
      <c r="J402" s="362"/>
      <c r="K402" s="351"/>
      <c r="L402" s="351"/>
      <c r="M402" s="351"/>
      <c r="N402" s="351"/>
      <c r="O402" s="351"/>
      <c r="P402" s="351"/>
      <c r="Q402" s="351"/>
      <c r="R402" s="351"/>
      <c r="S402" s="351"/>
      <c r="T402" s="351"/>
      <c r="U402" s="351"/>
      <c r="V402" s="351"/>
      <c r="W402" s="351"/>
      <c r="X402" s="351"/>
      <c r="Y402" s="351"/>
      <c r="Z402" s="351"/>
      <c r="AA402" s="351"/>
    </row>
    <row r="403" ht="14.25" customHeight="1">
      <c r="A403" s="383"/>
      <c r="B403" s="371"/>
      <c r="C403" s="296" t="s">
        <v>10854</v>
      </c>
      <c r="D403" s="351"/>
      <c r="E403" s="371"/>
      <c r="F403" s="331" t="s">
        <v>10855</v>
      </c>
      <c r="G403" s="331" t="s">
        <v>10852</v>
      </c>
      <c r="H403" s="331" t="s">
        <v>10856</v>
      </c>
      <c r="I403" s="303" t="s">
        <v>36</v>
      </c>
      <c r="J403" s="362"/>
      <c r="K403" s="351"/>
      <c r="L403" s="351"/>
      <c r="M403" s="351"/>
      <c r="N403" s="351"/>
      <c r="O403" s="351"/>
      <c r="P403" s="351"/>
      <c r="Q403" s="351"/>
      <c r="R403" s="351"/>
      <c r="S403" s="351"/>
      <c r="T403" s="351"/>
      <c r="U403" s="351"/>
      <c r="V403" s="351"/>
      <c r="W403" s="351"/>
      <c r="X403" s="351"/>
      <c r="Y403" s="351"/>
      <c r="Z403" s="351"/>
      <c r="AA403" s="351"/>
    </row>
    <row r="404" ht="14.25" customHeight="1">
      <c r="A404" s="383"/>
      <c r="B404" s="371"/>
      <c r="C404" s="296" t="s">
        <v>10857</v>
      </c>
      <c r="D404" s="351"/>
      <c r="E404" s="371"/>
      <c r="F404" s="331" t="s">
        <v>10858</v>
      </c>
      <c r="G404" s="331" t="s">
        <v>10859</v>
      </c>
      <c r="H404" s="331" t="s">
        <v>10860</v>
      </c>
      <c r="I404" s="303" t="s">
        <v>36</v>
      </c>
      <c r="J404" s="362"/>
      <c r="K404" s="351"/>
      <c r="L404" s="351"/>
      <c r="M404" s="351"/>
      <c r="N404" s="351"/>
      <c r="O404" s="351"/>
      <c r="P404" s="351"/>
      <c r="Q404" s="351"/>
      <c r="R404" s="351"/>
      <c r="S404" s="351"/>
      <c r="T404" s="351"/>
      <c r="U404" s="351"/>
      <c r="V404" s="351"/>
      <c r="W404" s="351"/>
      <c r="X404" s="351"/>
      <c r="Y404" s="351"/>
      <c r="Z404" s="351"/>
      <c r="AA404" s="351"/>
    </row>
    <row r="405" ht="14.25" customHeight="1">
      <c r="A405" s="383"/>
      <c r="B405" s="371"/>
      <c r="C405" s="296" t="s">
        <v>10861</v>
      </c>
      <c r="D405" s="351"/>
      <c r="E405" s="137" t="s">
        <v>10862</v>
      </c>
      <c r="F405" s="258" t="s">
        <v>10863</v>
      </c>
      <c r="G405" s="331" t="s">
        <v>10864</v>
      </c>
      <c r="H405" s="331" t="s">
        <v>10865</v>
      </c>
      <c r="I405" s="303" t="s">
        <v>36</v>
      </c>
      <c r="J405" s="362"/>
      <c r="K405" s="351"/>
      <c r="L405" s="351"/>
      <c r="M405" s="351"/>
      <c r="N405" s="351"/>
      <c r="O405" s="351"/>
      <c r="P405" s="351"/>
      <c r="Q405" s="351"/>
      <c r="R405" s="351"/>
      <c r="S405" s="351"/>
      <c r="T405" s="351"/>
      <c r="U405" s="351"/>
      <c r="V405" s="351"/>
      <c r="W405" s="351"/>
      <c r="X405" s="351"/>
      <c r="Y405" s="351"/>
      <c r="Z405" s="351"/>
      <c r="AA405" s="351"/>
    </row>
    <row r="406" ht="14.25" customHeight="1">
      <c r="A406" s="383"/>
      <c r="B406" s="371"/>
      <c r="C406" s="296" t="s">
        <v>10866</v>
      </c>
      <c r="D406" s="351"/>
      <c r="E406" s="371"/>
      <c r="F406" s="258" t="s">
        <v>10867</v>
      </c>
      <c r="G406" s="331" t="s">
        <v>10868</v>
      </c>
      <c r="H406" s="331" t="s">
        <v>10869</v>
      </c>
      <c r="I406" s="303" t="s">
        <v>36</v>
      </c>
      <c r="J406" s="362"/>
      <c r="K406" s="351"/>
      <c r="L406" s="351"/>
      <c r="M406" s="351"/>
      <c r="N406" s="351"/>
      <c r="O406" s="351"/>
      <c r="P406" s="351"/>
      <c r="Q406" s="351"/>
      <c r="R406" s="351"/>
      <c r="S406" s="351"/>
      <c r="T406" s="351"/>
      <c r="U406" s="351"/>
      <c r="V406" s="351"/>
      <c r="W406" s="351"/>
      <c r="X406" s="351"/>
      <c r="Y406" s="351"/>
      <c r="Z406" s="351"/>
      <c r="AA406" s="351"/>
    </row>
    <row r="407" ht="14.25" customHeight="1">
      <c r="A407" s="383"/>
      <c r="B407" s="371"/>
      <c r="C407" s="296" t="s">
        <v>10870</v>
      </c>
      <c r="D407" s="351"/>
      <c r="E407" s="371"/>
      <c r="F407" s="258" t="s">
        <v>10871</v>
      </c>
      <c r="G407" s="331" t="s">
        <v>10872</v>
      </c>
      <c r="H407" s="331" t="s">
        <v>10873</v>
      </c>
      <c r="I407" s="303" t="s">
        <v>36</v>
      </c>
      <c r="J407" s="362"/>
      <c r="K407" s="351"/>
      <c r="L407" s="351"/>
      <c r="M407" s="351"/>
      <c r="N407" s="351"/>
      <c r="O407" s="351"/>
      <c r="P407" s="351"/>
      <c r="Q407" s="351"/>
      <c r="R407" s="351"/>
      <c r="S407" s="351"/>
      <c r="T407" s="351"/>
      <c r="U407" s="351"/>
      <c r="V407" s="351"/>
      <c r="W407" s="351"/>
      <c r="X407" s="351"/>
      <c r="Y407" s="351"/>
      <c r="Z407" s="351"/>
      <c r="AA407" s="351"/>
    </row>
    <row r="408" ht="14.25" customHeight="1">
      <c r="A408" s="383"/>
      <c r="B408" s="371"/>
      <c r="C408" s="296" t="s">
        <v>10874</v>
      </c>
      <c r="D408" s="351"/>
      <c r="E408" s="371"/>
      <c r="F408" s="258" t="s">
        <v>10875</v>
      </c>
      <c r="G408" s="331" t="s">
        <v>10876</v>
      </c>
      <c r="H408" s="331" t="s">
        <v>10877</v>
      </c>
      <c r="I408" s="303" t="s">
        <v>36</v>
      </c>
      <c r="J408" s="362"/>
      <c r="K408" s="351"/>
      <c r="L408" s="351"/>
      <c r="M408" s="351"/>
      <c r="N408" s="351"/>
      <c r="O408" s="351"/>
      <c r="P408" s="351"/>
      <c r="Q408" s="351"/>
      <c r="R408" s="351"/>
      <c r="S408" s="351"/>
      <c r="T408" s="351"/>
      <c r="U408" s="351"/>
      <c r="V408" s="351"/>
      <c r="W408" s="351"/>
      <c r="X408" s="351"/>
      <c r="Y408" s="351"/>
      <c r="Z408" s="351"/>
      <c r="AA408" s="351"/>
    </row>
    <row r="409" ht="14.25" customHeight="1">
      <c r="A409" s="383"/>
      <c r="B409" s="371"/>
      <c r="C409" s="296" t="s">
        <v>10878</v>
      </c>
      <c r="D409" s="351"/>
      <c r="E409" s="371"/>
      <c r="F409" s="258" t="s">
        <v>10879</v>
      </c>
      <c r="G409" s="331" t="s">
        <v>10880</v>
      </c>
      <c r="H409" s="331" t="s">
        <v>10881</v>
      </c>
      <c r="I409" s="303" t="s">
        <v>36</v>
      </c>
      <c r="J409" s="362"/>
      <c r="K409" s="351"/>
      <c r="L409" s="351"/>
      <c r="M409" s="351"/>
      <c r="N409" s="351"/>
      <c r="O409" s="351"/>
      <c r="P409" s="351"/>
      <c r="Q409" s="351"/>
      <c r="R409" s="351"/>
      <c r="S409" s="351"/>
      <c r="T409" s="351"/>
      <c r="U409" s="351"/>
      <c r="V409" s="351"/>
      <c r="W409" s="351"/>
      <c r="X409" s="351"/>
      <c r="Y409" s="351"/>
      <c r="Z409" s="351"/>
      <c r="AA409" s="351"/>
    </row>
    <row r="410" ht="14.25" customHeight="1">
      <c r="A410" s="383"/>
      <c r="B410" s="371"/>
      <c r="C410" s="296" t="s">
        <v>10882</v>
      </c>
      <c r="D410" s="351"/>
      <c r="E410" s="371"/>
      <c r="F410" s="258" t="s">
        <v>10883</v>
      </c>
      <c r="G410" s="331" t="s">
        <v>10884</v>
      </c>
      <c r="H410" s="331" t="s">
        <v>10885</v>
      </c>
      <c r="I410" s="303" t="s">
        <v>36</v>
      </c>
      <c r="J410" s="362"/>
      <c r="K410" s="351"/>
      <c r="L410" s="351"/>
      <c r="M410" s="351"/>
      <c r="N410" s="351"/>
      <c r="O410" s="351"/>
      <c r="P410" s="351"/>
      <c r="Q410" s="351"/>
      <c r="R410" s="351"/>
      <c r="S410" s="351"/>
      <c r="T410" s="351"/>
      <c r="U410" s="351"/>
      <c r="V410" s="351"/>
      <c r="W410" s="351"/>
      <c r="X410" s="351"/>
      <c r="Y410" s="351"/>
      <c r="Z410" s="351"/>
      <c r="AA410" s="351"/>
    </row>
    <row r="411" ht="14.25" customHeight="1">
      <c r="A411" s="383"/>
      <c r="B411" s="371"/>
      <c r="C411" s="296" t="s">
        <v>10886</v>
      </c>
      <c r="D411" s="351"/>
      <c r="E411" s="371"/>
      <c r="F411" s="258" t="s">
        <v>10887</v>
      </c>
      <c r="G411" s="331" t="s">
        <v>10888</v>
      </c>
      <c r="H411" s="331" t="s">
        <v>10889</v>
      </c>
      <c r="I411" s="303" t="s">
        <v>36</v>
      </c>
      <c r="J411" s="362"/>
      <c r="K411" s="351"/>
      <c r="L411" s="351"/>
      <c r="M411" s="351"/>
      <c r="N411" s="351"/>
      <c r="O411" s="351"/>
      <c r="P411" s="351"/>
      <c r="Q411" s="351"/>
      <c r="R411" s="351"/>
      <c r="S411" s="351"/>
      <c r="T411" s="351"/>
      <c r="U411" s="351"/>
      <c r="V411" s="351"/>
      <c r="W411" s="351"/>
      <c r="X411" s="351"/>
      <c r="Y411" s="351"/>
      <c r="Z411" s="351"/>
      <c r="AA411" s="351"/>
    </row>
    <row r="412" ht="14.25" customHeight="1">
      <c r="A412" s="383"/>
      <c r="B412" s="371"/>
      <c r="C412" s="296" t="s">
        <v>10890</v>
      </c>
      <c r="D412" s="351"/>
      <c r="E412" s="371"/>
      <c r="F412" s="384" t="s">
        <v>10891</v>
      </c>
      <c r="G412" s="331" t="s">
        <v>10892</v>
      </c>
      <c r="H412" s="331" t="s">
        <v>10893</v>
      </c>
      <c r="I412" s="303" t="s">
        <v>36</v>
      </c>
      <c r="J412" s="362"/>
      <c r="K412" s="351"/>
      <c r="L412" s="351"/>
      <c r="M412" s="351"/>
      <c r="N412" s="351"/>
      <c r="O412" s="351"/>
      <c r="P412" s="351"/>
      <c r="Q412" s="351"/>
      <c r="R412" s="351"/>
      <c r="S412" s="351"/>
      <c r="T412" s="351"/>
      <c r="U412" s="351"/>
      <c r="V412" s="351"/>
      <c r="W412" s="351"/>
      <c r="X412" s="351"/>
      <c r="Y412" s="351"/>
      <c r="Z412" s="351"/>
      <c r="AA412" s="351"/>
    </row>
    <row r="413" ht="14.25" customHeight="1">
      <c r="A413" s="383"/>
      <c r="B413" s="371"/>
      <c r="C413" s="296" t="s">
        <v>10894</v>
      </c>
      <c r="D413" s="351"/>
      <c r="E413" s="371"/>
      <c r="F413" s="384" t="s">
        <v>10895</v>
      </c>
      <c r="G413" s="331" t="s">
        <v>10896</v>
      </c>
      <c r="H413" s="331" t="s">
        <v>10897</v>
      </c>
      <c r="I413" s="303" t="s">
        <v>36</v>
      </c>
      <c r="J413" s="362"/>
      <c r="K413" s="351"/>
      <c r="L413" s="351"/>
      <c r="M413" s="351"/>
      <c r="N413" s="351"/>
      <c r="O413" s="351"/>
      <c r="P413" s="351"/>
      <c r="Q413" s="351"/>
      <c r="R413" s="351"/>
      <c r="S413" s="351"/>
      <c r="T413" s="351"/>
      <c r="U413" s="351"/>
      <c r="V413" s="351"/>
      <c r="W413" s="351"/>
      <c r="X413" s="351"/>
      <c r="Y413" s="351"/>
      <c r="Z413" s="351"/>
      <c r="AA413" s="351"/>
    </row>
    <row r="414" ht="14.25" customHeight="1">
      <c r="A414" s="383"/>
      <c r="B414" s="371"/>
      <c r="C414" s="296" t="s">
        <v>10898</v>
      </c>
      <c r="D414" s="351"/>
      <c r="E414" s="371"/>
      <c r="F414" s="240" t="s">
        <v>10899</v>
      </c>
      <c r="G414" s="385" t="s">
        <v>10900</v>
      </c>
      <c r="H414" s="385" t="s">
        <v>10901</v>
      </c>
      <c r="I414" s="303" t="s">
        <v>36</v>
      </c>
      <c r="J414" s="362"/>
      <c r="K414" s="351"/>
      <c r="L414" s="351"/>
      <c r="M414" s="351"/>
      <c r="N414" s="351"/>
      <c r="O414" s="351"/>
      <c r="P414" s="351"/>
      <c r="Q414" s="351"/>
      <c r="R414" s="351"/>
      <c r="S414" s="351"/>
      <c r="T414" s="351"/>
      <c r="U414" s="351"/>
      <c r="V414" s="351"/>
      <c r="W414" s="351"/>
      <c r="X414" s="351"/>
      <c r="Y414" s="351"/>
      <c r="Z414" s="351"/>
      <c r="AA414" s="351"/>
    </row>
    <row r="415" ht="14.25" customHeight="1">
      <c r="A415" s="383"/>
      <c r="B415" s="371"/>
      <c r="C415" s="296" t="s">
        <v>10902</v>
      </c>
      <c r="D415" s="351"/>
      <c r="E415" s="371"/>
      <c r="F415" s="240" t="s">
        <v>10899</v>
      </c>
      <c r="G415" s="385" t="s">
        <v>10903</v>
      </c>
      <c r="H415" s="385" t="s">
        <v>10904</v>
      </c>
      <c r="I415" s="303" t="s">
        <v>36</v>
      </c>
      <c r="J415" s="362"/>
      <c r="K415" s="351"/>
      <c r="L415" s="351"/>
      <c r="M415" s="351"/>
      <c r="N415" s="351"/>
      <c r="O415" s="351"/>
      <c r="P415" s="351"/>
      <c r="Q415" s="351"/>
      <c r="R415" s="351"/>
      <c r="S415" s="351"/>
      <c r="T415" s="351"/>
      <c r="U415" s="351"/>
      <c r="V415" s="351"/>
      <c r="W415" s="351"/>
      <c r="X415" s="351"/>
      <c r="Y415" s="351"/>
      <c r="Z415" s="351"/>
      <c r="AA415" s="351"/>
    </row>
    <row r="416" ht="14.25" customHeight="1">
      <c r="A416" s="383"/>
      <c r="B416" s="371"/>
      <c r="C416" s="296" t="s">
        <v>10905</v>
      </c>
      <c r="D416" s="351"/>
      <c r="E416" s="371"/>
      <c r="F416" s="240" t="s">
        <v>10899</v>
      </c>
      <c r="G416" s="385" t="s">
        <v>10906</v>
      </c>
      <c r="H416" s="385" t="s">
        <v>10907</v>
      </c>
      <c r="I416" s="303" t="s">
        <v>36</v>
      </c>
      <c r="J416" s="362"/>
      <c r="K416" s="351"/>
      <c r="L416" s="351"/>
      <c r="M416" s="351"/>
      <c r="N416" s="351"/>
      <c r="O416" s="351"/>
      <c r="P416" s="351"/>
      <c r="Q416" s="351"/>
      <c r="R416" s="351"/>
      <c r="S416" s="351"/>
      <c r="T416" s="351"/>
      <c r="U416" s="351"/>
      <c r="V416" s="351"/>
      <c r="W416" s="351"/>
      <c r="X416" s="351"/>
      <c r="Y416" s="351"/>
      <c r="Z416" s="351"/>
      <c r="AA416" s="351"/>
    </row>
    <row r="417" ht="14.25" customHeight="1">
      <c r="A417" s="383"/>
      <c r="B417" s="371"/>
      <c r="C417" s="296" t="s">
        <v>10908</v>
      </c>
      <c r="D417" s="351"/>
      <c r="E417" s="371"/>
      <c r="F417" s="240" t="s">
        <v>10899</v>
      </c>
      <c r="G417" s="385" t="s">
        <v>10909</v>
      </c>
      <c r="H417" s="385" t="s">
        <v>10907</v>
      </c>
      <c r="I417" s="303" t="s">
        <v>36</v>
      </c>
      <c r="J417" s="362"/>
      <c r="K417" s="351"/>
      <c r="L417" s="351"/>
      <c r="M417" s="351"/>
      <c r="N417" s="351"/>
      <c r="O417" s="351"/>
      <c r="P417" s="351"/>
      <c r="Q417" s="351"/>
      <c r="R417" s="351"/>
      <c r="S417" s="351"/>
      <c r="T417" s="351"/>
      <c r="U417" s="351"/>
      <c r="V417" s="351"/>
      <c r="W417" s="351"/>
      <c r="X417" s="351"/>
      <c r="Y417" s="351"/>
      <c r="Z417" s="351"/>
      <c r="AA417" s="351"/>
    </row>
    <row r="418" ht="14.25" customHeight="1">
      <c r="A418" s="383"/>
      <c r="B418" s="371"/>
      <c r="C418" s="296" t="s">
        <v>10910</v>
      </c>
      <c r="D418" s="351"/>
      <c r="E418" s="371"/>
      <c r="F418" s="240" t="s">
        <v>10899</v>
      </c>
      <c r="G418" s="385" t="s">
        <v>10911</v>
      </c>
      <c r="H418" s="385" t="s">
        <v>10912</v>
      </c>
      <c r="I418" s="303" t="s">
        <v>36</v>
      </c>
      <c r="J418" s="362"/>
      <c r="K418" s="351"/>
      <c r="L418" s="351"/>
      <c r="M418" s="351"/>
      <c r="N418" s="351"/>
      <c r="O418" s="351"/>
      <c r="P418" s="351"/>
      <c r="Q418" s="351"/>
      <c r="R418" s="351"/>
      <c r="S418" s="351"/>
      <c r="T418" s="351"/>
      <c r="U418" s="351"/>
      <c r="V418" s="351"/>
      <c r="W418" s="351"/>
      <c r="X418" s="351"/>
      <c r="Y418" s="351"/>
      <c r="Z418" s="351"/>
      <c r="AA418" s="351"/>
    </row>
    <row r="419" ht="14.25" customHeight="1">
      <c r="A419" s="383"/>
      <c r="B419" s="371"/>
      <c r="C419" s="296" t="s">
        <v>10913</v>
      </c>
      <c r="D419" s="351"/>
      <c r="E419" s="371"/>
      <c r="F419" s="240" t="s">
        <v>10899</v>
      </c>
      <c r="G419" s="385" t="s">
        <v>10914</v>
      </c>
      <c r="H419" s="385" t="s">
        <v>10915</v>
      </c>
      <c r="I419" s="303" t="s">
        <v>36</v>
      </c>
      <c r="J419" s="362"/>
      <c r="K419" s="351"/>
      <c r="L419" s="351"/>
      <c r="M419" s="351"/>
      <c r="N419" s="351"/>
      <c r="O419" s="351"/>
      <c r="P419" s="351"/>
      <c r="Q419" s="351"/>
      <c r="R419" s="351"/>
      <c r="S419" s="351"/>
      <c r="T419" s="351"/>
      <c r="U419" s="351"/>
      <c r="V419" s="351"/>
      <c r="W419" s="351"/>
      <c r="X419" s="351"/>
      <c r="Y419" s="351"/>
      <c r="Z419" s="351"/>
      <c r="AA419" s="351"/>
    </row>
    <row r="420" ht="14.25" customHeight="1">
      <c r="A420" s="383"/>
      <c r="B420" s="371"/>
      <c r="C420" s="296" t="s">
        <v>10916</v>
      </c>
      <c r="D420" s="351"/>
      <c r="E420" s="371"/>
      <c r="F420" s="240" t="s">
        <v>10899</v>
      </c>
      <c r="G420" s="385" t="s">
        <v>10917</v>
      </c>
      <c r="H420" s="385" t="s">
        <v>10915</v>
      </c>
      <c r="I420" s="303" t="s">
        <v>36</v>
      </c>
      <c r="J420" s="362"/>
      <c r="K420" s="351"/>
      <c r="L420" s="351"/>
      <c r="M420" s="351"/>
      <c r="N420" s="351"/>
      <c r="O420" s="351"/>
      <c r="P420" s="351"/>
      <c r="Q420" s="351"/>
      <c r="R420" s="351"/>
      <c r="S420" s="351"/>
      <c r="T420" s="351"/>
      <c r="U420" s="351"/>
      <c r="V420" s="351"/>
      <c r="W420" s="351"/>
      <c r="X420" s="351"/>
      <c r="Y420" s="351"/>
      <c r="Z420" s="351"/>
      <c r="AA420" s="351"/>
    </row>
    <row r="421" ht="14.25" customHeight="1">
      <c r="A421" s="383"/>
      <c r="B421" s="371"/>
      <c r="C421" s="296" t="s">
        <v>10918</v>
      </c>
      <c r="D421" s="351"/>
      <c r="E421" s="371"/>
      <c r="F421" s="240" t="s">
        <v>10899</v>
      </c>
      <c r="G421" s="385" t="s">
        <v>10919</v>
      </c>
      <c r="H421" s="385" t="s">
        <v>10920</v>
      </c>
      <c r="I421" s="303" t="s">
        <v>36</v>
      </c>
      <c r="J421" s="362"/>
      <c r="K421" s="351"/>
      <c r="L421" s="351"/>
      <c r="M421" s="351"/>
      <c r="N421" s="351"/>
      <c r="O421" s="351"/>
      <c r="P421" s="351"/>
      <c r="Q421" s="351"/>
      <c r="R421" s="351"/>
      <c r="S421" s="351"/>
      <c r="T421" s="351"/>
      <c r="U421" s="351"/>
      <c r="V421" s="351"/>
      <c r="W421" s="351"/>
      <c r="X421" s="351"/>
      <c r="Y421" s="351"/>
      <c r="Z421" s="351"/>
      <c r="AA421" s="351"/>
    </row>
    <row r="422" ht="14.25" customHeight="1">
      <c r="A422" s="383"/>
      <c r="B422" s="371"/>
      <c r="C422" s="296" t="s">
        <v>10921</v>
      </c>
      <c r="D422" s="351"/>
      <c r="E422" s="371"/>
      <c r="F422" s="240" t="s">
        <v>10899</v>
      </c>
      <c r="G422" s="385" t="s">
        <v>10922</v>
      </c>
      <c r="H422" s="385" t="s">
        <v>10920</v>
      </c>
      <c r="I422" s="303" t="s">
        <v>36</v>
      </c>
      <c r="J422" s="362"/>
      <c r="K422" s="351"/>
      <c r="L422" s="351"/>
      <c r="M422" s="351"/>
      <c r="N422" s="351"/>
      <c r="O422" s="351"/>
      <c r="P422" s="351"/>
      <c r="Q422" s="351"/>
      <c r="R422" s="351"/>
      <c r="S422" s="351"/>
      <c r="T422" s="351"/>
      <c r="U422" s="351"/>
      <c r="V422" s="351"/>
      <c r="W422" s="351"/>
      <c r="X422" s="351"/>
      <c r="Y422" s="351"/>
      <c r="Z422" s="351"/>
      <c r="AA422" s="351"/>
    </row>
    <row r="423" ht="14.25" customHeight="1">
      <c r="A423" s="383"/>
      <c r="B423" s="371"/>
      <c r="C423" s="296" t="s">
        <v>10923</v>
      </c>
      <c r="D423" s="351"/>
      <c r="E423" s="371"/>
      <c r="F423" s="240" t="s">
        <v>10924</v>
      </c>
      <c r="G423" s="331" t="s">
        <v>10925</v>
      </c>
      <c r="H423" s="240" t="s">
        <v>10926</v>
      </c>
      <c r="I423" s="303" t="s">
        <v>36</v>
      </c>
      <c r="J423" s="362"/>
      <c r="K423" s="351"/>
      <c r="L423" s="351"/>
      <c r="M423" s="351"/>
      <c r="N423" s="351"/>
      <c r="O423" s="351"/>
      <c r="P423" s="351"/>
      <c r="Q423" s="351"/>
      <c r="R423" s="351"/>
      <c r="S423" s="351"/>
      <c r="T423" s="351"/>
      <c r="U423" s="351"/>
      <c r="V423" s="351"/>
      <c r="W423" s="351"/>
      <c r="X423" s="351"/>
      <c r="Y423" s="351"/>
      <c r="Z423" s="351"/>
      <c r="AA423" s="351"/>
    </row>
    <row r="424" ht="14.25" customHeight="1">
      <c r="A424" s="383"/>
      <c r="B424" s="371"/>
      <c r="C424" s="296" t="s">
        <v>10927</v>
      </c>
      <c r="D424" s="351"/>
      <c r="E424" s="371"/>
      <c r="F424" s="240" t="s">
        <v>10928</v>
      </c>
      <c r="G424" s="331" t="s">
        <v>10929</v>
      </c>
      <c r="H424" s="240" t="s">
        <v>10930</v>
      </c>
      <c r="I424" s="303" t="s">
        <v>36</v>
      </c>
      <c r="J424" s="362"/>
      <c r="K424" s="351"/>
      <c r="L424" s="351"/>
      <c r="M424" s="351"/>
      <c r="N424" s="351"/>
      <c r="O424" s="351"/>
      <c r="P424" s="351"/>
      <c r="Q424" s="351"/>
      <c r="R424" s="351"/>
      <c r="S424" s="351"/>
      <c r="T424" s="351"/>
      <c r="U424" s="351"/>
      <c r="V424" s="351"/>
      <c r="W424" s="351"/>
      <c r="X424" s="351"/>
      <c r="Y424" s="351"/>
      <c r="Z424" s="351"/>
      <c r="AA424" s="351"/>
    </row>
    <row r="425" ht="14.25" customHeight="1">
      <c r="A425" s="383"/>
      <c r="B425" s="371"/>
      <c r="C425" s="296" t="s">
        <v>10931</v>
      </c>
      <c r="D425" s="351"/>
      <c r="E425" s="371"/>
      <c r="F425" s="240" t="s">
        <v>10932</v>
      </c>
      <c r="G425" s="331" t="s">
        <v>10933</v>
      </c>
      <c r="H425" s="240" t="s">
        <v>10934</v>
      </c>
      <c r="I425" s="303" t="s">
        <v>36</v>
      </c>
      <c r="J425" s="362"/>
      <c r="K425" s="351"/>
      <c r="L425" s="351"/>
      <c r="M425" s="351"/>
      <c r="N425" s="351"/>
      <c r="O425" s="351"/>
      <c r="P425" s="351"/>
      <c r="Q425" s="351"/>
      <c r="R425" s="351"/>
      <c r="S425" s="351"/>
      <c r="T425" s="351"/>
      <c r="U425" s="351"/>
      <c r="V425" s="351"/>
      <c r="W425" s="351"/>
      <c r="X425" s="351"/>
      <c r="Y425" s="351"/>
      <c r="Z425" s="351"/>
      <c r="AA425" s="351"/>
    </row>
    <row r="426" ht="14.25" customHeight="1">
      <c r="A426" s="383"/>
      <c r="B426" s="371"/>
      <c r="C426" s="296" t="s">
        <v>10935</v>
      </c>
      <c r="D426" s="351"/>
      <c r="E426" s="371"/>
      <c r="F426" s="240" t="s">
        <v>10936</v>
      </c>
      <c r="G426" s="331" t="s">
        <v>10937</v>
      </c>
      <c r="H426" s="240" t="s">
        <v>10938</v>
      </c>
      <c r="I426" s="303" t="s">
        <v>36</v>
      </c>
      <c r="J426" s="362"/>
      <c r="K426" s="351"/>
      <c r="L426" s="351"/>
      <c r="M426" s="351"/>
      <c r="N426" s="351"/>
      <c r="O426" s="351"/>
      <c r="P426" s="351"/>
      <c r="Q426" s="351"/>
      <c r="R426" s="351"/>
      <c r="S426" s="351"/>
      <c r="T426" s="351"/>
      <c r="U426" s="351"/>
      <c r="V426" s="351"/>
      <c r="W426" s="351"/>
      <c r="X426" s="351"/>
      <c r="Y426" s="351"/>
      <c r="Z426" s="351"/>
      <c r="AA426" s="351"/>
    </row>
    <row r="427" ht="14.25" customHeight="1">
      <c r="A427" s="383"/>
      <c r="B427" s="371"/>
      <c r="C427" s="296" t="s">
        <v>10939</v>
      </c>
      <c r="D427" s="351"/>
      <c r="E427" s="371"/>
      <c r="F427" s="240" t="s">
        <v>10940</v>
      </c>
      <c r="G427" s="331" t="s">
        <v>10941</v>
      </c>
      <c r="H427" s="240" t="s">
        <v>10942</v>
      </c>
      <c r="I427" s="303" t="s">
        <v>36</v>
      </c>
      <c r="J427" s="362"/>
      <c r="K427" s="351"/>
      <c r="L427" s="351"/>
      <c r="M427" s="351"/>
      <c r="N427" s="351"/>
      <c r="O427" s="351"/>
      <c r="P427" s="351"/>
      <c r="Q427" s="351"/>
      <c r="R427" s="351"/>
      <c r="S427" s="351"/>
      <c r="T427" s="351"/>
      <c r="U427" s="351"/>
      <c r="V427" s="351"/>
      <c r="W427" s="351"/>
      <c r="X427" s="351"/>
      <c r="Y427" s="351"/>
      <c r="Z427" s="351"/>
      <c r="AA427" s="351"/>
    </row>
    <row r="428" ht="14.25" customHeight="1">
      <c r="A428" s="383"/>
      <c r="B428" s="371"/>
      <c r="C428" s="296" t="s">
        <v>10943</v>
      </c>
      <c r="D428" s="351"/>
      <c r="E428" s="371"/>
      <c r="F428" s="240" t="s">
        <v>10944</v>
      </c>
      <c r="G428" s="331" t="s">
        <v>10945</v>
      </c>
      <c r="H428" s="240" t="s">
        <v>10946</v>
      </c>
      <c r="I428" s="303" t="s">
        <v>36</v>
      </c>
      <c r="J428" s="362"/>
      <c r="K428" s="351"/>
      <c r="L428" s="351"/>
      <c r="M428" s="351"/>
      <c r="N428" s="351"/>
      <c r="O428" s="351"/>
      <c r="P428" s="351"/>
      <c r="Q428" s="351"/>
      <c r="R428" s="351"/>
      <c r="S428" s="351"/>
      <c r="T428" s="351"/>
      <c r="U428" s="351"/>
      <c r="V428" s="351"/>
      <c r="W428" s="351"/>
      <c r="X428" s="351"/>
      <c r="Y428" s="351"/>
      <c r="Z428" s="351"/>
      <c r="AA428" s="351"/>
    </row>
    <row r="429" ht="14.25" customHeight="1">
      <c r="A429" s="383"/>
      <c r="B429" s="371"/>
      <c r="C429" s="296" t="s">
        <v>10947</v>
      </c>
      <c r="D429" s="351"/>
      <c r="E429" s="137" t="s">
        <v>10948</v>
      </c>
      <c r="F429" s="258" t="s">
        <v>10949</v>
      </c>
      <c r="G429" s="331" t="s">
        <v>10950</v>
      </c>
      <c r="H429" s="331" t="s">
        <v>10951</v>
      </c>
      <c r="I429" s="303" t="s">
        <v>36</v>
      </c>
      <c r="J429" s="362"/>
      <c r="K429" s="351"/>
      <c r="L429" s="351"/>
      <c r="M429" s="351"/>
      <c r="N429" s="351"/>
      <c r="O429" s="351"/>
      <c r="P429" s="351"/>
      <c r="Q429" s="351"/>
      <c r="R429" s="351"/>
      <c r="S429" s="351"/>
      <c r="T429" s="351"/>
      <c r="U429" s="351"/>
      <c r="V429" s="351"/>
      <c r="W429" s="351"/>
      <c r="X429" s="351"/>
      <c r="Y429" s="351"/>
      <c r="Z429" s="351"/>
      <c r="AA429" s="351"/>
    </row>
    <row r="430" ht="14.25" customHeight="1">
      <c r="A430" s="383"/>
      <c r="B430" s="371"/>
      <c r="C430" s="296" t="s">
        <v>10952</v>
      </c>
      <c r="D430" s="351"/>
      <c r="E430" s="371"/>
      <c r="F430" s="376" t="s">
        <v>10953</v>
      </c>
      <c r="G430" s="331" t="s">
        <v>10954</v>
      </c>
      <c r="H430" s="331" t="s">
        <v>10955</v>
      </c>
      <c r="I430" s="303" t="s">
        <v>36</v>
      </c>
      <c r="J430" s="362"/>
      <c r="K430" s="351"/>
      <c r="L430" s="351"/>
      <c r="M430" s="351"/>
      <c r="N430" s="351"/>
      <c r="O430" s="351"/>
      <c r="P430" s="351"/>
      <c r="Q430" s="351"/>
      <c r="R430" s="351"/>
      <c r="S430" s="351"/>
      <c r="T430" s="351"/>
      <c r="U430" s="351"/>
      <c r="V430" s="351"/>
      <c r="W430" s="351"/>
      <c r="X430" s="351"/>
      <c r="Y430" s="351"/>
      <c r="Z430" s="351"/>
      <c r="AA430" s="351"/>
    </row>
    <row r="431" ht="14.25" customHeight="1">
      <c r="A431" s="383"/>
      <c r="B431" s="371"/>
      <c r="C431" s="296" t="s">
        <v>10956</v>
      </c>
      <c r="D431" s="351"/>
      <c r="E431" s="371"/>
      <c r="F431" s="369" t="s">
        <v>10957</v>
      </c>
      <c r="G431" s="331" t="s">
        <v>10958</v>
      </c>
      <c r="H431" s="331" t="s">
        <v>10959</v>
      </c>
      <c r="I431" s="303" t="s">
        <v>36</v>
      </c>
      <c r="J431" s="362"/>
      <c r="K431" s="351"/>
      <c r="L431" s="351"/>
      <c r="M431" s="351"/>
      <c r="N431" s="351"/>
      <c r="O431" s="351"/>
      <c r="P431" s="351"/>
      <c r="Q431" s="351"/>
      <c r="R431" s="351"/>
      <c r="S431" s="351"/>
      <c r="T431" s="351"/>
      <c r="U431" s="351"/>
      <c r="V431" s="351"/>
      <c r="W431" s="351"/>
      <c r="X431" s="351"/>
      <c r="Y431" s="351"/>
      <c r="Z431" s="351"/>
      <c r="AA431" s="351"/>
    </row>
    <row r="432" ht="14.25" customHeight="1">
      <c r="A432" s="383"/>
      <c r="B432" s="371"/>
      <c r="C432" s="296" t="s">
        <v>10960</v>
      </c>
      <c r="D432" s="351"/>
      <c r="E432" s="371"/>
      <c r="F432" s="331" t="s">
        <v>10961</v>
      </c>
      <c r="G432" s="331" t="s">
        <v>10962</v>
      </c>
      <c r="H432" s="331" t="s">
        <v>10959</v>
      </c>
      <c r="I432" s="303" t="s">
        <v>36</v>
      </c>
      <c r="J432" s="362"/>
      <c r="K432" s="351"/>
      <c r="L432" s="351"/>
      <c r="M432" s="351"/>
      <c r="N432" s="351"/>
      <c r="O432" s="351"/>
      <c r="P432" s="351"/>
      <c r="Q432" s="351"/>
      <c r="R432" s="351"/>
      <c r="S432" s="351"/>
      <c r="T432" s="351"/>
      <c r="U432" s="351"/>
      <c r="V432" s="351"/>
      <c r="W432" s="351"/>
      <c r="X432" s="351"/>
      <c r="Y432" s="351"/>
      <c r="Z432" s="351"/>
      <c r="AA432" s="351"/>
    </row>
    <row r="433" ht="14.25" customHeight="1">
      <c r="A433" s="383"/>
      <c r="B433" s="371"/>
      <c r="C433" s="296" t="s">
        <v>10963</v>
      </c>
      <c r="D433" s="351"/>
      <c r="E433" s="371"/>
      <c r="F433" s="331" t="s">
        <v>10964</v>
      </c>
      <c r="G433" s="331" t="s">
        <v>10965</v>
      </c>
      <c r="H433" s="331" t="s">
        <v>10966</v>
      </c>
      <c r="I433" s="303" t="s">
        <v>36</v>
      </c>
      <c r="J433" s="362"/>
      <c r="K433" s="351"/>
      <c r="L433" s="351"/>
      <c r="M433" s="351"/>
      <c r="N433" s="351"/>
      <c r="O433" s="351"/>
      <c r="P433" s="351"/>
      <c r="Q433" s="351"/>
      <c r="R433" s="351"/>
      <c r="S433" s="351"/>
      <c r="T433" s="351"/>
      <c r="U433" s="351"/>
      <c r="V433" s="351"/>
      <c r="W433" s="351"/>
      <c r="X433" s="351"/>
      <c r="Y433" s="351"/>
      <c r="Z433" s="351"/>
      <c r="AA433" s="351"/>
    </row>
    <row r="434" ht="14.25" customHeight="1">
      <c r="A434" s="383"/>
      <c r="B434" s="371"/>
      <c r="C434" s="296" t="s">
        <v>10967</v>
      </c>
      <c r="D434" s="351"/>
      <c r="E434" s="371"/>
      <c r="F434" s="331" t="s">
        <v>10968</v>
      </c>
      <c r="G434" s="331" t="s">
        <v>10954</v>
      </c>
      <c r="H434" s="331" t="s">
        <v>10969</v>
      </c>
      <c r="I434" s="303" t="s">
        <v>36</v>
      </c>
      <c r="J434" s="362"/>
      <c r="K434" s="351"/>
      <c r="L434" s="351"/>
      <c r="M434" s="351"/>
      <c r="N434" s="351"/>
      <c r="O434" s="351"/>
      <c r="P434" s="351"/>
      <c r="Q434" s="351"/>
      <c r="R434" s="351"/>
      <c r="S434" s="351"/>
      <c r="T434" s="351"/>
      <c r="U434" s="351"/>
      <c r="V434" s="351"/>
      <c r="W434" s="351"/>
      <c r="X434" s="351"/>
      <c r="Y434" s="351"/>
      <c r="Z434" s="351"/>
      <c r="AA434" s="351"/>
    </row>
    <row r="435" ht="14.25" customHeight="1">
      <c r="A435" s="383"/>
      <c r="B435" s="371"/>
      <c r="C435" s="296" t="s">
        <v>10970</v>
      </c>
      <c r="D435" s="351"/>
      <c r="E435" s="371"/>
      <c r="F435" s="331" t="s">
        <v>10971</v>
      </c>
      <c r="G435" s="331" t="s">
        <v>10972</v>
      </c>
      <c r="H435" s="331" t="s">
        <v>10973</v>
      </c>
      <c r="I435" s="303" t="s">
        <v>36</v>
      </c>
      <c r="J435" s="362"/>
      <c r="K435" s="351"/>
      <c r="L435" s="351"/>
      <c r="M435" s="351"/>
      <c r="N435" s="351"/>
      <c r="O435" s="351"/>
      <c r="P435" s="351"/>
      <c r="Q435" s="351"/>
      <c r="R435" s="351"/>
      <c r="S435" s="351"/>
      <c r="T435" s="351"/>
      <c r="U435" s="351"/>
      <c r="V435" s="351"/>
      <c r="W435" s="351"/>
      <c r="X435" s="351"/>
      <c r="Y435" s="351"/>
      <c r="Z435" s="351"/>
      <c r="AA435" s="351"/>
    </row>
    <row r="436" ht="14.25" customHeight="1">
      <c r="A436" s="383"/>
      <c r="B436" s="371"/>
      <c r="C436" s="296" t="s">
        <v>10974</v>
      </c>
      <c r="D436" s="351"/>
      <c r="E436" s="371"/>
      <c r="F436" s="331" t="s">
        <v>10975</v>
      </c>
      <c r="G436" s="331" t="s">
        <v>10976</v>
      </c>
      <c r="H436" s="331" t="s">
        <v>10977</v>
      </c>
      <c r="I436" s="303" t="s">
        <v>36</v>
      </c>
      <c r="J436" s="362"/>
      <c r="K436" s="351"/>
      <c r="L436" s="351"/>
      <c r="M436" s="351"/>
      <c r="N436" s="351"/>
      <c r="O436" s="351"/>
      <c r="P436" s="351"/>
      <c r="Q436" s="351"/>
      <c r="R436" s="351"/>
      <c r="S436" s="351"/>
      <c r="T436" s="351"/>
      <c r="U436" s="351"/>
      <c r="V436" s="351"/>
      <c r="W436" s="351"/>
      <c r="X436" s="351"/>
      <c r="Y436" s="351"/>
      <c r="Z436" s="351"/>
      <c r="AA436" s="351"/>
    </row>
    <row r="437" ht="14.25" customHeight="1">
      <c r="A437" s="383"/>
      <c r="B437" s="371"/>
      <c r="C437" s="296" t="s">
        <v>10978</v>
      </c>
      <c r="D437" s="351"/>
      <c r="E437" s="371"/>
      <c r="F437" s="331" t="s">
        <v>10979</v>
      </c>
      <c r="G437" s="331" t="s">
        <v>10980</v>
      </c>
      <c r="H437" s="331" t="s">
        <v>10977</v>
      </c>
      <c r="I437" s="303" t="s">
        <v>36</v>
      </c>
      <c r="J437" s="362"/>
      <c r="K437" s="351"/>
      <c r="L437" s="351"/>
      <c r="M437" s="351"/>
      <c r="N437" s="351"/>
      <c r="O437" s="351"/>
      <c r="P437" s="351"/>
      <c r="Q437" s="351"/>
      <c r="R437" s="351"/>
      <c r="S437" s="351"/>
      <c r="T437" s="351"/>
      <c r="U437" s="351"/>
      <c r="V437" s="351"/>
      <c r="W437" s="351"/>
      <c r="X437" s="351"/>
      <c r="Y437" s="351"/>
      <c r="Z437" s="351"/>
      <c r="AA437" s="351"/>
    </row>
    <row r="438" ht="14.25" customHeight="1">
      <c r="A438" s="383"/>
      <c r="B438" s="371"/>
      <c r="C438" s="296" t="s">
        <v>10981</v>
      </c>
      <c r="D438" s="351"/>
      <c r="E438" s="371"/>
      <c r="F438" s="331" t="s">
        <v>10982</v>
      </c>
      <c r="G438" s="331" t="s">
        <v>10983</v>
      </c>
      <c r="H438" s="331" t="s">
        <v>10984</v>
      </c>
      <c r="I438" s="303" t="s">
        <v>317</v>
      </c>
      <c r="J438" s="296" t="s">
        <v>10985</v>
      </c>
      <c r="K438" s="351"/>
      <c r="L438" s="351"/>
      <c r="M438" s="351"/>
      <c r="N438" s="351"/>
      <c r="O438" s="351"/>
      <c r="P438" s="351"/>
      <c r="Q438" s="351"/>
      <c r="R438" s="351"/>
      <c r="S438" s="351"/>
      <c r="T438" s="351"/>
      <c r="U438" s="351"/>
      <c r="V438" s="351"/>
      <c r="W438" s="351"/>
      <c r="X438" s="351"/>
      <c r="Y438" s="351"/>
      <c r="Z438" s="351"/>
      <c r="AA438" s="351"/>
    </row>
    <row r="439" ht="14.25" customHeight="1">
      <c r="A439" s="383"/>
      <c r="B439" s="371"/>
      <c r="C439" s="296" t="s">
        <v>10986</v>
      </c>
      <c r="D439" s="351"/>
      <c r="E439" s="371"/>
      <c r="F439" s="331" t="s">
        <v>10987</v>
      </c>
      <c r="G439" s="331" t="s">
        <v>10988</v>
      </c>
      <c r="H439" s="331" t="s">
        <v>10989</v>
      </c>
      <c r="I439" s="303" t="s">
        <v>36</v>
      </c>
      <c r="J439" s="362"/>
      <c r="K439" s="351"/>
      <c r="L439" s="351"/>
      <c r="M439" s="351"/>
      <c r="N439" s="351"/>
      <c r="O439" s="351"/>
      <c r="P439" s="351"/>
      <c r="Q439" s="351"/>
      <c r="R439" s="351"/>
      <c r="S439" s="351"/>
      <c r="T439" s="351"/>
      <c r="U439" s="351"/>
      <c r="V439" s="351"/>
      <c r="W439" s="351"/>
      <c r="X439" s="351"/>
      <c r="Y439" s="351"/>
      <c r="Z439" s="351"/>
      <c r="AA439" s="351"/>
    </row>
    <row r="440" ht="14.25" customHeight="1">
      <c r="A440" s="383"/>
      <c r="B440" s="371"/>
      <c r="C440" s="296" t="s">
        <v>10990</v>
      </c>
      <c r="D440" s="351"/>
      <c r="E440" s="371"/>
      <c r="F440" s="331" t="s">
        <v>10991</v>
      </c>
      <c r="G440" s="331" t="s">
        <v>10992</v>
      </c>
      <c r="H440" s="331" t="s">
        <v>10993</v>
      </c>
      <c r="I440" s="303" t="s">
        <v>36</v>
      </c>
      <c r="J440" s="362"/>
      <c r="K440" s="351"/>
      <c r="L440" s="351"/>
      <c r="M440" s="351"/>
      <c r="N440" s="351"/>
      <c r="O440" s="351"/>
      <c r="P440" s="351"/>
      <c r="Q440" s="351"/>
      <c r="R440" s="351"/>
      <c r="S440" s="351"/>
      <c r="T440" s="351"/>
      <c r="U440" s="351"/>
      <c r="V440" s="351"/>
      <c r="W440" s="351"/>
      <c r="X440" s="351"/>
      <c r="Y440" s="351"/>
      <c r="Z440" s="351"/>
      <c r="AA440" s="351"/>
    </row>
    <row r="441" ht="14.25" customHeight="1">
      <c r="A441" s="383"/>
      <c r="B441" s="371"/>
      <c r="C441" s="296" t="s">
        <v>10994</v>
      </c>
      <c r="D441" s="351"/>
      <c r="E441" s="371"/>
      <c r="F441" s="386" t="s">
        <v>10995</v>
      </c>
      <c r="G441" s="331" t="s">
        <v>10996</v>
      </c>
      <c r="H441" s="386" t="s">
        <v>10997</v>
      </c>
      <c r="I441" s="303" t="s">
        <v>317</v>
      </c>
      <c r="J441" s="362"/>
      <c r="K441" s="351"/>
      <c r="L441" s="351"/>
      <c r="M441" s="351"/>
      <c r="N441" s="351"/>
      <c r="O441" s="351"/>
      <c r="P441" s="351"/>
      <c r="Q441" s="351"/>
      <c r="R441" s="351"/>
      <c r="S441" s="351"/>
      <c r="T441" s="351"/>
      <c r="U441" s="351"/>
      <c r="V441" s="351"/>
      <c r="W441" s="351"/>
      <c r="X441" s="351"/>
      <c r="Y441" s="351"/>
      <c r="Z441" s="351"/>
      <c r="AA441" s="351"/>
    </row>
    <row r="442" ht="14.25" customHeight="1">
      <c r="A442" s="383"/>
      <c r="B442" s="371"/>
      <c r="C442" s="296" t="s">
        <v>10998</v>
      </c>
      <c r="D442" s="351"/>
      <c r="E442" s="371"/>
      <c r="F442" s="386" t="s">
        <v>10999</v>
      </c>
      <c r="G442" s="331" t="s">
        <v>11000</v>
      </c>
      <c r="H442" s="386" t="s">
        <v>11001</v>
      </c>
      <c r="I442" s="303" t="s">
        <v>36</v>
      </c>
      <c r="J442" s="362"/>
      <c r="K442" s="351"/>
      <c r="L442" s="351"/>
      <c r="M442" s="351"/>
      <c r="N442" s="351"/>
      <c r="O442" s="351"/>
      <c r="P442" s="351"/>
      <c r="Q442" s="351"/>
      <c r="R442" s="351"/>
      <c r="S442" s="351"/>
      <c r="T442" s="351"/>
      <c r="U442" s="351"/>
      <c r="V442" s="351"/>
      <c r="W442" s="351"/>
      <c r="X442" s="351"/>
      <c r="Y442" s="351"/>
      <c r="Z442" s="351"/>
      <c r="AA442" s="351"/>
    </row>
    <row r="443" ht="14.25" customHeight="1">
      <c r="A443" s="383"/>
      <c r="B443" s="371"/>
      <c r="C443" s="296" t="s">
        <v>11002</v>
      </c>
      <c r="D443" s="351"/>
      <c r="E443" s="371"/>
      <c r="F443" s="386" t="s">
        <v>11003</v>
      </c>
      <c r="G443" s="331" t="s">
        <v>11004</v>
      </c>
      <c r="H443" s="386" t="s">
        <v>11005</v>
      </c>
      <c r="I443" s="303" t="s">
        <v>36</v>
      </c>
      <c r="J443" s="362"/>
      <c r="K443" s="351"/>
      <c r="L443" s="351"/>
      <c r="M443" s="351"/>
      <c r="N443" s="351"/>
      <c r="O443" s="351"/>
      <c r="P443" s="351"/>
      <c r="Q443" s="351"/>
      <c r="R443" s="351"/>
      <c r="S443" s="351"/>
      <c r="T443" s="351"/>
      <c r="U443" s="351"/>
      <c r="V443" s="351"/>
      <c r="W443" s="351"/>
      <c r="X443" s="351"/>
      <c r="Y443" s="351"/>
      <c r="Z443" s="351"/>
      <c r="AA443" s="351"/>
    </row>
    <row r="444" ht="14.25" customHeight="1">
      <c r="A444" s="383"/>
      <c r="B444" s="371"/>
      <c r="C444" s="296" t="s">
        <v>11006</v>
      </c>
      <c r="D444" s="351"/>
      <c r="E444" s="371"/>
      <c r="F444" s="240" t="s">
        <v>9563</v>
      </c>
      <c r="G444" s="331" t="s">
        <v>11007</v>
      </c>
      <c r="H444" s="386" t="s">
        <v>11008</v>
      </c>
      <c r="I444" s="303" t="s">
        <v>36</v>
      </c>
      <c r="J444" s="362"/>
      <c r="K444" s="351"/>
      <c r="L444" s="351"/>
      <c r="M444" s="351"/>
      <c r="N444" s="351"/>
      <c r="O444" s="351"/>
      <c r="P444" s="351"/>
      <c r="Q444" s="351"/>
      <c r="R444" s="351"/>
      <c r="S444" s="351"/>
      <c r="T444" s="351"/>
      <c r="U444" s="351"/>
      <c r="V444" s="351"/>
      <c r="W444" s="351"/>
      <c r="X444" s="351"/>
      <c r="Y444" s="351"/>
      <c r="Z444" s="351"/>
      <c r="AA444" s="351"/>
    </row>
    <row r="445" ht="14.25" customHeight="1">
      <c r="A445" s="383"/>
      <c r="B445" s="371"/>
      <c r="C445" s="296" t="s">
        <v>11009</v>
      </c>
      <c r="D445" s="351"/>
      <c r="E445" s="371"/>
      <c r="F445" s="240" t="s">
        <v>9564</v>
      </c>
      <c r="G445" s="331" t="s">
        <v>11010</v>
      </c>
      <c r="H445" s="386" t="s">
        <v>11011</v>
      </c>
      <c r="I445" s="303" t="s">
        <v>36</v>
      </c>
      <c r="J445" s="362"/>
      <c r="K445" s="351"/>
      <c r="L445" s="351"/>
      <c r="M445" s="351"/>
      <c r="N445" s="351"/>
      <c r="O445" s="351"/>
      <c r="P445" s="351"/>
      <c r="Q445" s="351"/>
      <c r="R445" s="351"/>
      <c r="S445" s="351"/>
      <c r="T445" s="351"/>
      <c r="U445" s="351"/>
      <c r="V445" s="351"/>
      <c r="W445" s="351"/>
      <c r="X445" s="351"/>
      <c r="Y445" s="351"/>
      <c r="Z445" s="351"/>
      <c r="AA445" s="351"/>
    </row>
    <row r="446" ht="14.25" customHeight="1">
      <c r="A446" s="383"/>
      <c r="B446" s="371"/>
      <c r="C446" s="296" t="s">
        <v>11012</v>
      </c>
      <c r="D446" s="351"/>
      <c r="E446" s="137" t="s">
        <v>11013</v>
      </c>
      <c r="F446" s="387" t="s">
        <v>11014</v>
      </c>
      <c r="G446" s="386" t="s">
        <v>11015</v>
      </c>
      <c r="H446" s="386" t="s">
        <v>11016</v>
      </c>
      <c r="I446" s="303" t="s">
        <v>36</v>
      </c>
      <c r="J446" s="296"/>
      <c r="K446" s="351"/>
      <c r="L446" s="351"/>
      <c r="M446" s="351"/>
      <c r="N446" s="351"/>
      <c r="O446" s="351"/>
      <c r="P446" s="351"/>
      <c r="Q446" s="351"/>
      <c r="R446" s="351"/>
      <c r="S446" s="351"/>
      <c r="T446" s="351"/>
      <c r="U446" s="351"/>
      <c r="V446" s="351"/>
      <c r="W446" s="351"/>
      <c r="X446" s="351"/>
      <c r="Y446" s="351"/>
      <c r="Z446" s="351"/>
      <c r="AA446" s="351"/>
    </row>
    <row r="447" ht="14.25" customHeight="1">
      <c r="A447" s="383"/>
      <c r="B447" s="371"/>
      <c r="C447" s="296" t="s">
        <v>11017</v>
      </c>
      <c r="D447" s="351"/>
      <c r="E447" s="371"/>
      <c r="F447" s="240" t="s">
        <v>11018</v>
      </c>
      <c r="G447" s="386" t="s">
        <v>11019</v>
      </c>
      <c r="H447" s="386" t="s">
        <v>11020</v>
      </c>
      <c r="I447" s="303" t="s">
        <v>36</v>
      </c>
      <c r="J447" s="362"/>
      <c r="K447" s="351"/>
      <c r="L447" s="351"/>
      <c r="M447" s="351"/>
      <c r="N447" s="351"/>
      <c r="O447" s="351"/>
      <c r="P447" s="351"/>
      <c r="Q447" s="351"/>
      <c r="R447" s="351"/>
      <c r="S447" s="351"/>
      <c r="T447" s="351"/>
      <c r="U447" s="351"/>
      <c r="V447" s="351"/>
      <c r="W447" s="351"/>
      <c r="X447" s="351"/>
      <c r="Y447" s="351"/>
      <c r="Z447" s="351"/>
      <c r="AA447" s="351"/>
    </row>
    <row r="448" ht="14.25" customHeight="1">
      <c r="A448" s="383"/>
      <c r="B448" s="371"/>
      <c r="C448" s="296" t="s">
        <v>11021</v>
      </c>
      <c r="D448" s="351"/>
      <c r="E448" s="371"/>
      <c r="F448" s="240" t="s">
        <v>11022</v>
      </c>
      <c r="G448" s="386" t="s">
        <v>11023</v>
      </c>
      <c r="H448" s="386" t="s">
        <v>11024</v>
      </c>
      <c r="I448" s="303" t="s">
        <v>36</v>
      </c>
      <c r="J448" s="362"/>
      <c r="K448" s="351"/>
      <c r="L448" s="351"/>
      <c r="M448" s="351"/>
      <c r="N448" s="351"/>
      <c r="O448" s="351"/>
      <c r="P448" s="351"/>
      <c r="Q448" s="351"/>
      <c r="R448" s="351"/>
      <c r="S448" s="351"/>
      <c r="T448" s="351"/>
      <c r="U448" s="351"/>
      <c r="V448" s="351"/>
      <c r="W448" s="351"/>
      <c r="X448" s="351"/>
      <c r="Y448" s="351"/>
      <c r="Z448" s="351"/>
      <c r="AA448" s="351"/>
    </row>
    <row r="449" ht="14.25" customHeight="1">
      <c r="A449" s="383"/>
      <c r="B449" s="371"/>
      <c r="C449" s="296" t="s">
        <v>11025</v>
      </c>
      <c r="D449" s="351"/>
      <c r="E449" s="371"/>
      <c r="F449" s="240" t="s">
        <v>11026</v>
      </c>
      <c r="G449" s="386" t="s">
        <v>11027</v>
      </c>
      <c r="H449" s="386" t="s">
        <v>11016</v>
      </c>
      <c r="I449" s="303" t="s">
        <v>36</v>
      </c>
      <c r="J449" s="362"/>
      <c r="K449" s="351"/>
      <c r="L449" s="351"/>
      <c r="M449" s="351"/>
      <c r="N449" s="351"/>
      <c r="O449" s="351"/>
      <c r="P449" s="351"/>
      <c r="Q449" s="351"/>
      <c r="R449" s="351"/>
      <c r="S449" s="351"/>
      <c r="T449" s="351"/>
      <c r="U449" s="351"/>
      <c r="V449" s="351"/>
      <c r="W449" s="351"/>
      <c r="X449" s="351"/>
      <c r="Y449" s="351"/>
      <c r="Z449" s="351"/>
      <c r="AA449" s="351"/>
    </row>
    <row r="450" ht="14.25" customHeight="1">
      <c r="A450" s="383"/>
      <c r="B450" s="371"/>
      <c r="C450" s="296" t="s">
        <v>11028</v>
      </c>
      <c r="D450" s="351"/>
      <c r="E450" s="371"/>
      <c r="F450" s="240" t="s">
        <v>11029</v>
      </c>
      <c r="G450" s="386" t="s">
        <v>11030</v>
      </c>
      <c r="H450" s="386" t="s">
        <v>11031</v>
      </c>
      <c r="I450" s="303" t="s">
        <v>317</v>
      </c>
      <c r="J450" s="362"/>
      <c r="K450" s="351"/>
      <c r="L450" s="351"/>
      <c r="M450" s="351"/>
      <c r="N450" s="351"/>
      <c r="O450" s="351"/>
      <c r="P450" s="351"/>
      <c r="Q450" s="351"/>
      <c r="R450" s="351"/>
      <c r="S450" s="351"/>
      <c r="T450" s="351"/>
      <c r="U450" s="351"/>
      <c r="V450" s="351"/>
      <c r="W450" s="351"/>
      <c r="X450" s="351"/>
      <c r="Y450" s="351"/>
      <c r="Z450" s="351"/>
      <c r="AA450" s="351"/>
    </row>
    <row r="451" ht="14.25" customHeight="1">
      <c r="A451" s="383"/>
      <c r="B451" s="371"/>
      <c r="C451" s="296" t="s">
        <v>11032</v>
      </c>
      <c r="D451" s="351"/>
      <c r="E451" s="371"/>
      <c r="F451" s="386" t="s">
        <v>11033</v>
      </c>
      <c r="G451" s="386" t="s">
        <v>11034</v>
      </c>
      <c r="H451" s="386" t="s">
        <v>11035</v>
      </c>
      <c r="I451" s="303" t="s">
        <v>317</v>
      </c>
      <c r="J451" s="362"/>
      <c r="K451" s="351"/>
      <c r="L451" s="351"/>
      <c r="M451" s="351"/>
      <c r="N451" s="351"/>
      <c r="O451" s="351"/>
      <c r="P451" s="351"/>
      <c r="Q451" s="351"/>
      <c r="R451" s="351"/>
      <c r="S451" s="351"/>
      <c r="T451" s="351"/>
      <c r="U451" s="351"/>
      <c r="V451" s="351"/>
      <c r="W451" s="351"/>
      <c r="X451" s="351"/>
      <c r="Y451" s="351"/>
      <c r="Z451" s="351"/>
      <c r="AA451" s="351"/>
    </row>
    <row r="452" ht="14.25" customHeight="1">
      <c r="A452" s="383"/>
      <c r="B452" s="371"/>
      <c r="C452" s="362"/>
      <c r="D452" s="351"/>
      <c r="E452" s="371"/>
      <c r="F452" s="388"/>
      <c r="G452" s="362"/>
      <c r="H452" s="362"/>
      <c r="I452" s="351"/>
      <c r="J452" s="362"/>
      <c r="K452" s="351"/>
      <c r="L452" s="351"/>
      <c r="M452" s="351"/>
      <c r="N452" s="351"/>
      <c r="O452" s="351"/>
      <c r="P452" s="351"/>
      <c r="Q452" s="351"/>
      <c r="R452" s="351"/>
      <c r="S452" s="351"/>
      <c r="T452" s="351"/>
      <c r="U452" s="351"/>
      <c r="V452" s="351"/>
      <c r="W452" s="351"/>
      <c r="X452" s="351"/>
      <c r="Y452" s="351"/>
      <c r="Z452" s="351"/>
      <c r="AA452" s="351"/>
    </row>
    <row r="453" ht="14.25" customHeight="1">
      <c r="A453" s="383"/>
      <c r="B453" s="371"/>
      <c r="C453" s="362"/>
      <c r="D453" s="351"/>
      <c r="E453" s="371"/>
      <c r="F453" s="388"/>
      <c r="G453" s="362"/>
      <c r="H453" s="362"/>
      <c r="I453" s="351"/>
      <c r="J453" s="362"/>
      <c r="K453" s="351"/>
      <c r="L453" s="351"/>
      <c r="M453" s="351"/>
      <c r="N453" s="351"/>
      <c r="O453" s="351"/>
      <c r="P453" s="351"/>
      <c r="Q453" s="351"/>
      <c r="R453" s="351"/>
      <c r="S453" s="351"/>
      <c r="T453" s="351"/>
      <c r="U453" s="351"/>
      <c r="V453" s="351"/>
      <c r="W453" s="351"/>
      <c r="X453" s="351"/>
      <c r="Y453" s="351"/>
      <c r="Z453" s="351"/>
      <c r="AA453" s="351"/>
    </row>
    <row r="454" ht="14.25" customHeight="1">
      <c r="A454" s="383"/>
      <c r="B454" s="371"/>
      <c r="C454" s="362"/>
      <c r="D454" s="351"/>
      <c r="E454" s="371"/>
      <c r="F454" s="388"/>
      <c r="G454" s="362"/>
      <c r="H454" s="362"/>
      <c r="I454" s="351"/>
      <c r="J454" s="362"/>
      <c r="K454" s="351"/>
      <c r="L454" s="351"/>
      <c r="M454" s="351"/>
      <c r="N454" s="351"/>
      <c r="O454" s="351"/>
      <c r="P454" s="351"/>
      <c r="Q454" s="351"/>
      <c r="R454" s="351"/>
      <c r="S454" s="351"/>
      <c r="T454" s="351"/>
      <c r="U454" s="351"/>
      <c r="V454" s="351"/>
      <c r="W454" s="351"/>
      <c r="X454" s="351"/>
      <c r="Y454" s="351"/>
      <c r="Z454" s="351"/>
      <c r="AA454" s="351"/>
    </row>
    <row r="455" ht="14.25" customHeight="1">
      <c r="A455" s="383"/>
      <c r="B455" s="371"/>
      <c r="C455" s="362"/>
      <c r="D455" s="351"/>
      <c r="E455" s="371"/>
      <c r="F455" s="388"/>
      <c r="G455" s="362"/>
      <c r="H455" s="362"/>
      <c r="I455" s="351"/>
      <c r="J455" s="362"/>
      <c r="K455" s="351"/>
      <c r="L455" s="351"/>
      <c r="M455" s="351"/>
      <c r="N455" s="351"/>
      <c r="O455" s="351"/>
      <c r="P455" s="351"/>
      <c r="Q455" s="351"/>
      <c r="R455" s="351"/>
      <c r="S455" s="351"/>
      <c r="T455" s="351"/>
      <c r="U455" s="351"/>
      <c r="V455" s="351"/>
      <c r="W455" s="351"/>
      <c r="X455" s="351"/>
      <c r="Y455" s="351"/>
      <c r="Z455" s="351"/>
      <c r="AA455" s="351"/>
    </row>
    <row r="456" ht="14.25" customHeight="1">
      <c r="A456" s="383"/>
      <c r="B456" s="371"/>
      <c r="C456" s="362"/>
      <c r="D456" s="351"/>
      <c r="E456" s="371"/>
      <c r="F456" s="388"/>
      <c r="G456" s="362"/>
      <c r="H456" s="362"/>
      <c r="I456" s="351"/>
      <c r="J456" s="362"/>
      <c r="K456" s="351"/>
      <c r="L456" s="351"/>
      <c r="M456" s="351"/>
      <c r="N456" s="351"/>
      <c r="O456" s="351"/>
      <c r="P456" s="351"/>
      <c r="Q456" s="351"/>
      <c r="R456" s="351"/>
      <c r="S456" s="351"/>
      <c r="T456" s="351"/>
      <c r="U456" s="351"/>
      <c r="V456" s="351"/>
      <c r="W456" s="351"/>
      <c r="X456" s="351"/>
      <c r="Y456" s="351"/>
      <c r="Z456" s="351"/>
      <c r="AA456" s="351"/>
    </row>
    <row r="457" ht="14.25" customHeight="1">
      <c r="A457" s="383"/>
      <c r="B457" s="371"/>
      <c r="C457" s="362"/>
      <c r="D457" s="351"/>
      <c r="E457" s="371"/>
      <c r="F457" s="388"/>
      <c r="G457" s="362"/>
      <c r="H457" s="362"/>
      <c r="I457" s="351"/>
      <c r="J457" s="362"/>
      <c r="K457" s="351"/>
      <c r="L457" s="351"/>
      <c r="M457" s="351"/>
      <c r="N457" s="351"/>
      <c r="O457" s="351"/>
      <c r="P457" s="351"/>
      <c r="Q457" s="351"/>
      <c r="R457" s="351"/>
      <c r="S457" s="351"/>
      <c r="T457" s="351"/>
      <c r="U457" s="351"/>
      <c r="V457" s="351"/>
      <c r="W457" s="351"/>
      <c r="X457" s="351"/>
      <c r="Y457" s="351"/>
      <c r="Z457" s="351"/>
      <c r="AA457" s="351"/>
    </row>
    <row r="458" ht="14.25" customHeight="1">
      <c r="A458" s="383"/>
      <c r="B458" s="371"/>
      <c r="C458" s="362"/>
      <c r="D458" s="351"/>
      <c r="E458" s="371"/>
      <c r="F458" s="388"/>
      <c r="G458" s="362"/>
      <c r="H458" s="362"/>
      <c r="I458" s="351"/>
      <c r="J458" s="362"/>
      <c r="K458" s="351"/>
      <c r="L458" s="351"/>
      <c r="M458" s="351"/>
      <c r="N458" s="351"/>
      <c r="O458" s="351"/>
      <c r="P458" s="351"/>
      <c r="Q458" s="351"/>
      <c r="R458" s="351"/>
      <c r="S458" s="351"/>
      <c r="T458" s="351"/>
      <c r="U458" s="351"/>
      <c r="V458" s="351"/>
      <c r="W458" s="351"/>
      <c r="X458" s="351"/>
      <c r="Y458" s="351"/>
      <c r="Z458" s="351"/>
      <c r="AA458" s="351"/>
    </row>
    <row r="459" ht="14.25" customHeight="1">
      <c r="A459" s="383"/>
      <c r="B459" s="371"/>
      <c r="C459" s="362"/>
      <c r="D459" s="351"/>
      <c r="E459" s="371"/>
      <c r="F459" s="388"/>
      <c r="G459" s="362"/>
      <c r="H459" s="362"/>
      <c r="I459" s="351"/>
      <c r="J459" s="362"/>
      <c r="K459" s="351"/>
      <c r="L459" s="351"/>
      <c r="M459" s="351"/>
      <c r="N459" s="351"/>
      <c r="O459" s="351"/>
      <c r="P459" s="351"/>
      <c r="Q459" s="351"/>
      <c r="R459" s="351"/>
      <c r="S459" s="351"/>
      <c r="T459" s="351"/>
      <c r="U459" s="351"/>
      <c r="V459" s="351"/>
      <c r="W459" s="351"/>
      <c r="X459" s="351"/>
      <c r="Y459" s="351"/>
      <c r="Z459" s="351"/>
      <c r="AA459" s="351"/>
    </row>
    <row r="460" ht="14.25" customHeight="1">
      <c r="A460" s="383"/>
      <c r="B460" s="371"/>
      <c r="C460" s="362"/>
      <c r="D460" s="351"/>
      <c r="E460" s="371"/>
      <c r="F460" s="388"/>
      <c r="G460" s="362"/>
      <c r="H460" s="362"/>
      <c r="I460" s="351"/>
      <c r="J460" s="362"/>
      <c r="K460" s="351"/>
      <c r="L460" s="351"/>
      <c r="M460" s="351"/>
      <c r="N460" s="351"/>
      <c r="O460" s="351"/>
      <c r="P460" s="351"/>
      <c r="Q460" s="351"/>
      <c r="R460" s="351"/>
      <c r="S460" s="351"/>
      <c r="T460" s="351"/>
      <c r="U460" s="351"/>
      <c r="V460" s="351"/>
      <c r="W460" s="351"/>
      <c r="X460" s="351"/>
      <c r="Y460" s="351"/>
      <c r="Z460" s="351"/>
      <c r="AA460" s="351"/>
    </row>
    <row r="461" ht="14.25" customHeight="1">
      <c r="A461" s="383"/>
      <c r="B461" s="371"/>
      <c r="C461" s="362"/>
      <c r="D461" s="351"/>
      <c r="E461" s="371"/>
      <c r="F461" s="388"/>
      <c r="G461" s="362"/>
      <c r="H461" s="362"/>
      <c r="I461" s="351"/>
      <c r="J461" s="362"/>
      <c r="K461" s="351"/>
      <c r="L461" s="351"/>
      <c r="M461" s="351"/>
      <c r="N461" s="351"/>
      <c r="O461" s="351"/>
      <c r="P461" s="351"/>
      <c r="Q461" s="351"/>
      <c r="R461" s="351"/>
      <c r="S461" s="351"/>
      <c r="T461" s="351"/>
      <c r="U461" s="351"/>
      <c r="V461" s="351"/>
      <c r="W461" s="351"/>
      <c r="X461" s="351"/>
      <c r="Y461" s="351"/>
      <c r="Z461" s="351"/>
      <c r="AA461" s="351"/>
    </row>
    <row r="462" ht="14.25" customHeight="1">
      <c r="A462" s="383"/>
      <c r="B462" s="371"/>
      <c r="C462" s="362"/>
      <c r="D462" s="351"/>
      <c r="E462" s="371"/>
      <c r="F462" s="388"/>
      <c r="G462" s="362"/>
      <c r="H462" s="362"/>
      <c r="I462" s="351"/>
      <c r="J462" s="362"/>
      <c r="K462" s="351"/>
      <c r="L462" s="351"/>
      <c r="M462" s="351"/>
      <c r="N462" s="351"/>
      <c r="O462" s="351"/>
      <c r="P462" s="351"/>
      <c r="Q462" s="351"/>
      <c r="R462" s="351"/>
      <c r="S462" s="351"/>
      <c r="T462" s="351"/>
      <c r="U462" s="351"/>
      <c r="V462" s="351"/>
      <c r="W462" s="351"/>
      <c r="X462" s="351"/>
      <c r="Y462" s="351"/>
      <c r="Z462" s="351"/>
      <c r="AA462" s="351"/>
    </row>
    <row r="463" ht="14.25" customHeight="1">
      <c r="A463" s="383"/>
      <c r="B463" s="371"/>
      <c r="C463" s="362"/>
      <c r="D463" s="351"/>
      <c r="E463" s="371"/>
      <c r="F463" s="388"/>
      <c r="G463" s="362"/>
      <c r="H463" s="362"/>
      <c r="I463" s="351"/>
      <c r="J463" s="362"/>
      <c r="K463" s="351"/>
      <c r="L463" s="351"/>
      <c r="M463" s="351"/>
      <c r="N463" s="351"/>
      <c r="O463" s="351"/>
      <c r="P463" s="351"/>
      <c r="Q463" s="351"/>
      <c r="R463" s="351"/>
      <c r="S463" s="351"/>
      <c r="T463" s="351"/>
      <c r="U463" s="351"/>
      <c r="V463" s="351"/>
      <c r="W463" s="351"/>
      <c r="X463" s="351"/>
      <c r="Y463" s="351"/>
      <c r="Z463" s="351"/>
      <c r="AA463" s="351"/>
    </row>
    <row r="464" ht="14.25" customHeight="1">
      <c r="A464" s="383"/>
      <c r="B464" s="371"/>
      <c r="C464" s="362"/>
      <c r="D464" s="351"/>
      <c r="E464" s="371"/>
      <c r="F464" s="388"/>
      <c r="G464" s="362"/>
      <c r="H464" s="362"/>
      <c r="I464" s="351"/>
      <c r="J464" s="362"/>
      <c r="K464" s="351"/>
      <c r="L464" s="351"/>
      <c r="M464" s="351"/>
      <c r="N464" s="351"/>
      <c r="O464" s="351"/>
      <c r="P464" s="351"/>
      <c r="Q464" s="351"/>
      <c r="R464" s="351"/>
      <c r="S464" s="351"/>
      <c r="T464" s="351"/>
      <c r="U464" s="351"/>
      <c r="V464" s="351"/>
      <c r="W464" s="351"/>
      <c r="X464" s="351"/>
      <c r="Y464" s="351"/>
      <c r="Z464" s="351"/>
      <c r="AA464" s="351"/>
    </row>
    <row r="465" ht="14.25" customHeight="1">
      <c r="A465" s="383"/>
      <c r="B465" s="371"/>
      <c r="C465" s="362"/>
      <c r="D465" s="351"/>
      <c r="E465" s="371"/>
      <c r="F465" s="388"/>
      <c r="G465" s="362"/>
      <c r="H465" s="362"/>
      <c r="I465" s="351"/>
      <c r="J465" s="362"/>
      <c r="K465" s="351"/>
      <c r="L465" s="351"/>
      <c r="M465" s="351"/>
      <c r="N465" s="351"/>
      <c r="O465" s="351"/>
      <c r="P465" s="351"/>
      <c r="Q465" s="351"/>
      <c r="R465" s="351"/>
      <c r="S465" s="351"/>
      <c r="T465" s="351"/>
      <c r="U465" s="351"/>
      <c r="V465" s="351"/>
      <c r="W465" s="351"/>
      <c r="X465" s="351"/>
      <c r="Y465" s="351"/>
      <c r="Z465" s="351"/>
      <c r="AA465" s="351"/>
    </row>
    <row r="466" ht="14.25" customHeight="1">
      <c r="A466" s="383"/>
      <c r="B466" s="371"/>
      <c r="C466" s="362"/>
      <c r="D466" s="351"/>
      <c r="E466" s="371"/>
      <c r="F466" s="388"/>
      <c r="G466" s="362"/>
      <c r="H466" s="362"/>
      <c r="I466" s="351"/>
      <c r="J466" s="362"/>
      <c r="K466" s="351"/>
      <c r="L466" s="351"/>
      <c r="M466" s="351"/>
      <c r="N466" s="351"/>
      <c r="O466" s="351"/>
      <c r="P466" s="351"/>
      <c r="Q466" s="351"/>
      <c r="R466" s="351"/>
      <c r="S466" s="351"/>
      <c r="T466" s="351"/>
      <c r="U466" s="351"/>
      <c r="V466" s="351"/>
      <c r="W466" s="351"/>
      <c r="X466" s="351"/>
      <c r="Y466" s="351"/>
      <c r="Z466" s="351"/>
      <c r="AA466" s="351"/>
    </row>
    <row r="467" ht="14.25" customHeight="1">
      <c r="A467" s="383"/>
      <c r="B467" s="371"/>
      <c r="C467" s="362"/>
      <c r="D467" s="351"/>
      <c r="E467" s="371"/>
      <c r="F467" s="388"/>
      <c r="G467" s="362"/>
      <c r="H467" s="362"/>
      <c r="I467" s="351"/>
      <c r="J467" s="362"/>
      <c r="K467" s="351"/>
      <c r="L467" s="351"/>
      <c r="M467" s="351"/>
      <c r="N467" s="351"/>
      <c r="O467" s="351"/>
      <c r="P467" s="351"/>
      <c r="Q467" s="351"/>
      <c r="R467" s="351"/>
      <c r="S467" s="351"/>
      <c r="T467" s="351"/>
      <c r="U467" s="351"/>
      <c r="V467" s="351"/>
      <c r="W467" s="351"/>
      <c r="X467" s="351"/>
      <c r="Y467" s="351"/>
      <c r="Z467" s="351"/>
      <c r="AA467" s="351"/>
    </row>
    <row r="468" ht="14.25" customHeight="1">
      <c r="A468" s="383"/>
      <c r="B468" s="371"/>
      <c r="C468" s="362"/>
      <c r="D468" s="351"/>
      <c r="E468" s="371"/>
      <c r="F468" s="388"/>
      <c r="G468" s="362"/>
      <c r="H468" s="362"/>
      <c r="I468" s="351"/>
      <c r="J468" s="362"/>
      <c r="K468" s="351"/>
      <c r="L468" s="351"/>
      <c r="M468" s="351"/>
      <c r="N468" s="351"/>
      <c r="O468" s="351"/>
      <c r="P468" s="351"/>
      <c r="Q468" s="351"/>
      <c r="R468" s="351"/>
      <c r="S468" s="351"/>
      <c r="T468" s="351"/>
      <c r="U468" s="351"/>
      <c r="V468" s="351"/>
      <c r="W468" s="351"/>
      <c r="X468" s="351"/>
      <c r="Y468" s="351"/>
      <c r="Z468" s="351"/>
      <c r="AA468" s="351"/>
    </row>
    <row r="469" ht="14.25" customHeight="1">
      <c r="A469" s="383"/>
      <c r="B469" s="371"/>
      <c r="C469" s="362"/>
      <c r="D469" s="351"/>
      <c r="E469" s="371"/>
      <c r="F469" s="388"/>
      <c r="G469" s="362"/>
      <c r="H469" s="362"/>
      <c r="I469" s="351"/>
      <c r="J469" s="362"/>
      <c r="K469" s="351"/>
      <c r="L469" s="351"/>
      <c r="M469" s="351"/>
      <c r="N469" s="351"/>
      <c r="O469" s="351"/>
      <c r="P469" s="351"/>
      <c r="Q469" s="351"/>
      <c r="R469" s="351"/>
      <c r="S469" s="351"/>
      <c r="T469" s="351"/>
      <c r="U469" s="351"/>
      <c r="V469" s="351"/>
      <c r="W469" s="351"/>
      <c r="X469" s="351"/>
      <c r="Y469" s="351"/>
      <c r="Z469" s="351"/>
      <c r="AA469" s="351"/>
    </row>
    <row r="470" ht="14.25" customHeight="1">
      <c r="A470" s="383"/>
      <c r="B470" s="371"/>
      <c r="C470" s="362"/>
      <c r="D470" s="351"/>
      <c r="E470" s="371"/>
      <c r="F470" s="388"/>
      <c r="G470" s="362"/>
      <c r="H470" s="362"/>
      <c r="I470" s="351"/>
      <c r="J470" s="362"/>
      <c r="K470" s="351"/>
      <c r="L470" s="351"/>
      <c r="M470" s="351"/>
      <c r="N470" s="351"/>
      <c r="O470" s="351"/>
      <c r="P470" s="351"/>
      <c r="Q470" s="351"/>
      <c r="R470" s="351"/>
      <c r="S470" s="351"/>
      <c r="T470" s="351"/>
      <c r="U470" s="351"/>
      <c r="V470" s="351"/>
      <c r="W470" s="351"/>
      <c r="X470" s="351"/>
      <c r="Y470" s="351"/>
      <c r="Z470" s="351"/>
      <c r="AA470" s="351"/>
    </row>
    <row r="471" ht="14.25" customHeight="1">
      <c r="A471" s="383"/>
      <c r="B471" s="371"/>
      <c r="C471" s="362"/>
      <c r="D471" s="351"/>
      <c r="E471" s="371"/>
      <c r="F471" s="388"/>
      <c r="G471" s="362"/>
      <c r="H471" s="362"/>
      <c r="I471" s="351"/>
      <c r="J471" s="362"/>
      <c r="K471" s="351"/>
      <c r="L471" s="351"/>
      <c r="M471" s="351"/>
      <c r="N471" s="351"/>
      <c r="O471" s="351"/>
      <c r="P471" s="351"/>
      <c r="Q471" s="351"/>
      <c r="R471" s="351"/>
      <c r="S471" s="351"/>
      <c r="T471" s="351"/>
      <c r="U471" s="351"/>
      <c r="V471" s="351"/>
      <c r="W471" s="351"/>
      <c r="X471" s="351"/>
      <c r="Y471" s="351"/>
      <c r="Z471" s="351"/>
      <c r="AA471" s="351"/>
    </row>
    <row r="472" ht="14.25" customHeight="1">
      <c r="A472" s="383"/>
      <c r="B472" s="371"/>
      <c r="C472" s="362"/>
      <c r="D472" s="351"/>
      <c r="E472" s="371"/>
      <c r="F472" s="388"/>
      <c r="G472" s="362"/>
      <c r="H472" s="362"/>
      <c r="I472" s="351"/>
      <c r="J472" s="362"/>
      <c r="K472" s="351"/>
      <c r="L472" s="351"/>
      <c r="M472" s="351"/>
      <c r="N472" s="351"/>
      <c r="O472" s="351"/>
      <c r="P472" s="351"/>
      <c r="Q472" s="351"/>
      <c r="R472" s="351"/>
      <c r="S472" s="351"/>
      <c r="T472" s="351"/>
      <c r="U472" s="351"/>
      <c r="V472" s="351"/>
      <c r="W472" s="351"/>
      <c r="X472" s="351"/>
      <c r="Y472" s="351"/>
      <c r="Z472" s="351"/>
      <c r="AA472" s="351"/>
    </row>
    <row r="473" ht="14.25" customHeight="1">
      <c r="A473" s="383"/>
      <c r="B473" s="371"/>
      <c r="C473" s="362"/>
      <c r="D473" s="351"/>
      <c r="E473" s="371"/>
      <c r="F473" s="388"/>
      <c r="G473" s="362"/>
      <c r="H473" s="362"/>
      <c r="I473" s="351"/>
      <c r="J473" s="362"/>
      <c r="K473" s="351"/>
      <c r="L473" s="351"/>
      <c r="M473" s="351"/>
      <c r="N473" s="351"/>
      <c r="O473" s="351"/>
      <c r="P473" s="351"/>
      <c r="Q473" s="351"/>
      <c r="R473" s="351"/>
      <c r="S473" s="351"/>
      <c r="T473" s="351"/>
      <c r="U473" s="351"/>
      <c r="V473" s="351"/>
      <c r="W473" s="351"/>
      <c r="X473" s="351"/>
      <c r="Y473" s="351"/>
      <c r="Z473" s="351"/>
      <c r="AA473" s="351"/>
    </row>
    <row r="474" ht="14.25" customHeight="1">
      <c r="A474" s="383"/>
      <c r="B474" s="371"/>
      <c r="C474" s="362"/>
      <c r="D474" s="351"/>
      <c r="E474" s="371"/>
      <c r="F474" s="388"/>
      <c r="G474" s="362"/>
      <c r="H474" s="362"/>
      <c r="I474" s="351"/>
      <c r="J474" s="362"/>
      <c r="K474" s="351"/>
      <c r="L474" s="351"/>
      <c r="M474" s="351"/>
      <c r="N474" s="351"/>
      <c r="O474" s="351"/>
      <c r="P474" s="351"/>
      <c r="Q474" s="351"/>
      <c r="R474" s="351"/>
      <c r="S474" s="351"/>
      <c r="T474" s="351"/>
      <c r="U474" s="351"/>
      <c r="V474" s="351"/>
      <c r="W474" s="351"/>
      <c r="X474" s="351"/>
      <c r="Y474" s="351"/>
      <c r="Z474" s="351"/>
      <c r="AA474" s="351"/>
    </row>
    <row r="475" ht="14.25" customHeight="1">
      <c r="A475" s="383"/>
      <c r="B475" s="371"/>
      <c r="C475" s="362"/>
      <c r="D475" s="351"/>
      <c r="E475" s="371"/>
      <c r="F475" s="388"/>
      <c r="G475" s="362"/>
      <c r="H475" s="362"/>
      <c r="I475" s="351"/>
      <c r="J475" s="362"/>
      <c r="K475" s="351"/>
      <c r="L475" s="351"/>
      <c r="M475" s="351"/>
      <c r="N475" s="351"/>
      <c r="O475" s="351"/>
      <c r="P475" s="351"/>
      <c r="Q475" s="351"/>
      <c r="R475" s="351"/>
      <c r="S475" s="351"/>
      <c r="T475" s="351"/>
      <c r="U475" s="351"/>
      <c r="V475" s="351"/>
      <c r="W475" s="351"/>
      <c r="X475" s="351"/>
      <c r="Y475" s="351"/>
      <c r="Z475" s="351"/>
      <c r="AA475" s="351"/>
    </row>
    <row r="476" ht="14.25" customHeight="1">
      <c r="A476" s="383"/>
      <c r="B476" s="371"/>
      <c r="C476" s="362"/>
      <c r="D476" s="351"/>
      <c r="E476" s="371"/>
      <c r="F476" s="388"/>
      <c r="G476" s="362"/>
      <c r="H476" s="362"/>
      <c r="I476" s="351"/>
      <c r="J476" s="362"/>
      <c r="K476" s="351"/>
      <c r="L476" s="351"/>
      <c r="M476" s="351"/>
      <c r="N476" s="351"/>
      <c r="O476" s="351"/>
      <c r="P476" s="351"/>
      <c r="Q476" s="351"/>
      <c r="R476" s="351"/>
      <c r="S476" s="351"/>
      <c r="T476" s="351"/>
      <c r="U476" s="351"/>
      <c r="V476" s="351"/>
      <c r="W476" s="351"/>
      <c r="X476" s="351"/>
      <c r="Y476" s="351"/>
      <c r="Z476" s="351"/>
      <c r="AA476" s="351"/>
    </row>
    <row r="477" ht="14.25" customHeight="1">
      <c r="A477" s="383"/>
      <c r="B477" s="371"/>
      <c r="C477" s="362"/>
      <c r="D477" s="351"/>
      <c r="E477" s="371"/>
      <c r="F477" s="388"/>
      <c r="G477" s="362"/>
      <c r="H477" s="362"/>
      <c r="I477" s="351"/>
      <c r="J477" s="362"/>
      <c r="K477" s="351"/>
      <c r="L477" s="351"/>
      <c r="M477" s="351"/>
      <c r="N477" s="351"/>
      <c r="O477" s="351"/>
      <c r="P477" s="351"/>
      <c r="Q477" s="351"/>
      <c r="R477" s="351"/>
      <c r="S477" s="351"/>
      <c r="T477" s="351"/>
      <c r="U477" s="351"/>
      <c r="V477" s="351"/>
      <c r="W477" s="351"/>
      <c r="X477" s="351"/>
      <c r="Y477" s="351"/>
      <c r="Z477" s="351"/>
      <c r="AA477" s="351"/>
    </row>
    <row r="478" ht="14.25" customHeight="1">
      <c r="A478" s="383"/>
      <c r="B478" s="371"/>
      <c r="C478" s="362"/>
      <c r="D478" s="351"/>
      <c r="E478" s="371"/>
      <c r="F478" s="388"/>
      <c r="G478" s="362"/>
      <c r="H478" s="362"/>
      <c r="I478" s="351"/>
      <c r="J478" s="362"/>
      <c r="K478" s="351"/>
      <c r="L478" s="351"/>
      <c r="M478" s="351"/>
      <c r="N478" s="351"/>
      <c r="O478" s="351"/>
      <c r="P478" s="351"/>
      <c r="Q478" s="351"/>
      <c r="R478" s="351"/>
      <c r="S478" s="351"/>
      <c r="T478" s="351"/>
      <c r="U478" s="351"/>
      <c r="V478" s="351"/>
      <c r="W478" s="351"/>
      <c r="X478" s="351"/>
      <c r="Y478" s="351"/>
      <c r="Z478" s="351"/>
      <c r="AA478" s="351"/>
    </row>
    <row r="479" ht="14.25" customHeight="1">
      <c r="A479" s="383"/>
      <c r="B479" s="371"/>
      <c r="C479" s="362"/>
      <c r="D479" s="351"/>
      <c r="E479" s="371"/>
      <c r="F479" s="388"/>
      <c r="G479" s="362"/>
      <c r="H479" s="362"/>
      <c r="I479" s="351"/>
      <c r="J479" s="362"/>
      <c r="K479" s="351"/>
      <c r="L479" s="351"/>
      <c r="M479" s="351"/>
      <c r="N479" s="351"/>
      <c r="O479" s="351"/>
      <c r="P479" s="351"/>
      <c r="Q479" s="351"/>
      <c r="R479" s="351"/>
      <c r="S479" s="351"/>
      <c r="T479" s="351"/>
      <c r="U479" s="351"/>
      <c r="V479" s="351"/>
      <c r="W479" s="351"/>
      <c r="X479" s="351"/>
      <c r="Y479" s="351"/>
      <c r="Z479" s="351"/>
      <c r="AA479" s="351"/>
    </row>
    <row r="480" ht="14.25" customHeight="1">
      <c r="A480" s="383"/>
      <c r="B480" s="371"/>
      <c r="C480" s="362"/>
      <c r="D480" s="351"/>
      <c r="E480" s="371"/>
      <c r="F480" s="388"/>
      <c r="G480" s="362"/>
      <c r="H480" s="362"/>
      <c r="I480" s="351"/>
      <c r="J480" s="362"/>
      <c r="K480" s="351"/>
      <c r="L480" s="351"/>
      <c r="M480" s="351"/>
      <c r="N480" s="351"/>
      <c r="O480" s="351"/>
      <c r="P480" s="351"/>
      <c r="Q480" s="351"/>
      <c r="R480" s="351"/>
      <c r="S480" s="351"/>
      <c r="T480" s="351"/>
      <c r="U480" s="351"/>
      <c r="V480" s="351"/>
      <c r="W480" s="351"/>
      <c r="X480" s="351"/>
      <c r="Y480" s="351"/>
      <c r="Z480" s="351"/>
      <c r="AA480" s="351"/>
    </row>
    <row r="481" ht="14.25" customHeight="1">
      <c r="A481" s="383"/>
      <c r="B481" s="371"/>
      <c r="C481" s="362"/>
      <c r="D481" s="351"/>
      <c r="E481" s="371"/>
      <c r="F481" s="388"/>
      <c r="G481" s="362"/>
      <c r="H481" s="362"/>
      <c r="I481" s="351"/>
      <c r="J481" s="362"/>
      <c r="K481" s="351"/>
      <c r="L481" s="351"/>
      <c r="M481" s="351"/>
      <c r="N481" s="351"/>
      <c r="O481" s="351"/>
      <c r="P481" s="351"/>
      <c r="Q481" s="351"/>
      <c r="R481" s="351"/>
      <c r="S481" s="351"/>
      <c r="T481" s="351"/>
      <c r="U481" s="351"/>
      <c r="V481" s="351"/>
      <c r="W481" s="351"/>
      <c r="X481" s="351"/>
      <c r="Y481" s="351"/>
      <c r="Z481" s="351"/>
      <c r="AA481" s="351"/>
    </row>
    <row r="482" ht="14.25" customHeight="1">
      <c r="A482" s="383"/>
      <c r="B482" s="371"/>
      <c r="C482" s="362"/>
      <c r="D482" s="351"/>
      <c r="E482" s="371"/>
      <c r="F482" s="388"/>
      <c r="G482" s="362"/>
      <c r="H482" s="362"/>
      <c r="I482" s="351"/>
      <c r="J482" s="362"/>
      <c r="K482" s="351"/>
      <c r="L482" s="351"/>
      <c r="M482" s="351"/>
      <c r="N482" s="351"/>
      <c r="O482" s="351"/>
      <c r="P482" s="351"/>
      <c r="Q482" s="351"/>
      <c r="R482" s="351"/>
      <c r="S482" s="351"/>
      <c r="T482" s="351"/>
      <c r="U482" s="351"/>
      <c r="V482" s="351"/>
      <c r="W482" s="351"/>
      <c r="X482" s="351"/>
      <c r="Y482" s="351"/>
      <c r="Z482" s="351"/>
      <c r="AA482" s="351"/>
    </row>
    <row r="483" ht="14.25" customHeight="1">
      <c r="A483" s="383"/>
      <c r="B483" s="371"/>
      <c r="C483" s="362"/>
      <c r="D483" s="351"/>
      <c r="E483" s="371"/>
      <c r="F483" s="388"/>
      <c r="G483" s="362"/>
      <c r="H483" s="362"/>
      <c r="I483" s="351"/>
      <c r="J483" s="362"/>
      <c r="K483" s="351"/>
      <c r="L483" s="351"/>
      <c r="M483" s="351"/>
      <c r="N483" s="351"/>
      <c r="O483" s="351"/>
      <c r="P483" s="351"/>
      <c r="Q483" s="351"/>
      <c r="R483" s="351"/>
      <c r="S483" s="351"/>
      <c r="T483" s="351"/>
      <c r="U483" s="351"/>
      <c r="V483" s="351"/>
      <c r="W483" s="351"/>
      <c r="X483" s="351"/>
      <c r="Y483" s="351"/>
      <c r="Z483" s="351"/>
      <c r="AA483" s="351"/>
    </row>
    <row r="484" ht="14.25" customHeight="1">
      <c r="A484" s="383"/>
      <c r="B484" s="371"/>
      <c r="C484" s="362"/>
      <c r="D484" s="351"/>
      <c r="E484" s="371"/>
      <c r="F484" s="388"/>
      <c r="G484" s="362"/>
      <c r="H484" s="362"/>
      <c r="I484" s="351"/>
      <c r="J484" s="362"/>
      <c r="K484" s="351"/>
      <c r="L484" s="351"/>
      <c r="M484" s="351"/>
      <c r="N484" s="351"/>
      <c r="O484" s="351"/>
      <c r="P484" s="351"/>
      <c r="Q484" s="351"/>
      <c r="R484" s="351"/>
      <c r="S484" s="351"/>
      <c r="T484" s="351"/>
      <c r="U484" s="351"/>
      <c r="V484" s="351"/>
      <c r="W484" s="351"/>
      <c r="X484" s="351"/>
      <c r="Y484" s="351"/>
      <c r="Z484" s="351"/>
      <c r="AA484" s="351"/>
    </row>
    <row r="485" ht="14.25" customHeight="1">
      <c r="A485" s="383"/>
      <c r="B485" s="371"/>
      <c r="C485" s="362"/>
      <c r="D485" s="351"/>
      <c r="E485" s="371"/>
      <c r="F485" s="388"/>
      <c r="G485" s="362"/>
      <c r="H485" s="362"/>
      <c r="I485" s="351"/>
      <c r="J485" s="362"/>
      <c r="K485" s="351"/>
      <c r="L485" s="351"/>
      <c r="M485" s="351"/>
      <c r="N485" s="351"/>
      <c r="O485" s="351"/>
      <c r="P485" s="351"/>
      <c r="Q485" s="351"/>
      <c r="R485" s="351"/>
      <c r="S485" s="351"/>
      <c r="T485" s="351"/>
      <c r="U485" s="351"/>
      <c r="V485" s="351"/>
      <c r="W485" s="351"/>
      <c r="X485" s="351"/>
      <c r="Y485" s="351"/>
      <c r="Z485" s="351"/>
      <c r="AA485" s="351"/>
    </row>
    <row r="486" ht="14.25" customHeight="1">
      <c r="A486" s="383"/>
      <c r="B486" s="371"/>
      <c r="C486" s="362"/>
      <c r="D486" s="351"/>
      <c r="E486" s="371"/>
      <c r="F486" s="388"/>
      <c r="G486" s="362"/>
      <c r="H486" s="362"/>
      <c r="I486" s="351"/>
      <c r="J486" s="362"/>
      <c r="K486" s="351"/>
      <c r="L486" s="351"/>
      <c r="M486" s="351"/>
      <c r="N486" s="351"/>
      <c r="O486" s="351"/>
      <c r="P486" s="351"/>
      <c r="Q486" s="351"/>
      <c r="R486" s="351"/>
      <c r="S486" s="351"/>
      <c r="T486" s="351"/>
      <c r="U486" s="351"/>
      <c r="V486" s="351"/>
      <c r="W486" s="351"/>
      <c r="X486" s="351"/>
      <c r="Y486" s="351"/>
      <c r="Z486" s="351"/>
      <c r="AA486" s="351"/>
    </row>
    <row r="487" ht="14.25" customHeight="1">
      <c r="A487" s="383"/>
      <c r="B487" s="371"/>
      <c r="C487" s="362"/>
      <c r="D487" s="351"/>
      <c r="E487" s="371"/>
      <c r="F487" s="388"/>
      <c r="G487" s="362"/>
      <c r="H487" s="362"/>
      <c r="I487" s="351"/>
      <c r="J487" s="362"/>
      <c r="K487" s="351"/>
      <c r="L487" s="351"/>
      <c r="M487" s="351"/>
      <c r="N487" s="351"/>
      <c r="O487" s="351"/>
      <c r="P487" s="351"/>
      <c r="Q487" s="351"/>
      <c r="R487" s="351"/>
      <c r="S487" s="351"/>
      <c r="T487" s="351"/>
      <c r="U487" s="351"/>
      <c r="V487" s="351"/>
      <c r="W487" s="351"/>
      <c r="X487" s="351"/>
      <c r="Y487" s="351"/>
      <c r="Z487" s="351"/>
      <c r="AA487" s="351"/>
    </row>
    <row r="488" ht="14.25" customHeight="1">
      <c r="A488" s="383"/>
      <c r="B488" s="371"/>
      <c r="C488" s="362"/>
      <c r="D488" s="351"/>
      <c r="E488" s="371"/>
      <c r="F488" s="388"/>
      <c r="G488" s="362"/>
      <c r="H488" s="362"/>
      <c r="I488" s="351"/>
      <c r="J488" s="362"/>
      <c r="K488" s="351"/>
      <c r="L488" s="351"/>
      <c r="M488" s="351"/>
      <c r="N488" s="351"/>
      <c r="O488" s="351"/>
      <c r="P488" s="351"/>
      <c r="Q488" s="351"/>
      <c r="R488" s="351"/>
      <c r="S488" s="351"/>
      <c r="T488" s="351"/>
      <c r="U488" s="351"/>
      <c r="V488" s="351"/>
      <c r="W488" s="351"/>
      <c r="X488" s="351"/>
      <c r="Y488" s="351"/>
      <c r="Z488" s="351"/>
      <c r="AA488" s="351"/>
    </row>
    <row r="489" ht="14.25" customHeight="1">
      <c r="A489" s="383"/>
      <c r="B489" s="371"/>
      <c r="C489" s="362"/>
      <c r="D489" s="351"/>
      <c r="E489" s="371"/>
      <c r="F489" s="388"/>
      <c r="G489" s="362"/>
      <c r="H489" s="362"/>
      <c r="I489" s="351"/>
      <c r="J489" s="362"/>
      <c r="K489" s="351"/>
      <c r="L489" s="351"/>
      <c r="M489" s="351"/>
      <c r="N489" s="351"/>
      <c r="O489" s="351"/>
      <c r="P489" s="351"/>
      <c r="Q489" s="351"/>
      <c r="R489" s="351"/>
      <c r="S489" s="351"/>
      <c r="T489" s="351"/>
      <c r="U489" s="351"/>
      <c r="V489" s="351"/>
      <c r="W489" s="351"/>
      <c r="X489" s="351"/>
      <c r="Y489" s="351"/>
      <c r="Z489" s="351"/>
      <c r="AA489" s="351"/>
    </row>
    <row r="490" ht="14.25" customHeight="1">
      <c r="A490" s="383"/>
      <c r="B490" s="371"/>
      <c r="C490" s="362"/>
      <c r="D490" s="351"/>
      <c r="E490" s="371"/>
      <c r="F490" s="388"/>
      <c r="G490" s="362"/>
      <c r="H490" s="362"/>
      <c r="I490" s="351"/>
      <c r="J490" s="362"/>
      <c r="K490" s="351"/>
      <c r="L490" s="351"/>
      <c r="M490" s="351"/>
      <c r="N490" s="351"/>
      <c r="O490" s="351"/>
      <c r="P490" s="351"/>
      <c r="Q490" s="351"/>
      <c r="R490" s="351"/>
      <c r="S490" s="351"/>
      <c r="T490" s="351"/>
      <c r="U490" s="351"/>
      <c r="V490" s="351"/>
      <c r="W490" s="351"/>
      <c r="X490" s="351"/>
      <c r="Y490" s="351"/>
      <c r="Z490" s="351"/>
      <c r="AA490" s="351"/>
    </row>
    <row r="491" ht="14.25" customHeight="1">
      <c r="A491" s="383"/>
      <c r="B491" s="371"/>
      <c r="C491" s="362"/>
      <c r="D491" s="351"/>
      <c r="E491" s="371"/>
      <c r="F491" s="388"/>
      <c r="G491" s="362"/>
      <c r="H491" s="362"/>
      <c r="I491" s="351"/>
      <c r="J491" s="362"/>
      <c r="K491" s="351"/>
      <c r="L491" s="351"/>
      <c r="M491" s="351"/>
      <c r="N491" s="351"/>
      <c r="O491" s="351"/>
      <c r="P491" s="351"/>
      <c r="Q491" s="351"/>
      <c r="R491" s="351"/>
      <c r="S491" s="351"/>
      <c r="T491" s="351"/>
      <c r="U491" s="351"/>
      <c r="V491" s="351"/>
      <c r="W491" s="351"/>
      <c r="X491" s="351"/>
      <c r="Y491" s="351"/>
      <c r="Z491" s="351"/>
      <c r="AA491" s="351"/>
    </row>
    <row r="492" ht="14.25" customHeight="1">
      <c r="A492" s="383"/>
      <c r="B492" s="371"/>
      <c r="C492" s="362"/>
      <c r="D492" s="351"/>
      <c r="E492" s="371"/>
      <c r="F492" s="388"/>
      <c r="G492" s="362"/>
      <c r="H492" s="362"/>
      <c r="I492" s="351"/>
      <c r="J492" s="362"/>
      <c r="K492" s="351"/>
      <c r="L492" s="351"/>
      <c r="M492" s="351"/>
      <c r="N492" s="351"/>
      <c r="O492" s="351"/>
      <c r="P492" s="351"/>
      <c r="Q492" s="351"/>
      <c r="R492" s="351"/>
      <c r="S492" s="351"/>
      <c r="T492" s="351"/>
      <c r="U492" s="351"/>
      <c r="V492" s="351"/>
      <c r="W492" s="351"/>
      <c r="X492" s="351"/>
      <c r="Y492" s="351"/>
      <c r="Z492" s="351"/>
      <c r="AA492" s="351"/>
    </row>
    <row r="493" ht="14.25" customHeight="1">
      <c r="A493" s="383"/>
      <c r="B493" s="371"/>
      <c r="C493" s="362"/>
      <c r="D493" s="351"/>
      <c r="E493" s="371"/>
      <c r="F493" s="388"/>
      <c r="G493" s="362"/>
      <c r="H493" s="362"/>
      <c r="I493" s="351"/>
      <c r="J493" s="362"/>
      <c r="K493" s="351"/>
      <c r="L493" s="351"/>
      <c r="M493" s="351"/>
      <c r="N493" s="351"/>
      <c r="O493" s="351"/>
      <c r="P493" s="351"/>
      <c r="Q493" s="351"/>
      <c r="R493" s="351"/>
      <c r="S493" s="351"/>
      <c r="T493" s="351"/>
      <c r="U493" s="351"/>
      <c r="V493" s="351"/>
      <c r="W493" s="351"/>
      <c r="X493" s="351"/>
      <c r="Y493" s="351"/>
      <c r="Z493" s="351"/>
      <c r="AA493" s="351"/>
    </row>
    <row r="494" ht="14.25" customHeight="1">
      <c r="A494" s="383"/>
      <c r="B494" s="371"/>
      <c r="C494" s="362"/>
      <c r="D494" s="351"/>
      <c r="E494" s="371"/>
      <c r="F494" s="388"/>
      <c r="G494" s="362"/>
      <c r="H494" s="362"/>
      <c r="I494" s="351"/>
      <c r="J494" s="362"/>
      <c r="K494" s="351"/>
      <c r="L494" s="351"/>
      <c r="M494" s="351"/>
      <c r="N494" s="351"/>
      <c r="O494" s="351"/>
      <c r="P494" s="351"/>
      <c r="Q494" s="351"/>
      <c r="R494" s="351"/>
      <c r="S494" s="351"/>
      <c r="T494" s="351"/>
      <c r="U494" s="351"/>
      <c r="V494" s="351"/>
      <c r="W494" s="351"/>
      <c r="X494" s="351"/>
      <c r="Y494" s="351"/>
      <c r="Z494" s="351"/>
      <c r="AA494" s="351"/>
    </row>
    <row r="495" ht="14.25" customHeight="1">
      <c r="A495" s="383"/>
      <c r="B495" s="371"/>
      <c r="C495" s="362"/>
      <c r="D495" s="351"/>
      <c r="E495" s="371"/>
      <c r="F495" s="388"/>
      <c r="G495" s="362"/>
      <c r="H495" s="362"/>
      <c r="I495" s="351"/>
      <c r="J495" s="362"/>
      <c r="K495" s="351"/>
      <c r="L495" s="351"/>
      <c r="M495" s="351"/>
      <c r="N495" s="351"/>
      <c r="O495" s="351"/>
      <c r="P495" s="351"/>
      <c r="Q495" s="351"/>
      <c r="R495" s="351"/>
      <c r="S495" s="351"/>
      <c r="T495" s="351"/>
      <c r="U495" s="351"/>
      <c r="V495" s="351"/>
      <c r="W495" s="351"/>
      <c r="X495" s="351"/>
      <c r="Y495" s="351"/>
      <c r="Z495" s="351"/>
      <c r="AA495" s="351"/>
    </row>
    <row r="496" ht="14.25" customHeight="1">
      <c r="A496" s="383"/>
      <c r="B496" s="371"/>
      <c r="C496" s="362"/>
      <c r="D496" s="351"/>
      <c r="E496" s="371"/>
      <c r="F496" s="388"/>
      <c r="G496" s="362"/>
      <c r="H496" s="362"/>
      <c r="I496" s="351"/>
      <c r="J496" s="362"/>
      <c r="K496" s="351"/>
      <c r="L496" s="351"/>
      <c r="M496" s="351"/>
      <c r="N496" s="351"/>
      <c r="O496" s="351"/>
      <c r="P496" s="351"/>
      <c r="Q496" s="351"/>
      <c r="R496" s="351"/>
      <c r="S496" s="351"/>
      <c r="T496" s="351"/>
      <c r="U496" s="351"/>
      <c r="V496" s="351"/>
      <c r="W496" s="351"/>
      <c r="X496" s="351"/>
      <c r="Y496" s="351"/>
      <c r="Z496" s="351"/>
      <c r="AA496" s="351"/>
    </row>
    <row r="497" ht="14.25" customHeight="1">
      <c r="A497" s="383"/>
      <c r="B497" s="371"/>
      <c r="C497" s="362"/>
      <c r="D497" s="351"/>
      <c r="E497" s="371"/>
      <c r="F497" s="388"/>
      <c r="G497" s="362"/>
      <c r="H497" s="362"/>
      <c r="I497" s="351"/>
      <c r="J497" s="362"/>
      <c r="K497" s="351"/>
      <c r="L497" s="351"/>
      <c r="M497" s="351"/>
      <c r="N497" s="351"/>
      <c r="O497" s="351"/>
      <c r="P497" s="351"/>
      <c r="Q497" s="351"/>
      <c r="R497" s="351"/>
      <c r="S497" s="351"/>
      <c r="T497" s="351"/>
      <c r="U497" s="351"/>
      <c r="V497" s="351"/>
      <c r="W497" s="351"/>
      <c r="X497" s="351"/>
      <c r="Y497" s="351"/>
      <c r="Z497" s="351"/>
      <c r="AA497" s="351"/>
    </row>
    <row r="498" ht="14.25" customHeight="1">
      <c r="A498" s="383"/>
      <c r="B498" s="371"/>
      <c r="C498" s="362"/>
      <c r="D498" s="351"/>
      <c r="E498" s="371"/>
      <c r="F498" s="388"/>
      <c r="G498" s="362"/>
      <c r="H498" s="362"/>
      <c r="I498" s="351"/>
      <c r="J498" s="362"/>
      <c r="K498" s="351"/>
      <c r="L498" s="351"/>
      <c r="M498" s="351"/>
      <c r="N498" s="351"/>
      <c r="O498" s="351"/>
      <c r="P498" s="351"/>
      <c r="Q498" s="351"/>
      <c r="R498" s="351"/>
      <c r="S498" s="351"/>
      <c r="T498" s="351"/>
      <c r="U498" s="351"/>
      <c r="V498" s="351"/>
      <c r="W498" s="351"/>
      <c r="X498" s="351"/>
      <c r="Y498" s="351"/>
      <c r="Z498" s="351"/>
      <c r="AA498" s="351"/>
    </row>
    <row r="499" ht="14.25" customHeight="1">
      <c r="A499" s="383"/>
      <c r="B499" s="371"/>
      <c r="C499" s="362"/>
      <c r="D499" s="351"/>
      <c r="E499" s="371"/>
      <c r="F499" s="388"/>
      <c r="G499" s="362"/>
      <c r="H499" s="362"/>
      <c r="I499" s="351"/>
      <c r="J499" s="362"/>
      <c r="K499" s="351"/>
      <c r="L499" s="351"/>
      <c r="M499" s="351"/>
      <c r="N499" s="351"/>
      <c r="O499" s="351"/>
      <c r="P499" s="351"/>
      <c r="Q499" s="351"/>
      <c r="R499" s="351"/>
      <c r="S499" s="351"/>
      <c r="T499" s="351"/>
      <c r="U499" s="351"/>
      <c r="V499" s="351"/>
      <c r="W499" s="351"/>
      <c r="X499" s="351"/>
      <c r="Y499" s="351"/>
      <c r="Z499" s="351"/>
      <c r="AA499" s="351"/>
    </row>
    <row r="500" ht="14.25" customHeight="1">
      <c r="A500" s="383"/>
      <c r="B500" s="371"/>
      <c r="C500" s="362"/>
      <c r="D500" s="351"/>
      <c r="E500" s="371"/>
      <c r="F500" s="388"/>
      <c r="G500" s="362"/>
      <c r="H500" s="362"/>
      <c r="I500" s="351"/>
      <c r="J500" s="362"/>
      <c r="K500" s="351"/>
      <c r="L500" s="351"/>
      <c r="M500" s="351"/>
      <c r="N500" s="351"/>
      <c r="O500" s="351"/>
      <c r="P500" s="351"/>
      <c r="Q500" s="351"/>
      <c r="R500" s="351"/>
      <c r="S500" s="351"/>
      <c r="T500" s="351"/>
      <c r="U500" s="351"/>
      <c r="V500" s="351"/>
      <c r="W500" s="351"/>
      <c r="X500" s="351"/>
      <c r="Y500" s="351"/>
      <c r="Z500" s="351"/>
      <c r="AA500" s="351"/>
    </row>
    <row r="501" ht="14.25" customHeight="1">
      <c r="A501" s="383"/>
      <c r="B501" s="371"/>
      <c r="C501" s="362"/>
      <c r="D501" s="351"/>
      <c r="E501" s="371"/>
      <c r="F501" s="388"/>
      <c r="G501" s="362"/>
      <c r="H501" s="362"/>
      <c r="I501" s="351"/>
      <c r="J501" s="362"/>
      <c r="K501" s="351"/>
      <c r="L501" s="351"/>
      <c r="M501" s="351"/>
      <c r="N501" s="351"/>
      <c r="O501" s="351"/>
      <c r="P501" s="351"/>
      <c r="Q501" s="351"/>
      <c r="R501" s="351"/>
      <c r="S501" s="351"/>
      <c r="T501" s="351"/>
      <c r="U501" s="351"/>
      <c r="V501" s="351"/>
      <c r="W501" s="351"/>
      <c r="X501" s="351"/>
      <c r="Y501" s="351"/>
      <c r="Z501" s="351"/>
      <c r="AA501" s="351"/>
    </row>
    <row r="502" ht="14.25" customHeight="1">
      <c r="A502" s="383"/>
      <c r="B502" s="371"/>
      <c r="C502" s="362"/>
      <c r="D502" s="351"/>
      <c r="E502" s="371"/>
      <c r="F502" s="388"/>
      <c r="G502" s="362"/>
      <c r="H502" s="362"/>
      <c r="I502" s="351"/>
      <c r="J502" s="362"/>
      <c r="K502" s="351"/>
      <c r="L502" s="351"/>
      <c r="M502" s="351"/>
      <c r="N502" s="351"/>
      <c r="O502" s="351"/>
      <c r="P502" s="351"/>
      <c r="Q502" s="351"/>
      <c r="R502" s="351"/>
      <c r="S502" s="351"/>
      <c r="T502" s="351"/>
      <c r="U502" s="351"/>
      <c r="V502" s="351"/>
      <c r="W502" s="351"/>
      <c r="X502" s="351"/>
      <c r="Y502" s="351"/>
      <c r="Z502" s="351"/>
      <c r="AA502" s="351"/>
    </row>
    <row r="503" ht="14.25" customHeight="1">
      <c r="A503" s="383"/>
      <c r="B503" s="371"/>
      <c r="C503" s="362"/>
      <c r="D503" s="351"/>
      <c r="E503" s="371"/>
      <c r="F503" s="388"/>
      <c r="G503" s="362"/>
      <c r="H503" s="362"/>
      <c r="I503" s="351"/>
      <c r="J503" s="362"/>
      <c r="K503" s="351"/>
      <c r="L503" s="351"/>
      <c r="M503" s="351"/>
      <c r="N503" s="351"/>
      <c r="O503" s="351"/>
      <c r="P503" s="351"/>
      <c r="Q503" s="351"/>
      <c r="R503" s="351"/>
      <c r="S503" s="351"/>
      <c r="T503" s="351"/>
      <c r="U503" s="351"/>
      <c r="V503" s="351"/>
      <c r="W503" s="351"/>
      <c r="X503" s="351"/>
      <c r="Y503" s="351"/>
      <c r="Z503" s="351"/>
      <c r="AA503" s="351"/>
    </row>
    <row r="504" ht="14.25" customHeight="1">
      <c r="A504" s="383"/>
      <c r="B504" s="371"/>
      <c r="C504" s="362"/>
      <c r="D504" s="351"/>
      <c r="E504" s="371"/>
      <c r="F504" s="388"/>
      <c r="G504" s="362"/>
      <c r="H504" s="362"/>
      <c r="I504" s="351"/>
      <c r="J504" s="362"/>
      <c r="K504" s="351"/>
      <c r="L504" s="351"/>
      <c r="M504" s="351"/>
      <c r="N504" s="351"/>
      <c r="O504" s="351"/>
      <c r="P504" s="351"/>
      <c r="Q504" s="351"/>
      <c r="R504" s="351"/>
      <c r="S504" s="351"/>
      <c r="T504" s="351"/>
      <c r="U504" s="351"/>
      <c r="V504" s="351"/>
      <c r="W504" s="351"/>
      <c r="X504" s="351"/>
      <c r="Y504" s="351"/>
      <c r="Z504" s="351"/>
      <c r="AA504" s="351"/>
    </row>
    <row r="505" ht="14.25" customHeight="1">
      <c r="A505" s="383"/>
      <c r="B505" s="371"/>
      <c r="C505" s="362"/>
      <c r="D505" s="351"/>
      <c r="E505" s="371"/>
      <c r="F505" s="388"/>
      <c r="G505" s="362"/>
      <c r="H505" s="362"/>
      <c r="I505" s="351"/>
      <c r="J505" s="362"/>
      <c r="K505" s="351"/>
      <c r="L505" s="351"/>
      <c r="M505" s="351"/>
      <c r="N505" s="351"/>
      <c r="O505" s="351"/>
      <c r="P505" s="351"/>
      <c r="Q505" s="351"/>
      <c r="R505" s="351"/>
      <c r="S505" s="351"/>
      <c r="T505" s="351"/>
      <c r="U505" s="351"/>
      <c r="V505" s="351"/>
      <c r="W505" s="351"/>
      <c r="X505" s="351"/>
      <c r="Y505" s="351"/>
      <c r="Z505" s="351"/>
      <c r="AA505" s="351"/>
    </row>
    <row r="506" ht="14.25" customHeight="1">
      <c r="A506" s="383"/>
      <c r="B506" s="371"/>
      <c r="C506" s="362"/>
      <c r="D506" s="351"/>
      <c r="E506" s="371"/>
      <c r="F506" s="388"/>
      <c r="G506" s="362"/>
      <c r="H506" s="362"/>
      <c r="I506" s="351"/>
      <c r="J506" s="362"/>
      <c r="K506" s="351"/>
      <c r="L506" s="351"/>
      <c r="M506" s="351"/>
      <c r="N506" s="351"/>
      <c r="O506" s="351"/>
      <c r="P506" s="351"/>
      <c r="Q506" s="351"/>
      <c r="R506" s="351"/>
      <c r="S506" s="351"/>
      <c r="T506" s="351"/>
      <c r="U506" s="351"/>
      <c r="V506" s="351"/>
      <c r="W506" s="351"/>
      <c r="X506" s="351"/>
      <c r="Y506" s="351"/>
      <c r="Z506" s="351"/>
      <c r="AA506" s="351"/>
    </row>
    <row r="507" ht="14.25" customHeight="1">
      <c r="A507" s="383"/>
      <c r="B507" s="371"/>
      <c r="C507" s="362"/>
      <c r="D507" s="351"/>
      <c r="E507" s="371"/>
      <c r="F507" s="388"/>
      <c r="G507" s="362"/>
      <c r="H507" s="362"/>
      <c r="I507" s="351"/>
      <c r="J507" s="362"/>
      <c r="K507" s="351"/>
      <c r="L507" s="351"/>
      <c r="M507" s="351"/>
      <c r="N507" s="351"/>
      <c r="O507" s="351"/>
      <c r="P507" s="351"/>
      <c r="Q507" s="351"/>
      <c r="R507" s="351"/>
      <c r="S507" s="351"/>
      <c r="T507" s="351"/>
      <c r="U507" s="351"/>
      <c r="V507" s="351"/>
      <c r="W507" s="351"/>
      <c r="X507" s="351"/>
      <c r="Y507" s="351"/>
      <c r="Z507" s="351"/>
      <c r="AA507" s="351"/>
    </row>
    <row r="508" ht="14.25" customHeight="1">
      <c r="A508" s="383"/>
      <c r="B508" s="371"/>
      <c r="C508" s="362"/>
      <c r="D508" s="351"/>
      <c r="E508" s="371"/>
      <c r="F508" s="388"/>
      <c r="G508" s="362"/>
      <c r="H508" s="362"/>
      <c r="I508" s="351"/>
      <c r="J508" s="362"/>
      <c r="K508" s="351"/>
      <c r="L508" s="351"/>
      <c r="M508" s="351"/>
      <c r="N508" s="351"/>
      <c r="O508" s="351"/>
      <c r="P508" s="351"/>
      <c r="Q508" s="351"/>
      <c r="R508" s="351"/>
      <c r="S508" s="351"/>
      <c r="T508" s="351"/>
      <c r="U508" s="351"/>
      <c r="V508" s="351"/>
      <c r="W508" s="351"/>
      <c r="X508" s="351"/>
      <c r="Y508" s="351"/>
      <c r="Z508" s="351"/>
      <c r="AA508" s="351"/>
    </row>
    <row r="509" ht="14.25" customHeight="1">
      <c r="A509" s="383"/>
      <c r="B509" s="371"/>
      <c r="C509" s="362"/>
      <c r="D509" s="351"/>
      <c r="E509" s="371"/>
      <c r="F509" s="388"/>
      <c r="G509" s="362"/>
      <c r="H509" s="362"/>
      <c r="I509" s="351"/>
      <c r="J509" s="362"/>
      <c r="K509" s="351"/>
      <c r="L509" s="351"/>
      <c r="M509" s="351"/>
      <c r="N509" s="351"/>
      <c r="O509" s="351"/>
      <c r="P509" s="351"/>
      <c r="Q509" s="351"/>
      <c r="R509" s="351"/>
      <c r="S509" s="351"/>
      <c r="T509" s="351"/>
      <c r="U509" s="351"/>
      <c r="V509" s="351"/>
      <c r="W509" s="351"/>
      <c r="X509" s="351"/>
      <c r="Y509" s="351"/>
      <c r="Z509" s="351"/>
      <c r="AA509" s="351"/>
    </row>
    <row r="510" ht="14.25" customHeight="1">
      <c r="A510" s="383"/>
      <c r="B510" s="371"/>
      <c r="C510" s="362"/>
      <c r="D510" s="351"/>
      <c r="E510" s="371"/>
      <c r="F510" s="388"/>
      <c r="G510" s="362"/>
      <c r="H510" s="362"/>
      <c r="I510" s="351"/>
      <c r="J510" s="362"/>
      <c r="K510" s="351"/>
      <c r="L510" s="351"/>
      <c r="M510" s="351"/>
      <c r="N510" s="351"/>
      <c r="O510" s="351"/>
      <c r="P510" s="351"/>
      <c r="Q510" s="351"/>
      <c r="R510" s="351"/>
      <c r="S510" s="351"/>
      <c r="T510" s="351"/>
      <c r="U510" s="351"/>
      <c r="V510" s="351"/>
      <c r="W510" s="351"/>
      <c r="X510" s="351"/>
      <c r="Y510" s="351"/>
      <c r="Z510" s="351"/>
      <c r="AA510" s="351"/>
    </row>
    <row r="511" ht="14.25" customHeight="1">
      <c r="A511" s="383"/>
      <c r="B511" s="371"/>
      <c r="C511" s="362"/>
      <c r="D511" s="351"/>
      <c r="E511" s="371"/>
      <c r="F511" s="388"/>
      <c r="G511" s="362"/>
      <c r="H511" s="362"/>
      <c r="I511" s="351"/>
      <c r="J511" s="362"/>
      <c r="K511" s="351"/>
      <c r="L511" s="351"/>
      <c r="M511" s="351"/>
      <c r="N511" s="351"/>
      <c r="O511" s="351"/>
      <c r="P511" s="351"/>
      <c r="Q511" s="351"/>
      <c r="R511" s="351"/>
      <c r="S511" s="351"/>
      <c r="T511" s="351"/>
      <c r="U511" s="351"/>
      <c r="V511" s="351"/>
      <c r="W511" s="351"/>
      <c r="X511" s="351"/>
      <c r="Y511" s="351"/>
      <c r="Z511" s="351"/>
      <c r="AA511" s="351"/>
    </row>
    <row r="512" ht="14.25" customHeight="1">
      <c r="A512" s="383"/>
      <c r="B512" s="371"/>
      <c r="C512" s="362"/>
      <c r="D512" s="351"/>
      <c r="E512" s="371"/>
      <c r="F512" s="388"/>
      <c r="G512" s="362"/>
      <c r="H512" s="362"/>
      <c r="I512" s="351"/>
      <c r="J512" s="362"/>
      <c r="K512" s="351"/>
      <c r="L512" s="351"/>
      <c r="M512" s="351"/>
      <c r="N512" s="351"/>
      <c r="O512" s="351"/>
      <c r="P512" s="351"/>
      <c r="Q512" s="351"/>
      <c r="R512" s="351"/>
      <c r="S512" s="351"/>
      <c r="T512" s="351"/>
      <c r="U512" s="351"/>
      <c r="V512" s="351"/>
      <c r="W512" s="351"/>
      <c r="X512" s="351"/>
      <c r="Y512" s="351"/>
      <c r="Z512" s="351"/>
      <c r="AA512" s="351"/>
    </row>
    <row r="513" ht="14.25" customHeight="1">
      <c r="A513" s="383"/>
      <c r="B513" s="371"/>
      <c r="C513" s="362"/>
      <c r="D513" s="351"/>
      <c r="E513" s="371"/>
      <c r="F513" s="388"/>
      <c r="G513" s="362"/>
      <c r="H513" s="362"/>
      <c r="I513" s="351"/>
      <c r="J513" s="362"/>
      <c r="K513" s="351"/>
      <c r="L513" s="351"/>
      <c r="M513" s="351"/>
      <c r="N513" s="351"/>
      <c r="O513" s="351"/>
      <c r="P513" s="351"/>
      <c r="Q513" s="351"/>
      <c r="R513" s="351"/>
      <c r="S513" s="351"/>
      <c r="T513" s="351"/>
      <c r="U513" s="351"/>
      <c r="V513" s="351"/>
      <c r="W513" s="351"/>
      <c r="X513" s="351"/>
      <c r="Y513" s="351"/>
      <c r="Z513" s="351"/>
      <c r="AA513" s="351"/>
    </row>
    <row r="514" ht="14.25" customHeight="1">
      <c r="A514" s="383"/>
      <c r="B514" s="371"/>
      <c r="C514" s="362"/>
      <c r="D514" s="351"/>
      <c r="E514" s="371"/>
      <c r="F514" s="388"/>
      <c r="G514" s="362"/>
      <c r="H514" s="362"/>
      <c r="I514" s="351"/>
      <c r="J514" s="362"/>
      <c r="K514" s="351"/>
      <c r="L514" s="351"/>
      <c r="M514" s="351"/>
      <c r="N514" s="351"/>
      <c r="O514" s="351"/>
      <c r="P514" s="351"/>
      <c r="Q514" s="351"/>
      <c r="R514" s="351"/>
      <c r="S514" s="351"/>
      <c r="T514" s="351"/>
      <c r="U514" s="351"/>
      <c r="V514" s="351"/>
      <c r="W514" s="351"/>
      <c r="X514" s="351"/>
      <c r="Y514" s="351"/>
      <c r="Z514" s="351"/>
      <c r="AA514" s="351"/>
    </row>
    <row r="515" ht="14.25" customHeight="1">
      <c r="A515" s="383"/>
      <c r="B515" s="371"/>
      <c r="C515" s="362"/>
      <c r="D515" s="351"/>
      <c r="E515" s="371"/>
      <c r="F515" s="388"/>
      <c r="G515" s="362"/>
      <c r="H515" s="362"/>
      <c r="I515" s="351"/>
      <c r="J515" s="362"/>
      <c r="K515" s="351"/>
      <c r="L515" s="351"/>
      <c r="M515" s="351"/>
      <c r="N515" s="351"/>
      <c r="O515" s="351"/>
      <c r="P515" s="351"/>
      <c r="Q515" s="351"/>
      <c r="R515" s="351"/>
      <c r="S515" s="351"/>
      <c r="T515" s="351"/>
      <c r="U515" s="351"/>
      <c r="V515" s="351"/>
      <c r="W515" s="351"/>
      <c r="X515" s="351"/>
      <c r="Y515" s="351"/>
      <c r="Z515" s="351"/>
      <c r="AA515" s="351"/>
    </row>
    <row r="516" ht="14.25" customHeight="1">
      <c r="A516" s="383"/>
      <c r="B516" s="371"/>
      <c r="C516" s="362"/>
      <c r="D516" s="351"/>
      <c r="E516" s="371"/>
      <c r="F516" s="388"/>
      <c r="G516" s="362"/>
      <c r="H516" s="362"/>
      <c r="I516" s="351"/>
      <c r="J516" s="362"/>
      <c r="K516" s="351"/>
      <c r="L516" s="351"/>
      <c r="M516" s="351"/>
      <c r="N516" s="351"/>
      <c r="O516" s="351"/>
      <c r="P516" s="351"/>
      <c r="Q516" s="351"/>
      <c r="R516" s="351"/>
      <c r="S516" s="351"/>
      <c r="T516" s="351"/>
      <c r="U516" s="351"/>
      <c r="V516" s="351"/>
      <c r="W516" s="351"/>
      <c r="X516" s="351"/>
      <c r="Y516" s="351"/>
      <c r="Z516" s="351"/>
      <c r="AA516" s="351"/>
    </row>
    <row r="517" ht="14.25" customHeight="1">
      <c r="A517" s="383"/>
      <c r="B517" s="371"/>
      <c r="C517" s="362"/>
      <c r="D517" s="351"/>
      <c r="E517" s="371"/>
      <c r="F517" s="388"/>
      <c r="G517" s="362"/>
      <c r="H517" s="362"/>
      <c r="I517" s="351"/>
      <c r="J517" s="362"/>
      <c r="K517" s="351"/>
      <c r="L517" s="351"/>
      <c r="M517" s="351"/>
      <c r="N517" s="351"/>
      <c r="O517" s="351"/>
      <c r="P517" s="351"/>
      <c r="Q517" s="351"/>
      <c r="R517" s="351"/>
      <c r="S517" s="351"/>
      <c r="T517" s="351"/>
      <c r="U517" s="351"/>
      <c r="V517" s="351"/>
      <c r="W517" s="351"/>
      <c r="X517" s="351"/>
      <c r="Y517" s="351"/>
      <c r="Z517" s="351"/>
      <c r="AA517" s="351"/>
    </row>
    <row r="518" ht="14.25" customHeight="1">
      <c r="A518" s="383"/>
      <c r="B518" s="371"/>
      <c r="C518" s="362"/>
      <c r="D518" s="351"/>
      <c r="E518" s="371"/>
      <c r="F518" s="388"/>
      <c r="G518" s="362"/>
      <c r="H518" s="362"/>
      <c r="I518" s="351"/>
      <c r="J518" s="362"/>
      <c r="K518" s="351"/>
      <c r="L518" s="351"/>
      <c r="M518" s="351"/>
      <c r="N518" s="351"/>
      <c r="O518" s="351"/>
      <c r="P518" s="351"/>
      <c r="Q518" s="351"/>
      <c r="R518" s="351"/>
      <c r="S518" s="351"/>
      <c r="T518" s="351"/>
      <c r="U518" s="351"/>
      <c r="V518" s="351"/>
      <c r="W518" s="351"/>
      <c r="X518" s="351"/>
      <c r="Y518" s="351"/>
      <c r="Z518" s="351"/>
      <c r="AA518" s="351"/>
    </row>
    <row r="519" ht="14.25" customHeight="1">
      <c r="A519" s="383"/>
      <c r="B519" s="371"/>
      <c r="C519" s="362"/>
      <c r="D519" s="351"/>
      <c r="E519" s="371"/>
      <c r="F519" s="388"/>
      <c r="G519" s="362"/>
      <c r="H519" s="362"/>
      <c r="I519" s="351"/>
      <c r="J519" s="362"/>
      <c r="K519" s="351"/>
      <c r="L519" s="351"/>
      <c r="M519" s="351"/>
      <c r="N519" s="351"/>
      <c r="O519" s="351"/>
      <c r="P519" s="351"/>
      <c r="Q519" s="351"/>
      <c r="R519" s="351"/>
      <c r="S519" s="351"/>
      <c r="T519" s="351"/>
      <c r="U519" s="351"/>
      <c r="V519" s="351"/>
      <c r="W519" s="351"/>
      <c r="X519" s="351"/>
      <c r="Y519" s="351"/>
      <c r="Z519" s="351"/>
      <c r="AA519" s="351"/>
    </row>
    <row r="520" ht="14.25" customHeight="1">
      <c r="A520" s="383"/>
      <c r="B520" s="371"/>
      <c r="C520" s="362"/>
      <c r="D520" s="351"/>
      <c r="E520" s="371"/>
      <c r="F520" s="388"/>
      <c r="G520" s="362"/>
      <c r="H520" s="362"/>
      <c r="I520" s="351"/>
      <c r="J520" s="362"/>
      <c r="K520" s="351"/>
      <c r="L520" s="351"/>
      <c r="M520" s="351"/>
      <c r="N520" s="351"/>
      <c r="O520" s="351"/>
      <c r="P520" s="351"/>
      <c r="Q520" s="351"/>
      <c r="R520" s="351"/>
      <c r="S520" s="351"/>
      <c r="T520" s="351"/>
      <c r="U520" s="351"/>
      <c r="V520" s="351"/>
      <c r="W520" s="351"/>
      <c r="X520" s="351"/>
      <c r="Y520" s="351"/>
      <c r="Z520" s="351"/>
      <c r="AA520" s="351"/>
    </row>
    <row r="521" ht="14.25" customHeight="1">
      <c r="A521" s="383"/>
      <c r="B521" s="371"/>
      <c r="C521" s="362"/>
      <c r="D521" s="351"/>
      <c r="E521" s="371"/>
      <c r="F521" s="388"/>
      <c r="G521" s="362"/>
      <c r="H521" s="362"/>
      <c r="I521" s="351"/>
      <c r="J521" s="362"/>
      <c r="K521" s="351"/>
      <c r="L521" s="351"/>
      <c r="M521" s="351"/>
      <c r="N521" s="351"/>
      <c r="O521" s="351"/>
      <c r="P521" s="351"/>
      <c r="Q521" s="351"/>
      <c r="R521" s="351"/>
      <c r="S521" s="351"/>
      <c r="T521" s="351"/>
      <c r="U521" s="351"/>
      <c r="V521" s="351"/>
      <c r="W521" s="351"/>
      <c r="X521" s="351"/>
      <c r="Y521" s="351"/>
      <c r="Z521" s="351"/>
      <c r="AA521" s="351"/>
    </row>
    <row r="522" ht="14.25" customHeight="1">
      <c r="A522" s="383"/>
      <c r="B522" s="371"/>
      <c r="C522" s="362"/>
      <c r="D522" s="351"/>
      <c r="E522" s="371"/>
      <c r="F522" s="388"/>
      <c r="G522" s="362"/>
      <c r="H522" s="362"/>
      <c r="I522" s="351"/>
      <c r="J522" s="362"/>
      <c r="K522" s="351"/>
      <c r="L522" s="351"/>
      <c r="M522" s="351"/>
      <c r="N522" s="351"/>
      <c r="O522" s="351"/>
      <c r="P522" s="351"/>
      <c r="Q522" s="351"/>
      <c r="R522" s="351"/>
      <c r="S522" s="351"/>
      <c r="T522" s="351"/>
      <c r="U522" s="351"/>
      <c r="V522" s="351"/>
      <c r="W522" s="351"/>
      <c r="X522" s="351"/>
      <c r="Y522" s="351"/>
      <c r="Z522" s="351"/>
      <c r="AA522" s="351"/>
    </row>
    <row r="523" ht="14.25" customHeight="1">
      <c r="A523" s="383"/>
      <c r="B523" s="371"/>
      <c r="C523" s="362"/>
      <c r="D523" s="351"/>
      <c r="E523" s="371"/>
      <c r="F523" s="388"/>
      <c r="G523" s="362"/>
      <c r="H523" s="362"/>
      <c r="I523" s="351"/>
      <c r="J523" s="362"/>
      <c r="K523" s="351"/>
      <c r="L523" s="351"/>
      <c r="M523" s="351"/>
      <c r="N523" s="351"/>
      <c r="O523" s="351"/>
      <c r="P523" s="351"/>
      <c r="Q523" s="351"/>
      <c r="R523" s="351"/>
      <c r="S523" s="351"/>
      <c r="T523" s="351"/>
      <c r="U523" s="351"/>
      <c r="V523" s="351"/>
      <c r="W523" s="351"/>
      <c r="X523" s="351"/>
      <c r="Y523" s="351"/>
      <c r="Z523" s="351"/>
      <c r="AA523" s="351"/>
    </row>
    <row r="524" ht="14.25" customHeight="1">
      <c r="A524" s="383"/>
      <c r="B524" s="371"/>
      <c r="C524" s="362"/>
      <c r="D524" s="351"/>
      <c r="E524" s="371"/>
      <c r="F524" s="388"/>
      <c r="G524" s="362"/>
      <c r="H524" s="362"/>
      <c r="I524" s="351"/>
      <c r="J524" s="362"/>
      <c r="K524" s="351"/>
      <c r="L524" s="351"/>
      <c r="M524" s="351"/>
      <c r="N524" s="351"/>
      <c r="O524" s="351"/>
      <c r="P524" s="351"/>
      <c r="Q524" s="351"/>
      <c r="R524" s="351"/>
      <c r="S524" s="351"/>
      <c r="T524" s="351"/>
      <c r="U524" s="351"/>
      <c r="V524" s="351"/>
      <c r="W524" s="351"/>
      <c r="X524" s="351"/>
      <c r="Y524" s="351"/>
      <c r="Z524" s="351"/>
      <c r="AA524" s="351"/>
    </row>
    <row r="525" ht="14.25" customHeight="1">
      <c r="A525" s="383"/>
      <c r="B525" s="371"/>
      <c r="C525" s="362"/>
      <c r="D525" s="351"/>
      <c r="E525" s="371"/>
      <c r="F525" s="388"/>
      <c r="G525" s="362"/>
      <c r="H525" s="362"/>
      <c r="I525" s="351"/>
      <c r="J525" s="362"/>
      <c r="K525" s="351"/>
      <c r="L525" s="351"/>
      <c r="M525" s="351"/>
      <c r="N525" s="351"/>
      <c r="O525" s="351"/>
      <c r="P525" s="351"/>
      <c r="Q525" s="351"/>
      <c r="R525" s="351"/>
      <c r="S525" s="351"/>
      <c r="T525" s="351"/>
      <c r="U525" s="351"/>
      <c r="V525" s="351"/>
      <c r="W525" s="351"/>
      <c r="X525" s="351"/>
      <c r="Y525" s="351"/>
      <c r="Z525" s="351"/>
      <c r="AA525" s="351"/>
    </row>
    <row r="526" ht="14.25" customHeight="1">
      <c r="A526" s="383"/>
      <c r="B526" s="371"/>
      <c r="C526" s="362"/>
      <c r="D526" s="351"/>
      <c r="E526" s="371"/>
      <c r="F526" s="388"/>
      <c r="G526" s="362"/>
      <c r="H526" s="362"/>
      <c r="I526" s="351"/>
      <c r="J526" s="362"/>
      <c r="K526" s="351"/>
      <c r="L526" s="351"/>
      <c r="M526" s="351"/>
      <c r="N526" s="351"/>
      <c r="O526" s="351"/>
      <c r="P526" s="351"/>
      <c r="Q526" s="351"/>
      <c r="R526" s="351"/>
      <c r="S526" s="351"/>
      <c r="T526" s="351"/>
      <c r="U526" s="351"/>
      <c r="V526" s="351"/>
      <c r="W526" s="351"/>
      <c r="X526" s="351"/>
      <c r="Y526" s="351"/>
      <c r="Z526" s="351"/>
      <c r="AA526" s="351"/>
    </row>
    <row r="527" ht="14.25" customHeight="1">
      <c r="A527" s="383"/>
      <c r="B527" s="371"/>
      <c r="C527" s="362"/>
      <c r="D527" s="351"/>
      <c r="E527" s="371"/>
      <c r="F527" s="388"/>
      <c r="G527" s="362"/>
      <c r="H527" s="362"/>
      <c r="I527" s="351"/>
      <c r="J527" s="362"/>
      <c r="K527" s="351"/>
      <c r="L527" s="351"/>
      <c r="M527" s="351"/>
      <c r="N527" s="351"/>
      <c r="O527" s="351"/>
      <c r="P527" s="351"/>
      <c r="Q527" s="351"/>
      <c r="R527" s="351"/>
      <c r="S527" s="351"/>
      <c r="T527" s="351"/>
      <c r="U527" s="351"/>
      <c r="V527" s="351"/>
      <c r="W527" s="351"/>
      <c r="X527" s="351"/>
      <c r="Y527" s="351"/>
      <c r="Z527" s="351"/>
      <c r="AA527" s="351"/>
    </row>
    <row r="528" ht="14.25" customHeight="1">
      <c r="A528" s="383"/>
      <c r="B528" s="371"/>
      <c r="C528" s="362"/>
      <c r="D528" s="351"/>
      <c r="E528" s="371"/>
      <c r="F528" s="388"/>
      <c r="G528" s="362"/>
      <c r="H528" s="362"/>
      <c r="I528" s="351"/>
      <c r="J528" s="362"/>
      <c r="K528" s="351"/>
      <c r="L528" s="351"/>
      <c r="M528" s="351"/>
      <c r="N528" s="351"/>
      <c r="O528" s="351"/>
      <c r="P528" s="351"/>
      <c r="Q528" s="351"/>
      <c r="R528" s="351"/>
      <c r="S528" s="351"/>
      <c r="T528" s="351"/>
      <c r="U528" s="351"/>
      <c r="V528" s="351"/>
      <c r="W528" s="351"/>
      <c r="X528" s="351"/>
      <c r="Y528" s="351"/>
      <c r="Z528" s="351"/>
      <c r="AA528" s="351"/>
    </row>
    <row r="529" ht="14.25" customHeight="1">
      <c r="A529" s="383"/>
      <c r="B529" s="371"/>
      <c r="C529" s="362"/>
      <c r="D529" s="351"/>
      <c r="E529" s="371"/>
      <c r="F529" s="388"/>
      <c r="G529" s="362"/>
      <c r="H529" s="362"/>
      <c r="I529" s="351"/>
      <c r="J529" s="362"/>
      <c r="K529" s="351"/>
      <c r="L529" s="351"/>
      <c r="M529" s="351"/>
      <c r="N529" s="351"/>
      <c r="O529" s="351"/>
      <c r="P529" s="351"/>
      <c r="Q529" s="351"/>
      <c r="R529" s="351"/>
      <c r="S529" s="351"/>
      <c r="T529" s="351"/>
      <c r="U529" s="351"/>
      <c r="V529" s="351"/>
      <c r="W529" s="351"/>
      <c r="X529" s="351"/>
      <c r="Y529" s="351"/>
      <c r="Z529" s="351"/>
      <c r="AA529" s="351"/>
    </row>
    <row r="530" ht="14.25" customHeight="1">
      <c r="A530" s="383"/>
      <c r="B530" s="371"/>
      <c r="C530" s="362"/>
      <c r="D530" s="351"/>
      <c r="E530" s="371"/>
      <c r="F530" s="388"/>
      <c r="G530" s="362"/>
      <c r="H530" s="362"/>
      <c r="I530" s="351"/>
      <c r="J530" s="362"/>
      <c r="K530" s="351"/>
      <c r="L530" s="351"/>
      <c r="M530" s="351"/>
      <c r="N530" s="351"/>
      <c r="O530" s="351"/>
      <c r="P530" s="351"/>
      <c r="Q530" s="351"/>
      <c r="R530" s="351"/>
      <c r="S530" s="351"/>
      <c r="T530" s="351"/>
      <c r="U530" s="351"/>
      <c r="V530" s="351"/>
      <c r="W530" s="351"/>
      <c r="X530" s="351"/>
      <c r="Y530" s="351"/>
      <c r="Z530" s="351"/>
      <c r="AA530" s="351"/>
    </row>
    <row r="531" ht="14.25" customHeight="1">
      <c r="A531" s="383"/>
      <c r="B531" s="371"/>
      <c r="C531" s="362"/>
      <c r="D531" s="351"/>
      <c r="E531" s="371"/>
      <c r="F531" s="388"/>
      <c r="G531" s="362"/>
      <c r="H531" s="362"/>
      <c r="I531" s="351"/>
      <c r="J531" s="362"/>
      <c r="K531" s="351"/>
      <c r="L531" s="351"/>
      <c r="M531" s="351"/>
      <c r="N531" s="351"/>
      <c r="O531" s="351"/>
      <c r="P531" s="351"/>
      <c r="Q531" s="351"/>
      <c r="R531" s="351"/>
      <c r="S531" s="351"/>
      <c r="T531" s="351"/>
      <c r="U531" s="351"/>
      <c r="V531" s="351"/>
      <c r="W531" s="351"/>
      <c r="X531" s="351"/>
      <c r="Y531" s="351"/>
      <c r="Z531" s="351"/>
      <c r="AA531" s="351"/>
    </row>
    <row r="532" ht="14.25" customHeight="1">
      <c r="A532" s="383"/>
      <c r="B532" s="371"/>
      <c r="C532" s="362"/>
      <c r="D532" s="351"/>
      <c r="E532" s="371"/>
      <c r="F532" s="388"/>
      <c r="G532" s="362"/>
      <c r="H532" s="362"/>
      <c r="I532" s="351"/>
      <c r="J532" s="362"/>
      <c r="K532" s="351"/>
      <c r="L532" s="351"/>
      <c r="M532" s="351"/>
      <c r="N532" s="351"/>
      <c r="O532" s="351"/>
      <c r="P532" s="351"/>
      <c r="Q532" s="351"/>
      <c r="R532" s="351"/>
      <c r="S532" s="351"/>
      <c r="T532" s="351"/>
      <c r="U532" s="351"/>
      <c r="V532" s="351"/>
      <c r="W532" s="351"/>
      <c r="X532" s="351"/>
      <c r="Y532" s="351"/>
      <c r="Z532" s="351"/>
      <c r="AA532" s="351"/>
    </row>
    <row r="533" ht="14.25" customHeight="1">
      <c r="A533" s="383"/>
      <c r="B533" s="371"/>
      <c r="C533" s="362"/>
      <c r="D533" s="351"/>
      <c r="E533" s="371"/>
      <c r="F533" s="388"/>
      <c r="G533" s="362"/>
      <c r="H533" s="362"/>
      <c r="I533" s="351"/>
      <c r="J533" s="362"/>
      <c r="K533" s="351"/>
      <c r="L533" s="351"/>
      <c r="M533" s="351"/>
      <c r="N533" s="351"/>
      <c r="O533" s="351"/>
      <c r="P533" s="351"/>
      <c r="Q533" s="351"/>
      <c r="R533" s="351"/>
      <c r="S533" s="351"/>
      <c r="T533" s="351"/>
      <c r="U533" s="351"/>
      <c r="V533" s="351"/>
      <c r="W533" s="351"/>
      <c r="X533" s="351"/>
      <c r="Y533" s="351"/>
      <c r="Z533" s="351"/>
      <c r="AA533" s="351"/>
    </row>
    <row r="534" ht="14.25" customHeight="1">
      <c r="A534" s="383"/>
      <c r="B534" s="371"/>
      <c r="C534" s="362"/>
      <c r="D534" s="351"/>
      <c r="E534" s="371"/>
      <c r="F534" s="388"/>
      <c r="G534" s="362"/>
      <c r="H534" s="362"/>
      <c r="I534" s="351"/>
      <c r="J534" s="362"/>
      <c r="K534" s="351"/>
      <c r="L534" s="351"/>
      <c r="M534" s="351"/>
      <c r="N534" s="351"/>
      <c r="O534" s="351"/>
      <c r="P534" s="351"/>
      <c r="Q534" s="351"/>
      <c r="R534" s="351"/>
      <c r="S534" s="351"/>
      <c r="T534" s="351"/>
      <c r="U534" s="351"/>
      <c r="V534" s="351"/>
      <c r="W534" s="351"/>
      <c r="X534" s="351"/>
      <c r="Y534" s="351"/>
      <c r="Z534" s="351"/>
      <c r="AA534" s="351"/>
    </row>
    <row r="535" ht="14.25" customHeight="1">
      <c r="A535" s="383"/>
      <c r="B535" s="371"/>
      <c r="C535" s="362"/>
      <c r="D535" s="351"/>
      <c r="E535" s="371"/>
      <c r="F535" s="388"/>
      <c r="G535" s="362"/>
      <c r="H535" s="362"/>
      <c r="I535" s="351"/>
      <c r="J535" s="362"/>
      <c r="K535" s="351"/>
      <c r="L535" s="351"/>
      <c r="M535" s="351"/>
      <c r="N535" s="351"/>
      <c r="O535" s="351"/>
      <c r="P535" s="351"/>
      <c r="Q535" s="351"/>
      <c r="R535" s="351"/>
      <c r="S535" s="351"/>
      <c r="T535" s="351"/>
      <c r="U535" s="351"/>
      <c r="V535" s="351"/>
      <c r="W535" s="351"/>
      <c r="X535" s="351"/>
      <c r="Y535" s="351"/>
      <c r="Z535" s="351"/>
      <c r="AA535" s="351"/>
    </row>
    <row r="536" ht="14.25" customHeight="1">
      <c r="A536" s="383"/>
      <c r="B536" s="371"/>
      <c r="C536" s="362"/>
      <c r="D536" s="351"/>
      <c r="E536" s="371"/>
      <c r="F536" s="388"/>
      <c r="G536" s="362"/>
      <c r="H536" s="362"/>
      <c r="I536" s="351"/>
      <c r="J536" s="362"/>
      <c r="K536" s="351"/>
      <c r="L536" s="351"/>
      <c r="M536" s="351"/>
      <c r="N536" s="351"/>
      <c r="O536" s="351"/>
      <c r="P536" s="351"/>
      <c r="Q536" s="351"/>
      <c r="R536" s="351"/>
      <c r="S536" s="351"/>
      <c r="T536" s="351"/>
      <c r="U536" s="351"/>
      <c r="V536" s="351"/>
      <c r="W536" s="351"/>
      <c r="X536" s="351"/>
      <c r="Y536" s="351"/>
      <c r="Z536" s="351"/>
      <c r="AA536" s="351"/>
    </row>
    <row r="537" ht="14.25" customHeight="1">
      <c r="A537" s="383"/>
      <c r="B537" s="371"/>
      <c r="C537" s="362"/>
      <c r="D537" s="351"/>
      <c r="E537" s="371"/>
      <c r="F537" s="388"/>
      <c r="G537" s="362"/>
      <c r="H537" s="362"/>
      <c r="I537" s="351"/>
      <c r="J537" s="362"/>
      <c r="K537" s="351"/>
      <c r="L537" s="351"/>
      <c r="M537" s="351"/>
      <c r="N537" s="351"/>
      <c r="O537" s="351"/>
      <c r="P537" s="351"/>
      <c r="Q537" s="351"/>
      <c r="R537" s="351"/>
      <c r="S537" s="351"/>
      <c r="T537" s="351"/>
      <c r="U537" s="351"/>
      <c r="V537" s="351"/>
      <c r="W537" s="351"/>
      <c r="X537" s="351"/>
      <c r="Y537" s="351"/>
      <c r="Z537" s="351"/>
      <c r="AA537" s="351"/>
    </row>
    <row r="538" ht="14.25" customHeight="1">
      <c r="A538" s="383"/>
      <c r="B538" s="371"/>
      <c r="C538" s="362"/>
      <c r="D538" s="351"/>
      <c r="E538" s="371"/>
      <c r="F538" s="388"/>
      <c r="G538" s="362"/>
      <c r="H538" s="362"/>
      <c r="I538" s="351"/>
      <c r="J538" s="362"/>
      <c r="K538" s="351"/>
      <c r="L538" s="351"/>
      <c r="M538" s="351"/>
      <c r="N538" s="351"/>
      <c r="O538" s="351"/>
      <c r="P538" s="351"/>
      <c r="Q538" s="351"/>
      <c r="R538" s="351"/>
      <c r="S538" s="351"/>
      <c r="T538" s="351"/>
      <c r="U538" s="351"/>
      <c r="V538" s="351"/>
      <c r="W538" s="351"/>
      <c r="X538" s="351"/>
      <c r="Y538" s="351"/>
      <c r="Z538" s="351"/>
      <c r="AA538" s="351"/>
    </row>
    <row r="539" ht="14.25" customHeight="1">
      <c r="A539" s="383"/>
      <c r="B539" s="371"/>
      <c r="C539" s="362"/>
      <c r="D539" s="351"/>
      <c r="E539" s="371"/>
      <c r="F539" s="388"/>
      <c r="G539" s="362"/>
      <c r="H539" s="362"/>
      <c r="I539" s="351"/>
      <c r="J539" s="362"/>
      <c r="K539" s="351"/>
      <c r="L539" s="351"/>
      <c r="M539" s="351"/>
      <c r="N539" s="351"/>
      <c r="O539" s="351"/>
      <c r="P539" s="351"/>
      <c r="Q539" s="351"/>
      <c r="R539" s="351"/>
      <c r="S539" s="351"/>
      <c r="T539" s="351"/>
      <c r="U539" s="351"/>
      <c r="V539" s="351"/>
      <c r="W539" s="351"/>
      <c r="X539" s="351"/>
      <c r="Y539" s="351"/>
      <c r="Z539" s="351"/>
      <c r="AA539" s="351"/>
    </row>
    <row r="540" ht="14.25" customHeight="1">
      <c r="A540" s="383"/>
      <c r="B540" s="371"/>
      <c r="C540" s="362"/>
      <c r="D540" s="351"/>
      <c r="E540" s="371"/>
      <c r="F540" s="388"/>
      <c r="G540" s="362"/>
      <c r="H540" s="362"/>
      <c r="I540" s="351"/>
      <c r="J540" s="362"/>
      <c r="K540" s="351"/>
      <c r="L540" s="351"/>
      <c r="M540" s="351"/>
      <c r="N540" s="351"/>
      <c r="O540" s="351"/>
      <c r="P540" s="351"/>
      <c r="Q540" s="351"/>
      <c r="R540" s="351"/>
      <c r="S540" s="351"/>
      <c r="T540" s="351"/>
      <c r="U540" s="351"/>
      <c r="V540" s="351"/>
      <c r="W540" s="351"/>
      <c r="X540" s="351"/>
      <c r="Y540" s="351"/>
      <c r="Z540" s="351"/>
      <c r="AA540" s="351"/>
    </row>
    <row r="541" ht="14.25" customHeight="1">
      <c r="A541" s="383"/>
      <c r="B541" s="371"/>
      <c r="C541" s="362"/>
      <c r="D541" s="351"/>
      <c r="E541" s="371"/>
      <c r="F541" s="388"/>
      <c r="G541" s="362"/>
      <c r="H541" s="362"/>
      <c r="I541" s="351"/>
      <c r="J541" s="362"/>
      <c r="K541" s="351"/>
      <c r="L541" s="351"/>
      <c r="M541" s="351"/>
      <c r="N541" s="351"/>
      <c r="O541" s="351"/>
      <c r="P541" s="351"/>
      <c r="Q541" s="351"/>
      <c r="R541" s="351"/>
      <c r="S541" s="351"/>
      <c r="T541" s="351"/>
      <c r="U541" s="351"/>
      <c r="V541" s="351"/>
      <c r="W541" s="351"/>
      <c r="X541" s="351"/>
      <c r="Y541" s="351"/>
      <c r="Z541" s="351"/>
      <c r="AA541" s="351"/>
    </row>
    <row r="542" ht="14.25" customHeight="1">
      <c r="A542" s="383"/>
      <c r="B542" s="371"/>
      <c r="C542" s="362"/>
      <c r="D542" s="351"/>
      <c r="E542" s="371"/>
      <c r="F542" s="388"/>
      <c r="G542" s="362"/>
      <c r="H542" s="362"/>
      <c r="I542" s="351"/>
      <c r="J542" s="362"/>
      <c r="K542" s="351"/>
      <c r="L542" s="351"/>
      <c r="M542" s="351"/>
      <c r="N542" s="351"/>
      <c r="O542" s="351"/>
      <c r="P542" s="351"/>
      <c r="Q542" s="351"/>
      <c r="R542" s="351"/>
      <c r="S542" s="351"/>
      <c r="T542" s="351"/>
      <c r="U542" s="351"/>
      <c r="V542" s="351"/>
      <c r="W542" s="351"/>
      <c r="X542" s="351"/>
      <c r="Y542" s="351"/>
      <c r="Z542" s="351"/>
      <c r="AA542" s="351"/>
    </row>
    <row r="543" ht="14.25" customHeight="1">
      <c r="A543" s="383"/>
      <c r="B543" s="371"/>
      <c r="C543" s="362"/>
      <c r="D543" s="351"/>
      <c r="E543" s="371"/>
      <c r="F543" s="388"/>
      <c r="G543" s="362"/>
      <c r="H543" s="362"/>
      <c r="I543" s="351"/>
      <c r="J543" s="362"/>
      <c r="K543" s="351"/>
      <c r="L543" s="351"/>
      <c r="M543" s="351"/>
      <c r="N543" s="351"/>
      <c r="O543" s="351"/>
      <c r="P543" s="351"/>
      <c r="Q543" s="351"/>
      <c r="R543" s="351"/>
      <c r="S543" s="351"/>
      <c r="T543" s="351"/>
      <c r="U543" s="351"/>
      <c r="V543" s="351"/>
      <c r="W543" s="351"/>
      <c r="X543" s="351"/>
      <c r="Y543" s="351"/>
      <c r="Z543" s="351"/>
      <c r="AA543" s="351"/>
    </row>
    <row r="544" ht="14.25" customHeight="1">
      <c r="A544" s="383"/>
      <c r="B544" s="371"/>
      <c r="C544" s="362"/>
      <c r="D544" s="351"/>
      <c r="E544" s="371"/>
      <c r="F544" s="388"/>
      <c r="G544" s="362"/>
      <c r="H544" s="362"/>
      <c r="I544" s="351"/>
      <c r="J544" s="362"/>
      <c r="K544" s="351"/>
      <c r="L544" s="351"/>
      <c r="M544" s="351"/>
      <c r="N544" s="351"/>
      <c r="O544" s="351"/>
      <c r="P544" s="351"/>
      <c r="Q544" s="351"/>
      <c r="R544" s="351"/>
      <c r="S544" s="351"/>
      <c r="T544" s="351"/>
      <c r="U544" s="351"/>
      <c r="V544" s="351"/>
      <c r="W544" s="351"/>
      <c r="X544" s="351"/>
      <c r="Y544" s="351"/>
      <c r="Z544" s="351"/>
      <c r="AA544" s="351"/>
    </row>
    <row r="545" ht="14.25" customHeight="1">
      <c r="A545" s="383"/>
      <c r="B545" s="371"/>
      <c r="C545" s="362"/>
      <c r="D545" s="351"/>
      <c r="E545" s="371"/>
      <c r="F545" s="388"/>
      <c r="G545" s="362"/>
      <c r="H545" s="362"/>
      <c r="I545" s="351"/>
      <c r="J545" s="362"/>
      <c r="K545" s="351"/>
      <c r="L545" s="351"/>
      <c r="M545" s="351"/>
      <c r="N545" s="351"/>
      <c r="O545" s="351"/>
      <c r="P545" s="351"/>
      <c r="Q545" s="351"/>
      <c r="R545" s="351"/>
      <c r="S545" s="351"/>
      <c r="T545" s="351"/>
      <c r="U545" s="351"/>
      <c r="V545" s="351"/>
      <c r="W545" s="351"/>
      <c r="X545" s="351"/>
      <c r="Y545" s="351"/>
      <c r="Z545" s="351"/>
      <c r="AA545" s="351"/>
    </row>
    <row r="546" ht="14.25" customHeight="1">
      <c r="A546" s="383"/>
      <c r="B546" s="371"/>
      <c r="C546" s="362"/>
      <c r="D546" s="351"/>
      <c r="E546" s="371"/>
      <c r="F546" s="388"/>
      <c r="G546" s="362"/>
      <c r="H546" s="362"/>
      <c r="I546" s="351"/>
      <c r="J546" s="362"/>
      <c r="K546" s="351"/>
      <c r="L546" s="351"/>
      <c r="M546" s="351"/>
      <c r="N546" s="351"/>
      <c r="O546" s="351"/>
      <c r="P546" s="351"/>
      <c r="Q546" s="351"/>
      <c r="R546" s="351"/>
      <c r="S546" s="351"/>
      <c r="T546" s="351"/>
      <c r="U546" s="351"/>
      <c r="V546" s="351"/>
      <c r="W546" s="351"/>
      <c r="X546" s="351"/>
      <c r="Y546" s="351"/>
      <c r="Z546" s="351"/>
      <c r="AA546" s="351"/>
    </row>
    <row r="547" ht="14.25" customHeight="1">
      <c r="A547" s="383"/>
      <c r="B547" s="371"/>
      <c r="C547" s="362"/>
      <c r="D547" s="351"/>
      <c r="E547" s="371"/>
      <c r="F547" s="388"/>
      <c r="G547" s="362"/>
      <c r="H547" s="362"/>
      <c r="I547" s="351"/>
      <c r="J547" s="362"/>
      <c r="K547" s="351"/>
      <c r="L547" s="351"/>
      <c r="M547" s="351"/>
      <c r="N547" s="351"/>
      <c r="O547" s="351"/>
      <c r="P547" s="351"/>
      <c r="Q547" s="351"/>
      <c r="R547" s="351"/>
      <c r="S547" s="351"/>
      <c r="T547" s="351"/>
      <c r="U547" s="351"/>
      <c r="V547" s="351"/>
      <c r="W547" s="351"/>
      <c r="X547" s="351"/>
      <c r="Y547" s="351"/>
      <c r="Z547" s="351"/>
      <c r="AA547" s="351"/>
    </row>
    <row r="548" ht="14.25" customHeight="1">
      <c r="A548" s="383"/>
      <c r="B548" s="371"/>
      <c r="C548" s="362"/>
      <c r="D548" s="351"/>
      <c r="E548" s="371"/>
      <c r="F548" s="388"/>
      <c r="G548" s="362"/>
      <c r="H548" s="362"/>
      <c r="I548" s="351"/>
      <c r="J548" s="362"/>
      <c r="K548" s="351"/>
      <c r="L548" s="351"/>
      <c r="M548" s="351"/>
      <c r="N548" s="351"/>
      <c r="O548" s="351"/>
      <c r="P548" s="351"/>
      <c r="Q548" s="351"/>
      <c r="R548" s="351"/>
      <c r="S548" s="351"/>
      <c r="T548" s="351"/>
      <c r="U548" s="351"/>
      <c r="V548" s="351"/>
      <c r="W548" s="351"/>
      <c r="X548" s="351"/>
      <c r="Y548" s="351"/>
      <c r="Z548" s="351"/>
      <c r="AA548" s="351"/>
    </row>
    <row r="549" ht="14.25" customHeight="1">
      <c r="A549" s="383"/>
      <c r="B549" s="371"/>
      <c r="C549" s="362"/>
      <c r="D549" s="351"/>
      <c r="E549" s="371"/>
      <c r="F549" s="388"/>
      <c r="G549" s="362"/>
      <c r="H549" s="362"/>
      <c r="I549" s="351"/>
      <c r="J549" s="362"/>
      <c r="K549" s="351"/>
      <c r="L549" s="351"/>
      <c r="M549" s="351"/>
      <c r="N549" s="351"/>
      <c r="O549" s="351"/>
      <c r="P549" s="351"/>
      <c r="Q549" s="351"/>
      <c r="R549" s="351"/>
      <c r="S549" s="351"/>
      <c r="T549" s="351"/>
      <c r="U549" s="351"/>
      <c r="V549" s="351"/>
      <c r="W549" s="351"/>
      <c r="X549" s="351"/>
      <c r="Y549" s="351"/>
      <c r="Z549" s="351"/>
      <c r="AA549" s="351"/>
    </row>
    <row r="550" ht="14.25" customHeight="1">
      <c r="A550" s="383"/>
      <c r="B550" s="371"/>
      <c r="C550" s="362"/>
      <c r="D550" s="351"/>
      <c r="E550" s="371"/>
      <c r="F550" s="388"/>
      <c r="G550" s="362"/>
      <c r="H550" s="362"/>
      <c r="I550" s="351"/>
      <c r="J550" s="362"/>
      <c r="K550" s="351"/>
      <c r="L550" s="351"/>
      <c r="M550" s="351"/>
      <c r="N550" s="351"/>
      <c r="O550" s="351"/>
      <c r="P550" s="351"/>
      <c r="Q550" s="351"/>
      <c r="R550" s="351"/>
      <c r="S550" s="351"/>
      <c r="T550" s="351"/>
      <c r="U550" s="351"/>
      <c r="V550" s="351"/>
      <c r="W550" s="351"/>
      <c r="X550" s="351"/>
      <c r="Y550" s="351"/>
      <c r="Z550" s="351"/>
      <c r="AA550" s="351"/>
    </row>
    <row r="551" ht="14.25" customHeight="1">
      <c r="A551" s="383"/>
      <c r="B551" s="371"/>
      <c r="C551" s="362"/>
      <c r="D551" s="351"/>
      <c r="E551" s="371"/>
      <c r="F551" s="388"/>
      <c r="G551" s="362"/>
      <c r="H551" s="362"/>
      <c r="I551" s="351"/>
      <c r="J551" s="362"/>
      <c r="K551" s="351"/>
      <c r="L551" s="351"/>
      <c r="M551" s="351"/>
      <c r="N551" s="351"/>
      <c r="O551" s="351"/>
      <c r="P551" s="351"/>
      <c r="Q551" s="351"/>
      <c r="R551" s="351"/>
      <c r="S551" s="351"/>
      <c r="T551" s="351"/>
      <c r="U551" s="351"/>
      <c r="V551" s="351"/>
      <c r="W551" s="351"/>
      <c r="X551" s="351"/>
      <c r="Y551" s="351"/>
      <c r="Z551" s="351"/>
      <c r="AA551" s="351"/>
    </row>
    <row r="552" ht="14.25" customHeight="1">
      <c r="A552" s="383"/>
      <c r="B552" s="371"/>
      <c r="C552" s="362"/>
      <c r="D552" s="351"/>
      <c r="E552" s="371"/>
      <c r="F552" s="388"/>
      <c r="G552" s="362"/>
      <c r="H552" s="362"/>
      <c r="I552" s="351"/>
      <c r="J552" s="362"/>
      <c r="K552" s="351"/>
      <c r="L552" s="351"/>
      <c r="M552" s="351"/>
      <c r="N552" s="351"/>
      <c r="O552" s="351"/>
      <c r="P552" s="351"/>
      <c r="Q552" s="351"/>
      <c r="R552" s="351"/>
      <c r="S552" s="351"/>
      <c r="T552" s="351"/>
      <c r="U552" s="351"/>
      <c r="V552" s="351"/>
      <c r="W552" s="351"/>
      <c r="X552" s="351"/>
      <c r="Y552" s="351"/>
      <c r="Z552" s="351"/>
      <c r="AA552" s="351"/>
    </row>
    <row r="553" ht="14.25" customHeight="1">
      <c r="A553" s="383"/>
      <c r="B553" s="371"/>
      <c r="C553" s="362"/>
      <c r="D553" s="351"/>
      <c r="E553" s="371"/>
      <c r="F553" s="388"/>
      <c r="G553" s="362"/>
      <c r="H553" s="362"/>
      <c r="I553" s="351"/>
      <c r="J553" s="362"/>
      <c r="K553" s="351"/>
      <c r="L553" s="351"/>
      <c r="M553" s="351"/>
      <c r="N553" s="351"/>
      <c r="O553" s="351"/>
      <c r="P553" s="351"/>
      <c r="Q553" s="351"/>
      <c r="R553" s="351"/>
      <c r="S553" s="351"/>
      <c r="T553" s="351"/>
      <c r="U553" s="351"/>
      <c r="V553" s="351"/>
      <c r="W553" s="351"/>
      <c r="X553" s="351"/>
      <c r="Y553" s="351"/>
      <c r="Z553" s="351"/>
      <c r="AA553" s="351"/>
    </row>
    <row r="554" ht="14.25" customHeight="1">
      <c r="A554" s="383"/>
      <c r="B554" s="371"/>
      <c r="C554" s="362"/>
      <c r="D554" s="351"/>
      <c r="E554" s="371"/>
      <c r="F554" s="388"/>
      <c r="G554" s="362"/>
      <c r="H554" s="362"/>
      <c r="I554" s="351"/>
      <c r="J554" s="362"/>
      <c r="K554" s="351"/>
      <c r="L554" s="351"/>
      <c r="M554" s="351"/>
      <c r="N554" s="351"/>
      <c r="O554" s="351"/>
      <c r="P554" s="351"/>
      <c r="Q554" s="351"/>
      <c r="R554" s="351"/>
      <c r="S554" s="351"/>
      <c r="T554" s="351"/>
      <c r="U554" s="351"/>
      <c r="V554" s="351"/>
      <c r="W554" s="351"/>
      <c r="X554" s="351"/>
      <c r="Y554" s="351"/>
      <c r="Z554" s="351"/>
      <c r="AA554" s="351"/>
    </row>
    <row r="555" ht="14.25" customHeight="1">
      <c r="A555" s="383"/>
      <c r="B555" s="371"/>
      <c r="C555" s="362"/>
      <c r="D555" s="351"/>
      <c r="E555" s="371"/>
      <c r="F555" s="388"/>
      <c r="G555" s="362"/>
      <c r="H555" s="362"/>
      <c r="I555" s="351"/>
      <c r="J555" s="362"/>
      <c r="K555" s="351"/>
      <c r="L555" s="351"/>
      <c r="M555" s="351"/>
      <c r="N555" s="351"/>
      <c r="O555" s="351"/>
      <c r="P555" s="351"/>
      <c r="Q555" s="351"/>
      <c r="R555" s="351"/>
      <c r="S555" s="351"/>
      <c r="T555" s="351"/>
      <c r="U555" s="351"/>
      <c r="V555" s="351"/>
      <c r="W555" s="351"/>
      <c r="X555" s="351"/>
      <c r="Y555" s="351"/>
      <c r="Z555" s="351"/>
      <c r="AA555" s="351"/>
    </row>
    <row r="556" ht="14.25" customHeight="1">
      <c r="A556" s="383"/>
      <c r="B556" s="371"/>
      <c r="C556" s="362"/>
      <c r="D556" s="351"/>
      <c r="E556" s="371"/>
      <c r="F556" s="388"/>
      <c r="G556" s="362"/>
      <c r="H556" s="362"/>
      <c r="I556" s="351"/>
      <c r="J556" s="362"/>
      <c r="K556" s="351"/>
      <c r="L556" s="351"/>
      <c r="M556" s="351"/>
      <c r="N556" s="351"/>
      <c r="O556" s="351"/>
      <c r="P556" s="351"/>
      <c r="Q556" s="351"/>
      <c r="R556" s="351"/>
      <c r="S556" s="351"/>
      <c r="T556" s="351"/>
      <c r="U556" s="351"/>
      <c r="V556" s="351"/>
      <c r="W556" s="351"/>
      <c r="X556" s="351"/>
      <c r="Y556" s="351"/>
      <c r="Z556" s="351"/>
      <c r="AA556" s="351"/>
    </row>
    <row r="557" ht="14.25" customHeight="1">
      <c r="A557" s="383"/>
      <c r="B557" s="371"/>
      <c r="C557" s="362"/>
      <c r="D557" s="351"/>
      <c r="E557" s="371"/>
      <c r="F557" s="388"/>
      <c r="G557" s="362"/>
      <c r="H557" s="362"/>
      <c r="I557" s="351"/>
      <c r="J557" s="362"/>
      <c r="K557" s="351"/>
      <c r="L557" s="351"/>
      <c r="M557" s="351"/>
      <c r="N557" s="351"/>
      <c r="O557" s="351"/>
      <c r="P557" s="351"/>
      <c r="Q557" s="351"/>
      <c r="R557" s="351"/>
      <c r="S557" s="351"/>
      <c r="T557" s="351"/>
      <c r="U557" s="351"/>
      <c r="V557" s="351"/>
      <c r="W557" s="351"/>
      <c r="X557" s="351"/>
      <c r="Y557" s="351"/>
      <c r="Z557" s="351"/>
      <c r="AA557" s="351"/>
    </row>
    <row r="558" ht="14.25" customHeight="1">
      <c r="A558" s="383"/>
      <c r="B558" s="371"/>
      <c r="C558" s="362"/>
      <c r="D558" s="351"/>
      <c r="E558" s="371"/>
      <c r="F558" s="388"/>
      <c r="G558" s="362"/>
      <c r="H558" s="362"/>
      <c r="I558" s="351"/>
      <c r="J558" s="362"/>
      <c r="K558" s="351"/>
      <c r="L558" s="351"/>
      <c r="M558" s="351"/>
      <c r="N558" s="351"/>
      <c r="O558" s="351"/>
      <c r="P558" s="351"/>
      <c r="Q558" s="351"/>
      <c r="R558" s="351"/>
      <c r="S558" s="351"/>
      <c r="T558" s="351"/>
      <c r="U558" s="351"/>
      <c r="V558" s="351"/>
      <c r="W558" s="351"/>
      <c r="X558" s="351"/>
      <c r="Y558" s="351"/>
      <c r="Z558" s="351"/>
      <c r="AA558" s="351"/>
    </row>
    <row r="559" ht="14.25" customHeight="1">
      <c r="A559" s="383"/>
      <c r="B559" s="371"/>
      <c r="C559" s="362"/>
      <c r="D559" s="351"/>
      <c r="E559" s="371"/>
      <c r="F559" s="388"/>
      <c r="G559" s="362"/>
      <c r="H559" s="362"/>
      <c r="I559" s="351"/>
      <c r="J559" s="362"/>
      <c r="K559" s="351"/>
      <c r="L559" s="351"/>
      <c r="M559" s="351"/>
      <c r="N559" s="351"/>
      <c r="O559" s="351"/>
      <c r="P559" s="351"/>
      <c r="Q559" s="351"/>
      <c r="R559" s="351"/>
      <c r="S559" s="351"/>
      <c r="T559" s="351"/>
      <c r="U559" s="351"/>
      <c r="V559" s="351"/>
      <c r="W559" s="351"/>
      <c r="X559" s="351"/>
      <c r="Y559" s="351"/>
      <c r="Z559" s="351"/>
      <c r="AA559" s="351"/>
    </row>
    <row r="560" ht="14.25" customHeight="1">
      <c r="A560" s="383"/>
      <c r="B560" s="371"/>
      <c r="C560" s="362"/>
      <c r="D560" s="351"/>
      <c r="E560" s="371"/>
      <c r="F560" s="388"/>
      <c r="G560" s="362"/>
      <c r="H560" s="362"/>
      <c r="I560" s="351"/>
      <c r="J560" s="362"/>
      <c r="K560" s="351"/>
      <c r="L560" s="351"/>
      <c r="M560" s="351"/>
      <c r="N560" s="351"/>
      <c r="O560" s="351"/>
      <c r="P560" s="351"/>
      <c r="Q560" s="351"/>
      <c r="R560" s="351"/>
      <c r="S560" s="351"/>
      <c r="T560" s="351"/>
      <c r="U560" s="351"/>
      <c r="V560" s="351"/>
      <c r="W560" s="351"/>
      <c r="X560" s="351"/>
      <c r="Y560" s="351"/>
      <c r="Z560" s="351"/>
      <c r="AA560" s="351"/>
    </row>
    <row r="561" ht="14.25" customHeight="1">
      <c r="A561" s="383"/>
      <c r="B561" s="371"/>
      <c r="C561" s="362"/>
      <c r="D561" s="351"/>
      <c r="E561" s="371"/>
      <c r="F561" s="388"/>
      <c r="G561" s="362"/>
      <c r="H561" s="362"/>
      <c r="I561" s="351"/>
      <c r="J561" s="362"/>
      <c r="K561" s="351"/>
      <c r="L561" s="351"/>
      <c r="M561" s="351"/>
      <c r="N561" s="351"/>
      <c r="O561" s="351"/>
      <c r="P561" s="351"/>
      <c r="Q561" s="351"/>
      <c r="R561" s="351"/>
      <c r="S561" s="351"/>
      <c r="T561" s="351"/>
      <c r="U561" s="351"/>
      <c r="V561" s="351"/>
      <c r="W561" s="351"/>
      <c r="X561" s="351"/>
      <c r="Y561" s="351"/>
      <c r="Z561" s="351"/>
      <c r="AA561" s="351"/>
    </row>
    <row r="562" ht="14.25" customHeight="1">
      <c r="A562" s="383"/>
      <c r="B562" s="371"/>
      <c r="C562" s="362"/>
      <c r="D562" s="351"/>
      <c r="E562" s="371"/>
      <c r="F562" s="388"/>
      <c r="G562" s="362"/>
      <c r="H562" s="362"/>
      <c r="I562" s="351"/>
      <c r="J562" s="362"/>
      <c r="K562" s="351"/>
      <c r="L562" s="351"/>
      <c r="M562" s="351"/>
      <c r="N562" s="351"/>
      <c r="O562" s="351"/>
      <c r="P562" s="351"/>
      <c r="Q562" s="351"/>
      <c r="R562" s="351"/>
      <c r="S562" s="351"/>
      <c r="T562" s="351"/>
      <c r="U562" s="351"/>
      <c r="V562" s="351"/>
      <c r="W562" s="351"/>
      <c r="X562" s="351"/>
      <c r="Y562" s="351"/>
      <c r="Z562" s="351"/>
      <c r="AA562" s="351"/>
    </row>
    <row r="563" ht="14.25" customHeight="1">
      <c r="A563" s="383"/>
      <c r="B563" s="371"/>
      <c r="C563" s="362"/>
      <c r="D563" s="351"/>
      <c r="E563" s="371"/>
      <c r="F563" s="388"/>
      <c r="G563" s="362"/>
      <c r="H563" s="362"/>
      <c r="I563" s="351"/>
      <c r="J563" s="362"/>
      <c r="K563" s="351"/>
      <c r="L563" s="351"/>
      <c r="M563" s="351"/>
      <c r="N563" s="351"/>
      <c r="O563" s="351"/>
      <c r="P563" s="351"/>
      <c r="Q563" s="351"/>
      <c r="R563" s="351"/>
      <c r="S563" s="351"/>
      <c r="T563" s="351"/>
      <c r="U563" s="351"/>
      <c r="V563" s="351"/>
      <c r="W563" s="351"/>
      <c r="X563" s="351"/>
      <c r="Y563" s="351"/>
      <c r="Z563" s="351"/>
      <c r="AA563" s="351"/>
    </row>
    <row r="564" ht="14.25" customHeight="1">
      <c r="A564" s="383"/>
      <c r="B564" s="371"/>
      <c r="C564" s="362"/>
      <c r="D564" s="351"/>
      <c r="E564" s="371"/>
      <c r="F564" s="388"/>
      <c r="G564" s="362"/>
      <c r="H564" s="362"/>
      <c r="I564" s="351"/>
      <c r="J564" s="362"/>
      <c r="K564" s="351"/>
      <c r="L564" s="351"/>
      <c r="M564" s="351"/>
      <c r="N564" s="351"/>
      <c r="O564" s="351"/>
      <c r="P564" s="351"/>
      <c r="Q564" s="351"/>
      <c r="R564" s="351"/>
      <c r="S564" s="351"/>
      <c r="T564" s="351"/>
      <c r="U564" s="351"/>
      <c r="V564" s="351"/>
      <c r="W564" s="351"/>
      <c r="X564" s="351"/>
      <c r="Y564" s="351"/>
      <c r="Z564" s="351"/>
      <c r="AA564" s="351"/>
    </row>
    <row r="565" ht="14.25" customHeight="1">
      <c r="A565" s="383"/>
      <c r="B565" s="371"/>
      <c r="C565" s="362"/>
      <c r="D565" s="351"/>
      <c r="E565" s="371"/>
      <c r="F565" s="388"/>
      <c r="G565" s="362"/>
      <c r="H565" s="362"/>
      <c r="I565" s="351"/>
      <c r="J565" s="362"/>
      <c r="K565" s="351"/>
      <c r="L565" s="351"/>
      <c r="M565" s="351"/>
      <c r="N565" s="351"/>
      <c r="O565" s="351"/>
      <c r="P565" s="351"/>
      <c r="Q565" s="351"/>
      <c r="R565" s="351"/>
      <c r="S565" s="351"/>
      <c r="T565" s="351"/>
      <c r="U565" s="351"/>
      <c r="V565" s="351"/>
      <c r="W565" s="351"/>
      <c r="X565" s="351"/>
      <c r="Y565" s="351"/>
      <c r="Z565" s="351"/>
      <c r="AA565" s="351"/>
    </row>
    <row r="566" ht="14.25" customHeight="1">
      <c r="A566" s="383"/>
      <c r="B566" s="371"/>
      <c r="C566" s="362"/>
      <c r="D566" s="351"/>
      <c r="E566" s="371"/>
      <c r="F566" s="388"/>
      <c r="G566" s="362"/>
      <c r="H566" s="362"/>
      <c r="I566" s="351"/>
      <c r="J566" s="362"/>
      <c r="K566" s="351"/>
      <c r="L566" s="351"/>
      <c r="M566" s="351"/>
      <c r="N566" s="351"/>
      <c r="O566" s="351"/>
      <c r="P566" s="351"/>
      <c r="Q566" s="351"/>
      <c r="R566" s="351"/>
      <c r="S566" s="351"/>
      <c r="T566" s="351"/>
      <c r="U566" s="351"/>
      <c r="V566" s="351"/>
      <c r="W566" s="351"/>
      <c r="X566" s="351"/>
      <c r="Y566" s="351"/>
      <c r="Z566" s="351"/>
      <c r="AA566" s="351"/>
    </row>
    <row r="567" ht="14.25" customHeight="1">
      <c r="A567" s="383"/>
      <c r="B567" s="371"/>
      <c r="C567" s="362"/>
      <c r="D567" s="351"/>
      <c r="E567" s="371"/>
      <c r="F567" s="388"/>
      <c r="G567" s="362"/>
      <c r="H567" s="362"/>
      <c r="I567" s="351"/>
      <c r="J567" s="362"/>
      <c r="K567" s="351"/>
      <c r="L567" s="351"/>
      <c r="M567" s="351"/>
      <c r="N567" s="351"/>
      <c r="O567" s="351"/>
      <c r="P567" s="351"/>
      <c r="Q567" s="351"/>
      <c r="R567" s="351"/>
      <c r="S567" s="351"/>
      <c r="T567" s="351"/>
      <c r="U567" s="351"/>
      <c r="V567" s="351"/>
      <c r="W567" s="351"/>
      <c r="X567" s="351"/>
      <c r="Y567" s="351"/>
      <c r="Z567" s="351"/>
      <c r="AA567" s="351"/>
    </row>
    <row r="568" ht="14.25" customHeight="1">
      <c r="A568" s="383"/>
      <c r="B568" s="371"/>
      <c r="C568" s="362"/>
      <c r="D568" s="351"/>
      <c r="E568" s="371"/>
      <c r="F568" s="388"/>
      <c r="G568" s="362"/>
      <c r="H568" s="362"/>
      <c r="I568" s="351"/>
      <c r="J568" s="362"/>
      <c r="K568" s="351"/>
      <c r="L568" s="351"/>
      <c r="M568" s="351"/>
      <c r="N568" s="351"/>
      <c r="O568" s="351"/>
      <c r="P568" s="351"/>
      <c r="Q568" s="351"/>
      <c r="R568" s="351"/>
      <c r="S568" s="351"/>
      <c r="T568" s="351"/>
      <c r="U568" s="351"/>
      <c r="V568" s="351"/>
      <c r="W568" s="351"/>
      <c r="X568" s="351"/>
      <c r="Y568" s="351"/>
      <c r="Z568" s="351"/>
      <c r="AA568" s="351"/>
    </row>
    <row r="569" ht="14.25" customHeight="1">
      <c r="A569" s="383"/>
      <c r="B569" s="371"/>
      <c r="C569" s="362"/>
      <c r="D569" s="351"/>
      <c r="E569" s="371"/>
      <c r="F569" s="388"/>
      <c r="G569" s="362"/>
      <c r="H569" s="362"/>
      <c r="I569" s="351"/>
      <c r="J569" s="362"/>
      <c r="K569" s="351"/>
      <c r="L569" s="351"/>
      <c r="M569" s="351"/>
      <c r="N569" s="351"/>
      <c r="O569" s="351"/>
      <c r="P569" s="351"/>
      <c r="Q569" s="351"/>
      <c r="R569" s="351"/>
      <c r="S569" s="351"/>
      <c r="T569" s="351"/>
      <c r="U569" s="351"/>
      <c r="V569" s="351"/>
      <c r="W569" s="351"/>
      <c r="X569" s="351"/>
      <c r="Y569" s="351"/>
      <c r="Z569" s="351"/>
      <c r="AA569" s="351"/>
    </row>
    <row r="570" ht="14.25" customHeight="1">
      <c r="A570" s="383"/>
      <c r="B570" s="371"/>
      <c r="C570" s="362"/>
      <c r="D570" s="351"/>
      <c r="E570" s="371"/>
      <c r="F570" s="388"/>
      <c r="G570" s="362"/>
      <c r="H570" s="362"/>
      <c r="I570" s="351"/>
      <c r="J570" s="362"/>
      <c r="K570" s="351"/>
      <c r="L570" s="351"/>
      <c r="M570" s="351"/>
      <c r="N570" s="351"/>
      <c r="O570" s="351"/>
      <c r="P570" s="351"/>
      <c r="Q570" s="351"/>
      <c r="R570" s="351"/>
      <c r="S570" s="351"/>
      <c r="T570" s="351"/>
      <c r="U570" s="351"/>
      <c r="V570" s="351"/>
      <c r="W570" s="351"/>
      <c r="X570" s="351"/>
      <c r="Y570" s="351"/>
      <c r="Z570" s="351"/>
      <c r="AA570" s="351"/>
    </row>
    <row r="571" ht="14.25" customHeight="1">
      <c r="A571" s="383"/>
      <c r="B571" s="371"/>
      <c r="C571" s="362"/>
      <c r="D571" s="351"/>
      <c r="E571" s="371"/>
      <c r="F571" s="388"/>
      <c r="G571" s="362"/>
      <c r="H571" s="362"/>
      <c r="I571" s="351"/>
      <c r="J571" s="362"/>
      <c r="K571" s="351"/>
      <c r="L571" s="351"/>
      <c r="M571" s="351"/>
      <c r="N571" s="351"/>
      <c r="O571" s="351"/>
      <c r="P571" s="351"/>
      <c r="Q571" s="351"/>
      <c r="R571" s="351"/>
      <c r="S571" s="351"/>
      <c r="T571" s="351"/>
      <c r="U571" s="351"/>
      <c r="V571" s="351"/>
      <c r="W571" s="351"/>
      <c r="X571" s="351"/>
      <c r="Y571" s="351"/>
      <c r="Z571" s="351"/>
      <c r="AA571" s="351"/>
    </row>
    <row r="572" ht="14.25" customHeight="1">
      <c r="A572" s="383"/>
      <c r="B572" s="371"/>
      <c r="C572" s="362"/>
      <c r="D572" s="351"/>
      <c r="E572" s="371"/>
      <c r="F572" s="388"/>
      <c r="G572" s="362"/>
      <c r="H572" s="362"/>
      <c r="I572" s="351"/>
      <c r="J572" s="362"/>
      <c r="K572" s="351"/>
      <c r="L572" s="351"/>
      <c r="M572" s="351"/>
      <c r="N572" s="351"/>
      <c r="O572" s="351"/>
      <c r="P572" s="351"/>
      <c r="Q572" s="351"/>
      <c r="R572" s="351"/>
      <c r="S572" s="351"/>
      <c r="T572" s="351"/>
      <c r="U572" s="351"/>
      <c r="V572" s="351"/>
      <c r="W572" s="351"/>
      <c r="X572" s="351"/>
      <c r="Y572" s="351"/>
      <c r="Z572" s="351"/>
      <c r="AA572" s="351"/>
    </row>
    <row r="573" ht="14.25" customHeight="1">
      <c r="A573" s="383"/>
      <c r="B573" s="371"/>
      <c r="C573" s="362"/>
      <c r="D573" s="351"/>
      <c r="E573" s="371"/>
      <c r="F573" s="388"/>
      <c r="G573" s="362"/>
      <c r="H573" s="362"/>
      <c r="I573" s="351"/>
      <c r="J573" s="362"/>
      <c r="K573" s="351"/>
      <c r="L573" s="351"/>
      <c r="M573" s="351"/>
      <c r="N573" s="351"/>
      <c r="O573" s="351"/>
      <c r="P573" s="351"/>
      <c r="Q573" s="351"/>
      <c r="R573" s="351"/>
      <c r="S573" s="351"/>
      <c r="T573" s="351"/>
      <c r="U573" s="351"/>
      <c r="V573" s="351"/>
      <c r="W573" s="351"/>
      <c r="X573" s="351"/>
      <c r="Y573" s="351"/>
      <c r="Z573" s="351"/>
      <c r="AA573" s="351"/>
    </row>
    <row r="574" ht="14.25" customHeight="1">
      <c r="A574" s="383"/>
      <c r="B574" s="371"/>
      <c r="C574" s="362"/>
      <c r="D574" s="351"/>
      <c r="E574" s="371"/>
      <c r="F574" s="388"/>
      <c r="G574" s="362"/>
      <c r="H574" s="362"/>
      <c r="I574" s="351"/>
      <c r="J574" s="362"/>
      <c r="K574" s="351"/>
      <c r="L574" s="351"/>
      <c r="M574" s="351"/>
      <c r="N574" s="351"/>
      <c r="O574" s="351"/>
      <c r="P574" s="351"/>
      <c r="Q574" s="351"/>
      <c r="R574" s="351"/>
      <c r="S574" s="351"/>
      <c r="T574" s="351"/>
      <c r="U574" s="351"/>
      <c r="V574" s="351"/>
      <c r="W574" s="351"/>
      <c r="X574" s="351"/>
      <c r="Y574" s="351"/>
      <c r="Z574" s="351"/>
      <c r="AA574" s="351"/>
    </row>
    <row r="575" ht="14.25" customHeight="1">
      <c r="A575" s="383"/>
      <c r="B575" s="371"/>
      <c r="C575" s="362"/>
      <c r="D575" s="351"/>
      <c r="E575" s="371"/>
      <c r="F575" s="388"/>
      <c r="G575" s="362"/>
      <c r="H575" s="362"/>
      <c r="I575" s="351"/>
      <c r="J575" s="362"/>
      <c r="K575" s="351"/>
      <c r="L575" s="351"/>
      <c r="M575" s="351"/>
      <c r="N575" s="351"/>
      <c r="O575" s="351"/>
      <c r="P575" s="351"/>
      <c r="Q575" s="351"/>
      <c r="R575" s="351"/>
      <c r="S575" s="351"/>
      <c r="T575" s="351"/>
      <c r="U575" s="351"/>
      <c r="V575" s="351"/>
      <c r="W575" s="351"/>
      <c r="X575" s="351"/>
      <c r="Y575" s="351"/>
      <c r="Z575" s="351"/>
      <c r="AA575" s="351"/>
    </row>
    <row r="576" ht="14.25" customHeight="1">
      <c r="A576" s="383"/>
      <c r="B576" s="371"/>
      <c r="C576" s="362"/>
      <c r="D576" s="351"/>
      <c r="E576" s="371"/>
      <c r="F576" s="388"/>
      <c r="G576" s="362"/>
      <c r="H576" s="362"/>
      <c r="I576" s="351"/>
      <c r="J576" s="362"/>
      <c r="K576" s="351"/>
      <c r="L576" s="351"/>
      <c r="M576" s="351"/>
      <c r="N576" s="351"/>
      <c r="O576" s="351"/>
      <c r="P576" s="351"/>
      <c r="Q576" s="351"/>
      <c r="R576" s="351"/>
      <c r="S576" s="351"/>
      <c r="T576" s="351"/>
      <c r="U576" s="351"/>
      <c r="V576" s="351"/>
      <c r="W576" s="351"/>
      <c r="X576" s="351"/>
      <c r="Y576" s="351"/>
      <c r="Z576" s="351"/>
      <c r="AA576" s="351"/>
    </row>
    <row r="577" ht="14.25" customHeight="1">
      <c r="A577" s="383"/>
      <c r="B577" s="371"/>
      <c r="C577" s="362"/>
      <c r="D577" s="351"/>
      <c r="E577" s="371"/>
      <c r="F577" s="388"/>
      <c r="G577" s="362"/>
      <c r="H577" s="362"/>
      <c r="I577" s="351"/>
      <c r="J577" s="362"/>
      <c r="K577" s="351"/>
      <c r="L577" s="351"/>
      <c r="M577" s="351"/>
      <c r="N577" s="351"/>
      <c r="O577" s="351"/>
      <c r="P577" s="351"/>
      <c r="Q577" s="351"/>
      <c r="R577" s="351"/>
      <c r="S577" s="351"/>
      <c r="T577" s="351"/>
      <c r="U577" s="351"/>
      <c r="V577" s="351"/>
      <c r="W577" s="351"/>
      <c r="X577" s="351"/>
      <c r="Y577" s="351"/>
      <c r="Z577" s="351"/>
      <c r="AA577" s="351"/>
    </row>
    <row r="578" ht="14.25" customHeight="1">
      <c r="A578" s="383"/>
      <c r="B578" s="371"/>
      <c r="C578" s="362"/>
      <c r="D578" s="351"/>
      <c r="E578" s="371"/>
      <c r="F578" s="388"/>
      <c r="G578" s="362"/>
      <c r="H578" s="362"/>
      <c r="I578" s="351"/>
      <c r="J578" s="362"/>
      <c r="K578" s="351"/>
      <c r="L578" s="351"/>
      <c r="M578" s="351"/>
      <c r="N578" s="351"/>
      <c r="O578" s="351"/>
      <c r="P578" s="351"/>
      <c r="Q578" s="351"/>
      <c r="R578" s="351"/>
      <c r="S578" s="351"/>
      <c r="T578" s="351"/>
      <c r="U578" s="351"/>
      <c r="V578" s="351"/>
      <c r="W578" s="351"/>
      <c r="X578" s="351"/>
      <c r="Y578" s="351"/>
      <c r="Z578" s="351"/>
      <c r="AA578" s="351"/>
    </row>
    <row r="579" ht="14.25" customHeight="1">
      <c r="A579" s="383"/>
      <c r="B579" s="371"/>
      <c r="C579" s="362"/>
      <c r="D579" s="351"/>
      <c r="E579" s="371"/>
      <c r="F579" s="388"/>
      <c r="G579" s="362"/>
      <c r="H579" s="362"/>
      <c r="I579" s="351"/>
      <c r="J579" s="362"/>
      <c r="K579" s="351"/>
      <c r="L579" s="351"/>
      <c r="M579" s="351"/>
      <c r="N579" s="351"/>
      <c r="O579" s="351"/>
      <c r="P579" s="351"/>
      <c r="Q579" s="351"/>
      <c r="R579" s="351"/>
      <c r="S579" s="351"/>
      <c r="T579" s="351"/>
      <c r="U579" s="351"/>
      <c r="V579" s="351"/>
      <c r="W579" s="351"/>
      <c r="X579" s="351"/>
      <c r="Y579" s="351"/>
      <c r="Z579" s="351"/>
      <c r="AA579" s="351"/>
    </row>
    <row r="580" ht="14.25" customHeight="1">
      <c r="A580" s="383"/>
      <c r="B580" s="371"/>
      <c r="C580" s="362"/>
      <c r="D580" s="351"/>
      <c r="E580" s="371"/>
      <c r="F580" s="388"/>
      <c r="G580" s="362"/>
      <c r="H580" s="362"/>
      <c r="I580" s="351"/>
      <c r="J580" s="362"/>
      <c r="K580" s="351"/>
      <c r="L580" s="351"/>
      <c r="M580" s="351"/>
      <c r="N580" s="351"/>
      <c r="O580" s="351"/>
      <c r="P580" s="351"/>
      <c r="Q580" s="351"/>
      <c r="R580" s="351"/>
      <c r="S580" s="351"/>
      <c r="T580" s="351"/>
      <c r="U580" s="351"/>
      <c r="V580" s="351"/>
      <c r="W580" s="351"/>
      <c r="X580" s="351"/>
      <c r="Y580" s="351"/>
      <c r="Z580" s="351"/>
      <c r="AA580" s="351"/>
    </row>
    <row r="581" ht="14.25" customHeight="1">
      <c r="A581" s="383"/>
      <c r="B581" s="371"/>
      <c r="C581" s="362"/>
      <c r="D581" s="351"/>
      <c r="E581" s="371"/>
      <c r="F581" s="388"/>
      <c r="G581" s="362"/>
      <c r="H581" s="362"/>
      <c r="I581" s="351"/>
      <c r="J581" s="362"/>
      <c r="K581" s="351"/>
      <c r="L581" s="351"/>
      <c r="M581" s="351"/>
      <c r="N581" s="351"/>
      <c r="O581" s="351"/>
      <c r="P581" s="351"/>
      <c r="Q581" s="351"/>
      <c r="R581" s="351"/>
      <c r="S581" s="351"/>
      <c r="T581" s="351"/>
      <c r="U581" s="351"/>
      <c r="V581" s="351"/>
      <c r="W581" s="351"/>
      <c r="X581" s="351"/>
      <c r="Y581" s="351"/>
      <c r="Z581" s="351"/>
      <c r="AA581" s="351"/>
    </row>
    <row r="582" ht="14.25" customHeight="1">
      <c r="A582" s="383"/>
      <c r="B582" s="371"/>
      <c r="C582" s="389"/>
      <c r="D582" s="390"/>
      <c r="E582" s="371"/>
      <c r="F582" s="388"/>
      <c r="G582" s="389"/>
      <c r="H582" s="389"/>
      <c r="I582" s="390"/>
      <c r="J582" s="389"/>
      <c r="K582" s="390"/>
      <c r="L582" s="390"/>
      <c r="M582" s="390"/>
      <c r="N582" s="390"/>
      <c r="O582" s="390"/>
      <c r="P582" s="390"/>
      <c r="Q582" s="390"/>
      <c r="R582" s="390"/>
      <c r="S582" s="390"/>
      <c r="T582" s="390"/>
      <c r="U582" s="390"/>
      <c r="V582" s="390"/>
      <c r="W582" s="390"/>
      <c r="X582" s="390"/>
      <c r="Y582" s="390"/>
      <c r="Z582" s="390"/>
      <c r="AA582" s="390"/>
    </row>
    <row r="583" ht="14.25" customHeight="1">
      <c r="A583" s="383"/>
      <c r="B583" s="371"/>
      <c r="C583" s="389"/>
      <c r="D583" s="390"/>
      <c r="E583" s="371"/>
      <c r="F583" s="388"/>
      <c r="G583" s="389"/>
      <c r="H583" s="389"/>
      <c r="I583" s="390"/>
      <c r="J583" s="389"/>
      <c r="K583" s="390"/>
      <c r="L583" s="390"/>
      <c r="M583" s="390"/>
      <c r="N583" s="390"/>
      <c r="O583" s="390"/>
      <c r="P583" s="390"/>
      <c r="Q583" s="390"/>
      <c r="R583" s="390"/>
      <c r="S583" s="390"/>
      <c r="T583" s="390"/>
      <c r="U583" s="390"/>
      <c r="V583" s="390"/>
      <c r="W583" s="390"/>
      <c r="X583" s="390"/>
      <c r="Y583" s="390"/>
      <c r="Z583" s="390"/>
      <c r="AA583" s="390"/>
    </row>
    <row r="584" ht="14.25" customHeight="1">
      <c r="A584" s="383"/>
      <c r="B584" s="371"/>
      <c r="C584" s="389"/>
      <c r="D584" s="390"/>
      <c r="E584" s="371"/>
      <c r="F584" s="388"/>
      <c r="G584" s="389"/>
      <c r="H584" s="389"/>
      <c r="I584" s="390"/>
      <c r="J584" s="389"/>
      <c r="K584" s="390"/>
      <c r="L584" s="390"/>
      <c r="M584" s="390"/>
      <c r="N584" s="390"/>
      <c r="O584" s="390"/>
      <c r="P584" s="390"/>
      <c r="Q584" s="390"/>
      <c r="R584" s="390"/>
      <c r="S584" s="390"/>
      <c r="T584" s="390"/>
      <c r="U584" s="390"/>
      <c r="V584" s="390"/>
      <c r="W584" s="390"/>
      <c r="X584" s="390"/>
      <c r="Y584" s="390"/>
      <c r="Z584" s="390"/>
      <c r="AA584" s="390"/>
    </row>
    <row r="585" ht="14.25" customHeight="1">
      <c r="A585" s="383"/>
      <c r="B585" s="371"/>
      <c r="C585" s="389"/>
      <c r="D585" s="390"/>
      <c r="E585" s="371"/>
      <c r="F585" s="388"/>
      <c r="G585" s="389"/>
      <c r="H585" s="389"/>
      <c r="I585" s="390"/>
      <c r="J585" s="389"/>
      <c r="K585" s="390"/>
      <c r="L585" s="390"/>
      <c r="M585" s="390"/>
      <c r="N585" s="390"/>
      <c r="O585" s="390"/>
      <c r="P585" s="390"/>
      <c r="Q585" s="390"/>
      <c r="R585" s="390"/>
      <c r="S585" s="390"/>
      <c r="T585" s="390"/>
      <c r="U585" s="390"/>
      <c r="V585" s="390"/>
      <c r="W585" s="390"/>
      <c r="X585" s="390"/>
      <c r="Y585" s="390"/>
      <c r="Z585" s="390"/>
      <c r="AA585" s="390"/>
    </row>
    <row r="586" ht="14.25" customHeight="1">
      <c r="A586" s="383"/>
      <c r="B586" s="371"/>
      <c r="C586" s="389"/>
      <c r="D586" s="390"/>
      <c r="E586" s="371"/>
      <c r="F586" s="388"/>
      <c r="G586" s="389"/>
      <c r="H586" s="389"/>
      <c r="I586" s="390"/>
      <c r="J586" s="389"/>
      <c r="K586" s="390"/>
      <c r="L586" s="390"/>
      <c r="M586" s="390"/>
      <c r="N586" s="390"/>
      <c r="O586" s="390"/>
      <c r="P586" s="390"/>
      <c r="Q586" s="390"/>
      <c r="R586" s="390"/>
      <c r="S586" s="390"/>
      <c r="T586" s="390"/>
      <c r="U586" s="390"/>
      <c r="V586" s="390"/>
      <c r="W586" s="390"/>
      <c r="X586" s="390"/>
      <c r="Y586" s="390"/>
      <c r="Z586" s="390"/>
      <c r="AA586" s="390"/>
    </row>
    <row r="587" ht="14.25" customHeight="1">
      <c r="A587" s="383"/>
      <c r="B587" s="371"/>
      <c r="C587" s="389"/>
      <c r="D587" s="390"/>
      <c r="E587" s="371"/>
      <c r="F587" s="388"/>
      <c r="G587" s="389"/>
      <c r="H587" s="389"/>
      <c r="I587" s="390"/>
      <c r="J587" s="389"/>
      <c r="K587" s="390"/>
      <c r="L587" s="390"/>
      <c r="M587" s="390"/>
      <c r="N587" s="390"/>
      <c r="O587" s="390"/>
      <c r="P587" s="390"/>
      <c r="Q587" s="390"/>
      <c r="R587" s="390"/>
      <c r="S587" s="390"/>
      <c r="T587" s="390"/>
      <c r="U587" s="390"/>
      <c r="V587" s="390"/>
      <c r="W587" s="390"/>
      <c r="X587" s="390"/>
      <c r="Y587" s="390"/>
      <c r="Z587" s="390"/>
      <c r="AA587" s="390"/>
    </row>
    <row r="588" ht="14.25" customHeight="1">
      <c r="A588" s="383"/>
      <c r="B588" s="371"/>
      <c r="C588" s="389"/>
      <c r="D588" s="390"/>
      <c r="E588" s="371"/>
      <c r="F588" s="388"/>
      <c r="G588" s="389"/>
      <c r="H588" s="389"/>
      <c r="I588" s="390"/>
      <c r="J588" s="389"/>
      <c r="K588" s="390"/>
      <c r="L588" s="390"/>
      <c r="M588" s="390"/>
      <c r="N588" s="390"/>
      <c r="O588" s="390"/>
      <c r="P588" s="390"/>
      <c r="Q588" s="390"/>
      <c r="R588" s="390"/>
      <c r="S588" s="390"/>
      <c r="T588" s="390"/>
      <c r="U588" s="390"/>
      <c r="V588" s="390"/>
      <c r="W588" s="390"/>
      <c r="X588" s="390"/>
      <c r="Y588" s="390"/>
      <c r="Z588" s="390"/>
      <c r="AA588" s="390"/>
    </row>
    <row r="589" ht="14.25" customHeight="1">
      <c r="A589" s="383"/>
      <c r="B589" s="371"/>
      <c r="C589" s="389"/>
      <c r="D589" s="390"/>
      <c r="E589" s="371"/>
      <c r="F589" s="388"/>
      <c r="G589" s="389"/>
      <c r="H589" s="389"/>
      <c r="I589" s="390"/>
      <c r="J589" s="389"/>
      <c r="K589" s="390"/>
      <c r="L589" s="390"/>
      <c r="M589" s="390"/>
      <c r="N589" s="390"/>
      <c r="O589" s="390"/>
      <c r="P589" s="390"/>
      <c r="Q589" s="390"/>
      <c r="R589" s="390"/>
      <c r="S589" s="390"/>
      <c r="T589" s="390"/>
      <c r="U589" s="390"/>
      <c r="V589" s="390"/>
      <c r="W589" s="390"/>
      <c r="X589" s="390"/>
      <c r="Y589" s="390"/>
      <c r="Z589" s="390"/>
      <c r="AA589" s="390"/>
    </row>
    <row r="590" ht="14.25" customHeight="1">
      <c r="A590" s="383"/>
      <c r="B590" s="371"/>
      <c r="C590" s="389"/>
      <c r="D590" s="390"/>
      <c r="E590" s="371"/>
      <c r="F590" s="388"/>
      <c r="G590" s="389"/>
      <c r="H590" s="389"/>
      <c r="I590" s="390"/>
      <c r="J590" s="389"/>
      <c r="K590" s="390"/>
      <c r="L590" s="390"/>
      <c r="M590" s="390"/>
      <c r="N590" s="390"/>
      <c r="O590" s="390"/>
      <c r="P590" s="390"/>
      <c r="Q590" s="390"/>
      <c r="R590" s="390"/>
      <c r="S590" s="390"/>
      <c r="T590" s="390"/>
      <c r="U590" s="390"/>
      <c r="V590" s="390"/>
      <c r="W590" s="390"/>
      <c r="X590" s="390"/>
      <c r="Y590" s="390"/>
      <c r="Z590" s="390"/>
      <c r="AA590" s="390"/>
    </row>
    <row r="591" ht="14.25" customHeight="1">
      <c r="A591" s="383"/>
      <c r="B591" s="371"/>
      <c r="C591" s="389"/>
      <c r="D591" s="390"/>
      <c r="E591" s="371"/>
      <c r="F591" s="388"/>
      <c r="G591" s="389"/>
      <c r="H591" s="389"/>
      <c r="I591" s="390"/>
      <c r="J591" s="389"/>
      <c r="K591" s="390"/>
      <c r="L591" s="390"/>
      <c r="M591" s="390"/>
      <c r="N591" s="390"/>
      <c r="O591" s="390"/>
      <c r="P591" s="390"/>
      <c r="Q591" s="390"/>
      <c r="R591" s="390"/>
      <c r="S591" s="390"/>
      <c r="T591" s="390"/>
      <c r="U591" s="390"/>
      <c r="V591" s="390"/>
      <c r="W591" s="390"/>
      <c r="X591" s="390"/>
      <c r="Y591" s="390"/>
      <c r="Z591" s="390"/>
      <c r="AA591" s="390"/>
    </row>
    <row r="592" ht="14.25" customHeight="1">
      <c r="A592" s="383"/>
      <c r="B592" s="371"/>
      <c r="C592" s="389"/>
      <c r="D592" s="390"/>
      <c r="E592" s="371"/>
      <c r="F592" s="388"/>
      <c r="G592" s="389"/>
      <c r="H592" s="389"/>
      <c r="I592" s="390"/>
      <c r="J592" s="389"/>
      <c r="K592" s="390"/>
      <c r="L592" s="390"/>
      <c r="M592" s="390"/>
      <c r="N592" s="390"/>
      <c r="O592" s="390"/>
      <c r="P592" s="390"/>
      <c r="Q592" s="390"/>
      <c r="R592" s="390"/>
      <c r="S592" s="390"/>
      <c r="T592" s="390"/>
      <c r="U592" s="390"/>
      <c r="V592" s="390"/>
      <c r="W592" s="390"/>
      <c r="X592" s="390"/>
      <c r="Y592" s="390"/>
      <c r="Z592" s="390"/>
      <c r="AA592" s="390"/>
    </row>
    <row r="593" ht="14.25" customHeight="1">
      <c r="A593" s="383"/>
      <c r="B593" s="371"/>
      <c r="C593" s="389"/>
      <c r="D593" s="390"/>
      <c r="E593" s="371"/>
      <c r="F593" s="388"/>
      <c r="G593" s="389"/>
      <c r="H593" s="389"/>
      <c r="I593" s="390"/>
      <c r="J593" s="389"/>
      <c r="K593" s="390"/>
      <c r="L593" s="390"/>
      <c r="M593" s="390"/>
      <c r="N593" s="390"/>
      <c r="O593" s="390"/>
      <c r="P593" s="390"/>
      <c r="Q593" s="390"/>
      <c r="R593" s="390"/>
      <c r="S593" s="390"/>
      <c r="T593" s="390"/>
      <c r="U593" s="390"/>
      <c r="V593" s="390"/>
      <c r="W593" s="390"/>
      <c r="X593" s="390"/>
      <c r="Y593" s="390"/>
      <c r="Z593" s="390"/>
      <c r="AA593" s="390"/>
    </row>
    <row r="594" ht="14.25" customHeight="1">
      <c r="A594" s="383"/>
      <c r="B594" s="371"/>
      <c r="C594" s="389"/>
      <c r="D594" s="390"/>
      <c r="E594" s="371"/>
      <c r="F594" s="388"/>
      <c r="G594" s="389"/>
      <c r="H594" s="389"/>
      <c r="I594" s="390"/>
      <c r="J594" s="389"/>
      <c r="K594" s="390"/>
      <c r="L594" s="390"/>
      <c r="M594" s="390"/>
      <c r="N594" s="390"/>
      <c r="O594" s="390"/>
      <c r="P594" s="390"/>
      <c r="Q594" s="390"/>
      <c r="R594" s="390"/>
      <c r="S594" s="390"/>
      <c r="T594" s="390"/>
      <c r="U594" s="390"/>
      <c r="V594" s="390"/>
      <c r="W594" s="390"/>
      <c r="X594" s="390"/>
      <c r="Y594" s="390"/>
      <c r="Z594" s="390"/>
      <c r="AA594" s="390"/>
    </row>
    <row r="595" ht="14.25" customHeight="1">
      <c r="A595" s="383"/>
      <c r="B595" s="371"/>
      <c r="C595" s="389"/>
      <c r="D595" s="390"/>
      <c r="E595" s="371"/>
      <c r="F595" s="388"/>
      <c r="G595" s="389"/>
      <c r="H595" s="389"/>
      <c r="I595" s="390"/>
      <c r="J595" s="389"/>
      <c r="K595" s="390"/>
      <c r="L595" s="390"/>
      <c r="M595" s="390"/>
      <c r="N595" s="390"/>
      <c r="O595" s="390"/>
      <c r="P595" s="390"/>
      <c r="Q595" s="390"/>
      <c r="R595" s="390"/>
      <c r="S595" s="390"/>
      <c r="T595" s="390"/>
      <c r="U595" s="390"/>
      <c r="V595" s="390"/>
      <c r="W595" s="390"/>
      <c r="X595" s="390"/>
      <c r="Y595" s="390"/>
      <c r="Z595" s="390"/>
      <c r="AA595" s="390"/>
    </row>
    <row r="596" ht="14.25" customHeight="1">
      <c r="A596" s="383"/>
      <c r="B596" s="371"/>
      <c r="C596" s="389"/>
      <c r="D596" s="390"/>
      <c r="E596" s="371"/>
      <c r="F596" s="388"/>
      <c r="G596" s="389"/>
      <c r="H596" s="389"/>
      <c r="I596" s="390"/>
      <c r="J596" s="389"/>
      <c r="K596" s="390"/>
      <c r="L596" s="390"/>
      <c r="M596" s="390"/>
      <c r="N596" s="390"/>
      <c r="O596" s="390"/>
      <c r="P596" s="390"/>
      <c r="Q596" s="390"/>
      <c r="R596" s="390"/>
      <c r="S596" s="390"/>
      <c r="T596" s="390"/>
      <c r="U596" s="390"/>
      <c r="V596" s="390"/>
      <c r="W596" s="390"/>
      <c r="X596" s="390"/>
      <c r="Y596" s="390"/>
      <c r="Z596" s="390"/>
      <c r="AA596" s="390"/>
    </row>
    <row r="597" ht="14.25" customHeight="1">
      <c r="A597" s="383"/>
      <c r="B597" s="371"/>
      <c r="C597" s="389"/>
      <c r="D597" s="390"/>
      <c r="E597" s="371"/>
      <c r="F597" s="388"/>
      <c r="G597" s="389"/>
      <c r="H597" s="389"/>
      <c r="I597" s="390"/>
      <c r="J597" s="389"/>
      <c r="K597" s="390"/>
      <c r="L597" s="390"/>
      <c r="M597" s="390"/>
      <c r="N597" s="390"/>
      <c r="O597" s="390"/>
      <c r="P597" s="390"/>
      <c r="Q597" s="390"/>
      <c r="R597" s="390"/>
      <c r="S597" s="390"/>
      <c r="T597" s="390"/>
      <c r="U597" s="390"/>
      <c r="V597" s="390"/>
      <c r="W597" s="390"/>
      <c r="X597" s="390"/>
      <c r="Y597" s="390"/>
      <c r="Z597" s="390"/>
      <c r="AA597" s="390"/>
    </row>
    <row r="598" ht="14.25" customHeight="1">
      <c r="A598" s="383"/>
      <c r="B598" s="371"/>
      <c r="C598" s="389"/>
      <c r="D598" s="390"/>
      <c r="E598" s="371"/>
      <c r="F598" s="388"/>
      <c r="G598" s="389"/>
      <c r="H598" s="389"/>
      <c r="I598" s="390"/>
      <c r="J598" s="389"/>
      <c r="K598" s="390"/>
      <c r="L598" s="390"/>
      <c r="M598" s="390"/>
      <c r="N598" s="390"/>
      <c r="O598" s="390"/>
      <c r="P598" s="390"/>
      <c r="Q598" s="390"/>
      <c r="R598" s="390"/>
      <c r="S598" s="390"/>
      <c r="T598" s="390"/>
      <c r="U598" s="390"/>
      <c r="V598" s="390"/>
      <c r="W598" s="390"/>
      <c r="X598" s="390"/>
      <c r="Y598" s="390"/>
      <c r="Z598" s="390"/>
      <c r="AA598" s="390"/>
    </row>
    <row r="599" ht="14.25" customHeight="1">
      <c r="A599" s="383"/>
      <c r="B599" s="371"/>
      <c r="C599" s="389"/>
      <c r="D599" s="390"/>
      <c r="E599" s="371"/>
      <c r="F599" s="388"/>
      <c r="G599" s="389"/>
      <c r="H599" s="389"/>
      <c r="I599" s="390"/>
      <c r="J599" s="389"/>
      <c r="K599" s="390"/>
      <c r="L599" s="390"/>
      <c r="M599" s="390"/>
      <c r="N599" s="390"/>
      <c r="O599" s="390"/>
      <c r="P599" s="390"/>
      <c r="Q599" s="390"/>
      <c r="R599" s="390"/>
      <c r="S599" s="390"/>
      <c r="T599" s="390"/>
      <c r="U599" s="390"/>
      <c r="V599" s="390"/>
      <c r="W599" s="390"/>
      <c r="X599" s="390"/>
      <c r="Y599" s="390"/>
      <c r="Z599" s="390"/>
      <c r="AA599" s="390"/>
    </row>
    <row r="600" ht="14.25" customHeight="1">
      <c r="A600" s="383"/>
      <c r="B600" s="371"/>
      <c r="C600" s="389"/>
      <c r="D600" s="390"/>
      <c r="E600" s="371"/>
      <c r="F600" s="388"/>
      <c r="G600" s="389"/>
      <c r="H600" s="389"/>
      <c r="I600" s="390"/>
      <c r="J600" s="389"/>
      <c r="K600" s="390"/>
      <c r="L600" s="390"/>
      <c r="M600" s="390"/>
      <c r="N600" s="390"/>
      <c r="O600" s="390"/>
      <c r="P600" s="390"/>
      <c r="Q600" s="390"/>
      <c r="R600" s="390"/>
      <c r="S600" s="390"/>
      <c r="T600" s="390"/>
      <c r="U600" s="390"/>
      <c r="V600" s="390"/>
      <c r="W600" s="390"/>
      <c r="X600" s="390"/>
      <c r="Y600" s="390"/>
      <c r="Z600" s="390"/>
      <c r="AA600" s="390"/>
    </row>
    <row r="601" ht="14.25" customHeight="1">
      <c r="A601" s="383"/>
      <c r="B601" s="371"/>
      <c r="C601" s="389"/>
      <c r="D601" s="390"/>
      <c r="E601" s="371"/>
      <c r="F601" s="388"/>
      <c r="G601" s="389"/>
      <c r="H601" s="389"/>
      <c r="I601" s="390"/>
      <c r="J601" s="389"/>
      <c r="K601" s="390"/>
      <c r="L601" s="390"/>
      <c r="M601" s="390"/>
      <c r="N601" s="390"/>
      <c r="O601" s="390"/>
      <c r="P601" s="390"/>
      <c r="Q601" s="390"/>
      <c r="R601" s="390"/>
      <c r="S601" s="390"/>
      <c r="T601" s="390"/>
      <c r="U601" s="390"/>
      <c r="V601" s="390"/>
      <c r="W601" s="390"/>
      <c r="X601" s="390"/>
      <c r="Y601" s="390"/>
      <c r="Z601" s="390"/>
      <c r="AA601" s="390"/>
    </row>
    <row r="602" ht="14.25" customHeight="1">
      <c r="A602" s="383"/>
      <c r="B602" s="371"/>
      <c r="C602" s="389"/>
      <c r="D602" s="390"/>
      <c r="E602" s="371"/>
      <c r="F602" s="388"/>
      <c r="G602" s="389"/>
      <c r="H602" s="389"/>
      <c r="I602" s="390"/>
      <c r="J602" s="389"/>
      <c r="K602" s="390"/>
      <c r="L602" s="390"/>
      <c r="M602" s="390"/>
      <c r="N602" s="390"/>
      <c r="O602" s="390"/>
      <c r="P602" s="390"/>
      <c r="Q602" s="390"/>
      <c r="R602" s="390"/>
      <c r="S602" s="390"/>
      <c r="T602" s="390"/>
      <c r="U602" s="390"/>
      <c r="V602" s="390"/>
      <c r="W602" s="390"/>
      <c r="X602" s="390"/>
      <c r="Y602" s="390"/>
      <c r="Z602" s="390"/>
      <c r="AA602" s="390"/>
    </row>
    <row r="603" ht="14.25" customHeight="1">
      <c r="A603" s="383"/>
      <c r="B603" s="371"/>
      <c r="C603" s="389"/>
      <c r="D603" s="390"/>
      <c r="E603" s="371"/>
      <c r="F603" s="388"/>
      <c r="G603" s="389"/>
      <c r="H603" s="389"/>
      <c r="I603" s="390"/>
      <c r="J603" s="389"/>
      <c r="K603" s="390"/>
      <c r="L603" s="390"/>
      <c r="M603" s="390"/>
      <c r="N603" s="390"/>
      <c r="O603" s="390"/>
      <c r="P603" s="390"/>
      <c r="Q603" s="390"/>
      <c r="R603" s="390"/>
      <c r="S603" s="390"/>
      <c r="T603" s="390"/>
      <c r="U603" s="390"/>
      <c r="V603" s="390"/>
      <c r="W603" s="390"/>
      <c r="X603" s="390"/>
      <c r="Y603" s="390"/>
      <c r="Z603" s="390"/>
      <c r="AA603" s="390"/>
    </row>
    <row r="604" ht="14.25" customHeight="1">
      <c r="A604" s="383"/>
      <c r="B604" s="371"/>
      <c r="C604" s="389"/>
      <c r="D604" s="390"/>
      <c r="E604" s="371"/>
      <c r="F604" s="388"/>
      <c r="G604" s="389"/>
      <c r="H604" s="389"/>
      <c r="I604" s="390"/>
      <c r="J604" s="389"/>
      <c r="K604" s="390"/>
      <c r="L604" s="390"/>
      <c r="M604" s="390"/>
      <c r="N604" s="390"/>
      <c r="O604" s="390"/>
      <c r="P604" s="390"/>
      <c r="Q604" s="390"/>
      <c r="R604" s="390"/>
      <c r="S604" s="390"/>
      <c r="T604" s="390"/>
      <c r="U604" s="390"/>
      <c r="V604" s="390"/>
      <c r="W604" s="390"/>
      <c r="X604" s="390"/>
      <c r="Y604" s="390"/>
      <c r="Z604" s="390"/>
      <c r="AA604" s="390"/>
    </row>
    <row r="605" ht="14.25" customHeight="1">
      <c r="A605" s="383"/>
      <c r="B605" s="371"/>
      <c r="C605" s="389"/>
      <c r="D605" s="390"/>
      <c r="E605" s="371"/>
      <c r="F605" s="388"/>
      <c r="G605" s="389"/>
      <c r="H605" s="389"/>
      <c r="I605" s="390"/>
      <c r="J605" s="389"/>
      <c r="K605" s="390"/>
      <c r="L605" s="390"/>
      <c r="M605" s="390"/>
      <c r="N605" s="390"/>
      <c r="O605" s="390"/>
      <c r="P605" s="390"/>
      <c r="Q605" s="390"/>
      <c r="R605" s="390"/>
      <c r="S605" s="390"/>
      <c r="T605" s="390"/>
      <c r="U605" s="390"/>
      <c r="V605" s="390"/>
      <c r="W605" s="390"/>
      <c r="X605" s="390"/>
      <c r="Y605" s="390"/>
      <c r="Z605" s="390"/>
      <c r="AA605" s="390"/>
    </row>
    <row r="606" ht="14.25" customHeight="1">
      <c r="A606" s="383"/>
      <c r="B606" s="371"/>
      <c r="C606" s="389"/>
      <c r="D606" s="390"/>
      <c r="E606" s="371"/>
      <c r="F606" s="388"/>
      <c r="G606" s="389"/>
      <c r="H606" s="389"/>
      <c r="I606" s="390"/>
      <c r="J606" s="389"/>
      <c r="K606" s="390"/>
      <c r="L606" s="390"/>
      <c r="M606" s="390"/>
      <c r="N606" s="390"/>
      <c r="O606" s="390"/>
      <c r="P606" s="390"/>
      <c r="Q606" s="390"/>
      <c r="R606" s="390"/>
      <c r="S606" s="390"/>
      <c r="T606" s="390"/>
      <c r="U606" s="390"/>
      <c r="V606" s="390"/>
      <c r="W606" s="390"/>
      <c r="X606" s="390"/>
      <c r="Y606" s="390"/>
      <c r="Z606" s="390"/>
      <c r="AA606" s="390"/>
    </row>
    <row r="607" ht="14.25" customHeight="1">
      <c r="A607" s="383"/>
      <c r="B607" s="371"/>
      <c r="C607" s="389"/>
      <c r="D607" s="390"/>
      <c r="E607" s="371"/>
      <c r="F607" s="388"/>
      <c r="G607" s="389"/>
      <c r="H607" s="389"/>
      <c r="I607" s="390"/>
      <c r="J607" s="389"/>
      <c r="K607" s="390"/>
      <c r="L607" s="390"/>
      <c r="M607" s="390"/>
      <c r="N607" s="390"/>
      <c r="O607" s="390"/>
      <c r="P607" s="390"/>
      <c r="Q607" s="390"/>
      <c r="R607" s="390"/>
      <c r="S607" s="390"/>
      <c r="T607" s="390"/>
      <c r="U607" s="390"/>
      <c r="V607" s="390"/>
      <c r="W607" s="390"/>
      <c r="X607" s="390"/>
      <c r="Y607" s="390"/>
      <c r="Z607" s="390"/>
      <c r="AA607" s="390"/>
    </row>
    <row r="608" ht="14.25" customHeight="1">
      <c r="A608" s="383"/>
      <c r="B608" s="371"/>
      <c r="C608" s="389"/>
      <c r="D608" s="390"/>
      <c r="E608" s="371"/>
      <c r="F608" s="388"/>
      <c r="G608" s="389"/>
      <c r="H608" s="389"/>
      <c r="I608" s="390"/>
      <c r="J608" s="389"/>
      <c r="K608" s="390"/>
      <c r="L608" s="390"/>
      <c r="M608" s="390"/>
      <c r="N608" s="390"/>
      <c r="O608" s="390"/>
      <c r="P608" s="390"/>
      <c r="Q608" s="390"/>
      <c r="R608" s="390"/>
      <c r="S608" s="390"/>
      <c r="T608" s="390"/>
      <c r="U608" s="390"/>
      <c r="V608" s="390"/>
      <c r="W608" s="390"/>
      <c r="X608" s="390"/>
      <c r="Y608" s="390"/>
      <c r="Z608" s="390"/>
      <c r="AA608" s="390"/>
    </row>
    <row r="609" ht="14.25" customHeight="1">
      <c r="A609" s="383"/>
      <c r="B609" s="371"/>
      <c r="C609" s="389"/>
      <c r="D609" s="390"/>
      <c r="E609" s="371"/>
      <c r="F609" s="388"/>
      <c r="G609" s="389"/>
      <c r="H609" s="389"/>
      <c r="I609" s="390"/>
      <c r="J609" s="389"/>
      <c r="K609" s="390"/>
      <c r="L609" s="390"/>
      <c r="M609" s="390"/>
      <c r="N609" s="390"/>
      <c r="O609" s="390"/>
      <c r="P609" s="390"/>
      <c r="Q609" s="390"/>
      <c r="R609" s="390"/>
      <c r="S609" s="390"/>
      <c r="T609" s="390"/>
      <c r="U609" s="390"/>
      <c r="V609" s="390"/>
      <c r="W609" s="390"/>
      <c r="X609" s="390"/>
      <c r="Y609" s="390"/>
      <c r="Z609" s="390"/>
      <c r="AA609" s="390"/>
    </row>
    <row r="610" ht="14.25" customHeight="1">
      <c r="A610" s="383"/>
      <c r="B610" s="371"/>
      <c r="C610" s="389"/>
      <c r="D610" s="390"/>
      <c r="E610" s="371"/>
      <c r="F610" s="388"/>
      <c r="G610" s="389"/>
      <c r="H610" s="389"/>
      <c r="I610" s="390"/>
      <c r="J610" s="389"/>
      <c r="K610" s="390"/>
      <c r="L610" s="390"/>
      <c r="M610" s="390"/>
      <c r="N610" s="390"/>
      <c r="O610" s="390"/>
      <c r="P610" s="390"/>
      <c r="Q610" s="390"/>
      <c r="R610" s="390"/>
      <c r="S610" s="390"/>
      <c r="T610" s="390"/>
      <c r="U610" s="390"/>
      <c r="V610" s="390"/>
      <c r="W610" s="390"/>
      <c r="X610" s="390"/>
      <c r="Y610" s="390"/>
      <c r="Z610" s="390"/>
      <c r="AA610" s="390"/>
    </row>
    <row r="611" ht="14.25" customHeight="1">
      <c r="A611" s="383"/>
      <c r="B611" s="371"/>
      <c r="C611" s="389"/>
      <c r="D611" s="390"/>
      <c r="E611" s="371"/>
      <c r="F611" s="388"/>
      <c r="G611" s="389"/>
      <c r="H611" s="389"/>
      <c r="I611" s="390"/>
      <c r="J611" s="389"/>
      <c r="K611" s="390"/>
      <c r="L611" s="390"/>
      <c r="M611" s="390"/>
      <c r="N611" s="390"/>
      <c r="O611" s="390"/>
      <c r="P611" s="390"/>
      <c r="Q611" s="390"/>
      <c r="R611" s="390"/>
      <c r="S611" s="390"/>
      <c r="T611" s="390"/>
      <c r="U611" s="390"/>
      <c r="V611" s="390"/>
      <c r="W611" s="390"/>
      <c r="X611" s="390"/>
      <c r="Y611" s="390"/>
      <c r="Z611" s="390"/>
      <c r="AA611" s="390"/>
    </row>
    <row r="612" ht="14.25" customHeight="1">
      <c r="A612" s="383"/>
      <c r="B612" s="371"/>
      <c r="C612" s="389"/>
      <c r="D612" s="390"/>
      <c r="E612" s="371"/>
      <c r="F612" s="388"/>
      <c r="G612" s="389"/>
      <c r="H612" s="389"/>
      <c r="I612" s="390"/>
      <c r="J612" s="389"/>
      <c r="K612" s="390"/>
      <c r="L612" s="390"/>
      <c r="M612" s="390"/>
      <c r="N612" s="390"/>
      <c r="O612" s="390"/>
      <c r="P612" s="390"/>
      <c r="Q612" s="390"/>
      <c r="R612" s="390"/>
      <c r="S612" s="390"/>
      <c r="T612" s="390"/>
      <c r="U612" s="390"/>
      <c r="V612" s="390"/>
      <c r="W612" s="390"/>
      <c r="X612" s="390"/>
      <c r="Y612" s="390"/>
      <c r="Z612" s="390"/>
      <c r="AA612" s="390"/>
    </row>
    <row r="613" ht="14.25" customHeight="1">
      <c r="A613" s="383"/>
      <c r="B613" s="371"/>
      <c r="C613" s="389"/>
      <c r="D613" s="390"/>
      <c r="E613" s="371"/>
      <c r="F613" s="388"/>
      <c r="G613" s="389"/>
      <c r="H613" s="389"/>
      <c r="I613" s="390"/>
      <c r="J613" s="389"/>
      <c r="K613" s="390"/>
      <c r="L613" s="390"/>
      <c r="M613" s="390"/>
      <c r="N613" s="390"/>
      <c r="O613" s="390"/>
      <c r="P613" s="390"/>
      <c r="Q613" s="390"/>
      <c r="R613" s="390"/>
      <c r="S613" s="390"/>
      <c r="T613" s="390"/>
      <c r="U613" s="390"/>
      <c r="V613" s="390"/>
      <c r="W613" s="390"/>
      <c r="X613" s="390"/>
      <c r="Y613" s="390"/>
      <c r="Z613" s="390"/>
      <c r="AA613" s="390"/>
    </row>
    <row r="614" ht="14.25" customHeight="1">
      <c r="A614" s="383"/>
      <c r="B614" s="371"/>
      <c r="C614" s="389"/>
      <c r="D614" s="390"/>
      <c r="E614" s="371"/>
      <c r="F614" s="388"/>
      <c r="G614" s="389"/>
      <c r="H614" s="389"/>
      <c r="I614" s="390"/>
      <c r="J614" s="389"/>
      <c r="K614" s="390"/>
      <c r="L614" s="390"/>
      <c r="M614" s="390"/>
      <c r="N614" s="390"/>
      <c r="O614" s="390"/>
      <c r="P614" s="390"/>
      <c r="Q614" s="390"/>
      <c r="R614" s="390"/>
      <c r="S614" s="390"/>
      <c r="T614" s="390"/>
      <c r="U614" s="390"/>
      <c r="V614" s="390"/>
      <c r="W614" s="390"/>
      <c r="X614" s="390"/>
      <c r="Y614" s="390"/>
      <c r="Z614" s="390"/>
      <c r="AA614" s="390"/>
    </row>
    <row r="615" ht="14.25" customHeight="1">
      <c r="A615" s="383"/>
      <c r="B615" s="371"/>
      <c r="C615" s="389"/>
      <c r="D615" s="390"/>
      <c r="E615" s="371"/>
      <c r="F615" s="388"/>
      <c r="G615" s="389"/>
      <c r="H615" s="389"/>
      <c r="I615" s="390"/>
      <c r="J615" s="389"/>
      <c r="K615" s="390"/>
      <c r="L615" s="390"/>
      <c r="M615" s="390"/>
      <c r="N615" s="390"/>
      <c r="O615" s="390"/>
      <c r="P615" s="390"/>
      <c r="Q615" s="390"/>
      <c r="R615" s="390"/>
      <c r="S615" s="390"/>
      <c r="T615" s="390"/>
      <c r="U615" s="390"/>
      <c r="V615" s="390"/>
      <c r="W615" s="390"/>
      <c r="X615" s="390"/>
      <c r="Y615" s="390"/>
      <c r="Z615" s="390"/>
      <c r="AA615" s="390"/>
    </row>
    <row r="616" ht="14.25" customHeight="1">
      <c r="A616" s="383"/>
      <c r="B616" s="371"/>
      <c r="C616" s="389"/>
      <c r="D616" s="390"/>
      <c r="E616" s="371"/>
      <c r="F616" s="388"/>
      <c r="G616" s="389"/>
      <c r="H616" s="389"/>
      <c r="I616" s="390"/>
      <c r="J616" s="389"/>
      <c r="K616" s="390"/>
      <c r="L616" s="390"/>
      <c r="M616" s="390"/>
      <c r="N616" s="390"/>
      <c r="O616" s="390"/>
      <c r="P616" s="390"/>
      <c r="Q616" s="390"/>
      <c r="R616" s="390"/>
      <c r="S616" s="390"/>
      <c r="T616" s="390"/>
      <c r="U616" s="390"/>
      <c r="V616" s="390"/>
      <c r="W616" s="390"/>
      <c r="X616" s="390"/>
      <c r="Y616" s="390"/>
      <c r="Z616" s="390"/>
      <c r="AA616" s="390"/>
    </row>
    <row r="617" ht="14.25" customHeight="1">
      <c r="A617" s="383"/>
      <c r="B617" s="371"/>
      <c r="C617" s="389"/>
      <c r="D617" s="390"/>
      <c r="E617" s="371"/>
      <c r="F617" s="388"/>
      <c r="G617" s="389"/>
      <c r="H617" s="389"/>
      <c r="I617" s="390"/>
      <c r="J617" s="389"/>
      <c r="K617" s="390"/>
      <c r="L617" s="390"/>
      <c r="M617" s="390"/>
      <c r="N617" s="390"/>
      <c r="O617" s="390"/>
      <c r="P617" s="390"/>
      <c r="Q617" s="390"/>
      <c r="R617" s="390"/>
      <c r="S617" s="390"/>
      <c r="T617" s="390"/>
      <c r="U617" s="390"/>
      <c r="V617" s="390"/>
      <c r="W617" s="390"/>
      <c r="X617" s="390"/>
      <c r="Y617" s="390"/>
      <c r="Z617" s="390"/>
      <c r="AA617" s="390"/>
    </row>
    <row r="618" ht="14.25" customHeight="1">
      <c r="A618" s="383"/>
      <c r="B618" s="371"/>
      <c r="C618" s="389"/>
      <c r="D618" s="390"/>
      <c r="E618" s="371"/>
      <c r="F618" s="388"/>
      <c r="G618" s="389"/>
      <c r="H618" s="389"/>
      <c r="I618" s="390"/>
      <c r="J618" s="389"/>
      <c r="K618" s="390"/>
      <c r="L618" s="390"/>
      <c r="M618" s="390"/>
      <c r="N618" s="390"/>
      <c r="O618" s="390"/>
      <c r="P618" s="390"/>
      <c r="Q618" s="390"/>
      <c r="R618" s="390"/>
      <c r="S618" s="390"/>
      <c r="T618" s="390"/>
      <c r="U618" s="390"/>
      <c r="V618" s="390"/>
      <c r="W618" s="390"/>
      <c r="X618" s="390"/>
      <c r="Y618" s="390"/>
      <c r="Z618" s="390"/>
      <c r="AA618" s="390"/>
    </row>
    <row r="619" ht="14.25" customHeight="1">
      <c r="A619" s="383"/>
      <c r="B619" s="371"/>
      <c r="C619" s="389"/>
      <c r="D619" s="390"/>
      <c r="E619" s="371"/>
      <c r="F619" s="388"/>
      <c r="G619" s="389"/>
      <c r="H619" s="389"/>
      <c r="I619" s="390"/>
      <c r="J619" s="389"/>
      <c r="K619" s="390"/>
      <c r="L619" s="390"/>
      <c r="M619" s="390"/>
      <c r="N619" s="390"/>
      <c r="O619" s="390"/>
      <c r="P619" s="390"/>
      <c r="Q619" s="390"/>
      <c r="R619" s="390"/>
      <c r="S619" s="390"/>
      <c r="T619" s="390"/>
      <c r="U619" s="390"/>
      <c r="V619" s="390"/>
      <c r="W619" s="390"/>
      <c r="X619" s="390"/>
      <c r="Y619" s="390"/>
      <c r="Z619" s="390"/>
      <c r="AA619" s="390"/>
    </row>
    <row r="620" ht="14.25" customHeight="1">
      <c r="A620" s="383"/>
      <c r="B620" s="371"/>
      <c r="C620" s="389"/>
      <c r="D620" s="390"/>
      <c r="E620" s="371"/>
      <c r="F620" s="388"/>
      <c r="G620" s="389"/>
      <c r="H620" s="389"/>
      <c r="I620" s="390"/>
      <c r="J620" s="389"/>
      <c r="K620" s="390"/>
      <c r="L620" s="390"/>
      <c r="M620" s="390"/>
      <c r="N620" s="390"/>
      <c r="O620" s="390"/>
      <c r="P620" s="390"/>
      <c r="Q620" s="390"/>
      <c r="R620" s="390"/>
      <c r="S620" s="390"/>
      <c r="T620" s="390"/>
      <c r="U620" s="390"/>
      <c r="V620" s="390"/>
      <c r="W620" s="390"/>
      <c r="X620" s="390"/>
      <c r="Y620" s="390"/>
      <c r="Z620" s="390"/>
      <c r="AA620" s="390"/>
    </row>
    <row r="621" ht="14.25" customHeight="1">
      <c r="A621" s="383"/>
      <c r="B621" s="371"/>
      <c r="C621" s="389"/>
      <c r="D621" s="390"/>
      <c r="E621" s="371"/>
      <c r="F621" s="388"/>
      <c r="G621" s="389"/>
      <c r="H621" s="389"/>
      <c r="I621" s="390"/>
      <c r="J621" s="389"/>
      <c r="K621" s="390"/>
      <c r="L621" s="390"/>
      <c r="M621" s="390"/>
      <c r="N621" s="390"/>
      <c r="O621" s="390"/>
      <c r="P621" s="390"/>
      <c r="Q621" s="390"/>
      <c r="R621" s="390"/>
      <c r="S621" s="390"/>
      <c r="T621" s="390"/>
      <c r="U621" s="390"/>
      <c r="V621" s="390"/>
      <c r="W621" s="390"/>
      <c r="X621" s="390"/>
      <c r="Y621" s="390"/>
      <c r="Z621" s="390"/>
      <c r="AA621" s="390"/>
    </row>
    <row r="622" ht="14.25" customHeight="1">
      <c r="A622" s="383"/>
      <c r="B622" s="371"/>
      <c r="C622" s="389"/>
      <c r="D622" s="390"/>
      <c r="E622" s="371"/>
      <c r="F622" s="388"/>
      <c r="G622" s="389"/>
      <c r="H622" s="389"/>
      <c r="I622" s="390"/>
      <c r="J622" s="389"/>
      <c r="K622" s="390"/>
      <c r="L622" s="390"/>
      <c r="M622" s="390"/>
      <c r="N622" s="390"/>
      <c r="O622" s="390"/>
      <c r="P622" s="390"/>
      <c r="Q622" s="390"/>
      <c r="R622" s="390"/>
      <c r="S622" s="390"/>
      <c r="T622" s="390"/>
      <c r="U622" s="390"/>
      <c r="V622" s="390"/>
      <c r="W622" s="390"/>
      <c r="X622" s="390"/>
      <c r="Y622" s="390"/>
      <c r="Z622" s="390"/>
      <c r="AA622" s="390"/>
    </row>
    <row r="623" ht="14.25" customHeight="1">
      <c r="A623" s="383"/>
      <c r="B623" s="371"/>
      <c r="C623" s="389"/>
      <c r="D623" s="390"/>
      <c r="E623" s="371"/>
      <c r="F623" s="388"/>
      <c r="G623" s="389"/>
      <c r="H623" s="389"/>
      <c r="I623" s="390"/>
      <c r="J623" s="389"/>
      <c r="K623" s="390"/>
      <c r="L623" s="390"/>
      <c r="M623" s="390"/>
      <c r="N623" s="390"/>
      <c r="O623" s="390"/>
      <c r="P623" s="390"/>
      <c r="Q623" s="390"/>
      <c r="R623" s="390"/>
      <c r="S623" s="390"/>
      <c r="T623" s="390"/>
      <c r="U623" s="390"/>
      <c r="V623" s="390"/>
      <c r="W623" s="390"/>
      <c r="X623" s="390"/>
      <c r="Y623" s="390"/>
      <c r="Z623" s="390"/>
      <c r="AA623" s="390"/>
    </row>
    <row r="624" ht="14.25" customHeight="1">
      <c r="A624" s="383"/>
      <c r="B624" s="371"/>
      <c r="C624" s="389"/>
      <c r="D624" s="390"/>
      <c r="E624" s="371"/>
      <c r="F624" s="388"/>
      <c r="G624" s="389"/>
      <c r="H624" s="389"/>
      <c r="I624" s="390"/>
      <c r="J624" s="389"/>
      <c r="K624" s="390"/>
      <c r="L624" s="390"/>
      <c r="M624" s="390"/>
      <c r="N624" s="390"/>
      <c r="O624" s="390"/>
      <c r="P624" s="390"/>
      <c r="Q624" s="390"/>
      <c r="R624" s="390"/>
      <c r="S624" s="390"/>
      <c r="T624" s="390"/>
      <c r="U624" s="390"/>
      <c r="V624" s="390"/>
      <c r="W624" s="390"/>
      <c r="X624" s="390"/>
      <c r="Y624" s="390"/>
      <c r="Z624" s="390"/>
      <c r="AA624" s="390"/>
    </row>
    <row r="625" ht="14.25" customHeight="1">
      <c r="A625" s="383"/>
      <c r="B625" s="371"/>
      <c r="C625" s="389"/>
      <c r="D625" s="390"/>
      <c r="E625" s="371"/>
      <c r="F625" s="388"/>
      <c r="G625" s="389"/>
      <c r="H625" s="389"/>
      <c r="I625" s="390"/>
      <c r="J625" s="389"/>
      <c r="K625" s="390"/>
      <c r="L625" s="390"/>
      <c r="M625" s="390"/>
      <c r="N625" s="390"/>
      <c r="O625" s="390"/>
      <c r="P625" s="390"/>
      <c r="Q625" s="390"/>
      <c r="R625" s="390"/>
      <c r="S625" s="390"/>
      <c r="T625" s="390"/>
      <c r="U625" s="390"/>
      <c r="V625" s="390"/>
      <c r="W625" s="390"/>
      <c r="X625" s="390"/>
      <c r="Y625" s="390"/>
      <c r="Z625" s="390"/>
      <c r="AA625" s="390"/>
    </row>
    <row r="626" ht="14.25" customHeight="1">
      <c r="A626" s="383"/>
      <c r="B626" s="371"/>
      <c r="C626" s="389"/>
      <c r="D626" s="390"/>
      <c r="E626" s="371"/>
      <c r="F626" s="388"/>
      <c r="G626" s="389"/>
      <c r="H626" s="389"/>
      <c r="I626" s="390"/>
      <c r="J626" s="389"/>
      <c r="K626" s="390"/>
      <c r="L626" s="390"/>
      <c r="M626" s="390"/>
      <c r="N626" s="390"/>
      <c r="O626" s="390"/>
      <c r="P626" s="390"/>
      <c r="Q626" s="390"/>
      <c r="R626" s="390"/>
      <c r="S626" s="390"/>
      <c r="T626" s="390"/>
      <c r="U626" s="390"/>
      <c r="V626" s="390"/>
      <c r="W626" s="390"/>
      <c r="X626" s="390"/>
      <c r="Y626" s="390"/>
      <c r="Z626" s="390"/>
      <c r="AA626" s="390"/>
    </row>
    <row r="627" ht="14.25" customHeight="1">
      <c r="A627" s="383"/>
      <c r="B627" s="371"/>
      <c r="C627" s="389"/>
      <c r="D627" s="390"/>
      <c r="E627" s="371"/>
      <c r="F627" s="388"/>
      <c r="G627" s="389"/>
      <c r="H627" s="389"/>
      <c r="I627" s="390"/>
      <c r="J627" s="389"/>
      <c r="K627" s="390"/>
      <c r="L627" s="390"/>
      <c r="M627" s="390"/>
      <c r="N627" s="390"/>
      <c r="O627" s="390"/>
      <c r="P627" s="390"/>
      <c r="Q627" s="390"/>
      <c r="R627" s="390"/>
      <c r="S627" s="390"/>
      <c r="T627" s="390"/>
      <c r="U627" s="390"/>
      <c r="V627" s="390"/>
      <c r="W627" s="390"/>
      <c r="X627" s="390"/>
      <c r="Y627" s="390"/>
      <c r="Z627" s="390"/>
      <c r="AA627" s="390"/>
    </row>
    <row r="628" ht="14.25" customHeight="1">
      <c r="A628" s="383"/>
      <c r="B628" s="371"/>
      <c r="C628" s="389"/>
      <c r="D628" s="390"/>
      <c r="E628" s="371"/>
      <c r="F628" s="388"/>
      <c r="G628" s="389"/>
      <c r="H628" s="389"/>
      <c r="I628" s="390"/>
      <c r="J628" s="389"/>
      <c r="K628" s="390"/>
      <c r="L628" s="390"/>
      <c r="M628" s="390"/>
      <c r="N628" s="390"/>
      <c r="O628" s="390"/>
      <c r="P628" s="390"/>
      <c r="Q628" s="390"/>
      <c r="R628" s="390"/>
      <c r="S628" s="390"/>
      <c r="T628" s="390"/>
      <c r="U628" s="390"/>
      <c r="V628" s="390"/>
      <c r="W628" s="390"/>
      <c r="X628" s="390"/>
      <c r="Y628" s="390"/>
      <c r="Z628" s="390"/>
      <c r="AA628" s="390"/>
    </row>
    <row r="629" ht="14.25" customHeight="1">
      <c r="A629" s="383"/>
      <c r="B629" s="371"/>
      <c r="C629" s="389"/>
      <c r="D629" s="390"/>
      <c r="E629" s="371"/>
      <c r="F629" s="388"/>
      <c r="G629" s="389"/>
      <c r="H629" s="389"/>
      <c r="I629" s="390"/>
      <c r="J629" s="389"/>
      <c r="K629" s="390"/>
      <c r="L629" s="390"/>
      <c r="M629" s="390"/>
      <c r="N629" s="390"/>
      <c r="O629" s="390"/>
      <c r="P629" s="390"/>
      <c r="Q629" s="390"/>
      <c r="R629" s="390"/>
      <c r="S629" s="390"/>
      <c r="T629" s="390"/>
      <c r="U629" s="390"/>
      <c r="V629" s="390"/>
      <c r="W629" s="390"/>
      <c r="X629" s="390"/>
      <c r="Y629" s="390"/>
      <c r="Z629" s="390"/>
      <c r="AA629" s="390"/>
    </row>
    <row r="630" ht="14.25" customHeight="1">
      <c r="A630" s="383"/>
      <c r="B630" s="371"/>
      <c r="C630" s="389"/>
      <c r="D630" s="390"/>
      <c r="E630" s="371"/>
      <c r="F630" s="388"/>
      <c r="G630" s="389"/>
      <c r="H630" s="389"/>
      <c r="I630" s="390"/>
      <c r="J630" s="389"/>
      <c r="K630" s="390"/>
      <c r="L630" s="390"/>
      <c r="M630" s="390"/>
      <c r="N630" s="390"/>
      <c r="O630" s="390"/>
      <c r="P630" s="390"/>
      <c r="Q630" s="390"/>
      <c r="R630" s="390"/>
      <c r="S630" s="390"/>
      <c r="T630" s="390"/>
      <c r="U630" s="390"/>
      <c r="V630" s="390"/>
      <c r="W630" s="390"/>
      <c r="X630" s="390"/>
      <c r="Y630" s="390"/>
      <c r="Z630" s="390"/>
      <c r="AA630" s="390"/>
    </row>
    <row r="631" ht="14.25" customHeight="1">
      <c r="A631" s="383"/>
      <c r="B631" s="371"/>
      <c r="C631" s="389"/>
      <c r="D631" s="390"/>
      <c r="E631" s="371"/>
      <c r="F631" s="388"/>
      <c r="G631" s="389"/>
      <c r="H631" s="389"/>
      <c r="I631" s="390"/>
      <c r="J631" s="389"/>
      <c r="K631" s="390"/>
      <c r="L631" s="390"/>
      <c r="M631" s="390"/>
      <c r="N631" s="390"/>
      <c r="O631" s="390"/>
      <c r="P631" s="390"/>
      <c r="Q631" s="390"/>
      <c r="R631" s="390"/>
      <c r="S631" s="390"/>
      <c r="T631" s="390"/>
      <c r="U631" s="390"/>
      <c r="V631" s="390"/>
      <c r="W631" s="390"/>
      <c r="X631" s="390"/>
      <c r="Y631" s="390"/>
      <c r="Z631" s="390"/>
      <c r="AA631" s="390"/>
    </row>
    <row r="632" ht="14.25" customHeight="1">
      <c r="A632" s="383"/>
      <c r="B632" s="371"/>
      <c r="C632" s="389"/>
      <c r="D632" s="390"/>
      <c r="E632" s="371"/>
      <c r="F632" s="388"/>
      <c r="G632" s="389"/>
      <c r="H632" s="389"/>
      <c r="I632" s="390"/>
      <c r="J632" s="389"/>
      <c r="K632" s="390"/>
      <c r="L632" s="390"/>
      <c r="M632" s="390"/>
      <c r="N632" s="390"/>
      <c r="O632" s="390"/>
      <c r="P632" s="390"/>
      <c r="Q632" s="390"/>
      <c r="R632" s="390"/>
      <c r="S632" s="390"/>
      <c r="T632" s="390"/>
      <c r="U632" s="390"/>
      <c r="V632" s="390"/>
      <c r="W632" s="390"/>
      <c r="X632" s="390"/>
      <c r="Y632" s="390"/>
      <c r="Z632" s="390"/>
      <c r="AA632" s="390"/>
    </row>
    <row r="633" ht="14.25" customHeight="1">
      <c r="A633" s="383"/>
      <c r="B633" s="371"/>
      <c r="C633" s="389"/>
      <c r="D633" s="390"/>
      <c r="E633" s="371"/>
      <c r="F633" s="388"/>
      <c r="G633" s="389"/>
      <c r="H633" s="389"/>
      <c r="I633" s="390"/>
      <c r="J633" s="389"/>
      <c r="K633" s="390"/>
      <c r="L633" s="390"/>
      <c r="M633" s="390"/>
      <c r="N633" s="390"/>
      <c r="O633" s="390"/>
      <c r="P633" s="390"/>
      <c r="Q633" s="390"/>
      <c r="R633" s="390"/>
      <c r="S633" s="390"/>
      <c r="T633" s="390"/>
      <c r="U633" s="390"/>
      <c r="V633" s="390"/>
      <c r="W633" s="390"/>
      <c r="X633" s="390"/>
      <c r="Y633" s="390"/>
      <c r="Z633" s="390"/>
      <c r="AA633" s="390"/>
    </row>
    <row r="634" ht="14.25" customHeight="1">
      <c r="A634" s="383"/>
      <c r="B634" s="371"/>
      <c r="C634" s="389"/>
      <c r="D634" s="390"/>
      <c r="E634" s="371"/>
      <c r="F634" s="388"/>
      <c r="G634" s="389"/>
      <c r="H634" s="389"/>
      <c r="I634" s="390"/>
      <c r="J634" s="389"/>
      <c r="K634" s="390"/>
      <c r="L634" s="390"/>
      <c r="M634" s="390"/>
      <c r="N634" s="390"/>
      <c r="O634" s="390"/>
      <c r="P634" s="390"/>
      <c r="Q634" s="390"/>
      <c r="R634" s="390"/>
      <c r="S634" s="390"/>
      <c r="T634" s="390"/>
      <c r="U634" s="390"/>
      <c r="V634" s="390"/>
      <c r="W634" s="390"/>
      <c r="X634" s="390"/>
      <c r="Y634" s="390"/>
      <c r="Z634" s="390"/>
      <c r="AA634" s="390"/>
    </row>
    <row r="635" ht="14.25" customHeight="1">
      <c r="A635" s="383"/>
      <c r="B635" s="371"/>
      <c r="C635" s="389"/>
      <c r="D635" s="390"/>
      <c r="E635" s="371"/>
      <c r="F635" s="388"/>
      <c r="G635" s="389"/>
      <c r="H635" s="389"/>
      <c r="I635" s="390"/>
      <c r="J635" s="389"/>
      <c r="K635" s="390"/>
      <c r="L635" s="390"/>
      <c r="M635" s="390"/>
      <c r="N635" s="390"/>
      <c r="O635" s="390"/>
      <c r="P635" s="390"/>
      <c r="Q635" s="390"/>
      <c r="R635" s="390"/>
      <c r="S635" s="390"/>
      <c r="T635" s="390"/>
      <c r="U635" s="390"/>
      <c r="V635" s="390"/>
      <c r="W635" s="390"/>
      <c r="X635" s="390"/>
      <c r="Y635" s="390"/>
      <c r="Z635" s="390"/>
      <c r="AA635" s="390"/>
    </row>
    <row r="636" ht="14.25" customHeight="1">
      <c r="A636" s="383"/>
      <c r="B636" s="371"/>
      <c r="C636" s="389"/>
      <c r="D636" s="390"/>
      <c r="E636" s="371"/>
      <c r="F636" s="388"/>
      <c r="G636" s="389"/>
      <c r="H636" s="389"/>
      <c r="I636" s="390"/>
      <c r="J636" s="389"/>
      <c r="K636" s="390"/>
      <c r="L636" s="390"/>
      <c r="M636" s="390"/>
      <c r="N636" s="390"/>
      <c r="O636" s="390"/>
      <c r="P636" s="390"/>
      <c r="Q636" s="390"/>
      <c r="R636" s="390"/>
      <c r="S636" s="390"/>
      <c r="T636" s="390"/>
      <c r="U636" s="390"/>
      <c r="V636" s="390"/>
      <c r="W636" s="390"/>
      <c r="X636" s="390"/>
      <c r="Y636" s="390"/>
      <c r="Z636" s="390"/>
      <c r="AA636" s="390"/>
    </row>
    <row r="637" ht="14.25" customHeight="1">
      <c r="A637" s="383"/>
      <c r="B637" s="371"/>
      <c r="C637" s="389"/>
      <c r="D637" s="390"/>
      <c r="E637" s="371"/>
      <c r="F637" s="388"/>
      <c r="G637" s="389"/>
      <c r="H637" s="389"/>
      <c r="I637" s="390"/>
      <c r="J637" s="389"/>
      <c r="K637" s="390"/>
      <c r="L637" s="390"/>
      <c r="M637" s="390"/>
      <c r="N637" s="390"/>
      <c r="O637" s="390"/>
      <c r="P637" s="390"/>
      <c r="Q637" s="390"/>
      <c r="R637" s="390"/>
      <c r="S637" s="390"/>
      <c r="T637" s="390"/>
      <c r="U637" s="390"/>
      <c r="V637" s="390"/>
      <c r="W637" s="390"/>
      <c r="X637" s="390"/>
      <c r="Y637" s="390"/>
      <c r="Z637" s="390"/>
      <c r="AA637" s="390"/>
    </row>
    <row r="638" ht="14.25" customHeight="1">
      <c r="A638" s="383"/>
      <c r="B638" s="371"/>
      <c r="C638" s="389"/>
      <c r="D638" s="390"/>
      <c r="E638" s="371"/>
      <c r="F638" s="388"/>
      <c r="G638" s="389"/>
      <c r="H638" s="389"/>
      <c r="I638" s="390"/>
      <c r="J638" s="389"/>
      <c r="K638" s="390"/>
      <c r="L638" s="390"/>
      <c r="M638" s="390"/>
      <c r="N638" s="390"/>
      <c r="O638" s="390"/>
      <c r="P638" s="390"/>
      <c r="Q638" s="390"/>
      <c r="R638" s="390"/>
      <c r="S638" s="390"/>
      <c r="T638" s="390"/>
      <c r="U638" s="390"/>
      <c r="V638" s="390"/>
      <c r="W638" s="390"/>
      <c r="X638" s="390"/>
      <c r="Y638" s="390"/>
      <c r="Z638" s="390"/>
      <c r="AA638" s="390"/>
    </row>
    <row r="639" ht="14.25" customHeight="1">
      <c r="A639" s="383"/>
      <c r="B639" s="371"/>
      <c r="C639" s="389"/>
      <c r="D639" s="390"/>
      <c r="E639" s="371"/>
      <c r="F639" s="388"/>
      <c r="G639" s="389"/>
      <c r="H639" s="389"/>
      <c r="I639" s="390"/>
      <c r="J639" s="389"/>
      <c r="K639" s="390"/>
      <c r="L639" s="390"/>
      <c r="M639" s="390"/>
      <c r="N639" s="390"/>
      <c r="O639" s="390"/>
      <c r="P639" s="390"/>
      <c r="Q639" s="390"/>
      <c r="R639" s="390"/>
      <c r="S639" s="390"/>
      <c r="T639" s="390"/>
      <c r="U639" s="390"/>
      <c r="V639" s="390"/>
      <c r="W639" s="390"/>
      <c r="X639" s="390"/>
      <c r="Y639" s="390"/>
      <c r="Z639" s="390"/>
      <c r="AA639" s="390"/>
    </row>
    <row r="640" ht="14.25" customHeight="1">
      <c r="A640" s="383"/>
      <c r="B640" s="371"/>
      <c r="C640" s="389"/>
      <c r="D640" s="390"/>
      <c r="E640" s="371"/>
      <c r="F640" s="388"/>
      <c r="G640" s="389"/>
      <c r="H640" s="389"/>
      <c r="I640" s="390"/>
      <c r="J640" s="389"/>
      <c r="K640" s="390"/>
      <c r="L640" s="390"/>
      <c r="M640" s="390"/>
      <c r="N640" s="390"/>
      <c r="O640" s="390"/>
      <c r="P640" s="390"/>
      <c r="Q640" s="390"/>
      <c r="R640" s="390"/>
      <c r="S640" s="390"/>
      <c r="T640" s="390"/>
      <c r="U640" s="390"/>
      <c r="V640" s="390"/>
      <c r="W640" s="390"/>
      <c r="X640" s="390"/>
      <c r="Y640" s="390"/>
      <c r="Z640" s="390"/>
      <c r="AA640" s="390"/>
    </row>
    <row r="641" ht="14.25" customHeight="1">
      <c r="A641" s="383"/>
      <c r="B641" s="371"/>
      <c r="C641" s="389"/>
      <c r="D641" s="390"/>
      <c r="E641" s="371"/>
      <c r="F641" s="388"/>
      <c r="G641" s="389"/>
      <c r="H641" s="389"/>
      <c r="I641" s="390"/>
      <c r="J641" s="389"/>
      <c r="K641" s="390"/>
      <c r="L641" s="390"/>
      <c r="M641" s="390"/>
      <c r="N641" s="390"/>
      <c r="O641" s="390"/>
      <c r="P641" s="390"/>
      <c r="Q641" s="390"/>
      <c r="R641" s="390"/>
      <c r="S641" s="390"/>
      <c r="T641" s="390"/>
      <c r="U641" s="390"/>
      <c r="V641" s="390"/>
      <c r="W641" s="390"/>
      <c r="X641" s="390"/>
      <c r="Y641" s="390"/>
      <c r="Z641" s="390"/>
      <c r="AA641" s="390"/>
    </row>
    <row r="642" ht="14.25" customHeight="1">
      <c r="A642" s="383"/>
      <c r="B642" s="371"/>
      <c r="C642" s="389"/>
      <c r="D642" s="390"/>
      <c r="E642" s="371"/>
      <c r="F642" s="388"/>
      <c r="G642" s="389"/>
      <c r="H642" s="389"/>
      <c r="I642" s="390"/>
      <c r="J642" s="389"/>
      <c r="K642" s="390"/>
      <c r="L642" s="390"/>
      <c r="M642" s="390"/>
      <c r="N642" s="390"/>
      <c r="O642" s="390"/>
      <c r="P642" s="390"/>
      <c r="Q642" s="390"/>
      <c r="R642" s="390"/>
      <c r="S642" s="390"/>
      <c r="T642" s="390"/>
      <c r="U642" s="390"/>
      <c r="V642" s="390"/>
      <c r="W642" s="390"/>
      <c r="X642" s="390"/>
      <c r="Y642" s="390"/>
      <c r="Z642" s="390"/>
      <c r="AA642" s="390"/>
    </row>
    <row r="643" ht="14.25" customHeight="1">
      <c r="A643" s="383"/>
      <c r="B643" s="371"/>
      <c r="C643" s="389"/>
      <c r="D643" s="390"/>
      <c r="E643" s="371"/>
      <c r="F643" s="388"/>
      <c r="G643" s="389"/>
      <c r="H643" s="389"/>
      <c r="I643" s="390"/>
      <c r="J643" s="389"/>
      <c r="K643" s="390"/>
      <c r="L643" s="390"/>
      <c r="M643" s="390"/>
      <c r="N643" s="390"/>
      <c r="O643" s="390"/>
      <c r="P643" s="390"/>
      <c r="Q643" s="390"/>
      <c r="R643" s="390"/>
      <c r="S643" s="390"/>
      <c r="T643" s="390"/>
      <c r="U643" s="390"/>
      <c r="V643" s="390"/>
      <c r="W643" s="390"/>
      <c r="X643" s="390"/>
      <c r="Y643" s="390"/>
      <c r="Z643" s="390"/>
      <c r="AA643" s="390"/>
    </row>
    <row r="644" ht="14.25" customHeight="1">
      <c r="A644" s="383"/>
      <c r="B644" s="371"/>
      <c r="C644" s="389"/>
      <c r="D644" s="390"/>
      <c r="E644" s="371"/>
      <c r="F644" s="388"/>
      <c r="G644" s="389"/>
      <c r="H644" s="389"/>
      <c r="I644" s="390"/>
      <c r="J644" s="389"/>
      <c r="K644" s="390"/>
      <c r="L644" s="390"/>
      <c r="M644" s="390"/>
      <c r="N644" s="390"/>
      <c r="O644" s="390"/>
      <c r="P644" s="390"/>
      <c r="Q644" s="390"/>
      <c r="R644" s="390"/>
      <c r="S644" s="390"/>
      <c r="T644" s="390"/>
      <c r="U644" s="390"/>
      <c r="V644" s="390"/>
      <c r="W644" s="390"/>
      <c r="X644" s="390"/>
      <c r="Y644" s="390"/>
      <c r="Z644" s="390"/>
      <c r="AA644" s="390"/>
    </row>
    <row r="645" ht="14.25" customHeight="1">
      <c r="A645" s="383"/>
      <c r="B645" s="371"/>
      <c r="C645" s="389"/>
      <c r="D645" s="390"/>
      <c r="E645" s="371"/>
      <c r="F645" s="388"/>
      <c r="G645" s="389"/>
      <c r="H645" s="389"/>
      <c r="I645" s="390"/>
      <c r="J645" s="389"/>
      <c r="K645" s="390"/>
      <c r="L645" s="390"/>
      <c r="M645" s="390"/>
      <c r="N645" s="390"/>
      <c r="O645" s="390"/>
      <c r="P645" s="390"/>
      <c r="Q645" s="390"/>
      <c r="R645" s="390"/>
      <c r="S645" s="390"/>
      <c r="T645" s="390"/>
      <c r="U645" s="390"/>
      <c r="V645" s="390"/>
      <c r="W645" s="390"/>
      <c r="X645" s="390"/>
      <c r="Y645" s="390"/>
      <c r="Z645" s="390"/>
      <c r="AA645" s="390"/>
    </row>
    <row r="646" ht="14.25" customHeight="1">
      <c r="A646" s="383"/>
      <c r="B646" s="371"/>
      <c r="C646" s="389"/>
      <c r="D646" s="390"/>
      <c r="E646" s="371"/>
      <c r="F646" s="388"/>
      <c r="G646" s="389"/>
      <c r="H646" s="389"/>
      <c r="I646" s="390"/>
      <c r="J646" s="389"/>
      <c r="K646" s="390"/>
      <c r="L646" s="390"/>
      <c r="M646" s="390"/>
      <c r="N646" s="390"/>
      <c r="O646" s="390"/>
      <c r="P646" s="390"/>
      <c r="Q646" s="390"/>
      <c r="R646" s="390"/>
      <c r="S646" s="390"/>
      <c r="T646" s="390"/>
      <c r="U646" s="390"/>
      <c r="V646" s="390"/>
      <c r="W646" s="390"/>
      <c r="X646" s="390"/>
      <c r="Y646" s="390"/>
      <c r="Z646" s="390"/>
      <c r="AA646" s="390"/>
    </row>
    <row r="647" ht="14.25" customHeight="1">
      <c r="A647" s="383"/>
      <c r="B647" s="371"/>
      <c r="C647" s="389"/>
      <c r="D647" s="390"/>
      <c r="E647" s="371"/>
      <c r="F647" s="388"/>
      <c r="G647" s="389"/>
      <c r="H647" s="389"/>
      <c r="I647" s="390"/>
      <c r="J647" s="389"/>
      <c r="K647" s="390"/>
      <c r="L647" s="390"/>
      <c r="M647" s="390"/>
      <c r="N647" s="390"/>
      <c r="O647" s="390"/>
      <c r="P647" s="390"/>
      <c r="Q647" s="390"/>
      <c r="R647" s="390"/>
      <c r="S647" s="390"/>
      <c r="T647" s="390"/>
      <c r="U647" s="390"/>
      <c r="V647" s="390"/>
      <c r="W647" s="390"/>
      <c r="X647" s="390"/>
      <c r="Y647" s="390"/>
      <c r="Z647" s="390"/>
      <c r="AA647" s="390"/>
    </row>
    <row r="648" ht="14.25" customHeight="1">
      <c r="A648" s="383"/>
      <c r="B648" s="371"/>
      <c r="C648" s="389"/>
      <c r="D648" s="390"/>
      <c r="E648" s="371"/>
      <c r="F648" s="388"/>
      <c r="G648" s="389"/>
      <c r="H648" s="389"/>
      <c r="I648" s="390"/>
      <c r="J648" s="389"/>
      <c r="K648" s="390"/>
      <c r="L648" s="390"/>
      <c r="M648" s="390"/>
      <c r="N648" s="390"/>
      <c r="O648" s="390"/>
      <c r="P648" s="390"/>
      <c r="Q648" s="390"/>
      <c r="R648" s="390"/>
      <c r="S648" s="390"/>
      <c r="T648" s="390"/>
      <c r="U648" s="390"/>
      <c r="V648" s="390"/>
      <c r="W648" s="390"/>
      <c r="X648" s="390"/>
      <c r="Y648" s="390"/>
      <c r="Z648" s="390"/>
      <c r="AA648" s="390"/>
    </row>
    <row r="649" ht="14.25" customHeight="1">
      <c r="A649" s="383"/>
      <c r="B649" s="371"/>
      <c r="C649" s="389"/>
      <c r="D649" s="390"/>
      <c r="E649" s="371"/>
      <c r="F649" s="388"/>
      <c r="G649" s="389"/>
      <c r="H649" s="389"/>
      <c r="I649" s="390"/>
      <c r="J649" s="389"/>
      <c r="K649" s="390"/>
      <c r="L649" s="390"/>
      <c r="M649" s="390"/>
      <c r="N649" s="390"/>
      <c r="O649" s="390"/>
      <c r="P649" s="390"/>
      <c r="Q649" s="390"/>
      <c r="R649" s="390"/>
      <c r="S649" s="390"/>
      <c r="T649" s="390"/>
      <c r="U649" s="390"/>
      <c r="V649" s="390"/>
      <c r="W649" s="390"/>
      <c r="X649" s="390"/>
      <c r="Y649" s="390"/>
      <c r="Z649" s="390"/>
      <c r="AA649" s="390"/>
    </row>
    <row r="650" ht="14.25" customHeight="1">
      <c r="A650" s="383"/>
      <c r="B650" s="371"/>
      <c r="C650" s="389"/>
      <c r="D650" s="390"/>
      <c r="E650" s="371"/>
      <c r="F650" s="388"/>
      <c r="G650" s="389"/>
      <c r="H650" s="389"/>
      <c r="I650" s="390"/>
      <c r="J650" s="389"/>
      <c r="K650" s="390"/>
      <c r="L650" s="390"/>
      <c r="M650" s="390"/>
      <c r="N650" s="390"/>
      <c r="O650" s="390"/>
      <c r="P650" s="390"/>
      <c r="Q650" s="390"/>
      <c r="R650" s="390"/>
      <c r="S650" s="390"/>
      <c r="T650" s="390"/>
      <c r="U650" s="390"/>
      <c r="V650" s="390"/>
      <c r="W650" s="390"/>
      <c r="X650" s="390"/>
      <c r="Y650" s="390"/>
      <c r="Z650" s="390"/>
      <c r="AA650" s="390"/>
    </row>
    <row r="651" ht="14.25" customHeight="1">
      <c r="A651" s="383"/>
      <c r="B651" s="371"/>
      <c r="C651" s="389"/>
      <c r="D651" s="390"/>
      <c r="E651" s="371"/>
      <c r="F651" s="388"/>
      <c r="G651" s="389"/>
      <c r="H651" s="389"/>
      <c r="I651" s="390"/>
      <c r="J651" s="389"/>
      <c r="K651" s="390"/>
      <c r="L651" s="390"/>
      <c r="M651" s="390"/>
      <c r="N651" s="390"/>
      <c r="O651" s="390"/>
      <c r="P651" s="390"/>
      <c r="Q651" s="390"/>
      <c r="R651" s="390"/>
      <c r="S651" s="390"/>
      <c r="T651" s="390"/>
      <c r="U651" s="390"/>
      <c r="V651" s="390"/>
      <c r="W651" s="390"/>
      <c r="X651" s="390"/>
      <c r="Y651" s="390"/>
      <c r="Z651" s="390"/>
      <c r="AA651" s="390"/>
    </row>
    <row r="652" ht="14.25" customHeight="1">
      <c r="A652" s="383"/>
      <c r="B652" s="371"/>
      <c r="C652" s="389"/>
      <c r="D652" s="390"/>
      <c r="E652" s="371"/>
      <c r="F652" s="388"/>
      <c r="G652" s="389"/>
      <c r="H652" s="389"/>
      <c r="I652" s="390"/>
      <c r="J652" s="389"/>
      <c r="K652" s="390"/>
      <c r="L652" s="390"/>
      <c r="M652" s="390"/>
      <c r="N652" s="390"/>
      <c r="O652" s="390"/>
      <c r="P652" s="390"/>
      <c r="Q652" s="390"/>
      <c r="R652" s="390"/>
      <c r="S652" s="390"/>
      <c r="T652" s="390"/>
      <c r="U652" s="390"/>
      <c r="V652" s="390"/>
      <c r="W652" s="390"/>
      <c r="X652" s="390"/>
      <c r="Y652" s="390"/>
      <c r="Z652" s="390"/>
      <c r="AA652" s="390"/>
    </row>
    <row r="653" ht="14.25" customHeight="1">
      <c r="A653" s="383"/>
      <c r="B653" s="371"/>
      <c r="C653" s="389"/>
      <c r="D653" s="390"/>
      <c r="E653" s="371"/>
      <c r="F653" s="388"/>
      <c r="G653" s="389"/>
      <c r="H653" s="389"/>
      <c r="I653" s="390"/>
      <c r="J653" s="389"/>
      <c r="K653" s="390"/>
      <c r="L653" s="390"/>
      <c r="M653" s="390"/>
      <c r="N653" s="390"/>
      <c r="O653" s="390"/>
      <c r="P653" s="390"/>
      <c r="Q653" s="390"/>
      <c r="R653" s="390"/>
      <c r="S653" s="390"/>
      <c r="T653" s="390"/>
      <c r="U653" s="390"/>
      <c r="V653" s="390"/>
      <c r="W653" s="390"/>
      <c r="X653" s="390"/>
      <c r="Y653" s="390"/>
      <c r="Z653" s="390"/>
      <c r="AA653" s="390"/>
    </row>
    <row r="654" ht="14.25" customHeight="1">
      <c r="A654" s="383"/>
      <c r="B654" s="371"/>
      <c r="C654" s="389"/>
      <c r="D654" s="390"/>
      <c r="E654" s="371"/>
      <c r="F654" s="388"/>
      <c r="G654" s="389"/>
      <c r="H654" s="389"/>
      <c r="I654" s="390"/>
      <c r="J654" s="389"/>
      <c r="K654" s="390"/>
      <c r="L654" s="390"/>
      <c r="M654" s="390"/>
      <c r="N654" s="390"/>
      <c r="O654" s="390"/>
      <c r="P654" s="390"/>
      <c r="Q654" s="390"/>
      <c r="R654" s="390"/>
      <c r="S654" s="390"/>
      <c r="T654" s="390"/>
      <c r="U654" s="390"/>
      <c r="V654" s="390"/>
      <c r="W654" s="390"/>
      <c r="X654" s="390"/>
      <c r="Y654" s="390"/>
      <c r="Z654" s="390"/>
      <c r="AA654" s="390"/>
    </row>
    <row r="655" ht="14.25" customHeight="1">
      <c r="A655" s="383"/>
      <c r="B655" s="371"/>
      <c r="C655" s="389"/>
      <c r="D655" s="390"/>
      <c r="E655" s="371"/>
      <c r="F655" s="388"/>
      <c r="G655" s="389"/>
      <c r="H655" s="389"/>
      <c r="I655" s="390"/>
      <c r="J655" s="389"/>
      <c r="K655" s="390"/>
      <c r="L655" s="390"/>
      <c r="M655" s="390"/>
      <c r="N655" s="390"/>
      <c r="O655" s="390"/>
      <c r="P655" s="390"/>
      <c r="Q655" s="390"/>
      <c r="R655" s="390"/>
      <c r="S655" s="390"/>
      <c r="T655" s="390"/>
      <c r="U655" s="390"/>
      <c r="V655" s="390"/>
      <c r="W655" s="390"/>
      <c r="X655" s="390"/>
      <c r="Y655" s="390"/>
      <c r="Z655" s="390"/>
      <c r="AA655" s="390"/>
    </row>
    <row r="656" ht="14.25" customHeight="1">
      <c r="A656" s="383"/>
      <c r="B656" s="371"/>
      <c r="C656" s="389"/>
      <c r="D656" s="390"/>
      <c r="E656" s="371"/>
      <c r="F656" s="388"/>
      <c r="G656" s="389"/>
      <c r="H656" s="389"/>
      <c r="I656" s="390"/>
      <c r="J656" s="389"/>
      <c r="K656" s="390"/>
      <c r="L656" s="390"/>
      <c r="M656" s="390"/>
      <c r="N656" s="390"/>
      <c r="O656" s="390"/>
      <c r="P656" s="390"/>
      <c r="Q656" s="390"/>
      <c r="R656" s="390"/>
      <c r="S656" s="390"/>
      <c r="T656" s="390"/>
      <c r="U656" s="390"/>
      <c r="V656" s="390"/>
      <c r="W656" s="390"/>
      <c r="X656" s="390"/>
      <c r="Y656" s="390"/>
      <c r="Z656" s="390"/>
      <c r="AA656" s="390"/>
    </row>
    <row r="657" ht="14.25" customHeight="1">
      <c r="A657" s="383"/>
      <c r="B657" s="371"/>
      <c r="C657" s="389"/>
      <c r="D657" s="390"/>
      <c r="E657" s="371"/>
      <c r="F657" s="388"/>
      <c r="G657" s="389"/>
      <c r="H657" s="389"/>
      <c r="I657" s="390"/>
      <c r="J657" s="389"/>
      <c r="K657" s="390"/>
      <c r="L657" s="390"/>
      <c r="M657" s="390"/>
      <c r="N657" s="390"/>
      <c r="O657" s="390"/>
      <c r="P657" s="390"/>
      <c r="Q657" s="390"/>
      <c r="R657" s="390"/>
      <c r="S657" s="390"/>
      <c r="T657" s="390"/>
      <c r="U657" s="390"/>
      <c r="V657" s="390"/>
      <c r="W657" s="390"/>
      <c r="X657" s="390"/>
      <c r="Y657" s="390"/>
      <c r="Z657" s="390"/>
      <c r="AA657" s="390"/>
    </row>
    <row r="658" ht="14.25" customHeight="1">
      <c r="A658" s="383"/>
      <c r="B658" s="371"/>
      <c r="C658" s="389"/>
      <c r="D658" s="390"/>
      <c r="E658" s="371"/>
      <c r="F658" s="388"/>
      <c r="G658" s="389"/>
      <c r="H658" s="389"/>
      <c r="I658" s="390"/>
      <c r="J658" s="389"/>
      <c r="K658" s="390"/>
      <c r="L658" s="390"/>
      <c r="M658" s="390"/>
      <c r="N658" s="390"/>
      <c r="O658" s="390"/>
      <c r="P658" s="390"/>
      <c r="Q658" s="390"/>
      <c r="R658" s="390"/>
      <c r="S658" s="390"/>
      <c r="T658" s="390"/>
      <c r="U658" s="390"/>
      <c r="V658" s="390"/>
      <c r="W658" s="390"/>
      <c r="X658" s="390"/>
      <c r="Y658" s="390"/>
      <c r="Z658" s="390"/>
      <c r="AA658" s="390"/>
    </row>
    <row r="659" ht="14.25" customHeight="1">
      <c r="A659" s="383"/>
      <c r="B659" s="371"/>
      <c r="C659" s="389"/>
      <c r="D659" s="390"/>
      <c r="E659" s="371"/>
      <c r="F659" s="388"/>
      <c r="G659" s="389"/>
      <c r="H659" s="389"/>
      <c r="I659" s="390"/>
      <c r="J659" s="389"/>
      <c r="K659" s="390"/>
      <c r="L659" s="390"/>
      <c r="M659" s="390"/>
      <c r="N659" s="390"/>
      <c r="O659" s="390"/>
      <c r="P659" s="390"/>
      <c r="Q659" s="390"/>
      <c r="R659" s="390"/>
      <c r="S659" s="390"/>
      <c r="T659" s="390"/>
      <c r="U659" s="390"/>
      <c r="V659" s="390"/>
      <c r="W659" s="390"/>
      <c r="X659" s="390"/>
      <c r="Y659" s="390"/>
      <c r="Z659" s="390"/>
      <c r="AA659" s="390"/>
    </row>
    <row r="660" ht="14.25" customHeight="1">
      <c r="A660" s="383"/>
      <c r="B660" s="371"/>
      <c r="C660" s="389"/>
      <c r="D660" s="390"/>
      <c r="E660" s="371"/>
      <c r="F660" s="388"/>
      <c r="G660" s="389"/>
      <c r="H660" s="389"/>
      <c r="I660" s="390"/>
      <c r="J660" s="389"/>
      <c r="K660" s="390"/>
      <c r="L660" s="390"/>
      <c r="M660" s="390"/>
      <c r="N660" s="390"/>
      <c r="O660" s="390"/>
      <c r="P660" s="390"/>
      <c r="Q660" s="390"/>
      <c r="R660" s="390"/>
      <c r="S660" s="390"/>
      <c r="T660" s="390"/>
      <c r="U660" s="390"/>
      <c r="V660" s="390"/>
      <c r="W660" s="390"/>
      <c r="X660" s="390"/>
      <c r="Y660" s="390"/>
      <c r="Z660" s="390"/>
      <c r="AA660" s="390"/>
    </row>
    <row r="661" ht="14.25" customHeight="1">
      <c r="A661" s="383"/>
      <c r="B661" s="371"/>
      <c r="C661" s="389"/>
      <c r="D661" s="390"/>
      <c r="E661" s="371"/>
      <c r="F661" s="388"/>
      <c r="G661" s="389"/>
      <c r="H661" s="389"/>
      <c r="I661" s="390"/>
      <c r="J661" s="389"/>
      <c r="K661" s="390"/>
      <c r="L661" s="390"/>
      <c r="M661" s="390"/>
      <c r="N661" s="390"/>
      <c r="O661" s="390"/>
      <c r="P661" s="390"/>
      <c r="Q661" s="390"/>
      <c r="R661" s="390"/>
      <c r="S661" s="390"/>
      <c r="T661" s="390"/>
      <c r="U661" s="390"/>
      <c r="V661" s="390"/>
      <c r="W661" s="390"/>
      <c r="X661" s="390"/>
      <c r="Y661" s="390"/>
      <c r="Z661" s="390"/>
      <c r="AA661" s="390"/>
    </row>
    <row r="662" ht="14.25" customHeight="1">
      <c r="A662" s="383"/>
      <c r="B662" s="371"/>
      <c r="C662" s="389"/>
      <c r="D662" s="390"/>
      <c r="E662" s="371"/>
      <c r="F662" s="388"/>
      <c r="G662" s="389"/>
      <c r="H662" s="389"/>
      <c r="I662" s="390"/>
      <c r="J662" s="389"/>
      <c r="K662" s="390"/>
      <c r="L662" s="390"/>
      <c r="M662" s="390"/>
      <c r="N662" s="390"/>
      <c r="O662" s="390"/>
      <c r="P662" s="390"/>
      <c r="Q662" s="390"/>
      <c r="R662" s="390"/>
      <c r="S662" s="390"/>
      <c r="T662" s="390"/>
      <c r="U662" s="390"/>
      <c r="V662" s="390"/>
      <c r="W662" s="390"/>
      <c r="X662" s="390"/>
      <c r="Y662" s="390"/>
      <c r="Z662" s="390"/>
      <c r="AA662" s="390"/>
    </row>
    <row r="663" ht="14.25" customHeight="1">
      <c r="A663" s="383"/>
      <c r="B663" s="371"/>
      <c r="C663" s="389"/>
      <c r="D663" s="390"/>
      <c r="E663" s="371"/>
      <c r="F663" s="388"/>
      <c r="G663" s="389"/>
      <c r="H663" s="389"/>
      <c r="I663" s="390"/>
      <c r="J663" s="389"/>
      <c r="K663" s="390"/>
      <c r="L663" s="390"/>
      <c r="M663" s="390"/>
      <c r="N663" s="390"/>
      <c r="O663" s="390"/>
      <c r="P663" s="390"/>
      <c r="Q663" s="390"/>
      <c r="R663" s="390"/>
      <c r="S663" s="390"/>
      <c r="T663" s="390"/>
      <c r="U663" s="390"/>
      <c r="V663" s="390"/>
      <c r="W663" s="390"/>
      <c r="X663" s="390"/>
      <c r="Y663" s="390"/>
      <c r="Z663" s="390"/>
      <c r="AA663" s="390"/>
    </row>
    <row r="664" ht="14.25" customHeight="1">
      <c r="A664" s="383"/>
      <c r="B664" s="371"/>
      <c r="C664" s="389"/>
      <c r="D664" s="390"/>
      <c r="E664" s="371"/>
      <c r="F664" s="388"/>
      <c r="G664" s="389"/>
      <c r="H664" s="389"/>
      <c r="I664" s="390"/>
      <c r="J664" s="389"/>
      <c r="K664" s="390"/>
      <c r="L664" s="390"/>
      <c r="M664" s="390"/>
      <c r="N664" s="390"/>
      <c r="O664" s="390"/>
      <c r="P664" s="390"/>
      <c r="Q664" s="390"/>
      <c r="R664" s="390"/>
      <c r="S664" s="390"/>
      <c r="T664" s="390"/>
      <c r="U664" s="390"/>
      <c r="V664" s="390"/>
      <c r="W664" s="390"/>
      <c r="X664" s="390"/>
      <c r="Y664" s="390"/>
      <c r="Z664" s="390"/>
      <c r="AA664" s="390"/>
    </row>
    <row r="665" ht="14.25" customHeight="1">
      <c r="A665" s="383"/>
      <c r="B665" s="371"/>
      <c r="C665" s="389"/>
      <c r="D665" s="390"/>
      <c r="E665" s="371"/>
      <c r="F665" s="388"/>
      <c r="G665" s="389"/>
      <c r="H665" s="389"/>
      <c r="I665" s="390"/>
      <c r="J665" s="389"/>
      <c r="K665" s="390"/>
      <c r="L665" s="390"/>
      <c r="M665" s="390"/>
      <c r="N665" s="390"/>
      <c r="O665" s="390"/>
      <c r="P665" s="390"/>
      <c r="Q665" s="390"/>
      <c r="R665" s="390"/>
      <c r="S665" s="390"/>
      <c r="T665" s="390"/>
      <c r="U665" s="390"/>
      <c r="V665" s="390"/>
      <c r="W665" s="390"/>
      <c r="X665" s="390"/>
      <c r="Y665" s="390"/>
      <c r="Z665" s="390"/>
      <c r="AA665" s="390"/>
    </row>
    <row r="666" ht="14.25" customHeight="1">
      <c r="A666" s="383"/>
      <c r="B666" s="371"/>
      <c r="C666" s="389"/>
      <c r="D666" s="390"/>
      <c r="E666" s="371"/>
      <c r="F666" s="388"/>
      <c r="G666" s="389"/>
      <c r="H666" s="389"/>
      <c r="I666" s="390"/>
      <c r="J666" s="389"/>
      <c r="K666" s="390"/>
      <c r="L666" s="390"/>
      <c r="M666" s="390"/>
      <c r="N666" s="390"/>
      <c r="O666" s="390"/>
      <c r="P666" s="390"/>
      <c r="Q666" s="390"/>
      <c r="R666" s="390"/>
      <c r="S666" s="390"/>
      <c r="T666" s="390"/>
      <c r="U666" s="390"/>
      <c r="V666" s="390"/>
      <c r="W666" s="390"/>
      <c r="X666" s="390"/>
      <c r="Y666" s="390"/>
      <c r="Z666" s="390"/>
      <c r="AA666" s="390"/>
    </row>
    <row r="667" ht="14.25" customHeight="1">
      <c r="A667" s="383"/>
      <c r="B667" s="371"/>
      <c r="C667" s="389"/>
      <c r="D667" s="390"/>
      <c r="E667" s="371"/>
      <c r="F667" s="388"/>
      <c r="G667" s="389"/>
      <c r="H667" s="389"/>
      <c r="I667" s="390"/>
      <c r="J667" s="389"/>
      <c r="K667" s="390"/>
      <c r="L667" s="390"/>
      <c r="M667" s="390"/>
      <c r="N667" s="390"/>
      <c r="O667" s="390"/>
      <c r="P667" s="390"/>
      <c r="Q667" s="390"/>
      <c r="R667" s="390"/>
      <c r="S667" s="390"/>
      <c r="T667" s="390"/>
      <c r="U667" s="390"/>
      <c r="V667" s="390"/>
      <c r="W667" s="390"/>
      <c r="X667" s="390"/>
      <c r="Y667" s="390"/>
      <c r="Z667" s="390"/>
      <c r="AA667" s="390"/>
    </row>
    <row r="668" ht="14.25" customHeight="1">
      <c r="A668" s="383"/>
      <c r="B668" s="371"/>
      <c r="C668" s="389"/>
      <c r="D668" s="390"/>
      <c r="E668" s="371"/>
      <c r="F668" s="388"/>
      <c r="G668" s="389"/>
      <c r="H668" s="389"/>
      <c r="I668" s="390"/>
      <c r="J668" s="389"/>
      <c r="K668" s="390"/>
      <c r="L668" s="390"/>
      <c r="M668" s="390"/>
      <c r="N668" s="390"/>
      <c r="O668" s="390"/>
      <c r="P668" s="390"/>
      <c r="Q668" s="390"/>
      <c r="R668" s="390"/>
      <c r="S668" s="390"/>
      <c r="T668" s="390"/>
      <c r="U668" s="390"/>
      <c r="V668" s="390"/>
      <c r="W668" s="390"/>
      <c r="X668" s="390"/>
      <c r="Y668" s="390"/>
      <c r="Z668" s="390"/>
      <c r="AA668" s="390"/>
    </row>
    <row r="669" ht="14.25" customHeight="1">
      <c r="A669" s="383"/>
      <c r="B669" s="371"/>
      <c r="C669" s="389"/>
      <c r="D669" s="390"/>
      <c r="E669" s="371"/>
      <c r="F669" s="388"/>
      <c r="G669" s="389"/>
      <c r="H669" s="389"/>
      <c r="I669" s="390"/>
      <c r="J669" s="389"/>
      <c r="K669" s="390"/>
      <c r="L669" s="390"/>
      <c r="M669" s="390"/>
      <c r="N669" s="390"/>
      <c r="O669" s="390"/>
      <c r="P669" s="390"/>
      <c r="Q669" s="390"/>
      <c r="R669" s="390"/>
      <c r="S669" s="390"/>
      <c r="T669" s="390"/>
      <c r="U669" s="390"/>
      <c r="V669" s="390"/>
      <c r="W669" s="390"/>
      <c r="X669" s="390"/>
      <c r="Y669" s="390"/>
      <c r="Z669" s="390"/>
      <c r="AA669" s="390"/>
    </row>
    <row r="670" ht="14.25" customHeight="1">
      <c r="A670" s="383"/>
      <c r="B670" s="371"/>
      <c r="C670" s="389"/>
      <c r="D670" s="390"/>
      <c r="E670" s="371"/>
      <c r="F670" s="388"/>
      <c r="G670" s="389"/>
      <c r="H670" s="389"/>
      <c r="I670" s="390"/>
      <c r="J670" s="389"/>
      <c r="K670" s="390"/>
      <c r="L670" s="390"/>
      <c r="M670" s="390"/>
      <c r="N670" s="390"/>
      <c r="O670" s="390"/>
      <c r="P670" s="390"/>
      <c r="Q670" s="390"/>
      <c r="R670" s="390"/>
      <c r="S670" s="390"/>
      <c r="T670" s="390"/>
      <c r="U670" s="390"/>
      <c r="V670" s="390"/>
      <c r="W670" s="390"/>
      <c r="X670" s="390"/>
      <c r="Y670" s="390"/>
      <c r="Z670" s="390"/>
      <c r="AA670" s="390"/>
    </row>
    <row r="671" ht="14.25" customHeight="1">
      <c r="A671" s="383"/>
      <c r="B671" s="371"/>
      <c r="C671" s="389"/>
      <c r="D671" s="390"/>
      <c r="E671" s="371"/>
      <c r="F671" s="388"/>
      <c r="G671" s="389"/>
      <c r="H671" s="389"/>
      <c r="I671" s="390"/>
      <c r="J671" s="389"/>
      <c r="K671" s="390"/>
      <c r="L671" s="390"/>
      <c r="M671" s="390"/>
      <c r="N671" s="390"/>
      <c r="O671" s="390"/>
      <c r="P671" s="390"/>
      <c r="Q671" s="390"/>
      <c r="R671" s="390"/>
      <c r="S671" s="390"/>
      <c r="T671" s="390"/>
      <c r="U671" s="390"/>
      <c r="V671" s="390"/>
      <c r="W671" s="390"/>
      <c r="X671" s="390"/>
      <c r="Y671" s="390"/>
      <c r="Z671" s="390"/>
      <c r="AA671" s="390"/>
    </row>
    <row r="672" ht="14.25" customHeight="1">
      <c r="A672" s="383"/>
      <c r="B672" s="371"/>
      <c r="C672" s="389"/>
      <c r="D672" s="390"/>
      <c r="E672" s="371"/>
      <c r="F672" s="388"/>
      <c r="G672" s="389"/>
      <c r="H672" s="389"/>
      <c r="I672" s="390"/>
      <c r="J672" s="389"/>
      <c r="K672" s="390"/>
      <c r="L672" s="390"/>
      <c r="M672" s="390"/>
      <c r="N672" s="390"/>
      <c r="O672" s="390"/>
      <c r="P672" s="390"/>
      <c r="Q672" s="390"/>
      <c r="R672" s="390"/>
      <c r="S672" s="390"/>
      <c r="T672" s="390"/>
      <c r="U672" s="390"/>
      <c r="V672" s="390"/>
      <c r="W672" s="390"/>
      <c r="X672" s="390"/>
      <c r="Y672" s="390"/>
      <c r="Z672" s="390"/>
      <c r="AA672" s="390"/>
    </row>
    <row r="673" ht="14.25" customHeight="1">
      <c r="A673" s="383"/>
      <c r="B673" s="371"/>
      <c r="C673" s="389"/>
      <c r="D673" s="390"/>
      <c r="E673" s="371"/>
      <c r="F673" s="388"/>
      <c r="G673" s="389"/>
      <c r="H673" s="389"/>
      <c r="I673" s="390"/>
      <c r="J673" s="389"/>
      <c r="K673" s="390"/>
      <c r="L673" s="390"/>
      <c r="M673" s="390"/>
      <c r="N673" s="390"/>
      <c r="O673" s="390"/>
      <c r="P673" s="390"/>
      <c r="Q673" s="390"/>
      <c r="R673" s="390"/>
      <c r="S673" s="390"/>
      <c r="T673" s="390"/>
      <c r="U673" s="390"/>
      <c r="V673" s="390"/>
      <c r="W673" s="390"/>
      <c r="X673" s="390"/>
      <c r="Y673" s="390"/>
      <c r="Z673" s="390"/>
      <c r="AA673" s="390"/>
    </row>
    <row r="674" ht="14.25" customHeight="1">
      <c r="A674" s="383"/>
      <c r="B674" s="371"/>
      <c r="C674" s="389"/>
      <c r="D674" s="390"/>
      <c r="E674" s="371"/>
      <c r="F674" s="388"/>
      <c r="G674" s="389"/>
      <c r="H674" s="389"/>
      <c r="I674" s="390"/>
      <c r="J674" s="389"/>
      <c r="K674" s="390"/>
      <c r="L674" s="390"/>
      <c r="M674" s="390"/>
      <c r="N674" s="390"/>
      <c r="O674" s="390"/>
      <c r="P674" s="390"/>
      <c r="Q674" s="390"/>
      <c r="R674" s="390"/>
      <c r="S674" s="390"/>
      <c r="T674" s="390"/>
      <c r="U674" s="390"/>
      <c r="V674" s="390"/>
      <c r="W674" s="390"/>
      <c r="X674" s="390"/>
      <c r="Y674" s="390"/>
      <c r="Z674" s="390"/>
      <c r="AA674" s="390"/>
    </row>
    <row r="675" ht="14.25" customHeight="1">
      <c r="A675" s="383"/>
      <c r="B675" s="371"/>
      <c r="C675" s="389"/>
      <c r="D675" s="390"/>
      <c r="E675" s="371"/>
      <c r="F675" s="388"/>
      <c r="G675" s="389"/>
      <c r="H675" s="389"/>
      <c r="I675" s="390"/>
      <c r="J675" s="389"/>
      <c r="K675" s="390"/>
      <c r="L675" s="390"/>
      <c r="M675" s="390"/>
      <c r="N675" s="390"/>
      <c r="O675" s="390"/>
      <c r="P675" s="390"/>
      <c r="Q675" s="390"/>
      <c r="R675" s="390"/>
      <c r="S675" s="390"/>
      <c r="T675" s="390"/>
      <c r="U675" s="390"/>
      <c r="V675" s="390"/>
      <c r="W675" s="390"/>
      <c r="X675" s="390"/>
      <c r="Y675" s="390"/>
      <c r="Z675" s="390"/>
      <c r="AA675" s="390"/>
    </row>
    <row r="676" ht="14.25" customHeight="1">
      <c r="A676" s="383"/>
      <c r="B676" s="371"/>
      <c r="C676" s="389"/>
      <c r="D676" s="390"/>
      <c r="E676" s="371"/>
      <c r="F676" s="388"/>
      <c r="G676" s="389"/>
      <c r="H676" s="389"/>
      <c r="I676" s="390"/>
      <c r="J676" s="389"/>
      <c r="K676" s="390"/>
      <c r="L676" s="390"/>
      <c r="M676" s="390"/>
      <c r="N676" s="390"/>
      <c r="O676" s="390"/>
      <c r="P676" s="390"/>
      <c r="Q676" s="390"/>
      <c r="R676" s="390"/>
      <c r="S676" s="390"/>
      <c r="T676" s="390"/>
      <c r="U676" s="390"/>
      <c r="V676" s="390"/>
      <c r="W676" s="390"/>
      <c r="X676" s="390"/>
      <c r="Y676" s="390"/>
      <c r="Z676" s="390"/>
      <c r="AA676" s="390"/>
    </row>
    <row r="677" ht="14.25" customHeight="1">
      <c r="A677" s="383"/>
      <c r="B677" s="371"/>
      <c r="C677" s="389"/>
      <c r="D677" s="390"/>
      <c r="E677" s="371"/>
      <c r="F677" s="388"/>
      <c r="G677" s="389"/>
      <c r="H677" s="389"/>
      <c r="I677" s="390"/>
      <c r="J677" s="389"/>
      <c r="K677" s="390"/>
      <c r="L677" s="390"/>
      <c r="M677" s="390"/>
      <c r="N677" s="390"/>
      <c r="O677" s="390"/>
      <c r="P677" s="390"/>
      <c r="Q677" s="390"/>
      <c r="R677" s="390"/>
      <c r="S677" s="390"/>
      <c r="T677" s="390"/>
      <c r="U677" s="390"/>
      <c r="V677" s="390"/>
      <c r="W677" s="390"/>
      <c r="X677" s="390"/>
      <c r="Y677" s="390"/>
      <c r="Z677" s="390"/>
      <c r="AA677" s="390"/>
    </row>
    <row r="678" ht="14.25" customHeight="1">
      <c r="A678" s="383"/>
      <c r="B678" s="371"/>
      <c r="C678" s="389"/>
      <c r="D678" s="390"/>
      <c r="E678" s="371"/>
      <c r="F678" s="388"/>
      <c r="G678" s="389"/>
      <c r="H678" s="389"/>
      <c r="I678" s="390"/>
      <c r="J678" s="389"/>
      <c r="K678" s="390"/>
      <c r="L678" s="390"/>
      <c r="M678" s="390"/>
      <c r="N678" s="390"/>
      <c r="O678" s="390"/>
      <c r="P678" s="390"/>
      <c r="Q678" s="390"/>
      <c r="R678" s="390"/>
      <c r="S678" s="390"/>
      <c r="T678" s="390"/>
      <c r="U678" s="390"/>
      <c r="V678" s="390"/>
      <c r="W678" s="390"/>
      <c r="X678" s="390"/>
      <c r="Y678" s="390"/>
      <c r="Z678" s="390"/>
      <c r="AA678" s="390"/>
    </row>
    <row r="679" ht="14.25" customHeight="1">
      <c r="A679" s="383"/>
      <c r="B679" s="371"/>
      <c r="C679" s="389"/>
      <c r="D679" s="390"/>
      <c r="E679" s="371"/>
      <c r="F679" s="388"/>
      <c r="G679" s="389"/>
      <c r="H679" s="389"/>
      <c r="I679" s="390"/>
      <c r="J679" s="389"/>
      <c r="K679" s="390"/>
      <c r="L679" s="390"/>
      <c r="M679" s="390"/>
      <c r="N679" s="390"/>
      <c r="O679" s="390"/>
      <c r="P679" s="390"/>
      <c r="Q679" s="390"/>
      <c r="R679" s="390"/>
      <c r="S679" s="390"/>
      <c r="T679" s="390"/>
      <c r="U679" s="390"/>
      <c r="V679" s="390"/>
      <c r="W679" s="390"/>
      <c r="X679" s="390"/>
      <c r="Y679" s="390"/>
      <c r="Z679" s="390"/>
      <c r="AA679" s="390"/>
    </row>
    <row r="680" ht="14.25" customHeight="1">
      <c r="A680" s="383"/>
      <c r="B680" s="371"/>
      <c r="C680" s="389"/>
      <c r="D680" s="390"/>
      <c r="E680" s="371"/>
      <c r="F680" s="388"/>
      <c r="G680" s="389"/>
      <c r="H680" s="389"/>
      <c r="I680" s="390"/>
      <c r="J680" s="389"/>
      <c r="K680" s="390"/>
      <c r="L680" s="390"/>
      <c r="M680" s="390"/>
      <c r="N680" s="390"/>
      <c r="O680" s="390"/>
      <c r="P680" s="390"/>
      <c r="Q680" s="390"/>
      <c r="R680" s="390"/>
      <c r="S680" s="390"/>
      <c r="T680" s="390"/>
      <c r="U680" s="390"/>
      <c r="V680" s="390"/>
      <c r="W680" s="390"/>
      <c r="X680" s="390"/>
      <c r="Y680" s="390"/>
      <c r="Z680" s="390"/>
      <c r="AA680" s="390"/>
    </row>
    <row r="681" ht="14.25" customHeight="1">
      <c r="A681" s="383"/>
      <c r="B681" s="371"/>
      <c r="C681" s="389"/>
      <c r="D681" s="390"/>
      <c r="E681" s="371"/>
      <c r="F681" s="388"/>
      <c r="G681" s="389"/>
      <c r="H681" s="389"/>
      <c r="I681" s="390"/>
      <c r="J681" s="389"/>
      <c r="K681" s="390"/>
      <c r="L681" s="390"/>
      <c r="M681" s="390"/>
      <c r="N681" s="390"/>
      <c r="O681" s="390"/>
      <c r="P681" s="390"/>
      <c r="Q681" s="390"/>
      <c r="R681" s="390"/>
      <c r="S681" s="390"/>
      <c r="T681" s="390"/>
      <c r="U681" s="390"/>
      <c r="V681" s="390"/>
      <c r="W681" s="390"/>
      <c r="X681" s="390"/>
      <c r="Y681" s="390"/>
      <c r="Z681" s="390"/>
      <c r="AA681" s="390"/>
    </row>
    <row r="682" ht="14.25" customHeight="1">
      <c r="A682" s="383"/>
      <c r="B682" s="371"/>
      <c r="C682" s="389"/>
      <c r="D682" s="390"/>
      <c r="E682" s="371"/>
      <c r="F682" s="388"/>
      <c r="G682" s="389"/>
      <c r="H682" s="389"/>
      <c r="I682" s="390"/>
      <c r="J682" s="389"/>
      <c r="K682" s="390"/>
      <c r="L682" s="390"/>
      <c r="M682" s="390"/>
      <c r="N682" s="390"/>
      <c r="O682" s="390"/>
      <c r="P682" s="390"/>
      <c r="Q682" s="390"/>
      <c r="R682" s="390"/>
      <c r="S682" s="390"/>
      <c r="T682" s="390"/>
      <c r="U682" s="390"/>
      <c r="V682" s="390"/>
      <c r="W682" s="390"/>
      <c r="X682" s="390"/>
      <c r="Y682" s="390"/>
      <c r="Z682" s="390"/>
      <c r="AA682" s="390"/>
    </row>
    <row r="683" ht="14.25" customHeight="1">
      <c r="A683" s="383"/>
      <c r="B683" s="371"/>
      <c r="C683" s="389"/>
      <c r="D683" s="390"/>
      <c r="E683" s="371"/>
      <c r="F683" s="388"/>
      <c r="G683" s="389"/>
      <c r="H683" s="389"/>
      <c r="I683" s="390"/>
      <c r="J683" s="389"/>
      <c r="K683" s="390"/>
      <c r="L683" s="390"/>
      <c r="M683" s="390"/>
      <c r="N683" s="390"/>
      <c r="O683" s="390"/>
      <c r="P683" s="390"/>
      <c r="Q683" s="390"/>
      <c r="R683" s="390"/>
      <c r="S683" s="390"/>
      <c r="T683" s="390"/>
      <c r="U683" s="390"/>
      <c r="V683" s="390"/>
      <c r="W683" s="390"/>
      <c r="X683" s="390"/>
      <c r="Y683" s="390"/>
      <c r="Z683" s="390"/>
      <c r="AA683" s="390"/>
    </row>
    <row r="684" ht="14.25" customHeight="1">
      <c r="A684" s="383"/>
      <c r="B684" s="371"/>
      <c r="C684" s="389"/>
      <c r="D684" s="390"/>
      <c r="E684" s="371"/>
      <c r="F684" s="388"/>
      <c r="G684" s="389"/>
      <c r="H684" s="389"/>
      <c r="I684" s="390"/>
      <c r="J684" s="389"/>
      <c r="K684" s="390"/>
      <c r="L684" s="390"/>
      <c r="M684" s="390"/>
      <c r="N684" s="390"/>
      <c r="O684" s="390"/>
      <c r="P684" s="390"/>
      <c r="Q684" s="390"/>
      <c r="R684" s="390"/>
      <c r="S684" s="390"/>
      <c r="T684" s="390"/>
      <c r="U684" s="390"/>
      <c r="V684" s="390"/>
      <c r="W684" s="390"/>
      <c r="X684" s="390"/>
      <c r="Y684" s="390"/>
      <c r="Z684" s="390"/>
      <c r="AA684" s="390"/>
    </row>
    <row r="685" ht="14.25" customHeight="1">
      <c r="A685" s="383"/>
      <c r="B685" s="371"/>
      <c r="C685" s="389"/>
      <c r="D685" s="390"/>
      <c r="E685" s="371"/>
      <c r="F685" s="388"/>
      <c r="G685" s="389"/>
      <c r="H685" s="389"/>
      <c r="I685" s="390"/>
      <c r="J685" s="389"/>
      <c r="K685" s="390"/>
      <c r="L685" s="390"/>
      <c r="M685" s="390"/>
      <c r="N685" s="390"/>
      <c r="O685" s="390"/>
      <c r="P685" s="390"/>
      <c r="Q685" s="390"/>
      <c r="R685" s="390"/>
      <c r="S685" s="390"/>
      <c r="T685" s="390"/>
      <c r="U685" s="390"/>
      <c r="V685" s="390"/>
      <c r="W685" s="390"/>
      <c r="X685" s="390"/>
      <c r="Y685" s="390"/>
      <c r="Z685" s="390"/>
      <c r="AA685" s="390"/>
    </row>
    <row r="686" ht="14.25" customHeight="1">
      <c r="A686" s="383"/>
      <c r="B686" s="371"/>
      <c r="C686" s="389"/>
      <c r="D686" s="390"/>
      <c r="E686" s="371"/>
      <c r="F686" s="388"/>
      <c r="G686" s="389"/>
      <c r="H686" s="389"/>
      <c r="I686" s="390"/>
      <c r="J686" s="389"/>
      <c r="K686" s="390"/>
      <c r="L686" s="390"/>
      <c r="M686" s="390"/>
      <c r="N686" s="390"/>
      <c r="O686" s="390"/>
      <c r="P686" s="390"/>
      <c r="Q686" s="390"/>
      <c r="R686" s="390"/>
      <c r="S686" s="390"/>
      <c r="T686" s="390"/>
      <c r="U686" s="390"/>
      <c r="V686" s="390"/>
      <c r="W686" s="390"/>
      <c r="X686" s="390"/>
      <c r="Y686" s="390"/>
      <c r="Z686" s="390"/>
      <c r="AA686" s="390"/>
    </row>
    <row r="687" ht="14.25" customHeight="1">
      <c r="A687" s="383"/>
      <c r="B687" s="371"/>
      <c r="C687" s="389"/>
      <c r="D687" s="390"/>
      <c r="E687" s="371"/>
      <c r="F687" s="388"/>
      <c r="G687" s="389"/>
      <c r="H687" s="389"/>
      <c r="I687" s="390"/>
      <c r="J687" s="389"/>
      <c r="K687" s="390"/>
      <c r="L687" s="390"/>
      <c r="M687" s="390"/>
      <c r="N687" s="390"/>
      <c r="O687" s="390"/>
      <c r="P687" s="390"/>
      <c r="Q687" s="390"/>
      <c r="R687" s="390"/>
      <c r="S687" s="390"/>
      <c r="T687" s="390"/>
      <c r="U687" s="390"/>
      <c r="V687" s="390"/>
      <c r="W687" s="390"/>
      <c r="X687" s="390"/>
      <c r="Y687" s="390"/>
      <c r="Z687" s="390"/>
      <c r="AA687" s="390"/>
    </row>
    <row r="688" ht="14.25" customHeight="1">
      <c r="A688" s="383"/>
      <c r="B688" s="371"/>
      <c r="C688" s="389"/>
      <c r="D688" s="390"/>
      <c r="E688" s="371"/>
      <c r="F688" s="388"/>
      <c r="G688" s="389"/>
      <c r="H688" s="389"/>
      <c r="I688" s="390"/>
      <c r="J688" s="389"/>
      <c r="K688" s="390"/>
      <c r="L688" s="390"/>
      <c r="M688" s="390"/>
      <c r="N688" s="390"/>
      <c r="O688" s="390"/>
      <c r="P688" s="390"/>
      <c r="Q688" s="390"/>
      <c r="R688" s="390"/>
      <c r="S688" s="390"/>
      <c r="T688" s="390"/>
      <c r="U688" s="390"/>
      <c r="V688" s="390"/>
      <c r="W688" s="390"/>
      <c r="X688" s="390"/>
      <c r="Y688" s="390"/>
      <c r="Z688" s="390"/>
      <c r="AA688" s="390"/>
    </row>
    <row r="689" ht="14.25" customHeight="1">
      <c r="A689" s="383"/>
      <c r="B689" s="371"/>
      <c r="C689" s="389"/>
      <c r="D689" s="390"/>
      <c r="E689" s="371"/>
      <c r="F689" s="388"/>
      <c r="G689" s="389"/>
      <c r="H689" s="389"/>
      <c r="I689" s="390"/>
      <c r="J689" s="389"/>
      <c r="K689" s="390"/>
      <c r="L689" s="390"/>
      <c r="M689" s="390"/>
      <c r="N689" s="390"/>
      <c r="O689" s="390"/>
      <c r="P689" s="390"/>
      <c r="Q689" s="390"/>
      <c r="R689" s="390"/>
      <c r="S689" s="390"/>
      <c r="T689" s="390"/>
      <c r="U689" s="390"/>
      <c r="V689" s="390"/>
      <c r="W689" s="390"/>
      <c r="X689" s="390"/>
      <c r="Y689" s="390"/>
      <c r="Z689" s="390"/>
      <c r="AA689" s="390"/>
    </row>
    <row r="690" ht="14.25" customHeight="1">
      <c r="A690" s="383"/>
      <c r="B690" s="371"/>
      <c r="C690" s="389"/>
      <c r="D690" s="390"/>
      <c r="E690" s="371"/>
      <c r="F690" s="388"/>
      <c r="G690" s="389"/>
      <c r="H690" s="389"/>
      <c r="I690" s="390"/>
      <c r="J690" s="389"/>
      <c r="K690" s="390"/>
      <c r="L690" s="390"/>
      <c r="M690" s="390"/>
      <c r="N690" s="390"/>
      <c r="O690" s="390"/>
      <c r="P690" s="390"/>
      <c r="Q690" s="390"/>
      <c r="R690" s="390"/>
      <c r="S690" s="390"/>
      <c r="T690" s="390"/>
      <c r="U690" s="390"/>
      <c r="V690" s="390"/>
      <c r="W690" s="390"/>
      <c r="X690" s="390"/>
      <c r="Y690" s="390"/>
      <c r="Z690" s="390"/>
      <c r="AA690" s="390"/>
    </row>
    <row r="691" ht="14.25" customHeight="1">
      <c r="A691" s="383"/>
      <c r="B691" s="371"/>
      <c r="C691" s="389"/>
      <c r="D691" s="390"/>
      <c r="E691" s="371"/>
      <c r="F691" s="388"/>
      <c r="G691" s="389"/>
      <c r="H691" s="389"/>
      <c r="I691" s="390"/>
      <c r="J691" s="389"/>
      <c r="K691" s="390"/>
      <c r="L691" s="390"/>
      <c r="M691" s="390"/>
      <c r="N691" s="390"/>
      <c r="O691" s="390"/>
      <c r="P691" s="390"/>
      <c r="Q691" s="390"/>
      <c r="R691" s="390"/>
      <c r="S691" s="390"/>
      <c r="T691" s="390"/>
      <c r="U691" s="390"/>
      <c r="V691" s="390"/>
      <c r="W691" s="390"/>
      <c r="X691" s="390"/>
      <c r="Y691" s="390"/>
      <c r="Z691" s="390"/>
      <c r="AA691" s="390"/>
    </row>
    <row r="692" ht="14.25" customHeight="1">
      <c r="A692" s="383"/>
      <c r="B692" s="371"/>
      <c r="C692" s="389"/>
      <c r="D692" s="390"/>
      <c r="E692" s="371"/>
      <c r="F692" s="388"/>
      <c r="G692" s="389"/>
      <c r="H692" s="389"/>
      <c r="I692" s="390"/>
      <c r="J692" s="389"/>
      <c r="K692" s="390"/>
      <c r="L692" s="390"/>
      <c r="M692" s="390"/>
      <c r="N692" s="390"/>
      <c r="O692" s="390"/>
      <c r="P692" s="390"/>
      <c r="Q692" s="390"/>
      <c r="R692" s="390"/>
      <c r="S692" s="390"/>
      <c r="T692" s="390"/>
      <c r="U692" s="390"/>
      <c r="V692" s="390"/>
      <c r="W692" s="390"/>
      <c r="X692" s="390"/>
      <c r="Y692" s="390"/>
      <c r="Z692" s="390"/>
      <c r="AA692" s="390"/>
    </row>
    <row r="693" ht="14.25" customHeight="1">
      <c r="A693" s="383"/>
      <c r="B693" s="371"/>
      <c r="C693" s="389"/>
      <c r="D693" s="390"/>
      <c r="E693" s="371"/>
      <c r="F693" s="388"/>
      <c r="G693" s="389"/>
      <c r="H693" s="389"/>
      <c r="I693" s="390"/>
      <c r="J693" s="389"/>
      <c r="K693" s="390"/>
      <c r="L693" s="390"/>
      <c r="M693" s="390"/>
      <c r="N693" s="390"/>
      <c r="O693" s="390"/>
      <c r="P693" s="390"/>
      <c r="Q693" s="390"/>
      <c r="R693" s="390"/>
      <c r="S693" s="390"/>
      <c r="T693" s="390"/>
      <c r="U693" s="390"/>
      <c r="V693" s="390"/>
      <c r="W693" s="390"/>
      <c r="X693" s="390"/>
      <c r="Y693" s="390"/>
      <c r="Z693" s="390"/>
      <c r="AA693" s="390"/>
    </row>
    <row r="694" ht="14.25" customHeight="1">
      <c r="A694" s="383"/>
      <c r="B694" s="371"/>
      <c r="C694" s="389"/>
      <c r="D694" s="390"/>
      <c r="E694" s="371"/>
      <c r="F694" s="388"/>
      <c r="G694" s="389"/>
      <c r="H694" s="389"/>
      <c r="I694" s="390"/>
      <c r="J694" s="389"/>
      <c r="K694" s="390"/>
      <c r="L694" s="390"/>
      <c r="M694" s="390"/>
      <c r="N694" s="390"/>
      <c r="O694" s="390"/>
      <c r="P694" s="390"/>
      <c r="Q694" s="390"/>
      <c r="R694" s="390"/>
      <c r="S694" s="390"/>
      <c r="T694" s="390"/>
      <c r="U694" s="390"/>
      <c r="V694" s="390"/>
      <c r="W694" s="390"/>
      <c r="X694" s="390"/>
      <c r="Y694" s="390"/>
      <c r="Z694" s="390"/>
      <c r="AA694" s="390"/>
    </row>
    <row r="695" ht="14.25" customHeight="1">
      <c r="A695" s="383"/>
      <c r="B695" s="371"/>
      <c r="C695" s="389"/>
      <c r="D695" s="390"/>
      <c r="E695" s="371"/>
      <c r="F695" s="388"/>
      <c r="G695" s="389"/>
      <c r="H695" s="389"/>
      <c r="I695" s="390"/>
      <c r="J695" s="389"/>
      <c r="K695" s="390"/>
      <c r="L695" s="390"/>
      <c r="M695" s="390"/>
      <c r="N695" s="390"/>
      <c r="O695" s="390"/>
      <c r="P695" s="390"/>
      <c r="Q695" s="390"/>
      <c r="R695" s="390"/>
      <c r="S695" s="390"/>
      <c r="T695" s="390"/>
      <c r="U695" s="390"/>
      <c r="V695" s="390"/>
      <c r="W695" s="390"/>
      <c r="X695" s="390"/>
      <c r="Y695" s="390"/>
      <c r="Z695" s="390"/>
      <c r="AA695" s="390"/>
    </row>
    <row r="696" ht="14.25" customHeight="1">
      <c r="A696" s="383"/>
      <c r="B696" s="371"/>
      <c r="C696" s="389"/>
      <c r="D696" s="390"/>
      <c r="E696" s="371"/>
      <c r="F696" s="388"/>
      <c r="G696" s="389"/>
      <c r="H696" s="389"/>
      <c r="I696" s="390"/>
      <c r="J696" s="389"/>
      <c r="K696" s="390"/>
      <c r="L696" s="390"/>
      <c r="M696" s="390"/>
      <c r="N696" s="390"/>
      <c r="O696" s="390"/>
      <c r="P696" s="390"/>
      <c r="Q696" s="390"/>
      <c r="R696" s="390"/>
      <c r="S696" s="390"/>
      <c r="T696" s="390"/>
      <c r="U696" s="390"/>
      <c r="V696" s="390"/>
      <c r="W696" s="390"/>
      <c r="X696" s="390"/>
      <c r="Y696" s="390"/>
      <c r="Z696" s="390"/>
      <c r="AA696" s="390"/>
    </row>
    <row r="697" ht="14.25" customHeight="1">
      <c r="A697" s="383"/>
      <c r="B697" s="371"/>
      <c r="C697" s="389"/>
      <c r="D697" s="390"/>
      <c r="E697" s="371"/>
      <c r="F697" s="388"/>
      <c r="G697" s="389"/>
      <c r="H697" s="389"/>
      <c r="I697" s="390"/>
      <c r="J697" s="389"/>
      <c r="K697" s="390"/>
      <c r="L697" s="390"/>
      <c r="M697" s="390"/>
      <c r="N697" s="390"/>
      <c r="O697" s="390"/>
      <c r="P697" s="390"/>
      <c r="Q697" s="390"/>
      <c r="R697" s="390"/>
      <c r="S697" s="390"/>
      <c r="T697" s="390"/>
      <c r="U697" s="390"/>
      <c r="V697" s="390"/>
      <c r="W697" s="390"/>
      <c r="X697" s="390"/>
      <c r="Y697" s="390"/>
      <c r="Z697" s="390"/>
      <c r="AA697" s="390"/>
    </row>
    <row r="698" ht="14.25" customHeight="1">
      <c r="A698" s="383"/>
      <c r="B698" s="371"/>
      <c r="C698" s="389"/>
      <c r="D698" s="390"/>
      <c r="E698" s="371"/>
      <c r="F698" s="388"/>
      <c r="G698" s="389"/>
      <c r="H698" s="389"/>
      <c r="I698" s="390"/>
      <c r="J698" s="389"/>
      <c r="K698" s="390"/>
      <c r="L698" s="390"/>
      <c r="M698" s="390"/>
      <c r="N698" s="390"/>
      <c r="O698" s="390"/>
      <c r="P698" s="390"/>
      <c r="Q698" s="390"/>
      <c r="R698" s="390"/>
      <c r="S698" s="390"/>
      <c r="T698" s="390"/>
      <c r="U698" s="390"/>
      <c r="V698" s="390"/>
      <c r="W698" s="390"/>
      <c r="X698" s="390"/>
      <c r="Y698" s="390"/>
      <c r="Z698" s="390"/>
      <c r="AA698" s="390"/>
    </row>
    <row r="699" ht="14.25" customHeight="1">
      <c r="A699" s="383"/>
      <c r="B699" s="371"/>
      <c r="C699" s="389"/>
      <c r="D699" s="390"/>
      <c r="E699" s="371"/>
      <c r="F699" s="388"/>
      <c r="G699" s="389"/>
      <c r="H699" s="389"/>
      <c r="I699" s="390"/>
      <c r="J699" s="389"/>
      <c r="K699" s="390"/>
      <c r="L699" s="390"/>
      <c r="M699" s="390"/>
      <c r="N699" s="390"/>
      <c r="O699" s="390"/>
      <c r="P699" s="390"/>
      <c r="Q699" s="390"/>
      <c r="R699" s="390"/>
      <c r="S699" s="390"/>
      <c r="T699" s="390"/>
      <c r="U699" s="390"/>
      <c r="V699" s="390"/>
      <c r="W699" s="390"/>
      <c r="X699" s="390"/>
      <c r="Y699" s="390"/>
      <c r="Z699" s="390"/>
      <c r="AA699" s="390"/>
    </row>
    <row r="700" ht="14.25" customHeight="1">
      <c r="A700" s="383"/>
      <c r="B700" s="371"/>
      <c r="C700" s="389"/>
      <c r="D700" s="390"/>
      <c r="E700" s="371"/>
      <c r="F700" s="388"/>
      <c r="G700" s="389"/>
      <c r="H700" s="389"/>
      <c r="I700" s="390"/>
      <c r="J700" s="389"/>
      <c r="K700" s="390"/>
      <c r="L700" s="390"/>
      <c r="M700" s="390"/>
      <c r="N700" s="390"/>
      <c r="O700" s="390"/>
      <c r="P700" s="390"/>
      <c r="Q700" s="390"/>
      <c r="R700" s="390"/>
      <c r="S700" s="390"/>
      <c r="T700" s="390"/>
      <c r="U700" s="390"/>
      <c r="V700" s="390"/>
      <c r="W700" s="390"/>
      <c r="X700" s="390"/>
      <c r="Y700" s="390"/>
      <c r="Z700" s="390"/>
      <c r="AA700" s="390"/>
    </row>
    <row r="701" ht="14.25" customHeight="1">
      <c r="A701" s="383"/>
      <c r="B701" s="371"/>
      <c r="C701" s="389"/>
      <c r="D701" s="390"/>
      <c r="E701" s="371"/>
      <c r="F701" s="388"/>
      <c r="G701" s="389"/>
      <c r="H701" s="389"/>
      <c r="I701" s="390"/>
      <c r="J701" s="389"/>
      <c r="K701" s="390"/>
      <c r="L701" s="390"/>
      <c r="M701" s="390"/>
      <c r="N701" s="390"/>
      <c r="O701" s="390"/>
      <c r="P701" s="390"/>
      <c r="Q701" s="390"/>
      <c r="R701" s="390"/>
      <c r="S701" s="390"/>
      <c r="T701" s="390"/>
      <c r="U701" s="390"/>
      <c r="V701" s="390"/>
      <c r="W701" s="390"/>
      <c r="X701" s="390"/>
      <c r="Y701" s="390"/>
      <c r="Z701" s="390"/>
      <c r="AA701" s="390"/>
    </row>
    <row r="702" ht="14.25" customHeight="1">
      <c r="A702" s="383"/>
      <c r="B702" s="371"/>
      <c r="C702" s="389"/>
      <c r="D702" s="390"/>
      <c r="E702" s="371"/>
      <c r="F702" s="388"/>
      <c r="G702" s="389"/>
      <c r="H702" s="389"/>
      <c r="I702" s="390"/>
      <c r="J702" s="389"/>
      <c r="K702" s="390"/>
      <c r="L702" s="390"/>
      <c r="M702" s="390"/>
      <c r="N702" s="390"/>
      <c r="O702" s="390"/>
      <c r="P702" s="390"/>
      <c r="Q702" s="390"/>
      <c r="R702" s="390"/>
      <c r="S702" s="390"/>
      <c r="T702" s="390"/>
      <c r="U702" s="390"/>
      <c r="V702" s="390"/>
      <c r="W702" s="390"/>
      <c r="X702" s="390"/>
      <c r="Y702" s="390"/>
      <c r="Z702" s="390"/>
      <c r="AA702" s="390"/>
    </row>
    <row r="703" ht="14.25" customHeight="1">
      <c r="A703" s="383"/>
      <c r="B703" s="371"/>
      <c r="C703" s="389"/>
      <c r="D703" s="390"/>
      <c r="E703" s="371"/>
      <c r="F703" s="388"/>
      <c r="G703" s="389"/>
      <c r="H703" s="389"/>
      <c r="I703" s="390"/>
      <c r="J703" s="389"/>
      <c r="K703" s="390"/>
      <c r="L703" s="390"/>
      <c r="M703" s="390"/>
      <c r="N703" s="390"/>
      <c r="O703" s="390"/>
      <c r="P703" s="390"/>
      <c r="Q703" s="390"/>
      <c r="R703" s="390"/>
      <c r="S703" s="390"/>
      <c r="T703" s="390"/>
      <c r="U703" s="390"/>
      <c r="V703" s="390"/>
      <c r="W703" s="390"/>
      <c r="X703" s="390"/>
      <c r="Y703" s="390"/>
      <c r="Z703" s="390"/>
      <c r="AA703" s="390"/>
    </row>
    <row r="704" ht="14.25" customHeight="1">
      <c r="A704" s="383"/>
      <c r="B704" s="371"/>
      <c r="C704" s="389"/>
      <c r="D704" s="390"/>
      <c r="E704" s="371"/>
      <c r="F704" s="388"/>
      <c r="G704" s="389"/>
      <c r="H704" s="389"/>
      <c r="I704" s="390"/>
      <c r="J704" s="389"/>
      <c r="K704" s="390"/>
      <c r="L704" s="390"/>
      <c r="M704" s="390"/>
      <c r="N704" s="390"/>
      <c r="O704" s="390"/>
      <c r="P704" s="390"/>
      <c r="Q704" s="390"/>
      <c r="R704" s="390"/>
      <c r="S704" s="390"/>
      <c r="T704" s="390"/>
      <c r="U704" s="390"/>
      <c r="V704" s="390"/>
      <c r="W704" s="390"/>
      <c r="X704" s="390"/>
      <c r="Y704" s="390"/>
      <c r="Z704" s="390"/>
      <c r="AA704" s="390"/>
    </row>
    <row r="705" ht="14.25" customHeight="1">
      <c r="A705" s="383"/>
      <c r="B705" s="371"/>
      <c r="C705" s="389"/>
      <c r="D705" s="390"/>
      <c r="E705" s="371"/>
      <c r="F705" s="388"/>
      <c r="G705" s="389"/>
      <c r="H705" s="389"/>
      <c r="I705" s="390"/>
      <c r="J705" s="389"/>
      <c r="K705" s="390"/>
      <c r="L705" s="390"/>
      <c r="M705" s="390"/>
      <c r="N705" s="390"/>
      <c r="O705" s="390"/>
      <c r="P705" s="390"/>
      <c r="Q705" s="390"/>
      <c r="R705" s="390"/>
      <c r="S705" s="390"/>
      <c r="T705" s="390"/>
      <c r="U705" s="390"/>
      <c r="V705" s="390"/>
      <c r="W705" s="390"/>
      <c r="X705" s="390"/>
      <c r="Y705" s="390"/>
      <c r="Z705" s="390"/>
      <c r="AA705" s="390"/>
    </row>
    <row r="706" ht="14.25" customHeight="1">
      <c r="A706" s="383"/>
      <c r="B706" s="371"/>
      <c r="C706" s="389"/>
      <c r="D706" s="390"/>
      <c r="E706" s="371"/>
      <c r="F706" s="388"/>
      <c r="G706" s="389"/>
      <c r="H706" s="389"/>
      <c r="I706" s="390"/>
      <c r="J706" s="389"/>
      <c r="K706" s="390"/>
      <c r="L706" s="390"/>
      <c r="M706" s="390"/>
      <c r="N706" s="390"/>
      <c r="O706" s="390"/>
      <c r="P706" s="390"/>
      <c r="Q706" s="390"/>
      <c r="R706" s="390"/>
      <c r="S706" s="390"/>
      <c r="T706" s="390"/>
      <c r="U706" s="390"/>
      <c r="V706" s="390"/>
      <c r="W706" s="390"/>
      <c r="X706" s="390"/>
      <c r="Y706" s="390"/>
      <c r="Z706" s="390"/>
      <c r="AA706" s="390"/>
    </row>
    <row r="707" ht="14.25" customHeight="1">
      <c r="A707" s="383"/>
      <c r="B707" s="371"/>
      <c r="C707" s="389"/>
      <c r="D707" s="390"/>
      <c r="E707" s="371"/>
      <c r="F707" s="388"/>
      <c r="G707" s="389"/>
      <c r="H707" s="389"/>
      <c r="I707" s="390"/>
      <c r="J707" s="389"/>
      <c r="K707" s="390"/>
      <c r="L707" s="390"/>
      <c r="M707" s="390"/>
      <c r="N707" s="390"/>
      <c r="O707" s="390"/>
      <c r="P707" s="390"/>
      <c r="Q707" s="390"/>
      <c r="R707" s="390"/>
      <c r="S707" s="390"/>
      <c r="T707" s="390"/>
      <c r="U707" s="390"/>
      <c r="V707" s="390"/>
      <c r="W707" s="390"/>
      <c r="X707" s="390"/>
      <c r="Y707" s="390"/>
      <c r="Z707" s="390"/>
      <c r="AA707" s="390"/>
    </row>
    <row r="708" ht="14.25" customHeight="1">
      <c r="A708" s="383"/>
      <c r="B708" s="371"/>
      <c r="C708" s="389"/>
      <c r="D708" s="390"/>
      <c r="E708" s="371"/>
      <c r="F708" s="388"/>
      <c r="G708" s="389"/>
      <c r="H708" s="389"/>
      <c r="I708" s="390"/>
      <c r="J708" s="389"/>
      <c r="K708" s="390"/>
      <c r="L708" s="390"/>
      <c r="M708" s="390"/>
      <c r="N708" s="390"/>
      <c r="O708" s="390"/>
      <c r="P708" s="390"/>
      <c r="Q708" s="390"/>
      <c r="R708" s="390"/>
      <c r="S708" s="390"/>
      <c r="T708" s="390"/>
      <c r="U708" s="390"/>
      <c r="V708" s="390"/>
      <c r="W708" s="390"/>
      <c r="X708" s="390"/>
      <c r="Y708" s="390"/>
      <c r="Z708" s="390"/>
      <c r="AA708" s="390"/>
    </row>
    <row r="709" ht="14.25" customHeight="1">
      <c r="A709" s="383"/>
      <c r="B709" s="371"/>
      <c r="C709" s="389"/>
      <c r="D709" s="390"/>
      <c r="E709" s="371"/>
      <c r="F709" s="388"/>
      <c r="G709" s="389"/>
      <c r="H709" s="389"/>
      <c r="I709" s="390"/>
      <c r="J709" s="389"/>
      <c r="K709" s="390"/>
      <c r="L709" s="390"/>
      <c r="M709" s="390"/>
      <c r="N709" s="390"/>
      <c r="O709" s="390"/>
      <c r="P709" s="390"/>
      <c r="Q709" s="390"/>
      <c r="R709" s="390"/>
      <c r="S709" s="390"/>
      <c r="T709" s="390"/>
      <c r="U709" s="390"/>
      <c r="V709" s="390"/>
      <c r="W709" s="390"/>
      <c r="X709" s="390"/>
      <c r="Y709" s="390"/>
      <c r="Z709" s="390"/>
      <c r="AA709" s="390"/>
    </row>
    <row r="710" ht="14.25" customHeight="1">
      <c r="A710" s="383"/>
      <c r="B710" s="371"/>
      <c r="C710" s="389"/>
      <c r="D710" s="390"/>
      <c r="E710" s="371"/>
      <c r="F710" s="388"/>
      <c r="G710" s="389"/>
      <c r="H710" s="389"/>
      <c r="I710" s="390"/>
      <c r="J710" s="389"/>
      <c r="K710" s="390"/>
      <c r="L710" s="390"/>
      <c r="M710" s="390"/>
      <c r="N710" s="390"/>
      <c r="O710" s="390"/>
      <c r="P710" s="390"/>
      <c r="Q710" s="390"/>
      <c r="R710" s="390"/>
      <c r="S710" s="390"/>
      <c r="T710" s="390"/>
      <c r="U710" s="390"/>
      <c r="V710" s="390"/>
      <c r="W710" s="390"/>
      <c r="X710" s="390"/>
      <c r="Y710" s="390"/>
      <c r="Z710" s="390"/>
      <c r="AA710" s="390"/>
    </row>
    <row r="711" ht="14.25" customHeight="1">
      <c r="A711" s="383"/>
      <c r="B711" s="371"/>
      <c r="C711" s="389"/>
      <c r="D711" s="390"/>
      <c r="E711" s="371"/>
      <c r="F711" s="388"/>
      <c r="G711" s="389"/>
      <c r="H711" s="389"/>
      <c r="I711" s="390"/>
      <c r="J711" s="389"/>
      <c r="K711" s="390"/>
      <c r="L711" s="390"/>
      <c r="M711" s="390"/>
      <c r="N711" s="390"/>
      <c r="O711" s="390"/>
      <c r="P711" s="390"/>
      <c r="Q711" s="390"/>
      <c r="R711" s="390"/>
      <c r="S711" s="390"/>
      <c r="T711" s="390"/>
      <c r="U711" s="390"/>
      <c r="V711" s="390"/>
      <c r="W711" s="390"/>
      <c r="X711" s="390"/>
      <c r="Y711" s="390"/>
      <c r="Z711" s="390"/>
      <c r="AA711" s="390"/>
    </row>
    <row r="712" ht="14.25" customHeight="1">
      <c r="A712" s="383"/>
      <c r="B712" s="371"/>
      <c r="C712" s="389"/>
      <c r="D712" s="390"/>
      <c r="E712" s="371"/>
      <c r="F712" s="388"/>
      <c r="G712" s="389"/>
      <c r="H712" s="389"/>
      <c r="I712" s="390"/>
      <c r="J712" s="389"/>
      <c r="K712" s="390"/>
      <c r="L712" s="390"/>
      <c r="M712" s="390"/>
      <c r="N712" s="390"/>
      <c r="O712" s="390"/>
      <c r="P712" s="390"/>
      <c r="Q712" s="390"/>
      <c r="R712" s="390"/>
      <c r="S712" s="390"/>
      <c r="T712" s="390"/>
      <c r="U712" s="390"/>
      <c r="V712" s="390"/>
      <c r="W712" s="390"/>
      <c r="X712" s="390"/>
      <c r="Y712" s="390"/>
      <c r="Z712" s="390"/>
      <c r="AA712" s="390"/>
    </row>
    <row r="713" ht="14.25" customHeight="1">
      <c r="A713" s="383"/>
      <c r="B713" s="371"/>
      <c r="C713" s="389"/>
      <c r="D713" s="390"/>
      <c r="E713" s="371"/>
      <c r="F713" s="388"/>
      <c r="G713" s="389"/>
      <c r="H713" s="389"/>
      <c r="I713" s="390"/>
      <c r="J713" s="389"/>
      <c r="K713" s="390"/>
      <c r="L713" s="390"/>
      <c r="M713" s="390"/>
      <c r="N713" s="390"/>
      <c r="O713" s="390"/>
      <c r="P713" s="390"/>
      <c r="Q713" s="390"/>
      <c r="R713" s="390"/>
      <c r="S713" s="390"/>
      <c r="T713" s="390"/>
      <c r="U713" s="390"/>
      <c r="V713" s="390"/>
      <c r="W713" s="390"/>
      <c r="X713" s="390"/>
      <c r="Y713" s="390"/>
      <c r="Z713" s="390"/>
      <c r="AA713" s="390"/>
    </row>
    <row r="714" ht="14.25" customHeight="1">
      <c r="A714" s="383"/>
      <c r="B714" s="371"/>
      <c r="C714" s="389"/>
      <c r="D714" s="390"/>
      <c r="E714" s="371"/>
      <c r="F714" s="388"/>
      <c r="G714" s="389"/>
      <c r="H714" s="389"/>
      <c r="I714" s="390"/>
      <c r="J714" s="389"/>
      <c r="K714" s="390"/>
      <c r="L714" s="390"/>
      <c r="M714" s="390"/>
      <c r="N714" s="390"/>
      <c r="O714" s="390"/>
      <c r="P714" s="390"/>
      <c r="Q714" s="390"/>
      <c r="R714" s="390"/>
      <c r="S714" s="390"/>
      <c r="T714" s="390"/>
      <c r="U714" s="390"/>
      <c r="V714" s="390"/>
      <c r="W714" s="390"/>
      <c r="X714" s="390"/>
      <c r="Y714" s="390"/>
      <c r="Z714" s="390"/>
      <c r="AA714" s="390"/>
    </row>
    <row r="715" ht="14.25" customHeight="1">
      <c r="A715" s="383"/>
      <c r="B715" s="371"/>
      <c r="C715" s="389"/>
      <c r="D715" s="390"/>
      <c r="E715" s="371"/>
      <c r="F715" s="388"/>
      <c r="G715" s="389"/>
      <c r="H715" s="389"/>
      <c r="I715" s="390"/>
      <c r="J715" s="389"/>
      <c r="K715" s="390"/>
      <c r="L715" s="390"/>
      <c r="M715" s="390"/>
      <c r="N715" s="390"/>
      <c r="O715" s="390"/>
      <c r="P715" s="390"/>
      <c r="Q715" s="390"/>
      <c r="R715" s="390"/>
      <c r="S715" s="390"/>
      <c r="T715" s="390"/>
      <c r="U715" s="390"/>
      <c r="V715" s="390"/>
      <c r="W715" s="390"/>
      <c r="X715" s="390"/>
      <c r="Y715" s="390"/>
      <c r="Z715" s="390"/>
      <c r="AA715" s="390"/>
    </row>
    <row r="716" ht="14.25" customHeight="1">
      <c r="A716" s="383"/>
      <c r="B716" s="371"/>
      <c r="C716" s="389"/>
      <c r="D716" s="390"/>
      <c r="E716" s="371"/>
      <c r="F716" s="388"/>
      <c r="G716" s="389"/>
      <c r="H716" s="389"/>
      <c r="I716" s="390"/>
      <c r="J716" s="389"/>
      <c r="K716" s="390"/>
      <c r="L716" s="390"/>
      <c r="M716" s="390"/>
      <c r="N716" s="390"/>
      <c r="O716" s="390"/>
      <c r="P716" s="390"/>
      <c r="Q716" s="390"/>
      <c r="R716" s="390"/>
      <c r="S716" s="390"/>
      <c r="T716" s="390"/>
      <c r="U716" s="390"/>
      <c r="V716" s="390"/>
      <c r="W716" s="390"/>
      <c r="X716" s="390"/>
      <c r="Y716" s="390"/>
      <c r="Z716" s="390"/>
      <c r="AA716" s="390"/>
    </row>
    <row r="717" ht="14.25" customHeight="1">
      <c r="A717" s="383"/>
      <c r="B717" s="371"/>
      <c r="C717" s="389"/>
      <c r="D717" s="390"/>
      <c r="E717" s="371"/>
      <c r="F717" s="388"/>
      <c r="G717" s="389"/>
      <c r="H717" s="389"/>
      <c r="I717" s="390"/>
      <c r="J717" s="389"/>
      <c r="K717" s="390"/>
      <c r="L717" s="390"/>
      <c r="M717" s="390"/>
      <c r="N717" s="390"/>
      <c r="O717" s="390"/>
      <c r="P717" s="390"/>
      <c r="Q717" s="390"/>
      <c r="R717" s="390"/>
      <c r="S717" s="390"/>
      <c r="T717" s="390"/>
      <c r="U717" s="390"/>
      <c r="V717" s="390"/>
      <c r="W717" s="390"/>
      <c r="X717" s="390"/>
      <c r="Y717" s="390"/>
      <c r="Z717" s="390"/>
      <c r="AA717" s="390"/>
    </row>
    <row r="718" ht="14.25" customHeight="1">
      <c r="A718" s="383"/>
      <c r="B718" s="371"/>
      <c r="C718" s="389"/>
      <c r="D718" s="390"/>
      <c r="E718" s="371"/>
      <c r="F718" s="388"/>
      <c r="G718" s="389"/>
      <c r="H718" s="389"/>
      <c r="I718" s="390"/>
      <c r="J718" s="389"/>
      <c r="K718" s="390"/>
      <c r="L718" s="390"/>
      <c r="M718" s="390"/>
      <c r="N718" s="390"/>
      <c r="O718" s="390"/>
      <c r="P718" s="390"/>
      <c r="Q718" s="390"/>
      <c r="R718" s="390"/>
      <c r="S718" s="390"/>
      <c r="T718" s="390"/>
      <c r="U718" s="390"/>
      <c r="V718" s="390"/>
      <c r="W718" s="390"/>
      <c r="X718" s="390"/>
      <c r="Y718" s="390"/>
      <c r="Z718" s="390"/>
      <c r="AA718" s="390"/>
    </row>
    <row r="719" ht="14.25" customHeight="1">
      <c r="A719" s="383"/>
      <c r="B719" s="371"/>
      <c r="C719" s="389"/>
      <c r="D719" s="390"/>
      <c r="E719" s="371"/>
      <c r="F719" s="388"/>
      <c r="G719" s="389"/>
      <c r="H719" s="389"/>
      <c r="I719" s="390"/>
      <c r="J719" s="389"/>
      <c r="K719" s="390"/>
      <c r="L719" s="390"/>
      <c r="M719" s="390"/>
      <c r="N719" s="390"/>
      <c r="O719" s="390"/>
      <c r="P719" s="390"/>
      <c r="Q719" s="390"/>
      <c r="R719" s="390"/>
      <c r="S719" s="390"/>
      <c r="T719" s="390"/>
      <c r="U719" s="390"/>
      <c r="V719" s="390"/>
      <c r="W719" s="390"/>
      <c r="X719" s="390"/>
      <c r="Y719" s="390"/>
      <c r="Z719" s="390"/>
      <c r="AA719" s="390"/>
    </row>
    <row r="720" ht="14.25" customHeight="1">
      <c r="A720" s="383"/>
      <c r="B720" s="371"/>
      <c r="C720" s="389"/>
      <c r="D720" s="390"/>
      <c r="E720" s="371"/>
      <c r="F720" s="388"/>
      <c r="G720" s="389"/>
      <c r="H720" s="389"/>
      <c r="I720" s="390"/>
      <c r="J720" s="389"/>
      <c r="K720" s="390"/>
      <c r="L720" s="390"/>
      <c r="M720" s="390"/>
      <c r="N720" s="390"/>
      <c r="O720" s="390"/>
      <c r="P720" s="390"/>
      <c r="Q720" s="390"/>
      <c r="R720" s="390"/>
      <c r="S720" s="390"/>
      <c r="T720" s="390"/>
      <c r="U720" s="390"/>
      <c r="V720" s="390"/>
      <c r="W720" s="390"/>
      <c r="X720" s="390"/>
      <c r="Y720" s="390"/>
      <c r="Z720" s="390"/>
      <c r="AA720" s="390"/>
    </row>
    <row r="721" ht="14.25" customHeight="1">
      <c r="A721" s="383"/>
      <c r="B721" s="371"/>
      <c r="C721" s="389"/>
      <c r="D721" s="390"/>
      <c r="E721" s="371"/>
      <c r="F721" s="388"/>
      <c r="G721" s="389"/>
      <c r="H721" s="389"/>
      <c r="I721" s="390"/>
      <c r="J721" s="389"/>
      <c r="K721" s="390"/>
      <c r="L721" s="390"/>
      <c r="M721" s="390"/>
      <c r="N721" s="390"/>
      <c r="O721" s="390"/>
      <c r="P721" s="390"/>
      <c r="Q721" s="390"/>
      <c r="R721" s="390"/>
      <c r="S721" s="390"/>
      <c r="T721" s="390"/>
      <c r="U721" s="390"/>
      <c r="V721" s="390"/>
      <c r="W721" s="390"/>
      <c r="X721" s="390"/>
      <c r="Y721" s="390"/>
      <c r="Z721" s="390"/>
      <c r="AA721" s="390"/>
    </row>
  </sheetData>
  <mergeCells count="22">
    <mergeCell ref="B2:B5"/>
    <mergeCell ref="B6:B7"/>
    <mergeCell ref="B8:B61"/>
    <mergeCell ref="B62:B74"/>
    <mergeCell ref="B75:B77"/>
    <mergeCell ref="B78:B81"/>
    <mergeCell ref="B82:B98"/>
    <mergeCell ref="B200:B214"/>
    <mergeCell ref="B215:B230"/>
    <mergeCell ref="E215:E230"/>
    <mergeCell ref="B231:B264"/>
    <mergeCell ref="B265:B311"/>
    <mergeCell ref="B312:B355"/>
    <mergeCell ref="B356:B373"/>
    <mergeCell ref="B374:B389"/>
    <mergeCell ref="B99:B104"/>
    <mergeCell ref="B105:B124"/>
    <mergeCell ref="B125:B127"/>
    <mergeCell ref="B128:B131"/>
    <mergeCell ref="B132:B146"/>
    <mergeCell ref="B147:B155"/>
    <mergeCell ref="B156:B199"/>
  </mergeCells>
  <dataValidations>
    <dataValidation type="list" allowBlank="1" showErrorMessage="1" sqref="I1:I331 I333:I721">
      <formula1>"Pass,Fail,On-hold,NA"</formula1>
    </dataValidation>
    <dataValidation type="list" allowBlank="1" showErrorMessage="1" sqref="K1:K721">
      <formula1>"Yes,No"</formula1>
    </dataValidation>
    <dataValidation type="list" allowBlank="1" showErrorMessage="1" sqref="D1:D721">
      <formula1>"Functional,UI,Smoke,Regression,Integration"</formula1>
    </dataValidation>
  </dataValidation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39.5"/>
    <col customWidth="1" min="2" max="2" width="62.63"/>
  </cols>
  <sheetData>
    <row r="1">
      <c r="A1" s="391" t="s">
        <v>145</v>
      </c>
      <c r="B1" s="392" t="s">
        <v>30</v>
      </c>
    </row>
    <row r="2">
      <c r="A2" s="375" t="s">
        <v>11036</v>
      </c>
      <c r="B2" s="393" t="s">
        <v>11037</v>
      </c>
    </row>
    <row r="3">
      <c r="A3" s="108"/>
      <c r="B3" s="385" t="s">
        <v>11038</v>
      </c>
    </row>
    <row r="4">
      <c r="A4" s="108"/>
      <c r="B4" s="385" t="s">
        <v>11039</v>
      </c>
    </row>
    <row r="5">
      <c r="A5" s="108"/>
      <c r="B5" s="385" t="s">
        <v>11040</v>
      </c>
    </row>
    <row r="6">
      <c r="A6" s="108"/>
      <c r="B6" s="385" t="s">
        <v>11041</v>
      </c>
    </row>
    <row r="7">
      <c r="A7" s="108"/>
      <c r="B7" s="385" t="s">
        <v>11042</v>
      </c>
    </row>
    <row r="8">
      <c r="A8" s="108"/>
      <c r="B8" s="385" t="s">
        <v>11043</v>
      </c>
    </row>
    <row r="9">
      <c r="A9" s="108"/>
      <c r="B9" s="385" t="s">
        <v>11044</v>
      </c>
    </row>
    <row r="10">
      <c r="A10" s="108"/>
      <c r="B10" s="385" t="s">
        <v>11045</v>
      </c>
    </row>
    <row r="11">
      <c r="A11" s="108"/>
      <c r="B11" s="385" t="s">
        <v>11046</v>
      </c>
    </row>
    <row r="12">
      <c r="A12" s="108"/>
      <c r="B12" s="385" t="s">
        <v>11047</v>
      </c>
    </row>
    <row r="13">
      <c r="A13" s="108"/>
      <c r="B13" s="385" t="s">
        <v>11048</v>
      </c>
    </row>
    <row r="14">
      <c r="A14" s="108"/>
      <c r="B14" s="385" t="s">
        <v>11049</v>
      </c>
    </row>
    <row r="15">
      <c r="A15" s="108"/>
      <c r="B15" s="385" t="s">
        <v>11050</v>
      </c>
    </row>
    <row r="16">
      <c r="A16" s="108"/>
      <c r="B16" s="385" t="s">
        <v>11051</v>
      </c>
    </row>
    <row r="17">
      <c r="A17" s="108"/>
      <c r="B17" s="385" t="s">
        <v>11052</v>
      </c>
    </row>
    <row r="18">
      <c r="A18" s="108"/>
      <c r="B18" s="385" t="s">
        <v>11053</v>
      </c>
    </row>
    <row r="19">
      <c r="A19" s="108"/>
      <c r="B19" s="385" t="s">
        <v>11054</v>
      </c>
    </row>
    <row r="20">
      <c r="A20" s="109"/>
      <c r="B20" s="385" t="s">
        <v>11055</v>
      </c>
    </row>
    <row r="21">
      <c r="A21" s="384" t="s">
        <v>11056</v>
      </c>
      <c r="B21" s="385" t="s">
        <v>11057</v>
      </c>
    </row>
    <row r="22">
      <c r="A22" s="108"/>
      <c r="B22" s="385" t="s">
        <v>11058</v>
      </c>
    </row>
    <row r="23">
      <c r="A23" s="109"/>
      <c r="B23" s="385" t="s">
        <v>11059</v>
      </c>
    </row>
    <row r="24">
      <c r="A24" s="384" t="s">
        <v>11060</v>
      </c>
      <c r="B24" s="385" t="s">
        <v>11061</v>
      </c>
    </row>
    <row r="25">
      <c r="A25" s="109"/>
      <c r="B25" s="385" t="s">
        <v>11062</v>
      </c>
    </row>
    <row r="26">
      <c r="A26" s="384" t="s">
        <v>11063</v>
      </c>
      <c r="B26" s="385" t="s">
        <v>11064</v>
      </c>
    </row>
    <row r="27">
      <c r="A27" s="108"/>
      <c r="B27" s="385" t="s">
        <v>11065</v>
      </c>
    </row>
    <row r="28">
      <c r="A28" s="108"/>
      <c r="B28" s="385" t="s">
        <v>11066</v>
      </c>
    </row>
    <row r="29">
      <c r="A29" s="108"/>
      <c r="B29" s="385" t="s">
        <v>11067</v>
      </c>
    </row>
    <row r="30">
      <c r="A30" s="108"/>
      <c r="B30" s="385" t="s">
        <v>11068</v>
      </c>
    </row>
    <row r="31">
      <c r="A31" s="108"/>
      <c r="B31" s="385" t="s">
        <v>11069</v>
      </c>
    </row>
    <row r="32">
      <c r="A32" s="108"/>
      <c r="B32" s="385" t="s">
        <v>11070</v>
      </c>
    </row>
    <row r="33">
      <c r="A33" s="108"/>
      <c r="B33" s="385" t="s">
        <v>11071</v>
      </c>
    </row>
    <row r="34">
      <c r="A34" s="108"/>
      <c r="B34" s="385" t="s">
        <v>11072</v>
      </c>
    </row>
    <row r="35">
      <c r="A35" s="108"/>
      <c r="B35" s="385" t="s">
        <v>11073</v>
      </c>
    </row>
    <row r="36">
      <c r="A36" s="108"/>
      <c r="B36" s="385" t="s">
        <v>11074</v>
      </c>
    </row>
    <row r="37">
      <c r="A37" s="108"/>
      <c r="B37" s="385" t="s">
        <v>11075</v>
      </c>
    </row>
    <row r="38">
      <c r="A38" s="108"/>
      <c r="B38" s="385" t="s">
        <v>11076</v>
      </c>
    </row>
    <row r="39">
      <c r="A39" s="108"/>
      <c r="B39" s="385" t="s">
        <v>11077</v>
      </c>
    </row>
    <row r="40">
      <c r="A40" s="109"/>
      <c r="B40" s="385" t="s">
        <v>11078</v>
      </c>
    </row>
    <row r="41">
      <c r="A41" s="384" t="s">
        <v>11079</v>
      </c>
      <c r="B41" s="385" t="s">
        <v>11080</v>
      </c>
    </row>
    <row r="42">
      <c r="A42" s="108"/>
      <c r="B42" s="385" t="s">
        <v>11081</v>
      </c>
    </row>
    <row r="43">
      <c r="A43" s="108"/>
      <c r="B43" s="385" t="s">
        <v>11082</v>
      </c>
    </row>
    <row r="44">
      <c r="A44" s="108"/>
      <c r="B44" s="385" t="s">
        <v>11083</v>
      </c>
    </row>
    <row r="45">
      <c r="A45" s="108"/>
      <c r="B45" s="385" t="s">
        <v>11084</v>
      </c>
    </row>
    <row r="46">
      <c r="A46" s="108"/>
      <c r="B46" s="385" t="s">
        <v>11085</v>
      </c>
    </row>
    <row r="47">
      <c r="A47" s="108"/>
      <c r="B47" s="385" t="s">
        <v>11086</v>
      </c>
    </row>
    <row r="48">
      <c r="A48" s="108"/>
      <c r="B48" s="385" t="s">
        <v>11087</v>
      </c>
    </row>
    <row r="49">
      <c r="A49" s="108"/>
      <c r="B49" s="385" t="s">
        <v>11088</v>
      </c>
    </row>
    <row r="50">
      <c r="A50" s="108"/>
      <c r="B50" s="385" t="s">
        <v>11089</v>
      </c>
    </row>
    <row r="51">
      <c r="A51" s="108"/>
      <c r="B51" s="385" t="s">
        <v>11090</v>
      </c>
    </row>
    <row r="52">
      <c r="A52" s="108"/>
      <c r="B52" s="385" t="s">
        <v>11091</v>
      </c>
    </row>
    <row r="53">
      <c r="A53" s="108"/>
      <c r="B53" s="385" t="s">
        <v>11092</v>
      </c>
    </row>
    <row r="54">
      <c r="A54" s="108"/>
      <c r="B54" s="385" t="s">
        <v>11093</v>
      </c>
    </row>
    <row r="55">
      <c r="A55" s="108"/>
      <c r="B55" s="385" t="s">
        <v>11094</v>
      </c>
    </row>
    <row r="56">
      <c r="A56" s="108"/>
      <c r="B56" s="385" t="s">
        <v>11095</v>
      </c>
    </row>
    <row r="57">
      <c r="A57" s="108"/>
      <c r="B57" s="385" t="s">
        <v>11096</v>
      </c>
    </row>
    <row r="58">
      <c r="A58" s="109"/>
      <c r="B58" s="385" t="s">
        <v>11097</v>
      </c>
    </row>
    <row r="59">
      <c r="A59" s="384" t="s">
        <v>11098</v>
      </c>
      <c r="B59" s="385" t="s">
        <v>11099</v>
      </c>
    </row>
    <row r="60">
      <c r="A60" s="108"/>
      <c r="B60" s="385" t="s">
        <v>11100</v>
      </c>
    </row>
    <row r="61">
      <c r="A61" s="108"/>
      <c r="B61" s="385" t="s">
        <v>11101</v>
      </c>
    </row>
    <row r="62">
      <c r="A62" s="109"/>
      <c r="B62" s="385" t="s">
        <v>11102</v>
      </c>
    </row>
    <row r="63">
      <c r="A63" s="384" t="s">
        <v>8677</v>
      </c>
      <c r="B63" s="385" t="s">
        <v>11103</v>
      </c>
    </row>
    <row r="64">
      <c r="A64" s="109"/>
      <c r="B64" s="385" t="s">
        <v>11104</v>
      </c>
    </row>
    <row r="65">
      <c r="A65" s="384" t="s">
        <v>11105</v>
      </c>
      <c r="B65" s="385" t="s">
        <v>11106</v>
      </c>
    </row>
    <row r="66">
      <c r="A66" s="108"/>
      <c r="B66" s="385" t="s">
        <v>11107</v>
      </c>
    </row>
    <row r="67">
      <c r="A67" s="108"/>
      <c r="B67" s="385" t="s">
        <v>9068</v>
      </c>
    </row>
    <row r="68">
      <c r="A68" s="108"/>
      <c r="B68" s="385" t="s">
        <v>11108</v>
      </c>
    </row>
    <row r="69">
      <c r="A69" s="108"/>
      <c r="B69" s="385" t="s">
        <v>11109</v>
      </c>
    </row>
    <row r="70">
      <c r="A70" s="108"/>
      <c r="B70" s="385" t="s">
        <v>11110</v>
      </c>
    </row>
    <row r="71">
      <c r="A71" s="108"/>
      <c r="B71" s="385" t="s">
        <v>11111</v>
      </c>
    </row>
    <row r="72">
      <c r="A72" s="108"/>
      <c r="B72" s="385" t="s">
        <v>11112</v>
      </c>
    </row>
    <row r="73">
      <c r="A73" s="108"/>
      <c r="B73" s="385" t="s">
        <v>11113</v>
      </c>
    </row>
    <row r="74">
      <c r="A74" s="108"/>
      <c r="B74" s="385" t="s">
        <v>11114</v>
      </c>
    </row>
    <row r="75">
      <c r="A75" s="109"/>
      <c r="B75" s="385" t="s">
        <v>11115</v>
      </c>
    </row>
    <row r="76">
      <c r="A76" s="384" t="s">
        <v>11116</v>
      </c>
      <c r="B76" s="385" t="s">
        <v>11037</v>
      </c>
    </row>
    <row r="77">
      <c r="A77" s="108"/>
      <c r="B77" s="385" t="s">
        <v>11038</v>
      </c>
    </row>
    <row r="78">
      <c r="A78" s="108"/>
      <c r="B78" s="385" t="s">
        <v>11043</v>
      </c>
    </row>
    <row r="79">
      <c r="A79" s="108"/>
      <c r="B79" s="385" t="s">
        <v>11044</v>
      </c>
    </row>
    <row r="80">
      <c r="A80" s="109"/>
      <c r="B80" s="385" t="s">
        <v>11117</v>
      </c>
    </row>
    <row r="81">
      <c r="A81" s="384" t="s">
        <v>8548</v>
      </c>
      <c r="B81" s="385" t="s">
        <v>11118</v>
      </c>
    </row>
    <row r="82">
      <c r="A82" s="108"/>
      <c r="B82" s="385" t="s">
        <v>11119</v>
      </c>
    </row>
    <row r="83">
      <c r="A83" s="108"/>
      <c r="B83" s="385" t="s">
        <v>11120</v>
      </c>
    </row>
    <row r="84">
      <c r="A84" s="109"/>
      <c r="B84" s="385" t="s">
        <v>11121</v>
      </c>
    </row>
    <row r="85">
      <c r="A85" s="384" t="s">
        <v>11122</v>
      </c>
      <c r="B85" s="385" t="s">
        <v>11123</v>
      </c>
    </row>
    <row r="86">
      <c r="A86" s="108"/>
      <c r="B86" s="385" t="s">
        <v>11124</v>
      </c>
    </row>
    <row r="87">
      <c r="A87" s="108"/>
      <c r="B87" s="385" t="s">
        <v>11125</v>
      </c>
    </row>
    <row r="88">
      <c r="A88" s="108"/>
      <c r="B88" s="385" t="s">
        <v>11126</v>
      </c>
    </row>
    <row r="89">
      <c r="A89" s="108"/>
      <c r="B89" s="385" t="s">
        <v>11127</v>
      </c>
    </row>
    <row r="90">
      <c r="A90" s="109"/>
      <c r="B90" s="385" t="s">
        <v>11128</v>
      </c>
    </row>
    <row r="91">
      <c r="A91" s="384" t="s">
        <v>11129</v>
      </c>
      <c r="B91" s="385" t="s">
        <v>11130</v>
      </c>
    </row>
    <row r="92">
      <c r="A92" s="109"/>
      <c r="B92" s="385" t="s">
        <v>11131</v>
      </c>
    </row>
    <row r="93">
      <c r="A93" s="384" t="s">
        <v>11132</v>
      </c>
      <c r="B93" s="385" t="s">
        <v>11133</v>
      </c>
    </row>
    <row r="94">
      <c r="A94" s="108"/>
      <c r="B94" s="385" t="s">
        <v>11134</v>
      </c>
    </row>
    <row r="95">
      <c r="A95" s="108"/>
      <c r="B95" s="385" t="s">
        <v>11135</v>
      </c>
    </row>
    <row r="96">
      <c r="A96" s="108"/>
      <c r="B96" s="385" t="s">
        <v>11136</v>
      </c>
    </row>
    <row r="97">
      <c r="A97" s="108"/>
      <c r="B97" s="385" t="s">
        <v>11137</v>
      </c>
    </row>
    <row r="98">
      <c r="A98" s="108"/>
      <c r="B98" s="385" t="s">
        <v>11138</v>
      </c>
    </row>
    <row r="99">
      <c r="A99" s="108"/>
      <c r="B99" s="385" t="s">
        <v>11139</v>
      </c>
    </row>
    <row r="100">
      <c r="A100" s="108"/>
      <c r="B100" s="385" t="s">
        <v>11140</v>
      </c>
    </row>
    <row r="101">
      <c r="A101" s="109"/>
      <c r="B101" s="385" t="s">
        <v>11141</v>
      </c>
    </row>
    <row r="102">
      <c r="A102" s="394" t="s">
        <v>11142</v>
      </c>
      <c r="B102" s="240" t="s">
        <v>11143</v>
      </c>
    </row>
    <row r="103">
      <c r="A103" s="108"/>
      <c r="B103" s="240" t="s">
        <v>11144</v>
      </c>
    </row>
    <row r="104">
      <c r="A104" s="108"/>
      <c r="B104" s="240" t="s">
        <v>11145</v>
      </c>
    </row>
    <row r="105">
      <c r="A105" s="109"/>
      <c r="B105" s="240" t="s">
        <v>11146</v>
      </c>
    </row>
  </sheetData>
  <mergeCells count="14">
    <mergeCell ref="A65:A75"/>
    <mergeCell ref="A76:A80"/>
    <mergeCell ref="A81:A84"/>
    <mergeCell ref="A85:A90"/>
    <mergeCell ref="A91:A92"/>
    <mergeCell ref="A93:A101"/>
    <mergeCell ref="A102:A105"/>
    <mergeCell ref="A2:A20"/>
    <mergeCell ref="A21:A23"/>
    <mergeCell ref="A24:A25"/>
    <mergeCell ref="A26:A40"/>
    <mergeCell ref="A41:A58"/>
    <mergeCell ref="A59:A62"/>
    <mergeCell ref="A63:A64"/>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sheetViews>
  <sheetFormatPr customHeight="1" defaultColWidth="12.63" defaultRowHeight="15.0"/>
  <cols>
    <col customWidth="1" min="1" max="1" width="16.75"/>
    <col customWidth="1" min="2" max="2" width="31.0"/>
    <col customWidth="1" min="3" max="3" width="23.88"/>
    <col customWidth="1" min="4" max="4" width="12.5"/>
    <col customWidth="1" min="5" max="5" width="13.38"/>
    <col customWidth="1" min="6" max="6" width="43.0"/>
    <col customWidth="1" min="7" max="7" width="33.13"/>
    <col customWidth="1" min="8" max="8" width="42.88"/>
    <col customWidth="1" min="9" max="9" width="10.5"/>
    <col customWidth="1" min="10" max="10" width="13.5"/>
    <col customWidth="1" min="11" max="28" width="32.13"/>
  </cols>
  <sheetData>
    <row r="1">
      <c r="A1" s="395" t="s">
        <v>11147</v>
      </c>
      <c r="B1" s="396" t="s">
        <v>269</v>
      </c>
      <c r="C1" s="397" t="s">
        <v>270</v>
      </c>
      <c r="D1" s="398" t="s">
        <v>2082</v>
      </c>
      <c r="E1" s="396" t="s">
        <v>145</v>
      </c>
      <c r="F1" s="397" t="s">
        <v>30</v>
      </c>
      <c r="G1" s="399" t="s">
        <v>11148</v>
      </c>
      <c r="H1" s="397" t="s">
        <v>273</v>
      </c>
      <c r="I1" s="158" t="s">
        <v>1776</v>
      </c>
      <c r="J1" s="396" t="s">
        <v>274</v>
      </c>
      <c r="K1" s="400"/>
      <c r="L1" s="400"/>
      <c r="M1" s="400"/>
      <c r="N1" s="401"/>
      <c r="O1" s="401"/>
      <c r="P1" s="401"/>
      <c r="Q1" s="401"/>
      <c r="R1" s="401"/>
      <c r="S1" s="401"/>
      <c r="T1" s="401"/>
      <c r="U1" s="401"/>
      <c r="V1" s="401"/>
      <c r="W1" s="401"/>
      <c r="X1" s="401"/>
      <c r="Y1" s="400"/>
      <c r="Z1" s="400"/>
      <c r="AA1" s="400"/>
      <c r="AB1" s="400"/>
    </row>
    <row r="2" ht="14.25" customHeight="1">
      <c r="A2" s="275" t="s">
        <v>11149</v>
      </c>
      <c r="B2" s="402" t="s">
        <v>11150</v>
      </c>
      <c r="C2" s="349" t="s">
        <v>11151</v>
      </c>
      <c r="D2" s="349" t="s">
        <v>271</v>
      </c>
      <c r="E2" s="349" t="s">
        <v>11152</v>
      </c>
      <c r="F2" s="311" t="s">
        <v>11153</v>
      </c>
      <c r="G2" s="403"/>
      <c r="H2" s="311" t="s">
        <v>11154</v>
      </c>
      <c r="I2" s="404" t="s">
        <v>36</v>
      </c>
      <c r="J2" s="351"/>
      <c r="K2" s="351"/>
      <c r="L2" s="351"/>
      <c r="M2" s="351"/>
      <c r="N2" s="351"/>
      <c r="O2" s="351"/>
      <c r="P2" s="351"/>
      <c r="Q2" s="351"/>
      <c r="R2" s="351"/>
      <c r="S2" s="351"/>
      <c r="T2" s="351"/>
      <c r="U2" s="351"/>
      <c r="V2" s="351"/>
      <c r="W2" s="351"/>
      <c r="X2" s="351"/>
      <c r="Y2" s="351"/>
      <c r="Z2" s="351"/>
      <c r="AA2" s="351"/>
      <c r="AB2" s="351"/>
    </row>
    <row r="3" ht="14.25" customHeight="1">
      <c r="A3" s="275" t="s">
        <v>11149</v>
      </c>
      <c r="B3" s="108"/>
      <c r="C3" s="349" t="s">
        <v>11155</v>
      </c>
      <c r="D3" s="349" t="s">
        <v>271</v>
      </c>
      <c r="E3" s="349" t="s">
        <v>11152</v>
      </c>
      <c r="F3" s="311" t="s">
        <v>11156</v>
      </c>
      <c r="G3" s="403"/>
      <c r="H3" s="311" t="s">
        <v>11157</v>
      </c>
      <c r="I3" s="404" t="s">
        <v>36</v>
      </c>
      <c r="J3" s="351"/>
      <c r="K3" s="351"/>
      <c r="L3" s="351"/>
      <c r="M3" s="351"/>
      <c r="N3" s="351"/>
      <c r="O3" s="351"/>
      <c r="P3" s="351"/>
      <c r="Q3" s="351"/>
      <c r="R3" s="351"/>
      <c r="S3" s="351"/>
      <c r="T3" s="351"/>
      <c r="U3" s="351"/>
      <c r="V3" s="351"/>
      <c r="W3" s="351"/>
      <c r="X3" s="351"/>
      <c r="Y3" s="351"/>
      <c r="Z3" s="351"/>
      <c r="AA3" s="351"/>
      <c r="AB3" s="351"/>
    </row>
    <row r="4" ht="14.25" customHeight="1">
      <c r="A4" s="275" t="s">
        <v>11149</v>
      </c>
      <c r="B4" s="108"/>
      <c r="C4" s="349" t="s">
        <v>11158</v>
      </c>
      <c r="D4" s="349" t="s">
        <v>271</v>
      </c>
      <c r="E4" s="349" t="s">
        <v>11152</v>
      </c>
      <c r="F4" s="311" t="s">
        <v>11159</v>
      </c>
      <c r="G4" s="403"/>
      <c r="H4" s="311" t="s">
        <v>11160</v>
      </c>
      <c r="I4" s="404" t="s">
        <v>36</v>
      </c>
      <c r="J4" s="351"/>
      <c r="K4" s="351"/>
      <c r="L4" s="351"/>
      <c r="M4" s="351"/>
      <c r="N4" s="351"/>
      <c r="O4" s="351"/>
      <c r="P4" s="351"/>
      <c r="Q4" s="351"/>
      <c r="R4" s="351"/>
      <c r="S4" s="351"/>
      <c r="T4" s="351"/>
      <c r="U4" s="351"/>
      <c r="V4" s="351"/>
      <c r="W4" s="351"/>
      <c r="X4" s="351"/>
      <c r="Y4" s="351"/>
      <c r="Z4" s="351"/>
      <c r="AA4" s="351"/>
      <c r="AB4" s="351"/>
    </row>
    <row r="5" ht="14.25" customHeight="1">
      <c r="A5" s="275" t="s">
        <v>11149</v>
      </c>
      <c r="B5" s="108"/>
      <c r="C5" s="349" t="s">
        <v>11161</v>
      </c>
      <c r="D5" s="349" t="s">
        <v>271</v>
      </c>
      <c r="E5" s="349" t="s">
        <v>11152</v>
      </c>
      <c r="F5" s="311" t="s">
        <v>11162</v>
      </c>
      <c r="G5" s="403"/>
      <c r="H5" s="311" t="s">
        <v>11163</v>
      </c>
      <c r="I5" s="404" t="s">
        <v>36</v>
      </c>
      <c r="J5" s="351"/>
      <c r="K5" s="351"/>
      <c r="L5" s="351"/>
      <c r="M5" s="351"/>
      <c r="N5" s="351"/>
      <c r="O5" s="351"/>
      <c r="P5" s="351"/>
      <c r="Q5" s="351"/>
      <c r="R5" s="351"/>
      <c r="S5" s="351"/>
      <c r="T5" s="351"/>
      <c r="U5" s="351"/>
      <c r="V5" s="351"/>
      <c r="W5" s="351"/>
      <c r="X5" s="351"/>
      <c r="Y5" s="351"/>
      <c r="Z5" s="351"/>
      <c r="AA5" s="351"/>
      <c r="AB5" s="351"/>
    </row>
    <row r="6" ht="14.25" customHeight="1">
      <c r="A6" s="275" t="s">
        <v>11149</v>
      </c>
      <c r="B6" s="108"/>
      <c r="C6" s="349" t="s">
        <v>11164</v>
      </c>
      <c r="D6" s="349" t="s">
        <v>271</v>
      </c>
      <c r="E6" s="349" t="s">
        <v>11152</v>
      </c>
      <c r="F6" s="311" t="s">
        <v>11165</v>
      </c>
      <c r="G6" s="403"/>
      <c r="H6" s="311" t="s">
        <v>11166</v>
      </c>
      <c r="I6" s="404" t="s">
        <v>36</v>
      </c>
      <c r="J6" s="351"/>
      <c r="K6" s="351"/>
      <c r="L6" s="351"/>
      <c r="M6" s="351"/>
      <c r="N6" s="351"/>
      <c r="O6" s="351"/>
      <c r="P6" s="351"/>
      <c r="Q6" s="351"/>
      <c r="R6" s="351"/>
      <c r="S6" s="351"/>
      <c r="T6" s="351"/>
      <c r="U6" s="351"/>
      <c r="V6" s="351"/>
      <c r="W6" s="351"/>
      <c r="X6" s="351"/>
      <c r="Y6" s="351"/>
      <c r="Z6" s="351"/>
      <c r="AA6" s="351"/>
      <c r="AB6" s="351"/>
    </row>
    <row r="7" ht="14.25" customHeight="1">
      <c r="A7" s="275" t="s">
        <v>11149</v>
      </c>
      <c r="B7" s="108"/>
      <c r="C7" s="349" t="s">
        <v>11167</v>
      </c>
      <c r="D7" s="349" t="s">
        <v>271</v>
      </c>
      <c r="E7" s="349" t="s">
        <v>11152</v>
      </c>
      <c r="F7" s="311" t="s">
        <v>11168</v>
      </c>
      <c r="G7" s="403"/>
      <c r="H7" s="311" t="s">
        <v>11169</v>
      </c>
      <c r="I7" s="404" t="s">
        <v>36</v>
      </c>
      <c r="J7" s="351"/>
      <c r="K7" s="351"/>
      <c r="L7" s="351"/>
      <c r="M7" s="351"/>
      <c r="N7" s="351"/>
      <c r="O7" s="351"/>
      <c r="P7" s="351"/>
      <c r="Q7" s="351"/>
      <c r="R7" s="351"/>
      <c r="S7" s="351"/>
      <c r="T7" s="351"/>
      <c r="U7" s="351"/>
      <c r="V7" s="351"/>
      <c r="W7" s="351"/>
      <c r="X7" s="351"/>
      <c r="Y7" s="351"/>
      <c r="Z7" s="351"/>
      <c r="AA7" s="351"/>
      <c r="AB7" s="351"/>
    </row>
    <row r="8" ht="14.25" customHeight="1">
      <c r="A8" s="275" t="s">
        <v>11149</v>
      </c>
      <c r="B8" s="108"/>
      <c r="C8" s="349" t="s">
        <v>11170</v>
      </c>
      <c r="D8" s="349" t="s">
        <v>271</v>
      </c>
      <c r="E8" s="349" t="s">
        <v>11152</v>
      </c>
      <c r="F8" s="311" t="s">
        <v>11171</v>
      </c>
      <c r="G8" s="403"/>
      <c r="H8" s="311" t="s">
        <v>11172</v>
      </c>
      <c r="I8" s="404" t="s">
        <v>36</v>
      </c>
      <c r="J8" s="351"/>
      <c r="K8" s="351"/>
      <c r="L8" s="351"/>
      <c r="M8" s="351"/>
      <c r="N8" s="351"/>
      <c r="O8" s="351"/>
      <c r="P8" s="351"/>
      <c r="Q8" s="351"/>
      <c r="R8" s="351"/>
      <c r="S8" s="351"/>
      <c r="T8" s="351"/>
      <c r="U8" s="351"/>
      <c r="V8" s="351"/>
      <c r="W8" s="351"/>
      <c r="X8" s="351"/>
      <c r="Y8" s="351"/>
      <c r="Z8" s="351"/>
      <c r="AA8" s="351"/>
      <c r="AB8" s="351"/>
    </row>
    <row r="9" ht="14.25" customHeight="1">
      <c r="A9" s="275" t="s">
        <v>11149</v>
      </c>
      <c r="B9" s="108"/>
      <c r="C9" s="349" t="s">
        <v>11173</v>
      </c>
      <c r="D9" s="349" t="s">
        <v>271</v>
      </c>
      <c r="E9" s="349" t="s">
        <v>11152</v>
      </c>
      <c r="F9" s="311" t="s">
        <v>11174</v>
      </c>
      <c r="G9" s="403"/>
      <c r="H9" s="311" t="s">
        <v>11175</v>
      </c>
      <c r="I9" s="404" t="s">
        <v>36</v>
      </c>
      <c r="J9" s="351"/>
      <c r="K9" s="351"/>
      <c r="L9" s="351"/>
      <c r="M9" s="351"/>
      <c r="N9" s="351"/>
      <c r="O9" s="351"/>
      <c r="P9" s="351"/>
      <c r="Q9" s="351"/>
      <c r="R9" s="351"/>
      <c r="S9" s="351"/>
      <c r="T9" s="351"/>
      <c r="U9" s="351"/>
      <c r="V9" s="351"/>
      <c r="W9" s="351"/>
      <c r="X9" s="351"/>
      <c r="Y9" s="351"/>
      <c r="Z9" s="351"/>
      <c r="AA9" s="351"/>
      <c r="AB9" s="351"/>
    </row>
    <row r="10" ht="14.25" customHeight="1">
      <c r="A10" s="275" t="s">
        <v>11149</v>
      </c>
      <c r="B10" s="108"/>
      <c r="C10" s="349" t="s">
        <v>11176</v>
      </c>
      <c r="D10" s="349" t="s">
        <v>271</v>
      </c>
      <c r="E10" s="349" t="s">
        <v>11152</v>
      </c>
      <c r="F10" s="311" t="s">
        <v>11177</v>
      </c>
      <c r="G10" s="403"/>
      <c r="H10" s="311" t="s">
        <v>11178</v>
      </c>
      <c r="I10" s="404" t="s">
        <v>36</v>
      </c>
      <c r="J10" s="351"/>
      <c r="K10" s="351"/>
      <c r="L10" s="351"/>
      <c r="M10" s="351"/>
      <c r="N10" s="351"/>
      <c r="O10" s="351"/>
      <c r="P10" s="351"/>
      <c r="Q10" s="351"/>
      <c r="R10" s="351"/>
      <c r="S10" s="351"/>
      <c r="T10" s="351"/>
      <c r="U10" s="351"/>
      <c r="V10" s="351"/>
      <c r="W10" s="351"/>
      <c r="X10" s="351"/>
      <c r="Y10" s="351"/>
      <c r="Z10" s="351"/>
      <c r="AA10" s="351"/>
      <c r="AB10" s="351"/>
    </row>
    <row r="11" ht="14.25" customHeight="1">
      <c r="A11" s="275" t="s">
        <v>11149</v>
      </c>
      <c r="B11" s="108"/>
      <c r="C11" s="349" t="s">
        <v>11179</v>
      </c>
      <c r="D11" s="349" t="s">
        <v>271</v>
      </c>
      <c r="E11" s="349" t="s">
        <v>11152</v>
      </c>
      <c r="F11" s="311" t="s">
        <v>11180</v>
      </c>
      <c r="G11" s="403"/>
      <c r="H11" s="311" t="s">
        <v>11181</v>
      </c>
      <c r="I11" s="404" t="s">
        <v>36</v>
      </c>
      <c r="J11" s="351"/>
      <c r="K11" s="351"/>
      <c r="L11" s="351"/>
      <c r="M11" s="351"/>
      <c r="N11" s="351"/>
      <c r="O11" s="351"/>
      <c r="P11" s="351"/>
      <c r="Q11" s="351"/>
      <c r="R11" s="351"/>
      <c r="S11" s="351"/>
      <c r="T11" s="351"/>
      <c r="U11" s="351"/>
      <c r="V11" s="351"/>
      <c r="W11" s="351"/>
      <c r="X11" s="351"/>
      <c r="Y11" s="351"/>
      <c r="Z11" s="351"/>
      <c r="AA11" s="351"/>
      <c r="AB11" s="351"/>
    </row>
    <row r="12" ht="14.25" customHeight="1">
      <c r="A12" s="275" t="s">
        <v>11149</v>
      </c>
      <c r="B12" s="109"/>
      <c r="C12" s="349" t="s">
        <v>11182</v>
      </c>
      <c r="D12" s="349" t="s">
        <v>271</v>
      </c>
      <c r="E12" s="349" t="s">
        <v>11152</v>
      </c>
      <c r="F12" s="311" t="s">
        <v>11183</v>
      </c>
      <c r="G12" s="403"/>
      <c r="H12" s="311" t="s">
        <v>11184</v>
      </c>
      <c r="I12" s="404" t="s">
        <v>36</v>
      </c>
      <c r="J12" s="351"/>
      <c r="K12" s="303" t="s">
        <v>1784</v>
      </c>
      <c r="L12" s="351"/>
      <c r="M12" s="351"/>
      <c r="N12" s="351"/>
      <c r="O12" s="351"/>
      <c r="P12" s="351"/>
      <c r="Q12" s="351"/>
      <c r="R12" s="351"/>
      <c r="S12" s="351"/>
      <c r="T12" s="351"/>
      <c r="U12" s="351"/>
      <c r="V12" s="351"/>
      <c r="W12" s="351"/>
      <c r="X12" s="351"/>
      <c r="Y12" s="351"/>
      <c r="Z12" s="351"/>
      <c r="AA12" s="351"/>
      <c r="AB12" s="351"/>
    </row>
    <row r="13" ht="14.25" customHeight="1">
      <c r="A13" s="275" t="s">
        <v>11185</v>
      </c>
      <c r="B13" s="402" t="s">
        <v>11186</v>
      </c>
      <c r="C13" s="303" t="s">
        <v>11187</v>
      </c>
      <c r="D13" s="297" t="s">
        <v>2482</v>
      </c>
      <c r="E13" s="297" t="s">
        <v>11152</v>
      </c>
      <c r="F13" s="296" t="s">
        <v>11188</v>
      </c>
      <c r="G13" s="405"/>
      <c r="H13" s="296" t="s">
        <v>11189</v>
      </c>
      <c r="I13" s="404" t="s">
        <v>36</v>
      </c>
      <c r="J13" s="351"/>
      <c r="K13" s="303" t="s">
        <v>1784</v>
      </c>
      <c r="L13" s="351"/>
      <c r="M13" s="351"/>
      <c r="N13" s="351"/>
      <c r="O13" s="351"/>
      <c r="P13" s="351"/>
      <c r="Q13" s="351"/>
      <c r="R13" s="351"/>
      <c r="S13" s="351"/>
      <c r="T13" s="351"/>
      <c r="U13" s="351"/>
      <c r="V13" s="351"/>
      <c r="W13" s="351"/>
      <c r="X13" s="351"/>
      <c r="Y13" s="351"/>
      <c r="Z13" s="351"/>
      <c r="AA13" s="351"/>
      <c r="AB13" s="351"/>
    </row>
    <row r="14" ht="14.25" customHeight="1">
      <c r="A14" s="275" t="s">
        <v>11185</v>
      </c>
      <c r="B14" s="108"/>
      <c r="C14" s="303" t="s">
        <v>11190</v>
      </c>
      <c r="D14" s="297" t="s">
        <v>2482</v>
      </c>
      <c r="E14" s="297" t="s">
        <v>11152</v>
      </c>
      <c r="F14" s="296" t="s">
        <v>11191</v>
      </c>
      <c r="G14" s="405"/>
      <c r="H14" s="296" t="s">
        <v>11192</v>
      </c>
      <c r="I14" s="404" t="s">
        <v>36</v>
      </c>
      <c r="J14" s="351"/>
      <c r="K14" s="303" t="s">
        <v>1784</v>
      </c>
      <c r="L14" s="351"/>
      <c r="M14" s="351"/>
      <c r="N14" s="351"/>
      <c r="O14" s="351"/>
      <c r="P14" s="351"/>
      <c r="Q14" s="351"/>
      <c r="R14" s="351"/>
      <c r="S14" s="351"/>
      <c r="T14" s="351"/>
      <c r="U14" s="351"/>
      <c r="V14" s="351"/>
      <c r="W14" s="351"/>
      <c r="X14" s="351"/>
      <c r="Y14" s="351"/>
      <c r="Z14" s="351"/>
      <c r="AA14" s="351"/>
      <c r="AB14" s="351"/>
    </row>
    <row r="15" ht="14.25" customHeight="1">
      <c r="A15" s="275" t="s">
        <v>11185</v>
      </c>
      <c r="B15" s="108"/>
      <c r="C15" s="349" t="s">
        <v>11193</v>
      </c>
      <c r="D15" s="349" t="s">
        <v>2482</v>
      </c>
      <c r="E15" s="349" t="s">
        <v>11152</v>
      </c>
      <c r="F15" s="311" t="s">
        <v>11194</v>
      </c>
      <c r="G15" s="403"/>
      <c r="H15" s="311" t="s">
        <v>11192</v>
      </c>
      <c r="I15" s="404" t="s">
        <v>36</v>
      </c>
      <c r="J15" s="351"/>
      <c r="K15" s="303" t="s">
        <v>1784</v>
      </c>
      <c r="L15" s="351"/>
      <c r="M15" s="351"/>
      <c r="N15" s="351"/>
      <c r="O15" s="351"/>
      <c r="P15" s="351"/>
      <c r="Q15" s="351"/>
      <c r="R15" s="351"/>
      <c r="S15" s="351"/>
      <c r="T15" s="351"/>
      <c r="U15" s="351"/>
      <c r="V15" s="351"/>
      <c r="W15" s="351"/>
      <c r="X15" s="351"/>
      <c r="Y15" s="351"/>
      <c r="Z15" s="351"/>
      <c r="AA15" s="351"/>
      <c r="AB15" s="351"/>
    </row>
    <row r="16" ht="14.25" customHeight="1">
      <c r="A16" s="275" t="s">
        <v>11185</v>
      </c>
      <c r="B16" s="109"/>
      <c r="C16" s="349" t="s">
        <v>11195</v>
      </c>
      <c r="D16" s="349" t="s">
        <v>271</v>
      </c>
      <c r="E16" s="349" t="s">
        <v>11152</v>
      </c>
      <c r="F16" s="311" t="s">
        <v>11196</v>
      </c>
      <c r="G16" s="403"/>
      <c r="H16" s="311" t="s">
        <v>11192</v>
      </c>
      <c r="I16" s="404" t="s">
        <v>36</v>
      </c>
      <c r="J16" s="351"/>
      <c r="K16" s="303" t="s">
        <v>2062</v>
      </c>
      <c r="L16" s="351"/>
      <c r="M16" s="351"/>
      <c r="N16" s="351"/>
      <c r="O16" s="351"/>
      <c r="P16" s="351"/>
      <c r="Q16" s="351"/>
      <c r="R16" s="351"/>
      <c r="S16" s="351"/>
      <c r="T16" s="351"/>
      <c r="U16" s="351"/>
      <c r="V16" s="351"/>
      <c r="W16" s="351"/>
      <c r="X16" s="351"/>
      <c r="Y16" s="351"/>
      <c r="Z16" s="351"/>
      <c r="AA16" s="351"/>
      <c r="AB16" s="351"/>
    </row>
    <row r="17" ht="14.25" customHeight="1">
      <c r="A17" s="275" t="s">
        <v>11197</v>
      </c>
      <c r="B17" s="402" t="s">
        <v>11198</v>
      </c>
      <c r="C17" s="349" t="s">
        <v>11199</v>
      </c>
      <c r="D17" s="349" t="s">
        <v>1775</v>
      </c>
      <c r="E17" s="349" t="s">
        <v>11200</v>
      </c>
      <c r="F17" s="311" t="s">
        <v>11201</v>
      </c>
      <c r="G17" s="359"/>
      <c r="H17" s="311" t="s">
        <v>11202</v>
      </c>
      <c r="I17" s="404" t="s">
        <v>36</v>
      </c>
      <c r="J17" s="351"/>
      <c r="K17" s="303" t="s">
        <v>2062</v>
      </c>
      <c r="L17" s="351"/>
      <c r="M17" s="351"/>
      <c r="N17" s="351"/>
      <c r="O17" s="351"/>
      <c r="P17" s="351"/>
      <c r="Q17" s="351"/>
      <c r="R17" s="351"/>
      <c r="S17" s="351"/>
      <c r="T17" s="351"/>
      <c r="U17" s="351"/>
      <c r="V17" s="351"/>
      <c r="W17" s="351"/>
      <c r="X17" s="351"/>
      <c r="Y17" s="351"/>
      <c r="Z17" s="351"/>
      <c r="AA17" s="351"/>
      <c r="AB17" s="351"/>
    </row>
    <row r="18" ht="14.25" customHeight="1">
      <c r="A18" s="275" t="s">
        <v>11197</v>
      </c>
      <c r="B18" s="108"/>
      <c r="C18" s="349" t="s">
        <v>11203</v>
      </c>
      <c r="D18" s="349" t="s">
        <v>1775</v>
      </c>
      <c r="E18" s="349" t="s">
        <v>11200</v>
      </c>
      <c r="F18" s="311" t="s">
        <v>11204</v>
      </c>
      <c r="G18" s="359"/>
      <c r="H18" s="311" t="s">
        <v>11205</v>
      </c>
      <c r="I18" s="404" t="s">
        <v>36</v>
      </c>
      <c r="J18" s="351"/>
      <c r="K18" s="303"/>
      <c r="L18" s="351"/>
      <c r="M18" s="351"/>
      <c r="N18" s="351"/>
      <c r="O18" s="351"/>
      <c r="P18" s="351"/>
      <c r="Q18" s="351"/>
      <c r="R18" s="351"/>
      <c r="S18" s="351"/>
      <c r="T18" s="351"/>
      <c r="U18" s="351"/>
      <c r="V18" s="351"/>
      <c r="W18" s="351"/>
      <c r="X18" s="351"/>
      <c r="Y18" s="351"/>
      <c r="Z18" s="351"/>
      <c r="AA18" s="351"/>
      <c r="AB18" s="351"/>
    </row>
    <row r="19" ht="14.25" customHeight="1">
      <c r="A19" s="275" t="s">
        <v>11197</v>
      </c>
      <c r="B19" s="108"/>
      <c r="C19" s="349" t="s">
        <v>11206</v>
      </c>
      <c r="D19" s="349" t="s">
        <v>1775</v>
      </c>
      <c r="E19" s="349" t="s">
        <v>11200</v>
      </c>
      <c r="F19" s="311" t="s">
        <v>11207</v>
      </c>
      <c r="G19" s="359"/>
      <c r="H19" s="311" t="s">
        <v>11208</v>
      </c>
      <c r="I19" s="404" t="s">
        <v>36</v>
      </c>
      <c r="J19" s="351"/>
      <c r="K19" s="303"/>
      <c r="L19" s="351"/>
      <c r="M19" s="351"/>
      <c r="N19" s="351"/>
      <c r="O19" s="351"/>
      <c r="P19" s="351"/>
      <c r="Q19" s="351"/>
      <c r="R19" s="351"/>
      <c r="S19" s="351"/>
      <c r="T19" s="351"/>
      <c r="U19" s="351"/>
      <c r="V19" s="351"/>
      <c r="W19" s="351"/>
      <c r="X19" s="351"/>
      <c r="Y19" s="351"/>
      <c r="Z19" s="351"/>
      <c r="AA19" s="351"/>
      <c r="AB19" s="351"/>
    </row>
    <row r="20" ht="14.25" customHeight="1">
      <c r="A20" s="275" t="s">
        <v>11197</v>
      </c>
      <c r="B20" s="108"/>
      <c r="C20" s="349" t="s">
        <v>11209</v>
      </c>
      <c r="D20" s="349" t="s">
        <v>1775</v>
      </c>
      <c r="E20" s="349" t="s">
        <v>11200</v>
      </c>
      <c r="F20" s="311" t="s">
        <v>11210</v>
      </c>
      <c r="G20" s="359"/>
      <c r="H20" s="311" t="s">
        <v>11211</v>
      </c>
      <c r="I20" s="404" t="s">
        <v>36</v>
      </c>
      <c r="J20" s="351"/>
      <c r="K20" s="303"/>
      <c r="L20" s="351"/>
      <c r="M20" s="351"/>
      <c r="N20" s="351"/>
      <c r="O20" s="351"/>
      <c r="P20" s="351"/>
      <c r="Q20" s="351"/>
      <c r="R20" s="351"/>
      <c r="S20" s="351"/>
      <c r="T20" s="351"/>
      <c r="U20" s="351"/>
      <c r="V20" s="351"/>
      <c r="W20" s="351"/>
      <c r="X20" s="351"/>
      <c r="Y20" s="351"/>
      <c r="Z20" s="351"/>
      <c r="AA20" s="351"/>
      <c r="AB20" s="351"/>
    </row>
    <row r="21" ht="14.25" customHeight="1">
      <c r="A21" s="275" t="s">
        <v>11197</v>
      </c>
      <c r="B21" s="108"/>
      <c r="C21" s="349" t="s">
        <v>11212</v>
      </c>
      <c r="D21" s="349" t="s">
        <v>1775</v>
      </c>
      <c r="E21" s="349" t="s">
        <v>11200</v>
      </c>
      <c r="F21" s="311" t="s">
        <v>11213</v>
      </c>
      <c r="G21" s="359"/>
      <c r="H21" s="311" t="s">
        <v>11214</v>
      </c>
      <c r="I21" s="404" t="s">
        <v>36</v>
      </c>
      <c r="J21" s="351"/>
      <c r="K21" s="303"/>
      <c r="L21" s="351"/>
      <c r="M21" s="351"/>
      <c r="N21" s="351"/>
      <c r="O21" s="351"/>
      <c r="P21" s="351"/>
      <c r="Q21" s="351"/>
      <c r="R21" s="351"/>
      <c r="S21" s="351"/>
      <c r="T21" s="351"/>
      <c r="U21" s="351"/>
      <c r="V21" s="351"/>
      <c r="W21" s="351"/>
      <c r="X21" s="351"/>
      <c r="Y21" s="351"/>
      <c r="Z21" s="351"/>
      <c r="AA21" s="351"/>
      <c r="AB21" s="351"/>
    </row>
    <row r="22" ht="14.25" customHeight="1">
      <c r="A22" s="275" t="s">
        <v>11197</v>
      </c>
      <c r="B22" s="108"/>
      <c r="C22" s="349" t="s">
        <v>11215</v>
      </c>
      <c r="D22" s="349" t="s">
        <v>1775</v>
      </c>
      <c r="E22" s="349" t="s">
        <v>11200</v>
      </c>
      <c r="F22" s="311" t="s">
        <v>11216</v>
      </c>
      <c r="G22" s="359"/>
      <c r="H22" s="311" t="s">
        <v>11217</v>
      </c>
      <c r="I22" s="404" t="s">
        <v>36</v>
      </c>
      <c r="J22" s="351"/>
      <c r="K22" s="303"/>
      <c r="L22" s="351"/>
      <c r="M22" s="351"/>
      <c r="N22" s="351"/>
      <c r="O22" s="351"/>
      <c r="P22" s="351"/>
      <c r="Q22" s="351"/>
      <c r="R22" s="351"/>
      <c r="S22" s="351"/>
      <c r="T22" s="351"/>
      <c r="U22" s="351"/>
      <c r="V22" s="351"/>
      <c r="W22" s="351"/>
      <c r="X22" s="351"/>
      <c r="Y22" s="351"/>
      <c r="Z22" s="351"/>
      <c r="AA22" s="351"/>
      <c r="AB22" s="351"/>
    </row>
    <row r="23" ht="14.25" customHeight="1">
      <c r="A23" s="275" t="s">
        <v>11197</v>
      </c>
      <c r="B23" s="108"/>
      <c r="C23" s="349" t="s">
        <v>11218</v>
      </c>
      <c r="D23" s="349" t="s">
        <v>1775</v>
      </c>
      <c r="E23" s="349" t="s">
        <v>11200</v>
      </c>
      <c r="F23" s="311" t="s">
        <v>11219</v>
      </c>
      <c r="G23" s="359"/>
      <c r="H23" s="311" t="s">
        <v>11220</v>
      </c>
      <c r="I23" s="404" t="s">
        <v>36</v>
      </c>
      <c r="J23" s="351"/>
      <c r="K23" s="303"/>
      <c r="L23" s="351"/>
      <c r="M23" s="351"/>
      <c r="N23" s="351"/>
      <c r="O23" s="351"/>
      <c r="P23" s="351"/>
      <c r="Q23" s="351"/>
      <c r="R23" s="351"/>
      <c r="S23" s="351"/>
      <c r="T23" s="351"/>
      <c r="U23" s="351"/>
      <c r="V23" s="351"/>
      <c r="W23" s="351"/>
      <c r="X23" s="351"/>
      <c r="Y23" s="351"/>
      <c r="Z23" s="351"/>
      <c r="AA23" s="351"/>
      <c r="AB23" s="351"/>
    </row>
    <row r="24" ht="14.25" customHeight="1">
      <c r="A24" s="275" t="s">
        <v>11197</v>
      </c>
      <c r="B24" s="108"/>
      <c r="C24" s="349" t="s">
        <v>11221</v>
      </c>
      <c r="D24" s="349" t="s">
        <v>1775</v>
      </c>
      <c r="E24" s="349" t="s">
        <v>11200</v>
      </c>
      <c r="F24" s="311" t="s">
        <v>11222</v>
      </c>
      <c r="G24" s="359"/>
      <c r="H24" s="311" t="s">
        <v>11223</v>
      </c>
      <c r="I24" s="404" t="s">
        <v>36</v>
      </c>
      <c r="J24" s="351"/>
      <c r="K24" s="303"/>
      <c r="L24" s="351"/>
      <c r="M24" s="351"/>
      <c r="N24" s="351"/>
      <c r="O24" s="351"/>
      <c r="P24" s="351"/>
      <c r="Q24" s="351"/>
      <c r="R24" s="351"/>
      <c r="S24" s="351"/>
      <c r="T24" s="351"/>
      <c r="U24" s="351"/>
      <c r="V24" s="351"/>
      <c r="W24" s="351"/>
      <c r="X24" s="351"/>
      <c r="Y24" s="351"/>
      <c r="Z24" s="351"/>
      <c r="AA24" s="351"/>
      <c r="AB24" s="351"/>
    </row>
    <row r="25" ht="14.25" customHeight="1">
      <c r="A25" s="275" t="s">
        <v>11197</v>
      </c>
      <c r="B25" s="108"/>
      <c r="C25" s="349" t="s">
        <v>11224</v>
      </c>
      <c r="D25" s="349" t="s">
        <v>1775</v>
      </c>
      <c r="E25" s="349" t="s">
        <v>11200</v>
      </c>
      <c r="F25" s="311" t="s">
        <v>11225</v>
      </c>
      <c r="G25" s="359"/>
      <c r="H25" s="311" t="s">
        <v>11226</v>
      </c>
      <c r="I25" s="404" t="s">
        <v>36</v>
      </c>
      <c r="J25" s="351"/>
      <c r="K25" s="303"/>
      <c r="L25" s="351"/>
      <c r="M25" s="351"/>
      <c r="N25" s="351"/>
      <c r="O25" s="351"/>
      <c r="P25" s="351"/>
      <c r="Q25" s="351"/>
      <c r="R25" s="351"/>
      <c r="S25" s="351"/>
      <c r="T25" s="351"/>
      <c r="U25" s="351"/>
      <c r="V25" s="351"/>
      <c r="W25" s="351"/>
      <c r="X25" s="351"/>
      <c r="Y25" s="351"/>
      <c r="Z25" s="351"/>
      <c r="AA25" s="351"/>
      <c r="AB25" s="351"/>
    </row>
    <row r="26" ht="14.25" customHeight="1">
      <c r="A26" s="275" t="s">
        <v>11197</v>
      </c>
      <c r="B26" s="108"/>
      <c r="C26" s="349" t="s">
        <v>11227</v>
      </c>
      <c r="D26" s="349" t="s">
        <v>1775</v>
      </c>
      <c r="E26" s="349" t="s">
        <v>11200</v>
      </c>
      <c r="F26" s="311" t="s">
        <v>11228</v>
      </c>
      <c r="G26" s="359"/>
      <c r="H26" s="311" t="s">
        <v>11229</v>
      </c>
      <c r="I26" s="404" t="s">
        <v>36</v>
      </c>
      <c r="J26" s="351"/>
      <c r="K26" s="303"/>
      <c r="L26" s="351"/>
      <c r="M26" s="351"/>
      <c r="N26" s="351"/>
      <c r="O26" s="351"/>
      <c r="P26" s="351"/>
      <c r="Q26" s="351"/>
      <c r="R26" s="351"/>
      <c r="S26" s="351"/>
      <c r="T26" s="351"/>
      <c r="U26" s="351"/>
      <c r="V26" s="351"/>
      <c r="W26" s="351"/>
      <c r="X26" s="351"/>
      <c r="Y26" s="351"/>
      <c r="Z26" s="351"/>
      <c r="AA26" s="351"/>
      <c r="AB26" s="351"/>
    </row>
    <row r="27" ht="14.25" customHeight="1">
      <c r="A27" s="275" t="s">
        <v>11197</v>
      </c>
      <c r="B27" s="108"/>
      <c r="C27" s="349" t="s">
        <v>11230</v>
      </c>
      <c r="D27" s="349" t="s">
        <v>1775</v>
      </c>
      <c r="E27" s="349" t="s">
        <v>11200</v>
      </c>
      <c r="F27" s="311" t="s">
        <v>11231</v>
      </c>
      <c r="G27" s="359"/>
      <c r="H27" s="311" t="s">
        <v>11226</v>
      </c>
      <c r="I27" s="404" t="s">
        <v>36</v>
      </c>
      <c r="J27" s="351"/>
      <c r="K27" s="303"/>
      <c r="L27" s="351"/>
      <c r="M27" s="351"/>
      <c r="N27" s="351"/>
      <c r="O27" s="351"/>
      <c r="P27" s="351"/>
      <c r="Q27" s="351"/>
      <c r="R27" s="351"/>
      <c r="S27" s="351"/>
      <c r="T27" s="351"/>
      <c r="U27" s="351"/>
      <c r="V27" s="351"/>
      <c r="W27" s="351"/>
      <c r="X27" s="351"/>
      <c r="Y27" s="351"/>
      <c r="Z27" s="351"/>
      <c r="AA27" s="351"/>
      <c r="AB27" s="351"/>
    </row>
    <row r="28" ht="14.25" customHeight="1">
      <c r="A28" s="275" t="s">
        <v>11197</v>
      </c>
      <c r="B28" s="108"/>
      <c r="C28" s="349" t="s">
        <v>11232</v>
      </c>
      <c r="D28" s="349" t="s">
        <v>1775</v>
      </c>
      <c r="E28" s="349" t="s">
        <v>11200</v>
      </c>
      <c r="F28" s="311" t="s">
        <v>11233</v>
      </c>
      <c r="G28" s="359"/>
      <c r="H28" s="311" t="s">
        <v>11226</v>
      </c>
      <c r="I28" s="404" t="s">
        <v>36</v>
      </c>
      <c r="J28" s="351"/>
      <c r="K28" s="303"/>
      <c r="L28" s="351"/>
      <c r="M28" s="351"/>
      <c r="N28" s="351"/>
      <c r="O28" s="351"/>
      <c r="P28" s="351"/>
      <c r="Q28" s="351"/>
      <c r="R28" s="351"/>
      <c r="S28" s="351"/>
      <c r="T28" s="351"/>
      <c r="U28" s="351"/>
      <c r="V28" s="351"/>
      <c r="W28" s="351"/>
      <c r="X28" s="351"/>
      <c r="Y28" s="351"/>
      <c r="Z28" s="351"/>
      <c r="AA28" s="351"/>
      <c r="AB28" s="351"/>
    </row>
    <row r="29" ht="14.25" customHeight="1">
      <c r="A29" s="275" t="s">
        <v>11197</v>
      </c>
      <c r="B29" s="109"/>
      <c r="C29" s="349" t="s">
        <v>11234</v>
      </c>
      <c r="D29" s="349" t="s">
        <v>1775</v>
      </c>
      <c r="E29" s="349" t="s">
        <v>11200</v>
      </c>
      <c r="F29" s="311" t="s">
        <v>11235</v>
      </c>
      <c r="G29" s="359"/>
      <c r="H29" s="311" t="s">
        <v>11236</v>
      </c>
      <c r="I29" s="404" t="s">
        <v>36</v>
      </c>
      <c r="J29" s="351"/>
      <c r="K29" s="303"/>
      <c r="L29" s="351"/>
      <c r="M29" s="351"/>
      <c r="N29" s="351"/>
      <c r="O29" s="351"/>
      <c r="P29" s="351"/>
      <c r="Q29" s="351"/>
      <c r="R29" s="351"/>
      <c r="S29" s="351"/>
      <c r="T29" s="351"/>
      <c r="U29" s="351"/>
      <c r="V29" s="351"/>
      <c r="W29" s="351"/>
      <c r="X29" s="351"/>
      <c r="Y29" s="351"/>
      <c r="Z29" s="351"/>
      <c r="AA29" s="351"/>
      <c r="AB29" s="351"/>
    </row>
    <row r="30" ht="14.25" customHeight="1">
      <c r="A30" s="275" t="s">
        <v>11237</v>
      </c>
      <c r="B30" s="402" t="s">
        <v>11238</v>
      </c>
      <c r="C30" s="349" t="s">
        <v>11239</v>
      </c>
      <c r="D30" s="349" t="s">
        <v>2482</v>
      </c>
      <c r="E30" s="349" t="s">
        <v>11240</v>
      </c>
      <c r="F30" s="311" t="s">
        <v>11241</v>
      </c>
      <c r="G30" s="403"/>
      <c r="H30" s="311" t="s">
        <v>11242</v>
      </c>
      <c r="I30" s="404" t="s">
        <v>36</v>
      </c>
      <c r="J30" s="351"/>
      <c r="K30" s="351"/>
      <c r="L30" s="351"/>
      <c r="M30" s="351"/>
      <c r="N30" s="351"/>
      <c r="O30" s="351"/>
      <c r="P30" s="351"/>
      <c r="Q30" s="351"/>
      <c r="R30" s="351"/>
      <c r="S30" s="351"/>
      <c r="T30" s="351"/>
      <c r="U30" s="351"/>
      <c r="V30" s="351"/>
      <c r="W30" s="351"/>
      <c r="X30" s="351"/>
      <c r="Y30" s="351"/>
      <c r="Z30" s="351"/>
      <c r="AA30" s="351"/>
      <c r="AB30" s="351"/>
    </row>
    <row r="31" ht="14.25" customHeight="1">
      <c r="A31" s="275" t="s">
        <v>11237</v>
      </c>
      <c r="B31" s="108"/>
      <c r="C31" s="349" t="s">
        <v>11243</v>
      </c>
      <c r="D31" s="349" t="s">
        <v>2482</v>
      </c>
      <c r="E31" s="349" t="s">
        <v>11240</v>
      </c>
      <c r="F31" s="311" t="s">
        <v>11244</v>
      </c>
      <c r="G31" s="403"/>
      <c r="H31" s="311" t="s">
        <v>11245</v>
      </c>
      <c r="I31" s="404" t="s">
        <v>36</v>
      </c>
      <c r="J31" s="351"/>
      <c r="K31" s="351"/>
      <c r="L31" s="351"/>
      <c r="M31" s="351"/>
      <c r="N31" s="351"/>
      <c r="O31" s="351"/>
      <c r="P31" s="351"/>
      <c r="Q31" s="351"/>
      <c r="R31" s="351"/>
      <c r="S31" s="351"/>
      <c r="T31" s="351"/>
      <c r="U31" s="351"/>
      <c r="V31" s="351"/>
      <c r="W31" s="351"/>
      <c r="X31" s="351"/>
      <c r="Y31" s="351"/>
      <c r="Z31" s="351"/>
      <c r="AA31" s="351"/>
      <c r="AB31" s="351"/>
    </row>
    <row r="32" ht="14.25" customHeight="1">
      <c r="A32" s="275" t="s">
        <v>11237</v>
      </c>
      <c r="B32" s="108"/>
      <c r="C32" s="349" t="s">
        <v>11246</v>
      </c>
      <c r="D32" s="349" t="s">
        <v>2482</v>
      </c>
      <c r="E32" s="349" t="s">
        <v>11240</v>
      </c>
      <c r="F32" s="311" t="s">
        <v>11247</v>
      </c>
      <c r="G32" s="403"/>
      <c r="H32" s="311" t="s">
        <v>11242</v>
      </c>
      <c r="I32" s="404" t="s">
        <v>36</v>
      </c>
      <c r="J32" s="351"/>
      <c r="K32" s="351"/>
      <c r="L32" s="351"/>
      <c r="M32" s="351"/>
      <c r="N32" s="351"/>
      <c r="O32" s="351"/>
      <c r="P32" s="351"/>
      <c r="Q32" s="351"/>
      <c r="R32" s="351"/>
      <c r="S32" s="351"/>
      <c r="T32" s="351"/>
      <c r="U32" s="351"/>
      <c r="V32" s="351"/>
      <c r="W32" s="351"/>
      <c r="X32" s="351"/>
      <c r="Y32" s="351"/>
      <c r="Z32" s="351"/>
      <c r="AA32" s="351"/>
      <c r="AB32" s="351"/>
    </row>
    <row r="33" ht="14.25" customHeight="1">
      <c r="A33" s="275" t="s">
        <v>11237</v>
      </c>
      <c r="B33" s="108"/>
      <c r="C33" s="349" t="s">
        <v>11248</v>
      </c>
      <c r="D33" s="349" t="s">
        <v>2482</v>
      </c>
      <c r="E33" s="349" t="s">
        <v>11240</v>
      </c>
      <c r="F33" s="311" t="s">
        <v>11249</v>
      </c>
      <c r="G33" s="403"/>
      <c r="H33" s="311" t="s">
        <v>11250</v>
      </c>
      <c r="I33" s="404" t="s">
        <v>36</v>
      </c>
      <c r="J33" s="351"/>
      <c r="K33" s="351"/>
      <c r="L33" s="351"/>
      <c r="M33" s="351"/>
      <c r="N33" s="351"/>
      <c r="O33" s="351"/>
      <c r="P33" s="351"/>
      <c r="Q33" s="351"/>
      <c r="R33" s="351"/>
      <c r="S33" s="351"/>
      <c r="T33" s="351"/>
      <c r="U33" s="351"/>
      <c r="V33" s="351"/>
      <c r="W33" s="351"/>
      <c r="X33" s="351"/>
      <c r="Y33" s="351"/>
      <c r="Z33" s="351"/>
      <c r="AA33" s="351"/>
      <c r="AB33" s="351"/>
    </row>
    <row r="34" ht="14.25" customHeight="1">
      <c r="A34" s="275" t="s">
        <v>11237</v>
      </c>
      <c r="B34" s="108"/>
      <c r="C34" s="349" t="s">
        <v>11251</v>
      </c>
      <c r="D34" s="349" t="s">
        <v>2482</v>
      </c>
      <c r="E34" s="349" t="s">
        <v>11240</v>
      </c>
      <c r="F34" s="311" t="s">
        <v>11252</v>
      </c>
      <c r="G34" s="403"/>
      <c r="H34" s="311" t="s">
        <v>11242</v>
      </c>
      <c r="I34" s="404" t="s">
        <v>36</v>
      </c>
      <c r="J34" s="351"/>
      <c r="K34" s="351"/>
      <c r="L34" s="351"/>
      <c r="M34" s="351"/>
      <c r="N34" s="351"/>
      <c r="O34" s="351"/>
      <c r="P34" s="351"/>
      <c r="Q34" s="351"/>
      <c r="R34" s="351"/>
      <c r="S34" s="351"/>
      <c r="T34" s="351"/>
      <c r="U34" s="351"/>
      <c r="V34" s="351"/>
      <c r="W34" s="351"/>
      <c r="X34" s="351"/>
      <c r="Y34" s="351"/>
      <c r="Z34" s="351"/>
      <c r="AA34" s="351"/>
      <c r="AB34" s="351"/>
    </row>
    <row r="35" ht="14.25" customHeight="1">
      <c r="A35" s="275" t="s">
        <v>11237</v>
      </c>
      <c r="B35" s="108"/>
      <c r="C35" s="349" t="s">
        <v>11253</v>
      </c>
      <c r="D35" s="349" t="s">
        <v>2482</v>
      </c>
      <c r="E35" s="349" t="s">
        <v>11240</v>
      </c>
      <c r="F35" s="311" t="s">
        <v>11254</v>
      </c>
      <c r="G35" s="403"/>
      <c r="H35" s="311" t="s">
        <v>11255</v>
      </c>
      <c r="I35" s="404" t="s">
        <v>36</v>
      </c>
      <c r="J35" s="351"/>
      <c r="K35" s="351"/>
      <c r="L35" s="351"/>
      <c r="M35" s="351"/>
      <c r="N35" s="351"/>
      <c r="O35" s="351"/>
      <c r="P35" s="351"/>
      <c r="Q35" s="351"/>
      <c r="R35" s="351"/>
      <c r="S35" s="351"/>
      <c r="T35" s="351"/>
      <c r="U35" s="351"/>
      <c r="V35" s="351"/>
      <c r="W35" s="351"/>
      <c r="X35" s="351"/>
      <c r="Y35" s="351"/>
      <c r="Z35" s="351"/>
      <c r="AA35" s="351"/>
      <c r="AB35" s="351"/>
    </row>
    <row r="36" ht="14.25" customHeight="1">
      <c r="A36" s="275" t="s">
        <v>11237</v>
      </c>
      <c r="B36" s="108"/>
      <c r="C36" s="349" t="s">
        <v>11256</v>
      </c>
      <c r="D36" s="349" t="s">
        <v>2482</v>
      </c>
      <c r="E36" s="349" t="s">
        <v>11240</v>
      </c>
      <c r="F36" s="311" t="s">
        <v>11257</v>
      </c>
      <c r="G36" s="403"/>
      <c r="H36" s="311" t="s">
        <v>11242</v>
      </c>
      <c r="I36" s="404" t="s">
        <v>36</v>
      </c>
      <c r="J36" s="351"/>
      <c r="K36" s="351"/>
      <c r="L36" s="351"/>
      <c r="M36" s="351"/>
      <c r="N36" s="351"/>
      <c r="O36" s="351"/>
      <c r="P36" s="351"/>
      <c r="Q36" s="351"/>
      <c r="R36" s="351"/>
      <c r="S36" s="351"/>
      <c r="T36" s="351"/>
      <c r="U36" s="351"/>
      <c r="V36" s="351"/>
      <c r="W36" s="351"/>
      <c r="X36" s="351"/>
      <c r="Y36" s="351"/>
      <c r="Z36" s="351"/>
      <c r="AA36" s="351"/>
      <c r="AB36" s="351"/>
    </row>
    <row r="37" ht="14.25" customHeight="1">
      <c r="A37" s="275" t="s">
        <v>11237</v>
      </c>
      <c r="B37" s="108"/>
      <c r="C37" s="349" t="s">
        <v>11258</v>
      </c>
      <c r="D37" s="349" t="s">
        <v>2482</v>
      </c>
      <c r="E37" s="349" t="s">
        <v>11240</v>
      </c>
      <c r="F37" s="311" t="s">
        <v>11259</v>
      </c>
      <c r="G37" s="403"/>
      <c r="H37" s="311" t="s">
        <v>11260</v>
      </c>
      <c r="I37" s="404" t="s">
        <v>36</v>
      </c>
      <c r="J37" s="351"/>
      <c r="K37" s="351"/>
      <c r="L37" s="351"/>
      <c r="M37" s="351"/>
      <c r="N37" s="351"/>
      <c r="O37" s="351"/>
      <c r="P37" s="351"/>
      <c r="Q37" s="351"/>
      <c r="R37" s="351"/>
      <c r="S37" s="351"/>
      <c r="T37" s="351"/>
      <c r="U37" s="351"/>
      <c r="V37" s="351"/>
      <c r="W37" s="351"/>
      <c r="X37" s="351"/>
      <c r="Y37" s="351"/>
      <c r="Z37" s="351"/>
      <c r="AA37" s="351"/>
      <c r="AB37" s="351"/>
    </row>
    <row r="38" ht="14.25" customHeight="1">
      <c r="A38" s="275" t="s">
        <v>11237</v>
      </c>
      <c r="B38" s="108"/>
      <c r="C38" s="349" t="s">
        <v>11261</v>
      </c>
      <c r="D38" s="349" t="s">
        <v>2482</v>
      </c>
      <c r="E38" s="349" t="s">
        <v>11262</v>
      </c>
      <c r="F38" s="311" t="s">
        <v>11263</v>
      </c>
      <c r="G38" s="403"/>
      <c r="H38" s="311" t="s">
        <v>11242</v>
      </c>
      <c r="I38" s="404" t="s">
        <v>36</v>
      </c>
      <c r="J38" s="351"/>
      <c r="K38" s="351"/>
      <c r="L38" s="351"/>
      <c r="M38" s="351"/>
      <c r="N38" s="351"/>
      <c r="O38" s="351"/>
      <c r="P38" s="351"/>
      <c r="Q38" s="351"/>
      <c r="R38" s="351"/>
      <c r="S38" s="351"/>
      <c r="T38" s="351"/>
      <c r="U38" s="351"/>
      <c r="V38" s="351"/>
      <c r="W38" s="351"/>
      <c r="X38" s="351"/>
      <c r="Y38" s="351"/>
      <c r="Z38" s="351"/>
      <c r="AA38" s="351"/>
      <c r="AB38" s="351"/>
    </row>
    <row r="39" ht="14.25" customHeight="1">
      <c r="A39" s="275" t="s">
        <v>11237</v>
      </c>
      <c r="B39" s="108"/>
      <c r="C39" s="349" t="s">
        <v>11264</v>
      </c>
      <c r="D39" s="349" t="s">
        <v>2482</v>
      </c>
      <c r="E39" s="349" t="s">
        <v>11262</v>
      </c>
      <c r="F39" s="311" t="s">
        <v>11265</v>
      </c>
      <c r="G39" s="403"/>
      <c r="H39" s="311" t="s">
        <v>11266</v>
      </c>
      <c r="I39" s="404" t="s">
        <v>36</v>
      </c>
      <c r="J39" s="351"/>
      <c r="K39" s="351"/>
      <c r="L39" s="351"/>
      <c r="M39" s="351"/>
      <c r="N39" s="351"/>
      <c r="O39" s="351"/>
      <c r="P39" s="351"/>
      <c r="Q39" s="351"/>
      <c r="R39" s="351"/>
      <c r="S39" s="351"/>
      <c r="T39" s="351"/>
      <c r="U39" s="351"/>
      <c r="V39" s="351"/>
      <c r="W39" s="351"/>
      <c r="X39" s="351"/>
      <c r="Y39" s="351"/>
      <c r="Z39" s="351"/>
      <c r="AA39" s="351"/>
      <c r="AB39" s="351"/>
    </row>
    <row r="40" ht="14.25" customHeight="1">
      <c r="A40" s="275" t="s">
        <v>11237</v>
      </c>
      <c r="B40" s="108"/>
      <c r="C40" s="349" t="s">
        <v>11267</v>
      </c>
      <c r="D40" s="349" t="s">
        <v>271</v>
      </c>
      <c r="E40" s="349" t="s">
        <v>11262</v>
      </c>
      <c r="F40" s="311" t="s">
        <v>11268</v>
      </c>
      <c r="G40" s="403"/>
      <c r="H40" s="311" t="s">
        <v>11269</v>
      </c>
      <c r="I40" s="404" t="s">
        <v>36</v>
      </c>
      <c r="J40" s="351"/>
      <c r="K40" s="351"/>
      <c r="L40" s="351"/>
      <c r="M40" s="351"/>
      <c r="N40" s="351"/>
      <c r="O40" s="351"/>
      <c r="P40" s="351"/>
      <c r="Q40" s="351"/>
      <c r="R40" s="351"/>
      <c r="S40" s="351"/>
      <c r="T40" s="351"/>
      <c r="U40" s="351"/>
      <c r="V40" s="351"/>
      <c r="W40" s="351"/>
      <c r="X40" s="351"/>
      <c r="Y40" s="351"/>
      <c r="Z40" s="351"/>
      <c r="AA40" s="351"/>
      <c r="AB40" s="351"/>
    </row>
    <row r="41" ht="14.25" customHeight="1">
      <c r="A41" s="275" t="s">
        <v>11237</v>
      </c>
      <c r="B41" s="108"/>
      <c r="C41" s="349" t="s">
        <v>11270</v>
      </c>
      <c r="D41" s="349" t="s">
        <v>271</v>
      </c>
      <c r="E41" s="349" t="s">
        <v>11262</v>
      </c>
      <c r="F41" s="311" t="s">
        <v>11271</v>
      </c>
      <c r="G41" s="403"/>
      <c r="H41" s="311" t="s">
        <v>11272</v>
      </c>
      <c r="I41" s="404" t="s">
        <v>36</v>
      </c>
      <c r="J41" s="351"/>
      <c r="K41" s="351"/>
      <c r="L41" s="351"/>
      <c r="M41" s="351"/>
      <c r="N41" s="351"/>
      <c r="O41" s="351"/>
      <c r="P41" s="351"/>
      <c r="Q41" s="351"/>
      <c r="R41" s="351"/>
      <c r="S41" s="351"/>
      <c r="T41" s="351"/>
      <c r="U41" s="351"/>
      <c r="V41" s="351"/>
      <c r="W41" s="351"/>
      <c r="X41" s="351"/>
      <c r="Y41" s="351"/>
      <c r="Z41" s="351"/>
      <c r="AA41" s="351"/>
      <c r="AB41" s="351"/>
    </row>
    <row r="42" ht="14.25" customHeight="1">
      <c r="A42" s="275" t="s">
        <v>11237</v>
      </c>
      <c r="B42" s="108"/>
      <c r="C42" s="349" t="s">
        <v>11273</v>
      </c>
      <c r="D42" s="349" t="s">
        <v>271</v>
      </c>
      <c r="E42" s="349" t="s">
        <v>11262</v>
      </c>
      <c r="F42" s="311" t="s">
        <v>11274</v>
      </c>
      <c r="G42" s="403"/>
      <c r="H42" s="311" t="s">
        <v>11275</v>
      </c>
      <c r="I42" s="404" t="s">
        <v>36</v>
      </c>
      <c r="J42" s="351"/>
      <c r="K42" s="351"/>
      <c r="L42" s="351"/>
      <c r="M42" s="351"/>
      <c r="N42" s="351"/>
      <c r="O42" s="351"/>
      <c r="P42" s="351"/>
      <c r="Q42" s="351"/>
      <c r="R42" s="351"/>
      <c r="S42" s="351"/>
      <c r="T42" s="351"/>
      <c r="U42" s="351"/>
      <c r="V42" s="351"/>
      <c r="W42" s="351"/>
      <c r="X42" s="351"/>
      <c r="Y42" s="351"/>
      <c r="Z42" s="351"/>
      <c r="AA42" s="351"/>
      <c r="AB42" s="351"/>
    </row>
    <row r="43" ht="14.25" customHeight="1">
      <c r="A43" s="275" t="s">
        <v>11237</v>
      </c>
      <c r="B43" s="108"/>
      <c r="C43" s="349" t="s">
        <v>11276</v>
      </c>
      <c r="D43" s="349" t="s">
        <v>271</v>
      </c>
      <c r="E43" s="349" t="s">
        <v>11262</v>
      </c>
      <c r="F43" s="311" t="s">
        <v>11277</v>
      </c>
      <c r="G43" s="403"/>
      <c r="H43" s="311" t="s">
        <v>11278</v>
      </c>
      <c r="I43" s="404" t="s">
        <v>36</v>
      </c>
      <c r="J43" s="351"/>
      <c r="K43" s="351"/>
      <c r="L43" s="351"/>
      <c r="M43" s="351"/>
      <c r="N43" s="351"/>
      <c r="O43" s="351"/>
      <c r="P43" s="351"/>
      <c r="Q43" s="351"/>
      <c r="R43" s="351"/>
      <c r="S43" s="351"/>
      <c r="T43" s="351"/>
      <c r="U43" s="351"/>
      <c r="V43" s="351"/>
      <c r="W43" s="351"/>
      <c r="X43" s="351"/>
      <c r="Y43" s="351"/>
      <c r="Z43" s="351"/>
      <c r="AA43" s="351"/>
      <c r="AB43" s="351"/>
    </row>
    <row r="44" ht="14.25" customHeight="1">
      <c r="A44" s="275" t="s">
        <v>11237</v>
      </c>
      <c r="B44" s="108"/>
      <c r="C44" s="349" t="s">
        <v>11279</v>
      </c>
      <c r="D44" s="349" t="s">
        <v>271</v>
      </c>
      <c r="E44" s="349" t="s">
        <v>11262</v>
      </c>
      <c r="F44" s="311" t="s">
        <v>11280</v>
      </c>
      <c r="G44" s="403"/>
      <c r="H44" s="311" t="s">
        <v>11281</v>
      </c>
      <c r="I44" s="404" t="s">
        <v>36</v>
      </c>
      <c r="J44" s="351"/>
      <c r="K44" s="351"/>
      <c r="L44" s="351"/>
      <c r="M44" s="351"/>
      <c r="N44" s="351"/>
      <c r="O44" s="351"/>
      <c r="P44" s="351"/>
      <c r="Q44" s="351"/>
      <c r="R44" s="351"/>
      <c r="S44" s="351"/>
      <c r="T44" s="351"/>
      <c r="U44" s="351"/>
      <c r="V44" s="351"/>
      <c r="W44" s="351"/>
      <c r="X44" s="351"/>
      <c r="Y44" s="351"/>
      <c r="Z44" s="351"/>
      <c r="AA44" s="351"/>
      <c r="AB44" s="351"/>
    </row>
    <row r="45" ht="14.25" customHeight="1">
      <c r="A45" s="275" t="s">
        <v>11237</v>
      </c>
      <c r="B45" s="108"/>
      <c r="C45" s="349" t="s">
        <v>11282</v>
      </c>
      <c r="D45" s="349" t="s">
        <v>271</v>
      </c>
      <c r="E45" s="349" t="s">
        <v>11262</v>
      </c>
      <c r="F45" s="311" t="s">
        <v>11283</v>
      </c>
      <c r="G45" s="403"/>
      <c r="H45" s="311" t="s">
        <v>11284</v>
      </c>
      <c r="I45" s="404" t="s">
        <v>36</v>
      </c>
      <c r="J45" s="351"/>
      <c r="K45" s="351"/>
      <c r="L45" s="351"/>
      <c r="M45" s="351"/>
      <c r="N45" s="351"/>
      <c r="O45" s="351"/>
      <c r="P45" s="351"/>
      <c r="Q45" s="351"/>
      <c r="R45" s="351"/>
      <c r="S45" s="351"/>
      <c r="T45" s="351"/>
      <c r="U45" s="351"/>
      <c r="V45" s="351"/>
      <c r="W45" s="351"/>
      <c r="X45" s="351"/>
      <c r="Y45" s="351"/>
      <c r="Z45" s="351"/>
      <c r="AA45" s="351"/>
      <c r="AB45" s="351"/>
    </row>
    <row r="46" ht="14.25" customHeight="1">
      <c r="A46" s="275" t="s">
        <v>11237</v>
      </c>
      <c r="B46" s="109"/>
      <c r="C46" s="349" t="s">
        <v>11285</v>
      </c>
      <c r="D46" s="349" t="s">
        <v>271</v>
      </c>
      <c r="E46" s="349" t="s">
        <v>11262</v>
      </c>
      <c r="F46" s="296" t="s">
        <v>11286</v>
      </c>
      <c r="G46" s="405"/>
      <c r="H46" s="296" t="s">
        <v>11287</v>
      </c>
      <c r="I46" s="404" t="s">
        <v>36</v>
      </c>
      <c r="J46" s="351"/>
      <c r="K46" s="351"/>
      <c r="L46" s="351"/>
      <c r="M46" s="351"/>
      <c r="N46" s="351"/>
      <c r="O46" s="351"/>
      <c r="P46" s="351"/>
      <c r="Q46" s="351"/>
      <c r="R46" s="351"/>
      <c r="S46" s="351"/>
      <c r="T46" s="351"/>
      <c r="U46" s="351"/>
      <c r="V46" s="351"/>
      <c r="W46" s="351"/>
      <c r="X46" s="351"/>
      <c r="Y46" s="351"/>
      <c r="Z46" s="351"/>
      <c r="AA46" s="351"/>
      <c r="AB46" s="351"/>
    </row>
    <row r="47" ht="14.25" customHeight="1">
      <c r="A47" s="275" t="s">
        <v>11288</v>
      </c>
      <c r="B47" s="402" t="s">
        <v>11289</v>
      </c>
      <c r="C47" s="303" t="s">
        <v>11290</v>
      </c>
      <c r="D47" s="297" t="s">
        <v>1775</v>
      </c>
      <c r="E47" s="297" t="s">
        <v>8583</v>
      </c>
      <c r="F47" s="296" t="s">
        <v>11291</v>
      </c>
      <c r="G47" s="405"/>
      <c r="H47" s="296" t="s">
        <v>11292</v>
      </c>
      <c r="I47" s="404" t="s">
        <v>36</v>
      </c>
      <c r="J47" s="351"/>
      <c r="K47" s="351"/>
      <c r="L47" s="351"/>
      <c r="M47" s="351"/>
      <c r="N47" s="351"/>
      <c r="O47" s="351"/>
      <c r="P47" s="351"/>
      <c r="Q47" s="351"/>
      <c r="R47" s="351"/>
      <c r="S47" s="351"/>
      <c r="T47" s="351"/>
      <c r="U47" s="351"/>
      <c r="V47" s="351"/>
      <c r="W47" s="351"/>
      <c r="X47" s="351"/>
      <c r="Y47" s="351"/>
      <c r="Z47" s="351"/>
      <c r="AA47" s="351"/>
      <c r="AB47" s="351"/>
    </row>
    <row r="48" ht="14.25" customHeight="1">
      <c r="A48" s="275" t="s">
        <v>11288</v>
      </c>
      <c r="B48" s="108"/>
      <c r="C48" s="303" t="s">
        <v>11293</v>
      </c>
      <c r="D48" s="297" t="s">
        <v>1775</v>
      </c>
      <c r="E48" s="297" t="s">
        <v>8583</v>
      </c>
      <c r="F48" s="296" t="s">
        <v>11294</v>
      </c>
      <c r="G48" s="405"/>
      <c r="H48" s="296" t="s">
        <v>11295</v>
      </c>
      <c r="I48" s="404" t="s">
        <v>36</v>
      </c>
      <c r="J48" s="351"/>
      <c r="K48" s="351"/>
      <c r="L48" s="351"/>
      <c r="M48" s="351"/>
      <c r="N48" s="351"/>
      <c r="O48" s="351"/>
      <c r="P48" s="351"/>
      <c r="Q48" s="351"/>
      <c r="R48" s="351"/>
      <c r="S48" s="351"/>
      <c r="T48" s="351"/>
      <c r="U48" s="351"/>
      <c r="V48" s="351"/>
      <c r="W48" s="351"/>
      <c r="X48" s="351"/>
      <c r="Y48" s="351"/>
      <c r="Z48" s="351"/>
      <c r="AA48" s="351"/>
      <c r="AB48" s="351"/>
    </row>
    <row r="49" ht="14.25" customHeight="1">
      <c r="A49" s="275" t="s">
        <v>11288</v>
      </c>
      <c r="B49" s="108"/>
      <c r="C49" s="303" t="s">
        <v>11296</v>
      </c>
      <c r="D49" s="297" t="s">
        <v>1775</v>
      </c>
      <c r="E49" s="297" t="s">
        <v>8583</v>
      </c>
      <c r="F49" s="296" t="s">
        <v>11297</v>
      </c>
      <c r="G49" s="405"/>
      <c r="H49" s="296" t="s">
        <v>11298</v>
      </c>
      <c r="I49" s="404" t="s">
        <v>36</v>
      </c>
      <c r="J49" s="351"/>
      <c r="K49" s="351"/>
      <c r="L49" s="351"/>
      <c r="M49" s="351"/>
      <c r="N49" s="351"/>
      <c r="O49" s="351"/>
      <c r="P49" s="351"/>
      <c r="Q49" s="351"/>
      <c r="R49" s="351"/>
      <c r="S49" s="351"/>
      <c r="T49" s="351"/>
      <c r="U49" s="351"/>
      <c r="V49" s="351"/>
      <c r="W49" s="351"/>
      <c r="X49" s="351"/>
      <c r="Y49" s="351"/>
      <c r="Z49" s="351"/>
      <c r="AA49" s="351"/>
      <c r="AB49" s="351"/>
    </row>
    <row r="50" ht="14.25" customHeight="1">
      <c r="A50" s="275" t="s">
        <v>11288</v>
      </c>
      <c r="B50" s="108"/>
      <c r="C50" s="303" t="s">
        <v>11299</v>
      </c>
      <c r="D50" s="297" t="s">
        <v>1775</v>
      </c>
      <c r="E50" s="297" t="s">
        <v>8583</v>
      </c>
      <c r="F50" s="296" t="s">
        <v>11300</v>
      </c>
      <c r="G50" s="405"/>
      <c r="H50" s="296" t="s">
        <v>11301</v>
      </c>
      <c r="I50" s="404" t="s">
        <v>36</v>
      </c>
      <c r="J50" s="351"/>
      <c r="K50" s="351"/>
      <c r="L50" s="351"/>
      <c r="M50" s="351"/>
      <c r="N50" s="351"/>
      <c r="O50" s="351"/>
      <c r="P50" s="351"/>
      <c r="Q50" s="351"/>
      <c r="R50" s="351"/>
      <c r="S50" s="351"/>
      <c r="T50" s="351"/>
      <c r="U50" s="351"/>
      <c r="V50" s="351"/>
      <c r="W50" s="351"/>
      <c r="X50" s="351"/>
      <c r="Y50" s="351"/>
      <c r="Z50" s="351"/>
      <c r="AA50" s="351"/>
      <c r="AB50" s="351"/>
    </row>
    <row r="51" ht="14.25" customHeight="1">
      <c r="A51" s="275" t="s">
        <v>11288</v>
      </c>
      <c r="B51" s="108"/>
      <c r="C51" s="303" t="s">
        <v>11302</v>
      </c>
      <c r="D51" s="297" t="s">
        <v>1775</v>
      </c>
      <c r="E51" s="297" t="s">
        <v>8583</v>
      </c>
      <c r="F51" s="296" t="s">
        <v>11303</v>
      </c>
      <c r="G51" s="405"/>
      <c r="H51" s="296" t="s">
        <v>11304</v>
      </c>
      <c r="I51" s="404" t="s">
        <v>36</v>
      </c>
      <c r="J51" s="351"/>
      <c r="K51" s="351"/>
      <c r="L51" s="351"/>
      <c r="M51" s="351"/>
      <c r="N51" s="351"/>
      <c r="O51" s="351"/>
      <c r="P51" s="351"/>
      <c r="Q51" s="351"/>
      <c r="R51" s="351"/>
      <c r="S51" s="351"/>
      <c r="T51" s="351"/>
      <c r="U51" s="351"/>
      <c r="V51" s="351"/>
      <c r="W51" s="351"/>
      <c r="X51" s="351"/>
      <c r="Y51" s="351"/>
      <c r="Z51" s="351"/>
      <c r="AA51" s="351"/>
      <c r="AB51" s="351"/>
    </row>
    <row r="52" ht="14.25" customHeight="1">
      <c r="A52" s="275" t="s">
        <v>11288</v>
      </c>
      <c r="B52" s="108"/>
      <c r="C52" s="303" t="s">
        <v>11305</v>
      </c>
      <c r="D52" s="297" t="s">
        <v>1775</v>
      </c>
      <c r="E52" s="297" t="s">
        <v>8583</v>
      </c>
      <c r="F52" s="296" t="s">
        <v>11306</v>
      </c>
      <c r="G52" s="405"/>
      <c r="H52" s="296" t="s">
        <v>11307</v>
      </c>
      <c r="I52" s="404" t="s">
        <v>317</v>
      </c>
      <c r="J52" s="351"/>
      <c r="K52" s="351"/>
      <c r="L52" s="351"/>
      <c r="M52" s="351"/>
      <c r="N52" s="351"/>
      <c r="O52" s="351"/>
      <c r="P52" s="351"/>
      <c r="Q52" s="351"/>
      <c r="R52" s="351"/>
      <c r="S52" s="351"/>
      <c r="T52" s="351"/>
      <c r="U52" s="351"/>
      <c r="V52" s="351"/>
      <c r="W52" s="351"/>
      <c r="X52" s="351"/>
      <c r="Y52" s="351"/>
      <c r="Z52" s="351"/>
      <c r="AA52" s="351"/>
      <c r="AB52" s="351"/>
    </row>
    <row r="53" ht="14.25" customHeight="1">
      <c r="A53" s="275" t="s">
        <v>11288</v>
      </c>
      <c r="B53" s="108"/>
      <c r="C53" s="303" t="s">
        <v>11308</v>
      </c>
      <c r="D53" s="297" t="s">
        <v>1775</v>
      </c>
      <c r="E53" s="297" t="s">
        <v>8583</v>
      </c>
      <c r="F53" s="296" t="s">
        <v>11309</v>
      </c>
      <c r="G53" s="405"/>
      <c r="H53" s="296" t="s">
        <v>11310</v>
      </c>
      <c r="I53" s="404" t="s">
        <v>36</v>
      </c>
      <c r="J53" s="351"/>
      <c r="K53" s="351"/>
      <c r="L53" s="351"/>
      <c r="M53" s="351"/>
      <c r="N53" s="351"/>
      <c r="O53" s="351"/>
      <c r="P53" s="351"/>
      <c r="Q53" s="351"/>
      <c r="R53" s="351"/>
      <c r="S53" s="351"/>
      <c r="T53" s="351"/>
      <c r="U53" s="351"/>
      <c r="V53" s="351"/>
      <c r="W53" s="351"/>
      <c r="X53" s="351"/>
      <c r="Y53" s="351"/>
      <c r="Z53" s="351"/>
      <c r="AA53" s="351"/>
      <c r="AB53" s="351"/>
    </row>
    <row r="54" ht="14.25" customHeight="1">
      <c r="A54" s="275" t="s">
        <v>11288</v>
      </c>
      <c r="B54" s="108"/>
      <c r="C54" s="303" t="s">
        <v>11311</v>
      </c>
      <c r="D54" s="297" t="s">
        <v>1775</v>
      </c>
      <c r="E54" s="297" t="s">
        <v>8583</v>
      </c>
      <c r="F54" s="296" t="s">
        <v>11312</v>
      </c>
      <c r="G54" s="405"/>
      <c r="H54" s="296" t="s">
        <v>11313</v>
      </c>
      <c r="I54" s="404" t="s">
        <v>36</v>
      </c>
      <c r="J54" s="351"/>
      <c r="K54" s="351"/>
      <c r="L54" s="351"/>
      <c r="M54" s="351"/>
      <c r="N54" s="351"/>
      <c r="O54" s="351"/>
      <c r="P54" s="351"/>
      <c r="Q54" s="351"/>
      <c r="R54" s="351"/>
      <c r="S54" s="351"/>
      <c r="T54" s="351"/>
      <c r="U54" s="351"/>
      <c r="V54" s="351"/>
      <c r="W54" s="351"/>
      <c r="X54" s="351"/>
      <c r="Y54" s="351"/>
      <c r="Z54" s="351"/>
      <c r="AA54" s="351"/>
      <c r="AB54" s="351"/>
    </row>
    <row r="55" ht="14.25" customHeight="1">
      <c r="A55" s="275" t="s">
        <v>11288</v>
      </c>
      <c r="B55" s="108"/>
      <c r="C55" s="303" t="s">
        <v>11314</v>
      </c>
      <c r="D55" s="297" t="s">
        <v>1775</v>
      </c>
      <c r="E55" s="297" t="s">
        <v>8583</v>
      </c>
      <c r="F55" s="296" t="s">
        <v>11315</v>
      </c>
      <c r="G55" s="405"/>
      <c r="H55" s="296" t="s">
        <v>11313</v>
      </c>
      <c r="I55" s="404" t="s">
        <v>36</v>
      </c>
      <c r="J55" s="351"/>
      <c r="K55" s="351"/>
      <c r="L55" s="351"/>
      <c r="M55" s="351"/>
      <c r="N55" s="351"/>
      <c r="O55" s="351"/>
      <c r="P55" s="351"/>
      <c r="Q55" s="351"/>
      <c r="R55" s="351"/>
      <c r="S55" s="351"/>
      <c r="T55" s="351"/>
      <c r="U55" s="351"/>
      <c r="V55" s="351"/>
      <c r="W55" s="351"/>
      <c r="X55" s="351"/>
      <c r="Y55" s="351"/>
      <c r="Z55" s="351"/>
      <c r="AA55" s="351"/>
      <c r="AB55" s="351"/>
    </row>
    <row r="56" ht="14.25" customHeight="1">
      <c r="A56" s="275" t="s">
        <v>11288</v>
      </c>
      <c r="B56" s="108"/>
      <c r="C56" s="303" t="s">
        <v>11316</v>
      </c>
      <c r="D56" s="297" t="s">
        <v>1775</v>
      </c>
      <c r="E56" s="297" t="s">
        <v>8583</v>
      </c>
      <c r="F56" s="296" t="s">
        <v>11317</v>
      </c>
      <c r="G56" s="405"/>
      <c r="H56" s="296" t="s">
        <v>11318</v>
      </c>
      <c r="I56" s="404" t="s">
        <v>317</v>
      </c>
      <c r="J56" s="351"/>
      <c r="K56" s="351"/>
      <c r="L56" s="351"/>
      <c r="M56" s="351"/>
      <c r="N56" s="351"/>
      <c r="O56" s="351"/>
      <c r="P56" s="351"/>
      <c r="Q56" s="351"/>
      <c r="R56" s="351"/>
      <c r="S56" s="351"/>
      <c r="T56" s="351"/>
      <c r="U56" s="351"/>
      <c r="V56" s="351"/>
      <c r="W56" s="351"/>
      <c r="X56" s="351"/>
      <c r="Y56" s="351"/>
      <c r="Z56" s="351"/>
      <c r="AA56" s="351"/>
      <c r="AB56" s="351"/>
    </row>
    <row r="57" ht="14.25" customHeight="1">
      <c r="A57" s="275" t="s">
        <v>11288</v>
      </c>
      <c r="B57" s="108"/>
      <c r="C57" s="303" t="s">
        <v>11319</v>
      </c>
      <c r="D57" s="297" t="s">
        <v>1775</v>
      </c>
      <c r="E57" s="297" t="s">
        <v>8583</v>
      </c>
      <c r="F57" s="296" t="s">
        <v>11320</v>
      </c>
      <c r="G57" s="405"/>
      <c r="H57" s="296" t="s">
        <v>11321</v>
      </c>
      <c r="I57" s="404" t="s">
        <v>36</v>
      </c>
      <c r="J57" s="351"/>
      <c r="K57" s="351"/>
      <c r="L57" s="351"/>
      <c r="M57" s="351"/>
      <c r="N57" s="351"/>
      <c r="O57" s="351"/>
      <c r="P57" s="351"/>
      <c r="Q57" s="351"/>
      <c r="R57" s="351"/>
      <c r="S57" s="351"/>
      <c r="T57" s="351"/>
      <c r="U57" s="351"/>
      <c r="V57" s="351"/>
      <c r="W57" s="351"/>
      <c r="X57" s="351"/>
      <c r="Y57" s="351"/>
      <c r="Z57" s="351"/>
      <c r="AA57" s="351"/>
      <c r="AB57" s="351"/>
    </row>
    <row r="58" ht="14.25" customHeight="1">
      <c r="A58" s="275" t="s">
        <v>11288</v>
      </c>
      <c r="B58" s="108"/>
      <c r="C58" s="303" t="s">
        <v>11322</v>
      </c>
      <c r="D58" s="297" t="s">
        <v>1775</v>
      </c>
      <c r="E58" s="297" t="s">
        <v>8583</v>
      </c>
      <c r="F58" s="296" t="s">
        <v>11323</v>
      </c>
      <c r="G58" s="405"/>
      <c r="H58" s="296" t="s">
        <v>11324</v>
      </c>
      <c r="I58" s="404" t="s">
        <v>36</v>
      </c>
      <c r="J58" s="351"/>
      <c r="K58" s="351"/>
      <c r="L58" s="351"/>
      <c r="M58" s="351"/>
      <c r="N58" s="351"/>
      <c r="O58" s="351"/>
      <c r="P58" s="351"/>
      <c r="Q58" s="351"/>
      <c r="R58" s="351"/>
      <c r="S58" s="351"/>
      <c r="T58" s="351"/>
      <c r="U58" s="351"/>
      <c r="V58" s="351"/>
      <c r="W58" s="351"/>
      <c r="X58" s="351"/>
      <c r="Y58" s="351"/>
      <c r="Z58" s="351"/>
      <c r="AA58" s="351"/>
      <c r="AB58" s="351"/>
    </row>
    <row r="59" ht="14.25" customHeight="1">
      <c r="A59" s="275" t="s">
        <v>11288</v>
      </c>
      <c r="B59" s="109"/>
      <c r="C59" s="303" t="s">
        <v>11325</v>
      </c>
      <c r="D59" s="297" t="s">
        <v>1775</v>
      </c>
      <c r="E59" s="297" t="s">
        <v>8583</v>
      </c>
      <c r="F59" s="296" t="s">
        <v>11326</v>
      </c>
      <c r="G59" s="405"/>
      <c r="H59" s="296" t="s">
        <v>11324</v>
      </c>
      <c r="I59" s="404" t="s">
        <v>36</v>
      </c>
      <c r="J59" s="351"/>
      <c r="K59" s="351"/>
      <c r="L59" s="351"/>
      <c r="M59" s="351"/>
      <c r="N59" s="351"/>
      <c r="O59" s="351"/>
      <c r="P59" s="351"/>
      <c r="Q59" s="351"/>
      <c r="R59" s="351"/>
      <c r="S59" s="351"/>
      <c r="T59" s="351"/>
      <c r="U59" s="351"/>
      <c r="V59" s="351"/>
      <c r="W59" s="351"/>
      <c r="X59" s="351"/>
      <c r="Y59" s="351"/>
      <c r="Z59" s="351"/>
      <c r="AA59" s="351"/>
      <c r="AB59" s="351"/>
    </row>
    <row r="60" ht="14.25" customHeight="1">
      <c r="A60" s="156" t="s">
        <v>11327</v>
      </c>
      <c r="B60" s="406" t="s">
        <v>11328</v>
      </c>
      <c r="C60" s="407" t="s">
        <v>11329</v>
      </c>
      <c r="D60" s="408" t="s">
        <v>271</v>
      </c>
      <c r="E60" s="408" t="s">
        <v>11330</v>
      </c>
      <c r="F60" s="409" t="s">
        <v>11331</v>
      </c>
      <c r="G60" s="243"/>
      <c r="H60" s="409" t="s">
        <v>11332</v>
      </c>
      <c r="I60" s="410" t="s">
        <v>36</v>
      </c>
      <c r="J60" s="411"/>
      <c r="K60" s="407" t="s">
        <v>11333</v>
      </c>
      <c r="L60" s="411"/>
      <c r="M60" s="411"/>
      <c r="N60" s="411"/>
      <c r="O60" s="411"/>
      <c r="P60" s="411"/>
      <c r="Q60" s="411"/>
      <c r="R60" s="411"/>
      <c r="S60" s="411"/>
      <c r="T60" s="411"/>
      <c r="U60" s="411"/>
      <c r="V60" s="411"/>
      <c r="W60" s="411"/>
      <c r="X60" s="411"/>
      <c r="Y60" s="411"/>
      <c r="Z60" s="411"/>
      <c r="AA60" s="411"/>
      <c r="AB60" s="411"/>
    </row>
    <row r="61" ht="14.25" customHeight="1">
      <c r="A61" s="156" t="s">
        <v>11327</v>
      </c>
      <c r="B61" s="108"/>
      <c r="C61" s="407" t="s">
        <v>11334</v>
      </c>
      <c r="D61" s="408" t="s">
        <v>271</v>
      </c>
      <c r="E61" s="408" t="s">
        <v>11330</v>
      </c>
      <c r="F61" s="409" t="s">
        <v>11335</v>
      </c>
      <c r="G61" s="243"/>
      <c r="H61" s="409" t="s">
        <v>11332</v>
      </c>
      <c r="I61" s="410" t="s">
        <v>36</v>
      </c>
      <c r="J61" s="411"/>
      <c r="K61" s="407" t="s">
        <v>11333</v>
      </c>
      <c r="L61" s="411"/>
      <c r="M61" s="411"/>
      <c r="N61" s="411"/>
      <c r="O61" s="411"/>
      <c r="P61" s="411"/>
      <c r="Q61" s="411"/>
      <c r="R61" s="411"/>
      <c r="S61" s="411"/>
      <c r="T61" s="411"/>
      <c r="U61" s="411"/>
      <c r="V61" s="411"/>
      <c r="W61" s="411"/>
      <c r="X61" s="411"/>
      <c r="Y61" s="411"/>
      <c r="Z61" s="411"/>
      <c r="AA61" s="411"/>
      <c r="AB61" s="411"/>
    </row>
    <row r="62" ht="14.25" customHeight="1">
      <c r="A62" s="156" t="s">
        <v>11327</v>
      </c>
      <c r="B62" s="108"/>
      <c r="C62" s="407" t="s">
        <v>11336</v>
      </c>
      <c r="D62" s="408" t="s">
        <v>271</v>
      </c>
      <c r="E62" s="408" t="s">
        <v>11337</v>
      </c>
      <c r="F62" s="409" t="s">
        <v>11338</v>
      </c>
      <c r="G62" s="243"/>
      <c r="H62" s="409" t="s">
        <v>11339</v>
      </c>
      <c r="I62" s="410" t="s">
        <v>36</v>
      </c>
      <c r="J62" s="411"/>
      <c r="K62" s="407" t="s">
        <v>11333</v>
      </c>
      <c r="L62" s="411"/>
      <c r="M62" s="411"/>
      <c r="N62" s="411"/>
      <c r="O62" s="411"/>
      <c r="P62" s="411"/>
      <c r="Q62" s="411"/>
      <c r="R62" s="411"/>
      <c r="S62" s="411"/>
      <c r="T62" s="411"/>
      <c r="U62" s="411"/>
      <c r="V62" s="411"/>
      <c r="W62" s="411"/>
      <c r="X62" s="411"/>
      <c r="Y62" s="411"/>
      <c r="Z62" s="411"/>
      <c r="AA62" s="411"/>
      <c r="AB62" s="411"/>
    </row>
    <row r="63" ht="14.25" customHeight="1">
      <c r="A63" s="156" t="s">
        <v>11327</v>
      </c>
      <c r="B63" s="109"/>
      <c r="C63" s="407" t="s">
        <v>11340</v>
      </c>
      <c r="D63" s="408" t="s">
        <v>271</v>
      </c>
      <c r="E63" s="408" t="s">
        <v>11337</v>
      </c>
      <c r="F63" s="409" t="s">
        <v>11341</v>
      </c>
      <c r="G63" s="243"/>
      <c r="H63" s="409" t="s">
        <v>11342</v>
      </c>
      <c r="I63" s="410" t="s">
        <v>36</v>
      </c>
      <c r="J63" s="411"/>
      <c r="K63" s="407" t="s">
        <v>11333</v>
      </c>
      <c r="L63" s="411"/>
      <c r="M63" s="411"/>
      <c r="N63" s="411"/>
      <c r="O63" s="411"/>
      <c r="P63" s="411"/>
      <c r="Q63" s="411"/>
      <c r="R63" s="411"/>
      <c r="S63" s="411"/>
      <c r="T63" s="411"/>
      <c r="U63" s="411"/>
      <c r="V63" s="411"/>
      <c r="W63" s="411"/>
      <c r="X63" s="411"/>
      <c r="Y63" s="411"/>
      <c r="Z63" s="411"/>
      <c r="AA63" s="411"/>
      <c r="AB63" s="411"/>
    </row>
    <row r="64" ht="14.25" customHeight="1">
      <c r="A64" s="275" t="s">
        <v>11343</v>
      </c>
      <c r="B64" s="402" t="s">
        <v>11344</v>
      </c>
      <c r="C64" s="303" t="s">
        <v>11345</v>
      </c>
      <c r="D64" s="297" t="s">
        <v>2482</v>
      </c>
      <c r="E64" s="297" t="s">
        <v>11346</v>
      </c>
      <c r="F64" s="296" t="s">
        <v>11347</v>
      </c>
      <c r="G64" s="405"/>
      <c r="H64" s="296" t="s">
        <v>11348</v>
      </c>
      <c r="I64" s="404" t="s">
        <v>36</v>
      </c>
      <c r="J64" s="351"/>
      <c r="K64" s="351"/>
      <c r="L64" s="351"/>
      <c r="M64" s="351"/>
      <c r="N64" s="351"/>
      <c r="O64" s="351"/>
      <c r="P64" s="351"/>
      <c r="Q64" s="351"/>
      <c r="R64" s="351"/>
      <c r="S64" s="351"/>
      <c r="T64" s="351"/>
      <c r="U64" s="351"/>
      <c r="V64" s="351"/>
      <c r="W64" s="351"/>
      <c r="X64" s="351"/>
      <c r="Y64" s="351"/>
      <c r="Z64" s="351"/>
      <c r="AA64" s="351"/>
      <c r="AB64" s="351"/>
    </row>
    <row r="65" ht="14.25" customHeight="1">
      <c r="A65" s="275" t="s">
        <v>11343</v>
      </c>
      <c r="B65" s="108"/>
      <c r="C65" s="303" t="s">
        <v>11349</v>
      </c>
      <c r="D65" s="297" t="s">
        <v>271</v>
      </c>
      <c r="E65" s="297" t="s">
        <v>11346</v>
      </c>
      <c r="F65" s="296" t="s">
        <v>11350</v>
      </c>
      <c r="G65" s="405"/>
      <c r="H65" s="296" t="s">
        <v>11351</v>
      </c>
      <c r="I65" s="404" t="s">
        <v>36</v>
      </c>
      <c r="J65" s="351"/>
      <c r="K65" s="351"/>
      <c r="L65" s="351"/>
      <c r="M65" s="351"/>
      <c r="N65" s="351"/>
      <c r="O65" s="351"/>
      <c r="P65" s="351"/>
      <c r="Q65" s="351"/>
      <c r="R65" s="351"/>
      <c r="S65" s="351"/>
      <c r="T65" s="351"/>
      <c r="U65" s="351"/>
      <c r="V65" s="351"/>
      <c r="W65" s="351"/>
      <c r="X65" s="351"/>
      <c r="Y65" s="351"/>
      <c r="Z65" s="351"/>
      <c r="AA65" s="351"/>
      <c r="AB65" s="351"/>
    </row>
    <row r="66" ht="14.25" customHeight="1">
      <c r="A66" s="275" t="s">
        <v>11343</v>
      </c>
      <c r="B66" s="109"/>
      <c r="C66" s="303" t="s">
        <v>11352</v>
      </c>
      <c r="D66" s="297" t="s">
        <v>271</v>
      </c>
      <c r="E66" s="297" t="s">
        <v>11346</v>
      </c>
      <c r="F66" s="296" t="s">
        <v>11353</v>
      </c>
      <c r="G66" s="405"/>
      <c r="H66" s="296" t="s">
        <v>11354</v>
      </c>
      <c r="I66" s="404" t="s">
        <v>36</v>
      </c>
      <c r="J66" s="351"/>
      <c r="K66" s="351"/>
      <c r="L66" s="351"/>
      <c r="M66" s="351"/>
      <c r="N66" s="351"/>
      <c r="O66" s="351"/>
      <c r="P66" s="351"/>
      <c r="Q66" s="351"/>
      <c r="R66" s="351"/>
      <c r="S66" s="351"/>
      <c r="T66" s="351"/>
      <c r="U66" s="351"/>
      <c r="V66" s="351"/>
      <c r="W66" s="351"/>
      <c r="X66" s="351"/>
      <c r="Y66" s="351"/>
      <c r="Z66" s="351"/>
      <c r="AA66" s="351"/>
      <c r="AB66" s="351"/>
    </row>
    <row r="67" ht="14.25" customHeight="1">
      <c r="A67" s="275" t="s">
        <v>11355</v>
      </c>
      <c r="B67" s="402" t="s">
        <v>11356</v>
      </c>
      <c r="C67" s="303" t="s">
        <v>11357</v>
      </c>
      <c r="D67" s="297" t="s">
        <v>2482</v>
      </c>
      <c r="E67" s="297" t="s">
        <v>11358</v>
      </c>
      <c r="F67" s="296" t="s">
        <v>11359</v>
      </c>
      <c r="G67" s="405"/>
      <c r="H67" s="296" t="s">
        <v>11360</v>
      </c>
      <c r="I67" s="404" t="s">
        <v>36</v>
      </c>
      <c r="J67" s="351"/>
      <c r="K67" s="351"/>
      <c r="L67" s="351"/>
      <c r="M67" s="351"/>
      <c r="N67" s="351"/>
      <c r="O67" s="351"/>
      <c r="P67" s="351"/>
      <c r="Q67" s="351"/>
      <c r="R67" s="351"/>
      <c r="S67" s="351"/>
      <c r="T67" s="351"/>
      <c r="U67" s="351"/>
      <c r="V67" s="351"/>
      <c r="W67" s="351"/>
      <c r="X67" s="351"/>
      <c r="Y67" s="351"/>
      <c r="Z67" s="351"/>
      <c r="AA67" s="351"/>
      <c r="AB67" s="351"/>
    </row>
    <row r="68" ht="14.25" customHeight="1">
      <c r="A68" s="275" t="s">
        <v>11355</v>
      </c>
      <c r="B68" s="108"/>
      <c r="C68" s="303" t="s">
        <v>11361</v>
      </c>
      <c r="D68" s="297" t="s">
        <v>2482</v>
      </c>
      <c r="E68" s="297" t="s">
        <v>11362</v>
      </c>
      <c r="F68" s="296" t="s">
        <v>11363</v>
      </c>
      <c r="G68" s="405"/>
      <c r="H68" s="296" t="s">
        <v>11364</v>
      </c>
      <c r="I68" s="404" t="s">
        <v>36</v>
      </c>
      <c r="J68" s="351"/>
      <c r="K68" s="351"/>
      <c r="L68" s="351"/>
      <c r="M68" s="351"/>
      <c r="N68" s="351"/>
      <c r="O68" s="351"/>
      <c r="P68" s="351"/>
      <c r="Q68" s="351"/>
      <c r="R68" s="351"/>
      <c r="S68" s="351"/>
      <c r="T68" s="351"/>
      <c r="U68" s="351"/>
      <c r="V68" s="351"/>
      <c r="W68" s="351"/>
      <c r="X68" s="351"/>
      <c r="Y68" s="351"/>
      <c r="Z68" s="351"/>
      <c r="AA68" s="351"/>
      <c r="AB68" s="351"/>
    </row>
    <row r="69" ht="14.25" customHeight="1">
      <c r="A69" s="275" t="s">
        <v>11355</v>
      </c>
      <c r="B69" s="108"/>
      <c r="C69" s="303" t="s">
        <v>11365</v>
      </c>
      <c r="D69" s="297" t="s">
        <v>271</v>
      </c>
      <c r="E69" s="297" t="s">
        <v>11358</v>
      </c>
      <c r="F69" s="296" t="s">
        <v>11366</v>
      </c>
      <c r="G69" s="405"/>
      <c r="H69" s="296" t="s">
        <v>11367</v>
      </c>
      <c r="I69" s="404" t="s">
        <v>36</v>
      </c>
      <c r="J69" s="351"/>
      <c r="K69" s="351"/>
      <c r="L69" s="351"/>
      <c r="M69" s="351"/>
      <c r="N69" s="351"/>
      <c r="O69" s="351"/>
      <c r="P69" s="351"/>
      <c r="Q69" s="351"/>
      <c r="R69" s="351"/>
      <c r="S69" s="351"/>
      <c r="T69" s="351"/>
      <c r="U69" s="351"/>
      <c r="V69" s="351"/>
      <c r="W69" s="351"/>
      <c r="X69" s="351"/>
      <c r="Y69" s="351"/>
      <c r="Z69" s="351"/>
      <c r="AA69" s="351"/>
      <c r="AB69" s="351"/>
    </row>
    <row r="70" ht="14.25" customHeight="1">
      <c r="A70" s="275" t="s">
        <v>11355</v>
      </c>
      <c r="B70" s="109"/>
      <c r="C70" s="303" t="s">
        <v>11368</v>
      </c>
      <c r="D70" s="297" t="s">
        <v>271</v>
      </c>
      <c r="E70" s="297" t="s">
        <v>11358</v>
      </c>
      <c r="F70" s="296" t="s">
        <v>11369</v>
      </c>
      <c r="G70" s="405"/>
      <c r="H70" s="296" t="s">
        <v>11370</v>
      </c>
      <c r="I70" s="404" t="s">
        <v>36</v>
      </c>
      <c r="J70" s="351"/>
      <c r="K70" s="351"/>
      <c r="L70" s="351"/>
      <c r="M70" s="351"/>
      <c r="N70" s="351"/>
      <c r="O70" s="351"/>
      <c r="P70" s="351"/>
      <c r="Q70" s="351"/>
      <c r="R70" s="351"/>
      <c r="S70" s="351"/>
      <c r="T70" s="351"/>
      <c r="U70" s="351"/>
      <c r="V70" s="351"/>
      <c r="W70" s="351"/>
      <c r="X70" s="351"/>
      <c r="Y70" s="351"/>
      <c r="Z70" s="351"/>
      <c r="AA70" s="351"/>
      <c r="AB70" s="351"/>
    </row>
    <row r="71" ht="14.25" customHeight="1">
      <c r="A71" s="275" t="s">
        <v>11371</v>
      </c>
      <c r="B71" s="402" t="s">
        <v>11372</v>
      </c>
      <c r="C71" s="303" t="s">
        <v>11373</v>
      </c>
      <c r="D71" s="297" t="s">
        <v>2482</v>
      </c>
      <c r="E71" s="297" t="s">
        <v>1762</v>
      </c>
      <c r="F71" s="296" t="s">
        <v>11374</v>
      </c>
      <c r="G71" s="412"/>
      <c r="H71" s="409" t="s">
        <v>11375</v>
      </c>
      <c r="I71" s="404" t="s">
        <v>36</v>
      </c>
      <c r="J71" s="413"/>
      <c r="K71" s="413"/>
      <c r="L71" s="413"/>
      <c r="M71" s="413"/>
      <c r="N71" s="413"/>
      <c r="O71" s="413"/>
      <c r="P71" s="413"/>
      <c r="Q71" s="413"/>
      <c r="R71" s="413"/>
      <c r="S71" s="413"/>
      <c r="T71" s="413"/>
      <c r="U71" s="413"/>
      <c r="V71" s="413"/>
      <c r="W71" s="413"/>
      <c r="X71" s="413"/>
      <c r="Y71" s="413"/>
      <c r="Z71" s="413"/>
      <c r="AA71" s="413"/>
      <c r="AB71" s="413"/>
    </row>
    <row r="72" ht="14.25" customHeight="1">
      <c r="A72" s="275" t="s">
        <v>11371</v>
      </c>
      <c r="B72" s="108"/>
      <c r="C72" s="303" t="s">
        <v>11376</v>
      </c>
      <c r="D72" s="297" t="s">
        <v>2482</v>
      </c>
      <c r="E72" s="297" t="s">
        <v>1762</v>
      </c>
      <c r="F72" s="296" t="s">
        <v>11377</v>
      </c>
      <c r="G72" s="412"/>
      <c r="H72" s="409" t="s">
        <v>11378</v>
      </c>
      <c r="I72" s="404" t="s">
        <v>36</v>
      </c>
      <c r="J72" s="413"/>
      <c r="K72" s="413"/>
      <c r="L72" s="413"/>
      <c r="M72" s="413"/>
      <c r="N72" s="413"/>
      <c r="O72" s="413"/>
      <c r="P72" s="413"/>
      <c r="Q72" s="413"/>
      <c r="R72" s="413"/>
      <c r="S72" s="413"/>
      <c r="T72" s="413"/>
      <c r="U72" s="413"/>
      <c r="V72" s="413"/>
      <c r="W72" s="413"/>
      <c r="X72" s="413"/>
      <c r="Y72" s="413"/>
      <c r="Z72" s="413"/>
      <c r="AA72" s="413"/>
      <c r="AB72" s="413"/>
    </row>
    <row r="73" ht="14.25" customHeight="1">
      <c r="A73" s="275" t="s">
        <v>11371</v>
      </c>
      <c r="B73" s="108"/>
      <c r="C73" s="303" t="s">
        <v>11379</v>
      </c>
      <c r="D73" s="297" t="s">
        <v>271</v>
      </c>
      <c r="E73" s="297" t="s">
        <v>1762</v>
      </c>
      <c r="F73" s="296" t="s">
        <v>11380</v>
      </c>
      <c r="G73" s="412"/>
      <c r="H73" s="409" t="s">
        <v>11381</v>
      </c>
      <c r="I73" s="404" t="s">
        <v>36</v>
      </c>
      <c r="J73" s="413"/>
      <c r="K73" s="413"/>
      <c r="L73" s="413"/>
      <c r="M73" s="413"/>
      <c r="N73" s="413"/>
      <c r="O73" s="413"/>
      <c r="P73" s="413"/>
      <c r="Q73" s="413"/>
      <c r="R73" s="413"/>
      <c r="S73" s="413"/>
      <c r="T73" s="413"/>
      <c r="U73" s="413"/>
      <c r="V73" s="413"/>
      <c r="W73" s="413"/>
      <c r="X73" s="413"/>
      <c r="Y73" s="413"/>
      <c r="Z73" s="413"/>
      <c r="AA73" s="413"/>
      <c r="AB73" s="413"/>
    </row>
    <row r="74" ht="14.25" customHeight="1">
      <c r="A74" s="275" t="s">
        <v>11371</v>
      </c>
      <c r="B74" s="109"/>
      <c r="C74" s="303" t="s">
        <v>11382</v>
      </c>
      <c r="D74" s="297" t="s">
        <v>271</v>
      </c>
      <c r="E74" s="297" t="s">
        <v>1762</v>
      </c>
      <c r="F74" s="296" t="s">
        <v>11383</v>
      </c>
      <c r="G74" s="412"/>
      <c r="H74" s="409" t="s">
        <v>11384</v>
      </c>
      <c r="I74" s="404" t="s">
        <v>36</v>
      </c>
      <c r="J74" s="413"/>
      <c r="K74" s="413"/>
      <c r="L74" s="413"/>
      <c r="M74" s="413"/>
      <c r="N74" s="413"/>
      <c r="O74" s="413"/>
      <c r="P74" s="413"/>
      <c r="Q74" s="413"/>
      <c r="R74" s="413"/>
      <c r="S74" s="413"/>
      <c r="T74" s="413"/>
      <c r="U74" s="413"/>
      <c r="V74" s="413"/>
      <c r="W74" s="413"/>
      <c r="X74" s="413"/>
      <c r="Y74" s="413"/>
      <c r="Z74" s="413"/>
      <c r="AA74" s="413"/>
      <c r="AB74" s="413"/>
    </row>
    <row r="75" ht="14.25" customHeight="1">
      <c r="A75" s="275" t="s">
        <v>11385</v>
      </c>
      <c r="B75" s="402" t="s">
        <v>11386</v>
      </c>
      <c r="C75" s="303" t="s">
        <v>11387</v>
      </c>
      <c r="D75" s="297" t="s">
        <v>2482</v>
      </c>
      <c r="E75" s="297" t="s">
        <v>11358</v>
      </c>
      <c r="F75" s="296" t="s">
        <v>11388</v>
      </c>
      <c r="G75" s="405"/>
      <c r="H75" s="296" t="s">
        <v>11389</v>
      </c>
      <c r="I75" s="404" t="s">
        <v>36</v>
      </c>
      <c r="J75" s="351"/>
      <c r="K75" s="351"/>
      <c r="L75" s="351"/>
      <c r="M75" s="351"/>
      <c r="N75" s="351"/>
      <c r="O75" s="351"/>
      <c r="P75" s="351"/>
      <c r="Q75" s="351"/>
      <c r="R75" s="351"/>
      <c r="S75" s="351"/>
      <c r="T75" s="351"/>
      <c r="U75" s="351"/>
      <c r="V75" s="351"/>
      <c r="W75" s="351"/>
      <c r="X75" s="351"/>
      <c r="Y75" s="351"/>
      <c r="Z75" s="351"/>
      <c r="AA75" s="351"/>
      <c r="AB75" s="351"/>
    </row>
    <row r="76" ht="14.25" customHeight="1">
      <c r="A76" s="275" t="s">
        <v>11385</v>
      </c>
      <c r="B76" s="108"/>
      <c r="C76" s="303" t="s">
        <v>11390</v>
      </c>
      <c r="D76" s="297" t="s">
        <v>2482</v>
      </c>
      <c r="E76" s="297" t="s">
        <v>11358</v>
      </c>
      <c r="F76" s="296" t="s">
        <v>11391</v>
      </c>
      <c r="G76" s="405"/>
      <c r="H76" s="296" t="s">
        <v>11389</v>
      </c>
      <c r="I76" s="404" t="s">
        <v>36</v>
      </c>
      <c r="J76" s="351"/>
      <c r="K76" s="351"/>
      <c r="L76" s="351"/>
      <c r="M76" s="351"/>
      <c r="N76" s="351"/>
      <c r="O76" s="351"/>
      <c r="P76" s="351"/>
      <c r="Q76" s="351"/>
      <c r="R76" s="351"/>
      <c r="S76" s="351"/>
      <c r="T76" s="351"/>
      <c r="U76" s="351"/>
      <c r="V76" s="351"/>
      <c r="W76" s="351"/>
      <c r="X76" s="351"/>
      <c r="Y76" s="351"/>
      <c r="Z76" s="351"/>
      <c r="AA76" s="351"/>
      <c r="AB76" s="351"/>
    </row>
    <row r="77" ht="14.25" customHeight="1">
      <c r="A77" s="275" t="s">
        <v>11385</v>
      </c>
      <c r="B77" s="108"/>
      <c r="C77" s="303" t="s">
        <v>11392</v>
      </c>
      <c r="D77" s="297" t="s">
        <v>271</v>
      </c>
      <c r="E77" s="297" t="s">
        <v>11358</v>
      </c>
      <c r="F77" s="296" t="s">
        <v>11393</v>
      </c>
      <c r="G77" s="405"/>
      <c r="H77" s="296" t="s">
        <v>11389</v>
      </c>
      <c r="I77" s="404" t="s">
        <v>36</v>
      </c>
      <c r="J77" s="351"/>
      <c r="K77" s="351"/>
      <c r="L77" s="351"/>
      <c r="M77" s="351"/>
      <c r="N77" s="351"/>
      <c r="O77" s="351"/>
      <c r="P77" s="351"/>
      <c r="Q77" s="351"/>
      <c r="R77" s="351"/>
      <c r="S77" s="351"/>
      <c r="T77" s="351"/>
      <c r="U77" s="351"/>
      <c r="V77" s="351"/>
      <c r="W77" s="351"/>
      <c r="X77" s="351"/>
      <c r="Y77" s="351"/>
      <c r="Z77" s="351"/>
      <c r="AA77" s="351"/>
      <c r="AB77" s="351"/>
    </row>
    <row r="78" ht="14.25" customHeight="1">
      <c r="A78" s="275" t="s">
        <v>11385</v>
      </c>
      <c r="B78" s="108"/>
      <c r="C78" s="303" t="s">
        <v>11394</v>
      </c>
      <c r="D78" s="297" t="s">
        <v>271</v>
      </c>
      <c r="E78" s="297" t="s">
        <v>11358</v>
      </c>
      <c r="F78" s="296" t="s">
        <v>11395</v>
      </c>
      <c r="G78" s="405"/>
      <c r="H78" s="296" t="s">
        <v>11389</v>
      </c>
      <c r="I78" s="404" t="s">
        <v>36</v>
      </c>
      <c r="J78" s="351"/>
      <c r="K78" s="351"/>
      <c r="L78" s="351"/>
      <c r="M78" s="351"/>
      <c r="N78" s="351"/>
      <c r="O78" s="351"/>
      <c r="P78" s="351"/>
      <c r="Q78" s="351"/>
      <c r="R78" s="351"/>
      <c r="S78" s="351"/>
      <c r="T78" s="351"/>
      <c r="U78" s="351"/>
      <c r="V78" s="351"/>
      <c r="W78" s="351"/>
      <c r="X78" s="351"/>
      <c r="Y78" s="351"/>
      <c r="Z78" s="351"/>
      <c r="AA78" s="351"/>
      <c r="AB78" s="351"/>
    </row>
    <row r="79" ht="14.25" customHeight="1">
      <c r="A79" s="275" t="s">
        <v>11385</v>
      </c>
      <c r="B79" s="108"/>
      <c r="C79" s="303" t="s">
        <v>11396</v>
      </c>
      <c r="D79" s="297" t="s">
        <v>271</v>
      </c>
      <c r="E79" s="297" t="s">
        <v>11358</v>
      </c>
      <c r="F79" s="296" t="s">
        <v>11397</v>
      </c>
      <c r="G79" s="405"/>
      <c r="H79" s="296" t="s">
        <v>11389</v>
      </c>
      <c r="I79" s="404" t="s">
        <v>36</v>
      </c>
      <c r="J79" s="351"/>
      <c r="K79" s="351"/>
      <c r="L79" s="351"/>
      <c r="M79" s="351"/>
      <c r="N79" s="351"/>
      <c r="O79" s="351"/>
      <c r="P79" s="351"/>
      <c r="Q79" s="351"/>
      <c r="R79" s="351"/>
      <c r="S79" s="351"/>
      <c r="T79" s="351"/>
      <c r="U79" s="351"/>
      <c r="V79" s="351"/>
      <c r="W79" s="351"/>
      <c r="X79" s="351"/>
      <c r="Y79" s="351"/>
      <c r="Z79" s="351"/>
      <c r="AA79" s="351"/>
      <c r="AB79" s="351"/>
    </row>
    <row r="80" ht="14.25" customHeight="1">
      <c r="A80" s="275" t="s">
        <v>11385</v>
      </c>
      <c r="B80" s="108"/>
      <c r="C80" s="303" t="s">
        <v>11398</v>
      </c>
      <c r="D80" s="297" t="s">
        <v>271</v>
      </c>
      <c r="E80" s="297" t="s">
        <v>11358</v>
      </c>
      <c r="F80" s="296" t="s">
        <v>11399</v>
      </c>
      <c r="G80" s="405"/>
      <c r="H80" s="296" t="s">
        <v>11400</v>
      </c>
      <c r="I80" s="404" t="s">
        <v>36</v>
      </c>
      <c r="J80" s="351"/>
      <c r="K80" s="351"/>
      <c r="L80" s="351"/>
      <c r="M80" s="351"/>
      <c r="N80" s="351"/>
      <c r="O80" s="351"/>
      <c r="P80" s="351"/>
      <c r="Q80" s="351"/>
      <c r="R80" s="351"/>
      <c r="S80" s="351"/>
      <c r="T80" s="351"/>
      <c r="U80" s="351"/>
      <c r="V80" s="351"/>
      <c r="W80" s="351"/>
      <c r="X80" s="351"/>
      <c r="Y80" s="351"/>
      <c r="Z80" s="351"/>
      <c r="AA80" s="351"/>
      <c r="AB80" s="351"/>
    </row>
    <row r="81" ht="14.25" customHeight="1">
      <c r="A81" s="275" t="s">
        <v>11385</v>
      </c>
      <c r="B81" s="108"/>
      <c r="C81" s="303" t="s">
        <v>11401</v>
      </c>
      <c r="D81" s="297" t="s">
        <v>271</v>
      </c>
      <c r="E81" s="297" t="s">
        <v>11358</v>
      </c>
      <c r="F81" s="296" t="s">
        <v>11402</v>
      </c>
      <c r="G81" s="405"/>
      <c r="H81" s="296" t="s">
        <v>11400</v>
      </c>
      <c r="I81" s="404" t="s">
        <v>36</v>
      </c>
      <c r="J81" s="351"/>
      <c r="K81" s="351"/>
      <c r="L81" s="351"/>
      <c r="M81" s="351"/>
      <c r="N81" s="351"/>
      <c r="O81" s="351"/>
      <c r="P81" s="351"/>
      <c r="Q81" s="351"/>
      <c r="R81" s="351"/>
      <c r="S81" s="351"/>
      <c r="T81" s="351"/>
      <c r="U81" s="351"/>
      <c r="V81" s="351"/>
      <c r="W81" s="351"/>
      <c r="X81" s="351"/>
      <c r="Y81" s="351"/>
      <c r="Z81" s="351"/>
      <c r="AA81" s="351"/>
      <c r="AB81" s="351"/>
    </row>
    <row r="82" ht="14.25" customHeight="1">
      <c r="A82" s="275" t="s">
        <v>11385</v>
      </c>
      <c r="B82" s="109"/>
      <c r="C82" s="303" t="s">
        <v>11403</v>
      </c>
      <c r="D82" s="297" t="s">
        <v>271</v>
      </c>
      <c r="E82" s="297" t="s">
        <v>11358</v>
      </c>
      <c r="F82" s="296" t="s">
        <v>11404</v>
      </c>
      <c r="G82" s="405"/>
      <c r="H82" s="296" t="s">
        <v>11400</v>
      </c>
      <c r="I82" s="404" t="s">
        <v>36</v>
      </c>
      <c r="J82" s="351"/>
      <c r="K82" s="351"/>
      <c r="L82" s="351"/>
      <c r="M82" s="351"/>
      <c r="N82" s="351"/>
      <c r="O82" s="351"/>
      <c r="P82" s="351"/>
      <c r="Q82" s="351"/>
      <c r="R82" s="351"/>
      <c r="S82" s="351"/>
      <c r="T82" s="351"/>
      <c r="U82" s="351"/>
      <c r="V82" s="351"/>
      <c r="W82" s="351"/>
      <c r="X82" s="351"/>
      <c r="Y82" s="351"/>
      <c r="Z82" s="351"/>
      <c r="AA82" s="351"/>
      <c r="AB82" s="351"/>
    </row>
    <row r="83" ht="14.25" customHeight="1">
      <c r="A83" s="275" t="s">
        <v>11405</v>
      </c>
      <c r="B83" s="402" t="s">
        <v>11406</v>
      </c>
      <c r="C83" s="303" t="s">
        <v>11407</v>
      </c>
      <c r="D83" s="297" t="s">
        <v>2482</v>
      </c>
      <c r="E83" s="297" t="s">
        <v>11408</v>
      </c>
      <c r="F83" s="296" t="s">
        <v>11409</v>
      </c>
      <c r="G83" s="405"/>
      <c r="H83" s="296" t="s">
        <v>11410</v>
      </c>
      <c r="I83" s="404" t="s">
        <v>36</v>
      </c>
      <c r="J83" s="351"/>
      <c r="K83" s="351"/>
      <c r="L83" s="351"/>
      <c r="M83" s="351"/>
      <c r="N83" s="351"/>
      <c r="O83" s="351"/>
      <c r="P83" s="351"/>
      <c r="Q83" s="351"/>
      <c r="R83" s="351"/>
      <c r="S83" s="351"/>
      <c r="T83" s="351"/>
      <c r="U83" s="351"/>
      <c r="V83" s="351"/>
      <c r="W83" s="351"/>
      <c r="X83" s="351"/>
      <c r="Y83" s="351"/>
      <c r="Z83" s="351"/>
      <c r="AA83" s="351"/>
      <c r="AB83" s="351"/>
    </row>
    <row r="84" ht="14.25" customHeight="1">
      <c r="A84" s="275" t="s">
        <v>11405</v>
      </c>
      <c r="B84" s="108"/>
      <c r="C84" s="303" t="s">
        <v>11411</v>
      </c>
      <c r="D84" s="297" t="s">
        <v>2482</v>
      </c>
      <c r="E84" s="297" t="s">
        <v>11412</v>
      </c>
      <c r="F84" s="296" t="s">
        <v>11413</v>
      </c>
      <c r="G84" s="405"/>
      <c r="H84" s="296" t="s">
        <v>11410</v>
      </c>
      <c r="I84" s="404" t="s">
        <v>36</v>
      </c>
      <c r="J84" s="351"/>
      <c r="K84" s="351"/>
      <c r="L84" s="351"/>
      <c r="M84" s="351"/>
      <c r="N84" s="351"/>
      <c r="O84" s="351"/>
      <c r="P84" s="351"/>
      <c r="Q84" s="351"/>
      <c r="R84" s="351"/>
      <c r="S84" s="351"/>
      <c r="T84" s="351"/>
      <c r="U84" s="351"/>
      <c r="V84" s="351"/>
      <c r="W84" s="351"/>
      <c r="X84" s="351"/>
      <c r="Y84" s="351"/>
      <c r="Z84" s="351"/>
      <c r="AA84" s="351"/>
      <c r="AB84" s="351"/>
    </row>
    <row r="85" ht="14.25" customHeight="1">
      <c r="A85" s="275" t="s">
        <v>11405</v>
      </c>
      <c r="B85" s="108"/>
      <c r="C85" s="303" t="s">
        <v>11414</v>
      </c>
      <c r="D85" s="297" t="s">
        <v>2482</v>
      </c>
      <c r="E85" s="297" t="s">
        <v>11412</v>
      </c>
      <c r="F85" s="299" t="s">
        <v>11415</v>
      </c>
      <c r="G85" s="405"/>
      <c r="H85" s="296" t="s">
        <v>11416</v>
      </c>
      <c r="I85" s="404" t="s">
        <v>36</v>
      </c>
      <c r="J85" s="351"/>
      <c r="K85" s="351"/>
      <c r="L85" s="351"/>
      <c r="M85" s="351"/>
      <c r="N85" s="351"/>
      <c r="O85" s="351"/>
      <c r="P85" s="351"/>
      <c r="Q85" s="351"/>
      <c r="R85" s="351"/>
      <c r="S85" s="351"/>
      <c r="T85" s="351"/>
      <c r="U85" s="351"/>
      <c r="V85" s="351"/>
      <c r="W85" s="351"/>
      <c r="X85" s="351"/>
      <c r="Y85" s="351"/>
      <c r="Z85" s="351"/>
      <c r="AA85" s="351"/>
      <c r="AB85" s="351"/>
    </row>
    <row r="86" ht="14.25" customHeight="1">
      <c r="A86" s="275" t="s">
        <v>11405</v>
      </c>
      <c r="B86" s="109"/>
      <c r="C86" s="303" t="s">
        <v>11417</v>
      </c>
      <c r="D86" s="297" t="s">
        <v>2482</v>
      </c>
      <c r="E86" s="297" t="s">
        <v>11408</v>
      </c>
      <c r="F86" s="296" t="s">
        <v>11418</v>
      </c>
      <c r="G86" s="405"/>
      <c r="H86" s="296" t="s">
        <v>11419</v>
      </c>
      <c r="I86" s="404" t="s">
        <v>36</v>
      </c>
      <c r="J86" s="351"/>
      <c r="K86" s="351"/>
      <c r="L86" s="351"/>
      <c r="M86" s="351"/>
      <c r="N86" s="351"/>
      <c r="O86" s="351"/>
      <c r="P86" s="351"/>
      <c r="Q86" s="351"/>
      <c r="R86" s="351"/>
      <c r="S86" s="351"/>
      <c r="T86" s="351"/>
      <c r="U86" s="351"/>
      <c r="V86" s="351"/>
      <c r="W86" s="351"/>
      <c r="X86" s="351"/>
      <c r="Y86" s="351"/>
      <c r="Z86" s="351"/>
      <c r="AA86" s="351"/>
      <c r="AB86" s="351"/>
    </row>
    <row r="87" ht="14.25" customHeight="1">
      <c r="A87" s="275" t="s">
        <v>11420</v>
      </c>
      <c r="B87" s="402" t="s">
        <v>11421</v>
      </c>
      <c r="C87" s="303" t="s">
        <v>11422</v>
      </c>
      <c r="D87" s="297" t="s">
        <v>2482</v>
      </c>
      <c r="E87" s="297" t="s">
        <v>11423</v>
      </c>
      <c r="F87" s="296" t="s">
        <v>11424</v>
      </c>
      <c r="G87" s="405"/>
      <c r="H87" s="296" t="s">
        <v>11425</v>
      </c>
      <c r="I87" s="404" t="s">
        <v>36</v>
      </c>
      <c r="J87" s="351"/>
      <c r="K87" s="296"/>
      <c r="L87" s="351"/>
      <c r="M87" s="351"/>
      <c r="N87" s="351"/>
      <c r="O87" s="351"/>
      <c r="P87" s="351"/>
      <c r="Q87" s="351"/>
      <c r="R87" s="351"/>
      <c r="S87" s="351"/>
      <c r="T87" s="351"/>
      <c r="U87" s="351"/>
      <c r="V87" s="351"/>
      <c r="W87" s="351"/>
      <c r="X87" s="351"/>
      <c r="Y87" s="351"/>
      <c r="Z87" s="351"/>
      <c r="AA87" s="351"/>
      <c r="AB87" s="351"/>
    </row>
    <row r="88" ht="14.25" customHeight="1">
      <c r="A88" s="275" t="s">
        <v>11420</v>
      </c>
      <c r="B88" s="108"/>
      <c r="C88" s="303" t="s">
        <v>11426</v>
      </c>
      <c r="D88" s="297" t="s">
        <v>2482</v>
      </c>
      <c r="E88" s="297" t="s">
        <v>11423</v>
      </c>
      <c r="F88" s="296" t="s">
        <v>11427</v>
      </c>
      <c r="G88" s="405"/>
      <c r="H88" s="296" t="s">
        <v>11428</v>
      </c>
      <c r="I88" s="404" t="s">
        <v>36</v>
      </c>
      <c r="J88" s="351"/>
      <c r="K88" s="296"/>
      <c r="L88" s="351"/>
      <c r="M88" s="351"/>
      <c r="N88" s="351"/>
      <c r="O88" s="351"/>
      <c r="P88" s="351"/>
      <c r="Q88" s="351"/>
      <c r="R88" s="351"/>
      <c r="S88" s="351"/>
      <c r="T88" s="351"/>
      <c r="U88" s="351"/>
      <c r="V88" s="351"/>
      <c r="W88" s="351"/>
      <c r="X88" s="351"/>
      <c r="Y88" s="351"/>
      <c r="Z88" s="351"/>
      <c r="AA88" s="351"/>
      <c r="AB88" s="351"/>
    </row>
    <row r="89" ht="14.25" customHeight="1">
      <c r="A89" s="275" t="s">
        <v>11420</v>
      </c>
      <c r="B89" s="108"/>
      <c r="C89" s="303" t="s">
        <v>11429</v>
      </c>
      <c r="D89" s="297" t="s">
        <v>271</v>
      </c>
      <c r="E89" s="297" t="s">
        <v>11423</v>
      </c>
      <c r="F89" s="296" t="s">
        <v>11430</v>
      </c>
      <c r="G89" s="405"/>
      <c r="H89" s="296" t="s">
        <v>11431</v>
      </c>
      <c r="I89" s="404" t="s">
        <v>36</v>
      </c>
      <c r="J89" s="351"/>
      <c r="K89" s="296"/>
      <c r="L89" s="351"/>
      <c r="M89" s="351"/>
      <c r="N89" s="351"/>
      <c r="O89" s="351"/>
      <c r="P89" s="351"/>
      <c r="Q89" s="351"/>
      <c r="R89" s="351"/>
      <c r="S89" s="351"/>
      <c r="T89" s="351"/>
      <c r="U89" s="351"/>
      <c r="V89" s="351"/>
      <c r="W89" s="351"/>
      <c r="X89" s="351"/>
      <c r="Y89" s="351"/>
      <c r="Z89" s="351"/>
      <c r="AA89" s="351"/>
      <c r="AB89" s="351"/>
    </row>
    <row r="90" ht="14.25" customHeight="1">
      <c r="A90" s="275" t="s">
        <v>11420</v>
      </c>
      <c r="B90" s="108"/>
      <c r="C90" s="303" t="s">
        <v>11432</v>
      </c>
      <c r="D90" s="297" t="s">
        <v>271</v>
      </c>
      <c r="E90" s="297" t="s">
        <v>11423</v>
      </c>
      <c r="F90" s="296" t="s">
        <v>11433</v>
      </c>
      <c r="G90" s="405"/>
      <c r="H90" s="296" t="s">
        <v>11434</v>
      </c>
      <c r="I90" s="404" t="s">
        <v>36</v>
      </c>
      <c r="J90" s="351"/>
      <c r="K90" s="296"/>
      <c r="L90" s="351"/>
      <c r="M90" s="351"/>
      <c r="N90" s="351"/>
      <c r="O90" s="351"/>
      <c r="P90" s="351"/>
      <c r="Q90" s="351"/>
      <c r="R90" s="351"/>
      <c r="S90" s="351"/>
      <c r="T90" s="351"/>
      <c r="U90" s="351"/>
      <c r="V90" s="351"/>
      <c r="W90" s="351"/>
      <c r="X90" s="351"/>
      <c r="Y90" s="351"/>
      <c r="Z90" s="351"/>
      <c r="AA90" s="351"/>
      <c r="AB90" s="351"/>
    </row>
    <row r="91" ht="14.25" customHeight="1">
      <c r="A91" s="275" t="s">
        <v>11420</v>
      </c>
      <c r="B91" s="109"/>
      <c r="C91" s="303" t="s">
        <v>11435</v>
      </c>
      <c r="D91" s="297" t="s">
        <v>271</v>
      </c>
      <c r="E91" s="297" t="s">
        <v>11423</v>
      </c>
      <c r="F91" s="296" t="s">
        <v>11436</v>
      </c>
      <c r="G91" s="405"/>
      <c r="H91" s="296" t="s">
        <v>11437</v>
      </c>
      <c r="I91" s="404" t="s">
        <v>36</v>
      </c>
      <c r="J91" s="351"/>
      <c r="K91" s="296"/>
      <c r="L91" s="351"/>
      <c r="M91" s="351"/>
      <c r="N91" s="351"/>
      <c r="O91" s="351"/>
      <c r="P91" s="351"/>
      <c r="Q91" s="351"/>
      <c r="R91" s="351"/>
      <c r="S91" s="351"/>
      <c r="T91" s="351"/>
      <c r="U91" s="351"/>
      <c r="V91" s="351"/>
      <c r="W91" s="351"/>
      <c r="X91" s="351"/>
      <c r="Y91" s="351"/>
      <c r="Z91" s="351"/>
      <c r="AA91" s="351"/>
      <c r="AB91" s="351"/>
    </row>
    <row r="92" ht="14.25" customHeight="1">
      <c r="A92" s="275" t="s">
        <v>11438</v>
      </c>
      <c r="B92" s="402" t="s">
        <v>11439</v>
      </c>
      <c r="C92" s="303" t="s">
        <v>11239</v>
      </c>
      <c r="D92" s="414"/>
      <c r="E92" s="297" t="s">
        <v>11240</v>
      </c>
      <c r="F92" s="296" t="s">
        <v>11440</v>
      </c>
      <c r="G92" s="405"/>
      <c r="H92" s="296" t="s">
        <v>11441</v>
      </c>
      <c r="I92" s="404" t="s">
        <v>36</v>
      </c>
      <c r="J92" s="351"/>
      <c r="K92" s="351"/>
      <c r="L92" s="351"/>
      <c r="M92" s="351"/>
      <c r="N92" s="351"/>
      <c r="O92" s="351"/>
      <c r="P92" s="351"/>
      <c r="Q92" s="351"/>
      <c r="R92" s="351"/>
      <c r="S92" s="351"/>
      <c r="T92" s="351"/>
      <c r="U92" s="351"/>
      <c r="V92" s="351"/>
      <c r="W92" s="351"/>
      <c r="X92" s="351"/>
      <c r="Y92" s="351"/>
      <c r="Z92" s="351"/>
      <c r="AA92" s="351"/>
      <c r="AB92" s="351"/>
    </row>
    <row r="93" ht="14.25" customHeight="1">
      <c r="A93" s="275" t="s">
        <v>11438</v>
      </c>
      <c r="B93" s="108"/>
      <c r="C93" s="303" t="s">
        <v>11243</v>
      </c>
      <c r="D93" s="414"/>
      <c r="E93" s="297" t="s">
        <v>11240</v>
      </c>
      <c r="F93" s="296" t="s">
        <v>11442</v>
      </c>
      <c r="G93" s="405"/>
      <c r="H93" s="296" t="s">
        <v>11443</v>
      </c>
      <c r="I93" s="404" t="s">
        <v>36</v>
      </c>
      <c r="J93" s="351"/>
      <c r="K93" s="351"/>
      <c r="L93" s="351"/>
      <c r="M93" s="351"/>
      <c r="N93" s="351"/>
      <c r="O93" s="351"/>
      <c r="P93" s="351"/>
      <c r="Q93" s="351"/>
      <c r="R93" s="351"/>
      <c r="S93" s="351"/>
      <c r="T93" s="351"/>
      <c r="U93" s="351"/>
      <c r="V93" s="351"/>
      <c r="W93" s="351"/>
      <c r="X93" s="351"/>
      <c r="Y93" s="351"/>
      <c r="Z93" s="351"/>
      <c r="AA93" s="351"/>
      <c r="AB93" s="351"/>
    </row>
    <row r="94" ht="14.25" customHeight="1">
      <c r="A94" s="275" t="s">
        <v>11438</v>
      </c>
      <c r="B94" s="109"/>
      <c r="C94" s="303" t="s">
        <v>11246</v>
      </c>
      <c r="D94" s="414"/>
      <c r="E94" s="297" t="s">
        <v>11240</v>
      </c>
      <c r="F94" s="296" t="s">
        <v>11444</v>
      </c>
      <c r="G94" s="405"/>
      <c r="H94" s="296" t="s">
        <v>11441</v>
      </c>
      <c r="I94" s="404" t="s">
        <v>36</v>
      </c>
      <c r="J94" s="351"/>
      <c r="K94" s="351"/>
      <c r="L94" s="351"/>
      <c r="M94" s="351"/>
      <c r="N94" s="351"/>
      <c r="O94" s="351"/>
      <c r="P94" s="351"/>
      <c r="Q94" s="351"/>
      <c r="R94" s="351"/>
      <c r="S94" s="351"/>
      <c r="T94" s="351"/>
      <c r="U94" s="351"/>
      <c r="V94" s="351"/>
      <c r="W94" s="351"/>
      <c r="X94" s="351"/>
      <c r="Y94" s="351"/>
      <c r="Z94" s="351"/>
      <c r="AA94" s="351"/>
      <c r="AB94" s="351"/>
    </row>
    <row r="95" ht="14.25" customHeight="1">
      <c r="A95" s="275" t="s">
        <v>11445</v>
      </c>
      <c r="B95" s="298" t="s">
        <v>11446</v>
      </c>
      <c r="C95" s="303" t="s">
        <v>11447</v>
      </c>
      <c r="D95" s="297" t="s">
        <v>271</v>
      </c>
      <c r="E95" s="297" t="s">
        <v>11448</v>
      </c>
      <c r="F95" s="296" t="s">
        <v>11449</v>
      </c>
      <c r="G95" s="405"/>
      <c r="H95" s="296" t="s">
        <v>11450</v>
      </c>
      <c r="I95" s="404" t="s">
        <v>36</v>
      </c>
      <c r="J95" s="351"/>
      <c r="K95" s="351"/>
      <c r="L95" s="351"/>
      <c r="M95" s="351"/>
      <c r="N95" s="351"/>
      <c r="O95" s="351"/>
      <c r="P95" s="351"/>
      <c r="Q95" s="351"/>
      <c r="R95" s="351"/>
      <c r="S95" s="351"/>
      <c r="T95" s="351"/>
      <c r="U95" s="351"/>
      <c r="V95" s="351"/>
      <c r="W95" s="351"/>
      <c r="X95" s="351"/>
      <c r="Y95" s="351"/>
      <c r="Z95" s="351"/>
      <c r="AA95" s="351"/>
      <c r="AB95" s="351"/>
    </row>
    <row r="96" ht="14.25" customHeight="1">
      <c r="A96" s="275" t="s">
        <v>11451</v>
      </c>
      <c r="B96" s="402" t="s">
        <v>11452</v>
      </c>
      <c r="C96" s="303" t="s">
        <v>11453</v>
      </c>
      <c r="D96" s="297" t="s">
        <v>2482</v>
      </c>
      <c r="E96" s="297" t="s">
        <v>11454</v>
      </c>
      <c r="F96" s="415" t="s">
        <v>11455</v>
      </c>
      <c r="G96" s="405"/>
      <c r="H96" s="296" t="s">
        <v>11456</v>
      </c>
      <c r="I96" s="404" t="s">
        <v>36</v>
      </c>
      <c r="J96" s="351"/>
      <c r="K96" s="351"/>
      <c r="L96" s="351"/>
      <c r="M96" s="351"/>
      <c r="N96" s="351"/>
      <c r="O96" s="351"/>
      <c r="P96" s="351"/>
      <c r="Q96" s="351"/>
      <c r="R96" s="351"/>
      <c r="S96" s="351"/>
      <c r="T96" s="351"/>
      <c r="U96" s="351"/>
      <c r="V96" s="351"/>
      <c r="W96" s="351"/>
      <c r="X96" s="351"/>
      <c r="Y96" s="351"/>
      <c r="Z96" s="351"/>
      <c r="AA96" s="351"/>
      <c r="AB96" s="351"/>
    </row>
    <row r="97" ht="14.25" customHeight="1">
      <c r="A97" s="275" t="s">
        <v>11451</v>
      </c>
      <c r="B97" s="108"/>
      <c r="C97" s="303" t="s">
        <v>11457</v>
      </c>
      <c r="D97" s="297" t="s">
        <v>2482</v>
      </c>
      <c r="E97" s="297" t="s">
        <v>11454</v>
      </c>
      <c r="F97" s="296" t="s">
        <v>11458</v>
      </c>
      <c r="G97" s="405"/>
      <c r="H97" s="296" t="s">
        <v>11459</v>
      </c>
      <c r="I97" s="404" t="s">
        <v>36</v>
      </c>
      <c r="J97" s="351"/>
      <c r="K97" s="351"/>
      <c r="L97" s="351"/>
      <c r="M97" s="351"/>
      <c r="N97" s="351"/>
      <c r="O97" s="351"/>
      <c r="P97" s="351"/>
      <c r="Q97" s="351"/>
      <c r="R97" s="351"/>
      <c r="S97" s="351"/>
      <c r="T97" s="351"/>
      <c r="U97" s="351"/>
      <c r="V97" s="351"/>
      <c r="W97" s="351"/>
      <c r="X97" s="351"/>
      <c r="Y97" s="351"/>
      <c r="Z97" s="351"/>
      <c r="AA97" s="351"/>
      <c r="AB97" s="351"/>
    </row>
    <row r="98" ht="14.25" customHeight="1">
      <c r="A98" s="275" t="s">
        <v>11451</v>
      </c>
      <c r="B98" s="108"/>
      <c r="C98" s="303" t="s">
        <v>11460</v>
      </c>
      <c r="D98" s="297" t="s">
        <v>271</v>
      </c>
      <c r="E98" s="297" t="s">
        <v>11454</v>
      </c>
      <c r="F98" s="415" t="s">
        <v>11461</v>
      </c>
      <c r="G98" s="405"/>
      <c r="H98" s="296" t="s">
        <v>11456</v>
      </c>
      <c r="I98" s="404" t="s">
        <v>36</v>
      </c>
      <c r="J98" s="351"/>
      <c r="K98" s="351"/>
      <c r="L98" s="351"/>
      <c r="M98" s="351"/>
      <c r="N98" s="351"/>
      <c r="O98" s="351"/>
      <c r="P98" s="351"/>
      <c r="Q98" s="351"/>
      <c r="R98" s="351"/>
      <c r="S98" s="351"/>
      <c r="T98" s="351"/>
      <c r="U98" s="351"/>
      <c r="V98" s="351"/>
      <c r="W98" s="351"/>
      <c r="X98" s="351"/>
      <c r="Y98" s="351"/>
      <c r="Z98" s="351"/>
      <c r="AA98" s="351"/>
      <c r="AB98" s="351"/>
    </row>
    <row r="99" ht="14.25" customHeight="1">
      <c r="A99" s="275" t="s">
        <v>11451</v>
      </c>
      <c r="B99" s="109"/>
      <c r="C99" s="303" t="s">
        <v>11462</v>
      </c>
      <c r="D99" s="297" t="s">
        <v>271</v>
      </c>
      <c r="E99" s="297" t="s">
        <v>11454</v>
      </c>
      <c r="F99" s="296" t="s">
        <v>11463</v>
      </c>
      <c r="G99" s="405"/>
      <c r="H99" s="296" t="s">
        <v>11459</v>
      </c>
      <c r="I99" s="404" t="s">
        <v>36</v>
      </c>
      <c r="J99" s="351"/>
      <c r="K99" s="351"/>
      <c r="L99" s="351"/>
      <c r="M99" s="351"/>
      <c r="N99" s="351"/>
      <c r="O99" s="351"/>
      <c r="P99" s="351"/>
      <c r="Q99" s="351"/>
      <c r="R99" s="351"/>
      <c r="S99" s="351"/>
      <c r="T99" s="351"/>
      <c r="U99" s="351"/>
      <c r="V99" s="351"/>
      <c r="W99" s="351"/>
      <c r="X99" s="351"/>
      <c r="Y99" s="351"/>
      <c r="Z99" s="351"/>
      <c r="AA99" s="351"/>
      <c r="AB99" s="351"/>
    </row>
    <row r="100" ht="14.25" customHeight="1">
      <c r="A100" s="416" t="s">
        <v>11464</v>
      </c>
      <c r="B100" s="402" t="s">
        <v>11465</v>
      </c>
      <c r="C100" s="303" t="s">
        <v>11466</v>
      </c>
      <c r="D100" s="297" t="s">
        <v>2482</v>
      </c>
      <c r="E100" s="297" t="s">
        <v>11240</v>
      </c>
      <c r="F100" s="296" t="s">
        <v>11467</v>
      </c>
      <c r="G100" s="405"/>
      <c r="H100" s="296" t="s">
        <v>11468</v>
      </c>
      <c r="I100" s="404" t="s">
        <v>36</v>
      </c>
      <c r="J100" s="351"/>
      <c r="K100" s="351"/>
      <c r="L100" s="351"/>
      <c r="M100" s="351"/>
      <c r="N100" s="351"/>
      <c r="O100" s="351"/>
      <c r="P100" s="351"/>
      <c r="Q100" s="351"/>
      <c r="R100" s="351"/>
      <c r="S100" s="351"/>
      <c r="T100" s="351"/>
      <c r="U100" s="351"/>
      <c r="V100" s="351"/>
      <c r="W100" s="351"/>
      <c r="X100" s="351"/>
      <c r="Y100" s="351"/>
      <c r="Z100" s="351"/>
      <c r="AA100" s="351"/>
      <c r="AB100" s="351"/>
    </row>
    <row r="101" ht="14.25" customHeight="1">
      <c r="A101" s="417" t="s">
        <v>11464</v>
      </c>
      <c r="B101" s="108"/>
      <c r="C101" s="303" t="s">
        <v>11469</v>
      </c>
      <c r="D101" s="297" t="s">
        <v>2482</v>
      </c>
      <c r="E101" s="297" t="s">
        <v>11240</v>
      </c>
      <c r="F101" s="296" t="s">
        <v>11470</v>
      </c>
      <c r="G101" s="405"/>
      <c r="H101" s="296" t="s">
        <v>11471</v>
      </c>
      <c r="I101" s="404" t="s">
        <v>36</v>
      </c>
      <c r="J101" s="351"/>
      <c r="K101" s="351"/>
      <c r="L101" s="351"/>
      <c r="M101" s="351"/>
      <c r="N101" s="351"/>
      <c r="O101" s="351"/>
      <c r="P101" s="351"/>
      <c r="Q101" s="351"/>
      <c r="R101" s="351"/>
      <c r="S101" s="351"/>
      <c r="T101" s="351"/>
      <c r="U101" s="351"/>
      <c r="V101" s="351"/>
      <c r="W101" s="351"/>
      <c r="X101" s="351"/>
      <c r="Y101" s="351"/>
      <c r="Z101" s="351"/>
      <c r="AA101" s="351"/>
      <c r="AB101" s="351"/>
    </row>
    <row r="102" ht="14.25" customHeight="1">
      <c r="A102" s="417" t="s">
        <v>11464</v>
      </c>
      <c r="B102" s="108"/>
      <c r="C102" s="303" t="s">
        <v>11472</v>
      </c>
      <c r="D102" s="297" t="s">
        <v>2482</v>
      </c>
      <c r="E102" s="297" t="s">
        <v>11240</v>
      </c>
      <c r="F102" s="296" t="s">
        <v>11473</v>
      </c>
      <c r="G102" s="405"/>
      <c r="H102" s="296" t="s">
        <v>11471</v>
      </c>
      <c r="I102" s="404" t="s">
        <v>36</v>
      </c>
      <c r="J102" s="351"/>
      <c r="K102" s="351"/>
      <c r="L102" s="351"/>
      <c r="M102" s="351"/>
      <c r="N102" s="351"/>
      <c r="O102" s="351"/>
      <c r="P102" s="351"/>
      <c r="Q102" s="351"/>
      <c r="R102" s="351"/>
      <c r="S102" s="351"/>
      <c r="T102" s="351"/>
      <c r="U102" s="351"/>
      <c r="V102" s="351"/>
      <c r="W102" s="351"/>
      <c r="X102" s="351"/>
      <c r="Y102" s="351"/>
      <c r="Z102" s="351"/>
      <c r="AA102" s="351"/>
      <c r="AB102" s="351"/>
    </row>
    <row r="103" ht="14.25" customHeight="1">
      <c r="A103" s="417" t="s">
        <v>11464</v>
      </c>
      <c r="B103" s="108"/>
      <c r="C103" s="303" t="s">
        <v>11474</v>
      </c>
      <c r="D103" s="297" t="s">
        <v>271</v>
      </c>
      <c r="E103" s="297" t="s">
        <v>11240</v>
      </c>
      <c r="F103" s="296" t="s">
        <v>11475</v>
      </c>
      <c r="G103" s="405"/>
      <c r="H103" s="296" t="s">
        <v>11476</v>
      </c>
      <c r="I103" s="404" t="s">
        <v>317</v>
      </c>
      <c r="J103" s="351"/>
      <c r="K103" s="351"/>
      <c r="L103" s="351"/>
      <c r="M103" s="351"/>
      <c r="N103" s="351"/>
      <c r="O103" s="351"/>
      <c r="P103" s="351"/>
      <c r="Q103" s="351"/>
      <c r="R103" s="351"/>
      <c r="S103" s="351"/>
      <c r="T103" s="351"/>
      <c r="U103" s="351"/>
      <c r="V103" s="351"/>
      <c r="W103" s="351"/>
      <c r="X103" s="351"/>
      <c r="Y103" s="351"/>
      <c r="Z103" s="351"/>
      <c r="AA103" s="351"/>
      <c r="AB103" s="351"/>
    </row>
    <row r="104" ht="14.25" customHeight="1">
      <c r="A104" s="417" t="s">
        <v>11464</v>
      </c>
      <c r="B104" s="108"/>
      <c r="C104" s="303" t="s">
        <v>11477</v>
      </c>
      <c r="D104" s="297" t="s">
        <v>271</v>
      </c>
      <c r="E104" s="297" t="s">
        <v>11240</v>
      </c>
      <c r="F104" s="296" t="s">
        <v>11478</v>
      </c>
      <c r="G104" s="405"/>
      <c r="H104" s="296" t="s">
        <v>11479</v>
      </c>
      <c r="I104" s="404" t="s">
        <v>36</v>
      </c>
      <c r="J104" s="351"/>
      <c r="K104" s="351"/>
      <c r="L104" s="351"/>
      <c r="M104" s="351"/>
      <c r="N104" s="351"/>
      <c r="O104" s="351"/>
      <c r="P104" s="351"/>
      <c r="Q104" s="351"/>
      <c r="R104" s="351"/>
      <c r="S104" s="351"/>
      <c r="T104" s="351"/>
      <c r="U104" s="351"/>
      <c r="V104" s="351"/>
      <c r="W104" s="351"/>
      <c r="X104" s="351"/>
      <c r="Y104" s="351"/>
      <c r="Z104" s="351"/>
      <c r="AA104" s="351"/>
      <c r="AB104" s="351"/>
    </row>
    <row r="105" ht="44.25" customHeight="1">
      <c r="A105" s="417" t="s">
        <v>11464</v>
      </c>
      <c r="B105" s="109"/>
      <c r="C105" s="303" t="s">
        <v>11480</v>
      </c>
      <c r="D105" s="297" t="s">
        <v>271</v>
      </c>
      <c r="E105" s="297" t="s">
        <v>11240</v>
      </c>
      <c r="F105" s="296" t="s">
        <v>11481</v>
      </c>
      <c r="G105" s="405"/>
      <c r="H105" s="296" t="s">
        <v>11476</v>
      </c>
      <c r="I105" s="404" t="s">
        <v>36</v>
      </c>
      <c r="J105" s="351"/>
      <c r="K105" s="351"/>
      <c r="L105" s="351"/>
      <c r="M105" s="351"/>
      <c r="N105" s="351"/>
      <c r="O105" s="351"/>
      <c r="P105" s="351"/>
      <c r="Q105" s="351"/>
      <c r="R105" s="351"/>
      <c r="S105" s="351"/>
      <c r="T105" s="351"/>
      <c r="U105" s="351"/>
      <c r="V105" s="351"/>
      <c r="W105" s="351"/>
      <c r="X105" s="351"/>
      <c r="Y105" s="351"/>
      <c r="Z105" s="351"/>
      <c r="AA105" s="351"/>
      <c r="AB105" s="351"/>
    </row>
    <row r="106" ht="14.25" customHeight="1">
      <c r="A106" s="418"/>
      <c r="B106" s="388"/>
      <c r="C106" s="419" t="s">
        <v>11482</v>
      </c>
      <c r="D106" s="314" t="s">
        <v>2482</v>
      </c>
      <c r="E106" s="314" t="s">
        <v>8677</v>
      </c>
      <c r="F106" s="313" t="s">
        <v>11483</v>
      </c>
      <c r="G106" s="420"/>
      <c r="H106" s="313" t="s">
        <v>11484</v>
      </c>
      <c r="I106" s="404" t="s">
        <v>36</v>
      </c>
      <c r="J106" s="351"/>
      <c r="K106" s="351"/>
      <c r="L106" s="351"/>
      <c r="M106" s="351"/>
      <c r="N106" s="351"/>
      <c r="O106" s="351"/>
      <c r="P106" s="351"/>
      <c r="Q106" s="351"/>
      <c r="R106" s="351"/>
      <c r="S106" s="351"/>
      <c r="T106" s="351"/>
      <c r="U106" s="351"/>
      <c r="V106" s="351"/>
      <c r="W106" s="351"/>
      <c r="X106" s="351"/>
      <c r="Y106" s="351"/>
      <c r="Z106" s="351"/>
      <c r="AA106" s="351"/>
      <c r="AB106" s="351"/>
    </row>
    <row r="107" ht="14.25" customHeight="1">
      <c r="A107" s="418"/>
      <c r="B107" s="388"/>
      <c r="C107" s="419" t="s">
        <v>11485</v>
      </c>
      <c r="D107" s="314" t="s">
        <v>2482</v>
      </c>
      <c r="E107" s="314" t="s">
        <v>8677</v>
      </c>
      <c r="F107" s="313" t="s">
        <v>11486</v>
      </c>
      <c r="G107" s="420"/>
      <c r="H107" s="313" t="s">
        <v>11484</v>
      </c>
      <c r="I107" s="404" t="s">
        <v>36</v>
      </c>
      <c r="J107" s="351"/>
      <c r="K107" s="351"/>
      <c r="L107" s="351"/>
      <c r="M107" s="351"/>
      <c r="N107" s="351"/>
      <c r="O107" s="351"/>
      <c r="P107" s="351"/>
      <c r="Q107" s="351"/>
      <c r="R107" s="351"/>
      <c r="S107" s="351"/>
      <c r="T107" s="351"/>
      <c r="U107" s="351"/>
      <c r="V107" s="351"/>
      <c r="W107" s="351"/>
      <c r="X107" s="351"/>
      <c r="Y107" s="351"/>
      <c r="Z107" s="351"/>
      <c r="AA107" s="351"/>
      <c r="AB107" s="351"/>
    </row>
    <row r="108" ht="14.25" customHeight="1">
      <c r="A108" s="418"/>
      <c r="B108" s="388"/>
      <c r="C108" s="419" t="s">
        <v>11487</v>
      </c>
      <c r="D108" s="314" t="s">
        <v>2482</v>
      </c>
      <c r="E108" s="314" t="s">
        <v>8677</v>
      </c>
      <c r="F108" s="313" t="s">
        <v>11488</v>
      </c>
      <c r="G108" s="420"/>
      <c r="H108" s="313" t="s">
        <v>11484</v>
      </c>
      <c r="I108" s="404" t="s">
        <v>36</v>
      </c>
      <c r="J108" s="351"/>
      <c r="K108" s="351"/>
      <c r="L108" s="351"/>
      <c r="M108" s="351"/>
      <c r="N108" s="351"/>
      <c r="O108" s="351"/>
      <c r="P108" s="351"/>
      <c r="Q108" s="351"/>
      <c r="R108" s="351"/>
      <c r="S108" s="351"/>
      <c r="T108" s="351"/>
      <c r="U108" s="351"/>
      <c r="V108" s="351"/>
      <c r="W108" s="351"/>
      <c r="X108" s="351"/>
      <c r="Y108" s="351"/>
      <c r="Z108" s="351"/>
      <c r="AA108" s="351"/>
      <c r="AB108" s="351"/>
    </row>
    <row r="109" ht="14.25" customHeight="1">
      <c r="A109" s="418"/>
      <c r="B109" s="388"/>
      <c r="C109" s="419" t="s">
        <v>11489</v>
      </c>
      <c r="D109" s="314" t="s">
        <v>271</v>
      </c>
      <c r="E109" s="313" t="s">
        <v>11490</v>
      </c>
      <c r="F109" s="421" t="s">
        <v>11491</v>
      </c>
      <c r="G109" s="422" t="s">
        <v>11492</v>
      </c>
      <c r="H109" s="422" t="s">
        <v>11493</v>
      </c>
      <c r="I109" s="404" t="s">
        <v>36</v>
      </c>
      <c r="J109" s="351"/>
      <c r="K109" s="351"/>
      <c r="L109" s="351"/>
      <c r="M109" s="351"/>
      <c r="N109" s="351"/>
      <c r="O109" s="351"/>
      <c r="P109" s="351"/>
      <c r="Q109" s="351"/>
      <c r="R109" s="351"/>
      <c r="S109" s="351"/>
      <c r="T109" s="351"/>
      <c r="U109" s="351"/>
      <c r="V109" s="351"/>
      <c r="W109" s="351"/>
      <c r="X109" s="351"/>
      <c r="Y109" s="351"/>
      <c r="Z109" s="351"/>
      <c r="AA109" s="351"/>
      <c r="AB109" s="351"/>
    </row>
    <row r="110" ht="14.25" customHeight="1">
      <c r="A110" s="418"/>
      <c r="B110" s="388"/>
      <c r="C110" s="419" t="s">
        <v>11489</v>
      </c>
      <c r="D110" s="314" t="s">
        <v>271</v>
      </c>
      <c r="E110" s="313" t="s">
        <v>11490</v>
      </c>
      <c r="F110" s="423" t="s">
        <v>11494</v>
      </c>
      <c r="G110" s="424" t="s">
        <v>11495</v>
      </c>
      <c r="H110" s="424" t="s">
        <v>11496</v>
      </c>
      <c r="I110" s="404" t="s">
        <v>36</v>
      </c>
      <c r="J110" s="351"/>
      <c r="K110" s="296" t="s">
        <v>11497</v>
      </c>
      <c r="L110" s="351"/>
      <c r="M110" s="351"/>
      <c r="N110" s="351"/>
      <c r="O110" s="351"/>
      <c r="P110" s="351"/>
      <c r="Q110" s="351"/>
      <c r="R110" s="351"/>
      <c r="S110" s="351"/>
      <c r="T110" s="351"/>
      <c r="U110" s="351"/>
      <c r="V110" s="351"/>
      <c r="W110" s="351"/>
      <c r="X110" s="351"/>
      <c r="Y110" s="351"/>
      <c r="Z110" s="351"/>
      <c r="AA110" s="351"/>
      <c r="AB110" s="351"/>
    </row>
    <row r="111" ht="14.25" customHeight="1">
      <c r="A111" s="418"/>
      <c r="B111" s="388"/>
      <c r="C111" s="419" t="s">
        <v>11489</v>
      </c>
      <c r="D111" s="314" t="s">
        <v>271</v>
      </c>
      <c r="E111" s="313" t="s">
        <v>11490</v>
      </c>
      <c r="F111" s="423" t="s">
        <v>11498</v>
      </c>
      <c r="G111" s="424" t="s">
        <v>11499</v>
      </c>
      <c r="H111" s="424" t="s">
        <v>11500</v>
      </c>
      <c r="I111" s="404" t="s">
        <v>36</v>
      </c>
      <c r="J111" s="351"/>
      <c r="K111" s="351"/>
      <c r="L111" s="351"/>
      <c r="M111" s="351"/>
      <c r="N111" s="351"/>
      <c r="O111" s="351"/>
      <c r="P111" s="351"/>
      <c r="Q111" s="351"/>
      <c r="R111" s="351"/>
      <c r="S111" s="351"/>
      <c r="T111" s="351"/>
      <c r="U111" s="351"/>
      <c r="V111" s="351"/>
      <c r="W111" s="351"/>
      <c r="X111" s="351"/>
      <c r="Y111" s="351"/>
      <c r="Z111" s="351"/>
      <c r="AA111" s="351"/>
      <c r="AB111" s="351"/>
    </row>
    <row r="112" ht="14.25" customHeight="1">
      <c r="A112" s="418"/>
      <c r="B112" s="388"/>
      <c r="C112" s="419" t="s">
        <v>11489</v>
      </c>
      <c r="D112" s="314" t="s">
        <v>271</v>
      </c>
      <c r="E112" s="313" t="s">
        <v>11490</v>
      </c>
      <c r="F112" s="423" t="s">
        <v>11501</v>
      </c>
      <c r="G112" s="424" t="s">
        <v>11495</v>
      </c>
      <c r="H112" s="424" t="s">
        <v>11502</v>
      </c>
      <c r="I112" s="404" t="s">
        <v>36</v>
      </c>
      <c r="J112" s="351"/>
      <c r="K112" s="351"/>
      <c r="L112" s="351"/>
      <c r="M112" s="351"/>
      <c r="N112" s="351"/>
      <c r="O112" s="351"/>
      <c r="P112" s="351"/>
      <c r="Q112" s="351"/>
      <c r="R112" s="351"/>
      <c r="S112" s="351"/>
      <c r="T112" s="351"/>
      <c r="U112" s="351"/>
      <c r="V112" s="351"/>
      <c r="W112" s="351"/>
      <c r="X112" s="351"/>
      <c r="Y112" s="351"/>
      <c r="Z112" s="351"/>
      <c r="AA112" s="351"/>
      <c r="AB112" s="351"/>
    </row>
    <row r="113" ht="14.25" customHeight="1">
      <c r="A113" s="418"/>
      <c r="B113" s="388"/>
      <c r="C113" s="419" t="s">
        <v>11489</v>
      </c>
      <c r="D113" s="314" t="s">
        <v>271</v>
      </c>
      <c r="E113" s="313" t="s">
        <v>11490</v>
      </c>
      <c r="F113" s="423" t="s">
        <v>11503</v>
      </c>
      <c r="G113" s="424" t="s">
        <v>11504</v>
      </c>
      <c r="H113" s="424" t="s">
        <v>11505</v>
      </c>
      <c r="I113" s="404" t="s">
        <v>36</v>
      </c>
      <c r="J113" s="351"/>
      <c r="K113" s="351"/>
      <c r="L113" s="351"/>
      <c r="M113" s="351"/>
      <c r="N113" s="351"/>
      <c r="O113" s="351"/>
      <c r="P113" s="351"/>
      <c r="Q113" s="351"/>
      <c r="R113" s="351"/>
      <c r="S113" s="351"/>
      <c r="T113" s="351"/>
      <c r="U113" s="351"/>
      <c r="V113" s="351"/>
      <c r="W113" s="351"/>
      <c r="X113" s="351"/>
      <c r="Y113" s="351"/>
      <c r="Z113" s="351"/>
      <c r="AA113" s="351"/>
      <c r="AB113" s="351"/>
    </row>
    <row r="114" ht="14.25" customHeight="1">
      <c r="A114" s="418"/>
      <c r="B114" s="388"/>
      <c r="C114" s="419" t="s">
        <v>11506</v>
      </c>
      <c r="D114" s="314" t="s">
        <v>2482</v>
      </c>
      <c r="E114" s="314" t="s">
        <v>11507</v>
      </c>
      <c r="F114" s="313" t="s">
        <v>11508</v>
      </c>
      <c r="G114" s="420"/>
      <c r="H114" s="313" t="s">
        <v>11509</v>
      </c>
      <c r="I114" s="404" t="s">
        <v>36</v>
      </c>
      <c r="J114" s="351"/>
      <c r="K114" s="351"/>
      <c r="L114" s="351"/>
      <c r="M114" s="351"/>
      <c r="N114" s="351"/>
      <c r="O114" s="351"/>
      <c r="P114" s="351"/>
      <c r="Q114" s="351"/>
      <c r="R114" s="351"/>
      <c r="S114" s="351"/>
      <c r="T114" s="351"/>
      <c r="U114" s="351"/>
      <c r="V114" s="351"/>
      <c r="W114" s="351"/>
      <c r="X114" s="351"/>
      <c r="Y114" s="351"/>
      <c r="Z114" s="351"/>
      <c r="AA114" s="351"/>
      <c r="AB114" s="351"/>
    </row>
    <row r="115" ht="14.25" customHeight="1">
      <c r="A115" s="418"/>
      <c r="B115" s="388"/>
      <c r="C115" s="360" t="s">
        <v>11510</v>
      </c>
      <c r="D115" s="314" t="s">
        <v>2983</v>
      </c>
      <c r="E115" s="314" t="s">
        <v>11511</v>
      </c>
      <c r="F115" s="313" t="s">
        <v>11512</v>
      </c>
      <c r="G115" s="420"/>
      <c r="H115" s="313" t="s">
        <v>11513</v>
      </c>
      <c r="I115" s="404" t="s">
        <v>36</v>
      </c>
      <c r="J115" s="351"/>
      <c r="K115" s="351"/>
      <c r="L115" s="351"/>
      <c r="M115" s="351"/>
      <c r="N115" s="351"/>
      <c r="O115" s="351"/>
      <c r="P115" s="351"/>
      <c r="Q115" s="351"/>
      <c r="R115" s="351"/>
      <c r="S115" s="351"/>
      <c r="T115" s="351"/>
      <c r="U115" s="351"/>
      <c r="V115" s="351"/>
      <c r="W115" s="351"/>
      <c r="X115" s="351"/>
      <c r="Y115" s="351"/>
      <c r="Z115" s="351"/>
      <c r="AA115" s="351"/>
      <c r="AB115" s="351"/>
    </row>
    <row r="116" ht="14.25" customHeight="1">
      <c r="A116" s="418"/>
      <c r="B116" s="388"/>
      <c r="C116" s="360" t="s">
        <v>11514</v>
      </c>
      <c r="D116" s="314" t="s">
        <v>2983</v>
      </c>
      <c r="E116" s="314" t="s">
        <v>11511</v>
      </c>
      <c r="F116" s="313" t="s">
        <v>11515</v>
      </c>
      <c r="G116" s="420"/>
      <c r="H116" s="313" t="s">
        <v>11516</v>
      </c>
      <c r="I116" s="404" t="s">
        <v>36</v>
      </c>
      <c r="J116" s="351"/>
      <c r="K116" s="351"/>
      <c r="L116" s="351"/>
      <c r="M116" s="351"/>
      <c r="N116" s="351"/>
      <c r="O116" s="351"/>
      <c r="P116" s="351"/>
      <c r="Q116" s="351"/>
      <c r="R116" s="351"/>
      <c r="S116" s="351"/>
      <c r="T116" s="351"/>
      <c r="U116" s="351"/>
      <c r="V116" s="351"/>
      <c r="W116" s="351"/>
      <c r="X116" s="351"/>
      <c r="Y116" s="351"/>
      <c r="Z116" s="351"/>
      <c r="AA116" s="351"/>
      <c r="AB116" s="351"/>
    </row>
    <row r="117" ht="14.25" customHeight="1">
      <c r="A117" s="418"/>
      <c r="B117" s="388"/>
      <c r="C117" s="303" t="s">
        <v>11517</v>
      </c>
      <c r="D117" s="314" t="s">
        <v>2983</v>
      </c>
      <c r="E117" s="314" t="s">
        <v>11518</v>
      </c>
      <c r="F117" s="313" t="s">
        <v>11519</v>
      </c>
      <c r="G117" s="420"/>
      <c r="H117" s="313" t="s">
        <v>11520</v>
      </c>
      <c r="I117" s="404" t="s">
        <v>36</v>
      </c>
      <c r="J117" s="351"/>
      <c r="K117" s="351"/>
      <c r="L117" s="351"/>
      <c r="M117" s="351"/>
      <c r="N117" s="351"/>
      <c r="O117" s="351"/>
      <c r="P117" s="351"/>
      <c r="Q117" s="351"/>
      <c r="R117" s="351"/>
      <c r="S117" s="351"/>
      <c r="T117" s="351"/>
      <c r="U117" s="351"/>
      <c r="V117" s="351"/>
      <c r="W117" s="351"/>
      <c r="X117" s="351"/>
      <c r="Y117" s="351"/>
      <c r="Z117" s="351"/>
      <c r="AA117" s="351"/>
      <c r="AB117" s="351"/>
    </row>
    <row r="118" ht="14.25" customHeight="1">
      <c r="A118" s="418"/>
      <c r="B118" s="388"/>
      <c r="C118" s="360" t="s">
        <v>11517</v>
      </c>
      <c r="D118" s="314" t="s">
        <v>2983</v>
      </c>
      <c r="E118" s="314" t="s">
        <v>11521</v>
      </c>
      <c r="F118" s="313" t="s">
        <v>11522</v>
      </c>
      <c r="G118" s="420"/>
      <c r="H118" s="313" t="s">
        <v>11523</v>
      </c>
      <c r="I118" s="404" t="s">
        <v>36</v>
      </c>
      <c r="J118" s="351"/>
      <c r="K118" s="351"/>
      <c r="L118" s="351"/>
      <c r="M118" s="351"/>
      <c r="N118" s="351"/>
      <c r="O118" s="351"/>
      <c r="P118" s="351"/>
      <c r="Q118" s="351"/>
      <c r="R118" s="351"/>
      <c r="S118" s="351"/>
      <c r="T118" s="351"/>
      <c r="U118" s="351"/>
      <c r="V118" s="351"/>
      <c r="W118" s="351"/>
      <c r="X118" s="351"/>
      <c r="Y118" s="351"/>
      <c r="Z118" s="351"/>
      <c r="AA118" s="351"/>
      <c r="AB118" s="351"/>
    </row>
    <row r="119" ht="14.25" customHeight="1">
      <c r="A119" s="418"/>
      <c r="B119" s="388"/>
      <c r="C119" s="360" t="s">
        <v>11517</v>
      </c>
      <c r="D119" s="314" t="s">
        <v>2983</v>
      </c>
      <c r="E119" s="314" t="s">
        <v>11518</v>
      </c>
      <c r="F119" s="313" t="s">
        <v>11524</v>
      </c>
      <c r="G119" s="420"/>
      <c r="H119" s="313" t="s">
        <v>11525</v>
      </c>
      <c r="I119" s="404" t="s">
        <v>36</v>
      </c>
      <c r="J119" s="351"/>
      <c r="K119" s="351"/>
      <c r="L119" s="351"/>
      <c r="M119" s="351"/>
      <c r="N119" s="351"/>
      <c r="O119" s="351"/>
      <c r="P119" s="351"/>
      <c r="Q119" s="351"/>
      <c r="R119" s="351"/>
      <c r="S119" s="351"/>
      <c r="T119" s="351"/>
      <c r="U119" s="351"/>
      <c r="V119" s="351"/>
      <c r="W119" s="351"/>
      <c r="X119" s="351"/>
      <c r="Y119" s="351"/>
      <c r="Z119" s="351"/>
      <c r="AA119" s="351"/>
      <c r="AB119" s="351"/>
    </row>
    <row r="120" ht="14.25" customHeight="1">
      <c r="A120" s="418"/>
      <c r="B120" s="388"/>
      <c r="C120" s="360" t="s">
        <v>11526</v>
      </c>
      <c r="D120" s="314" t="s">
        <v>2983</v>
      </c>
      <c r="E120" s="314" t="s">
        <v>11527</v>
      </c>
      <c r="F120" s="313" t="s">
        <v>11528</v>
      </c>
      <c r="G120" s="420"/>
      <c r="H120" s="313" t="s">
        <v>11529</v>
      </c>
      <c r="I120" s="404" t="s">
        <v>36</v>
      </c>
      <c r="J120" s="351"/>
      <c r="K120" s="351"/>
      <c r="L120" s="351"/>
      <c r="M120" s="351"/>
      <c r="N120" s="351"/>
      <c r="O120" s="351"/>
      <c r="P120" s="351"/>
      <c r="Q120" s="351"/>
      <c r="R120" s="351"/>
      <c r="S120" s="351"/>
      <c r="T120" s="351"/>
      <c r="U120" s="351"/>
      <c r="V120" s="351"/>
      <c r="W120" s="351"/>
      <c r="X120" s="351"/>
      <c r="Y120" s="351"/>
      <c r="Z120" s="351"/>
      <c r="AA120" s="351"/>
      <c r="AB120" s="351"/>
    </row>
    <row r="121" ht="14.25" customHeight="1">
      <c r="A121" s="418"/>
      <c r="B121" s="388"/>
      <c r="C121" s="360" t="s">
        <v>11530</v>
      </c>
      <c r="D121" s="314" t="s">
        <v>2983</v>
      </c>
      <c r="E121" s="314" t="s">
        <v>11511</v>
      </c>
      <c r="F121" s="313" t="s">
        <v>11531</v>
      </c>
      <c r="G121" s="420"/>
      <c r="H121" s="313" t="s">
        <v>11532</v>
      </c>
      <c r="I121" s="404" t="s">
        <v>36</v>
      </c>
      <c r="J121" s="351"/>
      <c r="K121" s="351"/>
      <c r="L121" s="351"/>
      <c r="M121" s="351"/>
      <c r="N121" s="351"/>
      <c r="O121" s="351"/>
      <c r="P121" s="351"/>
      <c r="Q121" s="351"/>
      <c r="R121" s="351"/>
      <c r="S121" s="351"/>
      <c r="T121" s="351"/>
      <c r="U121" s="351"/>
      <c r="V121" s="351"/>
      <c r="W121" s="351"/>
      <c r="X121" s="351"/>
      <c r="Y121" s="351"/>
      <c r="Z121" s="351"/>
      <c r="AA121" s="351"/>
      <c r="AB121" s="351"/>
    </row>
    <row r="122" ht="14.25" customHeight="1">
      <c r="A122" s="417" t="s">
        <v>11533</v>
      </c>
      <c r="B122" s="425" t="s">
        <v>11534</v>
      </c>
      <c r="C122" s="303" t="s">
        <v>11466</v>
      </c>
      <c r="D122" s="297" t="s">
        <v>2482</v>
      </c>
      <c r="E122" s="297" t="s">
        <v>11240</v>
      </c>
      <c r="F122" s="296" t="s">
        <v>11535</v>
      </c>
      <c r="G122" s="405"/>
      <c r="H122" s="296" t="s">
        <v>11536</v>
      </c>
      <c r="I122" s="404" t="s">
        <v>36</v>
      </c>
      <c r="J122" s="351"/>
      <c r="K122" s="351"/>
      <c r="L122" s="351"/>
      <c r="M122" s="351"/>
      <c r="N122" s="351"/>
      <c r="O122" s="351"/>
      <c r="P122" s="351"/>
      <c r="Q122" s="351"/>
      <c r="R122" s="351"/>
      <c r="S122" s="351"/>
      <c r="T122" s="351"/>
      <c r="U122" s="351"/>
      <c r="V122" s="351"/>
      <c r="W122" s="351"/>
      <c r="X122" s="351"/>
      <c r="Y122" s="351"/>
      <c r="Z122" s="351"/>
      <c r="AA122" s="351"/>
      <c r="AB122" s="351"/>
    </row>
    <row r="123" ht="14.25" customHeight="1">
      <c r="A123" s="417" t="s">
        <v>11533</v>
      </c>
      <c r="B123" s="108"/>
      <c r="C123" s="303" t="s">
        <v>11469</v>
      </c>
      <c r="D123" s="297" t="s">
        <v>2482</v>
      </c>
      <c r="E123" s="297" t="s">
        <v>11240</v>
      </c>
      <c r="F123" s="296" t="s">
        <v>11537</v>
      </c>
      <c r="G123" s="405"/>
      <c r="H123" s="296" t="s">
        <v>11471</v>
      </c>
      <c r="I123" s="404" t="s">
        <v>36</v>
      </c>
      <c r="J123" s="351"/>
      <c r="K123" s="351"/>
      <c r="L123" s="351"/>
      <c r="M123" s="351"/>
      <c r="N123" s="351"/>
      <c r="O123" s="351"/>
      <c r="P123" s="351"/>
      <c r="Q123" s="351"/>
      <c r="R123" s="351"/>
      <c r="S123" s="351"/>
      <c r="T123" s="351"/>
      <c r="U123" s="351"/>
      <c r="V123" s="351"/>
      <c r="W123" s="351"/>
      <c r="X123" s="351"/>
      <c r="Y123" s="351"/>
      <c r="Z123" s="351"/>
      <c r="AA123" s="351"/>
      <c r="AB123" s="351"/>
    </row>
    <row r="124" ht="14.25" customHeight="1">
      <c r="A124" s="417" t="s">
        <v>11533</v>
      </c>
      <c r="B124" s="108"/>
      <c r="C124" s="303" t="s">
        <v>11472</v>
      </c>
      <c r="D124" s="297" t="s">
        <v>271</v>
      </c>
      <c r="E124" s="297" t="s">
        <v>11240</v>
      </c>
      <c r="F124" s="296" t="s">
        <v>11538</v>
      </c>
      <c r="G124" s="405"/>
      <c r="H124" s="296" t="s">
        <v>11476</v>
      </c>
      <c r="I124" s="404" t="s">
        <v>317</v>
      </c>
      <c r="J124" s="351"/>
      <c r="K124" s="351"/>
      <c r="L124" s="351"/>
      <c r="M124" s="351"/>
      <c r="N124" s="351"/>
      <c r="O124" s="351"/>
      <c r="P124" s="351"/>
      <c r="Q124" s="351"/>
      <c r="R124" s="351"/>
      <c r="S124" s="351"/>
      <c r="T124" s="351"/>
      <c r="U124" s="351"/>
      <c r="V124" s="351"/>
      <c r="W124" s="351"/>
      <c r="X124" s="351"/>
      <c r="Y124" s="351"/>
      <c r="Z124" s="351"/>
      <c r="AA124" s="351"/>
      <c r="AB124" s="351"/>
    </row>
    <row r="125" ht="14.25" customHeight="1">
      <c r="A125" s="417" t="s">
        <v>11533</v>
      </c>
      <c r="B125" s="108"/>
      <c r="C125" s="303" t="s">
        <v>11474</v>
      </c>
      <c r="D125" s="297" t="s">
        <v>271</v>
      </c>
      <c r="E125" s="297" t="s">
        <v>11240</v>
      </c>
      <c r="F125" s="298" t="s">
        <v>11539</v>
      </c>
      <c r="G125" s="426"/>
      <c r="H125" s="298" t="s">
        <v>11476</v>
      </c>
      <c r="I125" s="404" t="s">
        <v>36</v>
      </c>
      <c r="J125" s="351"/>
      <c r="K125" s="351"/>
      <c r="L125" s="351"/>
      <c r="M125" s="351"/>
      <c r="N125" s="351"/>
      <c r="O125" s="351"/>
      <c r="P125" s="351"/>
      <c r="Q125" s="351"/>
      <c r="R125" s="351"/>
      <c r="S125" s="351"/>
      <c r="T125" s="351"/>
      <c r="U125" s="351"/>
      <c r="V125" s="351"/>
      <c r="W125" s="351"/>
      <c r="X125" s="351"/>
      <c r="Y125" s="351"/>
      <c r="Z125" s="351"/>
      <c r="AA125" s="351"/>
      <c r="AB125" s="351"/>
    </row>
    <row r="126" ht="14.25" customHeight="1">
      <c r="A126" s="417" t="s">
        <v>11533</v>
      </c>
      <c r="B126" s="109"/>
      <c r="C126" s="303" t="s">
        <v>11477</v>
      </c>
      <c r="D126" s="297" t="s">
        <v>271</v>
      </c>
      <c r="E126" s="297" t="s">
        <v>11240</v>
      </c>
      <c r="F126" s="298" t="s">
        <v>11540</v>
      </c>
      <c r="G126" s="426"/>
      <c r="H126" s="298" t="s">
        <v>11476</v>
      </c>
      <c r="I126" s="404" t="s">
        <v>36</v>
      </c>
      <c r="J126" s="351"/>
      <c r="K126" s="351"/>
      <c r="L126" s="351"/>
      <c r="M126" s="351"/>
      <c r="N126" s="351"/>
      <c r="O126" s="351"/>
      <c r="P126" s="351"/>
      <c r="Q126" s="351"/>
      <c r="R126" s="351"/>
      <c r="S126" s="351"/>
      <c r="T126" s="351"/>
      <c r="U126" s="351"/>
      <c r="V126" s="351"/>
      <c r="W126" s="351"/>
      <c r="X126" s="351"/>
      <c r="Y126" s="351"/>
      <c r="Z126" s="351"/>
      <c r="AA126" s="351"/>
      <c r="AB126" s="351"/>
    </row>
    <row r="127" ht="14.25" customHeight="1">
      <c r="A127" s="417" t="s">
        <v>11541</v>
      </c>
      <c r="B127" s="402" t="s">
        <v>11542</v>
      </c>
      <c r="C127" s="303" t="s">
        <v>11543</v>
      </c>
      <c r="D127" s="297" t="s">
        <v>271</v>
      </c>
      <c r="E127" s="314" t="s">
        <v>11544</v>
      </c>
      <c r="F127" s="427" t="s">
        <v>11545</v>
      </c>
      <c r="G127" s="418"/>
      <c r="H127" s="427" t="s">
        <v>11546</v>
      </c>
      <c r="I127" s="404" t="s">
        <v>36</v>
      </c>
      <c r="J127" s="351"/>
      <c r="K127" s="351"/>
      <c r="L127" s="351"/>
      <c r="M127" s="351"/>
      <c r="N127" s="351"/>
      <c r="O127" s="351"/>
      <c r="P127" s="351"/>
      <c r="Q127" s="351"/>
      <c r="R127" s="351"/>
      <c r="S127" s="351"/>
      <c r="T127" s="351"/>
      <c r="U127" s="351"/>
      <c r="V127" s="351"/>
      <c r="W127" s="351"/>
      <c r="X127" s="351"/>
      <c r="Y127" s="351"/>
      <c r="Z127" s="351"/>
      <c r="AA127" s="351"/>
      <c r="AB127" s="351"/>
    </row>
    <row r="128" ht="14.25" customHeight="1">
      <c r="A128" s="417" t="s">
        <v>11541</v>
      </c>
      <c r="B128" s="108"/>
      <c r="C128" s="303" t="s">
        <v>11547</v>
      </c>
      <c r="D128" s="297" t="s">
        <v>271</v>
      </c>
      <c r="E128" s="314" t="s">
        <v>11544</v>
      </c>
      <c r="F128" s="313" t="s">
        <v>11548</v>
      </c>
      <c r="G128" s="418"/>
      <c r="H128" s="427" t="s">
        <v>11549</v>
      </c>
      <c r="I128" s="404" t="s">
        <v>36</v>
      </c>
      <c r="J128" s="351"/>
      <c r="K128" s="351"/>
      <c r="L128" s="351"/>
      <c r="M128" s="351"/>
      <c r="N128" s="351"/>
      <c r="O128" s="351"/>
      <c r="P128" s="351"/>
      <c r="Q128" s="351"/>
      <c r="R128" s="351"/>
      <c r="S128" s="351"/>
      <c r="T128" s="351"/>
      <c r="U128" s="351"/>
      <c r="V128" s="351"/>
      <c r="W128" s="351"/>
      <c r="X128" s="351"/>
      <c r="Y128" s="351"/>
      <c r="Z128" s="351"/>
      <c r="AA128" s="351"/>
      <c r="AB128" s="351"/>
    </row>
    <row r="129" ht="14.25" customHeight="1">
      <c r="A129" s="417" t="s">
        <v>11541</v>
      </c>
      <c r="B129" s="108"/>
      <c r="C129" s="303" t="s">
        <v>11550</v>
      </c>
      <c r="D129" s="297" t="s">
        <v>271</v>
      </c>
      <c r="E129" s="314" t="s">
        <v>11544</v>
      </c>
      <c r="F129" s="313" t="s">
        <v>11551</v>
      </c>
      <c r="G129" s="420"/>
      <c r="H129" s="313" t="s">
        <v>11552</v>
      </c>
      <c r="I129" s="404" t="s">
        <v>317</v>
      </c>
      <c r="J129" s="351"/>
      <c r="K129" s="351"/>
      <c r="L129" s="351"/>
      <c r="M129" s="351"/>
      <c r="N129" s="351"/>
      <c r="O129" s="351"/>
      <c r="P129" s="351"/>
      <c r="Q129" s="351"/>
      <c r="R129" s="351"/>
      <c r="S129" s="351"/>
      <c r="T129" s="351"/>
      <c r="U129" s="351"/>
      <c r="V129" s="351"/>
      <c r="W129" s="351"/>
      <c r="X129" s="351"/>
      <c r="Y129" s="351"/>
      <c r="Z129" s="351"/>
      <c r="AA129" s="351"/>
      <c r="AB129" s="351"/>
    </row>
    <row r="130" ht="14.25" customHeight="1">
      <c r="A130" s="417" t="s">
        <v>11541</v>
      </c>
      <c r="B130" s="108"/>
      <c r="C130" s="303" t="s">
        <v>11553</v>
      </c>
      <c r="D130" s="297" t="s">
        <v>271</v>
      </c>
      <c r="E130" s="314" t="s">
        <v>11544</v>
      </c>
      <c r="F130" s="427" t="s">
        <v>11554</v>
      </c>
      <c r="G130" s="418"/>
      <c r="H130" s="427" t="s">
        <v>11555</v>
      </c>
      <c r="I130" s="404" t="s">
        <v>36</v>
      </c>
      <c r="J130" s="351"/>
      <c r="K130" s="351"/>
      <c r="L130" s="351"/>
      <c r="M130" s="351"/>
      <c r="N130" s="351"/>
      <c r="O130" s="351"/>
      <c r="P130" s="351"/>
      <c r="Q130" s="351"/>
      <c r="R130" s="351"/>
      <c r="S130" s="351"/>
      <c r="T130" s="351"/>
      <c r="U130" s="351"/>
      <c r="V130" s="351"/>
      <c r="W130" s="351"/>
      <c r="X130" s="351"/>
      <c r="Y130" s="351"/>
      <c r="Z130" s="351"/>
      <c r="AA130" s="351"/>
      <c r="AB130" s="351"/>
    </row>
    <row r="131" ht="14.25" customHeight="1">
      <c r="A131" s="417" t="s">
        <v>11541</v>
      </c>
      <c r="B131" s="108"/>
      <c r="C131" s="303" t="s">
        <v>11556</v>
      </c>
      <c r="D131" s="297" t="s">
        <v>271</v>
      </c>
      <c r="E131" s="314" t="s">
        <v>11544</v>
      </c>
      <c r="F131" s="313" t="s">
        <v>11557</v>
      </c>
      <c r="G131" s="418"/>
      <c r="H131" s="427" t="s">
        <v>11471</v>
      </c>
      <c r="I131" s="404" t="s">
        <v>36</v>
      </c>
      <c r="J131" s="351"/>
      <c r="K131" s="351"/>
      <c r="L131" s="351"/>
      <c r="M131" s="351"/>
      <c r="N131" s="351"/>
      <c r="O131" s="351"/>
      <c r="P131" s="351"/>
      <c r="Q131" s="351"/>
      <c r="R131" s="351"/>
      <c r="S131" s="351"/>
      <c r="T131" s="351"/>
      <c r="U131" s="351"/>
      <c r="V131" s="351"/>
      <c r="W131" s="351"/>
      <c r="X131" s="351"/>
      <c r="Y131" s="351"/>
      <c r="Z131" s="351"/>
      <c r="AA131" s="351"/>
      <c r="AB131" s="351"/>
    </row>
    <row r="132" ht="14.25" customHeight="1">
      <c r="A132" s="417" t="s">
        <v>11541</v>
      </c>
      <c r="B132" s="108"/>
      <c r="C132" s="303" t="s">
        <v>11558</v>
      </c>
      <c r="D132" s="297" t="s">
        <v>271</v>
      </c>
      <c r="E132" s="314" t="s">
        <v>11544</v>
      </c>
      <c r="F132" s="313" t="s">
        <v>11559</v>
      </c>
      <c r="G132" s="418"/>
      <c r="H132" s="427" t="s">
        <v>11560</v>
      </c>
      <c r="I132" s="404" t="s">
        <v>36</v>
      </c>
      <c r="J132" s="351"/>
      <c r="K132" s="351"/>
      <c r="L132" s="351"/>
      <c r="M132" s="351"/>
      <c r="N132" s="351"/>
      <c r="O132" s="351"/>
      <c r="P132" s="351"/>
      <c r="Q132" s="351"/>
      <c r="R132" s="351"/>
      <c r="S132" s="351"/>
      <c r="T132" s="351"/>
      <c r="U132" s="351"/>
      <c r="V132" s="351"/>
      <c r="W132" s="351"/>
      <c r="X132" s="351"/>
      <c r="Y132" s="351"/>
      <c r="Z132" s="351"/>
      <c r="AA132" s="351"/>
      <c r="AB132" s="351"/>
    </row>
    <row r="133" ht="14.25" customHeight="1">
      <c r="A133" s="417" t="s">
        <v>11541</v>
      </c>
      <c r="B133" s="109"/>
      <c r="C133" s="303" t="s">
        <v>11561</v>
      </c>
      <c r="D133" s="297" t="s">
        <v>271</v>
      </c>
      <c r="E133" s="314" t="s">
        <v>11544</v>
      </c>
      <c r="F133" s="313" t="s">
        <v>11562</v>
      </c>
      <c r="G133" s="420"/>
      <c r="H133" s="313" t="s">
        <v>11563</v>
      </c>
      <c r="I133" s="404" t="s">
        <v>36</v>
      </c>
      <c r="J133" s="351"/>
      <c r="K133" s="351"/>
      <c r="L133" s="351"/>
      <c r="M133" s="351"/>
      <c r="N133" s="351"/>
      <c r="O133" s="351"/>
      <c r="P133" s="351"/>
      <c r="Q133" s="351"/>
      <c r="R133" s="351"/>
      <c r="S133" s="351"/>
      <c r="T133" s="351"/>
      <c r="U133" s="351"/>
      <c r="V133" s="351"/>
      <c r="W133" s="351"/>
      <c r="X133" s="351"/>
      <c r="Y133" s="351"/>
      <c r="Z133" s="351"/>
      <c r="AA133" s="351"/>
      <c r="AB133" s="351"/>
    </row>
    <row r="134" ht="14.25" customHeight="1">
      <c r="A134" s="417" t="s">
        <v>11564</v>
      </c>
      <c r="B134" s="402" t="s">
        <v>11565</v>
      </c>
      <c r="C134" s="360" t="s">
        <v>11566</v>
      </c>
      <c r="D134" s="314" t="s">
        <v>271</v>
      </c>
      <c r="E134" s="297" t="s">
        <v>11240</v>
      </c>
      <c r="F134" s="313" t="s">
        <v>11567</v>
      </c>
      <c r="G134" s="420"/>
      <c r="H134" s="313" t="s">
        <v>11568</v>
      </c>
      <c r="I134" s="404" t="s">
        <v>36</v>
      </c>
      <c r="J134" s="351"/>
      <c r="K134" s="351"/>
      <c r="L134" s="351"/>
      <c r="M134" s="351"/>
      <c r="N134" s="351"/>
      <c r="O134" s="351"/>
      <c r="P134" s="351"/>
      <c r="Q134" s="351"/>
      <c r="R134" s="351"/>
      <c r="S134" s="351"/>
      <c r="T134" s="351"/>
      <c r="U134" s="351"/>
      <c r="V134" s="351"/>
      <c r="W134" s="351"/>
      <c r="X134" s="351"/>
      <c r="Y134" s="351"/>
      <c r="Z134" s="351"/>
      <c r="AA134" s="351"/>
      <c r="AB134" s="351"/>
    </row>
    <row r="135" ht="14.25" customHeight="1">
      <c r="A135" s="417" t="s">
        <v>11564</v>
      </c>
      <c r="B135" s="109"/>
      <c r="C135" s="360" t="s">
        <v>11569</v>
      </c>
      <c r="D135" s="314" t="s">
        <v>271</v>
      </c>
      <c r="E135" s="297" t="s">
        <v>11240</v>
      </c>
      <c r="F135" s="313" t="s">
        <v>11570</v>
      </c>
      <c r="G135" s="420"/>
      <c r="H135" s="313" t="s">
        <v>11571</v>
      </c>
      <c r="I135" s="428" t="s">
        <v>11572</v>
      </c>
      <c r="J135" s="351"/>
      <c r="K135" s="351"/>
      <c r="L135" s="351"/>
      <c r="M135" s="351"/>
      <c r="N135" s="351"/>
      <c r="O135" s="351"/>
      <c r="P135" s="351"/>
      <c r="Q135" s="351"/>
      <c r="R135" s="351"/>
      <c r="S135" s="351"/>
      <c r="T135" s="351"/>
      <c r="U135" s="351"/>
      <c r="V135" s="351"/>
      <c r="W135" s="351"/>
      <c r="X135" s="351"/>
      <c r="Y135" s="351"/>
      <c r="Z135" s="351"/>
      <c r="AA135" s="351"/>
      <c r="AB135" s="351"/>
    </row>
    <row r="136" ht="14.25" customHeight="1">
      <c r="A136" s="417" t="s">
        <v>11573</v>
      </c>
      <c r="B136" s="402" t="s">
        <v>11574</v>
      </c>
      <c r="C136" s="360" t="s">
        <v>11575</v>
      </c>
      <c r="D136" s="314" t="s">
        <v>271</v>
      </c>
      <c r="E136" s="314" t="s">
        <v>11576</v>
      </c>
      <c r="F136" s="313" t="s">
        <v>11577</v>
      </c>
      <c r="G136" s="420"/>
      <c r="H136" s="313" t="s">
        <v>11578</v>
      </c>
      <c r="I136" s="428" t="s">
        <v>36</v>
      </c>
      <c r="J136" s="351"/>
      <c r="K136" s="303" t="s">
        <v>1784</v>
      </c>
      <c r="L136" s="351"/>
      <c r="M136" s="351"/>
      <c r="N136" s="351"/>
      <c r="O136" s="351"/>
      <c r="P136" s="351"/>
      <c r="Q136" s="351"/>
      <c r="R136" s="351"/>
      <c r="S136" s="351"/>
      <c r="T136" s="351"/>
      <c r="U136" s="351"/>
      <c r="V136" s="351"/>
      <c r="W136" s="351"/>
      <c r="X136" s="351"/>
      <c r="Y136" s="351"/>
      <c r="Z136" s="351"/>
      <c r="AA136" s="351"/>
      <c r="AB136" s="351"/>
    </row>
    <row r="137" ht="14.25" customHeight="1">
      <c r="A137" s="417" t="s">
        <v>11573</v>
      </c>
      <c r="B137" s="108"/>
      <c r="C137" s="360" t="s">
        <v>11579</v>
      </c>
      <c r="D137" s="314" t="s">
        <v>271</v>
      </c>
      <c r="E137" s="314" t="s">
        <v>11576</v>
      </c>
      <c r="F137" s="313" t="s">
        <v>11580</v>
      </c>
      <c r="G137" s="420"/>
      <c r="H137" s="313" t="s">
        <v>11578</v>
      </c>
      <c r="I137" s="428" t="s">
        <v>36</v>
      </c>
      <c r="J137" s="351"/>
      <c r="K137" s="303" t="s">
        <v>1784</v>
      </c>
      <c r="L137" s="351"/>
      <c r="M137" s="351"/>
      <c r="N137" s="351"/>
      <c r="O137" s="351"/>
      <c r="P137" s="351"/>
      <c r="Q137" s="351"/>
      <c r="R137" s="351"/>
      <c r="S137" s="351"/>
      <c r="T137" s="351"/>
      <c r="U137" s="351"/>
      <c r="V137" s="351"/>
      <c r="W137" s="351"/>
      <c r="X137" s="351"/>
      <c r="Y137" s="351"/>
      <c r="Z137" s="351"/>
      <c r="AA137" s="351"/>
      <c r="AB137" s="351"/>
    </row>
    <row r="138" ht="14.25" customHeight="1">
      <c r="A138" s="417" t="s">
        <v>11573</v>
      </c>
      <c r="B138" s="108"/>
      <c r="C138" s="360" t="s">
        <v>11581</v>
      </c>
      <c r="D138" s="314" t="s">
        <v>271</v>
      </c>
      <c r="E138" s="314" t="s">
        <v>11576</v>
      </c>
      <c r="F138" s="313" t="s">
        <v>11582</v>
      </c>
      <c r="G138" s="420"/>
      <c r="H138" s="313" t="s">
        <v>11578</v>
      </c>
      <c r="I138" s="428" t="s">
        <v>36</v>
      </c>
      <c r="J138" s="351"/>
      <c r="K138" s="303" t="s">
        <v>1784</v>
      </c>
      <c r="L138" s="351"/>
      <c r="M138" s="351"/>
      <c r="N138" s="351"/>
      <c r="O138" s="351"/>
      <c r="P138" s="351"/>
      <c r="Q138" s="351"/>
      <c r="R138" s="351"/>
      <c r="S138" s="351"/>
      <c r="T138" s="351"/>
      <c r="U138" s="351"/>
      <c r="V138" s="351"/>
      <c r="W138" s="351"/>
      <c r="X138" s="351"/>
      <c r="Y138" s="351"/>
      <c r="Z138" s="351"/>
      <c r="AA138" s="351"/>
      <c r="AB138" s="351"/>
    </row>
    <row r="139" ht="14.25" customHeight="1">
      <c r="A139" s="417" t="s">
        <v>11573</v>
      </c>
      <c r="B139" s="108"/>
      <c r="C139" s="360" t="s">
        <v>11583</v>
      </c>
      <c r="D139" s="314" t="s">
        <v>271</v>
      </c>
      <c r="E139" s="314" t="s">
        <v>11576</v>
      </c>
      <c r="F139" s="313" t="s">
        <v>11584</v>
      </c>
      <c r="G139" s="420"/>
      <c r="H139" s="313" t="s">
        <v>11578</v>
      </c>
      <c r="I139" s="428" t="s">
        <v>36</v>
      </c>
      <c r="J139" s="351"/>
      <c r="K139" s="303" t="s">
        <v>1784</v>
      </c>
      <c r="L139" s="351"/>
      <c r="M139" s="351"/>
      <c r="N139" s="351"/>
      <c r="O139" s="351"/>
      <c r="P139" s="351"/>
      <c r="Q139" s="351"/>
      <c r="R139" s="351"/>
      <c r="S139" s="351"/>
      <c r="T139" s="351"/>
      <c r="U139" s="351"/>
      <c r="V139" s="351"/>
      <c r="W139" s="351"/>
      <c r="X139" s="351"/>
      <c r="Y139" s="351"/>
      <c r="Z139" s="351"/>
      <c r="AA139" s="351"/>
      <c r="AB139" s="351"/>
    </row>
    <row r="140" ht="14.25" customHeight="1">
      <c r="A140" s="417" t="s">
        <v>11573</v>
      </c>
      <c r="B140" s="108"/>
      <c r="C140" s="360" t="s">
        <v>11585</v>
      </c>
      <c r="D140" s="314" t="s">
        <v>271</v>
      </c>
      <c r="E140" s="314" t="s">
        <v>11576</v>
      </c>
      <c r="F140" s="313" t="s">
        <v>11586</v>
      </c>
      <c r="G140" s="420"/>
      <c r="H140" s="313" t="s">
        <v>11578</v>
      </c>
      <c r="I140" s="428" t="s">
        <v>36</v>
      </c>
      <c r="J140" s="351"/>
      <c r="K140" s="303" t="s">
        <v>1784</v>
      </c>
      <c r="L140" s="351"/>
      <c r="M140" s="351"/>
      <c r="N140" s="351"/>
      <c r="O140" s="351"/>
      <c r="P140" s="351"/>
      <c r="Q140" s="351"/>
      <c r="R140" s="351"/>
      <c r="S140" s="351"/>
      <c r="T140" s="351"/>
      <c r="U140" s="351"/>
      <c r="V140" s="351"/>
      <c r="W140" s="351"/>
      <c r="X140" s="351"/>
      <c r="Y140" s="351"/>
      <c r="Z140" s="351"/>
      <c r="AA140" s="351"/>
      <c r="AB140" s="351"/>
    </row>
    <row r="141" ht="14.25" customHeight="1">
      <c r="A141" s="417" t="s">
        <v>11573</v>
      </c>
      <c r="B141" s="108"/>
      <c r="C141" s="360" t="s">
        <v>11587</v>
      </c>
      <c r="D141" s="314" t="s">
        <v>271</v>
      </c>
      <c r="E141" s="314" t="s">
        <v>11576</v>
      </c>
      <c r="F141" s="313" t="s">
        <v>11588</v>
      </c>
      <c r="G141" s="420"/>
      <c r="H141" s="313" t="s">
        <v>11578</v>
      </c>
      <c r="I141" s="428" t="s">
        <v>36</v>
      </c>
      <c r="J141" s="429"/>
      <c r="K141" s="303" t="s">
        <v>1784</v>
      </c>
      <c r="L141" s="429"/>
      <c r="M141" s="351"/>
      <c r="N141" s="351"/>
      <c r="O141" s="351"/>
      <c r="P141" s="351"/>
      <c r="Q141" s="351"/>
      <c r="R141" s="351"/>
      <c r="S141" s="351"/>
      <c r="T141" s="351"/>
      <c r="U141" s="351"/>
      <c r="V141" s="351"/>
      <c r="W141" s="351"/>
      <c r="X141" s="351"/>
      <c r="Y141" s="351"/>
      <c r="Z141" s="351"/>
      <c r="AA141" s="351"/>
      <c r="AB141" s="351"/>
    </row>
    <row r="142" ht="14.25" customHeight="1">
      <c r="A142" s="417" t="s">
        <v>11573</v>
      </c>
      <c r="B142" s="108"/>
      <c r="C142" s="360" t="s">
        <v>11589</v>
      </c>
      <c r="D142" s="314" t="s">
        <v>271</v>
      </c>
      <c r="E142" s="314" t="s">
        <v>11576</v>
      </c>
      <c r="F142" s="313" t="s">
        <v>11590</v>
      </c>
      <c r="G142" s="420"/>
      <c r="H142" s="313" t="s">
        <v>11578</v>
      </c>
      <c r="I142" s="428" t="s">
        <v>36</v>
      </c>
      <c r="J142" s="351"/>
      <c r="K142" s="303" t="s">
        <v>1784</v>
      </c>
      <c r="L142" s="351"/>
      <c r="M142" s="351"/>
      <c r="N142" s="351"/>
      <c r="O142" s="351"/>
      <c r="P142" s="351"/>
      <c r="Q142" s="351"/>
      <c r="R142" s="351"/>
      <c r="S142" s="351"/>
      <c r="T142" s="351"/>
      <c r="U142" s="351"/>
      <c r="V142" s="351"/>
      <c r="W142" s="351"/>
      <c r="X142" s="351"/>
      <c r="Y142" s="351"/>
      <c r="Z142" s="351"/>
      <c r="AA142" s="351"/>
      <c r="AB142" s="351"/>
    </row>
    <row r="143" ht="14.25" customHeight="1">
      <c r="A143" s="417" t="s">
        <v>11573</v>
      </c>
      <c r="B143" s="108"/>
      <c r="C143" s="360" t="s">
        <v>11591</v>
      </c>
      <c r="D143" s="314" t="s">
        <v>271</v>
      </c>
      <c r="E143" s="314" t="s">
        <v>11576</v>
      </c>
      <c r="F143" s="313" t="s">
        <v>11592</v>
      </c>
      <c r="G143" s="420"/>
      <c r="H143" s="313" t="s">
        <v>11578</v>
      </c>
      <c r="I143" s="428" t="s">
        <v>36</v>
      </c>
      <c r="J143" s="351"/>
      <c r="K143" s="303" t="s">
        <v>1784</v>
      </c>
      <c r="L143" s="351"/>
      <c r="M143" s="351"/>
      <c r="N143" s="351"/>
      <c r="O143" s="351"/>
      <c r="P143" s="351"/>
      <c r="Q143" s="351"/>
      <c r="R143" s="351"/>
      <c r="S143" s="351"/>
      <c r="T143" s="351"/>
      <c r="U143" s="351"/>
      <c r="V143" s="351"/>
      <c r="W143" s="351"/>
      <c r="X143" s="351"/>
      <c r="Y143" s="351"/>
      <c r="Z143" s="351"/>
      <c r="AA143" s="351"/>
      <c r="AB143" s="351"/>
    </row>
    <row r="144" ht="14.25" customHeight="1">
      <c r="A144" s="417" t="s">
        <v>11573</v>
      </c>
      <c r="B144" s="108"/>
      <c r="C144" s="360" t="s">
        <v>11593</v>
      </c>
      <c r="D144" s="314" t="s">
        <v>271</v>
      </c>
      <c r="E144" s="314" t="s">
        <v>11576</v>
      </c>
      <c r="F144" s="313" t="s">
        <v>11594</v>
      </c>
      <c r="G144" s="420"/>
      <c r="H144" s="313" t="s">
        <v>11578</v>
      </c>
      <c r="I144" s="428" t="s">
        <v>36</v>
      </c>
      <c r="J144" s="351"/>
      <c r="K144" s="303" t="s">
        <v>1784</v>
      </c>
      <c r="L144" s="351"/>
      <c r="M144" s="351"/>
      <c r="N144" s="351"/>
      <c r="O144" s="351"/>
      <c r="P144" s="351"/>
      <c r="Q144" s="351"/>
      <c r="R144" s="351"/>
      <c r="S144" s="351"/>
      <c r="T144" s="351"/>
      <c r="U144" s="351"/>
      <c r="V144" s="351"/>
      <c r="W144" s="351"/>
      <c r="X144" s="351"/>
      <c r="Y144" s="351"/>
      <c r="Z144" s="351"/>
      <c r="AA144" s="351"/>
      <c r="AB144" s="351"/>
    </row>
    <row r="145" ht="14.25" customHeight="1">
      <c r="A145" s="417" t="s">
        <v>11573</v>
      </c>
      <c r="B145" s="108"/>
      <c r="C145" s="360" t="s">
        <v>11595</v>
      </c>
      <c r="D145" s="314" t="s">
        <v>271</v>
      </c>
      <c r="E145" s="314" t="s">
        <v>11576</v>
      </c>
      <c r="F145" s="313" t="s">
        <v>11596</v>
      </c>
      <c r="G145" s="420"/>
      <c r="H145" s="313" t="s">
        <v>11578</v>
      </c>
      <c r="I145" s="428" t="s">
        <v>36</v>
      </c>
      <c r="J145" s="351"/>
      <c r="K145" s="303" t="s">
        <v>1784</v>
      </c>
      <c r="L145" s="351"/>
      <c r="M145" s="351"/>
      <c r="N145" s="351"/>
      <c r="O145" s="351"/>
      <c r="P145" s="351"/>
      <c r="Q145" s="351"/>
      <c r="R145" s="351"/>
      <c r="S145" s="351"/>
      <c r="T145" s="351"/>
      <c r="U145" s="351"/>
      <c r="V145" s="351"/>
      <c r="W145" s="351"/>
      <c r="X145" s="351"/>
      <c r="Y145" s="351"/>
      <c r="Z145" s="351"/>
      <c r="AA145" s="351"/>
      <c r="AB145" s="351"/>
    </row>
    <row r="146" ht="14.25" customHeight="1">
      <c r="A146" s="417" t="s">
        <v>11573</v>
      </c>
      <c r="B146" s="108"/>
      <c r="C146" s="360" t="s">
        <v>11597</v>
      </c>
      <c r="D146" s="314" t="s">
        <v>271</v>
      </c>
      <c r="E146" s="314" t="s">
        <v>11576</v>
      </c>
      <c r="F146" s="313" t="s">
        <v>11598</v>
      </c>
      <c r="G146" s="420"/>
      <c r="H146" s="313" t="s">
        <v>11578</v>
      </c>
      <c r="I146" s="428" t="s">
        <v>36</v>
      </c>
      <c r="J146" s="351"/>
      <c r="K146" s="303" t="s">
        <v>1784</v>
      </c>
      <c r="L146" s="351"/>
      <c r="M146" s="351"/>
      <c r="N146" s="351"/>
      <c r="O146" s="351"/>
      <c r="P146" s="351"/>
      <c r="Q146" s="351"/>
      <c r="R146" s="351"/>
      <c r="S146" s="351"/>
      <c r="T146" s="351"/>
      <c r="U146" s="351"/>
      <c r="V146" s="351"/>
      <c r="W146" s="351"/>
      <c r="X146" s="351"/>
      <c r="Y146" s="351"/>
      <c r="Z146" s="351"/>
      <c r="AA146" s="351"/>
      <c r="AB146" s="351"/>
    </row>
    <row r="147" ht="14.25" customHeight="1">
      <c r="A147" s="417" t="s">
        <v>11573</v>
      </c>
      <c r="B147" s="108"/>
      <c r="C147" s="360" t="s">
        <v>11599</v>
      </c>
      <c r="D147" s="314" t="s">
        <v>271</v>
      </c>
      <c r="E147" s="314" t="s">
        <v>11576</v>
      </c>
      <c r="F147" s="313" t="s">
        <v>11600</v>
      </c>
      <c r="G147" s="420"/>
      <c r="H147" s="313" t="s">
        <v>11578</v>
      </c>
      <c r="I147" s="428" t="s">
        <v>36</v>
      </c>
      <c r="J147" s="351"/>
      <c r="K147" s="303" t="s">
        <v>1784</v>
      </c>
      <c r="L147" s="351"/>
      <c r="M147" s="351"/>
      <c r="N147" s="351"/>
      <c r="O147" s="351"/>
      <c r="P147" s="351"/>
      <c r="Q147" s="351"/>
      <c r="R147" s="351"/>
      <c r="S147" s="351"/>
      <c r="T147" s="351"/>
      <c r="U147" s="351"/>
      <c r="V147" s="351"/>
      <c r="W147" s="351"/>
      <c r="X147" s="351"/>
      <c r="Y147" s="351"/>
      <c r="Z147" s="351"/>
      <c r="AA147" s="351"/>
      <c r="AB147" s="351"/>
    </row>
    <row r="148" ht="14.25" customHeight="1">
      <c r="A148" s="417" t="s">
        <v>11573</v>
      </c>
      <c r="B148" s="108"/>
      <c r="C148" s="360" t="s">
        <v>11601</v>
      </c>
      <c r="D148" s="314" t="s">
        <v>271</v>
      </c>
      <c r="E148" s="314" t="s">
        <v>11576</v>
      </c>
      <c r="F148" s="313" t="s">
        <v>11602</v>
      </c>
      <c r="G148" s="420"/>
      <c r="H148" s="313" t="s">
        <v>11578</v>
      </c>
      <c r="I148" s="428" t="s">
        <v>36</v>
      </c>
      <c r="J148" s="351"/>
      <c r="K148" s="351"/>
      <c r="L148" s="351"/>
      <c r="M148" s="351"/>
      <c r="N148" s="351"/>
      <c r="O148" s="351"/>
      <c r="P148" s="351"/>
      <c r="Q148" s="351"/>
      <c r="R148" s="351"/>
      <c r="S148" s="351"/>
      <c r="T148" s="351"/>
      <c r="U148" s="351"/>
      <c r="V148" s="351"/>
      <c r="W148" s="351"/>
      <c r="X148" s="351"/>
      <c r="Y148" s="351"/>
      <c r="Z148" s="351"/>
      <c r="AA148" s="351"/>
      <c r="AB148" s="351"/>
    </row>
    <row r="149" ht="14.25" customHeight="1">
      <c r="A149" s="417" t="s">
        <v>11573</v>
      </c>
      <c r="B149" s="108"/>
      <c r="C149" s="360" t="s">
        <v>11603</v>
      </c>
      <c r="D149" s="314" t="s">
        <v>271</v>
      </c>
      <c r="E149" s="314" t="s">
        <v>11576</v>
      </c>
      <c r="F149" s="313" t="s">
        <v>11604</v>
      </c>
      <c r="G149" s="420"/>
      <c r="H149" s="313" t="s">
        <v>11578</v>
      </c>
      <c r="I149" s="428" t="s">
        <v>36</v>
      </c>
      <c r="J149" s="351"/>
      <c r="K149" s="351"/>
      <c r="L149" s="351"/>
      <c r="M149" s="351"/>
      <c r="N149" s="351"/>
      <c r="O149" s="351"/>
      <c r="P149" s="351"/>
      <c r="Q149" s="351"/>
      <c r="R149" s="351"/>
      <c r="S149" s="351"/>
      <c r="T149" s="351"/>
      <c r="U149" s="351"/>
      <c r="V149" s="351"/>
      <c r="W149" s="351"/>
      <c r="X149" s="351"/>
      <c r="Y149" s="351"/>
      <c r="Z149" s="351"/>
      <c r="AA149" s="351"/>
      <c r="AB149" s="351"/>
    </row>
    <row r="150" ht="14.25" customHeight="1">
      <c r="A150" s="417" t="s">
        <v>11573</v>
      </c>
      <c r="B150" s="108"/>
      <c r="C150" s="360" t="s">
        <v>11605</v>
      </c>
      <c r="D150" s="314" t="s">
        <v>271</v>
      </c>
      <c r="E150" s="314" t="s">
        <v>11576</v>
      </c>
      <c r="F150" s="313" t="s">
        <v>11606</v>
      </c>
      <c r="G150" s="420"/>
      <c r="H150" s="313" t="s">
        <v>11578</v>
      </c>
      <c r="I150" s="428" t="s">
        <v>36</v>
      </c>
      <c r="J150" s="351"/>
      <c r="K150" s="351"/>
      <c r="L150" s="351"/>
      <c r="M150" s="351"/>
      <c r="N150" s="351"/>
      <c r="O150" s="351"/>
      <c r="P150" s="351"/>
      <c r="Q150" s="351"/>
      <c r="R150" s="351"/>
      <c r="S150" s="351"/>
      <c r="T150" s="351"/>
      <c r="U150" s="351"/>
      <c r="V150" s="351"/>
      <c r="W150" s="351"/>
      <c r="X150" s="351"/>
      <c r="Y150" s="351"/>
      <c r="Z150" s="351"/>
      <c r="AA150" s="351"/>
      <c r="AB150" s="351"/>
    </row>
    <row r="151" ht="14.25" customHeight="1">
      <c r="A151" s="417" t="s">
        <v>11573</v>
      </c>
      <c r="B151" s="108"/>
      <c r="C151" s="360" t="s">
        <v>11607</v>
      </c>
      <c r="D151" s="314" t="s">
        <v>271</v>
      </c>
      <c r="E151" s="314" t="s">
        <v>11576</v>
      </c>
      <c r="F151" s="313" t="s">
        <v>11608</v>
      </c>
      <c r="G151" s="420"/>
      <c r="H151" s="313" t="s">
        <v>11578</v>
      </c>
      <c r="I151" s="428" t="s">
        <v>36</v>
      </c>
      <c r="J151" s="351"/>
      <c r="K151" s="351"/>
      <c r="L151" s="351"/>
      <c r="M151" s="351"/>
      <c r="N151" s="351"/>
      <c r="O151" s="351"/>
      <c r="P151" s="351"/>
      <c r="Q151" s="351"/>
      <c r="R151" s="351"/>
      <c r="S151" s="351"/>
      <c r="T151" s="351"/>
      <c r="U151" s="351"/>
      <c r="V151" s="351"/>
      <c r="W151" s="351"/>
      <c r="X151" s="351"/>
      <c r="Y151" s="351"/>
      <c r="Z151" s="351"/>
      <c r="AA151" s="351"/>
      <c r="AB151" s="351"/>
    </row>
    <row r="152" ht="14.25" customHeight="1">
      <c r="A152" s="417" t="s">
        <v>11573</v>
      </c>
      <c r="B152" s="108"/>
      <c r="C152" s="360" t="s">
        <v>11609</v>
      </c>
      <c r="D152" s="314" t="s">
        <v>271</v>
      </c>
      <c r="E152" s="314" t="s">
        <v>11576</v>
      </c>
      <c r="F152" s="313" t="s">
        <v>11610</v>
      </c>
      <c r="G152" s="420"/>
      <c r="H152" s="313" t="s">
        <v>11578</v>
      </c>
      <c r="I152" s="428" t="s">
        <v>36</v>
      </c>
      <c r="J152" s="351"/>
      <c r="K152" s="351"/>
      <c r="L152" s="351"/>
      <c r="M152" s="351"/>
      <c r="N152" s="351"/>
      <c r="O152" s="351"/>
      <c r="P152" s="351"/>
      <c r="Q152" s="351"/>
      <c r="R152" s="351"/>
      <c r="S152" s="351"/>
      <c r="T152" s="351"/>
      <c r="U152" s="351"/>
      <c r="V152" s="351"/>
      <c r="W152" s="351"/>
      <c r="X152" s="351"/>
      <c r="Y152" s="351"/>
      <c r="Z152" s="351"/>
      <c r="AA152" s="351"/>
      <c r="AB152" s="351"/>
    </row>
    <row r="153" ht="14.25" customHeight="1">
      <c r="A153" s="417" t="s">
        <v>11573</v>
      </c>
      <c r="B153" s="108"/>
      <c r="C153" s="360" t="s">
        <v>11611</v>
      </c>
      <c r="D153" s="314" t="s">
        <v>271</v>
      </c>
      <c r="E153" s="314" t="s">
        <v>11576</v>
      </c>
      <c r="F153" s="313" t="s">
        <v>11612</v>
      </c>
      <c r="G153" s="420"/>
      <c r="H153" s="313" t="s">
        <v>11578</v>
      </c>
      <c r="I153" s="428" t="s">
        <v>36</v>
      </c>
      <c r="J153" s="351"/>
      <c r="K153" s="351"/>
      <c r="L153" s="351"/>
      <c r="M153" s="351"/>
      <c r="N153" s="351"/>
      <c r="O153" s="351"/>
      <c r="P153" s="351"/>
      <c r="Q153" s="351"/>
      <c r="R153" s="351"/>
      <c r="S153" s="351"/>
      <c r="T153" s="351"/>
      <c r="U153" s="351"/>
      <c r="V153" s="351"/>
      <c r="W153" s="351"/>
      <c r="X153" s="351"/>
      <c r="Y153" s="351"/>
      <c r="Z153" s="351"/>
      <c r="AA153" s="351"/>
      <c r="AB153" s="351"/>
    </row>
    <row r="154" ht="14.25" customHeight="1">
      <c r="A154" s="417" t="s">
        <v>11573</v>
      </c>
      <c r="B154" s="108"/>
      <c r="C154" s="360" t="s">
        <v>11613</v>
      </c>
      <c r="D154" s="314" t="s">
        <v>271</v>
      </c>
      <c r="E154" s="314" t="s">
        <v>11576</v>
      </c>
      <c r="F154" s="313" t="s">
        <v>11614</v>
      </c>
      <c r="G154" s="420"/>
      <c r="H154" s="313" t="s">
        <v>11578</v>
      </c>
      <c r="I154" s="428" t="s">
        <v>36</v>
      </c>
      <c r="J154" s="351"/>
      <c r="K154" s="351"/>
      <c r="L154" s="351"/>
      <c r="M154" s="351"/>
      <c r="N154" s="351"/>
      <c r="O154" s="351"/>
      <c r="P154" s="351"/>
      <c r="Q154" s="351"/>
      <c r="R154" s="351"/>
      <c r="S154" s="351"/>
      <c r="T154" s="351"/>
      <c r="U154" s="351"/>
      <c r="V154" s="351"/>
      <c r="W154" s="351"/>
      <c r="X154" s="351"/>
      <c r="Y154" s="351"/>
      <c r="Z154" s="351"/>
      <c r="AA154" s="351"/>
      <c r="AB154" s="351"/>
    </row>
    <row r="155" ht="14.25" customHeight="1">
      <c r="A155" s="417" t="s">
        <v>11573</v>
      </c>
      <c r="B155" s="108"/>
      <c r="C155" s="360" t="s">
        <v>11615</v>
      </c>
      <c r="D155" s="314" t="s">
        <v>271</v>
      </c>
      <c r="E155" s="314" t="s">
        <v>11576</v>
      </c>
      <c r="F155" s="313" t="s">
        <v>11616</v>
      </c>
      <c r="G155" s="420"/>
      <c r="H155" s="313" t="s">
        <v>11578</v>
      </c>
      <c r="I155" s="428" t="s">
        <v>36</v>
      </c>
      <c r="J155" s="351"/>
      <c r="K155" s="351"/>
      <c r="L155" s="351"/>
      <c r="M155" s="351"/>
      <c r="N155" s="351"/>
      <c r="O155" s="351"/>
      <c r="P155" s="351"/>
      <c r="Q155" s="351"/>
      <c r="R155" s="351"/>
      <c r="S155" s="351"/>
      <c r="T155" s="351"/>
      <c r="U155" s="351"/>
      <c r="V155" s="351"/>
      <c r="W155" s="351"/>
      <c r="X155" s="351"/>
      <c r="Y155" s="351"/>
      <c r="Z155" s="351"/>
      <c r="AA155" s="351"/>
      <c r="AB155" s="351"/>
    </row>
    <row r="156" ht="14.25" customHeight="1">
      <c r="A156" s="417" t="s">
        <v>11573</v>
      </c>
      <c r="B156" s="108"/>
      <c r="C156" s="360" t="s">
        <v>11617</v>
      </c>
      <c r="D156" s="314" t="s">
        <v>271</v>
      </c>
      <c r="E156" s="314" t="s">
        <v>11576</v>
      </c>
      <c r="F156" s="313" t="s">
        <v>11618</v>
      </c>
      <c r="G156" s="420"/>
      <c r="H156" s="313" t="s">
        <v>11578</v>
      </c>
      <c r="I156" s="428" t="s">
        <v>36</v>
      </c>
      <c r="J156" s="351"/>
      <c r="K156" s="351"/>
      <c r="L156" s="351"/>
      <c r="M156" s="351"/>
      <c r="N156" s="351"/>
      <c r="O156" s="351"/>
      <c r="P156" s="351"/>
      <c r="Q156" s="351"/>
      <c r="R156" s="351"/>
      <c r="S156" s="351"/>
      <c r="T156" s="351"/>
      <c r="U156" s="351"/>
      <c r="V156" s="351"/>
      <c r="W156" s="351"/>
      <c r="X156" s="351"/>
      <c r="Y156" s="351"/>
      <c r="Z156" s="351"/>
      <c r="AA156" s="351"/>
      <c r="AB156" s="351"/>
    </row>
    <row r="157" ht="14.25" customHeight="1">
      <c r="A157" s="417" t="s">
        <v>11573</v>
      </c>
      <c r="B157" s="108"/>
      <c r="C157" s="360" t="s">
        <v>11619</v>
      </c>
      <c r="D157" s="314" t="s">
        <v>271</v>
      </c>
      <c r="E157" s="314" t="s">
        <v>11576</v>
      </c>
      <c r="F157" s="313" t="s">
        <v>11620</v>
      </c>
      <c r="G157" s="420"/>
      <c r="H157" s="313" t="s">
        <v>11578</v>
      </c>
      <c r="I157" s="428" t="s">
        <v>36</v>
      </c>
      <c r="J157" s="351"/>
      <c r="K157" s="351"/>
      <c r="L157" s="351"/>
      <c r="M157" s="351"/>
      <c r="N157" s="351"/>
      <c r="O157" s="351"/>
      <c r="P157" s="351"/>
      <c r="Q157" s="351"/>
      <c r="R157" s="351"/>
      <c r="S157" s="351"/>
      <c r="T157" s="351"/>
      <c r="U157" s="351"/>
      <c r="V157" s="351"/>
      <c r="W157" s="351"/>
      <c r="X157" s="351"/>
      <c r="Y157" s="351"/>
      <c r="Z157" s="351"/>
      <c r="AA157" s="351"/>
      <c r="AB157" s="351"/>
    </row>
    <row r="158" ht="14.25" customHeight="1">
      <c r="A158" s="417" t="s">
        <v>11573</v>
      </c>
      <c r="B158" s="108"/>
      <c r="C158" s="360" t="s">
        <v>11621</v>
      </c>
      <c r="D158" s="314" t="s">
        <v>271</v>
      </c>
      <c r="E158" s="314" t="s">
        <v>11576</v>
      </c>
      <c r="F158" s="313" t="s">
        <v>11622</v>
      </c>
      <c r="G158" s="420"/>
      <c r="H158" s="313" t="s">
        <v>11578</v>
      </c>
      <c r="I158" s="428" t="s">
        <v>36</v>
      </c>
      <c r="J158" s="351"/>
      <c r="K158" s="351"/>
      <c r="L158" s="351"/>
      <c r="M158" s="351"/>
      <c r="N158" s="351"/>
      <c r="O158" s="351"/>
      <c r="P158" s="351"/>
      <c r="Q158" s="351"/>
      <c r="R158" s="351"/>
      <c r="S158" s="351"/>
      <c r="T158" s="351"/>
      <c r="U158" s="351"/>
      <c r="V158" s="351"/>
      <c r="W158" s="351"/>
      <c r="X158" s="351"/>
      <c r="Y158" s="351"/>
      <c r="Z158" s="351"/>
      <c r="AA158" s="351"/>
      <c r="AB158" s="351"/>
    </row>
    <row r="159" ht="14.25" customHeight="1">
      <c r="A159" s="417" t="s">
        <v>11573</v>
      </c>
      <c r="B159" s="108"/>
      <c r="C159" s="360" t="s">
        <v>11623</v>
      </c>
      <c r="D159" s="314" t="s">
        <v>271</v>
      </c>
      <c r="E159" s="314" t="s">
        <v>11576</v>
      </c>
      <c r="F159" s="313" t="s">
        <v>11624</v>
      </c>
      <c r="G159" s="420"/>
      <c r="H159" s="313" t="s">
        <v>11578</v>
      </c>
      <c r="I159" s="428" t="s">
        <v>36</v>
      </c>
      <c r="J159" s="351"/>
      <c r="K159" s="351"/>
      <c r="L159" s="351"/>
      <c r="M159" s="351"/>
      <c r="N159" s="351"/>
      <c r="O159" s="351"/>
      <c r="P159" s="351"/>
      <c r="Q159" s="351"/>
      <c r="R159" s="351"/>
      <c r="S159" s="351"/>
      <c r="T159" s="351"/>
      <c r="U159" s="351"/>
      <c r="V159" s="351"/>
      <c r="W159" s="351"/>
      <c r="X159" s="351"/>
      <c r="Y159" s="351"/>
      <c r="Z159" s="351"/>
      <c r="AA159" s="351"/>
      <c r="AB159" s="351"/>
    </row>
    <row r="160" ht="14.25" customHeight="1">
      <c r="A160" s="417" t="s">
        <v>11573</v>
      </c>
      <c r="B160" s="108"/>
      <c r="C160" s="360" t="s">
        <v>11625</v>
      </c>
      <c r="D160" s="314" t="s">
        <v>271</v>
      </c>
      <c r="E160" s="314" t="s">
        <v>11576</v>
      </c>
      <c r="F160" s="313" t="s">
        <v>11626</v>
      </c>
      <c r="G160" s="420"/>
      <c r="H160" s="313" t="s">
        <v>11578</v>
      </c>
      <c r="I160" s="428" t="s">
        <v>36</v>
      </c>
      <c r="J160" s="351"/>
      <c r="K160" s="351"/>
      <c r="L160" s="351"/>
      <c r="M160" s="351"/>
      <c r="N160" s="351"/>
      <c r="O160" s="351"/>
      <c r="P160" s="351"/>
      <c r="Q160" s="351"/>
      <c r="R160" s="351"/>
      <c r="S160" s="351"/>
      <c r="T160" s="351"/>
      <c r="U160" s="351"/>
      <c r="V160" s="351"/>
      <c r="W160" s="351"/>
      <c r="X160" s="351"/>
      <c r="Y160" s="351"/>
      <c r="Z160" s="351"/>
      <c r="AA160" s="351"/>
      <c r="AB160" s="351"/>
    </row>
    <row r="161" ht="14.25" customHeight="1">
      <c r="A161" s="417" t="s">
        <v>11573</v>
      </c>
      <c r="B161" s="108"/>
      <c r="C161" s="360" t="s">
        <v>11627</v>
      </c>
      <c r="D161" s="314" t="s">
        <v>271</v>
      </c>
      <c r="E161" s="314" t="s">
        <v>11576</v>
      </c>
      <c r="F161" s="313" t="s">
        <v>11628</v>
      </c>
      <c r="G161" s="420"/>
      <c r="H161" s="313" t="s">
        <v>11578</v>
      </c>
      <c r="I161" s="428" t="s">
        <v>36</v>
      </c>
      <c r="J161" s="351"/>
      <c r="K161" s="351"/>
      <c r="L161" s="351"/>
      <c r="M161" s="351"/>
      <c r="N161" s="351"/>
      <c r="O161" s="351"/>
      <c r="P161" s="351"/>
      <c r="Q161" s="351"/>
      <c r="R161" s="351"/>
      <c r="S161" s="351"/>
      <c r="T161" s="351"/>
      <c r="U161" s="351"/>
      <c r="V161" s="351"/>
      <c r="W161" s="351"/>
      <c r="X161" s="351"/>
      <c r="Y161" s="351"/>
      <c r="Z161" s="351"/>
      <c r="AA161" s="351"/>
      <c r="AB161" s="351"/>
    </row>
    <row r="162" ht="14.25" customHeight="1">
      <c r="A162" s="417" t="s">
        <v>11573</v>
      </c>
      <c r="B162" s="108"/>
      <c r="C162" s="360" t="s">
        <v>11629</v>
      </c>
      <c r="D162" s="314" t="s">
        <v>271</v>
      </c>
      <c r="E162" s="314" t="s">
        <v>11576</v>
      </c>
      <c r="F162" s="313" t="s">
        <v>11630</v>
      </c>
      <c r="G162" s="420"/>
      <c r="H162" s="313" t="s">
        <v>11578</v>
      </c>
      <c r="I162" s="428" t="s">
        <v>36</v>
      </c>
      <c r="J162" s="351"/>
      <c r="K162" s="351"/>
      <c r="L162" s="351"/>
      <c r="M162" s="351"/>
      <c r="N162" s="351"/>
      <c r="O162" s="351"/>
      <c r="P162" s="351"/>
      <c r="Q162" s="351"/>
      <c r="R162" s="351"/>
      <c r="S162" s="351"/>
      <c r="T162" s="351"/>
      <c r="U162" s="351"/>
      <c r="V162" s="351"/>
      <c r="W162" s="351"/>
      <c r="X162" s="351"/>
      <c r="Y162" s="351"/>
      <c r="Z162" s="351"/>
      <c r="AA162" s="351"/>
      <c r="AB162" s="351"/>
    </row>
    <row r="163" ht="14.25" customHeight="1">
      <c r="A163" s="417" t="s">
        <v>11573</v>
      </c>
      <c r="B163" s="108"/>
      <c r="C163" s="360" t="s">
        <v>11631</v>
      </c>
      <c r="D163" s="314" t="s">
        <v>271</v>
      </c>
      <c r="E163" s="314" t="s">
        <v>11576</v>
      </c>
      <c r="F163" s="313" t="s">
        <v>11632</v>
      </c>
      <c r="G163" s="420"/>
      <c r="H163" s="313" t="s">
        <v>11578</v>
      </c>
      <c r="I163" s="428" t="s">
        <v>36</v>
      </c>
      <c r="J163" s="351"/>
      <c r="K163" s="351"/>
      <c r="L163" s="351"/>
      <c r="M163" s="351"/>
      <c r="N163" s="351"/>
      <c r="O163" s="351"/>
      <c r="P163" s="351"/>
      <c r="Q163" s="351"/>
      <c r="R163" s="351"/>
      <c r="S163" s="351"/>
      <c r="T163" s="351"/>
      <c r="U163" s="351"/>
      <c r="V163" s="351"/>
      <c r="W163" s="351"/>
      <c r="X163" s="351"/>
      <c r="Y163" s="351"/>
      <c r="Z163" s="351"/>
      <c r="AA163" s="351"/>
      <c r="AB163" s="351"/>
    </row>
    <row r="164" ht="14.25" customHeight="1">
      <c r="A164" s="417" t="s">
        <v>11573</v>
      </c>
      <c r="B164" s="108"/>
      <c r="C164" s="360" t="s">
        <v>11633</v>
      </c>
      <c r="D164" s="314" t="s">
        <v>271</v>
      </c>
      <c r="E164" s="314" t="s">
        <v>11576</v>
      </c>
      <c r="F164" s="313" t="s">
        <v>11634</v>
      </c>
      <c r="G164" s="420"/>
      <c r="H164" s="313" t="s">
        <v>11578</v>
      </c>
      <c r="I164" s="428" t="s">
        <v>36</v>
      </c>
      <c r="J164" s="351"/>
      <c r="K164" s="351"/>
      <c r="L164" s="351"/>
      <c r="M164" s="351"/>
      <c r="N164" s="351"/>
      <c r="O164" s="351"/>
      <c r="P164" s="351"/>
      <c r="Q164" s="351"/>
      <c r="R164" s="351"/>
      <c r="S164" s="351"/>
      <c r="T164" s="351"/>
      <c r="U164" s="351"/>
      <c r="V164" s="351"/>
      <c r="W164" s="351"/>
      <c r="X164" s="351"/>
      <c r="Y164" s="351"/>
      <c r="Z164" s="351"/>
      <c r="AA164" s="351"/>
      <c r="AB164" s="351"/>
    </row>
    <row r="165" ht="14.25" customHeight="1">
      <c r="A165" s="417" t="s">
        <v>11573</v>
      </c>
      <c r="B165" s="108"/>
      <c r="C165" s="360" t="s">
        <v>11635</v>
      </c>
      <c r="D165" s="314" t="s">
        <v>271</v>
      </c>
      <c r="E165" s="314" t="s">
        <v>11576</v>
      </c>
      <c r="F165" s="313" t="s">
        <v>11636</v>
      </c>
      <c r="G165" s="420"/>
      <c r="H165" s="313" t="s">
        <v>11578</v>
      </c>
      <c r="I165" s="428" t="s">
        <v>36</v>
      </c>
      <c r="J165" s="351"/>
      <c r="K165" s="351"/>
      <c r="L165" s="351"/>
      <c r="M165" s="351"/>
      <c r="N165" s="351"/>
      <c r="O165" s="351"/>
      <c r="P165" s="351"/>
      <c r="Q165" s="351"/>
      <c r="R165" s="351"/>
      <c r="S165" s="351"/>
      <c r="T165" s="351"/>
      <c r="U165" s="351"/>
      <c r="V165" s="351"/>
      <c r="W165" s="351"/>
      <c r="X165" s="351"/>
      <c r="Y165" s="351"/>
      <c r="Z165" s="351"/>
      <c r="AA165" s="351"/>
      <c r="AB165" s="351"/>
    </row>
    <row r="166" ht="14.25" customHeight="1">
      <c r="A166" s="417" t="s">
        <v>11573</v>
      </c>
      <c r="B166" s="108"/>
      <c r="C166" s="360" t="s">
        <v>11637</v>
      </c>
      <c r="D166" s="314" t="s">
        <v>271</v>
      </c>
      <c r="E166" s="314" t="s">
        <v>11576</v>
      </c>
      <c r="F166" s="313" t="s">
        <v>11638</v>
      </c>
      <c r="G166" s="420"/>
      <c r="H166" s="313" t="s">
        <v>11578</v>
      </c>
      <c r="I166" s="428" t="s">
        <v>36</v>
      </c>
      <c r="J166" s="351"/>
      <c r="K166" s="351"/>
      <c r="L166" s="351"/>
      <c r="M166" s="351"/>
      <c r="N166" s="351"/>
      <c r="O166" s="351"/>
      <c r="P166" s="351"/>
      <c r="Q166" s="351"/>
      <c r="R166" s="351"/>
      <c r="S166" s="351"/>
      <c r="T166" s="351"/>
      <c r="U166" s="351"/>
      <c r="V166" s="351"/>
      <c r="W166" s="351"/>
      <c r="X166" s="351"/>
      <c r="Y166" s="351"/>
      <c r="Z166" s="351"/>
      <c r="AA166" s="351"/>
      <c r="AB166" s="351"/>
    </row>
    <row r="167" ht="14.25" customHeight="1">
      <c r="A167" s="417" t="s">
        <v>11573</v>
      </c>
      <c r="B167" s="108"/>
      <c r="C167" s="360" t="s">
        <v>11639</v>
      </c>
      <c r="D167" s="314" t="s">
        <v>271</v>
      </c>
      <c r="E167" s="314" t="s">
        <v>11576</v>
      </c>
      <c r="F167" s="313" t="s">
        <v>11640</v>
      </c>
      <c r="G167" s="420"/>
      <c r="H167" s="313" t="s">
        <v>11578</v>
      </c>
      <c r="I167" s="428" t="s">
        <v>36</v>
      </c>
      <c r="J167" s="351"/>
      <c r="K167" s="351"/>
      <c r="L167" s="351"/>
      <c r="M167" s="351"/>
      <c r="N167" s="351"/>
      <c r="O167" s="351"/>
      <c r="P167" s="351"/>
      <c r="Q167" s="351"/>
      <c r="R167" s="351"/>
      <c r="S167" s="351"/>
      <c r="T167" s="351"/>
      <c r="U167" s="351"/>
      <c r="V167" s="351"/>
      <c r="W167" s="351"/>
      <c r="X167" s="351"/>
      <c r="Y167" s="351"/>
      <c r="Z167" s="351"/>
      <c r="AA167" s="351"/>
      <c r="AB167" s="351"/>
    </row>
    <row r="168" ht="14.25" customHeight="1">
      <c r="A168" s="417" t="s">
        <v>11573</v>
      </c>
      <c r="B168" s="108"/>
      <c r="C168" s="360" t="s">
        <v>11641</v>
      </c>
      <c r="D168" s="314" t="s">
        <v>271</v>
      </c>
      <c r="E168" s="314" t="s">
        <v>11576</v>
      </c>
      <c r="F168" s="313" t="s">
        <v>11642</v>
      </c>
      <c r="G168" s="430"/>
      <c r="H168" s="313" t="s">
        <v>11578</v>
      </c>
      <c r="I168" s="428" t="s">
        <v>36</v>
      </c>
      <c r="J168" s="351"/>
      <c r="K168" s="351"/>
      <c r="L168" s="351"/>
      <c r="M168" s="351"/>
      <c r="N168" s="351"/>
      <c r="O168" s="351"/>
      <c r="P168" s="351"/>
      <c r="Q168" s="351"/>
      <c r="R168" s="351"/>
      <c r="S168" s="351"/>
      <c r="T168" s="351"/>
      <c r="U168" s="351"/>
      <c r="V168" s="351"/>
      <c r="W168" s="351"/>
      <c r="X168" s="351"/>
      <c r="Y168" s="351"/>
      <c r="Z168" s="351"/>
      <c r="AA168" s="351"/>
      <c r="AB168" s="351"/>
    </row>
    <row r="169" ht="14.25" customHeight="1">
      <c r="A169" s="417" t="s">
        <v>11573</v>
      </c>
      <c r="B169" s="108"/>
      <c r="C169" s="360" t="s">
        <v>11643</v>
      </c>
      <c r="D169" s="314" t="s">
        <v>271</v>
      </c>
      <c r="E169" s="314" t="s">
        <v>11576</v>
      </c>
      <c r="F169" s="313" t="s">
        <v>11644</v>
      </c>
      <c r="G169" s="420"/>
      <c r="H169" s="313" t="s">
        <v>11578</v>
      </c>
      <c r="I169" s="428" t="s">
        <v>36</v>
      </c>
      <c r="J169" s="351"/>
      <c r="K169" s="351"/>
      <c r="L169" s="351"/>
      <c r="M169" s="351"/>
      <c r="N169" s="351"/>
      <c r="O169" s="351"/>
      <c r="P169" s="351"/>
      <c r="Q169" s="351"/>
      <c r="R169" s="351"/>
      <c r="S169" s="351"/>
      <c r="T169" s="351"/>
      <c r="U169" s="351"/>
      <c r="V169" s="351"/>
      <c r="W169" s="351"/>
      <c r="X169" s="351"/>
      <c r="Y169" s="351"/>
      <c r="Z169" s="351"/>
      <c r="AA169" s="351"/>
      <c r="AB169" s="351"/>
    </row>
    <row r="170" ht="14.25" customHeight="1">
      <c r="A170" s="417" t="s">
        <v>11573</v>
      </c>
      <c r="B170" s="108"/>
      <c r="C170" s="360" t="s">
        <v>11645</v>
      </c>
      <c r="D170" s="314" t="s">
        <v>271</v>
      </c>
      <c r="E170" s="314" t="s">
        <v>11576</v>
      </c>
      <c r="F170" s="313" t="s">
        <v>11646</v>
      </c>
      <c r="G170" s="420"/>
      <c r="H170" s="313" t="s">
        <v>11578</v>
      </c>
      <c r="I170" s="428" t="s">
        <v>36</v>
      </c>
      <c r="J170" s="351"/>
      <c r="K170" s="351"/>
      <c r="L170" s="351"/>
      <c r="M170" s="351"/>
      <c r="N170" s="351"/>
      <c r="O170" s="351"/>
      <c r="P170" s="351"/>
      <c r="Q170" s="351"/>
      <c r="R170" s="351"/>
      <c r="S170" s="351"/>
      <c r="T170" s="351"/>
      <c r="U170" s="351"/>
      <c r="V170" s="351"/>
      <c r="W170" s="351"/>
      <c r="X170" s="351"/>
      <c r="Y170" s="351"/>
      <c r="Z170" s="351"/>
      <c r="AA170" s="351"/>
      <c r="AB170" s="351"/>
    </row>
    <row r="171" ht="14.25" customHeight="1">
      <c r="A171" s="417" t="s">
        <v>11573</v>
      </c>
      <c r="B171" s="108"/>
      <c r="C171" s="360" t="s">
        <v>11647</v>
      </c>
      <c r="D171" s="314" t="s">
        <v>271</v>
      </c>
      <c r="E171" s="314" t="s">
        <v>11576</v>
      </c>
      <c r="F171" s="313" t="s">
        <v>11648</v>
      </c>
      <c r="G171" s="420"/>
      <c r="H171" s="313" t="s">
        <v>11578</v>
      </c>
      <c r="I171" s="428" t="s">
        <v>36</v>
      </c>
      <c r="J171" s="351"/>
      <c r="K171" s="351"/>
      <c r="L171" s="351"/>
      <c r="M171" s="351"/>
      <c r="N171" s="351"/>
      <c r="O171" s="351"/>
      <c r="P171" s="351"/>
      <c r="Q171" s="351"/>
      <c r="R171" s="351"/>
      <c r="S171" s="351"/>
      <c r="T171" s="351"/>
      <c r="U171" s="351"/>
      <c r="V171" s="351"/>
      <c r="W171" s="351"/>
      <c r="X171" s="351"/>
      <c r="Y171" s="351"/>
      <c r="Z171" s="351"/>
      <c r="AA171" s="351"/>
      <c r="AB171" s="351"/>
    </row>
    <row r="172" ht="14.25" customHeight="1">
      <c r="A172" s="417" t="s">
        <v>11573</v>
      </c>
      <c r="B172" s="108"/>
      <c r="C172" s="360" t="s">
        <v>11649</v>
      </c>
      <c r="D172" s="314" t="s">
        <v>271</v>
      </c>
      <c r="E172" s="314" t="s">
        <v>11576</v>
      </c>
      <c r="F172" s="313" t="s">
        <v>11650</v>
      </c>
      <c r="G172" s="420"/>
      <c r="H172" s="313" t="s">
        <v>11578</v>
      </c>
      <c r="I172" s="428" t="s">
        <v>36</v>
      </c>
      <c r="J172" s="351"/>
      <c r="K172" s="351"/>
      <c r="L172" s="351"/>
      <c r="M172" s="351"/>
      <c r="N172" s="351"/>
      <c r="O172" s="351"/>
      <c r="P172" s="351"/>
      <c r="Q172" s="351"/>
      <c r="R172" s="351"/>
      <c r="S172" s="351"/>
      <c r="T172" s="351"/>
      <c r="U172" s="351"/>
      <c r="V172" s="351"/>
      <c r="W172" s="351"/>
      <c r="X172" s="351"/>
      <c r="Y172" s="351"/>
      <c r="Z172" s="351"/>
      <c r="AA172" s="351"/>
      <c r="AB172" s="351"/>
    </row>
    <row r="173" ht="14.25" customHeight="1">
      <c r="A173" s="417" t="s">
        <v>11573</v>
      </c>
      <c r="B173" s="108"/>
      <c r="C173" s="360" t="s">
        <v>11651</v>
      </c>
      <c r="D173" s="314" t="s">
        <v>271</v>
      </c>
      <c r="E173" s="314" t="s">
        <v>11576</v>
      </c>
      <c r="F173" s="313" t="s">
        <v>11652</v>
      </c>
      <c r="G173" s="420"/>
      <c r="H173" s="313" t="s">
        <v>11578</v>
      </c>
      <c r="I173" s="428" t="s">
        <v>36</v>
      </c>
      <c r="J173" s="351"/>
      <c r="K173" s="351"/>
      <c r="L173" s="351"/>
      <c r="M173" s="351"/>
      <c r="N173" s="351"/>
      <c r="O173" s="351"/>
      <c r="P173" s="351"/>
      <c r="Q173" s="351"/>
      <c r="R173" s="351"/>
      <c r="S173" s="351"/>
      <c r="T173" s="351"/>
      <c r="U173" s="351"/>
      <c r="V173" s="351"/>
      <c r="W173" s="351"/>
      <c r="X173" s="351"/>
      <c r="Y173" s="351"/>
      <c r="Z173" s="351"/>
      <c r="AA173" s="351"/>
      <c r="AB173" s="351"/>
    </row>
    <row r="174" ht="14.25" customHeight="1">
      <c r="A174" s="417" t="s">
        <v>11573</v>
      </c>
      <c r="B174" s="108"/>
      <c r="C174" s="360" t="s">
        <v>11653</v>
      </c>
      <c r="D174" s="314" t="s">
        <v>271</v>
      </c>
      <c r="E174" s="314" t="s">
        <v>11576</v>
      </c>
      <c r="F174" s="313" t="s">
        <v>11654</v>
      </c>
      <c r="G174" s="420"/>
      <c r="H174" s="313" t="s">
        <v>11578</v>
      </c>
      <c r="I174" s="428" t="s">
        <v>36</v>
      </c>
      <c r="J174" s="351"/>
      <c r="K174" s="351"/>
      <c r="L174" s="351"/>
      <c r="M174" s="351"/>
      <c r="N174" s="351"/>
      <c r="O174" s="351"/>
      <c r="P174" s="351"/>
      <c r="Q174" s="351"/>
      <c r="R174" s="351"/>
      <c r="S174" s="351"/>
      <c r="T174" s="351"/>
      <c r="U174" s="351"/>
      <c r="V174" s="351"/>
      <c r="W174" s="351"/>
      <c r="X174" s="351"/>
      <c r="Y174" s="351"/>
      <c r="Z174" s="351"/>
      <c r="AA174" s="351"/>
      <c r="AB174" s="351"/>
    </row>
    <row r="175" ht="14.25" customHeight="1">
      <c r="A175" s="417" t="s">
        <v>11573</v>
      </c>
      <c r="B175" s="108"/>
      <c r="C175" s="360" t="s">
        <v>11655</v>
      </c>
      <c r="D175" s="314" t="s">
        <v>271</v>
      </c>
      <c r="E175" s="314" t="s">
        <v>11576</v>
      </c>
      <c r="F175" s="313" t="s">
        <v>11656</v>
      </c>
      <c r="G175" s="420"/>
      <c r="H175" s="313" t="s">
        <v>11578</v>
      </c>
      <c r="I175" s="428" t="s">
        <v>36</v>
      </c>
      <c r="J175" s="351"/>
      <c r="K175" s="351"/>
      <c r="L175" s="351"/>
      <c r="M175" s="351"/>
      <c r="N175" s="351"/>
      <c r="O175" s="351"/>
      <c r="P175" s="351"/>
      <c r="Q175" s="351"/>
      <c r="R175" s="351"/>
      <c r="S175" s="351"/>
      <c r="T175" s="351"/>
      <c r="U175" s="351"/>
      <c r="V175" s="351"/>
      <c r="W175" s="351"/>
      <c r="X175" s="351"/>
      <c r="Y175" s="351"/>
      <c r="Z175" s="351"/>
      <c r="AA175" s="351"/>
      <c r="AB175" s="351"/>
    </row>
    <row r="176" ht="14.25" customHeight="1">
      <c r="A176" s="417" t="s">
        <v>11573</v>
      </c>
      <c r="B176" s="109"/>
      <c r="C176" s="360" t="s">
        <v>11657</v>
      </c>
      <c r="D176" s="314" t="s">
        <v>271</v>
      </c>
      <c r="E176" s="314" t="s">
        <v>11576</v>
      </c>
      <c r="F176" s="313" t="s">
        <v>11658</v>
      </c>
      <c r="G176" s="420"/>
      <c r="H176" s="313" t="s">
        <v>11578</v>
      </c>
      <c r="I176" s="428" t="s">
        <v>36</v>
      </c>
      <c r="J176" s="351"/>
      <c r="K176" s="303" t="s">
        <v>1784</v>
      </c>
      <c r="L176" s="351"/>
      <c r="M176" s="351"/>
      <c r="N176" s="351"/>
      <c r="O176" s="351"/>
      <c r="P176" s="351"/>
      <c r="Q176" s="351"/>
      <c r="R176" s="351"/>
      <c r="S176" s="351"/>
      <c r="T176" s="351"/>
      <c r="U176" s="351"/>
      <c r="V176" s="351"/>
      <c r="W176" s="351"/>
      <c r="X176" s="351"/>
      <c r="Y176" s="351"/>
      <c r="Z176" s="351"/>
      <c r="AA176" s="351"/>
      <c r="AB176" s="351"/>
    </row>
    <row r="177" ht="14.25" customHeight="1">
      <c r="A177" s="417" t="s">
        <v>11659</v>
      </c>
      <c r="B177" s="431" t="s">
        <v>11660</v>
      </c>
      <c r="C177" s="360" t="s">
        <v>11466</v>
      </c>
      <c r="D177" s="297" t="s">
        <v>271</v>
      </c>
      <c r="E177" s="297" t="s">
        <v>11240</v>
      </c>
      <c r="F177" s="296" t="s">
        <v>11661</v>
      </c>
      <c r="G177" s="405"/>
      <c r="H177" s="296" t="s">
        <v>11662</v>
      </c>
      <c r="I177" s="404" t="s">
        <v>36</v>
      </c>
      <c r="J177" s="351"/>
      <c r="K177" s="351"/>
      <c r="L177" s="351"/>
      <c r="M177" s="351"/>
      <c r="N177" s="351"/>
      <c r="O177" s="351"/>
      <c r="P177" s="351"/>
      <c r="Q177" s="351"/>
      <c r="R177" s="351"/>
      <c r="S177" s="351"/>
      <c r="T177" s="351"/>
      <c r="U177" s="351"/>
      <c r="V177" s="351"/>
      <c r="W177" s="351"/>
      <c r="X177" s="351"/>
      <c r="Y177" s="351"/>
      <c r="Z177" s="351"/>
      <c r="AA177" s="351"/>
      <c r="AB177" s="351"/>
    </row>
    <row r="178" ht="14.25" customHeight="1">
      <c r="A178" s="417" t="s">
        <v>11659</v>
      </c>
      <c r="B178" s="108"/>
      <c r="C178" s="360" t="s">
        <v>11469</v>
      </c>
      <c r="D178" s="297" t="s">
        <v>271</v>
      </c>
      <c r="E178" s="297" t="s">
        <v>11240</v>
      </c>
      <c r="F178" s="296" t="s">
        <v>11663</v>
      </c>
      <c r="G178" s="405"/>
      <c r="H178" s="296" t="s">
        <v>11664</v>
      </c>
      <c r="I178" s="404" t="s">
        <v>36</v>
      </c>
      <c r="J178" s="351"/>
      <c r="K178" s="351"/>
      <c r="L178" s="351"/>
      <c r="M178" s="351"/>
      <c r="N178" s="351"/>
      <c r="O178" s="351"/>
      <c r="P178" s="351"/>
      <c r="Q178" s="351"/>
      <c r="R178" s="351"/>
      <c r="S178" s="351"/>
      <c r="T178" s="351"/>
      <c r="U178" s="351"/>
      <c r="V178" s="351"/>
      <c r="W178" s="351"/>
      <c r="X178" s="351"/>
      <c r="Y178" s="351"/>
      <c r="Z178" s="351"/>
      <c r="AA178" s="351"/>
      <c r="AB178" s="351"/>
    </row>
    <row r="179" ht="14.25" customHeight="1">
      <c r="A179" s="417" t="s">
        <v>11659</v>
      </c>
      <c r="B179" s="108"/>
      <c r="C179" s="360" t="s">
        <v>11472</v>
      </c>
      <c r="D179" s="297" t="s">
        <v>271</v>
      </c>
      <c r="E179" s="297" t="s">
        <v>11240</v>
      </c>
      <c r="F179" s="296" t="s">
        <v>11665</v>
      </c>
      <c r="G179" s="405"/>
      <c r="H179" s="296" t="s">
        <v>11666</v>
      </c>
      <c r="I179" s="404" t="s">
        <v>36</v>
      </c>
      <c r="J179" s="351"/>
      <c r="K179" s="351"/>
      <c r="L179" s="351"/>
      <c r="M179" s="351"/>
      <c r="N179" s="351"/>
      <c r="O179" s="351"/>
      <c r="P179" s="351"/>
      <c r="Q179" s="351"/>
      <c r="R179" s="351"/>
      <c r="S179" s="351"/>
      <c r="T179" s="351"/>
      <c r="U179" s="351"/>
      <c r="V179" s="351"/>
      <c r="W179" s="351"/>
      <c r="X179" s="351"/>
      <c r="Y179" s="351"/>
      <c r="Z179" s="351"/>
      <c r="AA179" s="351"/>
      <c r="AB179" s="351"/>
    </row>
    <row r="180" ht="14.25" customHeight="1">
      <c r="A180" s="417" t="s">
        <v>11659</v>
      </c>
      <c r="B180" s="108"/>
      <c r="C180" s="360" t="s">
        <v>11474</v>
      </c>
      <c r="D180" s="297" t="s">
        <v>271</v>
      </c>
      <c r="E180" s="297" t="s">
        <v>11240</v>
      </c>
      <c r="F180" s="296" t="s">
        <v>11667</v>
      </c>
      <c r="G180" s="405"/>
      <c r="H180" s="296" t="s">
        <v>11668</v>
      </c>
      <c r="I180" s="404" t="s">
        <v>36</v>
      </c>
      <c r="J180" s="351"/>
      <c r="K180" s="351"/>
      <c r="L180" s="351"/>
      <c r="M180" s="351"/>
      <c r="N180" s="351"/>
      <c r="O180" s="351"/>
      <c r="P180" s="351"/>
      <c r="Q180" s="351"/>
      <c r="R180" s="351"/>
      <c r="S180" s="351"/>
      <c r="T180" s="351"/>
      <c r="U180" s="351"/>
      <c r="V180" s="351"/>
      <c r="W180" s="351"/>
      <c r="X180" s="351"/>
      <c r="Y180" s="351"/>
      <c r="Z180" s="351"/>
      <c r="AA180" s="351"/>
      <c r="AB180" s="351"/>
    </row>
    <row r="181" ht="14.25" customHeight="1">
      <c r="A181" s="417" t="s">
        <v>11659</v>
      </c>
      <c r="B181" s="108"/>
      <c r="C181" s="360" t="s">
        <v>11477</v>
      </c>
      <c r="D181" s="297" t="s">
        <v>271</v>
      </c>
      <c r="E181" s="297" t="s">
        <v>11240</v>
      </c>
      <c r="F181" s="296" t="s">
        <v>11669</v>
      </c>
      <c r="G181" s="405"/>
      <c r="H181" s="296" t="s">
        <v>11668</v>
      </c>
      <c r="I181" s="404" t="s">
        <v>36</v>
      </c>
      <c r="J181" s="351"/>
      <c r="K181" s="351"/>
      <c r="L181" s="351"/>
      <c r="M181" s="351"/>
      <c r="N181" s="351"/>
      <c r="O181" s="351"/>
      <c r="P181" s="351"/>
      <c r="Q181" s="351"/>
      <c r="R181" s="351"/>
      <c r="S181" s="351"/>
      <c r="T181" s="351"/>
      <c r="U181" s="351"/>
      <c r="V181" s="351"/>
      <c r="W181" s="351"/>
      <c r="X181" s="351"/>
      <c r="Y181" s="351"/>
      <c r="Z181" s="351"/>
      <c r="AA181" s="351"/>
      <c r="AB181" s="351"/>
    </row>
    <row r="182" ht="14.25" customHeight="1">
      <c r="A182" s="417" t="s">
        <v>11659</v>
      </c>
      <c r="B182" s="108"/>
      <c r="C182" s="360" t="s">
        <v>11480</v>
      </c>
      <c r="D182" s="297" t="s">
        <v>271</v>
      </c>
      <c r="E182" s="297" t="s">
        <v>11240</v>
      </c>
      <c r="F182" s="296" t="s">
        <v>11670</v>
      </c>
      <c r="G182" s="405"/>
      <c r="H182" s="296" t="s">
        <v>11666</v>
      </c>
      <c r="I182" s="404" t="s">
        <v>36</v>
      </c>
      <c r="J182" s="351"/>
      <c r="K182" s="351"/>
      <c r="L182" s="351"/>
      <c r="M182" s="351"/>
      <c r="N182" s="351"/>
      <c r="O182" s="351"/>
      <c r="P182" s="351"/>
      <c r="Q182" s="351"/>
      <c r="R182" s="351"/>
      <c r="S182" s="351"/>
      <c r="T182" s="351"/>
      <c r="U182" s="351"/>
      <c r="V182" s="351"/>
      <c r="W182" s="351"/>
      <c r="X182" s="351"/>
      <c r="Y182" s="351"/>
      <c r="Z182" s="351"/>
      <c r="AA182" s="351"/>
      <c r="AB182" s="351"/>
    </row>
    <row r="183" ht="14.25" customHeight="1">
      <c r="A183" s="417" t="s">
        <v>11659</v>
      </c>
      <c r="B183" s="108"/>
      <c r="C183" s="360" t="s">
        <v>11671</v>
      </c>
      <c r="D183" s="297" t="s">
        <v>271</v>
      </c>
      <c r="E183" s="297" t="s">
        <v>11240</v>
      </c>
      <c r="F183" s="296" t="s">
        <v>11672</v>
      </c>
      <c r="G183" s="405"/>
      <c r="H183" s="296" t="s">
        <v>11673</v>
      </c>
      <c r="I183" s="404" t="s">
        <v>36</v>
      </c>
      <c r="J183" s="351"/>
      <c r="K183" s="351"/>
      <c r="L183" s="351"/>
      <c r="M183" s="351"/>
      <c r="N183" s="351"/>
      <c r="O183" s="351"/>
      <c r="P183" s="351"/>
      <c r="Q183" s="351"/>
      <c r="R183" s="351"/>
      <c r="S183" s="351"/>
      <c r="T183" s="351"/>
      <c r="U183" s="351"/>
      <c r="V183" s="351"/>
      <c r="W183" s="351"/>
      <c r="X183" s="351"/>
      <c r="Y183" s="351"/>
      <c r="Z183" s="351"/>
      <c r="AA183" s="351"/>
      <c r="AB183" s="351"/>
    </row>
    <row r="184" ht="14.25" customHeight="1">
      <c r="A184" s="417" t="s">
        <v>11659</v>
      </c>
      <c r="B184" s="108"/>
      <c r="C184" s="360" t="s">
        <v>11674</v>
      </c>
      <c r="D184" s="297" t="s">
        <v>271</v>
      </c>
      <c r="E184" s="297" t="s">
        <v>11240</v>
      </c>
      <c r="F184" s="296" t="s">
        <v>11675</v>
      </c>
      <c r="G184" s="405"/>
      <c r="H184" s="296" t="s">
        <v>11673</v>
      </c>
      <c r="I184" s="404" t="s">
        <v>36</v>
      </c>
      <c r="J184" s="351"/>
      <c r="K184" s="351"/>
      <c r="L184" s="351"/>
      <c r="M184" s="351"/>
      <c r="N184" s="351"/>
      <c r="O184" s="351"/>
      <c r="P184" s="351"/>
      <c r="Q184" s="351"/>
      <c r="R184" s="351"/>
      <c r="S184" s="351"/>
      <c r="T184" s="351"/>
      <c r="U184" s="351"/>
      <c r="V184" s="351"/>
      <c r="W184" s="351"/>
      <c r="X184" s="351"/>
      <c r="Y184" s="351"/>
      <c r="Z184" s="351"/>
      <c r="AA184" s="351"/>
      <c r="AB184" s="351"/>
    </row>
    <row r="185" ht="14.25" customHeight="1">
      <c r="A185" s="417" t="s">
        <v>11659</v>
      </c>
      <c r="B185" s="109"/>
      <c r="C185" s="360" t="s">
        <v>11676</v>
      </c>
      <c r="D185" s="297" t="s">
        <v>271</v>
      </c>
      <c r="E185" s="297" t="s">
        <v>11240</v>
      </c>
      <c r="F185" s="298" t="s">
        <v>11677</v>
      </c>
      <c r="G185" s="405"/>
      <c r="H185" s="296" t="s">
        <v>11678</v>
      </c>
      <c r="I185" s="404" t="s">
        <v>36</v>
      </c>
      <c r="J185" s="351"/>
      <c r="K185" s="351"/>
      <c r="L185" s="351"/>
      <c r="M185" s="351"/>
      <c r="N185" s="351"/>
      <c r="O185" s="351"/>
      <c r="P185" s="351"/>
      <c r="Q185" s="351"/>
      <c r="R185" s="351"/>
      <c r="S185" s="351"/>
      <c r="T185" s="351"/>
      <c r="U185" s="351"/>
      <c r="V185" s="351"/>
      <c r="W185" s="351"/>
      <c r="X185" s="351"/>
      <c r="Y185" s="351"/>
      <c r="Z185" s="351"/>
      <c r="AA185" s="351"/>
      <c r="AB185" s="351"/>
    </row>
    <row r="186" ht="14.25" customHeight="1">
      <c r="A186" s="432" t="s">
        <v>11679</v>
      </c>
      <c r="B186" s="402" t="s">
        <v>11680</v>
      </c>
      <c r="C186" s="303" t="s">
        <v>11681</v>
      </c>
      <c r="D186" s="297" t="s">
        <v>271</v>
      </c>
      <c r="E186" s="297" t="s">
        <v>11240</v>
      </c>
      <c r="F186" s="311" t="s">
        <v>11682</v>
      </c>
      <c r="G186" s="297" t="s">
        <v>11683</v>
      </c>
      <c r="H186" s="298" t="s">
        <v>11684</v>
      </c>
      <c r="I186" s="404" t="s">
        <v>36</v>
      </c>
      <c r="J186" s="351"/>
      <c r="K186" s="303" t="s">
        <v>2062</v>
      </c>
      <c r="L186" s="351"/>
      <c r="M186" s="351"/>
      <c r="N186" s="351"/>
      <c r="O186" s="351"/>
      <c r="P186" s="351"/>
      <c r="Q186" s="351"/>
      <c r="R186" s="351"/>
      <c r="S186" s="351"/>
      <c r="T186" s="351"/>
      <c r="U186" s="351"/>
      <c r="V186" s="351"/>
      <c r="W186" s="351"/>
      <c r="X186" s="351"/>
      <c r="Y186" s="351"/>
      <c r="Z186" s="351"/>
      <c r="AA186" s="351"/>
      <c r="AB186" s="351"/>
    </row>
    <row r="187" ht="14.25" customHeight="1">
      <c r="A187" s="108"/>
      <c r="B187" s="108"/>
      <c r="C187" s="303" t="s">
        <v>11685</v>
      </c>
      <c r="D187" s="297" t="s">
        <v>271</v>
      </c>
      <c r="E187" s="297" t="s">
        <v>11240</v>
      </c>
      <c r="F187" s="311" t="s">
        <v>11686</v>
      </c>
      <c r="G187" s="297" t="s">
        <v>11687</v>
      </c>
      <c r="H187" s="298" t="s">
        <v>11684</v>
      </c>
      <c r="I187" s="404" t="s">
        <v>36</v>
      </c>
      <c r="J187" s="351"/>
      <c r="K187" s="303" t="s">
        <v>2062</v>
      </c>
      <c r="L187" s="351"/>
      <c r="M187" s="351"/>
      <c r="N187" s="351"/>
      <c r="O187" s="351"/>
      <c r="P187" s="351"/>
      <c r="Q187" s="351"/>
      <c r="R187" s="351"/>
      <c r="S187" s="351"/>
      <c r="T187" s="351"/>
      <c r="U187" s="351"/>
      <c r="V187" s="351"/>
      <c r="W187" s="351"/>
      <c r="X187" s="351"/>
      <c r="Y187" s="351"/>
      <c r="Z187" s="351"/>
      <c r="AA187" s="351"/>
      <c r="AB187" s="351"/>
    </row>
    <row r="188" ht="14.25" customHeight="1">
      <c r="A188" s="108"/>
      <c r="B188" s="108"/>
      <c r="C188" s="303" t="s">
        <v>11688</v>
      </c>
      <c r="D188" s="297" t="s">
        <v>271</v>
      </c>
      <c r="E188" s="297" t="s">
        <v>11240</v>
      </c>
      <c r="F188" s="311" t="s">
        <v>11689</v>
      </c>
      <c r="G188" s="297" t="s">
        <v>11690</v>
      </c>
      <c r="H188" s="298" t="s">
        <v>11684</v>
      </c>
      <c r="I188" s="404" t="s">
        <v>36</v>
      </c>
      <c r="J188" s="351"/>
      <c r="K188" s="303" t="s">
        <v>2062</v>
      </c>
      <c r="L188" s="351"/>
      <c r="M188" s="351"/>
      <c r="N188" s="351"/>
      <c r="O188" s="351"/>
      <c r="P188" s="351"/>
      <c r="Q188" s="351"/>
      <c r="R188" s="351"/>
      <c r="S188" s="351"/>
      <c r="T188" s="351"/>
      <c r="U188" s="351"/>
      <c r="V188" s="351"/>
      <c r="W188" s="351"/>
      <c r="X188" s="351"/>
      <c r="Y188" s="351"/>
      <c r="Z188" s="351"/>
      <c r="AA188" s="351"/>
      <c r="AB188" s="351"/>
    </row>
    <row r="189" ht="14.25" customHeight="1">
      <c r="A189" s="108"/>
      <c r="B189" s="108"/>
      <c r="C189" s="303" t="s">
        <v>11691</v>
      </c>
      <c r="D189" s="297" t="s">
        <v>271</v>
      </c>
      <c r="E189" s="297" t="s">
        <v>11240</v>
      </c>
      <c r="F189" s="311" t="s">
        <v>11692</v>
      </c>
      <c r="G189" s="297" t="s">
        <v>11693</v>
      </c>
      <c r="H189" s="298" t="s">
        <v>11684</v>
      </c>
      <c r="I189" s="404" t="s">
        <v>36</v>
      </c>
      <c r="J189" s="351"/>
      <c r="K189" s="303" t="s">
        <v>2062</v>
      </c>
      <c r="L189" s="351"/>
      <c r="M189" s="351"/>
      <c r="N189" s="351"/>
      <c r="O189" s="351"/>
      <c r="P189" s="351"/>
      <c r="Q189" s="351"/>
      <c r="R189" s="351"/>
      <c r="S189" s="351"/>
      <c r="T189" s="351"/>
      <c r="U189" s="351"/>
      <c r="V189" s="351"/>
      <c r="W189" s="351"/>
      <c r="X189" s="351"/>
      <c r="Y189" s="351"/>
      <c r="Z189" s="351"/>
      <c r="AA189" s="351"/>
      <c r="AB189" s="351"/>
    </row>
    <row r="190" ht="14.25" customHeight="1">
      <c r="A190" s="108"/>
      <c r="B190" s="108"/>
      <c r="C190" s="303" t="s">
        <v>11694</v>
      </c>
      <c r="D190" s="297" t="s">
        <v>271</v>
      </c>
      <c r="E190" s="297" t="s">
        <v>11240</v>
      </c>
      <c r="F190" s="298" t="s">
        <v>11695</v>
      </c>
      <c r="G190" s="297" t="s">
        <v>11696</v>
      </c>
      <c r="H190" s="298" t="s">
        <v>11697</v>
      </c>
      <c r="I190" s="404" t="s">
        <v>36</v>
      </c>
      <c r="J190" s="351"/>
      <c r="K190" s="303" t="s">
        <v>2062</v>
      </c>
      <c r="L190" s="351"/>
      <c r="M190" s="351"/>
      <c r="N190" s="351"/>
      <c r="O190" s="351"/>
      <c r="P190" s="351"/>
      <c r="Q190" s="351"/>
      <c r="R190" s="351"/>
      <c r="S190" s="351"/>
      <c r="T190" s="351"/>
      <c r="U190" s="351"/>
      <c r="V190" s="351"/>
      <c r="W190" s="351"/>
      <c r="X190" s="351"/>
      <c r="Y190" s="351"/>
      <c r="Z190" s="351"/>
      <c r="AA190" s="351"/>
      <c r="AB190" s="351"/>
    </row>
    <row r="191" ht="14.25" customHeight="1">
      <c r="A191" s="108"/>
      <c r="B191" s="108"/>
      <c r="C191" s="303" t="s">
        <v>11698</v>
      </c>
      <c r="D191" s="297" t="s">
        <v>271</v>
      </c>
      <c r="E191" s="297" t="s">
        <v>11240</v>
      </c>
      <c r="F191" s="298" t="s">
        <v>11699</v>
      </c>
      <c r="G191" s="297" t="s">
        <v>11700</v>
      </c>
      <c r="H191" s="298" t="s">
        <v>11701</v>
      </c>
      <c r="I191" s="404" t="s">
        <v>36</v>
      </c>
      <c r="J191" s="351"/>
      <c r="K191" s="303" t="s">
        <v>2062</v>
      </c>
      <c r="L191" s="351"/>
      <c r="M191" s="351"/>
      <c r="N191" s="351"/>
      <c r="O191" s="351"/>
      <c r="P191" s="351"/>
      <c r="Q191" s="351"/>
      <c r="R191" s="351"/>
      <c r="S191" s="351"/>
      <c r="T191" s="351"/>
      <c r="U191" s="351"/>
      <c r="V191" s="351"/>
      <c r="W191" s="351"/>
      <c r="X191" s="351"/>
      <c r="Y191" s="351"/>
      <c r="Z191" s="351"/>
      <c r="AA191" s="351"/>
      <c r="AB191" s="351"/>
    </row>
    <row r="192" ht="14.25" customHeight="1">
      <c r="A192" s="108"/>
      <c r="B192" s="108"/>
      <c r="C192" s="303" t="s">
        <v>11702</v>
      </c>
      <c r="D192" s="297" t="s">
        <v>271</v>
      </c>
      <c r="E192" s="297" t="s">
        <v>11240</v>
      </c>
      <c r="F192" s="313" t="s">
        <v>11703</v>
      </c>
      <c r="G192" s="297" t="s">
        <v>11704</v>
      </c>
      <c r="H192" s="313" t="s">
        <v>11705</v>
      </c>
      <c r="I192" s="404" t="s">
        <v>36</v>
      </c>
      <c r="J192" s="351"/>
      <c r="K192" s="303" t="s">
        <v>2062</v>
      </c>
      <c r="L192" s="351"/>
      <c r="M192" s="351"/>
      <c r="N192" s="351"/>
      <c r="O192" s="351"/>
      <c r="P192" s="351"/>
      <c r="Q192" s="351"/>
      <c r="R192" s="351"/>
      <c r="S192" s="351"/>
      <c r="T192" s="351"/>
      <c r="U192" s="351"/>
      <c r="V192" s="351"/>
      <c r="W192" s="351"/>
      <c r="X192" s="351"/>
      <c r="Y192" s="351"/>
      <c r="Z192" s="351"/>
      <c r="AA192" s="351"/>
      <c r="AB192" s="351"/>
    </row>
    <row r="193" ht="14.25" customHeight="1">
      <c r="A193" s="108"/>
      <c r="B193" s="108"/>
      <c r="C193" s="303" t="s">
        <v>11706</v>
      </c>
      <c r="D193" s="297" t="s">
        <v>271</v>
      </c>
      <c r="E193" s="297" t="s">
        <v>11240</v>
      </c>
      <c r="F193" s="298" t="s">
        <v>11707</v>
      </c>
      <c r="G193" s="297" t="s">
        <v>11708</v>
      </c>
      <c r="H193" s="298" t="s">
        <v>11709</v>
      </c>
      <c r="I193" s="404" t="s">
        <v>36</v>
      </c>
      <c r="J193" s="351"/>
      <c r="K193" s="303" t="s">
        <v>2062</v>
      </c>
      <c r="L193" s="351"/>
      <c r="M193" s="351"/>
      <c r="N193" s="351"/>
      <c r="O193" s="351"/>
      <c r="P193" s="351"/>
      <c r="Q193" s="351"/>
      <c r="R193" s="351"/>
      <c r="S193" s="351"/>
      <c r="T193" s="351"/>
      <c r="U193" s="351"/>
      <c r="V193" s="351"/>
      <c r="W193" s="351"/>
      <c r="X193" s="351"/>
      <c r="Y193" s="351"/>
      <c r="Z193" s="351"/>
      <c r="AA193" s="351"/>
      <c r="AB193" s="351"/>
    </row>
    <row r="194" ht="14.25" customHeight="1">
      <c r="A194" s="108"/>
      <c r="B194" s="108"/>
      <c r="C194" s="303" t="s">
        <v>11710</v>
      </c>
      <c r="D194" s="297" t="s">
        <v>271</v>
      </c>
      <c r="E194" s="297" t="s">
        <v>11240</v>
      </c>
      <c r="F194" s="298" t="s">
        <v>11711</v>
      </c>
      <c r="G194" s="297" t="s">
        <v>11712</v>
      </c>
      <c r="H194" s="298" t="s">
        <v>11713</v>
      </c>
      <c r="I194" s="404" t="s">
        <v>36</v>
      </c>
      <c r="J194" s="351"/>
      <c r="K194" s="303" t="s">
        <v>2062</v>
      </c>
      <c r="L194" s="351"/>
      <c r="M194" s="351"/>
      <c r="N194" s="351"/>
      <c r="O194" s="351"/>
      <c r="P194" s="351"/>
      <c r="Q194" s="351"/>
      <c r="R194" s="351"/>
      <c r="S194" s="351"/>
      <c r="T194" s="351"/>
      <c r="U194" s="351"/>
      <c r="V194" s="351"/>
      <c r="W194" s="351"/>
      <c r="X194" s="351"/>
      <c r="Y194" s="351"/>
      <c r="Z194" s="351"/>
      <c r="AA194" s="351"/>
      <c r="AB194" s="351"/>
    </row>
    <row r="195" ht="14.25" customHeight="1">
      <c r="A195" s="109"/>
      <c r="B195" s="109"/>
      <c r="C195" s="303" t="s">
        <v>11714</v>
      </c>
      <c r="D195" s="297" t="s">
        <v>271</v>
      </c>
      <c r="E195" s="297" t="s">
        <v>11240</v>
      </c>
      <c r="F195" s="298" t="s">
        <v>11715</v>
      </c>
      <c r="G195" s="297" t="s">
        <v>11716</v>
      </c>
      <c r="H195" s="298" t="s">
        <v>11705</v>
      </c>
      <c r="I195" s="404" t="s">
        <v>36</v>
      </c>
      <c r="J195" s="351"/>
      <c r="K195" s="303" t="s">
        <v>2062</v>
      </c>
      <c r="L195" s="351"/>
      <c r="M195" s="351"/>
      <c r="N195" s="351"/>
      <c r="O195" s="351"/>
      <c r="P195" s="351"/>
      <c r="Q195" s="351"/>
      <c r="R195" s="351"/>
      <c r="S195" s="351"/>
      <c r="T195" s="351"/>
      <c r="U195" s="351"/>
      <c r="V195" s="351"/>
      <c r="W195" s="351"/>
      <c r="X195" s="351"/>
      <c r="Y195" s="351"/>
      <c r="Z195" s="351"/>
      <c r="AA195" s="351"/>
      <c r="AB195" s="351"/>
    </row>
    <row r="196" ht="14.25" customHeight="1">
      <c r="A196" s="433" t="s">
        <v>11717</v>
      </c>
      <c r="B196" s="402" t="s">
        <v>11718</v>
      </c>
      <c r="C196" s="434" t="s">
        <v>11719</v>
      </c>
      <c r="D196" s="297" t="s">
        <v>271</v>
      </c>
      <c r="E196" s="297" t="s">
        <v>11720</v>
      </c>
      <c r="F196" s="435" t="s">
        <v>11721</v>
      </c>
      <c r="G196" s="436" t="s">
        <v>11722</v>
      </c>
      <c r="H196" s="435" t="s">
        <v>11723</v>
      </c>
      <c r="I196" s="404" t="s">
        <v>36</v>
      </c>
      <c r="J196" s="351"/>
      <c r="K196" s="303" t="s">
        <v>1784</v>
      </c>
      <c r="L196" s="351"/>
      <c r="M196" s="351"/>
      <c r="N196" s="351"/>
      <c r="O196" s="351"/>
      <c r="P196" s="351"/>
      <c r="Q196" s="351"/>
      <c r="R196" s="351"/>
      <c r="S196" s="351"/>
      <c r="T196" s="351"/>
      <c r="U196" s="351"/>
      <c r="V196" s="351"/>
      <c r="W196" s="351"/>
      <c r="X196" s="351"/>
      <c r="Y196" s="351"/>
      <c r="Z196" s="351"/>
      <c r="AA196" s="351"/>
      <c r="AB196" s="351"/>
    </row>
    <row r="197" ht="14.25" customHeight="1">
      <c r="A197" s="433" t="s">
        <v>11717</v>
      </c>
      <c r="B197" s="108"/>
      <c r="C197" s="434" t="s">
        <v>11724</v>
      </c>
      <c r="D197" s="297" t="s">
        <v>271</v>
      </c>
      <c r="E197" s="297" t="s">
        <v>11720</v>
      </c>
      <c r="F197" s="435" t="s">
        <v>11725</v>
      </c>
      <c r="G197" s="436" t="s">
        <v>11726</v>
      </c>
      <c r="H197" s="435" t="s">
        <v>11727</v>
      </c>
      <c r="I197" s="404" t="s">
        <v>36</v>
      </c>
      <c r="J197" s="351"/>
      <c r="K197" s="303" t="s">
        <v>1784</v>
      </c>
      <c r="L197" s="351"/>
      <c r="M197" s="351"/>
      <c r="N197" s="351"/>
      <c r="O197" s="351"/>
      <c r="P197" s="351"/>
      <c r="Q197" s="351"/>
      <c r="R197" s="351"/>
      <c r="S197" s="351"/>
      <c r="T197" s="351"/>
      <c r="U197" s="351"/>
      <c r="V197" s="351"/>
      <c r="W197" s="351"/>
      <c r="X197" s="351"/>
      <c r="Y197" s="351"/>
      <c r="Z197" s="351"/>
      <c r="AA197" s="351"/>
      <c r="AB197" s="351"/>
    </row>
    <row r="198" ht="14.25" customHeight="1">
      <c r="A198" s="433" t="s">
        <v>11717</v>
      </c>
      <c r="B198" s="108"/>
      <c r="C198" s="434" t="s">
        <v>11728</v>
      </c>
      <c r="D198" s="297" t="s">
        <v>271</v>
      </c>
      <c r="E198" s="297" t="s">
        <v>11720</v>
      </c>
      <c r="F198" s="435" t="s">
        <v>11729</v>
      </c>
      <c r="G198" s="436" t="s">
        <v>11730</v>
      </c>
      <c r="H198" s="435" t="s">
        <v>11731</v>
      </c>
      <c r="I198" s="404" t="s">
        <v>36</v>
      </c>
      <c r="J198" s="351"/>
      <c r="K198" s="303" t="s">
        <v>1784</v>
      </c>
      <c r="L198" s="351"/>
      <c r="M198" s="351"/>
      <c r="N198" s="351"/>
      <c r="O198" s="351"/>
      <c r="P198" s="351"/>
      <c r="Q198" s="351"/>
      <c r="R198" s="351"/>
      <c r="S198" s="351"/>
      <c r="T198" s="351"/>
      <c r="U198" s="351"/>
      <c r="V198" s="351"/>
      <c r="W198" s="351"/>
      <c r="X198" s="351"/>
      <c r="Y198" s="351"/>
      <c r="Z198" s="351"/>
      <c r="AA198" s="351"/>
      <c r="AB198" s="351"/>
    </row>
    <row r="199" ht="14.25" customHeight="1">
      <c r="A199" s="433" t="s">
        <v>11717</v>
      </c>
      <c r="B199" s="108"/>
      <c r="C199" s="434" t="s">
        <v>11732</v>
      </c>
      <c r="D199" s="297" t="s">
        <v>271</v>
      </c>
      <c r="E199" s="297" t="s">
        <v>11720</v>
      </c>
      <c r="F199" s="435" t="s">
        <v>11733</v>
      </c>
      <c r="G199" s="403"/>
      <c r="H199" s="435" t="s">
        <v>11734</v>
      </c>
      <c r="I199" s="404" t="s">
        <v>36</v>
      </c>
      <c r="J199" s="351"/>
      <c r="K199" s="303" t="s">
        <v>1784</v>
      </c>
      <c r="L199" s="351"/>
      <c r="M199" s="351"/>
      <c r="N199" s="351"/>
      <c r="O199" s="351"/>
      <c r="P199" s="351"/>
      <c r="Q199" s="351"/>
      <c r="R199" s="351"/>
      <c r="S199" s="351"/>
      <c r="T199" s="351"/>
      <c r="U199" s="351"/>
      <c r="V199" s="351"/>
      <c r="W199" s="351"/>
      <c r="X199" s="351"/>
      <c r="Y199" s="351"/>
      <c r="Z199" s="351"/>
      <c r="AA199" s="351"/>
      <c r="AB199" s="351"/>
    </row>
    <row r="200" ht="14.25" customHeight="1">
      <c r="A200" s="433" t="s">
        <v>11717</v>
      </c>
      <c r="B200" s="108"/>
      <c r="C200" s="434" t="s">
        <v>11735</v>
      </c>
      <c r="D200" s="297" t="s">
        <v>271</v>
      </c>
      <c r="E200" s="297" t="s">
        <v>11720</v>
      </c>
      <c r="F200" s="435" t="s">
        <v>11736</v>
      </c>
      <c r="G200" s="312" t="s">
        <v>11737</v>
      </c>
      <c r="H200" s="435" t="s">
        <v>11738</v>
      </c>
      <c r="I200" s="404" t="s">
        <v>36</v>
      </c>
      <c r="J200" s="351"/>
      <c r="K200" s="303" t="s">
        <v>1784</v>
      </c>
      <c r="L200" s="351"/>
      <c r="M200" s="351"/>
      <c r="N200" s="351"/>
      <c r="O200" s="351"/>
      <c r="P200" s="351"/>
      <c r="Q200" s="351"/>
      <c r="R200" s="351"/>
      <c r="S200" s="351"/>
      <c r="T200" s="351"/>
      <c r="U200" s="351"/>
      <c r="V200" s="351"/>
      <c r="W200" s="351"/>
      <c r="X200" s="351"/>
      <c r="Y200" s="351"/>
      <c r="Z200" s="351"/>
      <c r="AA200" s="351"/>
      <c r="AB200" s="351"/>
    </row>
    <row r="201" ht="14.25" customHeight="1">
      <c r="A201" s="433" t="s">
        <v>11717</v>
      </c>
      <c r="B201" s="108"/>
      <c r="C201" s="434" t="s">
        <v>11739</v>
      </c>
      <c r="D201" s="297" t="s">
        <v>271</v>
      </c>
      <c r="E201" s="297" t="s">
        <v>11720</v>
      </c>
      <c r="F201" s="435" t="s">
        <v>11740</v>
      </c>
      <c r="G201" s="403"/>
      <c r="H201" s="435" t="s">
        <v>11741</v>
      </c>
      <c r="I201" s="404" t="s">
        <v>36</v>
      </c>
      <c r="J201" s="351"/>
      <c r="K201" s="303" t="s">
        <v>1784</v>
      </c>
      <c r="L201" s="351"/>
      <c r="M201" s="351"/>
      <c r="N201" s="351"/>
      <c r="O201" s="351"/>
      <c r="P201" s="351"/>
      <c r="Q201" s="351"/>
      <c r="R201" s="351"/>
      <c r="S201" s="351"/>
      <c r="T201" s="351"/>
      <c r="U201" s="351"/>
      <c r="V201" s="351"/>
      <c r="W201" s="351"/>
      <c r="X201" s="351"/>
      <c r="Y201" s="351"/>
      <c r="Z201" s="351"/>
      <c r="AA201" s="351"/>
      <c r="AB201" s="351"/>
    </row>
    <row r="202" ht="14.25" customHeight="1">
      <c r="A202" s="433" t="s">
        <v>11717</v>
      </c>
      <c r="B202" s="108"/>
      <c r="C202" s="434" t="s">
        <v>11742</v>
      </c>
      <c r="D202" s="297" t="s">
        <v>271</v>
      </c>
      <c r="E202" s="297" t="s">
        <v>11720</v>
      </c>
      <c r="F202" s="435" t="s">
        <v>11743</v>
      </c>
      <c r="G202" s="312" t="s">
        <v>11744</v>
      </c>
      <c r="H202" s="435" t="s">
        <v>11745</v>
      </c>
      <c r="I202" s="404" t="s">
        <v>36</v>
      </c>
      <c r="J202" s="351"/>
      <c r="K202" s="303" t="s">
        <v>1784</v>
      </c>
      <c r="L202" s="351"/>
      <c r="M202" s="351"/>
      <c r="N202" s="351"/>
      <c r="O202" s="351"/>
      <c r="P202" s="351"/>
      <c r="Q202" s="351"/>
      <c r="R202" s="351"/>
      <c r="S202" s="351"/>
      <c r="T202" s="351"/>
      <c r="U202" s="351"/>
      <c r="V202" s="351"/>
      <c r="W202" s="351"/>
      <c r="X202" s="351"/>
      <c r="Y202" s="351"/>
      <c r="Z202" s="351"/>
      <c r="AA202" s="351"/>
      <c r="AB202" s="351"/>
    </row>
    <row r="203" ht="14.25" customHeight="1">
      <c r="A203" s="433" t="s">
        <v>11717</v>
      </c>
      <c r="B203" s="108"/>
      <c r="C203" s="434" t="s">
        <v>11746</v>
      </c>
      <c r="D203" s="297" t="s">
        <v>271</v>
      </c>
      <c r="E203" s="297" t="s">
        <v>11720</v>
      </c>
      <c r="F203" s="435" t="s">
        <v>11747</v>
      </c>
      <c r="G203" s="436" t="s">
        <v>11748</v>
      </c>
      <c r="H203" s="435" t="s">
        <v>11749</v>
      </c>
      <c r="I203" s="404" t="s">
        <v>36</v>
      </c>
      <c r="J203" s="351"/>
      <c r="K203" s="303" t="s">
        <v>1784</v>
      </c>
      <c r="L203" s="351"/>
      <c r="M203" s="351"/>
      <c r="N203" s="351"/>
      <c r="O203" s="351"/>
      <c r="P203" s="351"/>
      <c r="Q203" s="351"/>
      <c r="R203" s="351"/>
      <c r="S203" s="351"/>
      <c r="T203" s="351"/>
      <c r="U203" s="351"/>
      <c r="V203" s="351"/>
      <c r="W203" s="351"/>
      <c r="X203" s="351"/>
      <c r="Y203" s="351"/>
      <c r="Z203" s="351"/>
      <c r="AA203" s="351"/>
      <c r="AB203" s="351"/>
    </row>
    <row r="204" ht="14.25" customHeight="1">
      <c r="A204" s="433" t="s">
        <v>11717</v>
      </c>
      <c r="B204" s="108"/>
      <c r="C204" s="434" t="s">
        <v>11750</v>
      </c>
      <c r="D204" s="297" t="s">
        <v>271</v>
      </c>
      <c r="E204" s="297" t="s">
        <v>11720</v>
      </c>
      <c r="F204" s="435" t="s">
        <v>11751</v>
      </c>
      <c r="G204" s="436" t="s">
        <v>11752</v>
      </c>
      <c r="H204" s="435" t="s">
        <v>11753</v>
      </c>
      <c r="I204" s="404" t="s">
        <v>36</v>
      </c>
      <c r="J204" s="351"/>
      <c r="K204" s="303" t="s">
        <v>1784</v>
      </c>
      <c r="L204" s="351"/>
      <c r="M204" s="351"/>
      <c r="N204" s="351"/>
      <c r="O204" s="351"/>
      <c r="P204" s="351"/>
      <c r="Q204" s="351"/>
      <c r="R204" s="351"/>
      <c r="S204" s="351"/>
      <c r="T204" s="351"/>
      <c r="U204" s="351"/>
      <c r="V204" s="351"/>
      <c r="W204" s="351"/>
      <c r="X204" s="351"/>
      <c r="Y204" s="351"/>
      <c r="Z204" s="351"/>
      <c r="AA204" s="351"/>
      <c r="AB204" s="351"/>
    </row>
    <row r="205" ht="14.25" customHeight="1">
      <c r="A205" s="433" t="s">
        <v>11717</v>
      </c>
      <c r="B205" s="108"/>
      <c r="C205" s="434" t="s">
        <v>11754</v>
      </c>
      <c r="D205" s="297" t="s">
        <v>271</v>
      </c>
      <c r="E205" s="297" t="s">
        <v>11720</v>
      </c>
      <c r="F205" s="435" t="s">
        <v>11755</v>
      </c>
      <c r="G205" s="436" t="s">
        <v>11756</v>
      </c>
      <c r="H205" s="435" t="s">
        <v>11757</v>
      </c>
      <c r="I205" s="404" t="s">
        <v>36</v>
      </c>
      <c r="J205" s="351"/>
      <c r="K205" s="303" t="s">
        <v>1784</v>
      </c>
      <c r="L205" s="351"/>
      <c r="M205" s="351"/>
      <c r="N205" s="351"/>
      <c r="O205" s="351"/>
      <c r="P205" s="351"/>
      <c r="Q205" s="351"/>
      <c r="R205" s="351"/>
      <c r="S205" s="351"/>
      <c r="T205" s="351"/>
      <c r="U205" s="351"/>
      <c r="V205" s="351"/>
      <c r="W205" s="351"/>
      <c r="X205" s="351"/>
      <c r="Y205" s="351"/>
      <c r="Z205" s="351"/>
      <c r="AA205" s="351"/>
      <c r="AB205" s="351"/>
    </row>
    <row r="206" ht="14.25" customHeight="1">
      <c r="A206" s="433" t="s">
        <v>11717</v>
      </c>
      <c r="B206" s="108"/>
      <c r="C206" s="434" t="s">
        <v>11758</v>
      </c>
      <c r="D206" s="297" t="s">
        <v>271</v>
      </c>
      <c r="E206" s="297" t="s">
        <v>11720</v>
      </c>
      <c r="F206" s="435" t="s">
        <v>11759</v>
      </c>
      <c r="G206" s="436" t="s">
        <v>11760</v>
      </c>
      <c r="H206" s="435" t="s">
        <v>11761</v>
      </c>
      <c r="I206" s="404" t="s">
        <v>36</v>
      </c>
      <c r="J206" s="351"/>
      <c r="K206" s="303" t="s">
        <v>1784</v>
      </c>
      <c r="L206" s="351"/>
      <c r="M206" s="351"/>
      <c r="N206" s="351"/>
      <c r="O206" s="351"/>
      <c r="P206" s="351"/>
      <c r="Q206" s="351"/>
      <c r="R206" s="351"/>
      <c r="S206" s="351"/>
      <c r="T206" s="351"/>
      <c r="U206" s="351"/>
      <c r="V206" s="351"/>
      <c r="W206" s="351"/>
      <c r="X206" s="351"/>
      <c r="Y206" s="351"/>
      <c r="Z206" s="351"/>
      <c r="AA206" s="351"/>
      <c r="AB206" s="351"/>
    </row>
    <row r="207" ht="14.25" customHeight="1">
      <c r="A207" s="433" t="s">
        <v>11717</v>
      </c>
      <c r="B207" s="108"/>
      <c r="C207" s="434" t="s">
        <v>11762</v>
      </c>
      <c r="D207" s="297" t="s">
        <v>271</v>
      </c>
      <c r="E207" s="297" t="s">
        <v>11720</v>
      </c>
      <c r="F207" s="435" t="s">
        <v>11763</v>
      </c>
      <c r="G207" s="436" t="s">
        <v>11764</v>
      </c>
      <c r="H207" s="435" t="s">
        <v>11765</v>
      </c>
      <c r="I207" s="404" t="s">
        <v>36</v>
      </c>
      <c r="J207" s="351"/>
      <c r="K207" s="303" t="s">
        <v>1784</v>
      </c>
      <c r="L207" s="351"/>
      <c r="M207" s="351"/>
      <c r="N207" s="351"/>
      <c r="O207" s="351"/>
      <c r="P207" s="351"/>
      <c r="Q207" s="351"/>
      <c r="R207" s="351"/>
      <c r="S207" s="351"/>
      <c r="T207" s="351"/>
      <c r="U207" s="351"/>
      <c r="V207" s="351"/>
      <c r="W207" s="351"/>
      <c r="X207" s="351"/>
      <c r="Y207" s="351"/>
      <c r="Z207" s="351"/>
      <c r="AA207" s="351"/>
      <c r="AB207" s="351"/>
    </row>
    <row r="208" ht="14.25" customHeight="1">
      <c r="A208" s="433" t="s">
        <v>11717</v>
      </c>
      <c r="B208" s="108"/>
      <c r="C208" s="434" t="s">
        <v>11766</v>
      </c>
      <c r="D208" s="297" t="s">
        <v>271</v>
      </c>
      <c r="E208" s="297" t="s">
        <v>11720</v>
      </c>
      <c r="F208" s="435" t="s">
        <v>11767</v>
      </c>
      <c r="G208" s="436" t="s">
        <v>11768</v>
      </c>
      <c r="H208" s="435" t="s">
        <v>11769</v>
      </c>
      <c r="I208" s="404" t="s">
        <v>36</v>
      </c>
      <c r="J208" s="351"/>
      <c r="K208" s="303" t="s">
        <v>1784</v>
      </c>
      <c r="L208" s="351"/>
      <c r="M208" s="351"/>
      <c r="N208" s="351"/>
      <c r="O208" s="351"/>
      <c r="P208" s="351"/>
      <c r="Q208" s="351"/>
      <c r="R208" s="351"/>
      <c r="S208" s="351"/>
      <c r="T208" s="351"/>
      <c r="U208" s="351"/>
      <c r="V208" s="351"/>
      <c r="W208" s="351"/>
      <c r="X208" s="351"/>
      <c r="Y208" s="351"/>
      <c r="Z208" s="351"/>
      <c r="AA208" s="351"/>
      <c r="AB208" s="351"/>
    </row>
    <row r="209" ht="14.25" customHeight="1">
      <c r="A209" s="433" t="s">
        <v>11717</v>
      </c>
      <c r="B209" s="108"/>
      <c r="C209" s="434" t="s">
        <v>11770</v>
      </c>
      <c r="D209" s="297" t="s">
        <v>271</v>
      </c>
      <c r="E209" s="297" t="s">
        <v>11720</v>
      </c>
      <c r="F209" s="435" t="s">
        <v>11771</v>
      </c>
      <c r="G209" s="436" t="s">
        <v>11772</v>
      </c>
      <c r="H209" s="435" t="s">
        <v>11773</v>
      </c>
      <c r="I209" s="404" t="s">
        <v>36</v>
      </c>
      <c r="J209" s="351"/>
      <c r="K209" s="303" t="s">
        <v>1784</v>
      </c>
      <c r="L209" s="351"/>
      <c r="M209" s="351"/>
      <c r="N209" s="351"/>
      <c r="O209" s="351"/>
      <c r="P209" s="351"/>
      <c r="Q209" s="351"/>
      <c r="R209" s="351"/>
      <c r="S209" s="351"/>
      <c r="T209" s="351"/>
      <c r="U209" s="351"/>
      <c r="V209" s="351"/>
      <c r="W209" s="351"/>
      <c r="X209" s="351"/>
      <c r="Y209" s="351"/>
      <c r="Z209" s="351"/>
      <c r="AA209" s="351"/>
      <c r="AB209" s="351"/>
    </row>
    <row r="210" ht="14.25" customHeight="1">
      <c r="A210" s="433" t="s">
        <v>11717</v>
      </c>
      <c r="B210" s="108"/>
      <c r="C210" s="434" t="s">
        <v>11774</v>
      </c>
      <c r="D210" s="297" t="s">
        <v>271</v>
      </c>
      <c r="E210" s="297" t="s">
        <v>11720</v>
      </c>
      <c r="F210" s="298" t="s">
        <v>11775</v>
      </c>
      <c r="G210" s="437" t="s">
        <v>11776</v>
      </c>
      <c r="H210" s="298" t="s">
        <v>11777</v>
      </c>
      <c r="I210" s="404" t="s">
        <v>36</v>
      </c>
      <c r="J210" s="351"/>
      <c r="K210" s="303" t="s">
        <v>1784</v>
      </c>
      <c r="L210" s="351"/>
      <c r="M210" s="351"/>
      <c r="N210" s="351"/>
      <c r="O210" s="351"/>
      <c r="P210" s="351"/>
      <c r="Q210" s="351"/>
      <c r="R210" s="351"/>
      <c r="S210" s="351"/>
      <c r="T210" s="351"/>
      <c r="U210" s="351"/>
      <c r="V210" s="351"/>
      <c r="W210" s="351"/>
      <c r="X210" s="351"/>
      <c r="Y210" s="351"/>
      <c r="Z210" s="351"/>
      <c r="AA210" s="351"/>
      <c r="AB210" s="351"/>
    </row>
    <row r="211" ht="14.25" customHeight="1">
      <c r="A211" s="433" t="s">
        <v>11717</v>
      </c>
      <c r="B211" s="108"/>
      <c r="C211" s="434" t="s">
        <v>11778</v>
      </c>
      <c r="D211" s="297" t="s">
        <v>271</v>
      </c>
      <c r="E211" s="297" t="s">
        <v>11720</v>
      </c>
      <c r="F211" s="298" t="s">
        <v>11779</v>
      </c>
      <c r="G211" s="437" t="s">
        <v>11780</v>
      </c>
      <c r="H211" s="298" t="s">
        <v>11781</v>
      </c>
      <c r="I211" s="404" t="s">
        <v>36</v>
      </c>
      <c r="J211" s="351"/>
      <c r="K211" s="303" t="s">
        <v>1784</v>
      </c>
      <c r="L211" s="351"/>
      <c r="M211" s="351"/>
      <c r="N211" s="351"/>
      <c r="O211" s="351"/>
      <c r="P211" s="351"/>
      <c r="Q211" s="351"/>
      <c r="R211" s="351"/>
      <c r="S211" s="351"/>
      <c r="T211" s="351"/>
      <c r="U211" s="351"/>
      <c r="V211" s="351"/>
      <c r="W211" s="351"/>
      <c r="X211" s="351"/>
      <c r="Y211" s="351"/>
      <c r="Z211" s="351"/>
      <c r="AA211" s="351"/>
      <c r="AB211" s="351"/>
    </row>
    <row r="212" ht="14.25" customHeight="1">
      <c r="A212" s="433" t="s">
        <v>11717</v>
      </c>
      <c r="B212" s="109"/>
      <c r="C212" s="434" t="s">
        <v>11782</v>
      </c>
      <c r="D212" s="297" t="s">
        <v>271</v>
      </c>
      <c r="E212" s="297" t="s">
        <v>11720</v>
      </c>
      <c r="F212" s="298" t="s">
        <v>11783</v>
      </c>
      <c r="G212" s="437" t="s">
        <v>11784</v>
      </c>
      <c r="H212" s="298" t="s">
        <v>11785</v>
      </c>
      <c r="I212" s="404" t="s">
        <v>36</v>
      </c>
      <c r="J212" s="351"/>
      <c r="K212" s="303" t="s">
        <v>1784</v>
      </c>
      <c r="L212" s="351"/>
      <c r="M212" s="351"/>
      <c r="N212" s="351"/>
      <c r="O212" s="351"/>
      <c r="P212" s="351"/>
      <c r="Q212" s="351"/>
      <c r="R212" s="351"/>
      <c r="S212" s="351"/>
      <c r="T212" s="351"/>
      <c r="U212" s="351"/>
      <c r="V212" s="351"/>
      <c r="W212" s="351"/>
      <c r="X212" s="351"/>
      <c r="Y212" s="351"/>
      <c r="Z212" s="351"/>
      <c r="AA212" s="351"/>
      <c r="AB212" s="351"/>
    </row>
    <row r="213" ht="14.25" customHeight="1">
      <c r="A213" s="275" t="s">
        <v>11786</v>
      </c>
      <c r="B213" s="402" t="s">
        <v>11787</v>
      </c>
      <c r="C213" s="303" t="s">
        <v>11788</v>
      </c>
      <c r="D213" s="297" t="s">
        <v>271</v>
      </c>
      <c r="E213" s="297" t="s">
        <v>5</v>
      </c>
      <c r="F213" s="296" t="s">
        <v>11789</v>
      </c>
      <c r="G213" s="405"/>
      <c r="H213" s="296" t="s">
        <v>11790</v>
      </c>
      <c r="I213" s="404" t="s">
        <v>36</v>
      </c>
      <c r="J213" s="429"/>
      <c r="K213" s="303" t="s">
        <v>1784</v>
      </c>
      <c r="L213" s="429"/>
      <c r="M213" s="351"/>
      <c r="N213" s="351"/>
      <c r="O213" s="351"/>
      <c r="P213" s="351"/>
      <c r="Q213" s="351"/>
      <c r="R213" s="351"/>
      <c r="S213" s="351"/>
      <c r="T213" s="351"/>
      <c r="U213" s="351"/>
      <c r="V213" s="351"/>
      <c r="W213" s="351"/>
      <c r="X213" s="351"/>
      <c r="Y213" s="351"/>
      <c r="Z213" s="351"/>
      <c r="AA213" s="351"/>
      <c r="AB213" s="351"/>
    </row>
    <row r="214" ht="14.25" customHeight="1">
      <c r="A214" s="275" t="s">
        <v>11786</v>
      </c>
      <c r="B214" s="108"/>
      <c r="C214" s="303" t="s">
        <v>11788</v>
      </c>
      <c r="D214" s="297" t="s">
        <v>271</v>
      </c>
      <c r="E214" s="297" t="s">
        <v>5</v>
      </c>
      <c r="F214" s="296" t="s">
        <v>11791</v>
      </c>
      <c r="G214" s="405"/>
      <c r="H214" s="296" t="s">
        <v>11792</v>
      </c>
      <c r="I214" s="404" t="s">
        <v>36</v>
      </c>
      <c r="J214" s="429"/>
      <c r="K214" s="303" t="s">
        <v>1784</v>
      </c>
      <c r="L214" s="429"/>
      <c r="M214" s="351"/>
      <c r="N214" s="351"/>
      <c r="O214" s="351"/>
      <c r="P214" s="351"/>
      <c r="Q214" s="351"/>
      <c r="R214" s="351"/>
      <c r="S214" s="351"/>
      <c r="T214" s="351"/>
      <c r="U214" s="351"/>
      <c r="V214" s="351"/>
      <c r="W214" s="351"/>
      <c r="X214" s="351"/>
      <c r="Y214" s="351"/>
      <c r="Z214" s="351"/>
      <c r="AA214" s="351"/>
      <c r="AB214" s="351"/>
    </row>
    <row r="215" ht="14.25" customHeight="1">
      <c r="A215" s="275" t="s">
        <v>11786</v>
      </c>
      <c r="B215" s="108"/>
      <c r="C215" s="303" t="s">
        <v>11788</v>
      </c>
      <c r="D215" s="297" t="s">
        <v>271</v>
      </c>
      <c r="E215" s="297" t="s">
        <v>5</v>
      </c>
      <c r="F215" s="296" t="s">
        <v>11793</v>
      </c>
      <c r="G215" s="405"/>
      <c r="H215" s="296" t="s">
        <v>11794</v>
      </c>
      <c r="I215" s="404" t="s">
        <v>36</v>
      </c>
      <c r="J215" s="429"/>
      <c r="K215" s="303" t="s">
        <v>1784</v>
      </c>
      <c r="L215" s="429"/>
      <c r="M215" s="351"/>
      <c r="N215" s="351"/>
      <c r="O215" s="351"/>
      <c r="P215" s="351"/>
      <c r="Q215" s="351"/>
      <c r="R215" s="351"/>
      <c r="S215" s="351"/>
      <c r="T215" s="351"/>
      <c r="U215" s="351"/>
      <c r="V215" s="351"/>
      <c r="W215" s="351"/>
      <c r="X215" s="351"/>
      <c r="Y215" s="351"/>
      <c r="Z215" s="351"/>
      <c r="AA215" s="351"/>
      <c r="AB215" s="351"/>
    </row>
    <row r="216" ht="14.25" customHeight="1">
      <c r="A216" s="275" t="s">
        <v>11786</v>
      </c>
      <c r="B216" s="108"/>
      <c r="C216" s="303" t="s">
        <v>11788</v>
      </c>
      <c r="D216" s="297" t="s">
        <v>271</v>
      </c>
      <c r="E216" s="297" t="s">
        <v>5</v>
      </c>
      <c r="F216" s="296" t="s">
        <v>11795</v>
      </c>
      <c r="G216" s="405"/>
      <c r="H216" s="296" t="s">
        <v>11796</v>
      </c>
      <c r="I216" s="404" t="s">
        <v>36</v>
      </c>
      <c r="J216" s="429"/>
      <c r="K216" s="303" t="s">
        <v>1784</v>
      </c>
      <c r="L216" s="429"/>
      <c r="M216" s="351"/>
      <c r="N216" s="351"/>
      <c r="O216" s="351"/>
      <c r="P216" s="351"/>
      <c r="Q216" s="351"/>
      <c r="R216" s="351"/>
      <c r="S216" s="351"/>
      <c r="T216" s="351"/>
      <c r="U216" s="351"/>
      <c r="V216" s="351"/>
      <c r="W216" s="351"/>
      <c r="X216" s="351"/>
      <c r="Y216" s="351"/>
      <c r="Z216" s="351"/>
      <c r="AA216" s="351"/>
      <c r="AB216" s="351"/>
    </row>
    <row r="217" ht="14.25" customHeight="1">
      <c r="A217" s="275" t="s">
        <v>11786</v>
      </c>
      <c r="B217" s="108"/>
      <c r="C217" s="303" t="s">
        <v>11788</v>
      </c>
      <c r="D217" s="297" t="s">
        <v>271</v>
      </c>
      <c r="E217" s="297" t="s">
        <v>5</v>
      </c>
      <c r="F217" s="311" t="s">
        <v>11797</v>
      </c>
      <c r="G217" s="405"/>
      <c r="H217" s="296" t="s">
        <v>11798</v>
      </c>
      <c r="I217" s="404" t="s">
        <v>36</v>
      </c>
      <c r="J217" s="429"/>
      <c r="K217" s="303" t="s">
        <v>1784</v>
      </c>
      <c r="L217" s="429"/>
      <c r="M217" s="351"/>
      <c r="N217" s="351"/>
      <c r="O217" s="351"/>
      <c r="P217" s="351"/>
      <c r="Q217" s="351"/>
      <c r="R217" s="351"/>
      <c r="S217" s="351"/>
      <c r="T217" s="351"/>
      <c r="U217" s="351"/>
      <c r="V217" s="351"/>
      <c r="W217" s="351"/>
      <c r="X217" s="351"/>
      <c r="Y217" s="351"/>
      <c r="Z217" s="351"/>
      <c r="AA217" s="351"/>
      <c r="AB217" s="351"/>
    </row>
    <row r="218" ht="14.25" customHeight="1">
      <c r="A218" s="275" t="s">
        <v>11786</v>
      </c>
      <c r="B218" s="108"/>
      <c r="C218" s="303" t="s">
        <v>11788</v>
      </c>
      <c r="D218" s="297" t="s">
        <v>271</v>
      </c>
      <c r="E218" s="297" t="s">
        <v>5</v>
      </c>
      <c r="F218" s="296" t="s">
        <v>11799</v>
      </c>
      <c r="G218" s="405"/>
      <c r="H218" s="296" t="s">
        <v>11800</v>
      </c>
      <c r="I218" s="404" t="s">
        <v>36</v>
      </c>
      <c r="J218" s="429"/>
      <c r="K218" s="303" t="s">
        <v>1784</v>
      </c>
      <c r="L218" s="429"/>
      <c r="M218" s="351"/>
      <c r="N218" s="351"/>
      <c r="O218" s="351"/>
      <c r="P218" s="351"/>
      <c r="Q218" s="351"/>
      <c r="R218" s="351"/>
      <c r="S218" s="351"/>
      <c r="T218" s="351"/>
      <c r="U218" s="351"/>
      <c r="V218" s="351"/>
      <c r="W218" s="351"/>
      <c r="X218" s="351"/>
      <c r="Y218" s="351"/>
      <c r="Z218" s="351"/>
      <c r="AA218" s="351"/>
      <c r="AB218" s="351"/>
    </row>
    <row r="219" ht="14.25" customHeight="1">
      <c r="A219" s="275" t="s">
        <v>11786</v>
      </c>
      <c r="B219" s="108"/>
      <c r="C219" s="303" t="s">
        <v>11788</v>
      </c>
      <c r="D219" s="297" t="s">
        <v>271</v>
      </c>
      <c r="E219" s="297" t="s">
        <v>5</v>
      </c>
      <c r="F219" s="296" t="s">
        <v>11801</v>
      </c>
      <c r="G219" s="405"/>
      <c r="H219" s="296" t="s">
        <v>11802</v>
      </c>
      <c r="I219" s="404" t="s">
        <v>36</v>
      </c>
      <c r="J219" s="429"/>
      <c r="K219" s="303" t="s">
        <v>1784</v>
      </c>
      <c r="L219" s="429"/>
      <c r="M219" s="351"/>
      <c r="N219" s="351"/>
      <c r="O219" s="351"/>
      <c r="P219" s="351"/>
      <c r="Q219" s="351"/>
      <c r="R219" s="351"/>
      <c r="S219" s="351"/>
      <c r="T219" s="351"/>
      <c r="U219" s="351"/>
      <c r="V219" s="351"/>
      <c r="W219" s="351"/>
      <c r="X219" s="351"/>
      <c r="Y219" s="351"/>
      <c r="Z219" s="351"/>
      <c r="AA219" s="351"/>
      <c r="AB219" s="351"/>
    </row>
    <row r="220" ht="14.25" customHeight="1">
      <c r="A220" s="275" t="s">
        <v>11786</v>
      </c>
      <c r="B220" s="109"/>
      <c r="C220" s="303" t="s">
        <v>11788</v>
      </c>
      <c r="D220" s="297" t="s">
        <v>271</v>
      </c>
      <c r="E220" s="297" t="s">
        <v>5</v>
      </c>
      <c r="F220" s="296" t="s">
        <v>11803</v>
      </c>
      <c r="G220" s="405"/>
      <c r="H220" s="296" t="s">
        <v>11804</v>
      </c>
      <c r="I220" s="404" t="s">
        <v>36</v>
      </c>
      <c r="J220" s="429"/>
      <c r="K220" s="303" t="s">
        <v>1784</v>
      </c>
      <c r="L220" s="429"/>
      <c r="M220" s="351"/>
      <c r="N220" s="351"/>
      <c r="O220" s="351"/>
      <c r="P220" s="351"/>
      <c r="Q220" s="351"/>
      <c r="R220" s="351"/>
      <c r="S220" s="351"/>
      <c r="T220" s="351"/>
      <c r="U220" s="351"/>
      <c r="V220" s="351"/>
      <c r="W220" s="351"/>
      <c r="X220" s="351"/>
      <c r="Y220" s="351"/>
      <c r="Z220" s="351"/>
      <c r="AA220" s="351"/>
      <c r="AB220" s="351"/>
    </row>
    <row r="221" ht="14.25" customHeight="1">
      <c r="A221" s="275" t="s">
        <v>11805</v>
      </c>
      <c r="B221" s="402" t="s">
        <v>11806</v>
      </c>
      <c r="C221" s="303" t="s">
        <v>11807</v>
      </c>
      <c r="D221" s="297" t="s">
        <v>271</v>
      </c>
      <c r="E221" s="297" t="s">
        <v>5</v>
      </c>
      <c r="F221" s="296" t="s">
        <v>11808</v>
      </c>
      <c r="G221" s="438"/>
      <c r="H221" s="296" t="s">
        <v>11809</v>
      </c>
      <c r="I221" s="404" t="s">
        <v>36</v>
      </c>
      <c r="J221" s="351"/>
      <c r="K221" s="351"/>
      <c r="L221" s="351"/>
      <c r="M221" s="351"/>
      <c r="N221" s="351"/>
      <c r="O221" s="351"/>
      <c r="P221" s="351"/>
      <c r="Q221" s="351"/>
      <c r="R221" s="351"/>
      <c r="S221" s="351"/>
      <c r="T221" s="351"/>
      <c r="U221" s="351"/>
      <c r="V221" s="351"/>
      <c r="W221" s="351"/>
      <c r="X221" s="351"/>
      <c r="Y221" s="351"/>
      <c r="Z221" s="351"/>
      <c r="AA221" s="351"/>
      <c r="AB221" s="351"/>
    </row>
    <row r="222" ht="14.25" customHeight="1">
      <c r="A222" s="275" t="s">
        <v>11805</v>
      </c>
      <c r="B222" s="108"/>
      <c r="C222" s="303" t="s">
        <v>11807</v>
      </c>
      <c r="D222" s="297" t="s">
        <v>271</v>
      </c>
      <c r="E222" s="297" t="s">
        <v>5</v>
      </c>
      <c r="F222" s="296" t="s">
        <v>11810</v>
      </c>
      <c r="G222" s="438"/>
      <c r="H222" s="296" t="s">
        <v>11811</v>
      </c>
      <c r="I222" s="404" t="s">
        <v>36</v>
      </c>
      <c r="J222" s="351"/>
      <c r="K222" s="351"/>
      <c r="L222" s="351"/>
      <c r="M222" s="351"/>
      <c r="N222" s="351"/>
      <c r="O222" s="351"/>
      <c r="P222" s="351"/>
      <c r="Q222" s="351"/>
      <c r="R222" s="351"/>
      <c r="S222" s="351"/>
      <c r="T222" s="351"/>
      <c r="U222" s="351"/>
      <c r="V222" s="351"/>
      <c r="W222" s="351"/>
      <c r="X222" s="351"/>
      <c r="Y222" s="351"/>
      <c r="Z222" s="351"/>
      <c r="AA222" s="351"/>
      <c r="AB222" s="351"/>
    </row>
    <row r="223" ht="14.25" customHeight="1">
      <c r="A223" s="275" t="s">
        <v>11805</v>
      </c>
      <c r="B223" s="109"/>
      <c r="C223" s="303" t="s">
        <v>11807</v>
      </c>
      <c r="D223" s="297" t="s">
        <v>271</v>
      </c>
      <c r="E223" s="297" t="s">
        <v>5</v>
      </c>
      <c r="F223" s="296" t="s">
        <v>11812</v>
      </c>
      <c r="G223" s="438"/>
      <c r="H223" s="296" t="s">
        <v>11813</v>
      </c>
      <c r="I223" s="404" t="s">
        <v>36</v>
      </c>
      <c r="J223" s="351"/>
      <c r="K223" s="351"/>
      <c r="L223" s="351"/>
      <c r="M223" s="351"/>
      <c r="N223" s="351"/>
      <c r="O223" s="351"/>
      <c r="P223" s="351"/>
      <c r="Q223" s="351"/>
      <c r="R223" s="351"/>
      <c r="S223" s="351"/>
      <c r="T223" s="351"/>
      <c r="U223" s="351"/>
      <c r="V223" s="351"/>
      <c r="W223" s="351"/>
      <c r="X223" s="351"/>
      <c r="Y223" s="351"/>
      <c r="Z223" s="351"/>
      <c r="AA223" s="351"/>
      <c r="AB223" s="351"/>
    </row>
    <row r="224" ht="37.5" customHeight="1">
      <c r="A224" s="439" t="s">
        <v>11814</v>
      </c>
      <c r="B224" s="402" t="s">
        <v>11815</v>
      </c>
      <c r="C224" s="300" t="s">
        <v>11239</v>
      </c>
      <c r="D224" s="297" t="s">
        <v>271</v>
      </c>
      <c r="E224" s="297" t="s">
        <v>11240</v>
      </c>
      <c r="F224" s="296" t="s">
        <v>11816</v>
      </c>
      <c r="G224" s="303" t="s">
        <v>11817</v>
      </c>
      <c r="H224" s="296" t="s">
        <v>11818</v>
      </c>
      <c r="I224" s="404" t="s">
        <v>36</v>
      </c>
      <c r="J224" s="429"/>
      <c r="K224" s="351"/>
      <c r="L224" s="351"/>
      <c r="M224" s="351"/>
      <c r="N224" s="351"/>
      <c r="O224" s="351"/>
      <c r="P224" s="351"/>
      <c r="Q224" s="351"/>
      <c r="R224" s="351"/>
      <c r="S224" s="351"/>
      <c r="T224" s="351"/>
      <c r="U224" s="351"/>
      <c r="V224" s="351"/>
      <c r="W224" s="351"/>
      <c r="X224" s="351"/>
      <c r="Y224" s="351"/>
      <c r="Z224" s="351"/>
      <c r="AA224" s="351"/>
      <c r="AB224" s="351"/>
    </row>
    <row r="225" ht="14.25" customHeight="1">
      <c r="A225" s="439" t="s">
        <v>11814</v>
      </c>
      <c r="B225" s="108"/>
      <c r="C225" s="300" t="s">
        <v>11243</v>
      </c>
      <c r="D225" s="297" t="s">
        <v>271</v>
      </c>
      <c r="E225" s="297" t="s">
        <v>11240</v>
      </c>
      <c r="F225" s="296" t="s">
        <v>10899</v>
      </c>
      <c r="G225" s="303" t="s">
        <v>11819</v>
      </c>
      <c r="H225" s="296" t="s">
        <v>11820</v>
      </c>
      <c r="I225" s="404" t="s">
        <v>36</v>
      </c>
      <c r="J225" s="429"/>
      <c r="K225" s="351"/>
      <c r="L225" s="351"/>
      <c r="M225" s="351"/>
      <c r="N225" s="351"/>
      <c r="O225" s="351"/>
      <c r="P225" s="351"/>
      <c r="Q225" s="351"/>
      <c r="R225" s="351"/>
      <c r="S225" s="351"/>
      <c r="T225" s="351"/>
      <c r="U225" s="351"/>
      <c r="V225" s="351"/>
      <c r="W225" s="351"/>
      <c r="X225" s="351"/>
      <c r="Y225" s="351"/>
      <c r="Z225" s="351"/>
      <c r="AA225" s="351"/>
      <c r="AB225" s="351"/>
    </row>
    <row r="226" ht="14.25" customHeight="1">
      <c r="A226" s="439" t="s">
        <v>11814</v>
      </c>
      <c r="B226" s="108"/>
      <c r="C226" s="300" t="s">
        <v>11246</v>
      </c>
      <c r="D226" s="297" t="s">
        <v>271</v>
      </c>
      <c r="E226" s="297" t="s">
        <v>11240</v>
      </c>
      <c r="F226" s="296" t="s">
        <v>10899</v>
      </c>
      <c r="G226" s="303" t="s">
        <v>11821</v>
      </c>
      <c r="H226" s="296" t="s">
        <v>11822</v>
      </c>
      <c r="I226" s="404" t="s">
        <v>36</v>
      </c>
      <c r="J226" s="429"/>
      <c r="K226" s="351"/>
      <c r="L226" s="351"/>
      <c r="M226" s="351"/>
      <c r="N226" s="351"/>
      <c r="O226" s="351"/>
      <c r="P226" s="351"/>
      <c r="Q226" s="351"/>
      <c r="R226" s="351"/>
      <c r="S226" s="351"/>
      <c r="T226" s="351"/>
      <c r="U226" s="351"/>
      <c r="V226" s="351"/>
      <c r="W226" s="351"/>
      <c r="X226" s="351"/>
      <c r="Y226" s="351"/>
      <c r="Z226" s="351"/>
      <c r="AA226" s="351"/>
      <c r="AB226" s="351"/>
    </row>
    <row r="227" ht="14.25" customHeight="1">
      <c r="A227" s="439" t="s">
        <v>11814</v>
      </c>
      <c r="B227" s="108"/>
      <c r="C227" s="300" t="s">
        <v>11248</v>
      </c>
      <c r="D227" s="297" t="s">
        <v>271</v>
      </c>
      <c r="E227" s="297" t="s">
        <v>11240</v>
      </c>
      <c r="F227" s="296" t="s">
        <v>10899</v>
      </c>
      <c r="G227" s="303" t="s">
        <v>11823</v>
      </c>
      <c r="H227" s="296" t="s">
        <v>11824</v>
      </c>
      <c r="I227" s="404" t="s">
        <v>36</v>
      </c>
      <c r="J227" s="429"/>
      <c r="K227" s="351"/>
      <c r="L227" s="351"/>
      <c r="M227" s="351"/>
      <c r="N227" s="351"/>
      <c r="O227" s="351"/>
      <c r="P227" s="351"/>
      <c r="Q227" s="351"/>
      <c r="R227" s="351"/>
      <c r="S227" s="351"/>
      <c r="T227" s="351"/>
      <c r="U227" s="351"/>
      <c r="V227" s="351"/>
      <c r="W227" s="351"/>
      <c r="X227" s="351"/>
      <c r="Y227" s="351"/>
      <c r="Z227" s="351"/>
      <c r="AA227" s="351"/>
      <c r="AB227" s="351"/>
    </row>
    <row r="228" ht="14.25" customHeight="1">
      <c r="A228" s="439" t="s">
        <v>11814</v>
      </c>
      <c r="B228" s="108"/>
      <c r="C228" s="300" t="s">
        <v>11251</v>
      </c>
      <c r="D228" s="297" t="s">
        <v>271</v>
      </c>
      <c r="E228" s="297" t="s">
        <v>11240</v>
      </c>
      <c r="F228" s="296" t="s">
        <v>10899</v>
      </c>
      <c r="G228" s="303" t="s">
        <v>11825</v>
      </c>
      <c r="H228" s="296" t="s">
        <v>11824</v>
      </c>
      <c r="I228" s="404" t="s">
        <v>36</v>
      </c>
      <c r="J228" s="429"/>
      <c r="K228" s="351"/>
      <c r="L228" s="351"/>
      <c r="M228" s="351"/>
      <c r="N228" s="351"/>
      <c r="O228" s="351"/>
      <c r="P228" s="351"/>
      <c r="Q228" s="351"/>
      <c r="R228" s="351"/>
      <c r="S228" s="351"/>
      <c r="T228" s="351"/>
      <c r="U228" s="351"/>
      <c r="V228" s="351"/>
      <c r="W228" s="351"/>
      <c r="X228" s="351"/>
      <c r="Y228" s="351"/>
      <c r="Z228" s="351"/>
      <c r="AA228" s="351"/>
      <c r="AB228" s="351"/>
    </row>
    <row r="229" ht="14.25" customHeight="1">
      <c r="A229" s="439" t="s">
        <v>11814</v>
      </c>
      <c r="B229" s="108"/>
      <c r="C229" s="300" t="s">
        <v>11253</v>
      </c>
      <c r="D229" s="297" t="s">
        <v>271</v>
      </c>
      <c r="E229" s="297" t="s">
        <v>11240</v>
      </c>
      <c r="F229" s="296" t="s">
        <v>11816</v>
      </c>
      <c r="G229" s="303" t="s">
        <v>11817</v>
      </c>
      <c r="H229" s="296" t="s">
        <v>11826</v>
      </c>
      <c r="I229" s="404" t="s">
        <v>36</v>
      </c>
      <c r="J229" s="429"/>
      <c r="K229" s="351"/>
      <c r="L229" s="351"/>
      <c r="M229" s="351"/>
      <c r="N229" s="351"/>
      <c r="O229" s="351"/>
      <c r="P229" s="351"/>
      <c r="Q229" s="351"/>
      <c r="R229" s="351"/>
      <c r="S229" s="351"/>
      <c r="T229" s="351"/>
      <c r="U229" s="351"/>
      <c r="V229" s="351"/>
      <c r="W229" s="351"/>
      <c r="X229" s="351"/>
      <c r="Y229" s="351"/>
      <c r="Z229" s="351"/>
      <c r="AA229" s="351"/>
      <c r="AB229" s="351"/>
    </row>
    <row r="230" ht="14.25" customHeight="1">
      <c r="A230" s="439" t="s">
        <v>11814</v>
      </c>
      <c r="B230" s="108"/>
      <c r="C230" s="300" t="s">
        <v>11256</v>
      </c>
      <c r="D230" s="297" t="s">
        <v>271</v>
      </c>
      <c r="E230" s="297" t="s">
        <v>11240</v>
      </c>
      <c r="F230" s="296" t="s">
        <v>10899</v>
      </c>
      <c r="G230" s="303" t="s">
        <v>11827</v>
      </c>
      <c r="H230" s="296" t="s">
        <v>11828</v>
      </c>
      <c r="I230" s="404" t="s">
        <v>36</v>
      </c>
      <c r="J230" s="429"/>
      <c r="K230" s="351"/>
      <c r="L230" s="351"/>
      <c r="M230" s="351"/>
      <c r="N230" s="351"/>
      <c r="O230" s="351"/>
      <c r="P230" s="351"/>
      <c r="Q230" s="351"/>
      <c r="R230" s="351"/>
      <c r="S230" s="351"/>
      <c r="T230" s="351"/>
      <c r="U230" s="351"/>
      <c r="V230" s="351"/>
      <c r="W230" s="351"/>
      <c r="X230" s="351"/>
      <c r="Y230" s="351"/>
      <c r="Z230" s="351"/>
      <c r="AA230" s="351"/>
      <c r="AB230" s="351"/>
    </row>
    <row r="231" ht="14.25" customHeight="1">
      <c r="A231" s="439" t="s">
        <v>11814</v>
      </c>
      <c r="B231" s="108"/>
      <c r="C231" s="300" t="s">
        <v>11258</v>
      </c>
      <c r="D231" s="297" t="s">
        <v>271</v>
      </c>
      <c r="E231" s="297" t="s">
        <v>11240</v>
      </c>
      <c r="F231" s="296" t="s">
        <v>10899</v>
      </c>
      <c r="G231" s="303" t="s">
        <v>11829</v>
      </c>
      <c r="H231" s="296" t="s">
        <v>11830</v>
      </c>
      <c r="I231" s="404" t="s">
        <v>36</v>
      </c>
      <c r="J231" s="429"/>
      <c r="K231" s="351"/>
      <c r="L231" s="351"/>
      <c r="M231" s="351"/>
      <c r="N231" s="351"/>
      <c r="O231" s="351"/>
      <c r="P231" s="351"/>
      <c r="Q231" s="351"/>
      <c r="R231" s="351"/>
      <c r="S231" s="351"/>
      <c r="T231" s="351"/>
      <c r="U231" s="351"/>
      <c r="V231" s="351"/>
      <c r="W231" s="351"/>
      <c r="X231" s="351"/>
      <c r="Y231" s="351"/>
      <c r="Z231" s="351"/>
      <c r="AA231" s="351"/>
      <c r="AB231" s="351"/>
    </row>
    <row r="232" ht="14.25" customHeight="1">
      <c r="A232" s="439" t="s">
        <v>11814</v>
      </c>
      <c r="B232" s="108"/>
      <c r="C232" s="300" t="s">
        <v>11831</v>
      </c>
      <c r="D232" s="297" t="s">
        <v>271</v>
      </c>
      <c r="E232" s="297" t="s">
        <v>11240</v>
      </c>
      <c r="F232" s="296" t="s">
        <v>10899</v>
      </c>
      <c r="G232" s="303" t="s">
        <v>11832</v>
      </c>
      <c r="H232" s="296" t="s">
        <v>11833</v>
      </c>
      <c r="I232" s="404" t="s">
        <v>36</v>
      </c>
      <c r="J232" s="429"/>
      <c r="K232" s="351"/>
      <c r="L232" s="351"/>
      <c r="M232" s="351"/>
      <c r="N232" s="351"/>
      <c r="O232" s="351"/>
      <c r="P232" s="351"/>
      <c r="Q232" s="351"/>
      <c r="R232" s="351"/>
      <c r="S232" s="351"/>
      <c r="T232" s="351"/>
      <c r="U232" s="351"/>
      <c r="V232" s="351"/>
      <c r="W232" s="351"/>
      <c r="X232" s="351"/>
      <c r="Y232" s="351"/>
      <c r="Z232" s="351"/>
      <c r="AA232" s="351"/>
      <c r="AB232" s="351"/>
    </row>
    <row r="233" ht="14.25" customHeight="1">
      <c r="A233" s="439" t="s">
        <v>11814</v>
      </c>
      <c r="B233" s="108"/>
      <c r="C233" s="300" t="s">
        <v>11834</v>
      </c>
      <c r="D233" s="297" t="s">
        <v>271</v>
      </c>
      <c r="E233" s="297" t="s">
        <v>11240</v>
      </c>
      <c r="F233" s="296" t="s">
        <v>10899</v>
      </c>
      <c r="G233" s="303" t="s">
        <v>11835</v>
      </c>
      <c r="H233" s="296" t="s">
        <v>11836</v>
      </c>
      <c r="I233" s="404" t="s">
        <v>36</v>
      </c>
      <c r="J233" s="429"/>
      <c r="K233" s="351"/>
      <c r="L233" s="351"/>
      <c r="M233" s="351"/>
      <c r="N233" s="351"/>
      <c r="O233" s="351"/>
      <c r="P233" s="351"/>
      <c r="Q233" s="351"/>
      <c r="R233" s="351"/>
      <c r="S233" s="351"/>
      <c r="T233" s="351"/>
      <c r="U233" s="351"/>
      <c r="V233" s="351"/>
      <c r="W233" s="351"/>
      <c r="X233" s="351"/>
      <c r="Y233" s="351"/>
      <c r="Z233" s="351"/>
      <c r="AA233" s="351"/>
      <c r="AB233" s="351"/>
    </row>
    <row r="234" ht="14.25" customHeight="1">
      <c r="A234" s="439" t="s">
        <v>11814</v>
      </c>
      <c r="B234" s="108"/>
      <c r="C234" s="300" t="s">
        <v>11837</v>
      </c>
      <c r="D234" s="297" t="s">
        <v>271</v>
      </c>
      <c r="E234" s="297" t="s">
        <v>11240</v>
      </c>
      <c r="F234" s="296" t="s">
        <v>10899</v>
      </c>
      <c r="G234" s="303" t="s">
        <v>11825</v>
      </c>
      <c r="H234" s="296" t="s">
        <v>11836</v>
      </c>
      <c r="I234" s="404" t="s">
        <v>36</v>
      </c>
      <c r="J234" s="429"/>
      <c r="K234" s="351"/>
      <c r="L234" s="351"/>
      <c r="M234" s="351"/>
      <c r="N234" s="351"/>
      <c r="O234" s="351"/>
      <c r="P234" s="351"/>
      <c r="Q234" s="351"/>
      <c r="R234" s="351"/>
      <c r="S234" s="351"/>
      <c r="T234" s="351"/>
      <c r="U234" s="351"/>
      <c r="V234" s="351"/>
      <c r="W234" s="351"/>
      <c r="X234" s="351"/>
      <c r="Y234" s="351"/>
      <c r="Z234" s="351"/>
      <c r="AA234" s="351"/>
      <c r="AB234" s="351"/>
    </row>
    <row r="235" ht="14.25" customHeight="1">
      <c r="A235" s="439" t="s">
        <v>11814</v>
      </c>
      <c r="B235" s="109"/>
      <c r="C235" s="300" t="s">
        <v>11838</v>
      </c>
      <c r="D235" s="297" t="s">
        <v>271</v>
      </c>
      <c r="E235" s="297" t="s">
        <v>11240</v>
      </c>
      <c r="F235" s="296" t="s">
        <v>11839</v>
      </c>
      <c r="G235" s="429"/>
      <c r="H235" s="296" t="s">
        <v>11705</v>
      </c>
      <c r="I235" s="404" t="s">
        <v>36</v>
      </c>
      <c r="J235" s="429"/>
      <c r="K235" s="351"/>
      <c r="L235" s="351"/>
      <c r="M235" s="351"/>
      <c r="N235" s="351"/>
      <c r="O235" s="351"/>
      <c r="P235" s="351"/>
      <c r="Q235" s="351"/>
      <c r="R235" s="351"/>
      <c r="S235" s="351"/>
      <c r="T235" s="351"/>
      <c r="U235" s="351"/>
      <c r="V235" s="351"/>
      <c r="W235" s="351"/>
      <c r="X235" s="351"/>
      <c r="Y235" s="351"/>
      <c r="Z235" s="351"/>
      <c r="AA235" s="351"/>
      <c r="AB235" s="351"/>
    </row>
    <row r="236" ht="14.25" customHeight="1">
      <c r="A236" s="439" t="s">
        <v>11840</v>
      </c>
      <c r="B236" s="431" t="s">
        <v>11841</v>
      </c>
      <c r="C236" s="404" t="s">
        <v>11151</v>
      </c>
      <c r="D236" s="297" t="s">
        <v>271</v>
      </c>
      <c r="E236" s="297" t="s">
        <v>11240</v>
      </c>
      <c r="F236" s="298" t="s">
        <v>11842</v>
      </c>
      <c r="G236" s="297" t="s">
        <v>11843</v>
      </c>
      <c r="H236" s="298" t="s">
        <v>11826</v>
      </c>
      <c r="I236" s="404" t="s">
        <v>36</v>
      </c>
      <c r="J236" s="429"/>
      <c r="K236" s="297" t="s">
        <v>11844</v>
      </c>
      <c r="L236" s="429"/>
      <c r="M236" s="351"/>
      <c r="N236" s="351"/>
      <c r="O236" s="351"/>
      <c r="P236" s="351"/>
      <c r="Q236" s="351"/>
      <c r="R236" s="351"/>
      <c r="S236" s="351"/>
      <c r="T236" s="351"/>
      <c r="U236" s="351"/>
      <c r="V236" s="351"/>
      <c r="W236" s="351"/>
      <c r="X236" s="351"/>
      <c r="Y236" s="351"/>
      <c r="Z236" s="351"/>
      <c r="AA236" s="351"/>
      <c r="AB236" s="351"/>
    </row>
    <row r="237" ht="14.25" customHeight="1">
      <c r="A237" s="439" t="s">
        <v>11840</v>
      </c>
      <c r="B237" s="108"/>
      <c r="C237" s="404" t="s">
        <v>11155</v>
      </c>
      <c r="D237" s="297" t="s">
        <v>271</v>
      </c>
      <c r="E237" s="297" t="s">
        <v>11240</v>
      </c>
      <c r="F237" s="298" t="s">
        <v>11845</v>
      </c>
      <c r="G237" s="297" t="s">
        <v>11846</v>
      </c>
      <c r="H237" s="298" t="s">
        <v>11847</v>
      </c>
      <c r="I237" s="404" t="s">
        <v>36</v>
      </c>
      <c r="J237" s="429"/>
      <c r="K237" s="297" t="s">
        <v>11844</v>
      </c>
      <c r="L237" s="429"/>
      <c r="M237" s="351"/>
      <c r="N237" s="351"/>
      <c r="O237" s="351"/>
      <c r="P237" s="351"/>
      <c r="Q237" s="351"/>
      <c r="R237" s="351"/>
      <c r="S237" s="351"/>
      <c r="T237" s="351"/>
      <c r="U237" s="351"/>
      <c r="V237" s="351"/>
      <c r="W237" s="351"/>
      <c r="X237" s="351"/>
      <c r="Y237" s="351"/>
      <c r="Z237" s="351"/>
      <c r="AA237" s="351"/>
      <c r="AB237" s="351"/>
    </row>
    <row r="238" ht="14.25" customHeight="1">
      <c r="A238" s="439" t="s">
        <v>11840</v>
      </c>
      <c r="B238" s="108"/>
      <c r="C238" s="404" t="s">
        <v>11158</v>
      </c>
      <c r="D238" s="297" t="s">
        <v>271</v>
      </c>
      <c r="E238" s="297" t="s">
        <v>11240</v>
      </c>
      <c r="F238" s="298" t="s">
        <v>11848</v>
      </c>
      <c r="G238" s="297" t="s">
        <v>11849</v>
      </c>
      <c r="H238" s="298" t="s">
        <v>11850</v>
      </c>
      <c r="I238" s="404" t="s">
        <v>36</v>
      </c>
      <c r="J238" s="429"/>
      <c r="K238" s="297" t="s">
        <v>11844</v>
      </c>
      <c r="L238" s="429"/>
      <c r="M238" s="351"/>
      <c r="N238" s="351"/>
      <c r="O238" s="351"/>
      <c r="P238" s="351"/>
      <c r="Q238" s="351"/>
      <c r="R238" s="351"/>
      <c r="S238" s="351"/>
      <c r="T238" s="351"/>
      <c r="U238" s="351"/>
      <c r="V238" s="351"/>
      <c r="W238" s="351"/>
      <c r="X238" s="351"/>
      <c r="Y238" s="351"/>
      <c r="Z238" s="351"/>
      <c r="AA238" s="351"/>
      <c r="AB238" s="351"/>
    </row>
    <row r="239" ht="14.25" customHeight="1">
      <c r="A239" s="439" t="s">
        <v>11840</v>
      </c>
      <c r="B239" s="108"/>
      <c r="C239" s="404" t="s">
        <v>11161</v>
      </c>
      <c r="D239" s="297" t="s">
        <v>271</v>
      </c>
      <c r="E239" s="297" t="s">
        <v>11240</v>
      </c>
      <c r="F239" s="298" t="s">
        <v>11851</v>
      </c>
      <c r="G239" s="297" t="s">
        <v>11852</v>
      </c>
      <c r="H239" s="298" t="s">
        <v>11847</v>
      </c>
      <c r="I239" s="404" t="s">
        <v>36</v>
      </c>
      <c r="J239" s="429"/>
      <c r="K239" s="297" t="s">
        <v>11853</v>
      </c>
      <c r="L239" s="429"/>
      <c r="M239" s="351"/>
      <c r="N239" s="351"/>
      <c r="O239" s="351"/>
      <c r="P239" s="351"/>
      <c r="Q239" s="351"/>
      <c r="R239" s="351"/>
      <c r="S239" s="351"/>
      <c r="T239" s="351"/>
      <c r="U239" s="351"/>
      <c r="V239" s="351"/>
      <c r="W239" s="351"/>
      <c r="X239" s="351"/>
      <c r="Y239" s="351"/>
      <c r="Z239" s="351"/>
      <c r="AA239" s="351"/>
      <c r="AB239" s="351"/>
    </row>
    <row r="240" ht="14.25" customHeight="1">
      <c r="A240" s="439" t="s">
        <v>11840</v>
      </c>
      <c r="B240" s="108"/>
      <c r="C240" s="404" t="s">
        <v>11164</v>
      </c>
      <c r="D240" s="297" t="s">
        <v>271</v>
      </c>
      <c r="E240" s="297" t="s">
        <v>11240</v>
      </c>
      <c r="F240" s="298" t="s">
        <v>11854</v>
      </c>
      <c r="G240" s="297" t="s">
        <v>11855</v>
      </c>
      <c r="H240" s="298" t="s">
        <v>11850</v>
      </c>
      <c r="I240" s="404" t="s">
        <v>36</v>
      </c>
      <c r="J240" s="429"/>
      <c r="K240" s="297" t="s">
        <v>11853</v>
      </c>
      <c r="L240" s="429"/>
      <c r="M240" s="351"/>
      <c r="N240" s="351"/>
      <c r="O240" s="351"/>
      <c r="P240" s="351"/>
      <c r="Q240" s="351"/>
      <c r="R240" s="351"/>
      <c r="S240" s="351"/>
      <c r="T240" s="351"/>
      <c r="U240" s="351"/>
      <c r="V240" s="351"/>
      <c r="W240" s="351"/>
      <c r="X240" s="351"/>
      <c r="Y240" s="351"/>
      <c r="Z240" s="351"/>
      <c r="AA240" s="351"/>
      <c r="AB240" s="351"/>
    </row>
    <row r="241" ht="14.25" customHeight="1">
      <c r="A241" s="439" t="s">
        <v>11840</v>
      </c>
      <c r="B241" s="108"/>
      <c r="C241" s="404" t="s">
        <v>11164</v>
      </c>
      <c r="D241" s="297" t="s">
        <v>271</v>
      </c>
      <c r="E241" s="297" t="s">
        <v>11240</v>
      </c>
      <c r="F241" s="298" t="s">
        <v>11856</v>
      </c>
      <c r="G241" s="297" t="s">
        <v>11857</v>
      </c>
      <c r="H241" s="298" t="s">
        <v>11847</v>
      </c>
      <c r="I241" s="404" t="s">
        <v>36</v>
      </c>
      <c r="J241" s="429"/>
      <c r="K241" s="297" t="s">
        <v>11853</v>
      </c>
      <c r="L241" s="429"/>
      <c r="M241" s="351"/>
      <c r="N241" s="351"/>
      <c r="O241" s="351"/>
      <c r="P241" s="351"/>
      <c r="Q241" s="351"/>
      <c r="R241" s="351"/>
      <c r="S241" s="351"/>
      <c r="T241" s="351"/>
      <c r="U241" s="351"/>
      <c r="V241" s="351"/>
      <c r="W241" s="351"/>
      <c r="X241" s="351"/>
      <c r="Y241" s="351"/>
      <c r="Z241" s="351"/>
      <c r="AA241" s="351"/>
      <c r="AB241" s="351"/>
    </row>
    <row r="242" ht="27.75" customHeight="1">
      <c r="A242" s="439" t="s">
        <v>11840</v>
      </c>
      <c r="B242" s="108"/>
      <c r="C242" s="404" t="s">
        <v>11167</v>
      </c>
      <c r="D242" s="297" t="s">
        <v>271</v>
      </c>
      <c r="E242" s="297" t="s">
        <v>11240</v>
      </c>
      <c r="F242" s="298" t="s">
        <v>11858</v>
      </c>
      <c r="G242" s="297" t="s">
        <v>11859</v>
      </c>
      <c r="H242" s="440" t="s">
        <v>11860</v>
      </c>
      <c r="I242" s="404" t="s">
        <v>36</v>
      </c>
      <c r="J242" s="429"/>
      <c r="K242" s="297" t="s">
        <v>11853</v>
      </c>
      <c r="L242" s="429"/>
      <c r="M242" s="351"/>
      <c r="N242" s="351"/>
      <c r="O242" s="351"/>
      <c r="P242" s="351"/>
      <c r="Q242" s="351"/>
      <c r="R242" s="351"/>
      <c r="S242" s="351"/>
      <c r="T242" s="351"/>
      <c r="U242" s="351"/>
      <c r="V242" s="351"/>
      <c r="W242" s="351"/>
      <c r="X242" s="351"/>
      <c r="Y242" s="351"/>
      <c r="Z242" s="351"/>
      <c r="AA242" s="351"/>
      <c r="AB242" s="351"/>
    </row>
    <row r="243" ht="14.25" customHeight="1">
      <c r="A243" s="439" t="s">
        <v>11840</v>
      </c>
      <c r="B243" s="108"/>
      <c r="C243" s="404" t="s">
        <v>11170</v>
      </c>
      <c r="D243" s="297" t="s">
        <v>271</v>
      </c>
      <c r="E243" s="297" t="s">
        <v>11240</v>
      </c>
      <c r="F243" s="298" t="s">
        <v>11861</v>
      </c>
      <c r="G243" s="297" t="s">
        <v>11862</v>
      </c>
      <c r="H243" s="296" t="s">
        <v>11863</v>
      </c>
      <c r="I243" s="404" t="s">
        <v>36</v>
      </c>
      <c r="J243" s="429"/>
      <c r="K243" s="297" t="s">
        <v>11864</v>
      </c>
      <c r="L243" s="429"/>
      <c r="M243" s="351"/>
      <c r="N243" s="351"/>
      <c r="O243" s="351"/>
      <c r="P243" s="351"/>
      <c r="Q243" s="351"/>
      <c r="R243" s="351"/>
      <c r="S243" s="351"/>
      <c r="T243" s="351"/>
      <c r="U243" s="351"/>
      <c r="V243" s="351"/>
      <c r="W243" s="351"/>
      <c r="X243" s="351"/>
      <c r="Y243" s="351"/>
      <c r="Z243" s="351"/>
      <c r="AA243" s="351"/>
      <c r="AB243" s="351"/>
    </row>
    <row r="244" ht="14.25" customHeight="1">
      <c r="A244" s="439" t="s">
        <v>11840</v>
      </c>
      <c r="B244" s="108"/>
      <c r="C244" s="404" t="s">
        <v>11173</v>
      </c>
      <c r="D244" s="297" t="s">
        <v>271</v>
      </c>
      <c r="E244" s="297" t="s">
        <v>11240</v>
      </c>
      <c r="F244" s="298" t="s">
        <v>11865</v>
      </c>
      <c r="G244" s="297" t="s">
        <v>11866</v>
      </c>
      <c r="H244" s="296" t="s">
        <v>11867</v>
      </c>
      <c r="I244" s="404" t="s">
        <v>36</v>
      </c>
      <c r="J244" s="429"/>
      <c r="K244" s="297" t="s">
        <v>11864</v>
      </c>
      <c r="L244" s="429"/>
      <c r="M244" s="351"/>
      <c r="N244" s="351"/>
      <c r="O244" s="351"/>
      <c r="P244" s="351"/>
      <c r="Q244" s="351"/>
      <c r="R244" s="351"/>
      <c r="S244" s="351"/>
      <c r="T244" s="351"/>
      <c r="U244" s="351"/>
      <c r="V244" s="351"/>
      <c r="W244" s="351"/>
      <c r="X244" s="351"/>
      <c r="Y244" s="351"/>
      <c r="Z244" s="351"/>
      <c r="AA244" s="351"/>
      <c r="AB244" s="351"/>
    </row>
    <row r="245" ht="14.25" customHeight="1">
      <c r="A245" s="439" t="s">
        <v>11840</v>
      </c>
      <c r="B245" s="108"/>
      <c r="C245" s="404" t="s">
        <v>11176</v>
      </c>
      <c r="D245" s="297" t="s">
        <v>271</v>
      </c>
      <c r="E245" s="297" t="s">
        <v>11240</v>
      </c>
      <c r="F245" s="298" t="s">
        <v>11868</v>
      </c>
      <c r="G245" s="297" t="s">
        <v>11869</v>
      </c>
      <c r="H245" s="296" t="s">
        <v>11870</v>
      </c>
      <c r="I245" s="404" t="s">
        <v>36</v>
      </c>
      <c r="J245" s="429"/>
      <c r="K245" s="297" t="s">
        <v>11864</v>
      </c>
      <c r="L245" s="429"/>
      <c r="M245" s="351"/>
      <c r="N245" s="351"/>
      <c r="O245" s="351"/>
      <c r="P245" s="351"/>
      <c r="Q245" s="351"/>
      <c r="R245" s="351"/>
      <c r="S245" s="351"/>
      <c r="T245" s="351"/>
      <c r="U245" s="351"/>
      <c r="V245" s="351"/>
      <c r="W245" s="351"/>
      <c r="X245" s="351"/>
      <c r="Y245" s="351"/>
      <c r="Z245" s="351"/>
      <c r="AA245" s="351"/>
      <c r="AB245" s="351"/>
    </row>
    <row r="246" ht="14.25" customHeight="1">
      <c r="A246" s="439" t="s">
        <v>11840</v>
      </c>
      <c r="B246" s="108"/>
      <c r="C246" s="404" t="s">
        <v>11179</v>
      </c>
      <c r="D246" s="297" t="s">
        <v>271</v>
      </c>
      <c r="E246" s="297" t="s">
        <v>11240</v>
      </c>
      <c r="F246" s="298" t="s">
        <v>11861</v>
      </c>
      <c r="G246" s="297" t="s">
        <v>11871</v>
      </c>
      <c r="H246" s="296" t="s">
        <v>11872</v>
      </c>
      <c r="I246" s="404" t="s">
        <v>36</v>
      </c>
      <c r="J246" s="429"/>
      <c r="K246" s="297" t="s">
        <v>11864</v>
      </c>
      <c r="L246" s="429"/>
      <c r="M246" s="351"/>
      <c r="N246" s="351"/>
      <c r="O246" s="351"/>
      <c r="P246" s="351"/>
      <c r="Q246" s="351"/>
      <c r="R246" s="351"/>
      <c r="S246" s="351"/>
      <c r="T246" s="351"/>
      <c r="U246" s="351"/>
      <c r="V246" s="351"/>
      <c r="W246" s="351"/>
      <c r="X246" s="351"/>
      <c r="Y246" s="351"/>
      <c r="Z246" s="351"/>
      <c r="AA246" s="351"/>
      <c r="AB246" s="351"/>
    </row>
    <row r="247" ht="14.25" customHeight="1">
      <c r="A247" s="439" t="s">
        <v>11840</v>
      </c>
      <c r="B247" s="109"/>
      <c r="C247" s="404" t="s">
        <v>11182</v>
      </c>
      <c r="D247" s="297" t="s">
        <v>271</v>
      </c>
      <c r="E247" s="297" t="s">
        <v>11240</v>
      </c>
      <c r="F247" s="298" t="s">
        <v>11861</v>
      </c>
      <c r="G247" s="297" t="s">
        <v>11871</v>
      </c>
      <c r="H247" s="296" t="s">
        <v>11873</v>
      </c>
      <c r="I247" s="404" t="s">
        <v>36</v>
      </c>
      <c r="J247" s="429"/>
      <c r="K247" s="297" t="s">
        <v>11874</v>
      </c>
      <c r="L247" s="429"/>
      <c r="M247" s="351"/>
      <c r="N247" s="351"/>
      <c r="O247" s="351"/>
      <c r="P247" s="351"/>
      <c r="Q247" s="351"/>
      <c r="R247" s="351"/>
      <c r="S247" s="351"/>
      <c r="T247" s="351"/>
      <c r="U247" s="351"/>
      <c r="V247" s="351"/>
      <c r="W247" s="351"/>
      <c r="X247" s="351"/>
      <c r="Y247" s="351"/>
      <c r="Z247" s="351"/>
      <c r="AA247" s="351"/>
      <c r="AB247" s="351"/>
    </row>
    <row r="248" ht="14.25" customHeight="1">
      <c r="A248" s="439" t="s">
        <v>11875</v>
      </c>
      <c r="B248" s="402" t="s">
        <v>11876</v>
      </c>
      <c r="C248" s="349" t="s">
        <v>11239</v>
      </c>
      <c r="D248" s="297" t="s">
        <v>271</v>
      </c>
      <c r="E248" s="297" t="s">
        <v>11240</v>
      </c>
      <c r="F248" s="311" t="s">
        <v>11877</v>
      </c>
      <c r="G248" s="297" t="s">
        <v>11878</v>
      </c>
      <c r="H248" s="298" t="s">
        <v>9293</v>
      </c>
      <c r="I248" s="404" t="s">
        <v>36</v>
      </c>
      <c r="J248" s="429"/>
      <c r="K248" s="303" t="s">
        <v>2034</v>
      </c>
      <c r="L248" s="429"/>
      <c r="M248" s="351"/>
      <c r="N248" s="351"/>
      <c r="O248" s="351"/>
      <c r="P248" s="351"/>
      <c r="Q248" s="351"/>
      <c r="R248" s="351"/>
      <c r="S248" s="351"/>
      <c r="T248" s="351"/>
      <c r="U248" s="351"/>
      <c r="V248" s="351"/>
      <c r="W248" s="351"/>
      <c r="X248" s="351"/>
      <c r="Y248" s="351"/>
      <c r="Z248" s="351"/>
      <c r="AA248" s="351"/>
      <c r="AB248" s="351"/>
    </row>
    <row r="249" ht="14.25" customHeight="1">
      <c r="A249" s="439" t="s">
        <v>11875</v>
      </c>
      <c r="B249" s="109"/>
      <c r="C249" s="349" t="s">
        <v>11243</v>
      </c>
      <c r="D249" s="297" t="s">
        <v>271</v>
      </c>
      <c r="E249" s="297" t="s">
        <v>11240</v>
      </c>
      <c r="F249" s="311" t="s">
        <v>11877</v>
      </c>
      <c r="G249" s="297" t="s">
        <v>11879</v>
      </c>
      <c r="H249" s="298" t="s">
        <v>9293</v>
      </c>
      <c r="I249" s="404" t="s">
        <v>36</v>
      </c>
      <c r="J249" s="429"/>
      <c r="K249" s="303" t="s">
        <v>2034</v>
      </c>
      <c r="L249" s="429"/>
      <c r="M249" s="351"/>
      <c r="N249" s="351"/>
      <c r="O249" s="351"/>
      <c r="P249" s="351"/>
      <c r="Q249" s="351"/>
      <c r="R249" s="351"/>
      <c r="S249" s="351"/>
      <c r="T249" s="351"/>
      <c r="U249" s="351"/>
      <c r="V249" s="351"/>
      <c r="W249" s="351"/>
      <c r="X249" s="351"/>
      <c r="Y249" s="351"/>
      <c r="Z249" s="351"/>
      <c r="AA249" s="351"/>
      <c r="AB249" s="351"/>
    </row>
    <row r="250" ht="81.0" customHeight="1">
      <c r="A250" s="437" t="s">
        <v>11880</v>
      </c>
      <c r="B250" s="402" t="s">
        <v>11881</v>
      </c>
      <c r="C250" s="297" t="s">
        <v>11882</v>
      </c>
      <c r="D250" s="297" t="s">
        <v>271</v>
      </c>
      <c r="E250" s="297" t="s">
        <v>11240</v>
      </c>
      <c r="F250" s="298" t="s">
        <v>11883</v>
      </c>
      <c r="G250" s="437" t="s">
        <v>11884</v>
      </c>
      <c r="H250" s="298" t="s">
        <v>11885</v>
      </c>
      <c r="I250" s="404" t="s">
        <v>36</v>
      </c>
      <c r="J250" s="429"/>
      <c r="K250" s="351"/>
      <c r="L250" s="351"/>
      <c r="M250" s="351"/>
      <c r="N250" s="351"/>
      <c r="O250" s="351"/>
      <c r="P250" s="351"/>
      <c r="Q250" s="351"/>
      <c r="R250" s="351"/>
      <c r="S250" s="351"/>
      <c r="T250" s="351"/>
      <c r="U250" s="351"/>
      <c r="V250" s="351"/>
      <c r="W250" s="351"/>
      <c r="X250" s="351"/>
      <c r="Y250" s="351"/>
      <c r="Z250" s="351"/>
      <c r="AA250" s="351"/>
      <c r="AB250" s="351"/>
    </row>
    <row r="251" ht="68.25" customHeight="1">
      <c r="A251" s="437" t="s">
        <v>11880</v>
      </c>
      <c r="B251" s="108"/>
      <c r="C251" s="297" t="s">
        <v>11886</v>
      </c>
      <c r="D251" s="297" t="s">
        <v>271</v>
      </c>
      <c r="E251" s="297" t="s">
        <v>11240</v>
      </c>
      <c r="F251" s="298" t="s">
        <v>11887</v>
      </c>
      <c r="G251" s="437" t="s">
        <v>11888</v>
      </c>
      <c r="H251" s="298" t="s">
        <v>11889</v>
      </c>
      <c r="I251" s="404" t="s">
        <v>36</v>
      </c>
      <c r="J251" s="429"/>
      <c r="K251" s="351"/>
      <c r="L251" s="351"/>
      <c r="M251" s="351"/>
      <c r="N251" s="351"/>
      <c r="O251" s="351"/>
      <c r="P251" s="351"/>
      <c r="Q251" s="351"/>
      <c r="R251" s="351"/>
      <c r="S251" s="351"/>
      <c r="T251" s="351"/>
      <c r="U251" s="351"/>
      <c r="V251" s="351"/>
      <c r="W251" s="351"/>
      <c r="X251" s="351"/>
      <c r="Y251" s="351"/>
      <c r="Z251" s="351"/>
      <c r="AA251" s="351"/>
      <c r="AB251" s="351"/>
    </row>
    <row r="252" ht="14.25" customHeight="1">
      <c r="A252" s="437" t="s">
        <v>11880</v>
      </c>
      <c r="B252" s="108"/>
      <c r="C252" s="297" t="s">
        <v>11890</v>
      </c>
      <c r="D252" s="297" t="s">
        <v>271</v>
      </c>
      <c r="E252" s="297" t="s">
        <v>11240</v>
      </c>
      <c r="F252" s="298" t="s">
        <v>11891</v>
      </c>
      <c r="G252" s="437" t="s">
        <v>11892</v>
      </c>
      <c r="H252" s="298" t="s">
        <v>11893</v>
      </c>
      <c r="I252" s="404" t="s">
        <v>36</v>
      </c>
      <c r="J252" s="429"/>
      <c r="K252" s="351"/>
      <c r="L252" s="351"/>
      <c r="M252" s="351"/>
      <c r="N252" s="351"/>
      <c r="O252" s="351"/>
      <c r="P252" s="351"/>
      <c r="Q252" s="351"/>
      <c r="R252" s="351"/>
      <c r="S252" s="351"/>
      <c r="T252" s="351"/>
      <c r="U252" s="351"/>
      <c r="V252" s="351"/>
      <c r="W252" s="351"/>
      <c r="X252" s="351"/>
      <c r="Y252" s="351"/>
      <c r="Z252" s="351"/>
      <c r="AA252" s="351"/>
      <c r="AB252" s="351"/>
    </row>
    <row r="253" ht="14.25" customHeight="1">
      <c r="A253" s="437" t="s">
        <v>11880</v>
      </c>
      <c r="B253" s="108"/>
      <c r="C253" s="297" t="s">
        <v>11894</v>
      </c>
      <c r="D253" s="297" t="s">
        <v>271</v>
      </c>
      <c r="E253" s="297" t="s">
        <v>11240</v>
      </c>
      <c r="F253" s="298" t="s">
        <v>11895</v>
      </c>
      <c r="G253" s="437" t="s">
        <v>11896</v>
      </c>
      <c r="H253" s="298" t="s">
        <v>11893</v>
      </c>
      <c r="I253" s="404" t="s">
        <v>36</v>
      </c>
      <c r="J253" s="429"/>
      <c r="K253" s="351"/>
      <c r="L253" s="351"/>
      <c r="M253" s="351"/>
      <c r="N253" s="351"/>
      <c r="O253" s="351"/>
      <c r="P253" s="351"/>
      <c r="Q253" s="351"/>
      <c r="R253" s="351"/>
      <c r="S253" s="351"/>
      <c r="T253" s="351"/>
      <c r="U253" s="351"/>
      <c r="V253" s="351"/>
      <c r="W253" s="351"/>
      <c r="X253" s="351"/>
      <c r="Y253" s="351"/>
      <c r="Z253" s="351"/>
      <c r="AA253" s="351"/>
      <c r="AB253" s="351"/>
    </row>
    <row r="254" ht="14.25" customHeight="1">
      <c r="A254" s="437" t="s">
        <v>11880</v>
      </c>
      <c r="B254" s="108"/>
      <c r="C254" s="297" t="s">
        <v>11897</v>
      </c>
      <c r="D254" s="297" t="s">
        <v>271</v>
      </c>
      <c r="E254" s="297" t="s">
        <v>11240</v>
      </c>
      <c r="F254" s="298" t="s">
        <v>11898</v>
      </c>
      <c r="G254" s="437" t="s">
        <v>11899</v>
      </c>
      <c r="H254" s="298" t="s">
        <v>11893</v>
      </c>
      <c r="I254" s="404" t="s">
        <v>36</v>
      </c>
      <c r="J254" s="429"/>
      <c r="K254" s="351"/>
      <c r="L254" s="351"/>
      <c r="M254" s="351"/>
      <c r="N254" s="351"/>
      <c r="O254" s="351"/>
      <c r="P254" s="351"/>
      <c r="Q254" s="351"/>
      <c r="R254" s="351"/>
      <c r="S254" s="351"/>
      <c r="T254" s="351"/>
      <c r="U254" s="351"/>
      <c r="V254" s="351"/>
      <c r="W254" s="351"/>
      <c r="X254" s="351"/>
      <c r="Y254" s="351"/>
      <c r="Z254" s="351"/>
      <c r="AA254" s="351"/>
      <c r="AB254" s="351"/>
    </row>
    <row r="255" ht="14.25" customHeight="1">
      <c r="A255" s="437" t="s">
        <v>11880</v>
      </c>
      <c r="B255" s="109"/>
      <c r="C255" s="297" t="s">
        <v>11900</v>
      </c>
      <c r="D255" s="297" t="s">
        <v>271</v>
      </c>
      <c r="E255" s="297" t="s">
        <v>11240</v>
      </c>
      <c r="F255" s="298" t="s">
        <v>11901</v>
      </c>
      <c r="G255" s="437" t="s">
        <v>11902</v>
      </c>
      <c r="H255" s="298" t="s">
        <v>11893</v>
      </c>
      <c r="I255" s="404" t="s">
        <v>36</v>
      </c>
      <c r="J255" s="429"/>
      <c r="K255" s="351"/>
      <c r="L255" s="351"/>
      <c r="M255" s="351"/>
      <c r="N255" s="351"/>
      <c r="O255" s="351"/>
      <c r="P255" s="351"/>
      <c r="Q255" s="351"/>
      <c r="R255" s="351"/>
      <c r="S255" s="351"/>
      <c r="T255" s="351"/>
      <c r="U255" s="351"/>
      <c r="V255" s="351"/>
      <c r="W255" s="351"/>
      <c r="X255" s="351"/>
      <c r="Y255" s="351"/>
      <c r="Z255" s="351"/>
      <c r="AA255" s="351"/>
      <c r="AB255" s="351"/>
    </row>
    <row r="256" ht="14.25" customHeight="1">
      <c r="A256" s="439" t="s">
        <v>11903</v>
      </c>
      <c r="B256" s="298" t="s">
        <v>11904</v>
      </c>
      <c r="C256" s="349" t="s">
        <v>11905</v>
      </c>
      <c r="D256" s="297" t="s">
        <v>271</v>
      </c>
      <c r="E256" s="297" t="s">
        <v>11240</v>
      </c>
      <c r="F256" s="311" t="s">
        <v>11906</v>
      </c>
      <c r="G256" s="414"/>
      <c r="H256" s="298" t="s">
        <v>11907</v>
      </c>
      <c r="I256" s="404" t="s">
        <v>36</v>
      </c>
      <c r="J256" s="429"/>
      <c r="K256" s="303" t="s">
        <v>11908</v>
      </c>
      <c r="L256" s="429"/>
      <c r="M256" s="351"/>
      <c r="N256" s="351"/>
      <c r="O256" s="351"/>
      <c r="P256" s="351"/>
      <c r="Q256" s="351"/>
      <c r="R256" s="351"/>
      <c r="S256" s="351"/>
      <c r="T256" s="351"/>
      <c r="U256" s="351"/>
      <c r="V256" s="351"/>
      <c r="W256" s="351"/>
      <c r="X256" s="351"/>
      <c r="Y256" s="351"/>
      <c r="Z256" s="351"/>
      <c r="AA256" s="351"/>
      <c r="AB256" s="351"/>
    </row>
    <row r="257" ht="14.25" customHeight="1">
      <c r="A257" s="439" t="s">
        <v>11909</v>
      </c>
      <c r="B257" s="402" t="s">
        <v>11910</v>
      </c>
      <c r="C257" s="300" t="s">
        <v>11911</v>
      </c>
      <c r="D257" s="297" t="s">
        <v>271</v>
      </c>
      <c r="E257" s="297" t="s">
        <v>11240</v>
      </c>
      <c r="F257" s="298" t="s">
        <v>11912</v>
      </c>
      <c r="G257" s="297" t="s">
        <v>11913</v>
      </c>
      <c r="H257" s="298" t="s">
        <v>11914</v>
      </c>
      <c r="I257" s="404" t="s">
        <v>36</v>
      </c>
      <c r="J257" s="429"/>
      <c r="K257" s="303" t="s">
        <v>2034</v>
      </c>
      <c r="L257" s="429"/>
      <c r="M257" s="351"/>
      <c r="N257" s="351"/>
      <c r="O257" s="351"/>
      <c r="P257" s="351"/>
      <c r="Q257" s="351"/>
      <c r="R257" s="351"/>
      <c r="S257" s="351"/>
      <c r="T257" s="351"/>
      <c r="U257" s="351"/>
      <c r="V257" s="351"/>
      <c r="W257" s="351"/>
      <c r="X257" s="351"/>
      <c r="Y257" s="351"/>
      <c r="Z257" s="351"/>
      <c r="AA257" s="351"/>
      <c r="AB257" s="351"/>
    </row>
    <row r="258" ht="14.25" customHeight="1">
      <c r="A258" s="439" t="s">
        <v>11909</v>
      </c>
      <c r="B258" s="108"/>
      <c r="C258" s="300" t="s">
        <v>11915</v>
      </c>
      <c r="D258" s="297" t="s">
        <v>271</v>
      </c>
      <c r="E258" s="297" t="s">
        <v>11240</v>
      </c>
      <c r="F258" s="298" t="s">
        <v>11916</v>
      </c>
      <c r="G258" s="297" t="s">
        <v>11917</v>
      </c>
      <c r="H258" s="298" t="s">
        <v>11918</v>
      </c>
      <c r="I258" s="404" t="s">
        <v>36</v>
      </c>
      <c r="J258" s="429"/>
      <c r="K258" s="303" t="s">
        <v>2034</v>
      </c>
      <c r="L258" s="429"/>
      <c r="M258" s="351"/>
      <c r="N258" s="351"/>
      <c r="O258" s="351"/>
      <c r="P258" s="351"/>
      <c r="Q258" s="351"/>
      <c r="R258" s="351"/>
      <c r="S258" s="351"/>
      <c r="T258" s="351"/>
      <c r="U258" s="351"/>
      <c r="V258" s="351"/>
      <c r="W258" s="351"/>
      <c r="X258" s="351"/>
      <c r="Y258" s="351"/>
      <c r="Z258" s="351"/>
      <c r="AA258" s="351"/>
      <c r="AB258" s="351"/>
    </row>
    <row r="259" ht="14.25" customHeight="1">
      <c r="A259" s="439" t="s">
        <v>11909</v>
      </c>
      <c r="B259" s="108"/>
      <c r="C259" s="300" t="s">
        <v>11919</v>
      </c>
      <c r="D259" s="297" t="s">
        <v>271</v>
      </c>
      <c r="E259" s="297" t="s">
        <v>11240</v>
      </c>
      <c r="F259" s="298" t="s">
        <v>11920</v>
      </c>
      <c r="G259" s="297" t="s">
        <v>11921</v>
      </c>
      <c r="H259" s="298" t="s">
        <v>11922</v>
      </c>
      <c r="I259" s="404" t="s">
        <v>36</v>
      </c>
      <c r="J259" s="429"/>
      <c r="K259" s="303" t="s">
        <v>2034</v>
      </c>
      <c r="L259" s="429"/>
      <c r="M259" s="351"/>
      <c r="N259" s="351"/>
      <c r="O259" s="351"/>
      <c r="P259" s="351"/>
      <c r="Q259" s="351"/>
      <c r="R259" s="351"/>
      <c r="S259" s="351"/>
      <c r="T259" s="351"/>
      <c r="U259" s="351"/>
      <c r="V259" s="351"/>
      <c r="W259" s="351"/>
      <c r="X259" s="351"/>
      <c r="Y259" s="351"/>
      <c r="Z259" s="351"/>
      <c r="AA259" s="351"/>
      <c r="AB259" s="351"/>
    </row>
    <row r="260" ht="14.25" customHeight="1">
      <c r="A260" s="439" t="s">
        <v>11909</v>
      </c>
      <c r="B260" s="108"/>
      <c r="C260" s="300" t="s">
        <v>11923</v>
      </c>
      <c r="D260" s="297" t="s">
        <v>271</v>
      </c>
      <c r="E260" s="297" t="s">
        <v>11240</v>
      </c>
      <c r="F260" s="298" t="s">
        <v>11924</v>
      </c>
      <c r="G260" s="297" t="s">
        <v>11925</v>
      </c>
      <c r="H260" s="298" t="s">
        <v>11926</v>
      </c>
      <c r="I260" s="404" t="s">
        <v>36</v>
      </c>
      <c r="J260" s="429"/>
      <c r="K260" s="303" t="s">
        <v>2034</v>
      </c>
      <c r="L260" s="429"/>
      <c r="M260" s="351"/>
      <c r="N260" s="351"/>
      <c r="O260" s="351"/>
      <c r="P260" s="351"/>
      <c r="Q260" s="351"/>
      <c r="R260" s="351"/>
      <c r="S260" s="351"/>
      <c r="T260" s="351"/>
      <c r="U260" s="351"/>
      <c r="V260" s="351"/>
      <c r="W260" s="351"/>
      <c r="X260" s="351"/>
      <c r="Y260" s="351"/>
      <c r="Z260" s="351"/>
      <c r="AA260" s="351"/>
      <c r="AB260" s="351"/>
    </row>
    <row r="261" ht="14.25" customHeight="1">
      <c r="A261" s="439" t="s">
        <v>11909</v>
      </c>
      <c r="B261" s="108"/>
      <c r="C261" s="300" t="s">
        <v>11927</v>
      </c>
      <c r="D261" s="297" t="s">
        <v>271</v>
      </c>
      <c r="E261" s="297" t="s">
        <v>11240</v>
      </c>
      <c r="F261" s="298" t="s">
        <v>11928</v>
      </c>
      <c r="G261" s="297" t="s">
        <v>11917</v>
      </c>
      <c r="H261" s="298" t="s">
        <v>11929</v>
      </c>
      <c r="I261" s="404" t="s">
        <v>36</v>
      </c>
      <c r="J261" s="429"/>
      <c r="K261" s="303" t="s">
        <v>2034</v>
      </c>
      <c r="L261" s="429"/>
      <c r="M261" s="351"/>
      <c r="N261" s="351"/>
      <c r="O261" s="351"/>
      <c r="P261" s="351"/>
      <c r="Q261" s="351"/>
      <c r="R261" s="351"/>
      <c r="S261" s="351"/>
      <c r="T261" s="351"/>
      <c r="U261" s="351"/>
      <c r="V261" s="351"/>
      <c r="W261" s="351"/>
      <c r="X261" s="351"/>
      <c r="Y261" s="351"/>
      <c r="Z261" s="351"/>
      <c r="AA261" s="351"/>
      <c r="AB261" s="351"/>
    </row>
    <row r="262" ht="14.25" customHeight="1">
      <c r="A262" s="439" t="s">
        <v>11909</v>
      </c>
      <c r="B262" s="108"/>
      <c r="C262" s="300" t="s">
        <v>11930</v>
      </c>
      <c r="D262" s="297" t="s">
        <v>271</v>
      </c>
      <c r="E262" s="297" t="s">
        <v>11240</v>
      </c>
      <c r="F262" s="298" t="s">
        <v>11931</v>
      </c>
      <c r="G262" s="297" t="s">
        <v>11921</v>
      </c>
      <c r="H262" s="298" t="s">
        <v>11932</v>
      </c>
      <c r="I262" s="404" t="s">
        <v>36</v>
      </c>
      <c r="J262" s="429"/>
      <c r="K262" s="303" t="s">
        <v>2034</v>
      </c>
      <c r="L262" s="429"/>
      <c r="M262" s="351"/>
      <c r="N262" s="351"/>
      <c r="O262" s="351"/>
      <c r="P262" s="351"/>
      <c r="Q262" s="351"/>
      <c r="R262" s="351"/>
      <c r="S262" s="351"/>
      <c r="T262" s="351"/>
      <c r="U262" s="351"/>
      <c r="V262" s="351"/>
      <c r="W262" s="351"/>
      <c r="X262" s="351"/>
      <c r="Y262" s="351"/>
      <c r="Z262" s="351"/>
      <c r="AA262" s="351"/>
      <c r="AB262" s="351"/>
    </row>
    <row r="263" ht="14.25" customHeight="1">
      <c r="A263" s="439" t="s">
        <v>11909</v>
      </c>
      <c r="B263" s="108"/>
      <c r="C263" s="300" t="s">
        <v>11933</v>
      </c>
      <c r="D263" s="297" t="s">
        <v>271</v>
      </c>
      <c r="E263" s="297" t="s">
        <v>11240</v>
      </c>
      <c r="F263" s="298" t="s">
        <v>11934</v>
      </c>
      <c r="G263" s="297" t="s">
        <v>11925</v>
      </c>
      <c r="H263" s="298" t="s">
        <v>11935</v>
      </c>
      <c r="I263" s="404" t="s">
        <v>36</v>
      </c>
      <c r="J263" s="429"/>
      <c r="K263" s="303" t="s">
        <v>2034</v>
      </c>
      <c r="L263" s="429"/>
      <c r="M263" s="351"/>
      <c r="N263" s="351"/>
      <c r="O263" s="351"/>
      <c r="P263" s="351"/>
      <c r="Q263" s="351"/>
      <c r="R263" s="351"/>
      <c r="S263" s="351"/>
      <c r="T263" s="351"/>
      <c r="U263" s="351"/>
      <c r="V263" s="351"/>
      <c r="W263" s="351"/>
      <c r="X263" s="351"/>
      <c r="Y263" s="351"/>
      <c r="Z263" s="351"/>
      <c r="AA263" s="351"/>
      <c r="AB263" s="351"/>
    </row>
    <row r="264" ht="31.5" customHeight="1">
      <c r="A264" s="439" t="s">
        <v>11909</v>
      </c>
      <c r="B264" s="108"/>
      <c r="C264" s="300" t="s">
        <v>11936</v>
      </c>
      <c r="D264" s="297" t="s">
        <v>271</v>
      </c>
      <c r="E264" s="297" t="s">
        <v>11240</v>
      </c>
      <c r="F264" s="298" t="s">
        <v>11937</v>
      </c>
      <c r="G264" s="297" t="s">
        <v>11938</v>
      </c>
      <c r="H264" s="298" t="s">
        <v>11939</v>
      </c>
      <c r="I264" s="404" t="s">
        <v>36</v>
      </c>
      <c r="J264" s="429"/>
      <c r="K264" s="303" t="s">
        <v>2034</v>
      </c>
      <c r="L264" s="429"/>
      <c r="M264" s="351"/>
      <c r="N264" s="351"/>
      <c r="O264" s="351"/>
      <c r="P264" s="351"/>
      <c r="Q264" s="351"/>
      <c r="R264" s="351"/>
      <c r="S264" s="351"/>
      <c r="T264" s="351"/>
      <c r="U264" s="351"/>
      <c r="V264" s="351"/>
      <c r="W264" s="351"/>
      <c r="X264" s="351"/>
      <c r="Y264" s="351"/>
      <c r="Z264" s="351"/>
      <c r="AA264" s="351"/>
      <c r="AB264" s="351"/>
    </row>
    <row r="265" ht="21.75" customHeight="1">
      <c r="A265" s="439" t="s">
        <v>11909</v>
      </c>
      <c r="B265" s="108"/>
      <c r="C265" s="300" t="s">
        <v>11940</v>
      </c>
      <c r="D265" s="297" t="s">
        <v>271</v>
      </c>
      <c r="E265" s="297" t="s">
        <v>11240</v>
      </c>
      <c r="F265" s="298" t="s">
        <v>11941</v>
      </c>
      <c r="G265" s="297" t="s">
        <v>11942</v>
      </c>
      <c r="H265" s="298" t="s">
        <v>11943</v>
      </c>
      <c r="I265" s="404" t="s">
        <v>36</v>
      </c>
      <c r="J265" s="429"/>
      <c r="K265" s="303" t="s">
        <v>2034</v>
      </c>
      <c r="L265" s="429"/>
      <c r="M265" s="351"/>
      <c r="N265" s="351"/>
      <c r="O265" s="351"/>
      <c r="P265" s="351"/>
      <c r="Q265" s="351"/>
      <c r="R265" s="351"/>
      <c r="S265" s="351"/>
      <c r="T265" s="351"/>
      <c r="U265" s="351"/>
      <c r="V265" s="351"/>
      <c r="W265" s="351"/>
      <c r="X265" s="351"/>
      <c r="Y265" s="351"/>
      <c r="Z265" s="351"/>
      <c r="AA265" s="351"/>
      <c r="AB265" s="351"/>
    </row>
    <row r="266" ht="27.0" customHeight="1">
      <c r="A266" s="439" t="s">
        <v>11909</v>
      </c>
      <c r="B266" s="109"/>
      <c r="C266" s="300" t="s">
        <v>11944</v>
      </c>
      <c r="D266" s="297" t="s">
        <v>271</v>
      </c>
      <c r="E266" s="297" t="s">
        <v>11240</v>
      </c>
      <c r="F266" s="298" t="s">
        <v>11945</v>
      </c>
      <c r="G266" s="297" t="s">
        <v>11946</v>
      </c>
      <c r="H266" s="298" t="s">
        <v>11947</v>
      </c>
      <c r="I266" s="404" t="s">
        <v>36</v>
      </c>
      <c r="J266" s="429"/>
      <c r="K266" s="303" t="s">
        <v>2034</v>
      </c>
      <c r="L266" s="429"/>
      <c r="M266" s="351"/>
      <c r="N266" s="351"/>
      <c r="O266" s="351"/>
      <c r="P266" s="351"/>
      <c r="Q266" s="351"/>
      <c r="R266" s="351"/>
      <c r="S266" s="351"/>
      <c r="T266" s="351"/>
      <c r="U266" s="351"/>
      <c r="V266" s="351"/>
      <c r="W266" s="351"/>
      <c r="X266" s="351"/>
      <c r="Y266" s="351"/>
      <c r="Z266" s="351"/>
      <c r="AA266" s="351"/>
      <c r="AB266" s="351"/>
    </row>
    <row r="267" ht="14.25" customHeight="1">
      <c r="A267" s="439" t="s">
        <v>11948</v>
      </c>
      <c r="B267" s="402" t="s">
        <v>11949</v>
      </c>
      <c r="C267" s="300" t="s">
        <v>11239</v>
      </c>
      <c r="D267" s="297" t="s">
        <v>271</v>
      </c>
      <c r="E267" s="297" t="s">
        <v>11950</v>
      </c>
      <c r="F267" s="296" t="s">
        <v>11951</v>
      </c>
      <c r="G267" s="303" t="s">
        <v>11952</v>
      </c>
      <c r="H267" s="296" t="s">
        <v>11953</v>
      </c>
      <c r="I267" s="404" t="s">
        <v>36</v>
      </c>
      <c r="J267" s="429"/>
      <c r="K267" s="303" t="s">
        <v>11954</v>
      </c>
      <c r="L267" s="429"/>
      <c r="M267" s="351"/>
      <c r="N267" s="351"/>
      <c r="O267" s="351"/>
      <c r="P267" s="351"/>
      <c r="Q267" s="351"/>
      <c r="R267" s="351"/>
      <c r="S267" s="351"/>
      <c r="T267" s="351"/>
      <c r="U267" s="351"/>
      <c r="V267" s="351"/>
      <c r="W267" s="351"/>
      <c r="X267" s="351"/>
      <c r="Y267" s="351"/>
      <c r="Z267" s="351"/>
      <c r="AA267" s="351"/>
      <c r="AB267" s="351"/>
    </row>
    <row r="268" ht="14.25" customHeight="1">
      <c r="A268" s="439" t="s">
        <v>11948</v>
      </c>
      <c r="B268" s="108"/>
      <c r="C268" s="300" t="s">
        <v>11243</v>
      </c>
      <c r="D268" s="297" t="s">
        <v>271</v>
      </c>
      <c r="E268" s="297" t="s">
        <v>11950</v>
      </c>
      <c r="F268" s="296" t="s">
        <v>11955</v>
      </c>
      <c r="G268" s="303" t="s">
        <v>11952</v>
      </c>
      <c r="H268" s="296" t="s">
        <v>11953</v>
      </c>
      <c r="I268" s="404" t="s">
        <v>36</v>
      </c>
      <c r="J268" s="429"/>
      <c r="K268" s="303" t="s">
        <v>11954</v>
      </c>
      <c r="L268" s="429"/>
      <c r="M268" s="351"/>
      <c r="N268" s="351"/>
      <c r="O268" s="351"/>
      <c r="P268" s="351"/>
      <c r="Q268" s="351"/>
      <c r="R268" s="351"/>
      <c r="S268" s="351"/>
      <c r="T268" s="351"/>
      <c r="U268" s="351"/>
      <c r="V268" s="351"/>
      <c r="W268" s="351"/>
      <c r="X268" s="351"/>
      <c r="Y268" s="351"/>
      <c r="Z268" s="351"/>
      <c r="AA268" s="351"/>
      <c r="AB268" s="351"/>
    </row>
    <row r="269" ht="14.25" customHeight="1">
      <c r="A269" s="439" t="s">
        <v>11948</v>
      </c>
      <c r="B269" s="108"/>
      <c r="C269" s="300" t="s">
        <v>11246</v>
      </c>
      <c r="D269" s="297" t="s">
        <v>271</v>
      </c>
      <c r="E269" s="297" t="s">
        <v>11950</v>
      </c>
      <c r="F269" s="296" t="s">
        <v>11956</v>
      </c>
      <c r="G269" s="303" t="s">
        <v>11952</v>
      </c>
      <c r="H269" s="296" t="s">
        <v>11953</v>
      </c>
      <c r="I269" s="441" t="s">
        <v>317</v>
      </c>
      <c r="J269" s="429"/>
      <c r="K269" s="303" t="s">
        <v>11954</v>
      </c>
      <c r="L269" s="429"/>
      <c r="M269" s="351"/>
      <c r="N269" s="351"/>
      <c r="O269" s="351"/>
      <c r="P269" s="351"/>
      <c r="Q269" s="351"/>
      <c r="R269" s="351"/>
      <c r="S269" s="351"/>
      <c r="T269" s="351"/>
      <c r="U269" s="351"/>
      <c r="V269" s="351"/>
      <c r="W269" s="351"/>
      <c r="X269" s="351"/>
      <c r="Y269" s="351"/>
      <c r="Z269" s="351"/>
      <c r="AA269" s="351"/>
      <c r="AB269" s="351"/>
    </row>
    <row r="270" ht="14.25" customHeight="1">
      <c r="A270" s="439" t="s">
        <v>11948</v>
      </c>
      <c r="B270" s="108"/>
      <c r="C270" s="300" t="s">
        <v>11248</v>
      </c>
      <c r="D270" s="297" t="s">
        <v>271</v>
      </c>
      <c r="E270" s="297" t="s">
        <v>11950</v>
      </c>
      <c r="F270" s="296" t="s">
        <v>11957</v>
      </c>
      <c r="G270" s="303" t="s">
        <v>11952</v>
      </c>
      <c r="H270" s="296" t="s">
        <v>11953</v>
      </c>
      <c r="I270" s="441" t="s">
        <v>317</v>
      </c>
      <c r="J270" s="429"/>
      <c r="K270" s="303" t="s">
        <v>11954</v>
      </c>
      <c r="L270" s="429"/>
      <c r="M270" s="351"/>
      <c r="N270" s="351"/>
      <c r="O270" s="351"/>
      <c r="P270" s="351"/>
      <c r="Q270" s="351"/>
      <c r="R270" s="351"/>
      <c r="S270" s="351"/>
      <c r="T270" s="351"/>
      <c r="U270" s="351"/>
      <c r="V270" s="351"/>
      <c r="W270" s="351"/>
      <c r="X270" s="351"/>
      <c r="Y270" s="351"/>
      <c r="Z270" s="351"/>
      <c r="AA270" s="351"/>
      <c r="AB270" s="351"/>
    </row>
    <row r="271" ht="14.25" customHeight="1">
      <c r="A271" s="439" t="s">
        <v>11948</v>
      </c>
      <c r="B271" s="108"/>
      <c r="C271" s="300" t="s">
        <v>11251</v>
      </c>
      <c r="D271" s="297" t="s">
        <v>271</v>
      </c>
      <c r="E271" s="297" t="s">
        <v>11950</v>
      </c>
      <c r="F271" s="296" t="s">
        <v>11958</v>
      </c>
      <c r="G271" s="303" t="s">
        <v>11952</v>
      </c>
      <c r="H271" s="296" t="s">
        <v>11953</v>
      </c>
      <c r="I271" s="441" t="s">
        <v>317</v>
      </c>
      <c r="J271" s="429"/>
      <c r="K271" s="303" t="s">
        <v>11954</v>
      </c>
      <c r="L271" s="429"/>
      <c r="M271" s="351"/>
      <c r="N271" s="351"/>
      <c r="O271" s="351"/>
      <c r="P271" s="351"/>
      <c r="Q271" s="351"/>
      <c r="R271" s="351"/>
      <c r="S271" s="351"/>
      <c r="T271" s="351"/>
      <c r="U271" s="351"/>
      <c r="V271" s="351"/>
      <c r="W271" s="351"/>
      <c r="X271" s="351"/>
      <c r="Y271" s="351"/>
      <c r="Z271" s="351"/>
      <c r="AA271" s="351"/>
      <c r="AB271" s="351"/>
    </row>
    <row r="272" ht="14.25" customHeight="1">
      <c r="A272" s="439" t="s">
        <v>11948</v>
      </c>
      <c r="B272" s="108"/>
      <c r="C272" s="300" t="s">
        <v>11253</v>
      </c>
      <c r="D272" s="297" t="s">
        <v>271</v>
      </c>
      <c r="E272" s="297" t="s">
        <v>11950</v>
      </c>
      <c r="F272" s="296" t="s">
        <v>11959</v>
      </c>
      <c r="G272" s="303" t="s">
        <v>11960</v>
      </c>
      <c r="H272" s="296" t="s">
        <v>11961</v>
      </c>
      <c r="I272" s="404" t="s">
        <v>36</v>
      </c>
      <c r="J272" s="429"/>
      <c r="K272" s="303" t="s">
        <v>11954</v>
      </c>
      <c r="L272" s="429"/>
      <c r="M272" s="351"/>
      <c r="N272" s="351"/>
      <c r="O272" s="351"/>
      <c r="P272" s="351"/>
      <c r="Q272" s="351"/>
      <c r="R272" s="351"/>
      <c r="S272" s="351"/>
      <c r="T272" s="351"/>
      <c r="U272" s="351"/>
      <c r="V272" s="351"/>
      <c r="W272" s="351"/>
      <c r="X272" s="351"/>
      <c r="Y272" s="351"/>
      <c r="Z272" s="351"/>
      <c r="AA272" s="351"/>
      <c r="AB272" s="351"/>
    </row>
    <row r="273" ht="14.25" customHeight="1">
      <c r="A273" s="439" t="s">
        <v>11948</v>
      </c>
      <c r="B273" s="108"/>
      <c r="C273" s="300" t="s">
        <v>11256</v>
      </c>
      <c r="D273" s="297" t="s">
        <v>271</v>
      </c>
      <c r="E273" s="297" t="s">
        <v>11950</v>
      </c>
      <c r="F273" s="296" t="s">
        <v>11962</v>
      </c>
      <c r="G273" s="303" t="s">
        <v>11960</v>
      </c>
      <c r="H273" s="296" t="s">
        <v>11961</v>
      </c>
      <c r="I273" s="404" t="s">
        <v>36</v>
      </c>
      <c r="J273" s="429"/>
      <c r="K273" s="303" t="s">
        <v>11954</v>
      </c>
      <c r="L273" s="429"/>
      <c r="M273" s="351"/>
      <c r="N273" s="351"/>
      <c r="O273" s="351"/>
      <c r="P273" s="351"/>
      <c r="Q273" s="351"/>
      <c r="R273" s="351"/>
      <c r="S273" s="351"/>
      <c r="T273" s="351"/>
      <c r="U273" s="351"/>
      <c r="V273" s="351"/>
      <c r="W273" s="351"/>
      <c r="X273" s="351"/>
      <c r="Y273" s="351"/>
      <c r="Z273" s="351"/>
      <c r="AA273" s="351"/>
      <c r="AB273" s="351"/>
    </row>
    <row r="274" ht="14.25" customHeight="1">
      <c r="A274" s="439" t="s">
        <v>11948</v>
      </c>
      <c r="B274" s="108"/>
      <c r="C274" s="300" t="s">
        <v>11258</v>
      </c>
      <c r="D274" s="297" t="s">
        <v>271</v>
      </c>
      <c r="E274" s="297" t="s">
        <v>11950</v>
      </c>
      <c r="F274" s="296" t="s">
        <v>11963</v>
      </c>
      <c r="G274" s="303" t="s">
        <v>11960</v>
      </c>
      <c r="H274" s="296" t="s">
        <v>11961</v>
      </c>
      <c r="I274" s="441" t="s">
        <v>317</v>
      </c>
      <c r="J274" s="429"/>
      <c r="K274" s="303" t="s">
        <v>11954</v>
      </c>
      <c r="L274" s="429"/>
      <c r="M274" s="351"/>
      <c r="N274" s="351"/>
      <c r="O274" s="351"/>
      <c r="P274" s="351"/>
      <c r="Q274" s="351"/>
      <c r="R274" s="351"/>
      <c r="S274" s="351"/>
      <c r="T274" s="351"/>
      <c r="U274" s="351"/>
      <c r="V274" s="351"/>
      <c r="W274" s="351"/>
      <c r="X274" s="351"/>
      <c r="Y274" s="351"/>
      <c r="Z274" s="351"/>
      <c r="AA274" s="351"/>
      <c r="AB274" s="351"/>
    </row>
    <row r="275" ht="14.25" customHeight="1">
      <c r="A275" s="439" t="s">
        <v>11948</v>
      </c>
      <c r="B275" s="108"/>
      <c r="C275" s="300" t="s">
        <v>11831</v>
      </c>
      <c r="D275" s="297" t="s">
        <v>271</v>
      </c>
      <c r="E275" s="297" t="s">
        <v>11950</v>
      </c>
      <c r="F275" s="296" t="s">
        <v>11964</v>
      </c>
      <c r="G275" s="303" t="s">
        <v>11960</v>
      </c>
      <c r="H275" s="296" t="s">
        <v>11961</v>
      </c>
      <c r="I275" s="441" t="s">
        <v>317</v>
      </c>
      <c r="J275" s="429"/>
      <c r="K275" s="303" t="s">
        <v>11954</v>
      </c>
      <c r="L275" s="429"/>
      <c r="M275" s="351"/>
      <c r="N275" s="351"/>
      <c r="O275" s="351"/>
      <c r="P275" s="351"/>
      <c r="Q275" s="351"/>
      <c r="R275" s="351"/>
      <c r="S275" s="351"/>
      <c r="T275" s="351"/>
      <c r="U275" s="351"/>
      <c r="V275" s="351"/>
      <c r="W275" s="351"/>
      <c r="X275" s="351"/>
      <c r="Y275" s="351"/>
      <c r="Z275" s="351"/>
      <c r="AA275" s="351"/>
      <c r="AB275" s="351"/>
    </row>
    <row r="276" ht="14.25" customHeight="1">
      <c r="A276" s="439" t="s">
        <v>11948</v>
      </c>
      <c r="B276" s="108"/>
      <c r="C276" s="300" t="s">
        <v>11834</v>
      </c>
      <c r="D276" s="297" t="s">
        <v>271</v>
      </c>
      <c r="E276" s="297" t="s">
        <v>11950</v>
      </c>
      <c r="F276" s="296" t="s">
        <v>11965</v>
      </c>
      <c r="G276" s="303" t="s">
        <v>11960</v>
      </c>
      <c r="H276" s="296" t="s">
        <v>11961</v>
      </c>
      <c r="I276" s="441" t="s">
        <v>317</v>
      </c>
      <c r="J276" s="429"/>
      <c r="K276" s="303" t="s">
        <v>11954</v>
      </c>
      <c r="L276" s="429"/>
      <c r="M276" s="351"/>
      <c r="N276" s="351"/>
      <c r="O276" s="351"/>
      <c r="P276" s="351"/>
      <c r="Q276" s="351"/>
      <c r="R276" s="351"/>
      <c r="S276" s="351"/>
      <c r="T276" s="351"/>
      <c r="U276" s="351"/>
      <c r="V276" s="351"/>
      <c r="W276" s="351"/>
      <c r="X276" s="351"/>
      <c r="Y276" s="351"/>
      <c r="Z276" s="351"/>
      <c r="AA276" s="351"/>
      <c r="AB276" s="351"/>
    </row>
    <row r="277" ht="14.25" customHeight="1">
      <c r="A277" s="439" t="s">
        <v>11948</v>
      </c>
      <c r="B277" s="108"/>
      <c r="C277" s="300" t="s">
        <v>11837</v>
      </c>
      <c r="D277" s="297" t="s">
        <v>271</v>
      </c>
      <c r="E277" s="297" t="s">
        <v>11950</v>
      </c>
      <c r="F277" s="442" t="s">
        <v>11966</v>
      </c>
      <c r="G277" s="303" t="s">
        <v>11967</v>
      </c>
      <c r="H277" s="296" t="s">
        <v>11968</v>
      </c>
      <c r="I277" s="404" t="s">
        <v>36</v>
      </c>
      <c r="J277" s="429"/>
      <c r="K277" s="303" t="s">
        <v>11954</v>
      </c>
      <c r="L277" s="429"/>
      <c r="M277" s="351"/>
      <c r="N277" s="351"/>
      <c r="O277" s="351"/>
      <c r="P277" s="351"/>
      <c r="Q277" s="351"/>
      <c r="R277" s="351"/>
      <c r="S277" s="351"/>
      <c r="T277" s="351"/>
      <c r="U277" s="351"/>
      <c r="V277" s="351"/>
      <c r="W277" s="351"/>
      <c r="X277" s="351"/>
      <c r="Y277" s="351"/>
      <c r="Z277" s="351"/>
      <c r="AA277" s="351"/>
      <c r="AB277" s="351"/>
    </row>
    <row r="278" ht="14.25" customHeight="1">
      <c r="A278" s="439" t="s">
        <v>11948</v>
      </c>
      <c r="B278" s="108"/>
      <c r="C278" s="300" t="s">
        <v>11838</v>
      </c>
      <c r="D278" s="297" t="s">
        <v>271</v>
      </c>
      <c r="E278" s="297" t="s">
        <v>11950</v>
      </c>
      <c r="F278" s="442" t="s">
        <v>11969</v>
      </c>
      <c r="G278" s="303" t="s">
        <v>11970</v>
      </c>
      <c r="H278" s="296" t="s">
        <v>11968</v>
      </c>
      <c r="I278" s="404" t="s">
        <v>36</v>
      </c>
      <c r="J278" s="429"/>
      <c r="K278" s="303" t="s">
        <v>11954</v>
      </c>
      <c r="L278" s="429"/>
      <c r="M278" s="351"/>
      <c r="N278" s="351"/>
      <c r="O278" s="351"/>
      <c r="P278" s="351"/>
      <c r="Q278" s="351"/>
      <c r="R278" s="351"/>
      <c r="S278" s="351"/>
      <c r="T278" s="351"/>
      <c r="U278" s="351"/>
      <c r="V278" s="351"/>
      <c r="W278" s="351"/>
      <c r="X278" s="351"/>
      <c r="Y278" s="351"/>
      <c r="Z278" s="351"/>
      <c r="AA278" s="351"/>
      <c r="AB278" s="351"/>
    </row>
    <row r="279" ht="14.25" customHeight="1">
      <c r="A279" s="439" t="s">
        <v>11948</v>
      </c>
      <c r="B279" s="108"/>
      <c r="C279" s="300" t="s">
        <v>11971</v>
      </c>
      <c r="D279" s="297" t="s">
        <v>271</v>
      </c>
      <c r="E279" s="297" t="s">
        <v>11950</v>
      </c>
      <c r="F279" s="442" t="s">
        <v>11972</v>
      </c>
      <c r="G279" s="303" t="s">
        <v>11973</v>
      </c>
      <c r="H279" s="296" t="s">
        <v>11968</v>
      </c>
      <c r="I279" s="410" t="s">
        <v>317</v>
      </c>
      <c r="J279" s="429"/>
      <c r="K279" s="303" t="s">
        <v>11954</v>
      </c>
      <c r="L279" s="429"/>
      <c r="M279" s="351"/>
      <c r="N279" s="351"/>
      <c r="O279" s="351"/>
      <c r="P279" s="351"/>
      <c r="Q279" s="351"/>
      <c r="R279" s="351"/>
      <c r="S279" s="351"/>
      <c r="T279" s="351"/>
      <c r="U279" s="351"/>
      <c r="V279" s="351"/>
      <c r="W279" s="351"/>
      <c r="X279" s="351"/>
      <c r="Y279" s="351"/>
      <c r="Z279" s="351"/>
      <c r="AA279" s="351"/>
      <c r="AB279" s="351"/>
    </row>
    <row r="280" ht="14.25" customHeight="1">
      <c r="A280" s="439" t="s">
        <v>11948</v>
      </c>
      <c r="B280" s="108"/>
      <c r="C280" s="300" t="s">
        <v>11974</v>
      </c>
      <c r="D280" s="297" t="s">
        <v>271</v>
      </c>
      <c r="E280" s="297" t="s">
        <v>11950</v>
      </c>
      <c r="F280" s="442" t="s">
        <v>11975</v>
      </c>
      <c r="G280" s="303" t="s">
        <v>11973</v>
      </c>
      <c r="H280" s="296" t="s">
        <v>11968</v>
      </c>
      <c r="I280" s="410" t="s">
        <v>317</v>
      </c>
      <c r="J280" s="429"/>
      <c r="K280" s="303" t="s">
        <v>11954</v>
      </c>
      <c r="L280" s="429"/>
      <c r="M280" s="351"/>
      <c r="N280" s="351"/>
      <c r="O280" s="351"/>
      <c r="P280" s="351"/>
      <c r="Q280" s="351"/>
      <c r="R280" s="351"/>
      <c r="S280" s="351"/>
      <c r="T280" s="351"/>
      <c r="U280" s="351"/>
      <c r="V280" s="351"/>
      <c r="W280" s="351"/>
      <c r="X280" s="351"/>
      <c r="Y280" s="351"/>
      <c r="Z280" s="351"/>
      <c r="AA280" s="351"/>
      <c r="AB280" s="351"/>
    </row>
    <row r="281" ht="14.25" customHeight="1">
      <c r="A281" s="439" t="s">
        <v>11948</v>
      </c>
      <c r="B281" s="108"/>
      <c r="C281" s="300" t="s">
        <v>11976</v>
      </c>
      <c r="D281" s="297" t="s">
        <v>271</v>
      </c>
      <c r="E281" s="297" t="s">
        <v>11950</v>
      </c>
      <c r="F281" s="442" t="s">
        <v>11977</v>
      </c>
      <c r="G281" s="303" t="s">
        <v>11973</v>
      </c>
      <c r="H281" s="296" t="s">
        <v>11968</v>
      </c>
      <c r="I281" s="410" t="s">
        <v>317</v>
      </c>
      <c r="J281" s="429"/>
      <c r="K281" s="303" t="s">
        <v>11954</v>
      </c>
      <c r="L281" s="429"/>
      <c r="M281" s="351"/>
      <c r="N281" s="351"/>
      <c r="O281" s="351"/>
      <c r="P281" s="351"/>
      <c r="Q281" s="351"/>
      <c r="R281" s="351"/>
      <c r="S281" s="351"/>
      <c r="T281" s="351"/>
      <c r="U281" s="351"/>
      <c r="V281" s="351"/>
      <c r="W281" s="351"/>
      <c r="X281" s="351"/>
      <c r="Y281" s="351"/>
      <c r="Z281" s="351"/>
      <c r="AA281" s="351"/>
      <c r="AB281" s="351"/>
    </row>
    <row r="282" ht="14.25" customHeight="1">
      <c r="A282" s="439" t="s">
        <v>11948</v>
      </c>
      <c r="B282" s="108"/>
      <c r="C282" s="300" t="s">
        <v>11978</v>
      </c>
      <c r="D282" s="297" t="s">
        <v>271</v>
      </c>
      <c r="E282" s="297" t="s">
        <v>11950</v>
      </c>
      <c r="F282" s="442" t="s">
        <v>11979</v>
      </c>
      <c r="G282" s="303" t="s">
        <v>11970</v>
      </c>
      <c r="H282" s="296" t="s">
        <v>11980</v>
      </c>
      <c r="I282" s="404" t="s">
        <v>36</v>
      </c>
      <c r="J282" s="429"/>
      <c r="K282" s="303" t="s">
        <v>11954</v>
      </c>
      <c r="L282" s="429"/>
      <c r="M282" s="351"/>
      <c r="N282" s="351"/>
      <c r="O282" s="351"/>
      <c r="P282" s="351"/>
      <c r="Q282" s="351"/>
      <c r="R282" s="351"/>
      <c r="S282" s="351"/>
      <c r="T282" s="351"/>
      <c r="U282" s="351"/>
      <c r="V282" s="351"/>
      <c r="W282" s="351"/>
      <c r="X282" s="351"/>
      <c r="Y282" s="351"/>
      <c r="Z282" s="351"/>
      <c r="AA282" s="351"/>
      <c r="AB282" s="351"/>
    </row>
    <row r="283" ht="14.25" customHeight="1">
      <c r="A283" s="439" t="s">
        <v>11948</v>
      </c>
      <c r="B283" s="108"/>
      <c r="C283" s="300" t="s">
        <v>11981</v>
      </c>
      <c r="D283" s="297" t="s">
        <v>271</v>
      </c>
      <c r="E283" s="297" t="s">
        <v>11950</v>
      </c>
      <c r="F283" s="442" t="s">
        <v>11982</v>
      </c>
      <c r="G283" s="303" t="s">
        <v>11970</v>
      </c>
      <c r="H283" s="296" t="s">
        <v>11980</v>
      </c>
      <c r="I283" s="404" t="s">
        <v>36</v>
      </c>
      <c r="J283" s="429"/>
      <c r="K283" s="303" t="s">
        <v>11954</v>
      </c>
      <c r="L283" s="429"/>
      <c r="M283" s="351"/>
      <c r="N283" s="351"/>
      <c r="O283" s="351"/>
      <c r="P283" s="351"/>
      <c r="Q283" s="351"/>
      <c r="R283" s="351"/>
      <c r="S283" s="351"/>
      <c r="T283" s="351"/>
      <c r="U283" s="351"/>
      <c r="V283" s="351"/>
      <c r="W283" s="351"/>
      <c r="X283" s="351"/>
      <c r="Y283" s="351"/>
      <c r="Z283" s="351"/>
      <c r="AA283" s="351"/>
      <c r="AB283" s="351"/>
    </row>
    <row r="284" ht="14.25" customHeight="1">
      <c r="A284" s="439" t="s">
        <v>11948</v>
      </c>
      <c r="B284" s="108"/>
      <c r="C284" s="300" t="s">
        <v>11983</v>
      </c>
      <c r="D284" s="297" t="s">
        <v>271</v>
      </c>
      <c r="E284" s="297" t="s">
        <v>11950</v>
      </c>
      <c r="F284" s="442" t="s">
        <v>11984</v>
      </c>
      <c r="G284" s="303" t="s">
        <v>11985</v>
      </c>
      <c r="H284" s="296" t="s">
        <v>11980</v>
      </c>
      <c r="I284" s="441" t="s">
        <v>317</v>
      </c>
      <c r="J284" s="429"/>
      <c r="K284" s="303" t="s">
        <v>11954</v>
      </c>
      <c r="L284" s="429"/>
      <c r="M284" s="351"/>
      <c r="N284" s="351"/>
      <c r="O284" s="351"/>
      <c r="P284" s="351"/>
      <c r="Q284" s="351"/>
      <c r="R284" s="351"/>
      <c r="S284" s="351"/>
      <c r="T284" s="351"/>
      <c r="U284" s="351"/>
      <c r="V284" s="351"/>
      <c r="W284" s="351"/>
      <c r="X284" s="351"/>
      <c r="Y284" s="351"/>
      <c r="Z284" s="351"/>
      <c r="AA284" s="351"/>
      <c r="AB284" s="351"/>
    </row>
    <row r="285" ht="14.25" customHeight="1">
      <c r="A285" s="439" t="s">
        <v>11948</v>
      </c>
      <c r="B285" s="108"/>
      <c r="C285" s="300" t="s">
        <v>11986</v>
      </c>
      <c r="D285" s="297" t="s">
        <v>271</v>
      </c>
      <c r="E285" s="297" t="s">
        <v>11950</v>
      </c>
      <c r="F285" s="442" t="s">
        <v>11987</v>
      </c>
      <c r="G285" s="303" t="s">
        <v>11985</v>
      </c>
      <c r="H285" s="296" t="s">
        <v>11980</v>
      </c>
      <c r="I285" s="441" t="s">
        <v>317</v>
      </c>
      <c r="J285" s="429"/>
      <c r="K285" s="303" t="s">
        <v>11954</v>
      </c>
      <c r="L285" s="429"/>
      <c r="M285" s="351"/>
      <c r="N285" s="351"/>
      <c r="O285" s="351"/>
      <c r="P285" s="351"/>
      <c r="Q285" s="351"/>
      <c r="R285" s="351"/>
      <c r="S285" s="351"/>
      <c r="T285" s="351"/>
      <c r="U285" s="351"/>
      <c r="V285" s="351"/>
      <c r="W285" s="351"/>
      <c r="X285" s="351"/>
      <c r="Y285" s="351"/>
      <c r="Z285" s="351"/>
      <c r="AA285" s="351"/>
      <c r="AB285" s="351"/>
    </row>
    <row r="286" ht="14.25" customHeight="1">
      <c r="A286" s="439" t="s">
        <v>11948</v>
      </c>
      <c r="B286" s="108"/>
      <c r="C286" s="300" t="s">
        <v>11988</v>
      </c>
      <c r="D286" s="297" t="s">
        <v>271</v>
      </c>
      <c r="E286" s="297" t="s">
        <v>11950</v>
      </c>
      <c r="F286" s="442" t="s">
        <v>11989</v>
      </c>
      <c r="G286" s="303" t="s">
        <v>11985</v>
      </c>
      <c r="H286" s="296" t="s">
        <v>11980</v>
      </c>
      <c r="I286" s="441" t="s">
        <v>317</v>
      </c>
      <c r="J286" s="429"/>
      <c r="K286" s="303" t="s">
        <v>11954</v>
      </c>
      <c r="L286" s="429"/>
      <c r="M286" s="351"/>
      <c r="N286" s="351"/>
      <c r="O286" s="351"/>
      <c r="P286" s="351"/>
      <c r="Q286" s="351"/>
      <c r="R286" s="351"/>
      <c r="S286" s="351"/>
      <c r="T286" s="351"/>
      <c r="U286" s="351"/>
      <c r="V286" s="351"/>
      <c r="W286" s="351"/>
      <c r="X286" s="351"/>
      <c r="Y286" s="351"/>
      <c r="Z286" s="351"/>
      <c r="AA286" s="351"/>
      <c r="AB286" s="351"/>
    </row>
    <row r="287" ht="14.25" customHeight="1">
      <c r="A287" s="439" t="s">
        <v>11948</v>
      </c>
      <c r="B287" s="109"/>
      <c r="C287" s="300" t="s">
        <v>11990</v>
      </c>
      <c r="D287" s="297" t="s">
        <v>271</v>
      </c>
      <c r="E287" s="297" t="s">
        <v>11991</v>
      </c>
      <c r="F287" s="442" t="s">
        <v>11992</v>
      </c>
      <c r="G287" s="303" t="s">
        <v>11993</v>
      </c>
      <c r="H287" s="296" t="s">
        <v>11994</v>
      </c>
      <c r="I287" s="404" t="s">
        <v>36</v>
      </c>
      <c r="J287" s="429"/>
      <c r="K287" s="303" t="s">
        <v>1784</v>
      </c>
      <c r="L287" s="429"/>
      <c r="M287" s="351"/>
      <c r="N287" s="351"/>
      <c r="O287" s="351"/>
      <c r="P287" s="351"/>
      <c r="Q287" s="351"/>
      <c r="R287" s="351"/>
      <c r="S287" s="351"/>
      <c r="T287" s="351"/>
      <c r="U287" s="351"/>
      <c r="V287" s="351"/>
      <c r="W287" s="351"/>
      <c r="X287" s="351"/>
      <c r="Y287" s="351"/>
      <c r="Z287" s="351"/>
      <c r="AA287" s="351"/>
      <c r="AB287" s="351"/>
    </row>
    <row r="288" ht="14.25" customHeight="1">
      <c r="A288" s="275" t="s">
        <v>11995</v>
      </c>
      <c r="B288" s="431" t="s">
        <v>11996</v>
      </c>
      <c r="C288" s="297" t="s">
        <v>10199</v>
      </c>
      <c r="D288" s="297" t="s">
        <v>271</v>
      </c>
      <c r="E288" s="297" t="s">
        <v>5</v>
      </c>
      <c r="F288" s="298" t="s">
        <v>11997</v>
      </c>
      <c r="G288" s="297" t="s">
        <v>11998</v>
      </c>
      <c r="H288" s="298" t="s">
        <v>9293</v>
      </c>
      <c r="I288" s="404" t="s">
        <v>36</v>
      </c>
      <c r="J288" s="429"/>
      <c r="K288" s="303" t="s">
        <v>2034</v>
      </c>
      <c r="L288" s="429"/>
      <c r="M288" s="351"/>
      <c r="N288" s="351"/>
      <c r="O288" s="351"/>
      <c r="P288" s="351"/>
      <c r="Q288" s="351"/>
      <c r="R288" s="351"/>
      <c r="S288" s="351"/>
      <c r="T288" s="351"/>
      <c r="U288" s="351"/>
      <c r="V288" s="351"/>
      <c r="W288" s="351"/>
      <c r="X288" s="351"/>
      <c r="Y288" s="351"/>
      <c r="Z288" s="351"/>
      <c r="AA288" s="351"/>
      <c r="AB288" s="351"/>
    </row>
    <row r="289" ht="14.25" customHeight="1">
      <c r="A289" s="275" t="s">
        <v>11995</v>
      </c>
      <c r="B289" s="108"/>
      <c r="C289" s="297" t="s">
        <v>10203</v>
      </c>
      <c r="D289" s="297" t="s">
        <v>271</v>
      </c>
      <c r="E289" s="297" t="s">
        <v>5</v>
      </c>
      <c r="F289" s="298" t="s">
        <v>11999</v>
      </c>
      <c r="G289" s="297" t="s">
        <v>11998</v>
      </c>
      <c r="H289" s="298" t="s">
        <v>9293</v>
      </c>
      <c r="I289" s="404" t="s">
        <v>36</v>
      </c>
      <c r="J289" s="429"/>
      <c r="K289" s="303" t="s">
        <v>2034</v>
      </c>
      <c r="L289" s="429"/>
      <c r="M289" s="351"/>
      <c r="N289" s="351"/>
      <c r="O289" s="351"/>
      <c r="P289" s="351"/>
      <c r="Q289" s="351"/>
      <c r="R289" s="351"/>
      <c r="S289" s="351"/>
      <c r="T289" s="351"/>
      <c r="U289" s="351"/>
      <c r="V289" s="351"/>
      <c r="W289" s="351"/>
      <c r="X289" s="351"/>
      <c r="Y289" s="351"/>
      <c r="Z289" s="351"/>
      <c r="AA289" s="351"/>
      <c r="AB289" s="351"/>
    </row>
    <row r="290" ht="14.25" customHeight="1">
      <c r="A290" s="275" t="s">
        <v>11995</v>
      </c>
      <c r="B290" s="108"/>
      <c r="C290" s="297" t="s">
        <v>10206</v>
      </c>
      <c r="D290" s="297" t="s">
        <v>271</v>
      </c>
      <c r="E290" s="297" t="s">
        <v>5</v>
      </c>
      <c r="F290" s="298" t="s">
        <v>12000</v>
      </c>
      <c r="G290" s="297" t="s">
        <v>11998</v>
      </c>
      <c r="H290" s="298" t="s">
        <v>9293</v>
      </c>
      <c r="I290" s="404" t="s">
        <v>36</v>
      </c>
      <c r="J290" s="429"/>
      <c r="K290" s="303" t="s">
        <v>2034</v>
      </c>
      <c r="L290" s="429"/>
      <c r="M290" s="351"/>
      <c r="N290" s="351"/>
      <c r="O290" s="351"/>
      <c r="P290" s="351"/>
      <c r="Q290" s="351"/>
      <c r="R290" s="351"/>
      <c r="S290" s="351"/>
      <c r="T290" s="351"/>
      <c r="U290" s="351"/>
      <c r="V290" s="351"/>
      <c r="W290" s="351"/>
      <c r="X290" s="351"/>
      <c r="Y290" s="351"/>
      <c r="Z290" s="351"/>
      <c r="AA290" s="351"/>
      <c r="AB290" s="351"/>
    </row>
    <row r="291" ht="14.25" customHeight="1">
      <c r="A291" s="275" t="s">
        <v>11995</v>
      </c>
      <c r="B291" s="108"/>
      <c r="C291" s="297" t="s">
        <v>10209</v>
      </c>
      <c r="D291" s="297" t="s">
        <v>271</v>
      </c>
      <c r="E291" s="297" t="s">
        <v>5</v>
      </c>
      <c r="F291" s="298" t="s">
        <v>12001</v>
      </c>
      <c r="G291" s="297" t="s">
        <v>11998</v>
      </c>
      <c r="H291" s="298" t="s">
        <v>9293</v>
      </c>
      <c r="I291" s="404" t="s">
        <v>36</v>
      </c>
      <c r="J291" s="429"/>
      <c r="K291" s="303" t="s">
        <v>2034</v>
      </c>
      <c r="L291" s="429"/>
      <c r="M291" s="351"/>
      <c r="N291" s="351"/>
      <c r="O291" s="351"/>
      <c r="P291" s="351"/>
      <c r="Q291" s="351"/>
      <c r="R291" s="351"/>
      <c r="S291" s="351"/>
      <c r="T291" s="351"/>
      <c r="U291" s="351"/>
      <c r="V291" s="351"/>
      <c r="W291" s="351"/>
      <c r="X291" s="351"/>
      <c r="Y291" s="351"/>
      <c r="Z291" s="351"/>
      <c r="AA291" s="351"/>
      <c r="AB291" s="351"/>
    </row>
    <row r="292" ht="14.25" customHeight="1">
      <c r="A292" s="275" t="s">
        <v>11995</v>
      </c>
      <c r="B292" s="108"/>
      <c r="C292" s="297" t="s">
        <v>10212</v>
      </c>
      <c r="D292" s="297" t="s">
        <v>271</v>
      </c>
      <c r="E292" s="297" t="s">
        <v>5</v>
      </c>
      <c r="F292" s="298" t="s">
        <v>12002</v>
      </c>
      <c r="G292" s="297" t="s">
        <v>11998</v>
      </c>
      <c r="H292" s="298" t="s">
        <v>9293</v>
      </c>
      <c r="I292" s="404" t="s">
        <v>36</v>
      </c>
      <c r="J292" s="429"/>
      <c r="K292" s="303" t="s">
        <v>2034</v>
      </c>
      <c r="L292" s="429"/>
      <c r="M292" s="351"/>
      <c r="N292" s="351"/>
      <c r="O292" s="351"/>
      <c r="P292" s="351"/>
      <c r="Q292" s="351"/>
      <c r="R292" s="351"/>
      <c r="S292" s="351"/>
      <c r="T292" s="351"/>
      <c r="U292" s="351"/>
      <c r="V292" s="351"/>
      <c r="W292" s="351"/>
      <c r="X292" s="351"/>
      <c r="Y292" s="351"/>
      <c r="Z292" s="351"/>
      <c r="AA292" s="351"/>
      <c r="AB292" s="351"/>
    </row>
    <row r="293" ht="14.25" customHeight="1">
      <c r="A293" s="275" t="s">
        <v>11995</v>
      </c>
      <c r="B293" s="108"/>
      <c r="C293" s="297" t="s">
        <v>10214</v>
      </c>
      <c r="D293" s="297" t="s">
        <v>271</v>
      </c>
      <c r="E293" s="297" t="s">
        <v>5</v>
      </c>
      <c r="F293" s="298" t="s">
        <v>12003</v>
      </c>
      <c r="G293" s="297" t="s">
        <v>11998</v>
      </c>
      <c r="H293" s="298" t="s">
        <v>9293</v>
      </c>
      <c r="I293" s="404" t="s">
        <v>36</v>
      </c>
      <c r="J293" s="429"/>
      <c r="K293" s="303" t="s">
        <v>2034</v>
      </c>
      <c r="L293" s="429"/>
      <c r="M293" s="351"/>
      <c r="N293" s="351"/>
      <c r="O293" s="351"/>
      <c r="P293" s="351"/>
      <c r="Q293" s="351"/>
      <c r="R293" s="351"/>
      <c r="S293" s="351"/>
      <c r="T293" s="351"/>
      <c r="U293" s="351"/>
      <c r="V293" s="351"/>
      <c r="W293" s="351"/>
      <c r="X293" s="351"/>
      <c r="Y293" s="351"/>
      <c r="Z293" s="351"/>
      <c r="AA293" s="351"/>
      <c r="AB293" s="351"/>
    </row>
    <row r="294" ht="14.25" customHeight="1">
      <c r="A294" s="275" t="s">
        <v>11995</v>
      </c>
      <c r="B294" s="109"/>
      <c r="C294" s="297" t="s">
        <v>10217</v>
      </c>
      <c r="D294" s="297" t="s">
        <v>271</v>
      </c>
      <c r="E294" s="297" t="s">
        <v>5</v>
      </c>
      <c r="F294" s="298" t="s">
        <v>12004</v>
      </c>
      <c r="G294" s="297" t="s">
        <v>11998</v>
      </c>
      <c r="H294" s="298" t="s">
        <v>8928</v>
      </c>
      <c r="I294" s="404" t="s">
        <v>36</v>
      </c>
      <c r="J294" s="429"/>
      <c r="K294" s="303" t="s">
        <v>2034</v>
      </c>
      <c r="L294" s="429"/>
      <c r="M294" s="351"/>
      <c r="N294" s="351"/>
      <c r="O294" s="351"/>
      <c r="P294" s="351"/>
      <c r="Q294" s="351"/>
      <c r="R294" s="351"/>
      <c r="S294" s="351"/>
      <c r="T294" s="351"/>
      <c r="U294" s="351"/>
      <c r="V294" s="351"/>
      <c r="W294" s="351"/>
      <c r="X294" s="351"/>
      <c r="Y294" s="351"/>
      <c r="Z294" s="351"/>
      <c r="AA294" s="351"/>
      <c r="AB294" s="351"/>
    </row>
    <row r="295" ht="14.25" customHeight="1">
      <c r="A295" s="437" t="s">
        <v>12005</v>
      </c>
      <c r="B295" s="402" t="s">
        <v>12006</v>
      </c>
      <c r="C295" s="297" t="s">
        <v>10199</v>
      </c>
      <c r="D295" s="297" t="s">
        <v>271</v>
      </c>
      <c r="E295" s="297" t="s">
        <v>5</v>
      </c>
      <c r="F295" s="298" t="s">
        <v>12007</v>
      </c>
      <c r="G295" s="437" t="s">
        <v>12008</v>
      </c>
      <c r="H295" s="298" t="s">
        <v>12009</v>
      </c>
      <c r="I295" s="404" t="s">
        <v>36</v>
      </c>
      <c r="J295" s="429"/>
      <c r="K295" s="303" t="s">
        <v>2034</v>
      </c>
      <c r="L295" s="429"/>
      <c r="M295" s="351"/>
      <c r="N295" s="351"/>
      <c r="O295" s="351"/>
      <c r="P295" s="351"/>
      <c r="Q295" s="351"/>
      <c r="R295" s="351"/>
      <c r="S295" s="351"/>
      <c r="T295" s="351"/>
      <c r="U295" s="351"/>
      <c r="V295" s="351"/>
      <c r="W295" s="351"/>
      <c r="X295" s="351"/>
      <c r="Y295" s="351"/>
      <c r="Z295" s="351"/>
      <c r="AA295" s="351"/>
      <c r="AB295" s="351"/>
    </row>
    <row r="296" ht="14.25" customHeight="1">
      <c r="A296" s="437" t="s">
        <v>12005</v>
      </c>
      <c r="B296" s="108"/>
      <c r="C296" s="297" t="s">
        <v>10203</v>
      </c>
      <c r="D296" s="297" t="s">
        <v>271</v>
      </c>
      <c r="E296" s="297" t="s">
        <v>5</v>
      </c>
      <c r="F296" s="298" t="s">
        <v>12010</v>
      </c>
      <c r="G296" s="437" t="s">
        <v>12008</v>
      </c>
      <c r="H296" s="298" t="s">
        <v>12011</v>
      </c>
      <c r="I296" s="404" t="s">
        <v>36</v>
      </c>
      <c r="J296" s="429"/>
      <c r="K296" s="303" t="s">
        <v>2034</v>
      </c>
      <c r="L296" s="429"/>
      <c r="M296" s="351"/>
      <c r="N296" s="351"/>
      <c r="O296" s="351"/>
      <c r="P296" s="351"/>
      <c r="Q296" s="351"/>
      <c r="R296" s="351"/>
      <c r="S296" s="351"/>
      <c r="T296" s="351"/>
      <c r="U296" s="351"/>
      <c r="V296" s="351"/>
      <c r="W296" s="351"/>
      <c r="X296" s="351"/>
      <c r="Y296" s="351"/>
      <c r="Z296" s="351"/>
      <c r="AA296" s="351"/>
      <c r="AB296" s="351"/>
    </row>
    <row r="297" ht="14.25" customHeight="1">
      <c r="A297" s="437" t="s">
        <v>12005</v>
      </c>
      <c r="B297" s="108"/>
      <c r="C297" s="297" t="s">
        <v>10206</v>
      </c>
      <c r="D297" s="297" t="s">
        <v>271</v>
      </c>
      <c r="E297" s="297" t="s">
        <v>5</v>
      </c>
      <c r="F297" s="298" t="s">
        <v>12012</v>
      </c>
      <c r="G297" s="437" t="s">
        <v>12008</v>
      </c>
      <c r="H297" s="298" t="s">
        <v>12013</v>
      </c>
      <c r="I297" s="404" t="s">
        <v>36</v>
      </c>
      <c r="J297" s="429"/>
      <c r="K297" s="303" t="s">
        <v>2034</v>
      </c>
      <c r="L297" s="429"/>
      <c r="M297" s="351"/>
      <c r="N297" s="351"/>
      <c r="O297" s="351"/>
      <c r="P297" s="351"/>
      <c r="Q297" s="351"/>
      <c r="R297" s="351"/>
      <c r="S297" s="351"/>
      <c r="T297" s="351"/>
      <c r="U297" s="351"/>
      <c r="V297" s="351"/>
      <c r="W297" s="351"/>
      <c r="X297" s="351"/>
      <c r="Y297" s="351"/>
      <c r="Z297" s="351"/>
      <c r="AA297" s="351"/>
      <c r="AB297" s="351"/>
    </row>
    <row r="298" ht="14.25" customHeight="1">
      <c r="A298" s="437" t="s">
        <v>12005</v>
      </c>
      <c r="B298" s="108"/>
      <c r="C298" s="297" t="s">
        <v>10209</v>
      </c>
      <c r="D298" s="297" t="s">
        <v>271</v>
      </c>
      <c r="E298" s="297" t="s">
        <v>5</v>
      </c>
      <c r="F298" s="298" t="s">
        <v>12014</v>
      </c>
      <c r="G298" s="437" t="s">
        <v>12008</v>
      </c>
      <c r="H298" s="298" t="s">
        <v>9293</v>
      </c>
      <c r="I298" s="404" t="s">
        <v>36</v>
      </c>
      <c r="J298" s="429"/>
      <c r="K298" s="303" t="s">
        <v>2034</v>
      </c>
      <c r="L298" s="429"/>
      <c r="M298" s="351"/>
      <c r="N298" s="351"/>
      <c r="O298" s="351"/>
      <c r="P298" s="351"/>
      <c r="Q298" s="351"/>
      <c r="R298" s="351"/>
      <c r="S298" s="351"/>
      <c r="T298" s="351"/>
      <c r="U298" s="351"/>
      <c r="V298" s="351"/>
      <c r="W298" s="351"/>
      <c r="X298" s="351"/>
      <c r="Y298" s="351"/>
      <c r="Z298" s="351"/>
      <c r="AA298" s="351"/>
      <c r="AB298" s="351"/>
    </row>
    <row r="299" ht="14.25" customHeight="1">
      <c r="A299" s="437" t="s">
        <v>12005</v>
      </c>
      <c r="B299" s="109"/>
      <c r="C299" s="297" t="s">
        <v>10212</v>
      </c>
      <c r="D299" s="297" t="s">
        <v>271</v>
      </c>
      <c r="E299" s="297" t="s">
        <v>5</v>
      </c>
      <c r="F299" s="298" t="s">
        <v>12015</v>
      </c>
      <c r="G299" s="437" t="s">
        <v>12008</v>
      </c>
      <c r="H299" s="298" t="s">
        <v>12016</v>
      </c>
      <c r="I299" s="404" t="s">
        <v>36</v>
      </c>
      <c r="J299" s="429"/>
      <c r="K299" s="303" t="s">
        <v>2034</v>
      </c>
      <c r="L299" s="429"/>
      <c r="M299" s="351"/>
      <c r="N299" s="351"/>
      <c r="O299" s="351"/>
      <c r="P299" s="351"/>
      <c r="Q299" s="351"/>
      <c r="R299" s="351"/>
      <c r="S299" s="351"/>
      <c r="T299" s="351"/>
      <c r="U299" s="351"/>
      <c r="V299" s="351"/>
      <c r="W299" s="351"/>
      <c r="X299" s="351"/>
      <c r="Y299" s="351"/>
      <c r="Z299" s="351"/>
      <c r="AA299" s="351"/>
      <c r="AB299" s="351"/>
    </row>
    <row r="300" ht="14.25" customHeight="1">
      <c r="A300" s="437" t="s">
        <v>12017</v>
      </c>
      <c r="B300" s="443" t="s">
        <v>12018</v>
      </c>
      <c r="C300" s="297" t="s">
        <v>12019</v>
      </c>
      <c r="D300" s="297" t="s">
        <v>271</v>
      </c>
      <c r="E300" s="437" t="s">
        <v>5</v>
      </c>
      <c r="F300" s="298" t="s">
        <v>12020</v>
      </c>
      <c r="G300" s="437" t="s">
        <v>12021</v>
      </c>
      <c r="H300" s="298" t="s">
        <v>12022</v>
      </c>
      <c r="I300" s="404" t="s">
        <v>36</v>
      </c>
      <c r="J300" s="429"/>
      <c r="K300" s="297" t="s">
        <v>1784</v>
      </c>
      <c r="L300" s="429"/>
      <c r="M300" s="351"/>
      <c r="N300" s="351"/>
      <c r="O300" s="351"/>
      <c r="P300" s="351"/>
      <c r="Q300" s="351"/>
      <c r="R300" s="351"/>
      <c r="S300" s="351"/>
      <c r="T300" s="351"/>
      <c r="U300" s="351"/>
      <c r="V300" s="351"/>
      <c r="W300" s="351"/>
      <c r="X300" s="351"/>
      <c r="Y300" s="351"/>
      <c r="Z300" s="351"/>
      <c r="AA300" s="351"/>
      <c r="AB300" s="351"/>
    </row>
    <row r="301" ht="14.25" customHeight="1">
      <c r="A301" s="437" t="s">
        <v>12017</v>
      </c>
      <c r="B301" s="108"/>
      <c r="C301" s="297" t="s">
        <v>12023</v>
      </c>
      <c r="D301" s="297" t="s">
        <v>271</v>
      </c>
      <c r="E301" s="437" t="s">
        <v>12024</v>
      </c>
      <c r="F301" s="298" t="s">
        <v>12025</v>
      </c>
      <c r="G301" s="437" t="s">
        <v>12026</v>
      </c>
      <c r="H301" s="298" t="s">
        <v>12027</v>
      </c>
      <c r="I301" s="404" t="s">
        <v>36</v>
      </c>
      <c r="J301" s="429"/>
      <c r="K301" s="297" t="s">
        <v>1784</v>
      </c>
      <c r="L301" s="429"/>
      <c r="M301" s="351"/>
      <c r="N301" s="351"/>
      <c r="O301" s="351"/>
      <c r="P301" s="351"/>
      <c r="Q301" s="351"/>
      <c r="R301" s="351"/>
      <c r="S301" s="351"/>
      <c r="T301" s="351"/>
      <c r="U301" s="351"/>
      <c r="V301" s="351"/>
      <c r="W301" s="351"/>
      <c r="X301" s="351"/>
      <c r="Y301" s="351"/>
      <c r="Z301" s="351"/>
      <c r="AA301" s="351"/>
      <c r="AB301" s="351"/>
    </row>
    <row r="302" ht="14.25" customHeight="1">
      <c r="A302" s="437" t="s">
        <v>12017</v>
      </c>
      <c r="B302" s="108"/>
      <c r="C302" s="297" t="s">
        <v>12028</v>
      </c>
      <c r="D302" s="297" t="s">
        <v>271</v>
      </c>
      <c r="E302" s="437" t="s">
        <v>12029</v>
      </c>
      <c r="F302" s="298" t="s">
        <v>12030</v>
      </c>
      <c r="G302" s="437" t="s">
        <v>12031</v>
      </c>
      <c r="H302" s="298" t="s">
        <v>12032</v>
      </c>
      <c r="I302" s="404" t="s">
        <v>36</v>
      </c>
      <c r="J302" s="429"/>
      <c r="K302" s="297" t="s">
        <v>1784</v>
      </c>
      <c r="L302" s="429"/>
      <c r="M302" s="351"/>
      <c r="N302" s="351"/>
      <c r="O302" s="351"/>
      <c r="P302" s="351"/>
      <c r="Q302" s="351"/>
      <c r="R302" s="351"/>
      <c r="S302" s="351"/>
      <c r="T302" s="351"/>
      <c r="U302" s="351"/>
      <c r="V302" s="351"/>
      <c r="W302" s="351"/>
      <c r="X302" s="351"/>
      <c r="Y302" s="351"/>
      <c r="Z302" s="351"/>
      <c r="AA302" s="351"/>
      <c r="AB302" s="351"/>
    </row>
    <row r="303" ht="14.25" customHeight="1">
      <c r="A303" s="437" t="s">
        <v>12017</v>
      </c>
      <c r="B303" s="108"/>
      <c r="C303" s="297" t="s">
        <v>12033</v>
      </c>
      <c r="D303" s="297" t="s">
        <v>271</v>
      </c>
      <c r="E303" s="437" t="s">
        <v>12034</v>
      </c>
      <c r="F303" s="298" t="s">
        <v>12035</v>
      </c>
      <c r="G303" s="437" t="s">
        <v>12036</v>
      </c>
      <c r="H303" s="298" t="s">
        <v>12037</v>
      </c>
      <c r="I303" s="404" t="s">
        <v>36</v>
      </c>
      <c r="J303" s="429"/>
      <c r="K303" s="297" t="s">
        <v>1784</v>
      </c>
      <c r="L303" s="429"/>
      <c r="M303" s="351"/>
      <c r="N303" s="351"/>
      <c r="O303" s="351"/>
      <c r="P303" s="351"/>
      <c r="Q303" s="351"/>
      <c r="R303" s="351"/>
      <c r="S303" s="351"/>
      <c r="T303" s="351"/>
      <c r="U303" s="351"/>
      <c r="V303" s="351"/>
      <c r="W303" s="351"/>
      <c r="X303" s="351"/>
      <c r="Y303" s="351"/>
      <c r="Z303" s="351"/>
      <c r="AA303" s="351"/>
      <c r="AB303" s="351"/>
    </row>
    <row r="304" ht="66.75" customHeight="1">
      <c r="A304" s="437" t="s">
        <v>12017</v>
      </c>
      <c r="B304" s="108"/>
      <c r="C304" s="297" t="s">
        <v>12038</v>
      </c>
      <c r="D304" s="297" t="s">
        <v>271</v>
      </c>
      <c r="E304" s="437" t="s">
        <v>12039</v>
      </c>
      <c r="F304" s="298" t="s">
        <v>12040</v>
      </c>
      <c r="G304" s="437" t="s">
        <v>12041</v>
      </c>
      <c r="H304" s="298" t="s">
        <v>12042</v>
      </c>
      <c r="I304" s="404" t="s">
        <v>36</v>
      </c>
      <c r="J304" s="429"/>
      <c r="K304" s="297" t="s">
        <v>1784</v>
      </c>
      <c r="L304" s="429"/>
      <c r="M304" s="351"/>
      <c r="N304" s="351"/>
      <c r="O304" s="351"/>
      <c r="P304" s="351"/>
      <c r="Q304" s="351"/>
      <c r="R304" s="351"/>
      <c r="S304" s="351"/>
      <c r="T304" s="351"/>
      <c r="U304" s="351"/>
      <c r="V304" s="351"/>
      <c r="W304" s="351"/>
      <c r="X304" s="351"/>
      <c r="Y304" s="351"/>
      <c r="Z304" s="351"/>
      <c r="AA304" s="351"/>
      <c r="AB304" s="351"/>
    </row>
    <row r="305" ht="14.25" customHeight="1">
      <c r="A305" s="437" t="s">
        <v>12017</v>
      </c>
      <c r="B305" s="109"/>
      <c r="C305" s="297" t="s">
        <v>12043</v>
      </c>
      <c r="D305" s="297" t="s">
        <v>271</v>
      </c>
      <c r="E305" s="437" t="s">
        <v>4</v>
      </c>
      <c r="F305" s="298" t="s">
        <v>12044</v>
      </c>
      <c r="G305" s="437" t="s">
        <v>12045</v>
      </c>
      <c r="H305" s="298" t="s">
        <v>12046</v>
      </c>
      <c r="I305" s="404" t="s">
        <v>36</v>
      </c>
      <c r="J305" s="429"/>
      <c r="K305" s="297" t="s">
        <v>1784</v>
      </c>
      <c r="L305" s="429"/>
      <c r="M305" s="351"/>
      <c r="N305" s="351"/>
      <c r="O305" s="351"/>
      <c r="P305" s="351"/>
      <c r="Q305" s="351"/>
      <c r="R305" s="351"/>
      <c r="S305" s="351"/>
      <c r="T305" s="351"/>
      <c r="U305" s="351"/>
      <c r="V305" s="351"/>
      <c r="W305" s="351"/>
      <c r="X305" s="351"/>
      <c r="Y305" s="351"/>
      <c r="Z305" s="351"/>
      <c r="AA305" s="351"/>
      <c r="AB305" s="351"/>
    </row>
    <row r="306" ht="83.25" customHeight="1">
      <c r="A306" s="437" t="s">
        <v>12047</v>
      </c>
      <c r="B306" s="402" t="s">
        <v>12048</v>
      </c>
      <c r="C306" s="297" t="s">
        <v>10199</v>
      </c>
      <c r="D306" s="297" t="s">
        <v>271</v>
      </c>
      <c r="E306" s="297" t="s">
        <v>11152</v>
      </c>
      <c r="F306" s="298" t="s">
        <v>12049</v>
      </c>
      <c r="G306" s="437" t="s">
        <v>12050</v>
      </c>
      <c r="H306" s="298" t="s">
        <v>12051</v>
      </c>
      <c r="I306" s="404" t="s">
        <v>36</v>
      </c>
      <c r="J306" s="429"/>
      <c r="K306" s="297" t="s">
        <v>1784</v>
      </c>
      <c r="L306" s="429"/>
      <c r="M306" s="351"/>
      <c r="N306" s="351"/>
      <c r="O306" s="351"/>
      <c r="P306" s="351"/>
      <c r="Q306" s="351"/>
      <c r="R306" s="351"/>
      <c r="S306" s="351"/>
      <c r="T306" s="351"/>
      <c r="U306" s="351"/>
      <c r="V306" s="351"/>
      <c r="W306" s="351"/>
      <c r="X306" s="351"/>
      <c r="Y306" s="351"/>
      <c r="Z306" s="351"/>
      <c r="AA306" s="351"/>
      <c r="AB306" s="351"/>
    </row>
    <row r="307" ht="14.25" customHeight="1">
      <c r="A307" s="437" t="s">
        <v>12047</v>
      </c>
      <c r="B307" s="108"/>
      <c r="C307" s="297" t="s">
        <v>10203</v>
      </c>
      <c r="D307" s="297" t="s">
        <v>271</v>
      </c>
      <c r="E307" s="297" t="s">
        <v>11152</v>
      </c>
      <c r="F307" s="298" t="s">
        <v>12052</v>
      </c>
      <c r="G307" s="437" t="s">
        <v>12053</v>
      </c>
      <c r="H307" s="296" t="s">
        <v>12054</v>
      </c>
      <c r="I307" s="404" t="s">
        <v>36</v>
      </c>
      <c r="J307" s="429"/>
      <c r="K307" s="297" t="s">
        <v>1784</v>
      </c>
      <c r="L307" s="429"/>
      <c r="M307" s="351"/>
      <c r="N307" s="351"/>
      <c r="O307" s="351"/>
      <c r="P307" s="351"/>
      <c r="Q307" s="351"/>
      <c r="R307" s="351"/>
      <c r="S307" s="351"/>
      <c r="T307" s="351"/>
      <c r="U307" s="351"/>
      <c r="V307" s="351"/>
      <c r="W307" s="351"/>
      <c r="X307" s="351"/>
      <c r="Y307" s="351"/>
      <c r="Z307" s="351"/>
      <c r="AA307" s="351"/>
      <c r="AB307" s="351"/>
    </row>
    <row r="308" ht="36.0" customHeight="1">
      <c r="A308" s="437" t="s">
        <v>12047</v>
      </c>
      <c r="B308" s="108"/>
      <c r="C308" s="297" t="s">
        <v>10206</v>
      </c>
      <c r="D308" s="297" t="s">
        <v>271</v>
      </c>
      <c r="E308" s="297" t="s">
        <v>11152</v>
      </c>
      <c r="F308" s="298" t="s">
        <v>12055</v>
      </c>
      <c r="G308" s="437" t="s">
        <v>12056</v>
      </c>
      <c r="H308" s="296" t="s">
        <v>12057</v>
      </c>
      <c r="I308" s="404" t="s">
        <v>36</v>
      </c>
      <c r="J308" s="429"/>
      <c r="K308" s="297" t="s">
        <v>1784</v>
      </c>
      <c r="L308" s="429"/>
      <c r="M308" s="351"/>
      <c r="N308" s="351"/>
      <c r="O308" s="351"/>
      <c r="P308" s="351"/>
      <c r="Q308" s="351"/>
      <c r="R308" s="351"/>
      <c r="S308" s="351"/>
      <c r="T308" s="351"/>
      <c r="U308" s="351"/>
      <c r="V308" s="351"/>
      <c r="W308" s="351"/>
      <c r="X308" s="351"/>
      <c r="Y308" s="351"/>
      <c r="Z308" s="351"/>
      <c r="AA308" s="351"/>
      <c r="AB308" s="351"/>
    </row>
    <row r="309" ht="90.0" customHeight="1">
      <c r="A309" s="437" t="s">
        <v>12047</v>
      </c>
      <c r="B309" s="108"/>
      <c r="C309" s="297" t="s">
        <v>10209</v>
      </c>
      <c r="D309" s="297" t="s">
        <v>271</v>
      </c>
      <c r="E309" s="297" t="s">
        <v>11152</v>
      </c>
      <c r="F309" s="298" t="s">
        <v>12058</v>
      </c>
      <c r="G309" s="437" t="s">
        <v>12059</v>
      </c>
      <c r="H309" s="296" t="s">
        <v>12060</v>
      </c>
      <c r="I309" s="404" t="s">
        <v>36</v>
      </c>
      <c r="J309" s="429"/>
      <c r="K309" s="297" t="s">
        <v>1784</v>
      </c>
      <c r="L309" s="429"/>
      <c r="M309" s="351"/>
      <c r="N309" s="351"/>
      <c r="O309" s="351"/>
      <c r="P309" s="351"/>
      <c r="Q309" s="351"/>
      <c r="R309" s="351"/>
      <c r="S309" s="351"/>
      <c r="T309" s="351"/>
      <c r="U309" s="351"/>
      <c r="V309" s="351"/>
      <c r="W309" s="351"/>
      <c r="X309" s="351"/>
      <c r="Y309" s="351"/>
      <c r="Z309" s="351"/>
      <c r="AA309" s="351"/>
      <c r="AB309" s="351"/>
    </row>
    <row r="310" ht="71.25" customHeight="1">
      <c r="A310" s="437" t="s">
        <v>12047</v>
      </c>
      <c r="B310" s="109"/>
      <c r="C310" s="297" t="s">
        <v>10212</v>
      </c>
      <c r="D310" s="297" t="s">
        <v>271</v>
      </c>
      <c r="E310" s="297" t="s">
        <v>11152</v>
      </c>
      <c r="F310" s="298" t="s">
        <v>12061</v>
      </c>
      <c r="G310" s="275" t="s">
        <v>12062</v>
      </c>
      <c r="H310" s="296" t="s">
        <v>12063</v>
      </c>
      <c r="I310" s="404" t="s">
        <v>36</v>
      </c>
      <c r="J310" s="429"/>
      <c r="K310" s="297" t="s">
        <v>1784</v>
      </c>
      <c r="L310" s="429"/>
      <c r="M310" s="351"/>
      <c r="N310" s="351"/>
      <c r="O310" s="351"/>
      <c r="P310" s="351"/>
      <c r="Q310" s="351"/>
      <c r="R310" s="351"/>
      <c r="S310" s="351"/>
      <c r="T310" s="351"/>
      <c r="U310" s="351"/>
      <c r="V310" s="351"/>
      <c r="W310" s="351"/>
      <c r="X310" s="351"/>
      <c r="Y310" s="351"/>
      <c r="Z310" s="351"/>
      <c r="AA310" s="351"/>
      <c r="AB310" s="351"/>
    </row>
    <row r="311" ht="53.25" customHeight="1">
      <c r="A311" s="439" t="s">
        <v>12064</v>
      </c>
      <c r="B311" s="402" t="s">
        <v>12065</v>
      </c>
      <c r="C311" s="303" t="s">
        <v>12066</v>
      </c>
      <c r="D311" s="297" t="s">
        <v>271</v>
      </c>
      <c r="E311" s="297" t="s">
        <v>5</v>
      </c>
      <c r="F311" s="296" t="s">
        <v>12067</v>
      </c>
      <c r="G311" s="429"/>
      <c r="H311" s="296" t="s">
        <v>12068</v>
      </c>
      <c r="I311" s="404" t="s">
        <v>36</v>
      </c>
      <c r="J311" s="429"/>
      <c r="K311" s="303" t="s">
        <v>1784</v>
      </c>
      <c r="L311" s="429"/>
      <c r="M311" s="351"/>
      <c r="N311" s="351"/>
      <c r="O311" s="351"/>
      <c r="P311" s="351"/>
      <c r="Q311" s="351"/>
      <c r="R311" s="351"/>
      <c r="S311" s="351"/>
      <c r="T311" s="351"/>
      <c r="U311" s="351"/>
      <c r="V311" s="351"/>
      <c r="W311" s="351"/>
      <c r="X311" s="351"/>
      <c r="Y311" s="351"/>
      <c r="Z311" s="351"/>
      <c r="AA311" s="351"/>
      <c r="AB311" s="351"/>
    </row>
    <row r="312" ht="14.25" customHeight="1">
      <c r="A312" s="439" t="s">
        <v>12064</v>
      </c>
      <c r="B312" s="108"/>
      <c r="C312" s="303" t="s">
        <v>12069</v>
      </c>
      <c r="D312" s="297" t="s">
        <v>271</v>
      </c>
      <c r="E312" s="297" t="s">
        <v>5</v>
      </c>
      <c r="F312" s="296" t="s">
        <v>12070</v>
      </c>
      <c r="G312" s="429"/>
      <c r="H312" s="296" t="s">
        <v>12068</v>
      </c>
      <c r="I312" s="404" t="s">
        <v>36</v>
      </c>
      <c r="J312" s="429"/>
      <c r="K312" s="303" t="s">
        <v>1784</v>
      </c>
      <c r="L312" s="429"/>
      <c r="M312" s="351"/>
      <c r="N312" s="351"/>
      <c r="O312" s="351"/>
      <c r="P312" s="351"/>
      <c r="Q312" s="351"/>
      <c r="R312" s="351"/>
      <c r="S312" s="351"/>
      <c r="T312" s="351"/>
      <c r="U312" s="351"/>
      <c r="V312" s="351"/>
      <c r="W312" s="351"/>
      <c r="X312" s="351"/>
      <c r="Y312" s="351"/>
      <c r="Z312" s="351"/>
      <c r="AA312" s="351"/>
      <c r="AB312" s="351"/>
    </row>
    <row r="313" ht="14.25" customHeight="1">
      <c r="A313" s="439" t="s">
        <v>12064</v>
      </c>
      <c r="B313" s="108"/>
      <c r="C313" s="303" t="s">
        <v>12071</v>
      </c>
      <c r="D313" s="297" t="s">
        <v>271</v>
      </c>
      <c r="E313" s="297" t="s">
        <v>5</v>
      </c>
      <c r="F313" s="296" t="s">
        <v>12072</v>
      </c>
      <c r="G313" s="429"/>
      <c r="H313" s="296" t="s">
        <v>12068</v>
      </c>
      <c r="I313" s="404" t="s">
        <v>36</v>
      </c>
      <c r="J313" s="429"/>
      <c r="K313" s="303" t="s">
        <v>1784</v>
      </c>
      <c r="L313" s="429"/>
      <c r="M313" s="351"/>
      <c r="N313" s="351"/>
      <c r="O313" s="351"/>
      <c r="P313" s="351"/>
      <c r="Q313" s="351"/>
      <c r="R313" s="351"/>
      <c r="S313" s="351"/>
      <c r="T313" s="351"/>
      <c r="U313" s="351"/>
      <c r="V313" s="351"/>
      <c r="W313" s="351"/>
      <c r="X313" s="351"/>
      <c r="Y313" s="351"/>
      <c r="Z313" s="351"/>
      <c r="AA313" s="351"/>
      <c r="AB313" s="351"/>
    </row>
    <row r="314" ht="14.25" customHeight="1">
      <c r="A314" s="439" t="s">
        <v>12064</v>
      </c>
      <c r="B314" s="108"/>
      <c r="C314" s="303" t="s">
        <v>12073</v>
      </c>
      <c r="D314" s="297" t="s">
        <v>271</v>
      </c>
      <c r="E314" s="297" t="s">
        <v>5</v>
      </c>
      <c r="F314" s="296" t="s">
        <v>12074</v>
      </c>
      <c r="G314" s="429"/>
      <c r="H314" s="296" t="s">
        <v>12068</v>
      </c>
      <c r="I314" s="404" t="s">
        <v>36</v>
      </c>
      <c r="J314" s="429"/>
      <c r="K314" s="303" t="s">
        <v>1784</v>
      </c>
      <c r="L314" s="429"/>
      <c r="M314" s="351"/>
      <c r="N314" s="351"/>
      <c r="O314" s="351"/>
      <c r="P314" s="351"/>
      <c r="Q314" s="351"/>
      <c r="R314" s="351"/>
      <c r="S314" s="351"/>
      <c r="T314" s="351"/>
      <c r="U314" s="351"/>
      <c r="V314" s="351"/>
      <c r="W314" s="351"/>
      <c r="X314" s="351"/>
      <c r="Y314" s="351"/>
      <c r="Z314" s="351"/>
      <c r="AA314" s="351"/>
      <c r="AB314" s="351"/>
    </row>
    <row r="315" ht="14.25" customHeight="1">
      <c r="A315" s="439" t="s">
        <v>12064</v>
      </c>
      <c r="B315" s="109"/>
      <c r="C315" s="303" t="s">
        <v>12075</v>
      </c>
      <c r="D315" s="297" t="s">
        <v>271</v>
      </c>
      <c r="E315" s="297" t="s">
        <v>5</v>
      </c>
      <c r="F315" s="296" t="s">
        <v>12076</v>
      </c>
      <c r="G315" s="429"/>
      <c r="H315" s="296" t="s">
        <v>12077</v>
      </c>
      <c r="I315" s="404" t="s">
        <v>36</v>
      </c>
      <c r="J315" s="429"/>
      <c r="K315" s="303" t="s">
        <v>1784</v>
      </c>
      <c r="L315" s="429"/>
      <c r="M315" s="351"/>
      <c r="N315" s="351"/>
      <c r="O315" s="351"/>
      <c r="P315" s="351"/>
      <c r="Q315" s="351"/>
      <c r="R315" s="351"/>
      <c r="S315" s="351"/>
      <c r="T315" s="351"/>
      <c r="U315" s="351"/>
      <c r="V315" s="351"/>
      <c r="W315" s="351"/>
      <c r="X315" s="351"/>
      <c r="Y315" s="351"/>
      <c r="Z315" s="351"/>
      <c r="AA315" s="351"/>
      <c r="AB315" s="351"/>
    </row>
    <row r="316" ht="14.25" customHeight="1">
      <c r="A316" s="439" t="s">
        <v>12078</v>
      </c>
      <c r="B316" s="402" t="s">
        <v>12079</v>
      </c>
      <c r="C316" s="296" t="s">
        <v>12080</v>
      </c>
      <c r="D316" s="297" t="s">
        <v>271</v>
      </c>
      <c r="E316" s="437" t="s">
        <v>12081</v>
      </c>
      <c r="F316" s="296" t="s">
        <v>12082</v>
      </c>
      <c r="G316" s="405"/>
      <c r="H316" s="296" t="s">
        <v>12083</v>
      </c>
      <c r="I316" s="404" t="s">
        <v>36</v>
      </c>
      <c r="J316" s="351"/>
      <c r="K316" s="351"/>
      <c r="L316" s="351"/>
      <c r="M316" s="351"/>
      <c r="N316" s="351"/>
      <c r="O316" s="351"/>
      <c r="P316" s="351"/>
      <c r="Q316" s="351"/>
      <c r="R316" s="351"/>
      <c r="S316" s="351"/>
      <c r="T316" s="351"/>
      <c r="U316" s="351"/>
      <c r="V316" s="351"/>
      <c r="W316" s="351"/>
      <c r="X316" s="351"/>
      <c r="Y316" s="351"/>
      <c r="Z316" s="351"/>
      <c r="AA316" s="351"/>
      <c r="AB316" s="351"/>
    </row>
    <row r="317" ht="14.25" customHeight="1">
      <c r="A317" s="439" t="s">
        <v>12078</v>
      </c>
      <c r="B317" s="108"/>
      <c r="C317" s="296" t="s">
        <v>12084</v>
      </c>
      <c r="D317" s="297" t="s">
        <v>271</v>
      </c>
      <c r="E317" s="437" t="s">
        <v>12081</v>
      </c>
      <c r="F317" s="296" t="s">
        <v>12085</v>
      </c>
      <c r="G317" s="405"/>
      <c r="H317" s="296" t="s">
        <v>12086</v>
      </c>
      <c r="I317" s="404" t="s">
        <v>36</v>
      </c>
      <c r="J317" s="351"/>
      <c r="K317" s="351"/>
      <c r="L317" s="351"/>
      <c r="M317" s="351"/>
      <c r="N317" s="351"/>
      <c r="O317" s="351"/>
      <c r="P317" s="351"/>
      <c r="Q317" s="351"/>
      <c r="R317" s="351"/>
      <c r="S317" s="351"/>
      <c r="T317" s="351"/>
      <c r="U317" s="351"/>
      <c r="V317" s="351"/>
      <c r="W317" s="351"/>
      <c r="X317" s="351"/>
      <c r="Y317" s="351"/>
      <c r="Z317" s="351"/>
      <c r="AA317" s="351"/>
      <c r="AB317" s="351"/>
    </row>
    <row r="318" ht="14.25" customHeight="1">
      <c r="A318" s="439" t="s">
        <v>12078</v>
      </c>
      <c r="B318" s="108"/>
      <c r="C318" s="296" t="s">
        <v>12087</v>
      </c>
      <c r="D318" s="297" t="s">
        <v>271</v>
      </c>
      <c r="E318" s="437" t="s">
        <v>12081</v>
      </c>
      <c r="F318" s="296" t="s">
        <v>12088</v>
      </c>
      <c r="G318" s="405"/>
      <c r="H318" s="296" t="s">
        <v>12089</v>
      </c>
      <c r="I318" s="404" t="s">
        <v>36</v>
      </c>
      <c r="J318" s="351"/>
      <c r="K318" s="351"/>
      <c r="L318" s="351"/>
      <c r="M318" s="351"/>
      <c r="N318" s="351"/>
      <c r="O318" s="351"/>
      <c r="P318" s="351"/>
      <c r="Q318" s="351"/>
      <c r="R318" s="351"/>
      <c r="S318" s="351"/>
      <c r="T318" s="351"/>
      <c r="U318" s="351"/>
      <c r="V318" s="351"/>
      <c r="W318" s="351"/>
      <c r="X318" s="351"/>
      <c r="Y318" s="351"/>
      <c r="Z318" s="351"/>
      <c r="AA318" s="351"/>
      <c r="AB318" s="351"/>
    </row>
    <row r="319" ht="14.25" customHeight="1">
      <c r="A319" s="439" t="s">
        <v>12078</v>
      </c>
      <c r="B319" s="108"/>
      <c r="C319" s="296" t="s">
        <v>12090</v>
      </c>
      <c r="D319" s="297" t="s">
        <v>271</v>
      </c>
      <c r="E319" s="437" t="s">
        <v>12081</v>
      </c>
      <c r="F319" s="296" t="s">
        <v>12091</v>
      </c>
      <c r="G319" s="405"/>
      <c r="H319" s="296" t="s">
        <v>12092</v>
      </c>
      <c r="I319" s="404" t="s">
        <v>36</v>
      </c>
      <c r="J319" s="351"/>
      <c r="K319" s="351"/>
      <c r="L319" s="351"/>
      <c r="M319" s="351"/>
      <c r="N319" s="351"/>
      <c r="O319" s="351"/>
      <c r="P319" s="351"/>
      <c r="Q319" s="351"/>
      <c r="R319" s="351"/>
      <c r="S319" s="351"/>
      <c r="T319" s="351"/>
      <c r="U319" s="351"/>
      <c r="V319" s="351"/>
      <c r="W319" s="351"/>
      <c r="X319" s="351"/>
      <c r="Y319" s="351"/>
      <c r="Z319" s="351"/>
      <c r="AA319" s="351"/>
      <c r="AB319" s="351"/>
    </row>
    <row r="320" ht="14.25" customHeight="1">
      <c r="A320" s="439" t="s">
        <v>12078</v>
      </c>
      <c r="B320" s="108"/>
      <c r="C320" s="296" t="s">
        <v>12093</v>
      </c>
      <c r="D320" s="297" t="s">
        <v>271</v>
      </c>
      <c r="E320" s="437" t="s">
        <v>12081</v>
      </c>
      <c r="F320" s="296" t="s">
        <v>12094</v>
      </c>
      <c r="G320" s="405"/>
      <c r="H320" s="296" t="s">
        <v>12095</v>
      </c>
      <c r="I320" s="404" t="s">
        <v>36</v>
      </c>
      <c r="J320" s="351"/>
      <c r="K320" s="351"/>
      <c r="L320" s="351"/>
      <c r="M320" s="351"/>
      <c r="N320" s="351"/>
      <c r="O320" s="351"/>
      <c r="P320" s="351"/>
      <c r="Q320" s="351"/>
      <c r="R320" s="351"/>
      <c r="S320" s="351"/>
      <c r="T320" s="351"/>
      <c r="U320" s="351"/>
      <c r="V320" s="351"/>
      <c r="W320" s="351"/>
      <c r="X320" s="351"/>
      <c r="Y320" s="351"/>
      <c r="Z320" s="351"/>
      <c r="AA320" s="351"/>
      <c r="AB320" s="351"/>
    </row>
    <row r="321" ht="14.25" customHeight="1">
      <c r="A321" s="439" t="s">
        <v>12078</v>
      </c>
      <c r="B321" s="108"/>
      <c r="C321" s="296" t="s">
        <v>12096</v>
      </c>
      <c r="D321" s="297" t="s">
        <v>271</v>
      </c>
      <c r="E321" s="437" t="s">
        <v>12081</v>
      </c>
      <c r="F321" s="296" t="s">
        <v>12097</v>
      </c>
      <c r="G321" s="405"/>
      <c r="H321" s="296" t="s">
        <v>12098</v>
      </c>
      <c r="I321" s="404" t="s">
        <v>36</v>
      </c>
      <c r="J321" s="351"/>
      <c r="K321" s="351"/>
      <c r="L321" s="351"/>
      <c r="M321" s="351"/>
      <c r="N321" s="351"/>
      <c r="O321" s="351"/>
      <c r="P321" s="351"/>
      <c r="Q321" s="351"/>
      <c r="R321" s="351"/>
      <c r="S321" s="351"/>
      <c r="T321" s="351"/>
      <c r="U321" s="351"/>
      <c r="V321" s="351"/>
      <c r="W321" s="351"/>
      <c r="X321" s="351"/>
      <c r="Y321" s="351"/>
      <c r="Z321" s="351"/>
      <c r="AA321" s="351"/>
      <c r="AB321" s="351"/>
    </row>
    <row r="322" ht="14.25" customHeight="1">
      <c r="A322" s="439" t="s">
        <v>12078</v>
      </c>
      <c r="B322" s="108"/>
      <c r="C322" s="296" t="s">
        <v>12099</v>
      </c>
      <c r="D322" s="297" t="s">
        <v>271</v>
      </c>
      <c r="E322" s="437" t="s">
        <v>12081</v>
      </c>
      <c r="F322" s="296" t="s">
        <v>12100</v>
      </c>
      <c r="G322" s="438"/>
      <c r="H322" s="296" t="s">
        <v>12101</v>
      </c>
      <c r="I322" s="404" t="s">
        <v>36</v>
      </c>
      <c r="J322" s="351"/>
      <c r="K322" s="351"/>
      <c r="L322" s="351"/>
      <c r="M322" s="351"/>
      <c r="N322" s="351"/>
      <c r="O322" s="351"/>
      <c r="P322" s="351"/>
      <c r="Q322" s="351"/>
      <c r="R322" s="351"/>
      <c r="S322" s="351"/>
      <c r="T322" s="351"/>
      <c r="U322" s="351"/>
      <c r="V322" s="351"/>
      <c r="W322" s="351"/>
      <c r="X322" s="351"/>
      <c r="Y322" s="351"/>
      <c r="Z322" s="351"/>
      <c r="AA322" s="351"/>
      <c r="AB322" s="351"/>
    </row>
    <row r="323" ht="14.25" customHeight="1">
      <c r="A323" s="439" t="s">
        <v>12078</v>
      </c>
      <c r="B323" s="109"/>
      <c r="C323" s="296" t="s">
        <v>12102</v>
      </c>
      <c r="D323" s="297" t="s">
        <v>271</v>
      </c>
      <c r="E323" s="437" t="s">
        <v>12081</v>
      </c>
      <c r="F323" s="296" t="s">
        <v>12103</v>
      </c>
      <c r="G323" s="405"/>
      <c r="H323" s="296" t="s">
        <v>12104</v>
      </c>
      <c r="I323" s="404" t="s">
        <v>36</v>
      </c>
      <c r="J323" s="351"/>
      <c r="K323" s="429"/>
      <c r="L323" s="351"/>
      <c r="M323" s="351"/>
      <c r="N323" s="351"/>
      <c r="O323" s="351"/>
      <c r="P323" s="351"/>
      <c r="Q323" s="351"/>
      <c r="R323" s="351"/>
      <c r="S323" s="351"/>
      <c r="T323" s="351"/>
      <c r="U323" s="351"/>
      <c r="V323" s="351"/>
      <c r="W323" s="351"/>
      <c r="X323" s="351"/>
      <c r="Y323" s="351"/>
      <c r="Z323" s="351"/>
      <c r="AA323" s="351"/>
      <c r="AB323" s="351"/>
    </row>
    <row r="324" ht="14.25" customHeight="1">
      <c r="A324" s="433" t="s">
        <v>12105</v>
      </c>
      <c r="B324" s="402" t="s">
        <v>12106</v>
      </c>
      <c r="C324" s="303" t="s">
        <v>12107</v>
      </c>
      <c r="D324" s="297" t="s">
        <v>271</v>
      </c>
      <c r="E324" s="297" t="s">
        <v>12108</v>
      </c>
      <c r="F324" s="296" t="s">
        <v>12109</v>
      </c>
      <c r="G324" s="304"/>
      <c r="H324" s="296" t="s">
        <v>12110</v>
      </c>
      <c r="I324" s="404" t="s">
        <v>36</v>
      </c>
      <c r="J324" s="351"/>
      <c r="K324" s="429"/>
      <c r="L324" s="351"/>
      <c r="M324" s="351"/>
      <c r="N324" s="351"/>
      <c r="O324" s="351"/>
      <c r="P324" s="351"/>
      <c r="Q324" s="351"/>
      <c r="R324" s="351"/>
      <c r="S324" s="351"/>
      <c r="T324" s="351"/>
      <c r="U324" s="351"/>
      <c r="V324" s="351"/>
      <c r="W324" s="351"/>
      <c r="X324" s="351"/>
      <c r="Y324" s="351"/>
      <c r="Z324" s="351"/>
      <c r="AA324" s="351"/>
      <c r="AB324" s="351"/>
    </row>
    <row r="325" ht="14.25" customHeight="1">
      <c r="A325" s="433" t="s">
        <v>12105</v>
      </c>
      <c r="B325" s="109"/>
      <c r="C325" s="303" t="s">
        <v>12111</v>
      </c>
      <c r="D325" s="297" t="s">
        <v>271</v>
      </c>
      <c r="E325" s="297" t="s">
        <v>12108</v>
      </c>
      <c r="F325" s="296" t="s">
        <v>12112</v>
      </c>
      <c r="G325" s="304"/>
      <c r="H325" s="296" t="s">
        <v>12113</v>
      </c>
      <c r="I325" s="404" t="s">
        <v>36</v>
      </c>
      <c r="J325" s="351"/>
      <c r="K325" s="429"/>
      <c r="L325" s="351"/>
      <c r="M325" s="351"/>
      <c r="N325" s="351"/>
      <c r="O325" s="351"/>
      <c r="P325" s="351"/>
      <c r="Q325" s="351"/>
      <c r="R325" s="351"/>
      <c r="S325" s="351"/>
      <c r="T325" s="351"/>
      <c r="U325" s="351"/>
      <c r="V325" s="351"/>
      <c r="W325" s="351"/>
      <c r="X325" s="351"/>
      <c r="Y325" s="351"/>
      <c r="Z325" s="351"/>
      <c r="AA325" s="351"/>
      <c r="AB325" s="351"/>
    </row>
    <row r="326" ht="14.25" customHeight="1">
      <c r="A326" s="433" t="s">
        <v>12114</v>
      </c>
      <c r="B326" s="402" t="s">
        <v>12115</v>
      </c>
      <c r="C326" s="303" t="s">
        <v>12116</v>
      </c>
      <c r="D326" s="297" t="s">
        <v>271</v>
      </c>
      <c r="E326" s="297" t="s">
        <v>12117</v>
      </c>
      <c r="F326" s="296" t="s">
        <v>12118</v>
      </c>
      <c r="G326" s="405"/>
      <c r="H326" s="296" t="s">
        <v>12119</v>
      </c>
      <c r="I326" s="404" t="s">
        <v>36</v>
      </c>
      <c r="J326" s="351"/>
      <c r="K326" s="429"/>
      <c r="L326" s="351"/>
      <c r="M326" s="351"/>
      <c r="N326" s="351"/>
      <c r="O326" s="351"/>
      <c r="P326" s="351"/>
      <c r="Q326" s="351"/>
      <c r="R326" s="351"/>
      <c r="S326" s="351"/>
      <c r="T326" s="351"/>
      <c r="U326" s="351"/>
      <c r="V326" s="351"/>
      <c r="W326" s="351"/>
      <c r="X326" s="351"/>
      <c r="Y326" s="351"/>
      <c r="Z326" s="351"/>
      <c r="AA326" s="351"/>
      <c r="AB326" s="351"/>
    </row>
    <row r="327" ht="14.25" customHeight="1">
      <c r="A327" s="433" t="s">
        <v>12114</v>
      </c>
      <c r="B327" s="108"/>
      <c r="C327" s="303" t="s">
        <v>12120</v>
      </c>
      <c r="D327" s="297" t="s">
        <v>271</v>
      </c>
      <c r="E327" s="297" t="s">
        <v>12117</v>
      </c>
      <c r="F327" s="296" t="s">
        <v>12121</v>
      </c>
      <c r="G327" s="405"/>
      <c r="H327" s="296" t="s">
        <v>12122</v>
      </c>
      <c r="I327" s="404" t="s">
        <v>317</v>
      </c>
      <c r="J327" s="351"/>
      <c r="K327" s="303" t="s">
        <v>12123</v>
      </c>
      <c r="L327" s="351"/>
      <c r="M327" s="351"/>
      <c r="N327" s="351"/>
      <c r="O327" s="351"/>
      <c r="P327" s="351"/>
      <c r="Q327" s="351"/>
      <c r="R327" s="351"/>
      <c r="S327" s="351"/>
      <c r="T327" s="351"/>
      <c r="U327" s="351"/>
      <c r="V327" s="351"/>
      <c r="W327" s="351"/>
      <c r="X327" s="351"/>
      <c r="Y327" s="351"/>
      <c r="Z327" s="351"/>
      <c r="AA327" s="351"/>
      <c r="AB327" s="351"/>
    </row>
    <row r="328" ht="14.25" customHeight="1">
      <c r="A328" s="433" t="s">
        <v>12114</v>
      </c>
      <c r="B328" s="109"/>
      <c r="C328" s="303" t="s">
        <v>12124</v>
      </c>
      <c r="D328" s="297" t="s">
        <v>271</v>
      </c>
      <c r="E328" s="297" t="s">
        <v>12117</v>
      </c>
      <c r="F328" s="296" t="s">
        <v>12125</v>
      </c>
      <c r="G328" s="405"/>
      <c r="H328" s="296" t="s">
        <v>12126</v>
      </c>
      <c r="I328" s="404" t="s">
        <v>317</v>
      </c>
      <c r="J328" s="351"/>
      <c r="K328" s="303" t="s">
        <v>12127</v>
      </c>
      <c r="L328" s="351"/>
      <c r="M328" s="351"/>
      <c r="N328" s="351"/>
      <c r="O328" s="351"/>
      <c r="P328" s="351"/>
      <c r="Q328" s="351"/>
      <c r="R328" s="351"/>
      <c r="S328" s="351"/>
      <c r="T328" s="351"/>
      <c r="U328" s="351"/>
      <c r="V328" s="351"/>
      <c r="W328" s="351"/>
      <c r="X328" s="351"/>
      <c r="Y328" s="351"/>
      <c r="Z328" s="351"/>
      <c r="AA328" s="351"/>
      <c r="AB328" s="351"/>
    </row>
    <row r="329" ht="14.25" customHeight="1">
      <c r="A329" s="439" t="s">
        <v>12128</v>
      </c>
      <c r="B329" s="402" t="s">
        <v>12129</v>
      </c>
      <c r="C329" s="303" t="s">
        <v>11239</v>
      </c>
      <c r="D329" s="297" t="s">
        <v>1775</v>
      </c>
      <c r="E329" s="437" t="s">
        <v>12130</v>
      </c>
      <c r="F329" s="296" t="s">
        <v>12131</v>
      </c>
      <c r="G329" s="405"/>
      <c r="H329" s="296" t="s">
        <v>12132</v>
      </c>
      <c r="I329" s="404" t="s">
        <v>36</v>
      </c>
      <c r="J329" s="351"/>
      <c r="K329" s="303" t="s">
        <v>1784</v>
      </c>
      <c r="L329" s="351"/>
      <c r="M329" s="351"/>
      <c r="N329" s="351"/>
      <c r="O329" s="351"/>
      <c r="P329" s="351"/>
      <c r="Q329" s="351"/>
      <c r="R329" s="351"/>
      <c r="S329" s="351"/>
      <c r="T329" s="351"/>
      <c r="U329" s="351"/>
      <c r="V329" s="351"/>
      <c r="W329" s="351"/>
      <c r="X329" s="351"/>
      <c r="Y329" s="351"/>
      <c r="Z329" s="351"/>
      <c r="AA329" s="351"/>
      <c r="AB329" s="351"/>
    </row>
    <row r="330" ht="14.25" customHeight="1">
      <c r="A330" s="439" t="s">
        <v>12128</v>
      </c>
      <c r="B330" s="108"/>
      <c r="C330" s="303" t="s">
        <v>11243</v>
      </c>
      <c r="D330" s="297" t="s">
        <v>1775</v>
      </c>
      <c r="E330" s="437" t="s">
        <v>12130</v>
      </c>
      <c r="F330" s="296" t="s">
        <v>12133</v>
      </c>
      <c r="G330" s="405"/>
      <c r="H330" s="296" t="s">
        <v>12134</v>
      </c>
      <c r="I330" s="404" t="s">
        <v>317</v>
      </c>
      <c r="J330" s="351"/>
      <c r="K330" s="303" t="s">
        <v>1784</v>
      </c>
      <c r="L330" s="351"/>
      <c r="M330" s="351"/>
      <c r="N330" s="351"/>
      <c r="O330" s="351"/>
      <c r="P330" s="351"/>
      <c r="Q330" s="351"/>
      <c r="R330" s="351"/>
      <c r="S330" s="351"/>
      <c r="T330" s="351"/>
      <c r="U330" s="351"/>
      <c r="V330" s="351"/>
      <c r="W330" s="351"/>
      <c r="X330" s="351"/>
      <c r="Y330" s="351"/>
      <c r="Z330" s="351"/>
      <c r="AA330" s="351"/>
      <c r="AB330" s="351"/>
    </row>
    <row r="331" ht="14.25" customHeight="1">
      <c r="A331" s="439" t="s">
        <v>12128</v>
      </c>
      <c r="B331" s="108"/>
      <c r="C331" s="303" t="s">
        <v>11246</v>
      </c>
      <c r="D331" s="297" t="s">
        <v>1775</v>
      </c>
      <c r="E331" s="437" t="s">
        <v>12130</v>
      </c>
      <c r="F331" s="296" t="s">
        <v>12135</v>
      </c>
      <c r="G331" s="405"/>
      <c r="H331" s="296" t="s">
        <v>12134</v>
      </c>
      <c r="I331" s="404" t="s">
        <v>317</v>
      </c>
      <c r="J331" s="351"/>
      <c r="K331" s="303" t="s">
        <v>1784</v>
      </c>
      <c r="L331" s="351"/>
      <c r="M331" s="351"/>
      <c r="N331" s="351"/>
      <c r="O331" s="351"/>
      <c r="P331" s="351"/>
      <c r="Q331" s="351"/>
      <c r="R331" s="351"/>
      <c r="S331" s="351"/>
      <c r="T331" s="351"/>
      <c r="U331" s="351"/>
      <c r="V331" s="351"/>
      <c r="W331" s="351"/>
      <c r="X331" s="351"/>
      <c r="Y331" s="351"/>
      <c r="Z331" s="351"/>
      <c r="AA331" s="351"/>
      <c r="AB331" s="351"/>
    </row>
    <row r="332" ht="14.25" customHeight="1">
      <c r="A332" s="439" t="s">
        <v>12128</v>
      </c>
      <c r="B332" s="108"/>
      <c r="C332" s="303" t="s">
        <v>11248</v>
      </c>
      <c r="D332" s="297" t="s">
        <v>1775</v>
      </c>
      <c r="E332" s="437" t="s">
        <v>12130</v>
      </c>
      <c r="F332" s="296" t="s">
        <v>12136</v>
      </c>
      <c r="G332" s="405"/>
      <c r="H332" s="296" t="s">
        <v>12137</v>
      </c>
      <c r="I332" s="404" t="s">
        <v>317</v>
      </c>
      <c r="J332" s="351"/>
      <c r="K332" s="303" t="s">
        <v>1784</v>
      </c>
      <c r="L332" s="351"/>
      <c r="M332" s="351"/>
      <c r="N332" s="351"/>
      <c r="O332" s="351"/>
      <c r="P332" s="351"/>
      <c r="Q332" s="351"/>
      <c r="R332" s="351"/>
      <c r="S332" s="351"/>
      <c r="T332" s="351"/>
      <c r="U332" s="351"/>
      <c r="V332" s="351"/>
      <c r="W332" s="351"/>
      <c r="X332" s="351"/>
      <c r="Y332" s="351"/>
      <c r="Z332" s="351"/>
      <c r="AA332" s="351"/>
      <c r="AB332" s="351"/>
    </row>
    <row r="333" ht="14.25" customHeight="1">
      <c r="A333" s="439" t="s">
        <v>12128</v>
      </c>
      <c r="B333" s="109"/>
      <c r="C333" s="303" t="s">
        <v>11251</v>
      </c>
      <c r="D333" s="297" t="s">
        <v>1775</v>
      </c>
      <c r="E333" s="437" t="s">
        <v>12130</v>
      </c>
      <c r="F333" s="296" t="s">
        <v>12138</v>
      </c>
      <c r="G333" s="405"/>
      <c r="H333" s="296" t="s">
        <v>12139</v>
      </c>
      <c r="I333" s="404" t="s">
        <v>36</v>
      </c>
      <c r="J333" s="351"/>
      <c r="K333" s="303" t="s">
        <v>1784</v>
      </c>
      <c r="L333" s="351"/>
      <c r="M333" s="351"/>
      <c r="N333" s="351"/>
      <c r="O333" s="351"/>
      <c r="P333" s="351"/>
      <c r="Q333" s="351"/>
      <c r="R333" s="351"/>
      <c r="S333" s="351"/>
      <c r="T333" s="351"/>
      <c r="U333" s="351"/>
      <c r="V333" s="351"/>
      <c r="W333" s="351"/>
      <c r="X333" s="351"/>
      <c r="Y333" s="351"/>
      <c r="Z333" s="351"/>
      <c r="AA333" s="351"/>
      <c r="AB333" s="351"/>
    </row>
    <row r="334" ht="14.25" customHeight="1">
      <c r="A334" s="439" t="s">
        <v>12140</v>
      </c>
      <c r="B334" s="402" t="s">
        <v>12141</v>
      </c>
      <c r="C334" s="303" t="s">
        <v>11239</v>
      </c>
      <c r="D334" s="297" t="s">
        <v>271</v>
      </c>
      <c r="E334" s="297" t="s">
        <v>11240</v>
      </c>
      <c r="F334" s="296" t="s">
        <v>12142</v>
      </c>
      <c r="G334" s="405"/>
      <c r="H334" s="296" t="s">
        <v>12143</v>
      </c>
      <c r="I334" s="404" t="s">
        <v>36</v>
      </c>
      <c r="J334" s="351"/>
      <c r="K334" s="429"/>
      <c r="L334" s="351"/>
      <c r="M334" s="351"/>
      <c r="N334" s="351"/>
      <c r="O334" s="351"/>
      <c r="P334" s="351"/>
      <c r="Q334" s="351"/>
      <c r="R334" s="351"/>
      <c r="S334" s="351"/>
      <c r="T334" s="351"/>
      <c r="U334" s="351"/>
      <c r="V334" s="351"/>
      <c r="W334" s="351"/>
      <c r="X334" s="351"/>
      <c r="Y334" s="351"/>
      <c r="Z334" s="351"/>
      <c r="AA334" s="351"/>
      <c r="AB334" s="351"/>
    </row>
    <row r="335" ht="14.25" customHeight="1">
      <c r="A335" s="439" t="s">
        <v>12140</v>
      </c>
      <c r="B335" s="108"/>
      <c r="C335" s="303" t="s">
        <v>11243</v>
      </c>
      <c r="D335" s="297" t="s">
        <v>271</v>
      </c>
      <c r="E335" s="297" t="s">
        <v>11240</v>
      </c>
      <c r="F335" s="296" t="s">
        <v>12144</v>
      </c>
      <c r="G335" s="405"/>
      <c r="H335" s="296" t="s">
        <v>12145</v>
      </c>
      <c r="I335" s="404" t="s">
        <v>36</v>
      </c>
      <c r="J335" s="351"/>
      <c r="K335" s="429"/>
      <c r="L335" s="351"/>
      <c r="M335" s="351"/>
      <c r="N335" s="351"/>
      <c r="O335" s="351"/>
      <c r="P335" s="351"/>
      <c r="Q335" s="351"/>
      <c r="R335" s="351"/>
      <c r="S335" s="351"/>
      <c r="T335" s="351"/>
      <c r="U335" s="351"/>
      <c r="V335" s="351"/>
      <c r="W335" s="351"/>
      <c r="X335" s="351"/>
      <c r="Y335" s="351"/>
      <c r="Z335" s="351"/>
      <c r="AA335" s="351"/>
      <c r="AB335" s="351"/>
    </row>
    <row r="336" ht="14.25" customHeight="1">
      <c r="A336" s="439" t="s">
        <v>12140</v>
      </c>
      <c r="B336" s="108"/>
      <c r="C336" s="303" t="s">
        <v>11246</v>
      </c>
      <c r="D336" s="297" t="s">
        <v>271</v>
      </c>
      <c r="E336" s="297" t="s">
        <v>11240</v>
      </c>
      <c r="F336" s="296" t="s">
        <v>12146</v>
      </c>
      <c r="G336" s="405"/>
      <c r="H336" s="296" t="s">
        <v>12147</v>
      </c>
      <c r="I336" s="404" t="s">
        <v>36</v>
      </c>
      <c r="J336" s="351"/>
      <c r="K336" s="429"/>
      <c r="L336" s="351"/>
      <c r="M336" s="351"/>
      <c r="N336" s="351"/>
      <c r="O336" s="351"/>
      <c r="P336" s="351"/>
      <c r="Q336" s="351"/>
      <c r="R336" s="351"/>
      <c r="S336" s="351"/>
      <c r="T336" s="351"/>
      <c r="U336" s="351"/>
      <c r="V336" s="351"/>
      <c r="W336" s="351"/>
      <c r="X336" s="351"/>
      <c r="Y336" s="351"/>
      <c r="Z336" s="351"/>
      <c r="AA336" s="351"/>
      <c r="AB336" s="351"/>
    </row>
    <row r="337" ht="14.25" customHeight="1">
      <c r="A337" s="439" t="s">
        <v>12140</v>
      </c>
      <c r="B337" s="108"/>
      <c r="C337" s="303" t="s">
        <v>11248</v>
      </c>
      <c r="D337" s="297" t="s">
        <v>271</v>
      </c>
      <c r="E337" s="297" t="s">
        <v>11240</v>
      </c>
      <c r="F337" s="296" t="s">
        <v>12148</v>
      </c>
      <c r="G337" s="405"/>
      <c r="H337" s="296" t="s">
        <v>12149</v>
      </c>
      <c r="I337" s="404" t="s">
        <v>36</v>
      </c>
      <c r="J337" s="351"/>
      <c r="K337" s="429"/>
      <c r="L337" s="351"/>
      <c r="M337" s="351"/>
      <c r="N337" s="351"/>
      <c r="O337" s="351"/>
      <c r="P337" s="351"/>
      <c r="Q337" s="351"/>
      <c r="R337" s="351"/>
      <c r="S337" s="351"/>
      <c r="T337" s="351"/>
      <c r="U337" s="351"/>
      <c r="V337" s="351"/>
      <c r="W337" s="351"/>
      <c r="X337" s="351"/>
      <c r="Y337" s="351"/>
      <c r="Z337" s="351"/>
      <c r="AA337" s="351"/>
      <c r="AB337" s="351"/>
    </row>
    <row r="338" ht="14.25" customHeight="1">
      <c r="A338" s="439" t="s">
        <v>12140</v>
      </c>
      <c r="B338" s="109"/>
      <c r="C338" s="303" t="s">
        <v>11251</v>
      </c>
      <c r="D338" s="297" t="s">
        <v>271</v>
      </c>
      <c r="E338" s="297" t="s">
        <v>11240</v>
      </c>
      <c r="F338" s="296" t="s">
        <v>12150</v>
      </c>
      <c r="G338" s="405"/>
      <c r="H338" s="296" t="s">
        <v>12151</v>
      </c>
      <c r="I338" s="256" t="s">
        <v>36</v>
      </c>
      <c r="J338" s="351"/>
      <c r="K338" s="429"/>
      <c r="L338" s="351"/>
      <c r="M338" s="351"/>
      <c r="N338" s="351"/>
      <c r="O338" s="351"/>
      <c r="P338" s="351"/>
      <c r="Q338" s="351"/>
      <c r="R338" s="351"/>
      <c r="S338" s="351"/>
      <c r="T338" s="351"/>
      <c r="U338" s="351"/>
      <c r="V338" s="351"/>
      <c r="W338" s="351"/>
      <c r="X338" s="351"/>
      <c r="Y338" s="351"/>
      <c r="Z338" s="351"/>
      <c r="AA338" s="351"/>
      <c r="AB338" s="351"/>
    </row>
    <row r="339" ht="14.25" customHeight="1">
      <c r="A339" s="439" t="s">
        <v>12152</v>
      </c>
      <c r="B339" s="402" t="s">
        <v>12153</v>
      </c>
      <c r="C339" s="275" t="s">
        <v>12154</v>
      </c>
      <c r="D339" s="297" t="s">
        <v>271</v>
      </c>
      <c r="E339" s="297" t="s">
        <v>12155</v>
      </c>
      <c r="F339" s="296" t="s">
        <v>12156</v>
      </c>
      <c r="G339" s="405"/>
      <c r="H339" s="296" t="s">
        <v>12157</v>
      </c>
      <c r="I339" s="256" t="s">
        <v>36</v>
      </c>
      <c r="J339" s="351"/>
      <c r="K339" s="429"/>
      <c r="L339" s="351"/>
      <c r="M339" s="351"/>
      <c r="N339" s="351"/>
      <c r="O339" s="351"/>
      <c r="P339" s="351"/>
      <c r="Q339" s="351"/>
      <c r="R339" s="351"/>
      <c r="S339" s="351"/>
      <c r="T339" s="351"/>
      <c r="U339" s="351"/>
      <c r="V339" s="351"/>
      <c r="W339" s="351"/>
      <c r="X339" s="351"/>
      <c r="Y339" s="351"/>
      <c r="Z339" s="351"/>
      <c r="AA339" s="351"/>
      <c r="AB339" s="351"/>
    </row>
    <row r="340" ht="14.25" customHeight="1">
      <c r="A340" s="439" t="s">
        <v>12152</v>
      </c>
      <c r="B340" s="109"/>
      <c r="C340" s="275" t="s">
        <v>12158</v>
      </c>
      <c r="D340" s="297" t="s">
        <v>271</v>
      </c>
      <c r="E340" s="297" t="s">
        <v>12155</v>
      </c>
      <c r="F340" s="296" t="s">
        <v>12159</v>
      </c>
      <c r="G340" s="405"/>
      <c r="H340" s="296" t="s">
        <v>12160</v>
      </c>
      <c r="I340" s="256" t="s">
        <v>36</v>
      </c>
      <c r="J340" s="351"/>
      <c r="K340" s="429"/>
      <c r="L340" s="351"/>
      <c r="M340" s="351"/>
      <c r="N340" s="351"/>
      <c r="O340" s="351"/>
      <c r="P340" s="351"/>
      <c r="Q340" s="351"/>
      <c r="R340" s="351"/>
      <c r="S340" s="351"/>
      <c r="T340" s="351"/>
      <c r="U340" s="351"/>
      <c r="V340" s="351"/>
      <c r="W340" s="351"/>
      <c r="X340" s="351"/>
      <c r="Y340" s="351"/>
      <c r="Z340" s="351"/>
      <c r="AA340" s="351"/>
      <c r="AB340" s="351"/>
    </row>
    <row r="341" ht="14.25" customHeight="1">
      <c r="A341" s="256" t="s">
        <v>12161</v>
      </c>
      <c r="B341" s="258" t="s">
        <v>12162</v>
      </c>
      <c r="C341" s="256" t="s">
        <v>10199</v>
      </c>
      <c r="D341" s="297" t="s">
        <v>271</v>
      </c>
      <c r="E341" s="297" t="s">
        <v>12163</v>
      </c>
      <c r="F341" s="258" t="s">
        <v>12164</v>
      </c>
      <c r="G341" s="258" t="s">
        <v>12165</v>
      </c>
      <c r="H341" s="258" t="s">
        <v>12166</v>
      </c>
      <c r="I341" s="256" t="s">
        <v>36</v>
      </c>
      <c r="J341" s="444"/>
      <c r="K341" s="297" t="s">
        <v>2062</v>
      </c>
      <c r="L341" s="351"/>
      <c r="M341" s="351"/>
      <c r="N341" s="351"/>
      <c r="O341" s="351"/>
      <c r="P341" s="351"/>
      <c r="Q341" s="351"/>
      <c r="R341" s="351"/>
      <c r="S341" s="351"/>
      <c r="T341" s="351"/>
      <c r="U341" s="351"/>
      <c r="V341" s="351"/>
      <c r="W341" s="351"/>
      <c r="X341" s="351"/>
      <c r="Y341" s="351"/>
      <c r="Z341" s="351"/>
      <c r="AA341" s="351"/>
      <c r="AB341" s="351"/>
    </row>
    <row r="342" ht="14.25" customHeight="1">
      <c r="A342" s="256" t="s">
        <v>12161</v>
      </c>
      <c r="B342" s="258" t="s">
        <v>12162</v>
      </c>
      <c r="C342" s="256" t="s">
        <v>10203</v>
      </c>
      <c r="D342" s="297" t="s">
        <v>271</v>
      </c>
      <c r="E342" s="297" t="s">
        <v>12163</v>
      </c>
      <c r="F342" s="258" t="s">
        <v>12167</v>
      </c>
      <c r="G342" s="258" t="s">
        <v>12168</v>
      </c>
      <c r="H342" s="258" t="s">
        <v>12169</v>
      </c>
      <c r="I342" s="256" t="s">
        <v>36</v>
      </c>
      <c r="J342" s="444"/>
      <c r="K342" s="297" t="s">
        <v>2062</v>
      </c>
      <c r="L342" s="351"/>
      <c r="M342" s="351"/>
      <c r="N342" s="351"/>
      <c r="O342" s="351"/>
      <c r="P342" s="351"/>
      <c r="Q342" s="351"/>
      <c r="R342" s="351"/>
      <c r="S342" s="351"/>
      <c r="T342" s="351"/>
      <c r="U342" s="351"/>
      <c r="V342" s="351"/>
      <c r="W342" s="351"/>
      <c r="X342" s="351"/>
      <c r="Y342" s="351"/>
      <c r="Z342" s="351"/>
      <c r="AA342" s="351"/>
      <c r="AB342" s="351"/>
    </row>
    <row r="343" ht="14.25" customHeight="1">
      <c r="A343" s="256" t="s">
        <v>12161</v>
      </c>
      <c r="B343" s="258" t="s">
        <v>12162</v>
      </c>
      <c r="C343" s="256" t="s">
        <v>10206</v>
      </c>
      <c r="D343" s="297" t="s">
        <v>271</v>
      </c>
      <c r="E343" s="297" t="s">
        <v>12163</v>
      </c>
      <c r="F343" s="258" t="s">
        <v>12170</v>
      </c>
      <c r="G343" s="258" t="s">
        <v>12171</v>
      </c>
      <c r="H343" s="258" t="s">
        <v>12172</v>
      </c>
      <c r="I343" s="256" t="s">
        <v>36</v>
      </c>
      <c r="J343" s="444"/>
      <c r="K343" s="297" t="s">
        <v>2062</v>
      </c>
      <c r="L343" s="351"/>
      <c r="M343" s="351"/>
      <c r="N343" s="351"/>
      <c r="O343" s="351"/>
      <c r="P343" s="351"/>
      <c r="Q343" s="351"/>
      <c r="R343" s="351"/>
      <c r="S343" s="351"/>
      <c r="T343" s="351"/>
      <c r="U343" s="351"/>
      <c r="V343" s="351"/>
      <c r="W343" s="351"/>
      <c r="X343" s="351"/>
      <c r="Y343" s="351"/>
      <c r="Z343" s="351"/>
      <c r="AA343" s="351"/>
      <c r="AB343" s="351"/>
    </row>
    <row r="344" ht="14.25" customHeight="1">
      <c r="A344" s="256" t="s">
        <v>12161</v>
      </c>
      <c r="B344" s="258" t="s">
        <v>12162</v>
      </c>
      <c r="C344" s="256" t="s">
        <v>10209</v>
      </c>
      <c r="D344" s="297" t="s">
        <v>271</v>
      </c>
      <c r="E344" s="297" t="s">
        <v>12163</v>
      </c>
      <c r="F344" s="258" t="s">
        <v>12173</v>
      </c>
      <c r="G344" s="258" t="s">
        <v>12174</v>
      </c>
      <c r="H344" s="259" t="s">
        <v>12175</v>
      </c>
      <c r="I344" s="256" t="s">
        <v>36</v>
      </c>
      <c r="J344" s="444"/>
      <c r="K344" s="297" t="s">
        <v>2062</v>
      </c>
      <c r="L344" s="351"/>
      <c r="M344" s="351"/>
      <c r="N344" s="351"/>
      <c r="O344" s="351"/>
      <c r="P344" s="351"/>
      <c r="Q344" s="351"/>
      <c r="R344" s="351"/>
      <c r="S344" s="351"/>
      <c r="T344" s="351"/>
      <c r="U344" s="351"/>
      <c r="V344" s="351"/>
      <c r="W344" s="351"/>
      <c r="X344" s="351"/>
      <c r="Y344" s="351"/>
      <c r="Z344" s="351"/>
      <c r="AA344" s="351"/>
      <c r="AB344" s="351"/>
    </row>
    <row r="345" ht="14.25" customHeight="1">
      <c r="A345" s="256" t="s">
        <v>12161</v>
      </c>
      <c r="B345" s="258" t="s">
        <v>12162</v>
      </c>
      <c r="C345" s="256" t="s">
        <v>10212</v>
      </c>
      <c r="D345" s="297" t="s">
        <v>271</v>
      </c>
      <c r="E345" s="297" t="s">
        <v>12163</v>
      </c>
      <c r="F345" s="258" t="s">
        <v>11162</v>
      </c>
      <c r="G345" s="258" t="s">
        <v>12176</v>
      </c>
      <c r="H345" s="258" t="s">
        <v>11163</v>
      </c>
      <c r="I345" s="256" t="s">
        <v>36</v>
      </c>
      <c r="J345" s="444"/>
      <c r="K345" s="297" t="s">
        <v>2062</v>
      </c>
      <c r="L345" s="351"/>
      <c r="M345" s="351"/>
      <c r="N345" s="351"/>
      <c r="O345" s="351"/>
      <c r="P345" s="351"/>
      <c r="Q345" s="351"/>
      <c r="R345" s="351"/>
      <c r="S345" s="351"/>
      <c r="T345" s="351"/>
      <c r="U345" s="351"/>
      <c r="V345" s="351"/>
      <c r="W345" s="351"/>
      <c r="X345" s="351"/>
      <c r="Y345" s="351"/>
      <c r="Z345" s="351"/>
      <c r="AA345" s="351"/>
      <c r="AB345" s="351"/>
    </row>
    <row r="346" ht="14.25" customHeight="1">
      <c r="A346" s="256" t="s">
        <v>12161</v>
      </c>
      <c r="B346" s="258" t="s">
        <v>12162</v>
      </c>
      <c r="C346" s="256" t="s">
        <v>10214</v>
      </c>
      <c r="D346" s="297" t="s">
        <v>271</v>
      </c>
      <c r="E346" s="297" t="s">
        <v>12163</v>
      </c>
      <c r="F346" s="258" t="s">
        <v>11165</v>
      </c>
      <c r="G346" s="258" t="s">
        <v>12176</v>
      </c>
      <c r="H346" s="258" t="s">
        <v>11166</v>
      </c>
      <c r="I346" s="256" t="s">
        <v>36</v>
      </c>
      <c r="J346" s="444"/>
      <c r="K346" s="297" t="s">
        <v>2062</v>
      </c>
      <c r="L346" s="351"/>
      <c r="M346" s="351"/>
      <c r="N346" s="351"/>
      <c r="O346" s="351"/>
      <c r="P346" s="351"/>
      <c r="Q346" s="351"/>
      <c r="R346" s="351"/>
      <c r="S346" s="351"/>
      <c r="T346" s="351"/>
      <c r="U346" s="351"/>
      <c r="V346" s="351"/>
      <c r="W346" s="351"/>
      <c r="X346" s="351"/>
      <c r="Y346" s="351"/>
      <c r="Z346" s="351"/>
      <c r="AA346" s="351"/>
      <c r="AB346" s="351"/>
    </row>
    <row r="347" ht="14.25" customHeight="1">
      <c r="A347" s="256" t="s">
        <v>12161</v>
      </c>
      <c r="B347" s="258" t="s">
        <v>12162</v>
      </c>
      <c r="C347" s="256" t="s">
        <v>10217</v>
      </c>
      <c r="D347" s="297" t="s">
        <v>271</v>
      </c>
      <c r="E347" s="297" t="s">
        <v>12163</v>
      </c>
      <c r="F347" s="258" t="s">
        <v>12177</v>
      </c>
      <c r="G347" s="258" t="s">
        <v>12176</v>
      </c>
      <c r="H347" s="258" t="s">
        <v>12178</v>
      </c>
      <c r="I347" s="256" t="s">
        <v>36</v>
      </c>
      <c r="J347" s="444"/>
      <c r="K347" s="297" t="s">
        <v>2062</v>
      </c>
      <c r="L347" s="351"/>
      <c r="M347" s="351"/>
      <c r="N347" s="351"/>
      <c r="O347" s="351"/>
      <c r="P347" s="351"/>
      <c r="Q347" s="351"/>
      <c r="R347" s="351"/>
      <c r="S347" s="351"/>
      <c r="T347" s="351"/>
      <c r="U347" s="351"/>
      <c r="V347" s="351"/>
      <c r="W347" s="351"/>
      <c r="X347" s="351"/>
      <c r="Y347" s="351"/>
      <c r="Z347" s="351"/>
      <c r="AA347" s="351"/>
      <c r="AB347" s="351"/>
    </row>
    <row r="348" ht="14.25" customHeight="1">
      <c r="A348" s="256" t="s">
        <v>12179</v>
      </c>
      <c r="B348" s="375" t="s">
        <v>12180</v>
      </c>
      <c r="C348" s="256" t="s">
        <v>10199</v>
      </c>
      <c r="D348" s="297" t="s">
        <v>271</v>
      </c>
      <c r="E348" s="297" t="s">
        <v>5</v>
      </c>
      <c r="F348" s="258" t="s">
        <v>12181</v>
      </c>
      <c r="G348" s="258" t="s">
        <v>12182</v>
      </c>
      <c r="H348" s="258" t="s">
        <v>12183</v>
      </c>
      <c r="I348" s="256" t="s">
        <v>36</v>
      </c>
      <c r="J348" s="351"/>
      <c r="K348" s="297" t="s">
        <v>1784</v>
      </c>
      <c r="L348" s="351"/>
      <c r="M348" s="351"/>
      <c r="N348" s="351"/>
      <c r="O348" s="351"/>
      <c r="P348" s="351"/>
      <c r="Q348" s="351"/>
      <c r="R348" s="351"/>
      <c r="S348" s="351"/>
      <c r="T348" s="351"/>
      <c r="U348" s="351"/>
      <c r="V348" s="351"/>
      <c r="W348" s="351"/>
      <c r="X348" s="351"/>
      <c r="Y348" s="351"/>
      <c r="Z348" s="351"/>
      <c r="AA348" s="351"/>
      <c r="AB348" s="351"/>
    </row>
    <row r="349" ht="14.25" customHeight="1">
      <c r="A349" s="256" t="s">
        <v>12179</v>
      </c>
      <c r="B349" s="108"/>
      <c r="C349" s="256" t="s">
        <v>10203</v>
      </c>
      <c r="D349" s="297" t="s">
        <v>271</v>
      </c>
      <c r="E349" s="297" t="s">
        <v>5</v>
      </c>
      <c r="F349" s="258" t="s">
        <v>12184</v>
      </c>
      <c r="G349" s="258" t="s">
        <v>12185</v>
      </c>
      <c r="H349" s="258" t="s">
        <v>12186</v>
      </c>
      <c r="I349" s="256" t="s">
        <v>36</v>
      </c>
      <c r="J349" s="351"/>
      <c r="K349" s="297" t="s">
        <v>1784</v>
      </c>
      <c r="L349" s="351"/>
      <c r="M349" s="351"/>
      <c r="N349" s="351"/>
      <c r="O349" s="351"/>
      <c r="P349" s="351"/>
      <c r="Q349" s="351"/>
      <c r="R349" s="351"/>
      <c r="S349" s="351"/>
      <c r="T349" s="351"/>
      <c r="U349" s="351"/>
      <c r="V349" s="351"/>
      <c r="W349" s="351"/>
      <c r="X349" s="351"/>
      <c r="Y349" s="351"/>
      <c r="Z349" s="351"/>
      <c r="AA349" s="351"/>
      <c r="AB349" s="351"/>
    </row>
    <row r="350" ht="14.25" customHeight="1">
      <c r="A350" s="256" t="s">
        <v>12179</v>
      </c>
      <c r="B350" s="108"/>
      <c r="C350" s="256" t="s">
        <v>10206</v>
      </c>
      <c r="D350" s="297" t="s">
        <v>271</v>
      </c>
      <c r="E350" s="297" t="s">
        <v>5</v>
      </c>
      <c r="F350" s="258" t="s">
        <v>12187</v>
      </c>
      <c r="G350" s="258" t="s">
        <v>12185</v>
      </c>
      <c r="H350" s="258" t="s">
        <v>12188</v>
      </c>
      <c r="I350" s="256" t="s">
        <v>36</v>
      </c>
      <c r="J350" s="351"/>
      <c r="K350" s="297" t="s">
        <v>1784</v>
      </c>
      <c r="L350" s="351"/>
      <c r="M350" s="351"/>
      <c r="N350" s="351"/>
      <c r="O350" s="351"/>
      <c r="P350" s="351"/>
      <c r="Q350" s="351"/>
      <c r="R350" s="351"/>
      <c r="S350" s="351"/>
      <c r="T350" s="351"/>
      <c r="U350" s="351"/>
      <c r="V350" s="351"/>
      <c r="W350" s="351"/>
      <c r="X350" s="351"/>
      <c r="Y350" s="351"/>
      <c r="Z350" s="351"/>
      <c r="AA350" s="351"/>
      <c r="AB350" s="351"/>
    </row>
    <row r="351" ht="14.25" customHeight="1">
      <c r="A351" s="256" t="s">
        <v>12179</v>
      </c>
      <c r="B351" s="108"/>
      <c r="C351" s="256" t="s">
        <v>10209</v>
      </c>
      <c r="D351" s="297" t="s">
        <v>271</v>
      </c>
      <c r="E351" s="297" t="s">
        <v>5</v>
      </c>
      <c r="F351" s="258" t="s">
        <v>12189</v>
      </c>
      <c r="G351" s="258" t="s">
        <v>12185</v>
      </c>
      <c r="H351" s="258" t="s">
        <v>12190</v>
      </c>
      <c r="I351" s="256" t="s">
        <v>36</v>
      </c>
      <c r="J351" s="351"/>
      <c r="K351" s="297" t="s">
        <v>1784</v>
      </c>
      <c r="L351" s="351"/>
      <c r="M351" s="351"/>
      <c r="N351" s="351"/>
      <c r="O351" s="351"/>
      <c r="P351" s="351"/>
      <c r="Q351" s="351"/>
      <c r="R351" s="351"/>
      <c r="S351" s="351"/>
      <c r="T351" s="351"/>
      <c r="U351" s="351"/>
      <c r="V351" s="351"/>
      <c r="W351" s="351"/>
      <c r="X351" s="351"/>
      <c r="Y351" s="351"/>
      <c r="Z351" s="351"/>
      <c r="AA351" s="351"/>
      <c r="AB351" s="351"/>
    </row>
    <row r="352" ht="14.25" customHeight="1">
      <c r="A352" s="256" t="s">
        <v>12179</v>
      </c>
      <c r="B352" s="108"/>
      <c r="C352" s="256" t="s">
        <v>10212</v>
      </c>
      <c r="D352" s="297" t="s">
        <v>271</v>
      </c>
      <c r="E352" s="297" t="s">
        <v>5</v>
      </c>
      <c r="F352" s="258" t="s">
        <v>12191</v>
      </c>
      <c r="G352" s="258" t="s">
        <v>12185</v>
      </c>
      <c r="H352" s="258" t="s">
        <v>12192</v>
      </c>
      <c r="I352" s="256" t="s">
        <v>36</v>
      </c>
      <c r="J352" s="351"/>
      <c r="K352" s="297" t="s">
        <v>1784</v>
      </c>
      <c r="L352" s="351"/>
      <c r="M352" s="351"/>
      <c r="N352" s="351"/>
      <c r="O352" s="351"/>
      <c r="P352" s="351"/>
      <c r="Q352" s="351"/>
      <c r="R352" s="351"/>
      <c r="S352" s="351"/>
      <c r="T352" s="351"/>
      <c r="U352" s="351"/>
      <c r="V352" s="351"/>
      <c r="W352" s="351"/>
      <c r="X352" s="351"/>
      <c r="Y352" s="351"/>
      <c r="Z352" s="351"/>
      <c r="AA352" s="351"/>
      <c r="AB352" s="351"/>
    </row>
    <row r="353" ht="14.25" customHeight="1">
      <c r="A353" s="256" t="s">
        <v>12179</v>
      </c>
      <c r="B353" s="108"/>
      <c r="C353" s="256" t="s">
        <v>10214</v>
      </c>
      <c r="D353" s="297" t="s">
        <v>271</v>
      </c>
      <c r="E353" s="297" t="s">
        <v>5</v>
      </c>
      <c r="F353" s="258" t="s">
        <v>12193</v>
      </c>
      <c r="G353" s="258" t="s">
        <v>12185</v>
      </c>
      <c r="H353" s="258" t="s">
        <v>12194</v>
      </c>
      <c r="I353" s="256" t="s">
        <v>36</v>
      </c>
      <c r="J353" s="351"/>
      <c r="K353" s="297" t="s">
        <v>1784</v>
      </c>
      <c r="L353" s="351"/>
      <c r="M353" s="351"/>
      <c r="N353" s="351"/>
      <c r="O353" s="351"/>
      <c r="P353" s="351"/>
      <c r="Q353" s="351"/>
      <c r="R353" s="351"/>
      <c r="S353" s="351"/>
      <c r="T353" s="351"/>
      <c r="U353" s="351"/>
      <c r="V353" s="351"/>
      <c r="W353" s="351"/>
      <c r="X353" s="351"/>
      <c r="Y353" s="351"/>
      <c r="Z353" s="351"/>
      <c r="AA353" s="351"/>
      <c r="AB353" s="351"/>
    </row>
    <row r="354" ht="14.25" customHeight="1">
      <c r="A354" s="256" t="s">
        <v>12179</v>
      </c>
      <c r="B354" s="108"/>
      <c r="C354" s="256" t="s">
        <v>10217</v>
      </c>
      <c r="D354" s="297" t="s">
        <v>271</v>
      </c>
      <c r="E354" s="297" t="s">
        <v>5</v>
      </c>
      <c r="F354" s="258" t="s">
        <v>12195</v>
      </c>
      <c r="G354" s="258" t="s">
        <v>12185</v>
      </c>
      <c r="H354" s="258" t="s">
        <v>12196</v>
      </c>
      <c r="I354" s="256" t="s">
        <v>36</v>
      </c>
      <c r="J354" s="351"/>
      <c r="K354" s="297" t="s">
        <v>1784</v>
      </c>
      <c r="L354" s="351"/>
      <c r="M354" s="351"/>
      <c r="N354" s="351"/>
      <c r="O354" s="351"/>
      <c r="P354" s="351"/>
      <c r="Q354" s="351"/>
      <c r="R354" s="351"/>
      <c r="S354" s="351"/>
      <c r="T354" s="351"/>
      <c r="U354" s="351"/>
      <c r="V354" s="351"/>
      <c r="W354" s="351"/>
      <c r="X354" s="351"/>
      <c r="Y354" s="351"/>
      <c r="Z354" s="351"/>
      <c r="AA354" s="351"/>
      <c r="AB354" s="351"/>
    </row>
    <row r="355" ht="14.25" customHeight="1">
      <c r="A355" s="256" t="s">
        <v>12179</v>
      </c>
      <c r="B355" s="108"/>
      <c r="C355" s="256" t="s">
        <v>10220</v>
      </c>
      <c r="D355" s="297" t="s">
        <v>271</v>
      </c>
      <c r="E355" s="297" t="s">
        <v>5</v>
      </c>
      <c r="F355" s="258" t="s">
        <v>12197</v>
      </c>
      <c r="G355" s="258" t="s">
        <v>12185</v>
      </c>
      <c r="H355" s="258" t="s">
        <v>12198</v>
      </c>
      <c r="I355" s="256" t="s">
        <v>36</v>
      </c>
      <c r="J355" s="351"/>
      <c r="K355" s="297" t="s">
        <v>1784</v>
      </c>
      <c r="L355" s="351"/>
      <c r="M355" s="351"/>
      <c r="N355" s="351"/>
      <c r="O355" s="351"/>
      <c r="P355" s="351"/>
      <c r="Q355" s="351"/>
      <c r="R355" s="351"/>
      <c r="S355" s="351"/>
      <c r="T355" s="351"/>
      <c r="U355" s="351"/>
      <c r="V355" s="351"/>
      <c r="W355" s="351"/>
      <c r="X355" s="351"/>
      <c r="Y355" s="351"/>
      <c r="Z355" s="351"/>
      <c r="AA355" s="351"/>
      <c r="AB355" s="351"/>
    </row>
    <row r="356" ht="14.25" customHeight="1">
      <c r="A356" s="256" t="s">
        <v>12179</v>
      </c>
      <c r="B356" s="108"/>
      <c r="C356" s="256" t="s">
        <v>10223</v>
      </c>
      <c r="D356" s="297" t="s">
        <v>271</v>
      </c>
      <c r="E356" s="297" t="s">
        <v>5</v>
      </c>
      <c r="F356" s="258" t="s">
        <v>12199</v>
      </c>
      <c r="G356" s="258" t="s">
        <v>12185</v>
      </c>
      <c r="H356" s="258" t="s">
        <v>12200</v>
      </c>
      <c r="I356" s="256" t="s">
        <v>36</v>
      </c>
      <c r="J356" s="351"/>
      <c r="K356" s="297" t="s">
        <v>1784</v>
      </c>
      <c r="L356" s="351"/>
      <c r="M356" s="351"/>
      <c r="N356" s="351"/>
      <c r="O356" s="351"/>
      <c r="P356" s="351"/>
      <c r="Q356" s="351"/>
      <c r="R356" s="351"/>
      <c r="S356" s="351"/>
      <c r="T356" s="351"/>
      <c r="U356" s="351"/>
      <c r="V356" s="351"/>
      <c r="W356" s="351"/>
      <c r="X356" s="351"/>
      <c r="Y356" s="351"/>
      <c r="Z356" s="351"/>
      <c r="AA356" s="351"/>
      <c r="AB356" s="351"/>
    </row>
    <row r="357" ht="14.25" customHeight="1">
      <c r="A357" s="256" t="s">
        <v>12179</v>
      </c>
      <c r="B357" s="108"/>
      <c r="C357" s="256" t="s">
        <v>10225</v>
      </c>
      <c r="D357" s="297" t="s">
        <v>271</v>
      </c>
      <c r="E357" s="297" t="s">
        <v>5</v>
      </c>
      <c r="F357" s="258" t="s">
        <v>12201</v>
      </c>
      <c r="G357" s="258" t="s">
        <v>12185</v>
      </c>
      <c r="H357" s="258" t="s">
        <v>12202</v>
      </c>
      <c r="I357" s="256" t="s">
        <v>36</v>
      </c>
      <c r="J357" s="351"/>
      <c r="K357" s="297" t="s">
        <v>1784</v>
      </c>
      <c r="L357" s="351"/>
      <c r="M357" s="351"/>
      <c r="N357" s="351"/>
      <c r="O357" s="351"/>
      <c r="P357" s="351"/>
      <c r="Q357" s="351"/>
      <c r="R357" s="351"/>
      <c r="S357" s="351"/>
      <c r="T357" s="351"/>
      <c r="U357" s="351"/>
      <c r="V357" s="351"/>
      <c r="W357" s="351"/>
      <c r="X357" s="351"/>
      <c r="Y357" s="351"/>
      <c r="Z357" s="351"/>
      <c r="AA357" s="351"/>
      <c r="AB357" s="351"/>
    </row>
    <row r="358" ht="14.25" customHeight="1">
      <c r="A358" s="256" t="s">
        <v>12179</v>
      </c>
      <c r="B358" s="108"/>
      <c r="C358" s="256" t="s">
        <v>10227</v>
      </c>
      <c r="D358" s="297" t="s">
        <v>271</v>
      </c>
      <c r="E358" s="297" t="s">
        <v>5</v>
      </c>
      <c r="F358" s="258" t="s">
        <v>12203</v>
      </c>
      <c r="G358" s="258" t="s">
        <v>12185</v>
      </c>
      <c r="H358" s="258" t="s">
        <v>12204</v>
      </c>
      <c r="I358" s="256" t="s">
        <v>36</v>
      </c>
      <c r="J358" s="351"/>
      <c r="K358" s="297" t="s">
        <v>1784</v>
      </c>
      <c r="L358" s="351"/>
      <c r="M358" s="351"/>
      <c r="N358" s="351"/>
      <c r="O358" s="351"/>
      <c r="P358" s="351"/>
      <c r="Q358" s="351"/>
      <c r="R358" s="351"/>
      <c r="S358" s="351"/>
      <c r="T358" s="351"/>
      <c r="U358" s="351"/>
      <c r="V358" s="351"/>
      <c r="W358" s="351"/>
      <c r="X358" s="351"/>
      <c r="Y358" s="351"/>
      <c r="Z358" s="351"/>
      <c r="AA358" s="351"/>
      <c r="AB358" s="351"/>
    </row>
    <row r="359" ht="14.25" customHeight="1">
      <c r="A359" s="256" t="s">
        <v>12179</v>
      </c>
      <c r="B359" s="108"/>
      <c r="C359" s="256" t="s">
        <v>10229</v>
      </c>
      <c r="D359" s="297" t="s">
        <v>271</v>
      </c>
      <c r="E359" s="297" t="s">
        <v>5</v>
      </c>
      <c r="F359" s="258" t="s">
        <v>12205</v>
      </c>
      <c r="G359" s="258" t="s">
        <v>12185</v>
      </c>
      <c r="H359" s="258" t="s">
        <v>12206</v>
      </c>
      <c r="I359" s="256" t="s">
        <v>36</v>
      </c>
      <c r="J359" s="351"/>
      <c r="K359" s="297" t="s">
        <v>1784</v>
      </c>
      <c r="L359" s="351"/>
      <c r="M359" s="351"/>
      <c r="N359" s="351"/>
      <c r="O359" s="351"/>
      <c r="P359" s="351"/>
      <c r="Q359" s="351"/>
      <c r="R359" s="351"/>
      <c r="S359" s="351"/>
      <c r="T359" s="351"/>
      <c r="U359" s="351"/>
      <c r="V359" s="351"/>
      <c r="W359" s="351"/>
      <c r="X359" s="351"/>
      <c r="Y359" s="351"/>
      <c r="Z359" s="351"/>
      <c r="AA359" s="351"/>
      <c r="AB359" s="351"/>
    </row>
    <row r="360" ht="14.25" customHeight="1">
      <c r="A360" s="256" t="s">
        <v>12179</v>
      </c>
      <c r="B360" s="108"/>
      <c r="C360" s="256" t="s">
        <v>10231</v>
      </c>
      <c r="D360" s="297" t="s">
        <v>271</v>
      </c>
      <c r="E360" s="297" t="s">
        <v>5</v>
      </c>
      <c r="F360" s="258" t="s">
        <v>12207</v>
      </c>
      <c r="G360" s="258" t="s">
        <v>12185</v>
      </c>
      <c r="H360" s="258" t="s">
        <v>12208</v>
      </c>
      <c r="I360" s="256" t="s">
        <v>36</v>
      </c>
      <c r="J360" s="351"/>
      <c r="K360" s="297" t="s">
        <v>1784</v>
      </c>
      <c r="L360" s="351"/>
      <c r="M360" s="351"/>
      <c r="N360" s="351"/>
      <c r="O360" s="351"/>
      <c r="P360" s="351"/>
      <c r="Q360" s="351"/>
      <c r="R360" s="351"/>
      <c r="S360" s="351"/>
      <c r="T360" s="351"/>
      <c r="U360" s="351"/>
      <c r="V360" s="351"/>
      <c r="W360" s="351"/>
      <c r="X360" s="351"/>
      <c r="Y360" s="351"/>
      <c r="Z360" s="351"/>
      <c r="AA360" s="351"/>
      <c r="AB360" s="351"/>
    </row>
    <row r="361" ht="14.25" customHeight="1">
      <c r="A361" s="256" t="s">
        <v>12179</v>
      </c>
      <c r="B361" s="108"/>
      <c r="C361" s="256" t="s">
        <v>10234</v>
      </c>
      <c r="D361" s="297" t="s">
        <v>271</v>
      </c>
      <c r="E361" s="297" t="s">
        <v>5</v>
      </c>
      <c r="F361" s="258" t="s">
        <v>12209</v>
      </c>
      <c r="G361" s="258" t="s">
        <v>12185</v>
      </c>
      <c r="H361" s="258" t="s">
        <v>12210</v>
      </c>
      <c r="I361" s="256" t="s">
        <v>36</v>
      </c>
      <c r="J361" s="351"/>
      <c r="K361" s="297" t="s">
        <v>1784</v>
      </c>
      <c r="L361" s="351"/>
      <c r="M361" s="351"/>
      <c r="N361" s="351"/>
      <c r="O361" s="351"/>
      <c r="P361" s="351"/>
      <c r="Q361" s="351"/>
      <c r="R361" s="351"/>
      <c r="S361" s="351"/>
      <c r="T361" s="351"/>
      <c r="U361" s="351"/>
      <c r="V361" s="351"/>
      <c r="W361" s="351"/>
      <c r="X361" s="351"/>
      <c r="Y361" s="351"/>
      <c r="Z361" s="351"/>
      <c r="AA361" s="351"/>
      <c r="AB361" s="351"/>
    </row>
    <row r="362" ht="14.25" customHeight="1">
      <c r="A362" s="256" t="s">
        <v>12179</v>
      </c>
      <c r="B362" s="109"/>
      <c r="C362" s="256" t="s">
        <v>10236</v>
      </c>
      <c r="D362" s="297" t="s">
        <v>271</v>
      </c>
      <c r="E362" s="297" t="s">
        <v>5</v>
      </c>
      <c r="F362" s="258" t="s">
        <v>12211</v>
      </c>
      <c r="G362" s="258" t="s">
        <v>12185</v>
      </c>
      <c r="H362" s="258" t="s">
        <v>12212</v>
      </c>
      <c r="I362" s="256" t="s">
        <v>36</v>
      </c>
      <c r="J362" s="351"/>
      <c r="K362" s="297" t="s">
        <v>1784</v>
      </c>
      <c r="L362" s="351"/>
      <c r="M362" s="351"/>
      <c r="N362" s="351"/>
      <c r="O362" s="351"/>
      <c r="P362" s="351"/>
      <c r="Q362" s="351"/>
      <c r="R362" s="351"/>
      <c r="S362" s="351"/>
      <c r="T362" s="351"/>
      <c r="U362" s="351"/>
      <c r="V362" s="351"/>
      <c r="W362" s="351"/>
      <c r="X362" s="351"/>
      <c r="Y362" s="351"/>
      <c r="Z362" s="351"/>
      <c r="AA362" s="351"/>
      <c r="AB362" s="351"/>
    </row>
    <row r="363" ht="14.25" customHeight="1">
      <c r="A363" s="309" t="s">
        <v>12213</v>
      </c>
      <c r="B363" s="402" t="s">
        <v>12214</v>
      </c>
      <c r="C363" s="256" t="s">
        <v>10199</v>
      </c>
      <c r="D363" s="297" t="s">
        <v>271</v>
      </c>
      <c r="E363" s="258" t="s">
        <v>12215</v>
      </c>
      <c r="F363" s="258" t="s">
        <v>12216</v>
      </c>
      <c r="G363" s="258" t="s">
        <v>12217</v>
      </c>
      <c r="H363" s="258" t="s">
        <v>12218</v>
      </c>
      <c r="I363" s="256" t="s">
        <v>36</v>
      </c>
      <c r="J363" s="351"/>
      <c r="K363" s="297" t="s">
        <v>1784</v>
      </c>
      <c r="L363" s="351"/>
      <c r="M363" s="351"/>
      <c r="N363" s="351"/>
      <c r="O363" s="351"/>
      <c r="P363" s="351"/>
      <c r="Q363" s="351"/>
      <c r="R363" s="351"/>
      <c r="S363" s="351"/>
      <c r="T363" s="351"/>
      <c r="U363" s="351"/>
      <c r="V363" s="351"/>
      <c r="W363" s="351"/>
      <c r="X363" s="351"/>
      <c r="Y363" s="351"/>
      <c r="Z363" s="351"/>
      <c r="AA363" s="351"/>
      <c r="AB363" s="351"/>
    </row>
    <row r="364" ht="14.25" customHeight="1">
      <c r="A364" s="309" t="s">
        <v>12213</v>
      </c>
      <c r="B364" s="108"/>
      <c r="C364" s="256" t="s">
        <v>10203</v>
      </c>
      <c r="D364" s="297" t="s">
        <v>271</v>
      </c>
      <c r="E364" s="258" t="s">
        <v>12215</v>
      </c>
      <c r="F364" s="258" t="s">
        <v>12219</v>
      </c>
      <c r="G364" s="258" t="s">
        <v>12220</v>
      </c>
      <c r="H364" s="258" t="s">
        <v>12221</v>
      </c>
      <c r="I364" s="256" t="s">
        <v>36</v>
      </c>
      <c r="J364" s="351"/>
      <c r="K364" s="297" t="s">
        <v>1784</v>
      </c>
      <c r="L364" s="351"/>
      <c r="M364" s="351"/>
      <c r="N364" s="351"/>
      <c r="O364" s="351"/>
      <c r="P364" s="351"/>
      <c r="Q364" s="351"/>
      <c r="R364" s="351"/>
      <c r="S364" s="351"/>
      <c r="T364" s="351"/>
      <c r="U364" s="351"/>
      <c r="V364" s="351"/>
      <c r="W364" s="351"/>
      <c r="X364" s="351"/>
      <c r="Y364" s="351"/>
      <c r="Z364" s="351"/>
      <c r="AA364" s="351"/>
      <c r="AB364" s="351"/>
    </row>
    <row r="365" ht="14.25" customHeight="1">
      <c r="A365" s="309" t="s">
        <v>12213</v>
      </c>
      <c r="B365" s="108"/>
      <c r="C365" s="256" t="s">
        <v>10206</v>
      </c>
      <c r="D365" s="297" t="s">
        <v>271</v>
      </c>
      <c r="E365" s="258" t="s">
        <v>12215</v>
      </c>
      <c r="F365" s="258" t="s">
        <v>12222</v>
      </c>
      <c r="G365" s="258" t="s">
        <v>12220</v>
      </c>
      <c r="H365" s="258" t="s">
        <v>12223</v>
      </c>
      <c r="I365" s="256" t="s">
        <v>36</v>
      </c>
      <c r="J365" s="351"/>
      <c r="K365" s="297" t="s">
        <v>1784</v>
      </c>
      <c r="L365" s="351"/>
      <c r="M365" s="351"/>
      <c r="N365" s="351"/>
      <c r="O365" s="351"/>
      <c r="P365" s="351"/>
      <c r="Q365" s="351"/>
      <c r="R365" s="351"/>
      <c r="S365" s="351"/>
      <c r="T365" s="351"/>
      <c r="U365" s="351"/>
      <c r="V365" s="351"/>
      <c r="W365" s="351"/>
      <c r="X365" s="351"/>
      <c r="Y365" s="351"/>
      <c r="Z365" s="351"/>
      <c r="AA365" s="351"/>
      <c r="AB365" s="351"/>
    </row>
    <row r="366" ht="14.25" customHeight="1">
      <c r="A366" s="309" t="s">
        <v>12213</v>
      </c>
      <c r="B366" s="108"/>
      <c r="C366" s="256" t="s">
        <v>10209</v>
      </c>
      <c r="D366" s="297" t="s">
        <v>271</v>
      </c>
      <c r="E366" s="258" t="s">
        <v>12215</v>
      </c>
      <c r="F366" s="258" t="s">
        <v>12224</v>
      </c>
      <c r="G366" s="258" t="s">
        <v>12225</v>
      </c>
      <c r="H366" s="258" t="s">
        <v>12226</v>
      </c>
      <c r="I366" s="256" t="s">
        <v>36</v>
      </c>
      <c r="J366" s="351"/>
      <c r="K366" s="297" t="s">
        <v>1784</v>
      </c>
      <c r="L366" s="351"/>
      <c r="M366" s="351"/>
      <c r="N366" s="351"/>
      <c r="O366" s="351"/>
      <c r="P366" s="351"/>
      <c r="Q366" s="351"/>
      <c r="R366" s="351"/>
      <c r="S366" s="351"/>
      <c r="T366" s="351"/>
      <c r="U366" s="351"/>
      <c r="V366" s="351"/>
      <c r="W366" s="351"/>
      <c r="X366" s="351"/>
      <c r="Y366" s="351"/>
      <c r="Z366" s="351"/>
      <c r="AA366" s="351"/>
      <c r="AB366" s="351"/>
    </row>
    <row r="367" ht="14.25" customHeight="1">
      <c r="A367" s="309" t="s">
        <v>12213</v>
      </c>
      <c r="B367" s="108"/>
      <c r="C367" s="256" t="s">
        <v>10212</v>
      </c>
      <c r="D367" s="297" t="s">
        <v>271</v>
      </c>
      <c r="E367" s="258" t="s">
        <v>12215</v>
      </c>
      <c r="F367" s="258" t="s">
        <v>12227</v>
      </c>
      <c r="G367" s="258" t="s">
        <v>12228</v>
      </c>
      <c r="H367" s="258" t="s">
        <v>12229</v>
      </c>
      <c r="I367" s="256" t="s">
        <v>36</v>
      </c>
      <c r="J367" s="351"/>
      <c r="K367" s="297" t="s">
        <v>1784</v>
      </c>
      <c r="L367" s="351"/>
      <c r="M367" s="351"/>
      <c r="N367" s="351"/>
      <c r="O367" s="351"/>
      <c r="P367" s="351"/>
      <c r="Q367" s="351"/>
      <c r="R367" s="351"/>
      <c r="S367" s="351"/>
      <c r="T367" s="351"/>
      <c r="U367" s="351"/>
      <c r="V367" s="351"/>
      <c r="W367" s="351"/>
      <c r="X367" s="351"/>
      <c r="Y367" s="351"/>
      <c r="Z367" s="351"/>
      <c r="AA367" s="351"/>
      <c r="AB367" s="351"/>
    </row>
    <row r="368" ht="14.25" customHeight="1">
      <c r="A368" s="309" t="s">
        <v>12213</v>
      </c>
      <c r="B368" s="108"/>
      <c r="C368" s="256" t="s">
        <v>10214</v>
      </c>
      <c r="D368" s="297" t="s">
        <v>271</v>
      </c>
      <c r="E368" s="258" t="s">
        <v>12215</v>
      </c>
      <c r="F368" s="258" t="s">
        <v>12230</v>
      </c>
      <c r="G368" s="258" t="s">
        <v>12231</v>
      </c>
      <c r="H368" s="258" t="s">
        <v>12232</v>
      </c>
      <c r="I368" s="256" t="s">
        <v>36</v>
      </c>
      <c r="J368" s="351"/>
      <c r="K368" s="297" t="s">
        <v>1784</v>
      </c>
      <c r="L368" s="351"/>
      <c r="M368" s="351"/>
      <c r="N368" s="351"/>
      <c r="O368" s="351"/>
      <c r="P368" s="351"/>
      <c r="Q368" s="351"/>
      <c r="R368" s="351"/>
      <c r="S368" s="351"/>
      <c r="T368" s="351"/>
      <c r="U368" s="351"/>
      <c r="V368" s="351"/>
      <c r="W368" s="351"/>
      <c r="X368" s="351"/>
      <c r="Y368" s="351"/>
      <c r="Z368" s="351"/>
      <c r="AA368" s="351"/>
      <c r="AB368" s="351"/>
    </row>
    <row r="369" ht="14.25" customHeight="1">
      <c r="A369" s="309" t="s">
        <v>12213</v>
      </c>
      <c r="B369" s="108"/>
      <c r="C369" s="256" t="s">
        <v>10217</v>
      </c>
      <c r="D369" s="297" t="s">
        <v>271</v>
      </c>
      <c r="E369" s="258" t="s">
        <v>12215</v>
      </c>
      <c r="F369" s="258" t="s">
        <v>12233</v>
      </c>
      <c r="G369" s="258" t="s">
        <v>12234</v>
      </c>
      <c r="H369" s="258" t="s">
        <v>12235</v>
      </c>
      <c r="I369" s="256" t="s">
        <v>36</v>
      </c>
      <c r="J369" s="351"/>
      <c r="K369" s="297" t="s">
        <v>1784</v>
      </c>
      <c r="L369" s="351"/>
      <c r="M369" s="351"/>
      <c r="N369" s="351"/>
      <c r="O369" s="351"/>
      <c r="P369" s="351"/>
      <c r="Q369" s="351"/>
      <c r="R369" s="351"/>
      <c r="S369" s="351"/>
      <c r="T369" s="351"/>
      <c r="U369" s="351"/>
      <c r="V369" s="351"/>
      <c r="W369" s="351"/>
      <c r="X369" s="351"/>
      <c r="Y369" s="351"/>
      <c r="Z369" s="351"/>
      <c r="AA369" s="351"/>
      <c r="AB369" s="351"/>
    </row>
    <row r="370" ht="14.25" customHeight="1">
      <c r="A370" s="309" t="s">
        <v>12213</v>
      </c>
      <c r="B370" s="108"/>
      <c r="C370" s="256" t="s">
        <v>10220</v>
      </c>
      <c r="D370" s="297" t="s">
        <v>271</v>
      </c>
      <c r="E370" s="258" t="s">
        <v>12215</v>
      </c>
      <c r="F370" s="258" t="s">
        <v>12236</v>
      </c>
      <c r="G370" s="258" t="s">
        <v>12237</v>
      </c>
      <c r="H370" s="258" t="s">
        <v>12238</v>
      </c>
      <c r="I370" s="256" t="s">
        <v>36</v>
      </c>
      <c r="J370" s="351"/>
      <c r="K370" s="297" t="s">
        <v>1784</v>
      </c>
      <c r="L370" s="351"/>
      <c r="M370" s="351"/>
      <c r="N370" s="351"/>
      <c r="O370" s="351"/>
      <c r="P370" s="351"/>
      <c r="Q370" s="351"/>
      <c r="R370" s="351"/>
      <c r="S370" s="351"/>
      <c r="T370" s="351"/>
      <c r="U370" s="351"/>
      <c r="V370" s="351"/>
      <c r="W370" s="351"/>
      <c r="X370" s="351"/>
      <c r="Y370" s="351"/>
      <c r="Z370" s="351"/>
      <c r="AA370" s="351"/>
      <c r="AB370" s="351"/>
    </row>
    <row r="371" ht="14.25" customHeight="1">
      <c r="A371" s="309" t="s">
        <v>12213</v>
      </c>
      <c r="B371" s="108"/>
      <c r="C371" s="256" t="s">
        <v>10223</v>
      </c>
      <c r="D371" s="297" t="s">
        <v>271</v>
      </c>
      <c r="E371" s="258" t="s">
        <v>12215</v>
      </c>
      <c r="F371" s="258" t="s">
        <v>12239</v>
      </c>
      <c r="G371" s="258" t="s">
        <v>12240</v>
      </c>
      <c r="H371" s="258" t="s">
        <v>12241</v>
      </c>
      <c r="I371" s="256" t="s">
        <v>36</v>
      </c>
      <c r="J371" s="351"/>
      <c r="K371" s="297" t="s">
        <v>1784</v>
      </c>
      <c r="L371" s="351"/>
      <c r="M371" s="351"/>
      <c r="N371" s="351"/>
      <c r="O371" s="351"/>
      <c r="P371" s="351"/>
      <c r="Q371" s="351"/>
      <c r="R371" s="351"/>
      <c r="S371" s="351"/>
      <c r="T371" s="351"/>
      <c r="U371" s="351"/>
      <c r="V371" s="351"/>
      <c r="W371" s="351"/>
      <c r="X371" s="351"/>
      <c r="Y371" s="351"/>
      <c r="Z371" s="351"/>
      <c r="AA371" s="351"/>
      <c r="AB371" s="351"/>
    </row>
    <row r="372" ht="14.25" customHeight="1">
      <c r="A372" s="309" t="s">
        <v>12213</v>
      </c>
      <c r="B372" s="108"/>
      <c r="C372" s="256" t="s">
        <v>10225</v>
      </c>
      <c r="D372" s="297" t="s">
        <v>271</v>
      </c>
      <c r="E372" s="258" t="s">
        <v>12242</v>
      </c>
      <c r="F372" s="259" t="s">
        <v>12243</v>
      </c>
      <c r="G372" s="259" t="s">
        <v>12244</v>
      </c>
      <c r="H372" s="259" t="s">
        <v>12245</v>
      </c>
      <c r="I372" s="256" t="s">
        <v>36</v>
      </c>
      <c r="J372" s="351"/>
      <c r="K372" s="297" t="s">
        <v>1784</v>
      </c>
      <c r="L372" s="351"/>
      <c r="M372" s="351"/>
      <c r="N372" s="351"/>
      <c r="O372" s="351"/>
      <c r="P372" s="351"/>
      <c r="Q372" s="351"/>
      <c r="R372" s="351"/>
      <c r="S372" s="351"/>
      <c r="T372" s="351"/>
      <c r="U372" s="351"/>
      <c r="V372" s="351"/>
      <c r="W372" s="351"/>
      <c r="X372" s="351"/>
      <c r="Y372" s="351"/>
      <c r="Z372" s="351"/>
      <c r="AA372" s="351"/>
      <c r="AB372" s="351"/>
    </row>
    <row r="373" ht="14.25" customHeight="1">
      <c r="A373" s="309" t="s">
        <v>12213</v>
      </c>
      <c r="B373" s="108"/>
      <c r="C373" s="256" t="s">
        <v>10227</v>
      </c>
      <c r="D373" s="297" t="s">
        <v>271</v>
      </c>
      <c r="E373" s="258" t="s">
        <v>12242</v>
      </c>
      <c r="F373" s="259" t="s">
        <v>12246</v>
      </c>
      <c r="G373" s="259" t="s">
        <v>12244</v>
      </c>
      <c r="H373" s="259" t="s">
        <v>12247</v>
      </c>
      <c r="I373" s="256" t="s">
        <v>36</v>
      </c>
      <c r="J373" s="351"/>
      <c r="K373" s="297" t="s">
        <v>1784</v>
      </c>
      <c r="L373" s="351"/>
      <c r="M373" s="351"/>
      <c r="N373" s="351"/>
      <c r="O373" s="351"/>
      <c r="P373" s="351"/>
      <c r="Q373" s="351"/>
      <c r="R373" s="351"/>
      <c r="S373" s="351"/>
      <c r="T373" s="351"/>
      <c r="U373" s="351"/>
      <c r="V373" s="351"/>
      <c r="W373" s="351"/>
      <c r="X373" s="351"/>
      <c r="Y373" s="351"/>
      <c r="Z373" s="351"/>
      <c r="AA373" s="351"/>
      <c r="AB373" s="351"/>
    </row>
    <row r="374" ht="14.25" customHeight="1">
      <c r="A374" s="309" t="s">
        <v>12213</v>
      </c>
      <c r="B374" s="108"/>
      <c r="C374" s="256" t="s">
        <v>10229</v>
      </c>
      <c r="D374" s="297" t="s">
        <v>271</v>
      </c>
      <c r="E374" s="258" t="s">
        <v>12242</v>
      </c>
      <c r="F374" s="259" t="s">
        <v>12248</v>
      </c>
      <c r="G374" s="259" t="s">
        <v>12244</v>
      </c>
      <c r="H374" s="259" t="s">
        <v>12249</v>
      </c>
      <c r="I374" s="256" t="s">
        <v>36</v>
      </c>
      <c r="J374" s="351"/>
      <c r="K374" s="297" t="s">
        <v>1784</v>
      </c>
      <c r="L374" s="351"/>
      <c r="M374" s="351"/>
      <c r="N374" s="351"/>
      <c r="O374" s="351"/>
      <c r="P374" s="351"/>
      <c r="Q374" s="351"/>
      <c r="R374" s="351"/>
      <c r="S374" s="351"/>
      <c r="T374" s="351"/>
      <c r="U374" s="351"/>
      <c r="V374" s="351"/>
      <c r="W374" s="351"/>
      <c r="X374" s="351"/>
      <c r="Y374" s="351"/>
      <c r="Z374" s="351"/>
      <c r="AA374" s="351"/>
      <c r="AB374" s="351"/>
    </row>
    <row r="375" ht="14.25" customHeight="1">
      <c r="A375" s="309" t="s">
        <v>12213</v>
      </c>
      <c r="B375" s="108"/>
      <c r="C375" s="256" t="s">
        <v>10231</v>
      </c>
      <c r="D375" s="297" t="s">
        <v>271</v>
      </c>
      <c r="E375" s="258" t="s">
        <v>12242</v>
      </c>
      <c r="F375" s="259" t="s">
        <v>12250</v>
      </c>
      <c r="G375" s="259" t="s">
        <v>12251</v>
      </c>
      <c r="H375" s="259" t="s">
        <v>12252</v>
      </c>
      <c r="I375" s="256" t="s">
        <v>36</v>
      </c>
      <c r="J375" s="351"/>
      <c r="K375" s="297" t="s">
        <v>1784</v>
      </c>
      <c r="L375" s="351"/>
      <c r="M375" s="351"/>
      <c r="N375" s="351"/>
      <c r="O375" s="351"/>
      <c r="P375" s="351"/>
      <c r="Q375" s="351"/>
      <c r="R375" s="351"/>
      <c r="S375" s="351"/>
      <c r="T375" s="351"/>
      <c r="U375" s="351"/>
      <c r="V375" s="351"/>
      <c r="W375" s="351"/>
      <c r="X375" s="351"/>
      <c r="Y375" s="351"/>
      <c r="Z375" s="351"/>
      <c r="AA375" s="351"/>
      <c r="AB375" s="351"/>
    </row>
    <row r="376" ht="14.25" customHeight="1">
      <c r="A376" s="309" t="s">
        <v>12213</v>
      </c>
      <c r="B376" s="108"/>
      <c r="C376" s="256" t="s">
        <v>10234</v>
      </c>
      <c r="D376" s="297" t="s">
        <v>271</v>
      </c>
      <c r="E376" s="258" t="s">
        <v>12242</v>
      </c>
      <c r="F376" s="259" t="s">
        <v>12253</v>
      </c>
      <c r="G376" s="259" t="s">
        <v>12254</v>
      </c>
      <c r="H376" s="259" t="s">
        <v>12255</v>
      </c>
      <c r="I376" s="256" t="s">
        <v>36</v>
      </c>
      <c r="J376" s="351"/>
      <c r="K376" s="297" t="s">
        <v>1784</v>
      </c>
      <c r="L376" s="351"/>
      <c r="M376" s="351"/>
      <c r="N376" s="351"/>
      <c r="O376" s="351"/>
      <c r="P376" s="351"/>
      <c r="Q376" s="351"/>
      <c r="R376" s="351"/>
      <c r="S376" s="351"/>
      <c r="T376" s="351"/>
      <c r="U376" s="351"/>
      <c r="V376" s="351"/>
      <c r="W376" s="351"/>
      <c r="X376" s="351"/>
      <c r="Y376" s="351"/>
      <c r="Z376" s="351"/>
      <c r="AA376" s="351"/>
      <c r="AB376" s="351"/>
    </row>
    <row r="377" ht="14.25" customHeight="1">
      <c r="A377" s="309" t="s">
        <v>12213</v>
      </c>
      <c r="B377" s="108"/>
      <c r="C377" s="256" t="s">
        <v>10236</v>
      </c>
      <c r="D377" s="297" t="s">
        <v>271</v>
      </c>
      <c r="E377" s="258" t="s">
        <v>12242</v>
      </c>
      <c r="F377" s="259" t="s">
        <v>12256</v>
      </c>
      <c r="G377" s="259" t="s">
        <v>12257</v>
      </c>
      <c r="H377" s="259" t="s">
        <v>12258</v>
      </c>
      <c r="I377" s="256" t="s">
        <v>36</v>
      </c>
      <c r="J377" s="351"/>
      <c r="K377" s="297" t="s">
        <v>1784</v>
      </c>
      <c r="L377" s="351"/>
      <c r="M377" s="351"/>
      <c r="N377" s="351"/>
      <c r="O377" s="351"/>
      <c r="P377" s="351"/>
      <c r="Q377" s="351"/>
      <c r="R377" s="351"/>
      <c r="S377" s="351"/>
      <c r="T377" s="351"/>
      <c r="U377" s="351"/>
      <c r="V377" s="351"/>
      <c r="W377" s="351"/>
      <c r="X377" s="351"/>
      <c r="Y377" s="351"/>
      <c r="Z377" s="351"/>
      <c r="AA377" s="351"/>
      <c r="AB377" s="351"/>
    </row>
    <row r="378" ht="14.25" customHeight="1">
      <c r="A378" s="309" t="s">
        <v>12213</v>
      </c>
      <c r="B378" s="108"/>
      <c r="C378" s="256" t="s">
        <v>12259</v>
      </c>
      <c r="D378" s="297" t="s">
        <v>271</v>
      </c>
      <c r="E378" s="258" t="s">
        <v>12242</v>
      </c>
      <c r="F378" s="259" t="s">
        <v>12260</v>
      </c>
      <c r="G378" s="259" t="s">
        <v>12261</v>
      </c>
      <c r="H378" s="259" t="s">
        <v>12262</v>
      </c>
      <c r="I378" s="256" t="s">
        <v>36</v>
      </c>
      <c r="J378" s="351"/>
      <c r="K378" s="297" t="s">
        <v>1784</v>
      </c>
      <c r="L378" s="351"/>
      <c r="M378" s="351"/>
      <c r="N378" s="351"/>
      <c r="O378" s="351"/>
      <c r="P378" s="351"/>
      <c r="Q378" s="351"/>
      <c r="R378" s="351"/>
      <c r="S378" s="351"/>
      <c r="T378" s="351"/>
      <c r="U378" s="351"/>
      <c r="V378" s="351"/>
      <c r="W378" s="351"/>
      <c r="X378" s="351"/>
      <c r="Y378" s="351"/>
      <c r="Z378" s="351"/>
      <c r="AA378" s="351"/>
      <c r="AB378" s="351"/>
    </row>
    <row r="379" ht="14.25" customHeight="1">
      <c r="A379" s="309" t="s">
        <v>12213</v>
      </c>
      <c r="B379" s="108"/>
      <c r="C379" s="256" t="s">
        <v>12263</v>
      </c>
      <c r="D379" s="297" t="s">
        <v>271</v>
      </c>
      <c r="E379" s="258" t="s">
        <v>12242</v>
      </c>
      <c r="F379" s="258" t="s">
        <v>12264</v>
      </c>
      <c r="G379" s="259" t="s">
        <v>12261</v>
      </c>
      <c r="H379" s="258" t="s">
        <v>12265</v>
      </c>
      <c r="I379" s="256" t="s">
        <v>36</v>
      </c>
      <c r="J379" s="351"/>
      <c r="K379" s="297" t="s">
        <v>1784</v>
      </c>
      <c r="L379" s="351"/>
      <c r="M379" s="351"/>
      <c r="N379" s="351"/>
      <c r="O379" s="351"/>
      <c r="P379" s="351"/>
      <c r="Q379" s="351"/>
      <c r="R379" s="351"/>
      <c r="S379" s="351"/>
      <c r="T379" s="351"/>
      <c r="U379" s="351"/>
      <c r="V379" s="351"/>
      <c r="W379" s="351"/>
      <c r="X379" s="351"/>
      <c r="Y379" s="351"/>
      <c r="Z379" s="351"/>
      <c r="AA379" s="351"/>
      <c r="AB379" s="351"/>
    </row>
    <row r="380" ht="14.25" customHeight="1">
      <c r="A380" s="309" t="s">
        <v>12213</v>
      </c>
      <c r="B380" s="108"/>
      <c r="C380" s="256" t="s">
        <v>12266</v>
      </c>
      <c r="D380" s="297" t="s">
        <v>271</v>
      </c>
      <c r="E380" s="258" t="s">
        <v>12242</v>
      </c>
      <c r="F380" s="258" t="s">
        <v>12267</v>
      </c>
      <c r="G380" s="258" t="s">
        <v>12268</v>
      </c>
      <c r="H380" s="258" t="s">
        <v>12269</v>
      </c>
      <c r="I380" s="256" t="s">
        <v>36</v>
      </c>
      <c r="J380" s="351"/>
      <c r="K380" s="297" t="s">
        <v>1784</v>
      </c>
      <c r="L380" s="351"/>
      <c r="M380" s="351"/>
      <c r="N380" s="351"/>
      <c r="O380" s="351"/>
      <c r="P380" s="351"/>
      <c r="Q380" s="351"/>
      <c r="R380" s="351"/>
      <c r="S380" s="351"/>
      <c r="T380" s="351"/>
      <c r="U380" s="351"/>
      <c r="V380" s="351"/>
      <c r="W380" s="351"/>
      <c r="X380" s="351"/>
      <c r="Y380" s="351"/>
      <c r="Z380" s="351"/>
      <c r="AA380" s="351"/>
      <c r="AB380" s="351"/>
    </row>
    <row r="381" ht="14.25" customHeight="1">
      <c r="A381" s="309" t="s">
        <v>12213</v>
      </c>
      <c r="B381" s="108"/>
      <c r="C381" s="256" t="s">
        <v>12270</v>
      </c>
      <c r="D381" s="297" t="s">
        <v>271</v>
      </c>
      <c r="E381" s="258" t="s">
        <v>12215</v>
      </c>
      <c r="F381" s="258" t="s">
        <v>12271</v>
      </c>
      <c r="G381" s="258" t="s">
        <v>12272</v>
      </c>
      <c r="H381" s="258" t="s">
        <v>12273</v>
      </c>
      <c r="I381" s="256" t="s">
        <v>36</v>
      </c>
      <c r="J381" s="351"/>
      <c r="K381" s="297" t="s">
        <v>1784</v>
      </c>
      <c r="L381" s="351"/>
      <c r="M381" s="351"/>
      <c r="N381" s="351"/>
      <c r="O381" s="351"/>
      <c r="P381" s="351"/>
      <c r="Q381" s="351"/>
      <c r="R381" s="351"/>
      <c r="S381" s="351"/>
      <c r="T381" s="351"/>
      <c r="U381" s="351"/>
      <c r="V381" s="351"/>
      <c r="W381" s="351"/>
      <c r="X381" s="351"/>
      <c r="Y381" s="351"/>
      <c r="Z381" s="351"/>
      <c r="AA381" s="351"/>
      <c r="AB381" s="351"/>
    </row>
    <row r="382" ht="14.25" customHeight="1">
      <c r="A382" s="309" t="s">
        <v>12213</v>
      </c>
      <c r="B382" s="108"/>
      <c r="C382" s="256" t="s">
        <v>12274</v>
      </c>
      <c r="D382" s="297" t="s">
        <v>271</v>
      </c>
      <c r="E382" s="258" t="s">
        <v>12242</v>
      </c>
      <c r="F382" s="258" t="s">
        <v>12275</v>
      </c>
      <c r="G382" s="258" t="s">
        <v>12272</v>
      </c>
      <c r="H382" s="258" t="s">
        <v>12276</v>
      </c>
      <c r="I382" s="256" t="s">
        <v>36</v>
      </c>
      <c r="J382" s="351"/>
      <c r="K382" s="297" t="s">
        <v>1784</v>
      </c>
      <c r="L382" s="351"/>
      <c r="M382" s="351"/>
      <c r="N382" s="351"/>
      <c r="O382" s="351"/>
      <c r="P382" s="351"/>
      <c r="Q382" s="351"/>
      <c r="R382" s="351"/>
      <c r="S382" s="351"/>
      <c r="T382" s="351"/>
      <c r="U382" s="351"/>
      <c r="V382" s="351"/>
      <c r="W382" s="351"/>
      <c r="X382" s="351"/>
      <c r="Y382" s="351"/>
      <c r="Z382" s="351"/>
      <c r="AA382" s="351"/>
      <c r="AB382" s="351"/>
    </row>
    <row r="383" ht="14.25" customHeight="1">
      <c r="A383" s="309" t="s">
        <v>12213</v>
      </c>
      <c r="B383" s="108"/>
      <c r="C383" s="256" t="s">
        <v>12277</v>
      </c>
      <c r="D383" s="297" t="s">
        <v>271</v>
      </c>
      <c r="E383" s="258" t="s">
        <v>12215</v>
      </c>
      <c r="F383" s="258" t="s">
        <v>12278</v>
      </c>
      <c r="G383" s="258" t="s">
        <v>12272</v>
      </c>
      <c r="H383" s="258" t="s">
        <v>12279</v>
      </c>
      <c r="I383" s="256" t="s">
        <v>317</v>
      </c>
      <c r="J383" s="351"/>
      <c r="K383" s="297" t="s">
        <v>1784</v>
      </c>
      <c r="L383" s="351"/>
      <c r="M383" s="351"/>
      <c r="N383" s="351"/>
      <c r="O383" s="351"/>
      <c r="P383" s="351"/>
      <c r="Q383" s="351"/>
      <c r="R383" s="351"/>
      <c r="S383" s="351"/>
      <c r="T383" s="351"/>
      <c r="U383" s="351"/>
      <c r="V383" s="351"/>
      <c r="W383" s="351"/>
      <c r="X383" s="351"/>
      <c r="Y383" s="351"/>
      <c r="Z383" s="351"/>
      <c r="AA383" s="351"/>
      <c r="AB383" s="351"/>
    </row>
    <row r="384" ht="14.25" customHeight="1">
      <c r="A384" s="309" t="s">
        <v>12213</v>
      </c>
      <c r="B384" s="108"/>
      <c r="C384" s="256" t="s">
        <v>12280</v>
      </c>
      <c r="D384" s="297" t="s">
        <v>271</v>
      </c>
      <c r="E384" s="258" t="s">
        <v>12215</v>
      </c>
      <c r="F384" s="258" t="s">
        <v>12281</v>
      </c>
      <c r="G384" s="258" t="s">
        <v>12272</v>
      </c>
      <c r="H384" s="258" t="s">
        <v>12282</v>
      </c>
      <c r="I384" s="256" t="s">
        <v>36</v>
      </c>
      <c r="J384" s="351"/>
      <c r="K384" s="297" t="s">
        <v>1784</v>
      </c>
      <c r="L384" s="351"/>
      <c r="M384" s="351"/>
      <c r="N384" s="351"/>
      <c r="O384" s="351"/>
      <c r="P384" s="351"/>
      <c r="Q384" s="351"/>
      <c r="R384" s="351"/>
      <c r="S384" s="351"/>
      <c r="T384" s="351"/>
      <c r="U384" s="351"/>
      <c r="V384" s="351"/>
      <c r="W384" s="351"/>
      <c r="X384" s="351"/>
      <c r="Y384" s="351"/>
      <c r="Z384" s="351"/>
      <c r="AA384" s="351"/>
      <c r="AB384" s="351"/>
    </row>
    <row r="385" ht="14.25" customHeight="1">
      <c r="A385" s="309" t="s">
        <v>12213</v>
      </c>
      <c r="B385" s="108"/>
      <c r="C385" s="256" t="s">
        <v>12283</v>
      </c>
      <c r="D385" s="297" t="s">
        <v>271</v>
      </c>
      <c r="E385" s="258" t="s">
        <v>12215</v>
      </c>
      <c r="F385" s="258" t="s">
        <v>12284</v>
      </c>
      <c r="G385" s="258" t="s">
        <v>12272</v>
      </c>
      <c r="H385" s="258" t="s">
        <v>12285</v>
      </c>
      <c r="I385" s="256" t="s">
        <v>36</v>
      </c>
      <c r="J385" s="351"/>
      <c r="K385" s="297" t="s">
        <v>1784</v>
      </c>
      <c r="L385" s="351"/>
      <c r="M385" s="351"/>
      <c r="N385" s="351"/>
      <c r="O385" s="351"/>
      <c r="P385" s="351"/>
      <c r="Q385" s="351"/>
      <c r="R385" s="351"/>
      <c r="S385" s="351"/>
      <c r="T385" s="351"/>
      <c r="U385" s="351"/>
      <c r="V385" s="351"/>
      <c r="W385" s="351"/>
      <c r="X385" s="351"/>
      <c r="Y385" s="351"/>
      <c r="Z385" s="351"/>
      <c r="AA385" s="351"/>
      <c r="AB385" s="351"/>
    </row>
    <row r="386" ht="14.25" customHeight="1">
      <c r="A386" s="309" t="s">
        <v>12213</v>
      </c>
      <c r="B386" s="109"/>
      <c r="C386" s="256" t="s">
        <v>12286</v>
      </c>
      <c r="D386" s="297" t="s">
        <v>271</v>
      </c>
      <c r="E386" s="258" t="s">
        <v>12242</v>
      </c>
      <c r="F386" s="258" t="s">
        <v>12287</v>
      </c>
      <c r="G386" s="258" t="s">
        <v>12272</v>
      </c>
      <c r="H386" s="258" t="s">
        <v>12288</v>
      </c>
      <c r="I386" s="256" t="s">
        <v>36</v>
      </c>
      <c r="J386" s="351"/>
      <c r="K386" s="297" t="s">
        <v>1784</v>
      </c>
      <c r="L386" s="351"/>
      <c r="M386" s="351"/>
      <c r="N386" s="351"/>
      <c r="O386" s="351"/>
      <c r="P386" s="351"/>
      <c r="Q386" s="351"/>
      <c r="R386" s="351"/>
      <c r="S386" s="351"/>
      <c r="T386" s="351"/>
      <c r="U386" s="351"/>
      <c r="V386" s="351"/>
      <c r="W386" s="351"/>
      <c r="X386" s="351"/>
      <c r="Y386" s="351"/>
      <c r="Z386" s="351"/>
      <c r="AA386" s="351"/>
      <c r="AB386" s="351"/>
    </row>
    <row r="387" ht="14.25" customHeight="1">
      <c r="A387" s="445" t="s">
        <v>12289</v>
      </c>
      <c r="B387" s="366" t="s">
        <v>12290</v>
      </c>
      <c r="C387" s="256" t="s">
        <v>12291</v>
      </c>
      <c r="D387" s="297" t="s">
        <v>271</v>
      </c>
      <c r="E387" s="256" t="s">
        <v>5</v>
      </c>
      <c r="F387" s="258" t="s">
        <v>12292</v>
      </c>
      <c r="G387" s="258" t="s">
        <v>12293</v>
      </c>
      <c r="H387" s="258" t="s">
        <v>12294</v>
      </c>
      <c r="I387" s="256" t="s">
        <v>36</v>
      </c>
      <c r="J387" s="351"/>
      <c r="K387" s="303" t="s">
        <v>2034</v>
      </c>
      <c r="L387" s="351"/>
      <c r="M387" s="351"/>
      <c r="N387" s="351"/>
      <c r="O387" s="351"/>
      <c r="P387" s="351"/>
      <c r="Q387" s="351"/>
      <c r="R387" s="351"/>
      <c r="S387" s="351"/>
      <c r="T387" s="351"/>
      <c r="U387" s="351"/>
      <c r="V387" s="351"/>
      <c r="W387" s="351"/>
      <c r="X387" s="351"/>
      <c r="Y387" s="351"/>
      <c r="Z387" s="351"/>
      <c r="AA387" s="351"/>
      <c r="AB387" s="351"/>
    </row>
    <row r="388" ht="14.25" customHeight="1">
      <c r="A388" s="445" t="s">
        <v>12289</v>
      </c>
      <c r="B388" s="108"/>
      <c r="C388" s="256" t="s">
        <v>12295</v>
      </c>
      <c r="D388" s="297" t="s">
        <v>271</v>
      </c>
      <c r="E388" s="256" t="s">
        <v>5</v>
      </c>
      <c r="F388" s="258" t="s">
        <v>12296</v>
      </c>
      <c r="G388" s="258" t="s">
        <v>12293</v>
      </c>
      <c r="H388" s="258" t="s">
        <v>12297</v>
      </c>
      <c r="I388" s="256" t="s">
        <v>36</v>
      </c>
      <c r="J388" s="351"/>
      <c r="K388" s="303" t="s">
        <v>2034</v>
      </c>
      <c r="L388" s="351"/>
      <c r="M388" s="351"/>
      <c r="N388" s="351"/>
      <c r="O388" s="351"/>
      <c r="P388" s="351"/>
      <c r="Q388" s="351"/>
      <c r="R388" s="351"/>
      <c r="S388" s="351"/>
      <c r="T388" s="351"/>
      <c r="U388" s="351"/>
      <c r="V388" s="351"/>
      <c r="W388" s="351"/>
      <c r="X388" s="351"/>
      <c r="Y388" s="351"/>
      <c r="Z388" s="351"/>
      <c r="AA388" s="351"/>
      <c r="AB388" s="351"/>
    </row>
    <row r="389" ht="14.25" customHeight="1">
      <c r="A389" s="445" t="s">
        <v>12289</v>
      </c>
      <c r="B389" s="108"/>
      <c r="C389" s="256" t="s">
        <v>12298</v>
      </c>
      <c r="D389" s="297" t="s">
        <v>271</v>
      </c>
      <c r="E389" s="256" t="s">
        <v>5</v>
      </c>
      <c r="F389" s="258" t="s">
        <v>12299</v>
      </c>
      <c r="G389" s="258" t="s">
        <v>12300</v>
      </c>
      <c r="H389" s="258" t="s">
        <v>12301</v>
      </c>
      <c r="I389" s="256" t="s">
        <v>36</v>
      </c>
      <c r="J389" s="351"/>
      <c r="K389" s="303" t="s">
        <v>2034</v>
      </c>
      <c r="L389" s="351"/>
      <c r="M389" s="351"/>
      <c r="N389" s="351"/>
      <c r="O389" s="351"/>
      <c r="P389" s="351"/>
      <c r="Q389" s="351"/>
      <c r="R389" s="351"/>
      <c r="S389" s="351"/>
      <c r="T389" s="351"/>
      <c r="U389" s="351"/>
      <c r="V389" s="351"/>
      <c r="W389" s="351"/>
      <c r="X389" s="351"/>
      <c r="Y389" s="351"/>
      <c r="Z389" s="351"/>
      <c r="AA389" s="351"/>
      <c r="AB389" s="351"/>
    </row>
    <row r="390" ht="14.25" customHeight="1">
      <c r="A390" s="445" t="s">
        <v>12289</v>
      </c>
      <c r="B390" s="108"/>
      <c r="C390" s="256" t="s">
        <v>12302</v>
      </c>
      <c r="D390" s="297" t="s">
        <v>271</v>
      </c>
      <c r="E390" s="256" t="s">
        <v>5</v>
      </c>
      <c r="F390" s="258" t="s">
        <v>12303</v>
      </c>
      <c r="G390" s="258" t="s">
        <v>12304</v>
      </c>
      <c r="H390" s="258" t="s">
        <v>12305</v>
      </c>
      <c r="I390" s="256" t="s">
        <v>36</v>
      </c>
      <c r="J390" s="351"/>
      <c r="K390" s="303" t="s">
        <v>2034</v>
      </c>
      <c r="L390" s="351"/>
      <c r="M390" s="351"/>
      <c r="N390" s="351"/>
      <c r="O390" s="351"/>
      <c r="P390" s="351"/>
      <c r="Q390" s="351"/>
      <c r="R390" s="351"/>
      <c r="S390" s="351"/>
      <c r="T390" s="351"/>
      <c r="U390" s="351"/>
      <c r="V390" s="351"/>
      <c r="W390" s="351"/>
      <c r="X390" s="351"/>
      <c r="Y390" s="351"/>
      <c r="Z390" s="351"/>
      <c r="AA390" s="351"/>
      <c r="AB390" s="351"/>
    </row>
    <row r="391" ht="14.25" customHeight="1">
      <c r="A391" s="445" t="s">
        <v>12289</v>
      </c>
      <c r="B391" s="108"/>
      <c r="C391" s="256" t="s">
        <v>12306</v>
      </c>
      <c r="D391" s="297" t="s">
        <v>271</v>
      </c>
      <c r="E391" s="256" t="s">
        <v>5</v>
      </c>
      <c r="F391" s="259" t="s">
        <v>12307</v>
      </c>
      <c r="G391" s="258" t="s">
        <v>12304</v>
      </c>
      <c r="H391" s="258" t="s">
        <v>12308</v>
      </c>
      <c r="I391" s="256" t="s">
        <v>36</v>
      </c>
      <c r="J391" s="351"/>
      <c r="K391" s="303" t="s">
        <v>2034</v>
      </c>
      <c r="L391" s="351"/>
      <c r="M391" s="351"/>
      <c r="N391" s="351"/>
      <c r="O391" s="351"/>
      <c r="P391" s="351"/>
      <c r="Q391" s="351"/>
      <c r="R391" s="351"/>
      <c r="S391" s="351"/>
      <c r="T391" s="351"/>
      <c r="U391" s="351"/>
      <c r="V391" s="351"/>
      <c r="W391" s="351"/>
      <c r="X391" s="351"/>
      <c r="Y391" s="351"/>
      <c r="Z391" s="351"/>
      <c r="AA391" s="351"/>
      <c r="AB391" s="351"/>
    </row>
    <row r="392" ht="14.25" customHeight="1">
      <c r="A392" s="445" t="s">
        <v>12289</v>
      </c>
      <c r="B392" s="108"/>
      <c r="C392" s="256" t="s">
        <v>12309</v>
      </c>
      <c r="D392" s="297" t="s">
        <v>271</v>
      </c>
      <c r="E392" s="256" t="s">
        <v>5</v>
      </c>
      <c r="F392" s="258" t="s">
        <v>12310</v>
      </c>
      <c r="G392" s="258" t="s">
        <v>12304</v>
      </c>
      <c r="H392" s="258" t="s">
        <v>12311</v>
      </c>
      <c r="I392" s="256" t="s">
        <v>36</v>
      </c>
      <c r="J392" s="351"/>
      <c r="K392" s="303" t="s">
        <v>2034</v>
      </c>
      <c r="L392" s="351"/>
      <c r="M392" s="351"/>
      <c r="N392" s="351"/>
      <c r="O392" s="351"/>
      <c r="P392" s="351"/>
      <c r="Q392" s="351"/>
      <c r="R392" s="351"/>
      <c r="S392" s="351"/>
      <c r="T392" s="351"/>
      <c r="U392" s="351"/>
      <c r="V392" s="351"/>
      <c r="W392" s="351"/>
      <c r="X392" s="351"/>
      <c r="Y392" s="351"/>
      <c r="Z392" s="351"/>
      <c r="AA392" s="351"/>
      <c r="AB392" s="351"/>
    </row>
    <row r="393" ht="14.25" customHeight="1">
      <c r="A393" s="445" t="s">
        <v>12289</v>
      </c>
      <c r="B393" s="108"/>
      <c r="C393" s="256" t="s">
        <v>12312</v>
      </c>
      <c r="D393" s="297" t="s">
        <v>271</v>
      </c>
      <c r="E393" s="256" t="s">
        <v>5</v>
      </c>
      <c r="F393" s="258" t="s">
        <v>12313</v>
      </c>
      <c r="G393" s="258" t="s">
        <v>12304</v>
      </c>
      <c r="H393" s="258" t="s">
        <v>12311</v>
      </c>
      <c r="I393" s="256" t="s">
        <v>36</v>
      </c>
      <c r="J393" s="351"/>
      <c r="K393" s="303" t="s">
        <v>2034</v>
      </c>
      <c r="L393" s="351"/>
      <c r="M393" s="351"/>
      <c r="N393" s="351"/>
      <c r="O393" s="351"/>
      <c r="P393" s="351"/>
      <c r="Q393" s="351"/>
      <c r="R393" s="351"/>
      <c r="S393" s="351"/>
      <c r="T393" s="351"/>
      <c r="U393" s="351"/>
      <c r="V393" s="351"/>
      <c r="W393" s="351"/>
      <c r="X393" s="351"/>
      <c r="Y393" s="351"/>
      <c r="Z393" s="351"/>
      <c r="AA393" s="351"/>
      <c r="AB393" s="351"/>
    </row>
    <row r="394" ht="14.25" customHeight="1">
      <c r="A394" s="445" t="s">
        <v>12289</v>
      </c>
      <c r="B394" s="108"/>
      <c r="C394" s="256" t="s">
        <v>12314</v>
      </c>
      <c r="D394" s="297" t="s">
        <v>271</v>
      </c>
      <c r="E394" s="256" t="s">
        <v>5</v>
      </c>
      <c r="F394" s="258" t="s">
        <v>12315</v>
      </c>
      <c r="G394" s="258" t="s">
        <v>12304</v>
      </c>
      <c r="H394" s="258" t="s">
        <v>12316</v>
      </c>
      <c r="I394" s="256" t="s">
        <v>36</v>
      </c>
      <c r="J394" s="351"/>
      <c r="K394" s="303" t="s">
        <v>2034</v>
      </c>
      <c r="L394" s="351"/>
      <c r="M394" s="351"/>
      <c r="N394" s="351"/>
      <c r="O394" s="351"/>
      <c r="P394" s="351"/>
      <c r="Q394" s="351"/>
      <c r="R394" s="351"/>
      <c r="S394" s="351"/>
      <c r="T394" s="351"/>
      <c r="U394" s="351"/>
      <c r="V394" s="351"/>
      <c r="W394" s="351"/>
      <c r="X394" s="351"/>
      <c r="Y394" s="351"/>
      <c r="Z394" s="351"/>
      <c r="AA394" s="351"/>
      <c r="AB394" s="351"/>
    </row>
    <row r="395" ht="14.25" customHeight="1">
      <c r="A395" s="445" t="s">
        <v>12289</v>
      </c>
      <c r="B395" s="108"/>
      <c r="C395" s="256" t="s">
        <v>12317</v>
      </c>
      <c r="D395" s="297" t="s">
        <v>271</v>
      </c>
      <c r="E395" s="256" t="s">
        <v>5</v>
      </c>
      <c r="F395" s="258" t="s">
        <v>12318</v>
      </c>
      <c r="G395" s="258" t="s">
        <v>12293</v>
      </c>
      <c r="H395" s="258" t="s">
        <v>12319</v>
      </c>
      <c r="I395" s="256" t="s">
        <v>36</v>
      </c>
      <c r="J395" s="351"/>
      <c r="K395" s="303" t="s">
        <v>2034</v>
      </c>
      <c r="L395" s="351"/>
      <c r="M395" s="351"/>
      <c r="N395" s="351"/>
      <c r="O395" s="351"/>
      <c r="P395" s="351"/>
      <c r="Q395" s="351"/>
      <c r="R395" s="351"/>
      <c r="S395" s="351"/>
      <c r="T395" s="351"/>
      <c r="U395" s="351"/>
      <c r="V395" s="351"/>
      <c r="W395" s="351"/>
      <c r="X395" s="351"/>
      <c r="Y395" s="351"/>
      <c r="Z395" s="351"/>
      <c r="AA395" s="351"/>
      <c r="AB395" s="351"/>
    </row>
    <row r="396" ht="14.25" customHeight="1">
      <c r="A396" s="445" t="s">
        <v>12289</v>
      </c>
      <c r="B396" s="109"/>
      <c r="C396" s="256" t="s">
        <v>12320</v>
      </c>
      <c r="D396" s="297" t="s">
        <v>271</v>
      </c>
      <c r="E396" s="256" t="s">
        <v>5</v>
      </c>
      <c r="F396" s="258" t="s">
        <v>12321</v>
      </c>
      <c r="G396" s="258" t="s">
        <v>12322</v>
      </c>
      <c r="H396" s="258" t="s">
        <v>12323</v>
      </c>
      <c r="I396" s="256" t="s">
        <v>36</v>
      </c>
      <c r="J396" s="351"/>
      <c r="K396" s="303" t="s">
        <v>2034</v>
      </c>
      <c r="L396" s="351"/>
      <c r="M396" s="351"/>
      <c r="N396" s="351"/>
      <c r="O396" s="351"/>
      <c r="P396" s="351"/>
      <c r="Q396" s="351"/>
      <c r="R396" s="351"/>
      <c r="S396" s="351"/>
      <c r="T396" s="351"/>
      <c r="U396" s="351"/>
      <c r="V396" s="351"/>
      <c r="W396" s="351"/>
      <c r="X396" s="351"/>
      <c r="Y396" s="351"/>
      <c r="Z396" s="351"/>
      <c r="AA396" s="351"/>
      <c r="AB396" s="351"/>
    </row>
    <row r="397" ht="14.25" customHeight="1">
      <c r="A397" s="255" t="s">
        <v>12324</v>
      </c>
      <c r="B397" s="375" t="s">
        <v>12325</v>
      </c>
      <c r="C397" s="267" t="s">
        <v>10199</v>
      </c>
      <c r="D397" s="297" t="s">
        <v>271</v>
      </c>
      <c r="E397" s="446" t="s">
        <v>12326</v>
      </c>
      <c r="F397" s="240" t="s">
        <v>12327</v>
      </c>
      <c r="G397" s="240" t="s">
        <v>12328</v>
      </c>
      <c r="H397" s="240" t="s">
        <v>12329</v>
      </c>
      <c r="I397" s="256" t="s">
        <v>36</v>
      </c>
      <c r="J397" s="351"/>
      <c r="K397" s="303" t="s">
        <v>2034</v>
      </c>
      <c r="L397" s="351"/>
      <c r="M397" s="351"/>
      <c r="N397" s="351"/>
      <c r="O397" s="351"/>
      <c r="P397" s="351"/>
      <c r="Q397" s="351"/>
      <c r="R397" s="351"/>
      <c r="S397" s="351"/>
      <c r="T397" s="351"/>
      <c r="U397" s="351"/>
      <c r="V397" s="351"/>
      <c r="W397" s="351"/>
      <c r="X397" s="351"/>
      <c r="Y397" s="351"/>
      <c r="Z397" s="351"/>
      <c r="AA397" s="351"/>
      <c r="AB397" s="351"/>
    </row>
    <row r="398" ht="16.5" customHeight="1">
      <c r="A398" s="255" t="s">
        <v>12324</v>
      </c>
      <c r="B398" s="108"/>
      <c r="C398" s="267" t="s">
        <v>10203</v>
      </c>
      <c r="D398" s="297" t="s">
        <v>271</v>
      </c>
      <c r="E398" s="446" t="s">
        <v>12326</v>
      </c>
      <c r="F398" s="240" t="s">
        <v>12330</v>
      </c>
      <c r="G398" s="240" t="s">
        <v>12331</v>
      </c>
      <c r="H398" s="240" t="s">
        <v>12332</v>
      </c>
      <c r="I398" s="256" t="s">
        <v>36</v>
      </c>
      <c r="J398" s="351"/>
      <c r="K398" s="303" t="s">
        <v>2034</v>
      </c>
      <c r="L398" s="351"/>
      <c r="M398" s="351"/>
      <c r="N398" s="351"/>
      <c r="O398" s="351"/>
      <c r="P398" s="351"/>
      <c r="Q398" s="351"/>
      <c r="R398" s="351"/>
      <c r="S398" s="351"/>
      <c r="T398" s="351"/>
      <c r="U398" s="351"/>
      <c r="V398" s="351"/>
      <c r="W398" s="351"/>
      <c r="X398" s="351"/>
      <c r="Y398" s="351"/>
      <c r="Z398" s="351"/>
      <c r="AA398" s="351"/>
      <c r="AB398" s="351"/>
    </row>
    <row r="399" ht="14.25" customHeight="1">
      <c r="A399" s="255" t="s">
        <v>12324</v>
      </c>
      <c r="B399" s="108"/>
      <c r="C399" s="267" t="s">
        <v>10206</v>
      </c>
      <c r="D399" s="297" t="s">
        <v>271</v>
      </c>
      <c r="E399" s="446" t="s">
        <v>12326</v>
      </c>
      <c r="F399" s="240" t="s">
        <v>12333</v>
      </c>
      <c r="G399" s="240" t="s">
        <v>12334</v>
      </c>
      <c r="H399" s="240" t="s">
        <v>12335</v>
      </c>
      <c r="I399" s="256" t="s">
        <v>36</v>
      </c>
      <c r="J399" s="351"/>
      <c r="K399" s="303" t="s">
        <v>2034</v>
      </c>
      <c r="L399" s="351"/>
      <c r="M399" s="351"/>
      <c r="N399" s="351"/>
      <c r="O399" s="351"/>
      <c r="P399" s="351"/>
      <c r="Q399" s="351"/>
      <c r="R399" s="351"/>
      <c r="S399" s="351"/>
      <c r="T399" s="351"/>
      <c r="U399" s="351"/>
      <c r="V399" s="351"/>
      <c r="W399" s="351"/>
      <c r="X399" s="351"/>
      <c r="Y399" s="351"/>
      <c r="Z399" s="351"/>
      <c r="AA399" s="351"/>
      <c r="AB399" s="351"/>
    </row>
    <row r="400" ht="14.25" customHeight="1">
      <c r="A400" s="255" t="s">
        <v>12324</v>
      </c>
      <c r="B400" s="108"/>
      <c r="C400" s="267" t="s">
        <v>10209</v>
      </c>
      <c r="D400" s="297" t="s">
        <v>271</v>
      </c>
      <c r="E400" s="446" t="s">
        <v>12326</v>
      </c>
      <c r="F400" s="240" t="s">
        <v>12336</v>
      </c>
      <c r="G400" s="240" t="s">
        <v>12337</v>
      </c>
      <c r="H400" s="240" t="s">
        <v>12338</v>
      </c>
      <c r="I400" s="256" t="s">
        <v>36</v>
      </c>
      <c r="J400" s="351"/>
      <c r="K400" s="303" t="s">
        <v>2034</v>
      </c>
      <c r="L400" s="351"/>
      <c r="M400" s="351"/>
      <c r="N400" s="351"/>
      <c r="O400" s="351"/>
      <c r="P400" s="351"/>
      <c r="Q400" s="351"/>
      <c r="R400" s="351"/>
      <c r="S400" s="351"/>
      <c r="T400" s="351"/>
      <c r="U400" s="351"/>
      <c r="V400" s="351"/>
      <c r="W400" s="351"/>
      <c r="X400" s="351"/>
      <c r="Y400" s="351"/>
      <c r="Z400" s="351"/>
      <c r="AA400" s="351"/>
      <c r="AB400" s="351"/>
    </row>
    <row r="401" ht="14.25" customHeight="1">
      <c r="A401" s="255" t="s">
        <v>12324</v>
      </c>
      <c r="B401" s="108"/>
      <c r="C401" s="267" t="s">
        <v>10214</v>
      </c>
      <c r="D401" s="297" t="s">
        <v>271</v>
      </c>
      <c r="E401" s="446" t="s">
        <v>12326</v>
      </c>
      <c r="F401" s="240" t="s">
        <v>12339</v>
      </c>
      <c r="G401" s="240" t="s">
        <v>12337</v>
      </c>
      <c r="H401" s="240" t="s">
        <v>12340</v>
      </c>
      <c r="I401" s="256" t="s">
        <v>36</v>
      </c>
      <c r="J401" s="351"/>
      <c r="K401" s="303" t="s">
        <v>2034</v>
      </c>
      <c r="L401" s="351"/>
      <c r="M401" s="351"/>
      <c r="N401" s="351"/>
      <c r="O401" s="351"/>
      <c r="P401" s="351"/>
      <c r="Q401" s="351"/>
      <c r="R401" s="351"/>
      <c r="S401" s="351"/>
      <c r="T401" s="351"/>
      <c r="U401" s="351"/>
      <c r="V401" s="351"/>
      <c r="W401" s="351"/>
      <c r="X401" s="351"/>
      <c r="Y401" s="351"/>
      <c r="Z401" s="351"/>
      <c r="AA401" s="351"/>
      <c r="AB401" s="351"/>
    </row>
    <row r="402" ht="14.25" customHeight="1">
      <c r="A402" s="255" t="s">
        <v>12324</v>
      </c>
      <c r="B402" s="108"/>
      <c r="C402" s="267" t="s">
        <v>10217</v>
      </c>
      <c r="D402" s="297" t="s">
        <v>271</v>
      </c>
      <c r="E402" s="446" t="s">
        <v>12326</v>
      </c>
      <c r="F402" s="240" t="s">
        <v>12341</v>
      </c>
      <c r="G402" s="240" t="s">
        <v>12334</v>
      </c>
      <c r="H402" s="240" t="s">
        <v>12335</v>
      </c>
      <c r="I402" s="256" t="s">
        <v>36</v>
      </c>
      <c r="J402" s="351"/>
      <c r="K402" s="303" t="s">
        <v>2034</v>
      </c>
      <c r="L402" s="351"/>
      <c r="M402" s="351"/>
      <c r="N402" s="351"/>
      <c r="O402" s="351"/>
      <c r="P402" s="351"/>
      <c r="Q402" s="351"/>
      <c r="R402" s="351"/>
      <c r="S402" s="351"/>
      <c r="T402" s="351"/>
      <c r="U402" s="351"/>
      <c r="V402" s="351"/>
      <c r="W402" s="351"/>
      <c r="X402" s="351"/>
      <c r="Y402" s="351"/>
      <c r="Z402" s="351"/>
      <c r="AA402" s="351"/>
      <c r="AB402" s="351"/>
    </row>
    <row r="403" ht="14.25" customHeight="1">
      <c r="A403" s="255" t="s">
        <v>12324</v>
      </c>
      <c r="B403" s="108"/>
      <c r="C403" s="267" t="s">
        <v>10220</v>
      </c>
      <c r="D403" s="297" t="s">
        <v>271</v>
      </c>
      <c r="E403" s="446" t="s">
        <v>12326</v>
      </c>
      <c r="F403" s="240" t="s">
        <v>12342</v>
      </c>
      <c r="G403" s="240" t="s">
        <v>12343</v>
      </c>
      <c r="H403" s="240" t="s">
        <v>9293</v>
      </c>
      <c r="I403" s="256" t="s">
        <v>36</v>
      </c>
      <c r="J403" s="351"/>
      <c r="K403" s="303" t="s">
        <v>2034</v>
      </c>
      <c r="L403" s="351"/>
      <c r="M403" s="351"/>
      <c r="N403" s="351"/>
      <c r="O403" s="351"/>
      <c r="P403" s="351"/>
      <c r="Q403" s="351"/>
      <c r="R403" s="351"/>
      <c r="S403" s="351"/>
      <c r="T403" s="351"/>
      <c r="U403" s="351"/>
      <c r="V403" s="351"/>
      <c r="W403" s="351"/>
      <c r="X403" s="351"/>
      <c r="Y403" s="351"/>
      <c r="Z403" s="351"/>
      <c r="AA403" s="351"/>
      <c r="AB403" s="351"/>
    </row>
    <row r="404" ht="14.25" customHeight="1">
      <c r="A404" s="255" t="s">
        <v>12324</v>
      </c>
      <c r="B404" s="108"/>
      <c r="C404" s="267" t="s">
        <v>10223</v>
      </c>
      <c r="D404" s="297" t="s">
        <v>271</v>
      </c>
      <c r="E404" s="446" t="s">
        <v>12326</v>
      </c>
      <c r="F404" s="240" t="s">
        <v>12344</v>
      </c>
      <c r="G404" s="240" t="s">
        <v>12343</v>
      </c>
      <c r="H404" s="240" t="s">
        <v>9293</v>
      </c>
      <c r="I404" s="256" t="s">
        <v>36</v>
      </c>
      <c r="J404" s="351"/>
      <c r="K404" s="303" t="s">
        <v>2034</v>
      </c>
      <c r="L404" s="351"/>
      <c r="M404" s="351"/>
      <c r="N404" s="351"/>
      <c r="O404" s="351"/>
      <c r="P404" s="351"/>
      <c r="Q404" s="351"/>
      <c r="R404" s="351"/>
      <c r="S404" s="351"/>
      <c r="T404" s="351"/>
      <c r="U404" s="351"/>
      <c r="V404" s="351"/>
      <c r="W404" s="351"/>
      <c r="X404" s="351"/>
      <c r="Y404" s="351"/>
      <c r="Z404" s="351"/>
      <c r="AA404" s="351"/>
      <c r="AB404" s="351"/>
    </row>
    <row r="405" ht="14.25" customHeight="1">
      <c r="A405" s="255" t="s">
        <v>12324</v>
      </c>
      <c r="B405" s="108"/>
      <c r="C405" s="267" t="s">
        <v>10225</v>
      </c>
      <c r="D405" s="297" t="s">
        <v>271</v>
      </c>
      <c r="E405" s="446" t="s">
        <v>12326</v>
      </c>
      <c r="F405" s="240" t="s">
        <v>12345</v>
      </c>
      <c r="G405" s="240" t="s">
        <v>12343</v>
      </c>
      <c r="H405" s="240" t="s">
        <v>9293</v>
      </c>
      <c r="I405" s="256" t="s">
        <v>36</v>
      </c>
      <c r="J405" s="351"/>
      <c r="K405" s="303" t="s">
        <v>2034</v>
      </c>
      <c r="L405" s="351"/>
      <c r="M405" s="351"/>
      <c r="N405" s="351"/>
      <c r="O405" s="351"/>
      <c r="P405" s="351"/>
      <c r="Q405" s="351"/>
      <c r="R405" s="351"/>
      <c r="S405" s="351"/>
      <c r="T405" s="351"/>
      <c r="U405" s="351"/>
      <c r="V405" s="351"/>
      <c r="W405" s="351"/>
      <c r="X405" s="351"/>
      <c r="Y405" s="351"/>
      <c r="Z405" s="351"/>
      <c r="AA405" s="351"/>
      <c r="AB405" s="351"/>
    </row>
    <row r="406" ht="14.25" customHeight="1">
      <c r="A406" s="255" t="s">
        <v>12324</v>
      </c>
      <c r="B406" s="108"/>
      <c r="C406" s="267" t="s">
        <v>10227</v>
      </c>
      <c r="D406" s="297" t="s">
        <v>271</v>
      </c>
      <c r="E406" s="446" t="s">
        <v>12326</v>
      </c>
      <c r="F406" s="240" t="s">
        <v>12346</v>
      </c>
      <c r="G406" s="240" t="s">
        <v>12343</v>
      </c>
      <c r="H406" s="240" t="s">
        <v>9293</v>
      </c>
      <c r="I406" s="256" t="s">
        <v>36</v>
      </c>
      <c r="J406" s="351"/>
      <c r="K406" s="303" t="s">
        <v>2034</v>
      </c>
      <c r="L406" s="351"/>
      <c r="M406" s="351"/>
      <c r="N406" s="351"/>
      <c r="O406" s="351"/>
      <c r="P406" s="351"/>
      <c r="Q406" s="351"/>
      <c r="R406" s="351"/>
      <c r="S406" s="351"/>
      <c r="T406" s="351"/>
      <c r="U406" s="351"/>
      <c r="V406" s="351"/>
      <c r="W406" s="351"/>
      <c r="X406" s="351"/>
      <c r="Y406" s="351"/>
      <c r="Z406" s="351"/>
      <c r="AA406" s="351"/>
      <c r="AB406" s="351"/>
    </row>
    <row r="407" ht="14.25" customHeight="1">
      <c r="A407" s="255" t="s">
        <v>12324</v>
      </c>
      <c r="B407" s="108"/>
      <c r="C407" s="267" t="s">
        <v>10229</v>
      </c>
      <c r="D407" s="297" t="s">
        <v>271</v>
      </c>
      <c r="E407" s="446" t="s">
        <v>12326</v>
      </c>
      <c r="F407" s="240" t="s">
        <v>12347</v>
      </c>
      <c r="G407" s="240" t="s">
        <v>12343</v>
      </c>
      <c r="H407" s="240" t="s">
        <v>9293</v>
      </c>
      <c r="I407" s="256" t="s">
        <v>36</v>
      </c>
      <c r="J407" s="351"/>
      <c r="K407" s="303" t="s">
        <v>2034</v>
      </c>
      <c r="L407" s="351"/>
      <c r="M407" s="351"/>
      <c r="N407" s="351"/>
      <c r="O407" s="351"/>
      <c r="P407" s="351"/>
      <c r="Q407" s="351"/>
      <c r="R407" s="351"/>
      <c r="S407" s="351"/>
      <c r="T407" s="351"/>
      <c r="U407" s="351"/>
      <c r="V407" s="351"/>
      <c r="W407" s="351"/>
      <c r="X407" s="351"/>
      <c r="Y407" s="351"/>
      <c r="Z407" s="351"/>
      <c r="AA407" s="351"/>
      <c r="AB407" s="351"/>
    </row>
    <row r="408" ht="14.25" customHeight="1">
      <c r="A408" s="255" t="s">
        <v>12324</v>
      </c>
      <c r="B408" s="108"/>
      <c r="C408" s="267" t="s">
        <v>10231</v>
      </c>
      <c r="D408" s="297" t="s">
        <v>271</v>
      </c>
      <c r="E408" s="446" t="s">
        <v>12326</v>
      </c>
      <c r="F408" s="240" t="s">
        <v>12348</v>
      </c>
      <c r="G408" s="240" t="s">
        <v>12349</v>
      </c>
      <c r="H408" s="240" t="s">
        <v>12350</v>
      </c>
      <c r="I408" s="256" t="s">
        <v>36</v>
      </c>
      <c r="J408" s="351"/>
      <c r="K408" s="303" t="s">
        <v>2034</v>
      </c>
      <c r="L408" s="351"/>
      <c r="M408" s="351"/>
      <c r="N408" s="351"/>
      <c r="O408" s="351"/>
      <c r="P408" s="351"/>
      <c r="Q408" s="351"/>
      <c r="R408" s="351"/>
      <c r="S408" s="351"/>
      <c r="T408" s="351"/>
      <c r="U408" s="351"/>
      <c r="V408" s="351"/>
      <c r="W408" s="351"/>
      <c r="X408" s="351"/>
      <c r="Y408" s="351"/>
      <c r="Z408" s="351"/>
      <c r="AA408" s="351"/>
      <c r="AB408" s="351"/>
    </row>
    <row r="409" ht="14.25" customHeight="1">
      <c r="A409" s="255" t="s">
        <v>12324</v>
      </c>
      <c r="B409" s="108"/>
      <c r="C409" s="267" t="s">
        <v>10234</v>
      </c>
      <c r="D409" s="297" t="s">
        <v>271</v>
      </c>
      <c r="E409" s="446" t="s">
        <v>12326</v>
      </c>
      <c r="F409" s="240" t="s">
        <v>12351</v>
      </c>
      <c r="G409" s="240" t="s">
        <v>12349</v>
      </c>
      <c r="H409" s="240" t="s">
        <v>12350</v>
      </c>
      <c r="I409" s="256" t="s">
        <v>36</v>
      </c>
      <c r="J409" s="351"/>
      <c r="K409" s="303" t="s">
        <v>2034</v>
      </c>
      <c r="L409" s="351"/>
      <c r="M409" s="351"/>
      <c r="N409" s="351"/>
      <c r="O409" s="351"/>
      <c r="P409" s="351"/>
      <c r="Q409" s="351"/>
      <c r="R409" s="351"/>
      <c r="S409" s="351"/>
      <c r="T409" s="351"/>
      <c r="U409" s="351"/>
      <c r="V409" s="351"/>
      <c r="W409" s="351"/>
      <c r="X409" s="351"/>
      <c r="Y409" s="351"/>
      <c r="Z409" s="351"/>
      <c r="AA409" s="351"/>
      <c r="AB409" s="351"/>
    </row>
    <row r="410" ht="14.25" customHeight="1">
      <c r="A410" s="255" t="s">
        <v>12324</v>
      </c>
      <c r="B410" s="108"/>
      <c r="C410" s="267" t="s">
        <v>10236</v>
      </c>
      <c r="D410" s="297" t="s">
        <v>271</v>
      </c>
      <c r="E410" s="446" t="s">
        <v>12326</v>
      </c>
      <c r="F410" s="240" t="s">
        <v>12352</v>
      </c>
      <c r="G410" s="240" t="s">
        <v>12349</v>
      </c>
      <c r="H410" s="240" t="s">
        <v>12350</v>
      </c>
      <c r="I410" s="256" t="s">
        <v>36</v>
      </c>
      <c r="J410" s="351"/>
      <c r="K410" s="303" t="s">
        <v>2034</v>
      </c>
      <c r="L410" s="351"/>
      <c r="M410" s="351"/>
      <c r="N410" s="351"/>
      <c r="O410" s="351"/>
      <c r="P410" s="351"/>
      <c r="Q410" s="351"/>
      <c r="R410" s="351"/>
      <c r="S410" s="351"/>
      <c r="T410" s="351"/>
      <c r="U410" s="351"/>
      <c r="V410" s="351"/>
      <c r="W410" s="351"/>
      <c r="X410" s="351"/>
      <c r="Y410" s="351"/>
      <c r="Z410" s="351"/>
      <c r="AA410" s="351"/>
      <c r="AB410" s="351"/>
    </row>
    <row r="411" ht="14.25" customHeight="1">
      <c r="A411" s="255" t="s">
        <v>12324</v>
      </c>
      <c r="B411" s="108"/>
      <c r="C411" s="267" t="s">
        <v>12259</v>
      </c>
      <c r="D411" s="297" t="s">
        <v>271</v>
      </c>
      <c r="E411" s="446" t="s">
        <v>12326</v>
      </c>
      <c r="F411" s="240" t="s">
        <v>12353</v>
      </c>
      <c r="G411" s="240" t="s">
        <v>12349</v>
      </c>
      <c r="H411" s="240" t="s">
        <v>12350</v>
      </c>
      <c r="I411" s="256" t="s">
        <v>36</v>
      </c>
      <c r="J411" s="351"/>
      <c r="K411" s="303" t="s">
        <v>2034</v>
      </c>
      <c r="L411" s="351"/>
      <c r="M411" s="351"/>
      <c r="N411" s="351"/>
      <c r="O411" s="351"/>
      <c r="P411" s="351"/>
      <c r="Q411" s="351"/>
      <c r="R411" s="351"/>
      <c r="S411" s="351"/>
      <c r="T411" s="351"/>
      <c r="U411" s="351"/>
      <c r="V411" s="351"/>
      <c r="W411" s="351"/>
      <c r="X411" s="351"/>
      <c r="Y411" s="351"/>
      <c r="Z411" s="351"/>
      <c r="AA411" s="351"/>
      <c r="AB411" s="351"/>
    </row>
    <row r="412" ht="14.25" customHeight="1">
      <c r="A412" s="255" t="s">
        <v>12324</v>
      </c>
      <c r="B412" s="109"/>
      <c r="C412" s="267" t="s">
        <v>12263</v>
      </c>
      <c r="D412" s="297" t="s">
        <v>271</v>
      </c>
      <c r="E412" s="446" t="s">
        <v>12326</v>
      </c>
      <c r="F412" s="240" t="s">
        <v>12354</v>
      </c>
      <c r="G412" s="240" t="s">
        <v>12349</v>
      </c>
      <c r="H412" s="240" t="s">
        <v>12350</v>
      </c>
      <c r="I412" s="256" t="s">
        <v>36</v>
      </c>
      <c r="J412" s="351"/>
      <c r="K412" s="303" t="s">
        <v>2034</v>
      </c>
      <c r="L412" s="351"/>
      <c r="M412" s="351"/>
      <c r="N412" s="351"/>
      <c r="O412" s="351"/>
      <c r="P412" s="351"/>
      <c r="Q412" s="351"/>
      <c r="R412" s="351"/>
      <c r="S412" s="351"/>
      <c r="T412" s="351"/>
      <c r="U412" s="351"/>
      <c r="V412" s="351"/>
      <c r="W412" s="351"/>
      <c r="X412" s="351"/>
      <c r="Y412" s="351"/>
      <c r="Z412" s="351"/>
      <c r="AA412" s="351"/>
      <c r="AB412" s="351"/>
    </row>
    <row r="413" ht="14.25" customHeight="1">
      <c r="A413" s="255" t="s">
        <v>12355</v>
      </c>
      <c r="B413" s="258" t="s">
        <v>12356</v>
      </c>
      <c r="C413" s="267" t="s">
        <v>10199</v>
      </c>
      <c r="D413" s="297" t="s">
        <v>271</v>
      </c>
      <c r="E413" s="446" t="s">
        <v>5</v>
      </c>
      <c r="F413" s="240" t="s">
        <v>12357</v>
      </c>
      <c r="G413" s="240" t="s">
        <v>12358</v>
      </c>
      <c r="H413" s="240" t="s">
        <v>12359</v>
      </c>
      <c r="I413" s="256" t="s">
        <v>36</v>
      </c>
      <c r="J413" s="351"/>
      <c r="K413" s="303" t="s">
        <v>2034</v>
      </c>
      <c r="L413" s="351"/>
      <c r="M413" s="351"/>
      <c r="N413" s="351"/>
      <c r="O413" s="351"/>
      <c r="P413" s="351"/>
      <c r="Q413" s="351"/>
      <c r="R413" s="351"/>
      <c r="S413" s="351"/>
      <c r="T413" s="351"/>
      <c r="U413" s="351"/>
      <c r="V413" s="351"/>
      <c r="W413" s="351"/>
      <c r="X413" s="351"/>
      <c r="Y413" s="351"/>
      <c r="Z413" s="351"/>
      <c r="AA413" s="351"/>
      <c r="AB413" s="351"/>
    </row>
    <row r="414" ht="14.25" customHeight="1">
      <c r="A414" s="255" t="s">
        <v>12360</v>
      </c>
      <c r="B414" s="258" t="s">
        <v>12361</v>
      </c>
      <c r="C414" s="267" t="s">
        <v>10199</v>
      </c>
      <c r="D414" s="297" t="s">
        <v>271</v>
      </c>
      <c r="E414" s="446" t="s">
        <v>5</v>
      </c>
      <c r="F414" s="240" t="s">
        <v>12362</v>
      </c>
      <c r="G414" s="240" t="s">
        <v>12363</v>
      </c>
      <c r="H414" s="240" t="s">
        <v>12364</v>
      </c>
      <c r="I414" s="256" t="s">
        <v>36</v>
      </c>
      <c r="J414" s="351"/>
      <c r="K414" s="303" t="s">
        <v>2034</v>
      </c>
      <c r="L414" s="351"/>
      <c r="M414" s="351"/>
      <c r="N414" s="351"/>
      <c r="O414" s="351"/>
      <c r="P414" s="351"/>
      <c r="Q414" s="351"/>
      <c r="R414" s="351"/>
      <c r="S414" s="351"/>
      <c r="T414" s="351"/>
      <c r="U414" s="351"/>
      <c r="V414" s="351"/>
      <c r="W414" s="351"/>
      <c r="X414" s="351"/>
      <c r="Y414" s="351"/>
      <c r="Z414" s="351"/>
      <c r="AA414" s="351"/>
      <c r="AB414" s="351"/>
    </row>
    <row r="415" ht="14.25" customHeight="1">
      <c r="A415" s="255" t="s">
        <v>12365</v>
      </c>
      <c r="B415" s="375" t="s">
        <v>12366</v>
      </c>
      <c r="C415" s="256" t="s">
        <v>10199</v>
      </c>
      <c r="D415" s="297" t="s">
        <v>271</v>
      </c>
      <c r="E415" s="446" t="s">
        <v>5</v>
      </c>
      <c r="F415" s="258" t="s">
        <v>12367</v>
      </c>
      <c r="G415" s="258" t="s">
        <v>12368</v>
      </c>
      <c r="H415" s="258" t="s">
        <v>12369</v>
      </c>
      <c r="I415" s="256" t="s">
        <v>36</v>
      </c>
      <c r="J415" s="351"/>
      <c r="K415" s="351"/>
      <c r="L415" s="351"/>
      <c r="M415" s="351"/>
      <c r="N415" s="351"/>
      <c r="O415" s="351"/>
      <c r="P415" s="351"/>
      <c r="Q415" s="351"/>
      <c r="R415" s="351"/>
      <c r="S415" s="351"/>
      <c r="T415" s="351"/>
      <c r="U415" s="351"/>
      <c r="V415" s="351"/>
      <c r="W415" s="351"/>
      <c r="X415" s="351"/>
      <c r="Y415" s="351"/>
      <c r="Z415" s="351"/>
      <c r="AA415" s="351"/>
      <c r="AB415" s="351"/>
    </row>
    <row r="416" ht="14.25" customHeight="1">
      <c r="A416" s="255" t="s">
        <v>12365</v>
      </c>
      <c r="B416" s="109"/>
      <c r="C416" s="256" t="s">
        <v>10203</v>
      </c>
      <c r="D416" s="297" t="s">
        <v>271</v>
      </c>
      <c r="E416" s="446" t="s">
        <v>5</v>
      </c>
      <c r="F416" s="240" t="s">
        <v>12370</v>
      </c>
      <c r="G416" s="240" t="s">
        <v>12371</v>
      </c>
      <c r="H416" s="240" t="s">
        <v>12372</v>
      </c>
      <c r="I416" s="256" t="s">
        <v>36</v>
      </c>
      <c r="J416" s="351"/>
      <c r="K416" s="351"/>
      <c r="L416" s="351"/>
      <c r="M416" s="351"/>
      <c r="N416" s="351"/>
      <c r="O416" s="351"/>
      <c r="P416" s="351"/>
      <c r="Q416" s="351"/>
      <c r="R416" s="351"/>
      <c r="S416" s="351"/>
      <c r="T416" s="351"/>
      <c r="U416" s="351"/>
      <c r="V416" s="351"/>
      <c r="W416" s="351"/>
      <c r="X416" s="351"/>
      <c r="Y416" s="351"/>
      <c r="Z416" s="351"/>
      <c r="AA416" s="351"/>
      <c r="AB416" s="351"/>
    </row>
    <row r="417" ht="14.25" customHeight="1">
      <c r="A417" s="255" t="s">
        <v>12373</v>
      </c>
      <c r="B417" s="375" t="s">
        <v>12374</v>
      </c>
      <c r="C417" s="256" t="s">
        <v>10199</v>
      </c>
      <c r="D417" s="297" t="s">
        <v>271</v>
      </c>
      <c r="E417" s="446" t="s">
        <v>5</v>
      </c>
      <c r="F417" s="258" t="s">
        <v>12375</v>
      </c>
      <c r="G417" s="447"/>
      <c r="H417" s="258" t="s">
        <v>12376</v>
      </c>
      <c r="I417" s="256" t="s">
        <v>36</v>
      </c>
      <c r="J417" s="351"/>
      <c r="K417" s="351"/>
      <c r="L417" s="351"/>
      <c r="M417" s="351"/>
      <c r="N417" s="351"/>
      <c r="O417" s="351"/>
      <c r="P417" s="351"/>
      <c r="Q417" s="351"/>
      <c r="R417" s="351"/>
      <c r="S417" s="351"/>
      <c r="T417" s="351"/>
      <c r="U417" s="351"/>
      <c r="V417" s="351"/>
      <c r="W417" s="351"/>
      <c r="X417" s="351"/>
      <c r="Y417" s="351"/>
      <c r="Z417" s="351"/>
      <c r="AA417" s="351"/>
      <c r="AB417" s="351"/>
    </row>
    <row r="418" ht="14.25" customHeight="1">
      <c r="A418" s="255" t="s">
        <v>12373</v>
      </c>
      <c r="B418" s="108"/>
      <c r="C418" s="256" t="s">
        <v>10203</v>
      </c>
      <c r="D418" s="297" t="s">
        <v>271</v>
      </c>
      <c r="E418" s="446" t="s">
        <v>5</v>
      </c>
      <c r="F418" s="258" t="s">
        <v>12377</v>
      </c>
      <c r="G418" s="447"/>
      <c r="H418" s="258" t="s">
        <v>12378</v>
      </c>
      <c r="I418" s="256" t="s">
        <v>36</v>
      </c>
      <c r="J418" s="351"/>
      <c r="K418" s="351"/>
      <c r="L418" s="351"/>
      <c r="M418" s="351"/>
      <c r="N418" s="351"/>
      <c r="O418" s="351"/>
      <c r="P418" s="351"/>
      <c r="Q418" s="351"/>
      <c r="R418" s="351"/>
      <c r="S418" s="351"/>
      <c r="T418" s="351"/>
      <c r="U418" s="351"/>
      <c r="V418" s="351"/>
      <c r="W418" s="351"/>
      <c r="X418" s="351"/>
      <c r="Y418" s="351"/>
      <c r="Z418" s="351"/>
      <c r="AA418" s="351"/>
      <c r="AB418" s="351"/>
    </row>
    <row r="419" ht="14.25" customHeight="1">
      <c r="A419" s="255" t="s">
        <v>12373</v>
      </c>
      <c r="B419" s="108"/>
      <c r="C419" s="256" t="s">
        <v>10206</v>
      </c>
      <c r="D419" s="297" t="s">
        <v>271</v>
      </c>
      <c r="E419" s="446" t="s">
        <v>5</v>
      </c>
      <c r="F419" s="258" t="s">
        <v>12379</v>
      </c>
      <c r="G419" s="447"/>
      <c r="H419" s="258" t="s">
        <v>12380</v>
      </c>
      <c r="I419" s="256" t="s">
        <v>36</v>
      </c>
      <c r="J419" s="351"/>
      <c r="K419" s="351"/>
      <c r="L419" s="351"/>
      <c r="M419" s="351"/>
      <c r="N419" s="351"/>
      <c r="O419" s="351"/>
      <c r="P419" s="351"/>
      <c r="Q419" s="351"/>
      <c r="R419" s="351"/>
      <c r="S419" s="351"/>
      <c r="T419" s="351"/>
      <c r="U419" s="351"/>
      <c r="V419" s="351"/>
      <c r="W419" s="351"/>
      <c r="X419" s="351"/>
      <c r="Y419" s="351"/>
      <c r="Z419" s="351"/>
      <c r="AA419" s="351"/>
      <c r="AB419" s="351"/>
    </row>
    <row r="420" ht="14.25" customHeight="1">
      <c r="A420" s="255" t="s">
        <v>12373</v>
      </c>
      <c r="B420" s="108"/>
      <c r="C420" s="256" t="s">
        <v>10209</v>
      </c>
      <c r="D420" s="297" t="s">
        <v>271</v>
      </c>
      <c r="E420" s="446" t="s">
        <v>5</v>
      </c>
      <c r="F420" s="258" t="s">
        <v>12381</v>
      </c>
      <c r="G420" s="447"/>
      <c r="H420" s="258" t="s">
        <v>12382</v>
      </c>
      <c r="I420" s="256" t="s">
        <v>36</v>
      </c>
      <c r="J420" s="351"/>
      <c r="K420" s="351"/>
      <c r="L420" s="351"/>
      <c r="M420" s="351"/>
      <c r="N420" s="351"/>
      <c r="O420" s="351"/>
      <c r="P420" s="351"/>
      <c r="Q420" s="351"/>
      <c r="R420" s="351"/>
      <c r="S420" s="351"/>
      <c r="T420" s="351"/>
      <c r="U420" s="351"/>
      <c r="V420" s="351"/>
      <c r="W420" s="351"/>
      <c r="X420" s="351"/>
      <c r="Y420" s="351"/>
      <c r="Z420" s="351"/>
      <c r="AA420" s="351"/>
      <c r="AB420" s="351"/>
    </row>
    <row r="421" ht="14.25" customHeight="1">
      <c r="A421" s="255" t="s">
        <v>12373</v>
      </c>
      <c r="B421" s="108"/>
      <c r="C421" s="256" t="s">
        <v>10214</v>
      </c>
      <c r="D421" s="297" t="s">
        <v>271</v>
      </c>
      <c r="E421" s="446" t="s">
        <v>5</v>
      </c>
      <c r="F421" s="258" t="s">
        <v>12383</v>
      </c>
      <c r="G421" s="447"/>
      <c r="H421" s="258" t="s">
        <v>12384</v>
      </c>
      <c r="I421" s="256" t="s">
        <v>36</v>
      </c>
      <c r="J421" s="351"/>
      <c r="K421" s="351"/>
      <c r="L421" s="351"/>
      <c r="M421" s="351"/>
      <c r="N421" s="351"/>
      <c r="O421" s="351"/>
      <c r="P421" s="351"/>
      <c r="Q421" s="351"/>
      <c r="R421" s="351"/>
      <c r="S421" s="351"/>
      <c r="T421" s="351"/>
      <c r="U421" s="351"/>
      <c r="V421" s="351"/>
      <c r="W421" s="351"/>
      <c r="X421" s="351"/>
      <c r="Y421" s="351"/>
      <c r="Z421" s="351"/>
      <c r="AA421" s="351"/>
      <c r="AB421" s="351"/>
    </row>
    <row r="422" ht="14.25" customHeight="1">
      <c r="A422" s="255" t="s">
        <v>12373</v>
      </c>
      <c r="B422" s="108"/>
      <c r="C422" s="256" t="s">
        <v>10217</v>
      </c>
      <c r="D422" s="297" t="s">
        <v>271</v>
      </c>
      <c r="E422" s="446" t="s">
        <v>5</v>
      </c>
      <c r="F422" s="258" t="s">
        <v>12385</v>
      </c>
      <c r="G422" s="447"/>
      <c r="H422" s="258" t="s">
        <v>12386</v>
      </c>
      <c r="I422" s="256" t="s">
        <v>36</v>
      </c>
      <c r="J422" s="351"/>
      <c r="K422" s="351"/>
      <c r="L422" s="351"/>
      <c r="M422" s="351"/>
      <c r="N422" s="351"/>
      <c r="O422" s="351"/>
      <c r="P422" s="351"/>
      <c r="Q422" s="351"/>
      <c r="R422" s="351"/>
      <c r="S422" s="351"/>
      <c r="T422" s="351"/>
      <c r="U422" s="351"/>
      <c r="V422" s="351"/>
      <c r="W422" s="351"/>
      <c r="X422" s="351"/>
      <c r="Y422" s="351"/>
      <c r="Z422" s="351"/>
      <c r="AA422" s="351"/>
      <c r="AB422" s="351"/>
    </row>
    <row r="423" ht="14.25" customHeight="1">
      <c r="A423" s="255" t="s">
        <v>12373</v>
      </c>
      <c r="B423" s="108"/>
      <c r="C423" s="256" t="s">
        <v>10220</v>
      </c>
      <c r="D423" s="297" t="s">
        <v>271</v>
      </c>
      <c r="E423" s="446" t="s">
        <v>5</v>
      </c>
      <c r="F423" s="258" t="s">
        <v>12387</v>
      </c>
      <c r="G423" s="447"/>
      <c r="H423" s="258" t="s">
        <v>12388</v>
      </c>
      <c r="I423" s="256" t="s">
        <v>36</v>
      </c>
      <c r="J423" s="351"/>
      <c r="K423" s="351"/>
      <c r="L423" s="351"/>
      <c r="M423" s="351"/>
      <c r="N423" s="351"/>
      <c r="O423" s="351"/>
      <c r="P423" s="351"/>
      <c r="Q423" s="351"/>
      <c r="R423" s="351"/>
      <c r="S423" s="351"/>
      <c r="T423" s="351"/>
      <c r="U423" s="351"/>
      <c r="V423" s="351"/>
      <c r="W423" s="351"/>
      <c r="X423" s="351"/>
      <c r="Y423" s="351"/>
      <c r="Z423" s="351"/>
      <c r="AA423" s="351"/>
      <c r="AB423" s="351"/>
    </row>
    <row r="424" ht="14.25" customHeight="1">
      <c r="A424" s="255" t="s">
        <v>12373</v>
      </c>
      <c r="B424" s="108"/>
      <c r="C424" s="256" t="s">
        <v>10223</v>
      </c>
      <c r="D424" s="297" t="s">
        <v>271</v>
      </c>
      <c r="E424" s="446" t="s">
        <v>5</v>
      </c>
      <c r="F424" s="258" t="s">
        <v>12389</v>
      </c>
      <c r="G424" s="447"/>
      <c r="H424" s="258" t="s">
        <v>12390</v>
      </c>
      <c r="I424" s="256" t="s">
        <v>36</v>
      </c>
      <c r="J424" s="351"/>
      <c r="K424" s="351"/>
      <c r="L424" s="351"/>
      <c r="M424" s="351"/>
      <c r="N424" s="351"/>
      <c r="O424" s="351"/>
      <c r="P424" s="351"/>
      <c r="Q424" s="351"/>
      <c r="R424" s="351"/>
      <c r="S424" s="351"/>
      <c r="T424" s="351"/>
      <c r="U424" s="351"/>
      <c r="V424" s="351"/>
      <c r="W424" s="351"/>
      <c r="X424" s="351"/>
      <c r="Y424" s="351"/>
      <c r="Z424" s="351"/>
      <c r="AA424" s="351"/>
      <c r="AB424" s="351"/>
    </row>
    <row r="425" ht="14.25" customHeight="1">
      <c r="A425" s="255" t="s">
        <v>12373</v>
      </c>
      <c r="B425" s="109"/>
      <c r="C425" s="256" t="s">
        <v>10225</v>
      </c>
      <c r="D425" s="297" t="s">
        <v>271</v>
      </c>
      <c r="E425" s="446" t="s">
        <v>5</v>
      </c>
      <c r="F425" s="258" t="s">
        <v>12391</v>
      </c>
      <c r="G425" s="447"/>
      <c r="H425" s="258" t="s">
        <v>12392</v>
      </c>
      <c r="I425" s="256" t="s">
        <v>36</v>
      </c>
      <c r="J425" s="351"/>
      <c r="K425" s="351"/>
      <c r="L425" s="351"/>
      <c r="M425" s="351"/>
      <c r="N425" s="351"/>
      <c r="O425" s="351"/>
      <c r="P425" s="351"/>
      <c r="Q425" s="351"/>
      <c r="R425" s="351"/>
      <c r="S425" s="351"/>
      <c r="T425" s="351"/>
      <c r="U425" s="351"/>
      <c r="V425" s="351"/>
      <c r="W425" s="351"/>
      <c r="X425" s="351"/>
      <c r="Y425" s="351"/>
      <c r="Z425" s="351"/>
      <c r="AA425" s="351"/>
      <c r="AB425" s="351"/>
    </row>
    <row r="426" ht="14.25" customHeight="1">
      <c r="A426" s="255" t="s">
        <v>12393</v>
      </c>
      <c r="B426" s="375" t="s">
        <v>12394</v>
      </c>
      <c r="C426" s="256" t="s">
        <v>10199</v>
      </c>
      <c r="D426" s="256" t="s">
        <v>271</v>
      </c>
      <c r="E426" s="446" t="s">
        <v>5</v>
      </c>
      <c r="F426" s="258" t="s">
        <v>12395</v>
      </c>
      <c r="G426" s="258" t="s">
        <v>12396</v>
      </c>
      <c r="H426" s="258" t="s">
        <v>12397</v>
      </c>
      <c r="I426" s="256" t="s">
        <v>36</v>
      </c>
      <c r="J426" s="351"/>
      <c r="K426" s="351"/>
      <c r="L426" s="351"/>
      <c r="M426" s="351"/>
      <c r="N426" s="351"/>
      <c r="O426" s="351"/>
      <c r="P426" s="351"/>
      <c r="Q426" s="351"/>
      <c r="R426" s="351"/>
      <c r="S426" s="351"/>
      <c r="T426" s="351"/>
      <c r="U426" s="351"/>
      <c r="V426" s="351"/>
      <c r="W426" s="351"/>
      <c r="X426" s="351"/>
      <c r="Y426" s="351"/>
      <c r="Z426" s="351"/>
      <c r="AA426" s="351"/>
      <c r="AB426" s="351"/>
    </row>
    <row r="427" ht="14.25" customHeight="1">
      <c r="A427" s="255" t="s">
        <v>12393</v>
      </c>
      <c r="B427" s="108"/>
      <c r="C427" s="256" t="s">
        <v>10203</v>
      </c>
      <c r="D427" s="256" t="s">
        <v>271</v>
      </c>
      <c r="E427" s="446" t="s">
        <v>5</v>
      </c>
      <c r="F427" s="258" t="s">
        <v>12398</v>
      </c>
      <c r="G427" s="258" t="s">
        <v>12399</v>
      </c>
      <c r="H427" s="258" t="s">
        <v>12400</v>
      </c>
      <c r="I427" s="256" t="s">
        <v>36</v>
      </c>
      <c r="J427" s="351"/>
      <c r="K427" s="351"/>
      <c r="L427" s="351"/>
      <c r="M427" s="351"/>
      <c r="N427" s="351"/>
      <c r="O427" s="351"/>
      <c r="P427" s="351"/>
      <c r="Q427" s="351"/>
      <c r="R427" s="351"/>
      <c r="S427" s="351"/>
      <c r="T427" s="351"/>
      <c r="U427" s="351"/>
      <c r="V427" s="351"/>
      <c r="W427" s="351"/>
      <c r="X427" s="351"/>
      <c r="Y427" s="351"/>
      <c r="Z427" s="351"/>
      <c r="AA427" s="351"/>
      <c r="AB427" s="351"/>
    </row>
    <row r="428" ht="14.25" customHeight="1">
      <c r="A428" s="255" t="s">
        <v>12393</v>
      </c>
      <c r="B428" s="108"/>
      <c r="C428" s="256" t="s">
        <v>10206</v>
      </c>
      <c r="D428" s="256" t="s">
        <v>271</v>
      </c>
      <c r="E428" s="446" t="s">
        <v>5</v>
      </c>
      <c r="F428" s="258" t="s">
        <v>12401</v>
      </c>
      <c r="G428" s="258" t="s">
        <v>12396</v>
      </c>
      <c r="H428" s="258" t="s">
        <v>12402</v>
      </c>
      <c r="I428" s="256" t="s">
        <v>36</v>
      </c>
      <c r="J428" s="351"/>
      <c r="K428" s="351"/>
      <c r="L428" s="351"/>
      <c r="M428" s="351"/>
      <c r="N428" s="351"/>
      <c r="O428" s="351"/>
      <c r="P428" s="351"/>
      <c r="Q428" s="351"/>
      <c r="R428" s="351"/>
      <c r="S428" s="351"/>
      <c r="T428" s="351"/>
      <c r="U428" s="351"/>
      <c r="V428" s="351"/>
      <c r="W428" s="351"/>
      <c r="X428" s="351"/>
      <c r="Y428" s="351"/>
      <c r="Z428" s="351"/>
      <c r="AA428" s="351"/>
      <c r="AB428" s="351"/>
    </row>
    <row r="429" ht="14.25" customHeight="1">
      <c r="A429" s="255" t="s">
        <v>12393</v>
      </c>
      <c r="B429" s="108"/>
      <c r="C429" s="256" t="s">
        <v>10209</v>
      </c>
      <c r="D429" s="256" t="s">
        <v>2983</v>
      </c>
      <c r="E429" s="446" t="s">
        <v>5</v>
      </c>
      <c r="F429" s="258" t="s">
        <v>12403</v>
      </c>
      <c r="G429" s="258" t="s">
        <v>12404</v>
      </c>
      <c r="H429" s="258" t="s">
        <v>12405</v>
      </c>
      <c r="I429" s="256" t="s">
        <v>36</v>
      </c>
      <c r="J429" s="351"/>
      <c r="K429" s="351"/>
      <c r="L429" s="351"/>
      <c r="M429" s="351"/>
      <c r="N429" s="351"/>
      <c r="O429" s="351"/>
      <c r="P429" s="351"/>
      <c r="Q429" s="351"/>
      <c r="R429" s="351"/>
      <c r="S429" s="351"/>
      <c r="T429" s="351"/>
      <c r="U429" s="351"/>
      <c r="V429" s="351"/>
      <c r="W429" s="351"/>
      <c r="X429" s="351"/>
      <c r="Y429" s="351"/>
      <c r="Z429" s="351"/>
      <c r="AA429" s="351"/>
      <c r="AB429" s="351"/>
    </row>
    <row r="430" ht="14.25" customHeight="1">
      <c r="A430" s="255" t="s">
        <v>12393</v>
      </c>
      <c r="B430" s="108"/>
      <c r="C430" s="256" t="s">
        <v>10214</v>
      </c>
      <c r="D430" s="256" t="s">
        <v>2983</v>
      </c>
      <c r="E430" s="446" t="s">
        <v>5</v>
      </c>
      <c r="F430" s="258" t="s">
        <v>12406</v>
      </c>
      <c r="G430" s="258" t="s">
        <v>12404</v>
      </c>
      <c r="H430" s="258" t="s">
        <v>12407</v>
      </c>
      <c r="I430" s="256" t="s">
        <v>36</v>
      </c>
      <c r="J430" s="351"/>
      <c r="K430" s="351"/>
      <c r="L430" s="351"/>
      <c r="M430" s="351"/>
      <c r="N430" s="351"/>
      <c r="O430" s="351"/>
      <c r="P430" s="351"/>
      <c r="Q430" s="351"/>
      <c r="R430" s="351"/>
      <c r="S430" s="351"/>
      <c r="T430" s="351"/>
      <c r="U430" s="351"/>
      <c r="V430" s="351"/>
      <c r="W430" s="351"/>
      <c r="X430" s="351"/>
      <c r="Y430" s="351"/>
      <c r="Z430" s="351"/>
      <c r="AA430" s="351"/>
      <c r="AB430" s="351"/>
    </row>
    <row r="431" ht="14.25" customHeight="1">
      <c r="A431" s="255" t="s">
        <v>12393</v>
      </c>
      <c r="B431" s="108"/>
      <c r="C431" s="256" t="s">
        <v>10217</v>
      </c>
      <c r="D431" s="256" t="s">
        <v>2983</v>
      </c>
      <c r="E431" s="446" t="s">
        <v>5</v>
      </c>
      <c r="F431" s="258" t="s">
        <v>12408</v>
      </c>
      <c r="G431" s="258" t="s">
        <v>12404</v>
      </c>
      <c r="H431" s="258" t="s">
        <v>12409</v>
      </c>
      <c r="I431" s="256" t="s">
        <v>36</v>
      </c>
      <c r="J431" s="351"/>
      <c r="K431" s="351"/>
      <c r="L431" s="351"/>
      <c r="M431" s="351"/>
      <c r="N431" s="351"/>
      <c r="O431" s="351"/>
      <c r="P431" s="351"/>
      <c r="Q431" s="351"/>
      <c r="R431" s="351"/>
      <c r="S431" s="351"/>
      <c r="T431" s="351"/>
      <c r="U431" s="351"/>
      <c r="V431" s="351"/>
      <c r="W431" s="351"/>
      <c r="X431" s="351"/>
      <c r="Y431" s="351"/>
      <c r="Z431" s="351"/>
      <c r="AA431" s="351"/>
      <c r="AB431" s="351"/>
    </row>
    <row r="432" ht="14.25" customHeight="1">
      <c r="A432" s="255" t="s">
        <v>12393</v>
      </c>
      <c r="B432" s="109"/>
      <c r="C432" s="256" t="s">
        <v>10220</v>
      </c>
      <c r="D432" s="256" t="s">
        <v>2983</v>
      </c>
      <c r="E432" s="446" t="s">
        <v>5</v>
      </c>
      <c r="F432" s="258" t="s">
        <v>12410</v>
      </c>
      <c r="G432" s="258" t="s">
        <v>12404</v>
      </c>
      <c r="H432" s="258" t="s">
        <v>12411</v>
      </c>
      <c r="I432" s="256" t="s">
        <v>36</v>
      </c>
      <c r="J432" s="351"/>
      <c r="K432" s="351"/>
      <c r="L432" s="351"/>
      <c r="M432" s="351"/>
      <c r="N432" s="351"/>
      <c r="O432" s="351"/>
      <c r="P432" s="351"/>
      <c r="Q432" s="351"/>
      <c r="R432" s="351"/>
      <c r="S432" s="351"/>
      <c r="T432" s="351"/>
      <c r="U432" s="351"/>
      <c r="V432" s="351"/>
      <c r="W432" s="351"/>
      <c r="X432" s="351"/>
      <c r="Y432" s="351"/>
      <c r="Z432" s="351"/>
      <c r="AA432" s="351"/>
      <c r="AB432" s="351"/>
    </row>
    <row r="433" ht="14.25" customHeight="1">
      <c r="A433" s="255" t="s">
        <v>12412</v>
      </c>
      <c r="B433" s="375" t="s">
        <v>12413</v>
      </c>
      <c r="C433" s="256" t="s">
        <v>10199</v>
      </c>
      <c r="D433" s="256" t="s">
        <v>271</v>
      </c>
      <c r="E433" s="446" t="s">
        <v>5</v>
      </c>
      <c r="F433" s="258" t="s">
        <v>12414</v>
      </c>
      <c r="G433" s="258" t="s">
        <v>12415</v>
      </c>
      <c r="H433" s="258" t="s">
        <v>12416</v>
      </c>
      <c r="I433" s="256" t="s">
        <v>36</v>
      </c>
      <c r="J433" s="351"/>
      <c r="K433" s="351"/>
      <c r="L433" s="351"/>
      <c r="M433" s="351"/>
      <c r="N433" s="351"/>
      <c r="O433" s="351"/>
      <c r="P433" s="351"/>
      <c r="Q433" s="351"/>
      <c r="R433" s="351"/>
      <c r="S433" s="351"/>
      <c r="T433" s="351"/>
      <c r="U433" s="351"/>
      <c r="V433" s="351"/>
      <c r="W433" s="351"/>
      <c r="X433" s="351"/>
      <c r="Y433" s="351"/>
      <c r="Z433" s="351"/>
      <c r="AA433" s="351"/>
      <c r="AB433" s="351"/>
    </row>
    <row r="434" ht="14.25" customHeight="1">
      <c r="A434" s="255" t="s">
        <v>12412</v>
      </c>
      <c r="B434" s="108"/>
      <c r="C434" s="256" t="s">
        <v>10203</v>
      </c>
      <c r="D434" s="256" t="s">
        <v>271</v>
      </c>
      <c r="E434" s="446" t="s">
        <v>5</v>
      </c>
      <c r="F434" s="283" t="s">
        <v>12417</v>
      </c>
      <c r="G434" s="258" t="s">
        <v>10029</v>
      </c>
      <c r="H434" s="258" t="s">
        <v>10030</v>
      </c>
      <c r="I434" s="256" t="s">
        <v>36</v>
      </c>
      <c r="J434" s="351"/>
      <c r="K434" s="351"/>
      <c r="L434" s="351"/>
      <c r="M434" s="351"/>
      <c r="N434" s="351"/>
      <c r="O434" s="351"/>
      <c r="P434" s="351"/>
      <c r="Q434" s="351"/>
      <c r="R434" s="351"/>
      <c r="S434" s="351"/>
      <c r="T434" s="351"/>
      <c r="U434" s="351"/>
      <c r="V434" s="351"/>
      <c r="W434" s="351"/>
      <c r="X434" s="351"/>
      <c r="Y434" s="351"/>
      <c r="Z434" s="351"/>
      <c r="AA434" s="351"/>
      <c r="AB434" s="351"/>
    </row>
    <row r="435" ht="14.25" customHeight="1">
      <c r="A435" s="255" t="s">
        <v>12412</v>
      </c>
      <c r="B435" s="108"/>
      <c r="C435" s="256" t="s">
        <v>10206</v>
      </c>
      <c r="D435" s="256" t="s">
        <v>271</v>
      </c>
      <c r="E435" s="446" t="s">
        <v>5</v>
      </c>
      <c r="F435" s="258" t="s">
        <v>10028</v>
      </c>
      <c r="G435" s="258" t="s">
        <v>10029</v>
      </c>
      <c r="H435" s="258" t="s">
        <v>10030</v>
      </c>
      <c r="I435" s="256" t="s">
        <v>36</v>
      </c>
      <c r="J435" s="351"/>
      <c r="K435" s="351"/>
      <c r="L435" s="351"/>
      <c r="M435" s="351"/>
      <c r="N435" s="351"/>
      <c r="O435" s="351"/>
      <c r="P435" s="351"/>
      <c r="Q435" s="351"/>
      <c r="R435" s="351"/>
      <c r="S435" s="351"/>
      <c r="T435" s="351"/>
      <c r="U435" s="351"/>
      <c r="V435" s="351"/>
      <c r="W435" s="351"/>
      <c r="X435" s="351"/>
      <c r="Y435" s="351"/>
      <c r="Z435" s="351"/>
      <c r="AA435" s="351"/>
      <c r="AB435" s="351"/>
    </row>
    <row r="436" ht="14.25" customHeight="1">
      <c r="A436" s="255" t="s">
        <v>12412</v>
      </c>
      <c r="B436" s="108"/>
      <c r="C436" s="256" t="s">
        <v>10209</v>
      </c>
      <c r="D436" s="256" t="s">
        <v>271</v>
      </c>
      <c r="E436" s="446" t="s">
        <v>5</v>
      </c>
      <c r="F436" s="258" t="s">
        <v>10032</v>
      </c>
      <c r="G436" s="258" t="s">
        <v>10033</v>
      </c>
      <c r="H436" s="258" t="s">
        <v>10030</v>
      </c>
      <c r="I436" s="256" t="s">
        <v>36</v>
      </c>
      <c r="J436" s="351"/>
      <c r="K436" s="351"/>
      <c r="L436" s="351"/>
      <c r="M436" s="351"/>
      <c r="N436" s="351"/>
      <c r="O436" s="351"/>
      <c r="P436" s="351"/>
      <c r="Q436" s="351"/>
      <c r="R436" s="351"/>
      <c r="S436" s="351"/>
      <c r="T436" s="351"/>
      <c r="U436" s="351"/>
      <c r="V436" s="351"/>
      <c r="W436" s="351"/>
      <c r="X436" s="351"/>
      <c r="Y436" s="351"/>
      <c r="Z436" s="351"/>
      <c r="AA436" s="351"/>
      <c r="AB436" s="351"/>
    </row>
    <row r="437" ht="14.25" customHeight="1">
      <c r="A437" s="255" t="s">
        <v>12412</v>
      </c>
      <c r="B437" s="109"/>
      <c r="C437" s="256" t="s">
        <v>10212</v>
      </c>
      <c r="D437" s="256" t="s">
        <v>271</v>
      </c>
      <c r="E437" s="446" t="s">
        <v>5</v>
      </c>
      <c r="F437" s="258" t="s">
        <v>10035</v>
      </c>
      <c r="G437" s="258" t="s">
        <v>10036</v>
      </c>
      <c r="H437" s="258" t="s">
        <v>10030</v>
      </c>
      <c r="I437" s="256" t="s">
        <v>36</v>
      </c>
      <c r="J437" s="351"/>
      <c r="K437" s="351"/>
      <c r="L437" s="351"/>
      <c r="M437" s="351"/>
      <c r="N437" s="351"/>
      <c r="O437" s="351"/>
      <c r="P437" s="351"/>
      <c r="Q437" s="351"/>
      <c r="R437" s="351"/>
      <c r="S437" s="351"/>
      <c r="T437" s="351"/>
      <c r="U437" s="351"/>
      <c r="V437" s="351"/>
      <c r="W437" s="351"/>
      <c r="X437" s="351"/>
      <c r="Y437" s="351"/>
      <c r="Z437" s="351"/>
      <c r="AA437" s="351"/>
      <c r="AB437" s="351"/>
    </row>
    <row r="438" ht="14.25" customHeight="1">
      <c r="A438" s="255" t="s">
        <v>12418</v>
      </c>
      <c r="B438" s="375" t="s">
        <v>12419</v>
      </c>
      <c r="C438" s="256" t="s">
        <v>10199</v>
      </c>
      <c r="D438" s="256" t="s">
        <v>271</v>
      </c>
      <c r="E438" s="446" t="s">
        <v>5</v>
      </c>
      <c r="F438" s="258" t="s">
        <v>12420</v>
      </c>
      <c r="G438" s="258" t="s">
        <v>12421</v>
      </c>
      <c r="H438" s="258" t="s">
        <v>12422</v>
      </c>
      <c r="I438" s="256" t="s">
        <v>36</v>
      </c>
      <c r="J438" s="351"/>
      <c r="K438" s="351"/>
      <c r="L438" s="351"/>
      <c r="M438" s="351"/>
      <c r="N438" s="351"/>
      <c r="O438" s="351"/>
      <c r="P438" s="351"/>
      <c r="Q438" s="351"/>
      <c r="R438" s="351"/>
      <c r="S438" s="351"/>
      <c r="T438" s="351"/>
      <c r="U438" s="351"/>
      <c r="V438" s="351"/>
      <c r="W438" s="351"/>
      <c r="X438" s="351"/>
      <c r="Y438" s="351"/>
      <c r="Z438" s="351"/>
      <c r="AA438" s="351"/>
      <c r="AB438" s="351"/>
    </row>
    <row r="439" ht="14.25" customHeight="1">
      <c r="A439" s="255" t="s">
        <v>12418</v>
      </c>
      <c r="B439" s="108"/>
      <c r="C439" s="256" t="s">
        <v>10203</v>
      </c>
      <c r="D439" s="256" t="s">
        <v>271</v>
      </c>
      <c r="E439" s="446" t="s">
        <v>5</v>
      </c>
      <c r="F439" s="240" t="s">
        <v>12333</v>
      </c>
      <c r="G439" s="240" t="s">
        <v>12334</v>
      </c>
      <c r="H439" s="240" t="s">
        <v>12335</v>
      </c>
      <c r="I439" s="256" t="s">
        <v>36</v>
      </c>
      <c r="J439" s="351"/>
      <c r="K439" s="351"/>
      <c r="L439" s="351"/>
      <c r="M439" s="351"/>
      <c r="N439" s="351"/>
      <c r="O439" s="351"/>
      <c r="P439" s="351"/>
      <c r="Q439" s="351"/>
      <c r="R439" s="351"/>
      <c r="S439" s="351"/>
      <c r="T439" s="351"/>
      <c r="U439" s="351"/>
      <c r="V439" s="351"/>
      <c r="W439" s="351"/>
      <c r="X439" s="351"/>
      <c r="Y439" s="351"/>
      <c r="Z439" s="351"/>
      <c r="AA439" s="351"/>
      <c r="AB439" s="351"/>
    </row>
    <row r="440" ht="14.25" customHeight="1">
      <c r="A440" s="255" t="s">
        <v>12418</v>
      </c>
      <c r="B440" s="108"/>
      <c r="C440" s="256" t="s">
        <v>10206</v>
      </c>
      <c r="D440" s="256" t="s">
        <v>271</v>
      </c>
      <c r="E440" s="446" t="s">
        <v>5</v>
      </c>
      <c r="F440" s="240" t="s">
        <v>12336</v>
      </c>
      <c r="G440" s="240" t="s">
        <v>12337</v>
      </c>
      <c r="H440" s="240" t="s">
        <v>12338</v>
      </c>
      <c r="I440" s="256" t="s">
        <v>36</v>
      </c>
      <c r="J440" s="351"/>
      <c r="K440" s="351"/>
      <c r="L440" s="351"/>
      <c r="M440" s="351"/>
      <c r="N440" s="351"/>
      <c r="O440" s="351"/>
      <c r="P440" s="351"/>
      <c r="Q440" s="351"/>
      <c r="R440" s="351"/>
      <c r="S440" s="351"/>
      <c r="T440" s="351"/>
      <c r="U440" s="351"/>
      <c r="V440" s="351"/>
      <c r="W440" s="351"/>
      <c r="X440" s="351"/>
      <c r="Y440" s="351"/>
      <c r="Z440" s="351"/>
      <c r="AA440" s="351"/>
      <c r="AB440" s="351"/>
    </row>
    <row r="441" ht="14.25" customHeight="1">
      <c r="A441" s="255" t="s">
        <v>12418</v>
      </c>
      <c r="B441" s="108"/>
      <c r="C441" s="256" t="s">
        <v>10209</v>
      </c>
      <c r="D441" s="256" t="s">
        <v>271</v>
      </c>
      <c r="E441" s="446" t="s">
        <v>5</v>
      </c>
      <c r="F441" s="240" t="s">
        <v>12342</v>
      </c>
      <c r="G441" s="240" t="s">
        <v>12423</v>
      </c>
      <c r="H441" s="240" t="s">
        <v>9293</v>
      </c>
      <c r="I441" s="256" t="s">
        <v>36</v>
      </c>
      <c r="J441" s="351"/>
      <c r="K441" s="351"/>
      <c r="L441" s="351"/>
      <c r="M441" s="351"/>
      <c r="N441" s="351"/>
      <c r="O441" s="351"/>
      <c r="P441" s="351"/>
      <c r="Q441" s="351"/>
      <c r="R441" s="351"/>
      <c r="S441" s="351"/>
      <c r="T441" s="351"/>
      <c r="U441" s="351"/>
      <c r="V441" s="351"/>
      <c r="W441" s="351"/>
      <c r="X441" s="351"/>
      <c r="Y441" s="351"/>
      <c r="Z441" s="351"/>
      <c r="AA441" s="351"/>
      <c r="AB441" s="351"/>
    </row>
    <row r="442" ht="14.25" customHeight="1">
      <c r="A442" s="255" t="s">
        <v>12418</v>
      </c>
      <c r="B442" s="108"/>
      <c r="C442" s="256" t="s">
        <v>10212</v>
      </c>
      <c r="D442" s="256" t="s">
        <v>271</v>
      </c>
      <c r="E442" s="446" t="s">
        <v>5</v>
      </c>
      <c r="F442" s="240" t="s">
        <v>12344</v>
      </c>
      <c r="G442" s="240" t="s">
        <v>12423</v>
      </c>
      <c r="H442" s="240" t="s">
        <v>9293</v>
      </c>
      <c r="I442" s="256" t="s">
        <v>36</v>
      </c>
      <c r="J442" s="351"/>
      <c r="K442" s="351"/>
      <c r="L442" s="351"/>
      <c r="M442" s="351"/>
      <c r="N442" s="351"/>
      <c r="O442" s="351"/>
      <c r="P442" s="351"/>
      <c r="Q442" s="351"/>
      <c r="R442" s="351"/>
      <c r="S442" s="351"/>
      <c r="T442" s="351"/>
      <c r="U442" s="351"/>
      <c r="V442" s="351"/>
      <c r="W442" s="351"/>
      <c r="X442" s="351"/>
      <c r="Y442" s="351"/>
      <c r="Z442" s="351"/>
      <c r="AA442" s="351"/>
      <c r="AB442" s="351"/>
    </row>
    <row r="443" ht="14.25" customHeight="1">
      <c r="A443" s="255" t="s">
        <v>12418</v>
      </c>
      <c r="B443" s="108"/>
      <c r="C443" s="256" t="s">
        <v>10214</v>
      </c>
      <c r="D443" s="256" t="s">
        <v>271</v>
      </c>
      <c r="E443" s="446" t="s">
        <v>5</v>
      </c>
      <c r="F443" s="240" t="s">
        <v>12345</v>
      </c>
      <c r="G443" s="240" t="s">
        <v>12423</v>
      </c>
      <c r="H443" s="240" t="s">
        <v>9293</v>
      </c>
      <c r="I443" s="256" t="s">
        <v>36</v>
      </c>
      <c r="J443" s="351"/>
      <c r="K443" s="351"/>
      <c r="L443" s="351"/>
      <c r="M443" s="351"/>
      <c r="N443" s="351"/>
      <c r="O443" s="351"/>
      <c r="P443" s="351"/>
      <c r="Q443" s="351"/>
      <c r="R443" s="351"/>
      <c r="S443" s="351"/>
      <c r="T443" s="351"/>
      <c r="U443" s="351"/>
      <c r="V443" s="351"/>
      <c r="W443" s="351"/>
      <c r="X443" s="351"/>
      <c r="Y443" s="351"/>
      <c r="Z443" s="351"/>
      <c r="AA443" s="351"/>
      <c r="AB443" s="351"/>
    </row>
    <row r="444" ht="14.25" customHeight="1">
      <c r="A444" s="255" t="s">
        <v>12418</v>
      </c>
      <c r="B444" s="108"/>
      <c r="C444" s="256" t="s">
        <v>10217</v>
      </c>
      <c r="D444" s="256" t="s">
        <v>271</v>
      </c>
      <c r="E444" s="446" t="s">
        <v>5</v>
      </c>
      <c r="F444" s="240" t="s">
        <v>12424</v>
      </c>
      <c r="G444" s="240" t="s">
        <v>12423</v>
      </c>
      <c r="H444" s="240" t="s">
        <v>9293</v>
      </c>
      <c r="I444" s="256" t="s">
        <v>36</v>
      </c>
      <c r="J444" s="351"/>
      <c r="K444" s="351"/>
      <c r="L444" s="351"/>
      <c r="M444" s="351"/>
      <c r="N444" s="351"/>
      <c r="O444" s="351"/>
      <c r="P444" s="351"/>
      <c r="Q444" s="351"/>
      <c r="R444" s="351"/>
      <c r="S444" s="351"/>
      <c r="T444" s="351"/>
      <c r="U444" s="351"/>
      <c r="V444" s="351"/>
      <c r="W444" s="351"/>
      <c r="X444" s="351"/>
      <c r="Y444" s="351"/>
      <c r="Z444" s="351"/>
      <c r="AA444" s="351"/>
      <c r="AB444" s="351"/>
    </row>
    <row r="445" ht="14.25" customHeight="1">
      <c r="A445" s="255" t="s">
        <v>12418</v>
      </c>
      <c r="B445" s="108"/>
      <c r="C445" s="256" t="s">
        <v>10220</v>
      </c>
      <c r="D445" s="256" t="s">
        <v>271</v>
      </c>
      <c r="E445" s="446" t="s">
        <v>5</v>
      </c>
      <c r="F445" s="240" t="s">
        <v>12425</v>
      </c>
      <c r="G445" s="240" t="s">
        <v>12423</v>
      </c>
      <c r="H445" s="240" t="s">
        <v>9293</v>
      </c>
      <c r="I445" s="256" t="s">
        <v>36</v>
      </c>
      <c r="J445" s="351"/>
      <c r="K445" s="351"/>
      <c r="L445" s="351"/>
      <c r="M445" s="351"/>
      <c r="N445" s="351"/>
      <c r="O445" s="351"/>
      <c r="P445" s="351"/>
      <c r="Q445" s="351"/>
      <c r="R445" s="351"/>
      <c r="S445" s="351"/>
      <c r="T445" s="351"/>
      <c r="U445" s="351"/>
      <c r="V445" s="351"/>
      <c r="W445" s="351"/>
      <c r="X445" s="351"/>
      <c r="Y445" s="351"/>
      <c r="Z445" s="351"/>
      <c r="AA445" s="351"/>
      <c r="AB445" s="351"/>
    </row>
    <row r="446" ht="29.25" customHeight="1">
      <c r="A446" s="255" t="s">
        <v>12418</v>
      </c>
      <c r="B446" s="109"/>
      <c r="C446" s="256" t="s">
        <v>10223</v>
      </c>
      <c r="D446" s="256" t="s">
        <v>271</v>
      </c>
      <c r="E446" s="446" t="s">
        <v>5</v>
      </c>
      <c r="F446" s="240" t="s">
        <v>12426</v>
      </c>
      <c r="G446" s="240" t="s">
        <v>12423</v>
      </c>
      <c r="H446" s="240" t="s">
        <v>9293</v>
      </c>
      <c r="I446" s="256" t="s">
        <v>36</v>
      </c>
      <c r="J446" s="351"/>
      <c r="K446" s="351"/>
      <c r="L446" s="351"/>
      <c r="M446" s="351"/>
      <c r="N446" s="351"/>
      <c r="O446" s="351"/>
      <c r="P446" s="351"/>
      <c r="Q446" s="351"/>
      <c r="R446" s="351"/>
      <c r="S446" s="351"/>
      <c r="T446" s="351"/>
      <c r="U446" s="351"/>
      <c r="V446" s="351"/>
      <c r="W446" s="351"/>
      <c r="X446" s="351"/>
      <c r="Y446" s="351"/>
      <c r="Z446" s="351"/>
      <c r="AA446" s="351"/>
      <c r="AB446" s="351"/>
    </row>
    <row r="447" ht="29.25" customHeight="1">
      <c r="A447" s="255" t="s">
        <v>12427</v>
      </c>
      <c r="B447" s="375" t="s">
        <v>12428</v>
      </c>
      <c r="C447" s="267" t="s">
        <v>10199</v>
      </c>
      <c r="D447" s="256" t="s">
        <v>271</v>
      </c>
      <c r="E447" s="446" t="s">
        <v>5</v>
      </c>
      <c r="F447" s="258" t="s">
        <v>12429</v>
      </c>
      <c r="G447" s="258" t="s">
        <v>12430</v>
      </c>
      <c r="H447" s="258" t="s">
        <v>12431</v>
      </c>
      <c r="I447" s="256" t="s">
        <v>36</v>
      </c>
      <c r="J447" s="351"/>
      <c r="K447" s="351"/>
      <c r="L447" s="351"/>
      <c r="M447" s="351"/>
      <c r="N447" s="351"/>
      <c r="O447" s="351"/>
      <c r="P447" s="351"/>
      <c r="Q447" s="351"/>
      <c r="R447" s="351"/>
      <c r="S447" s="351"/>
      <c r="T447" s="351"/>
      <c r="U447" s="351"/>
      <c r="V447" s="351"/>
      <c r="W447" s="351"/>
      <c r="X447" s="351"/>
      <c r="Y447" s="351"/>
      <c r="Z447" s="351"/>
      <c r="AA447" s="351"/>
      <c r="AB447" s="351"/>
    </row>
    <row r="448" ht="14.25" customHeight="1">
      <c r="A448" s="255" t="s">
        <v>12427</v>
      </c>
      <c r="B448" s="108"/>
      <c r="C448" s="267" t="s">
        <v>10203</v>
      </c>
      <c r="D448" s="256" t="s">
        <v>271</v>
      </c>
      <c r="E448" s="446" t="s">
        <v>5</v>
      </c>
      <c r="F448" s="258" t="s">
        <v>12432</v>
      </c>
      <c r="G448" s="258" t="s">
        <v>12433</v>
      </c>
      <c r="H448" s="240" t="s">
        <v>12434</v>
      </c>
      <c r="I448" s="256" t="s">
        <v>36</v>
      </c>
      <c r="J448" s="351"/>
      <c r="K448" s="351"/>
      <c r="L448" s="351"/>
      <c r="M448" s="351"/>
      <c r="N448" s="351"/>
      <c r="O448" s="351"/>
      <c r="P448" s="351"/>
      <c r="Q448" s="351"/>
      <c r="R448" s="351"/>
      <c r="S448" s="351"/>
      <c r="T448" s="351"/>
      <c r="U448" s="351"/>
      <c r="V448" s="351"/>
      <c r="W448" s="351"/>
      <c r="X448" s="351"/>
      <c r="Y448" s="351"/>
      <c r="Z448" s="351"/>
      <c r="AA448" s="351"/>
      <c r="AB448" s="351"/>
    </row>
    <row r="449" ht="14.25" customHeight="1">
      <c r="A449" s="255" t="s">
        <v>12427</v>
      </c>
      <c r="B449" s="108"/>
      <c r="C449" s="267" t="s">
        <v>10206</v>
      </c>
      <c r="D449" s="256" t="s">
        <v>271</v>
      </c>
      <c r="E449" s="446" t="s">
        <v>5</v>
      </c>
      <c r="F449" s="258" t="s">
        <v>12435</v>
      </c>
      <c r="G449" s="258" t="s">
        <v>12436</v>
      </c>
      <c r="H449" s="240" t="s">
        <v>12437</v>
      </c>
      <c r="I449" s="256" t="s">
        <v>36</v>
      </c>
      <c r="J449" s="351"/>
      <c r="K449" s="351"/>
      <c r="L449" s="351"/>
      <c r="M449" s="351"/>
      <c r="N449" s="351"/>
      <c r="O449" s="351"/>
      <c r="P449" s="351"/>
      <c r="Q449" s="351"/>
      <c r="R449" s="351"/>
      <c r="S449" s="351"/>
      <c r="T449" s="351"/>
      <c r="U449" s="351"/>
      <c r="V449" s="351"/>
      <c r="W449" s="351"/>
      <c r="X449" s="351"/>
      <c r="Y449" s="351"/>
      <c r="Z449" s="351"/>
      <c r="AA449" s="351"/>
      <c r="AB449" s="351"/>
    </row>
    <row r="450" ht="14.25" customHeight="1">
      <c r="A450" s="255" t="s">
        <v>12427</v>
      </c>
      <c r="B450" s="108"/>
      <c r="C450" s="267" t="s">
        <v>10209</v>
      </c>
      <c r="D450" s="256" t="s">
        <v>271</v>
      </c>
      <c r="E450" s="446" t="s">
        <v>5</v>
      </c>
      <c r="F450" s="258" t="s">
        <v>12438</v>
      </c>
      <c r="G450" s="258" t="s">
        <v>12433</v>
      </c>
      <c r="H450" s="240" t="s">
        <v>12439</v>
      </c>
      <c r="I450" s="256" t="s">
        <v>36</v>
      </c>
      <c r="J450" s="351"/>
      <c r="K450" s="351"/>
      <c r="L450" s="351"/>
      <c r="M450" s="351"/>
      <c r="N450" s="351"/>
      <c r="O450" s="351"/>
      <c r="P450" s="351"/>
      <c r="Q450" s="351"/>
      <c r="R450" s="351"/>
      <c r="S450" s="351"/>
      <c r="T450" s="351"/>
      <c r="U450" s="351"/>
      <c r="V450" s="351"/>
      <c r="W450" s="351"/>
      <c r="X450" s="351"/>
      <c r="Y450" s="351"/>
      <c r="Z450" s="351"/>
      <c r="AA450" s="351"/>
      <c r="AB450" s="351"/>
    </row>
    <row r="451" ht="14.25" customHeight="1">
      <c r="A451" s="255" t="s">
        <v>12427</v>
      </c>
      <c r="B451" s="109"/>
      <c r="C451" s="267" t="s">
        <v>10212</v>
      </c>
      <c r="D451" s="256" t="s">
        <v>271</v>
      </c>
      <c r="E451" s="446" t="s">
        <v>5</v>
      </c>
      <c r="F451" s="258" t="s">
        <v>12440</v>
      </c>
      <c r="G451" s="258" t="s">
        <v>12436</v>
      </c>
      <c r="H451" s="240" t="s">
        <v>12441</v>
      </c>
      <c r="I451" s="256" t="s">
        <v>36</v>
      </c>
      <c r="J451" s="351"/>
      <c r="K451" s="351"/>
      <c r="L451" s="351"/>
      <c r="M451" s="351"/>
      <c r="N451" s="351"/>
      <c r="O451" s="351"/>
      <c r="P451" s="351"/>
      <c r="Q451" s="351"/>
      <c r="R451" s="351"/>
      <c r="S451" s="351"/>
      <c r="T451" s="351"/>
      <c r="U451" s="351"/>
      <c r="V451" s="351"/>
      <c r="W451" s="351"/>
      <c r="X451" s="351"/>
      <c r="Y451" s="351"/>
      <c r="Z451" s="351"/>
      <c r="AA451" s="351"/>
      <c r="AB451" s="351"/>
    </row>
    <row r="452" ht="14.25" customHeight="1">
      <c r="A452" s="255" t="s">
        <v>12442</v>
      </c>
      <c r="B452" s="375" t="s">
        <v>12443</v>
      </c>
      <c r="C452" s="256" t="s">
        <v>10199</v>
      </c>
      <c r="D452" s="256" t="s">
        <v>271</v>
      </c>
      <c r="E452" s="446" t="s">
        <v>5</v>
      </c>
      <c r="F452" s="258" t="s">
        <v>12444</v>
      </c>
      <c r="G452" s="447"/>
      <c r="H452" s="258" t="s">
        <v>12445</v>
      </c>
      <c r="I452" s="256" t="s">
        <v>36</v>
      </c>
      <c r="J452" s="351"/>
      <c r="K452" s="351"/>
      <c r="L452" s="351"/>
      <c r="M452" s="351"/>
      <c r="N452" s="351"/>
      <c r="O452" s="351"/>
      <c r="P452" s="351"/>
      <c r="Q452" s="351"/>
      <c r="R452" s="351"/>
      <c r="S452" s="351"/>
      <c r="T452" s="351"/>
      <c r="U452" s="351"/>
      <c r="V452" s="351"/>
      <c r="W452" s="351"/>
      <c r="X452" s="351"/>
      <c r="Y452" s="351"/>
      <c r="Z452" s="351"/>
      <c r="AA452" s="351"/>
      <c r="AB452" s="351"/>
    </row>
    <row r="453" ht="14.25" customHeight="1">
      <c r="A453" s="255" t="s">
        <v>12442</v>
      </c>
      <c r="B453" s="108"/>
      <c r="C453" s="256" t="s">
        <v>10203</v>
      </c>
      <c r="D453" s="256" t="s">
        <v>271</v>
      </c>
      <c r="E453" s="446" t="s">
        <v>5</v>
      </c>
      <c r="F453" s="258" t="s">
        <v>12446</v>
      </c>
      <c r="G453" s="258" t="s">
        <v>12447</v>
      </c>
      <c r="H453" s="258" t="s">
        <v>11826</v>
      </c>
      <c r="I453" s="256" t="s">
        <v>36</v>
      </c>
      <c r="J453" s="351"/>
      <c r="K453" s="351"/>
      <c r="L453" s="351"/>
      <c r="M453" s="351"/>
      <c r="N453" s="351"/>
      <c r="O453" s="351"/>
      <c r="P453" s="351"/>
      <c r="Q453" s="351"/>
      <c r="R453" s="351"/>
      <c r="S453" s="351"/>
      <c r="T453" s="351"/>
      <c r="U453" s="351"/>
      <c r="V453" s="351"/>
      <c r="W453" s="351"/>
      <c r="X453" s="351"/>
      <c r="Y453" s="351"/>
      <c r="Z453" s="351"/>
      <c r="AA453" s="351"/>
      <c r="AB453" s="351"/>
    </row>
    <row r="454" ht="14.25" customHeight="1">
      <c r="A454" s="255" t="s">
        <v>12442</v>
      </c>
      <c r="B454" s="108"/>
      <c r="C454" s="256" t="s">
        <v>10206</v>
      </c>
      <c r="D454" s="256" t="s">
        <v>271</v>
      </c>
      <c r="E454" s="446" t="s">
        <v>5</v>
      </c>
      <c r="F454" s="258" t="s">
        <v>12448</v>
      </c>
      <c r="G454" s="258" t="s">
        <v>12447</v>
      </c>
      <c r="H454" s="258" t="s">
        <v>11826</v>
      </c>
      <c r="I454" s="256" t="s">
        <v>36</v>
      </c>
      <c r="J454" s="351"/>
      <c r="K454" s="351"/>
      <c r="L454" s="351"/>
      <c r="M454" s="351"/>
      <c r="N454" s="351"/>
      <c r="O454" s="351"/>
      <c r="P454" s="351"/>
      <c r="Q454" s="351"/>
      <c r="R454" s="351"/>
      <c r="S454" s="351"/>
      <c r="T454" s="351"/>
      <c r="U454" s="351"/>
      <c r="V454" s="351"/>
      <c r="W454" s="351"/>
      <c r="X454" s="351"/>
      <c r="Y454" s="351"/>
      <c r="Z454" s="351"/>
      <c r="AA454" s="351"/>
      <c r="AB454" s="351"/>
    </row>
    <row r="455" ht="14.25" customHeight="1">
      <c r="A455" s="255" t="s">
        <v>12442</v>
      </c>
      <c r="B455" s="108"/>
      <c r="C455" s="256" t="s">
        <v>10209</v>
      </c>
      <c r="D455" s="256" t="s">
        <v>271</v>
      </c>
      <c r="E455" s="446" t="s">
        <v>5</v>
      </c>
      <c r="F455" s="258" t="s">
        <v>12449</v>
      </c>
      <c r="G455" s="258" t="s">
        <v>12450</v>
      </c>
      <c r="H455" s="258" t="s">
        <v>11847</v>
      </c>
      <c r="I455" s="256" t="s">
        <v>36</v>
      </c>
      <c r="J455" s="351"/>
      <c r="K455" s="351"/>
      <c r="L455" s="351"/>
      <c r="M455" s="351"/>
      <c r="N455" s="351"/>
      <c r="O455" s="351"/>
      <c r="P455" s="351"/>
      <c r="Q455" s="351"/>
      <c r="R455" s="351"/>
      <c r="S455" s="351"/>
      <c r="T455" s="351"/>
      <c r="U455" s="351"/>
      <c r="V455" s="351"/>
      <c r="W455" s="351"/>
      <c r="X455" s="351"/>
      <c r="Y455" s="351"/>
      <c r="Z455" s="351"/>
      <c r="AA455" s="351"/>
      <c r="AB455" s="351"/>
    </row>
    <row r="456" ht="14.25" customHeight="1">
      <c r="A456" s="255" t="s">
        <v>12442</v>
      </c>
      <c r="B456" s="108"/>
      <c r="C456" s="256" t="s">
        <v>10214</v>
      </c>
      <c r="D456" s="256" t="s">
        <v>271</v>
      </c>
      <c r="E456" s="446" t="s">
        <v>5</v>
      </c>
      <c r="F456" s="258" t="s">
        <v>12451</v>
      </c>
      <c r="G456" s="258" t="s">
        <v>12452</v>
      </c>
      <c r="H456" s="258" t="s">
        <v>11850</v>
      </c>
      <c r="I456" s="256" t="s">
        <v>36</v>
      </c>
      <c r="J456" s="351"/>
      <c r="K456" s="351"/>
      <c r="L456" s="351"/>
      <c r="M456" s="351"/>
      <c r="N456" s="351"/>
      <c r="O456" s="351"/>
      <c r="P456" s="351"/>
      <c r="Q456" s="351"/>
      <c r="R456" s="351"/>
      <c r="S456" s="351"/>
      <c r="T456" s="351"/>
      <c r="U456" s="351"/>
      <c r="V456" s="351"/>
      <c r="W456" s="351"/>
      <c r="X456" s="351"/>
      <c r="Y456" s="351"/>
      <c r="Z456" s="351"/>
      <c r="AA456" s="351"/>
      <c r="AB456" s="351"/>
    </row>
    <row r="457" ht="14.25" customHeight="1">
      <c r="A457" s="255" t="s">
        <v>12442</v>
      </c>
      <c r="B457" s="108"/>
      <c r="C457" s="256" t="s">
        <v>10217</v>
      </c>
      <c r="D457" s="256" t="s">
        <v>271</v>
      </c>
      <c r="E457" s="446" t="s">
        <v>5</v>
      </c>
      <c r="F457" s="258" t="s">
        <v>12453</v>
      </c>
      <c r="G457" s="258" t="s">
        <v>12454</v>
      </c>
      <c r="H457" s="258" t="s">
        <v>11847</v>
      </c>
      <c r="I457" s="256" t="s">
        <v>36</v>
      </c>
      <c r="J457" s="351"/>
      <c r="K457" s="351"/>
      <c r="L457" s="351"/>
      <c r="M457" s="351"/>
      <c r="N457" s="351"/>
      <c r="O457" s="351"/>
      <c r="P457" s="351"/>
      <c r="Q457" s="351"/>
      <c r="R457" s="351"/>
      <c r="S457" s="351"/>
      <c r="T457" s="351"/>
      <c r="U457" s="351"/>
      <c r="V457" s="351"/>
      <c r="W457" s="351"/>
      <c r="X457" s="351"/>
      <c r="Y457" s="351"/>
      <c r="Z457" s="351"/>
      <c r="AA457" s="351"/>
      <c r="AB457" s="351"/>
    </row>
    <row r="458" ht="14.25" customHeight="1">
      <c r="A458" s="255" t="s">
        <v>12442</v>
      </c>
      <c r="B458" s="108"/>
      <c r="C458" s="256" t="s">
        <v>10220</v>
      </c>
      <c r="D458" s="256" t="s">
        <v>271</v>
      </c>
      <c r="E458" s="446" t="s">
        <v>5</v>
      </c>
      <c r="F458" s="258" t="s">
        <v>12455</v>
      </c>
      <c r="G458" s="258" t="s">
        <v>12456</v>
      </c>
      <c r="H458" s="258" t="s">
        <v>11850</v>
      </c>
      <c r="I458" s="256" t="s">
        <v>36</v>
      </c>
      <c r="J458" s="351"/>
      <c r="K458" s="351"/>
      <c r="L458" s="351"/>
      <c r="M458" s="351"/>
      <c r="N458" s="351"/>
      <c r="O458" s="351"/>
      <c r="P458" s="351"/>
      <c r="Q458" s="351"/>
      <c r="R458" s="351"/>
      <c r="S458" s="351"/>
      <c r="T458" s="351"/>
      <c r="U458" s="351"/>
      <c r="V458" s="351"/>
      <c r="W458" s="351"/>
      <c r="X458" s="351"/>
      <c r="Y458" s="351"/>
      <c r="Z458" s="351"/>
      <c r="AA458" s="351"/>
      <c r="AB458" s="351"/>
    </row>
    <row r="459" ht="14.25" customHeight="1">
      <c r="A459" s="255" t="s">
        <v>12442</v>
      </c>
      <c r="B459" s="108"/>
      <c r="C459" s="256" t="s">
        <v>10223</v>
      </c>
      <c r="D459" s="256" t="s">
        <v>271</v>
      </c>
      <c r="E459" s="446" t="s">
        <v>5</v>
      </c>
      <c r="F459" s="258" t="s">
        <v>12457</v>
      </c>
      <c r="G459" s="258" t="s">
        <v>12458</v>
      </c>
      <c r="H459" s="258" t="s">
        <v>11847</v>
      </c>
      <c r="I459" s="256" t="s">
        <v>36</v>
      </c>
      <c r="J459" s="351"/>
      <c r="K459" s="351"/>
      <c r="L459" s="351"/>
      <c r="M459" s="351"/>
      <c r="N459" s="351"/>
      <c r="O459" s="351"/>
      <c r="P459" s="351"/>
      <c r="Q459" s="351"/>
      <c r="R459" s="351"/>
      <c r="S459" s="351"/>
      <c r="T459" s="351"/>
      <c r="U459" s="351"/>
      <c r="V459" s="351"/>
      <c r="W459" s="351"/>
      <c r="X459" s="351"/>
      <c r="Y459" s="351"/>
      <c r="Z459" s="351"/>
      <c r="AA459" s="351"/>
      <c r="AB459" s="351"/>
    </row>
    <row r="460" ht="14.25" customHeight="1">
      <c r="A460" s="255" t="s">
        <v>12442</v>
      </c>
      <c r="B460" s="108"/>
      <c r="C460" s="256" t="s">
        <v>10225</v>
      </c>
      <c r="D460" s="256" t="s">
        <v>271</v>
      </c>
      <c r="E460" s="446" t="s">
        <v>5</v>
      </c>
      <c r="F460" s="258" t="s">
        <v>12459</v>
      </c>
      <c r="G460" s="258" t="s">
        <v>12447</v>
      </c>
      <c r="H460" s="258" t="s">
        <v>11826</v>
      </c>
      <c r="I460" s="256" t="s">
        <v>36</v>
      </c>
      <c r="J460" s="351"/>
      <c r="K460" s="351"/>
      <c r="L460" s="351"/>
      <c r="M460" s="351"/>
      <c r="N460" s="351"/>
      <c r="O460" s="351"/>
      <c r="P460" s="351"/>
      <c r="Q460" s="351"/>
      <c r="R460" s="351"/>
      <c r="S460" s="351"/>
      <c r="T460" s="351"/>
      <c r="U460" s="351"/>
      <c r="V460" s="351"/>
      <c r="W460" s="351"/>
      <c r="X460" s="351"/>
      <c r="Y460" s="351"/>
      <c r="Z460" s="351"/>
      <c r="AA460" s="351"/>
      <c r="AB460" s="351"/>
    </row>
    <row r="461" ht="14.25" customHeight="1">
      <c r="A461" s="255" t="s">
        <v>12442</v>
      </c>
      <c r="B461" s="109"/>
      <c r="C461" s="256" t="s">
        <v>10227</v>
      </c>
      <c r="D461" s="256" t="s">
        <v>271</v>
      </c>
      <c r="E461" s="446" t="s">
        <v>5</v>
      </c>
      <c r="F461" s="258" t="s">
        <v>12460</v>
      </c>
      <c r="G461" s="258" t="s">
        <v>12461</v>
      </c>
      <c r="H461" s="258" t="s">
        <v>11826</v>
      </c>
      <c r="I461" s="256" t="s">
        <v>36</v>
      </c>
      <c r="J461" s="351"/>
      <c r="K461" s="351"/>
      <c r="L461" s="351"/>
      <c r="M461" s="351"/>
      <c r="N461" s="351"/>
      <c r="O461" s="351"/>
      <c r="P461" s="351"/>
      <c r="Q461" s="351"/>
      <c r="R461" s="351"/>
      <c r="S461" s="351"/>
      <c r="T461" s="351"/>
      <c r="U461" s="351"/>
      <c r="V461" s="351"/>
      <c r="W461" s="351"/>
      <c r="X461" s="351"/>
      <c r="Y461" s="351"/>
      <c r="Z461" s="351"/>
      <c r="AA461" s="351"/>
      <c r="AB461" s="351"/>
    </row>
    <row r="462" ht="14.25" customHeight="1">
      <c r="A462" s="255" t="s">
        <v>12462</v>
      </c>
      <c r="B462" s="375" t="s">
        <v>12463</v>
      </c>
      <c r="C462" s="256" t="s">
        <v>10199</v>
      </c>
      <c r="D462" s="256" t="s">
        <v>271</v>
      </c>
      <c r="E462" s="446" t="s">
        <v>5</v>
      </c>
      <c r="F462" s="258" t="s">
        <v>12464</v>
      </c>
      <c r="G462" s="258" t="s">
        <v>12465</v>
      </c>
      <c r="H462" s="258" t="s">
        <v>12466</v>
      </c>
      <c r="I462" s="256" t="s">
        <v>36</v>
      </c>
      <c r="J462" s="351"/>
      <c r="K462" s="351"/>
      <c r="L462" s="351"/>
      <c r="M462" s="351"/>
      <c r="N462" s="351"/>
      <c r="O462" s="351"/>
      <c r="P462" s="351"/>
      <c r="Q462" s="351"/>
      <c r="R462" s="351"/>
      <c r="S462" s="351"/>
      <c r="T462" s="351"/>
      <c r="U462" s="351"/>
      <c r="V462" s="351"/>
      <c r="W462" s="351"/>
      <c r="X462" s="351"/>
      <c r="Y462" s="351"/>
      <c r="Z462" s="351"/>
      <c r="AA462" s="351"/>
      <c r="AB462" s="351"/>
    </row>
    <row r="463" ht="14.25" customHeight="1">
      <c r="A463" s="255" t="s">
        <v>12462</v>
      </c>
      <c r="B463" s="108"/>
      <c r="C463" s="256" t="s">
        <v>10203</v>
      </c>
      <c r="D463" s="256" t="s">
        <v>271</v>
      </c>
      <c r="E463" s="446" t="s">
        <v>5</v>
      </c>
      <c r="F463" s="258" t="s">
        <v>12467</v>
      </c>
      <c r="G463" s="258" t="s">
        <v>12465</v>
      </c>
      <c r="H463" s="258" t="s">
        <v>12468</v>
      </c>
      <c r="I463" s="256" t="s">
        <v>36</v>
      </c>
      <c r="J463" s="351"/>
      <c r="K463" s="351"/>
      <c r="L463" s="351"/>
      <c r="M463" s="351"/>
      <c r="N463" s="351"/>
      <c r="O463" s="351"/>
      <c r="P463" s="351"/>
      <c r="Q463" s="351"/>
      <c r="R463" s="351"/>
      <c r="S463" s="351"/>
      <c r="T463" s="351"/>
      <c r="U463" s="351"/>
      <c r="V463" s="351"/>
      <c r="W463" s="351"/>
      <c r="X463" s="351"/>
      <c r="Y463" s="351"/>
      <c r="Z463" s="351"/>
      <c r="AA463" s="351"/>
      <c r="AB463" s="351"/>
    </row>
    <row r="464" ht="14.25" customHeight="1">
      <c r="A464" s="255" t="s">
        <v>12462</v>
      </c>
      <c r="B464" s="108"/>
      <c r="C464" s="256" t="s">
        <v>10206</v>
      </c>
      <c r="D464" s="256" t="s">
        <v>271</v>
      </c>
      <c r="E464" s="446" t="s">
        <v>5</v>
      </c>
      <c r="F464" s="258" t="s">
        <v>12469</v>
      </c>
      <c r="G464" s="258" t="s">
        <v>12470</v>
      </c>
      <c r="H464" s="258" t="s">
        <v>12471</v>
      </c>
      <c r="I464" s="256" t="s">
        <v>36</v>
      </c>
      <c r="J464" s="351"/>
      <c r="K464" s="351"/>
      <c r="L464" s="351"/>
      <c r="M464" s="351"/>
      <c r="N464" s="351"/>
      <c r="O464" s="351"/>
      <c r="P464" s="351"/>
      <c r="Q464" s="351"/>
      <c r="R464" s="351"/>
      <c r="S464" s="351"/>
      <c r="T464" s="351"/>
      <c r="U464" s="351"/>
      <c r="V464" s="351"/>
      <c r="W464" s="351"/>
      <c r="X464" s="351"/>
      <c r="Y464" s="351"/>
      <c r="Z464" s="351"/>
      <c r="AA464" s="351"/>
      <c r="AB464" s="351"/>
    </row>
    <row r="465" ht="14.25" customHeight="1">
      <c r="A465" s="255" t="s">
        <v>12462</v>
      </c>
      <c r="B465" s="108"/>
      <c r="C465" s="256" t="s">
        <v>10209</v>
      </c>
      <c r="D465" s="256" t="s">
        <v>271</v>
      </c>
      <c r="E465" s="446" t="s">
        <v>5</v>
      </c>
      <c r="F465" s="258" t="s">
        <v>12472</v>
      </c>
      <c r="G465" s="258" t="s">
        <v>12470</v>
      </c>
      <c r="H465" s="258" t="s">
        <v>12473</v>
      </c>
      <c r="I465" s="256" t="s">
        <v>36</v>
      </c>
      <c r="J465" s="351"/>
      <c r="K465" s="351"/>
      <c r="L465" s="351"/>
      <c r="M465" s="351"/>
      <c r="N465" s="351"/>
      <c r="O465" s="351"/>
      <c r="P465" s="351"/>
      <c r="Q465" s="351"/>
      <c r="R465" s="351"/>
      <c r="S465" s="351"/>
      <c r="T465" s="351"/>
      <c r="U465" s="351"/>
      <c r="V465" s="351"/>
      <c r="W465" s="351"/>
      <c r="X465" s="351"/>
      <c r="Y465" s="351"/>
      <c r="Z465" s="351"/>
      <c r="AA465" s="351"/>
      <c r="AB465" s="351"/>
    </row>
    <row r="466" ht="14.25" customHeight="1">
      <c r="A466" s="255" t="s">
        <v>12462</v>
      </c>
      <c r="B466" s="108"/>
      <c r="C466" s="256" t="s">
        <v>10212</v>
      </c>
      <c r="D466" s="256" t="s">
        <v>271</v>
      </c>
      <c r="E466" s="446" t="s">
        <v>5</v>
      </c>
      <c r="F466" s="258" t="s">
        <v>12474</v>
      </c>
      <c r="G466" s="258" t="s">
        <v>12475</v>
      </c>
      <c r="H466" s="258" t="s">
        <v>12476</v>
      </c>
      <c r="I466" s="256" t="s">
        <v>36</v>
      </c>
      <c r="J466" s="351"/>
      <c r="K466" s="351"/>
      <c r="L466" s="351"/>
      <c r="M466" s="351"/>
      <c r="N466" s="351"/>
      <c r="O466" s="351"/>
      <c r="P466" s="351"/>
      <c r="Q466" s="351"/>
      <c r="R466" s="351"/>
      <c r="S466" s="351"/>
      <c r="T466" s="351"/>
      <c r="U466" s="351"/>
      <c r="V466" s="351"/>
      <c r="W466" s="351"/>
      <c r="X466" s="351"/>
      <c r="Y466" s="351"/>
      <c r="Z466" s="351"/>
      <c r="AA466" s="351"/>
      <c r="AB466" s="351"/>
    </row>
    <row r="467" ht="14.25" customHeight="1">
      <c r="A467" s="255" t="s">
        <v>12462</v>
      </c>
      <c r="B467" s="109"/>
      <c r="C467" s="256" t="s">
        <v>10214</v>
      </c>
      <c r="D467" s="256" t="s">
        <v>271</v>
      </c>
      <c r="E467" s="446" t="s">
        <v>5</v>
      </c>
      <c r="F467" s="258" t="s">
        <v>12477</v>
      </c>
      <c r="G467" s="258" t="s">
        <v>12475</v>
      </c>
      <c r="H467" s="258" t="s">
        <v>12473</v>
      </c>
      <c r="I467" s="256" t="s">
        <v>36</v>
      </c>
      <c r="J467" s="351"/>
      <c r="K467" s="351"/>
      <c r="L467" s="351"/>
      <c r="M467" s="351"/>
      <c r="N467" s="351"/>
      <c r="O467" s="351"/>
      <c r="P467" s="351"/>
      <c r="Q467" s="351"/>
      <c r="R467" s="351"/>
      <c r="S467" s="351"/>
      <c r="T467" s="351"/>
      <c r="U467" s="351"/>
      <c r="V467" s="351"/>
      <c r="W467" s="351"/>
      <c r="X467" s="351"/>
      <c r="Y467" s="351"/>
      <c r="Z467" s="351"/>
      <c r="AA467" s="351"/>
      <c r="AB467" s="351"/>
    </row>
    <row r="468" ht="14.25" customHeight="1">
      <c r="A468" s="255" t="s">
        <v>12478</v>
      </c>
      <c r="B468" s="375" t="s">
        <v>12479</v>
      </c>
      <c r="C468" s="256" t="s">
        <v>10199</v>
      </c>
      <c r="D468" s="297" t="s">
        <v>271</v>
      </c>
      <c r="E468" s="446" t="s">
        <v>5</v>
      </c>
      <c r="F468" s="258" t="s">
        <v>12480</v>
      </c>
      <c r="G468" s="258" t="s">
        <v>12481</v>
      </c>
      <c r="H468" s="258" t="s">
        <v>12482</v>
      </c>
      <c r="I468" s="256" t="s">
        <v>36</v>
      </c>
      <c r="J468" s="351"/>
      <c r="K468" s="351"/>
      <c r="L468" s="351"/>
      <c r="M468" s="351"/>
      <c r="N468" s="351"/>
      <c r="O468" s="351"/>
      <c r="P468" s="351"/>
      <c r="Q468" s="351"/>
      <c r="R468" s="351"/>
      <c r="S468" s="351"/>
      <c r="T468" s="351"/>
      <c r="U468" s="351"/>
      <c r="V468" s="351"/>
      <c r="W468" s="351"/>
      <c r="X468" s="351"/>
      <c r="Y468" s="351"/>
      <c r="Z468" s="351"/>
      <c r="AA468" s="351"/>
      <c r="AB468" s="351"/>
    </row>
    <row r="469" ht="14.25" customHeight="1">
      <c r="A469" s="255" t="s">
        <v>12478</v>
      </c>
      <c r="B469" s="108"/>
      <c r="C469" s="256" t="s">
        <v>10203</v>
      </c>
      <c r="D469" s="297" t="s">
        <v>271</v>
      </c>
      <c r="E469" s="446" t="s">
        <v>5</v>
      </c>
      <c r="F469" s="258" t="s">
        <v>12483</v>
      </c>
      <c r="G469" s="258" t="s">
        <v>12481</v>
      </c>
      <c r="H469" s="258" t="s">
        <v>12484</v>
      </c>
      <c r="I469" s="256" t="s">
        <v>36</v>
      </c>
      <c r="J469" s="351"/>
      <c r="K469" s="351"/>
      <c r="L469" s="351"/>
      <c r="M469" s="351"/>
      <c r="N469" s="351"/>
      <c r="O469" s="351"/>
      <c r="P469" s="351"/>
      <c r="Q469" s="351"/>
      <c r="R469" s="351"/>
      <c r="S469" s="351"/>
      <c r="T469" s="351"/>
      <c r="U469" s="351"/>
      <c r="V469" s="351"/>
      <c r="W469" s="351"/>
      <c r="X469" s="351"/>
      <c r="Y469" s="351"/>
      <c r="Z469" s="351"/>
      <c r="AA469" s="351"/>
      <c r="AB469" s="351"/>
    </row>
    <row r="470" ht="14.25" customHeight="1">
      <c r="A470" s="255" t="s">
        <v>12478</v>
      </c>
      <c r="B470" s="108"/>
      <c r="C470" s="256" t="s">
        <v>10206</v>
      </c>
      <c r="D470" s="297" t="s">
        <v>271</v>
      </c>
      <c r="E470" s="446" t="s">
        <v>5</v>
      </c>
      <c r="F470" s="258" t="s">
        <v>12485</v>
      </c>
      <c r="G470" s="258" t="s">
        <v>12486</v>
      </c>
      <c r="H470" s="258" t="s">
        <v>12487</v>
      </c>
      <c r="I470" s="256" t="s">
        <v>36</v>
      </c>
      <c r="J470" s="351"/>
      <c r="K470" s="351"/>
      <c r="L470" s="351"/>
      <c r="M470" s="351"/>
      <c r="N470" s="351"/>
      <c r="O470" s="351"/>
      <c r="P470" s="351"/>
      <c r="Q470" s="351"/>
      <c r="R470" s="351"/>
      <c r="S470" s="351"/>
      <c r="T470" s="351"/>
      <c r="U470" s="351"/>
      <c r="V470" s="351"/>
      <c r="W470" s="351"/>
      <c r="X470" s="351"/>
      <c r="Y470" s="351"/>
      <c r="Z470" s="351"/>
      <c r="AA470" s="351"/>
      <c r="AB470" s="351"/>
    </row>
    <row r="471" ht="14.25" customHeight="1">
      <c r="A471" s="255" t="s">
        <v>12478</v>
      </c>
      <c r="B471" s="108"/>
      <c r="C471" s="256" t="s">
        <v>10209</v>
      </c>
      <c r="D471" s="297" t="s">
        <v>271</v>
      </c>
      <c r="E471" s="446" t="s">
        <v>5</v>
      </c>
      <c r="F471" s="258" t="s">
        <v>12488</v>
      </c>
      <c r="G471" s="258" t="s">
        <v>12489</v>
      </c>
      <c r="H471" s="258" t="s">
        <v>12490</v>
      </c>
      <c r="I471" s="256" t="s">
        <v>36</v>
      </c>
      <c r="J471" s="351"/>
      <c r="K471" s="351"/>
      <c r="L471" s="351"/>
      <c r="M471" s="351"/>
      <c r="N471" s="351"/>
      <c r="O471" s="351"/>
      <c r="P471" s="351"/>
      <c r="Q471" s="351"/>
      <c r="R471" s="351"/>
      <c r="S471" s="351"/>
      <c r="T471" s="351"/>
      <c r="U471" s="351"/>
      <c r="V471" s="351"/>
      <c r="W471" s="351"/>
      <c r="X471" s="351"/>
      <c r="Y471" s="351"/>
      <c r="Z471" s="351"/>
      <c r="AA471" s="351"/>
      <c r="AB471" s="351"/>
    </row>
    <row r="472" ht="14.25" customHeight="1">
      <c r="A472" s="255" t="s">
        <v>12478</v>
      </c>
      <c r="B472" s="108"/>
      <c r="C472" s="256" t="s">
        <v>10212</v>
      </c>
      <c r="D472" s="297" t="s">
        <v>271</v>
      </c>
      <c r="E472" s="446" t="s">
        <v>5</v>
      </c>
      <c r="F472" s="258" t="s">
        <v>12491</v>
      </c>
      <c r="G472" s="258" t="s">
        <v>12492</v>
      </c>
      <c r="H472" s="258" t="s">
        <v>12493</v>
      </c>
      <c r="I472" s="256" t="s">
        <v>36</v>
      </c>
      <c r="J472" s="351"/>
      <c r="K472" s="351"/>
      <c r="L472" s="351"/>
      <c r="M472" s="351"/>
      <c r="N472" s="351"/>
      <c r="O472" s="351"/>
      <c r="P472" s="351"/>
      <c r="Q472" s="351"/>
      <c r="R472" s="351"/>
      <c r="S472" s="351"/>
      <c r="T472" s="351"/>
      <c r="U472" s="351"/>
      <c r="V472" s="351"/>
      <c r="W472" s="351"/>
      <c r="X472" s="351"/>
      <c r="Y472" s="351"/>
      <c r="Z472" s="351"/>
      <c r="AA472" s="351"/>
      <c r="AB472" s="351"/>
    </row>
    <row r="473" ht="14.25" customHeight="1">
      <c r="A473" s="255" t="s">
        <v>12478</v>
      </c>
      <c r="B473" s="108"/>
      <c r="C473" s="256" t="s">
        <v>10214</v>
      </c>
      <c r="D473" s="297" t="s">
        <v>271</v>
      </c>
      <c r="E473" s="446" t="s">
        <v>5</v>
      </c>
      <c r="F473" s="258" t="s">
        <v>12494</v>
      </c>
      <c r="G473" s="258" t="s">
        <v>12495</v>
      </c>
      <c r="H473" s="258" t="s">
        <v>12493</v>
      </c>
      <c r="I473" s="256" t="s">
        <v>36</v>
      </c>
      <c r="J473" s="351"/>
      <c r="K473" s="351"/>
      <c r="L473" s="351"/>
      <c r="M473" s="351"/>
      <c r="N473" s="351"/>
      <c r="O473" s="351"/>
      <c r="P473" s="351"/>
      <c r="Q473" s="351"/>
      <c r="R473" s="351"/>
      <c r="S473" s="351"/>
      <c r="T473" s="351"/>
      <c r="U473" s="351"/>
      <c r="V473" s="351"/>
      <c r="W473" s="351"/>
      <c r="X473" s="351"/>
      <c r="Y473" s="351"/>
      <c r="Z473" s="351"/>
      <c r="AA473" s="351"/>
      <c r="AB473" s="351"/>
    </row>
    <row r="474" ht="14.25" customHeight="1">
      <c r="A474" s="255" t="s">
        <v>12478</v>
      </c>
      <c r="B474" s="108"/>
      <c r="C474" s="256" t="s">
        <v>10217</v>
      </c>
      <c r="D474" s="297" t="s">
        <v>271</v>
      </c>
      <c r="E474" s="446" t="s">
        <v>5</v>
      </c>
      <c r="F474" s="258" t="s">
        <v>12496</v>
      </c>
      <c r="G474" s="258" t="s">
        <v>12497</v>
      </c>
      <c r="H474" s="258" t="s">
        <v>12498</v>
      </c>
      <c r="I474" s="256" t="s">
        <v>36</v>
      </c>
      <c r="J474" s="351"/>
      <c r="K474" s="351"/>
      <c r="L474" s="351"/>
      <c r="M474" s="351"/>
      <c r="N474" s="351"/>
      <c r="O474" s="351"/>
      <c r="P474" s="351"/>
      <c r="Q474" s="351"/>
      <c r="R474" s="351"/>
      <c r="S474" s="351"/>
      <c r="T474" s="351"/>
      <c r="U474" s="351"/>
      <c r="V474" s="351"/>
      <c r="W474" s="351"/>
      <c r="X474" s="351"/>
      <c r="Y474" s="351"/>
      <c r="Z474" s="351"/>
      <c r="AA474" s="351"/>
      <c r="AB474" s="351"/>
    </row>
    <row r="475" ht="14.25" customHeight="1">
      <c r="A475" s="255" t="s">
        <v>12478</v>
      </c>
      <c r="B475" s="108"/>
      <c r="C475" s="256" t="s">
        <v>10220</v>
      </c>
      <c r="D475" s="297" t="s">
        <v>271</v>
      </c>
      <c r="E475" s="446" t="s">
        <v>5</v>
      </c>
      <c r="F475" s="258" t="s">
        <v>12499</v>
      </c>
      <c r="G475" s="258" t="s">
        <v>12500</v>
      </c>
      <c r="H475" s="258" t="s">
        <v>12501</v>
      </c>
      <c r="I475" s="256" t="s">
        <v>36</v>
      </c>
      <c r="J475" s="351"/>
      <c r="K475" s="351"/>
      <c r="L475" s="351"/>
      <c r="M475" s="351"/>
      <c r="N475" s="351"/>
      <c r="O475" s="351"/>
      <c r="P475" s="351"/>
      <c r="Q475" s="351"/>
      <c r="R475" s="351"/>
      <c r="S475" s="351"/>
      <c r="T475" s="351"/>
      <c r="U475" s="351"/>
      <c r="V475" s="351"/>
      <c r="W475" s="351"/>
      <c r="X475" s="351"/>
      <c r="Y475" s="351"/>
      <c r="Z475" s="351"/>
      <c r="AA475" s="351"/>
      <c r="AB475" s="351"/>
    </row>
    <row r="476" ht="14.25" customHeight="1">
      <c r="A476" s="255" t="s">
        <v>12478</v>
      </c>
      <c r="B476" s="108"/>
      <c r="C476" s="256" t="s">
        <v>10223</v>
      </c>
      <c r="D476" s="297" t="s">
        <v>271</v>
      </c>
      <c r="E476" s="446" t="s">
        <v>5</v>
      </c>
      <c r="F476" s="258" t="s">
        <v>12502</v>
      </c>
      <c r="G476" s="258" t="s">
        <v>12503</v>
      </c>
      <c r="H476" s="258" t="s">
        <v>12504</v>
      </c>
      <c r="I476" s="256" t="s">
        <v>36</v>
      </c>
      <c r="J476" s="351"/>
      <c r="K476" s="351"/>
      <c r="L476" s="351"/>
      <c r="M476" s="351"/>
      <c r="N476" s="351"/>
      <c r="O476" s="351"/>
      <c r="P476" s="351"/>
      <c r="Q476" s="351"/>
      <c r="R476" s="351"/>
      <c r="S476" s="351"/>
      <c r="T476" s="351"/>
      <c r="U476" s="351"/>
      <c r="V476" s="351"/>
      <c r="W476" s="351"/>
      <c r="X476" s="351"/>
      <c r="Y476" s="351"/>
      <c r="Z476" s="351"/>
      <c r="AA476" s="351"/>
      <c r="AB476" s="351"/>
    </row>
    <row r="477" ht="14.25" customHeight="1">
      <c r="A477" s="255" t="s">
        <v>12478</v>
      </c>
      <c r="B477" s="108"/>
      <c r="C477" s="256" t="s">
        <v>10225</v>
      </c>
      <c r="D477" s="297" t="s">
        <v>271</v>
      </c>
      <c r="E477" s="446" t="s">
        <v>5</v>
      </c>
      <c r="F477" s="258" t="s">
        <v>12505</v>
      </c>
      <c r="G477" s="258" t="s">
        <v>12506</v>
      </c>
      <c r="H477" s="258" t="s">
        <v>12507</v>
      </c>
      <c r="I477" s="256" t="s">
        <v>36</v>
      </c>
      <c r="J477" s="351"/>
      <c r="K477" s="351"/>
      <c r="L477" s="351"/>
      <c r="M477" s="351"/>
      <c r="N477" s="351"/>
      <c r="O477" s="351"/>
      <c r="P477" s="351"/>
      <c r="Q477" s="351"/>
      <c r="R477" s="351"/>
      <c r="S477" s="351"/>
      <c r="T477" s="351"/>
      <c r="U477" s="351"/>
      <c r="V477" s="351"/>
      <c r="W477" s="351"/>
      <c r="X477" s="351"/>
      <c r="Y477" s="351"/>
      <c r="Z477" s="351"/>
      <c r="AA477" s="351"/>
      <c r="AB477" s="351"/>
    </row>
    <row r="478" ht="14.25" customHeight="1">
      <c r="A478" s="255" t="s">
        <v>12478</v>
      </c>
      <c r="B478" s="108"/>
      <c r="C478" s="256" t="s">
        <v>10227</v>
      </c>
      <c r="D478" s="297" t="s">
        <v>271</v>
      </c>
      <c r="E478" s="446" t="s">
        <v>5</v>
      </c>
      <c r="F478" s="258" t="s">
        <v>12508</v>
      </c>
      <c r="G478" s="258" t="s">
        <v>12509</v>
      </c>
      <c r="H478" s="258" t="s">
        <v>12510</v>
      </c>
      <c r="I478" s="256" t="s">
        <v>36</v>
      </c>
      <c r="J478" s="351"/>
      <c r="K478" s="351"/>
      <c r="L478" s="351"/>
      <c r="M478" s="351"/>
      <c r="N478" s="351"/>
      <c r="O478" s="351"/>
      <c r="P478" s="351"/>
      <c r="Q478" s="351"/>
      <c r="R478" s="351"/>
      <c r="S478" s="351"/>
      <c r="T478" s="351"/>
      <c r="U478" s="351"/>
      <c r="V478" s="351"/>
      <c r="W478" s="351"/>
      <c r="X478" s="351"/>
      <c r="Y478" s="351"/>
      <c r="Z478" s="351"/>
      <c r="AA478" s="351"/>
      <c r="AB478" s="351"/>
    </row>
    <row r="479" ht="14.25" customHeight="1">
      <c r="A479" s="255" t="s">
        <v>12478</v>
      </c>
      <c r="B479" s="108"/>
      <c r="C479" s="256" t="s">
        <v>10229</v>
      </c>
      <c r="D479" s="297" t="s">
        <v>271</v>
      </c>
      <c r="E479" s="446" t="s">
        <v>5</v>
      </c>
      <c r="F479" s="258" t="s">
        <v>12511</v>
      </c>
      <c r="G479" s="258" t="s">
        <v>12512</v>
      </c>
      <c r="H479" s="258" t="s">
        <v>12513</v>
      </c>
      <c r="I479" s="256" t="s">
        <v>36</v>
      </c>
      <c r="J479" s="351"/>
      <c r="K479" s="351"/>
      <c r="L479" s="351"/>
      <c r="M479" s="351"/>
      <c r="N479" s="351"/>
      <c r="O479" s="351"/>
      <c r="P479" s="351"/>
      <c r="Q479" s="351"/>
      <c r="R479" s="351"/>
      <c r="S479" s="351"/>
      <c r="T479" s="351"/>
      <c r="U479" s="351"/>
      <c r="V479" s="351"/>
      <c r="W479" s="351"/>
      <c r="X479" s="351"/>
      <c r="Y479" s="351"/>
      <c r="Z479" s="351"/>
      <c r="AA479" s="351"/>
      <c r="AB479" s="351"/>
    </row>
    <row r="480" ht="14.25" customHeight="1">
      <c r="A480" s="255" t="s">
        <v>12478</v>
      </c>
      <c r="B480" s="108"/>
      <c r="C480" s="256" t="s">
        <v>10231</v>
      </c>
      <c r="D480" s="297" t="s">
        <v>271</v>
      </c>
      <c r="E480" s="446" t="s">
        <v>5</v>
      </c>
      <c r="F480" s="258" t="s">
        <v>12514</v>
      </c>
      <c r="G480" s="258" t="s">
        <v>12486</v>
      </c>
      <c r="H480" s="258" t="s">
        <v>12515</v>
      </c>
      <c r="I480" s="256" t="s">
        <v>36</v>
      </c>
      <c r="J480" s="351"/>
      <c r="K480" s="351"/>
      <c r="L480" s="351"/>
      <c r="M480" s="351"/>
      <c r="N480" s="351"/>
      <c r="O480" s="351"/>
      <c r="P480" s="351"/>
      <c r="Q480" s="351"/>
      <c r="R480" s="351"/>
      <c r="S480" s="351"/>
      <c r="T480" s="351"/>
      <c r="U480" s="351"/>
      <c r="V480" s="351"/>
      <c r="W480" s="351"/>
      <c r="X480" s="351"/>
      <c r="Y480" s="351"/>
      <c r="Z480" s="351"/>
      <c r="AA480" s="351"/>
      <c r="AB480" s="351"/>
    </row>
    <row r="481" ht="14.25" customHeight="1">
      <c r="A481" s="255" t="s">
        <v>12478</v>
      </c>
      <c r="B481" s="108"/>
      <c r="C481" s="256" t="s">
        <v>10234</v>
      </c>
      <c r="D481" s="297" t="s">
        <v>271</v>
      </c>
      <c r="E481" s="446" t="s">
        <v>5</v>
      </c>
      <c r="F481" s="258" t="s">
        <v>12516</v>
      </c>
      <c r="G481" s="258" t="s">
        <v>12486</v>
      </c>
      <c r="H481" s="258" t="s">
        <v>12517</v>
      </c>
      <c r="I481" s="256" t="s">
        <v>36</v>
      </c>
      <c r="J481" s="351"/>
      <c r="K481" s="351"/>
      <c r="L481" s="351"/>
      <c r="M481" s="351"/>
      <c r="N481" s="351"/>
      <c r="O481" s="351"/>
      <c r="P481" s="351"/>
      <c r="Q481" s="351"/>
      <c r="R481" s="351"/>
      <c r="S481" s="351"/>
      <c r="T481" s="351"/>
      <c r="U481" s="351"/>
      <c r="V481" s="351"/>
      <c r="W481" s="351"/>
      <c r="X481" s="351"/>
      <c r="Y481" s="351"/>
      <c r="Z481" s="351"/>
      <c r="AA481" s="351"/>
      <c r="AB481" s="351"/>
    </row>
    <row r="482" ht="14.25" customHeight="1">
      <c r="A482" s="255" t="s">
        <v>12478</v>
      </c>
      <c r="B482" s="108"/>
      <c r="C482" s="256" t="s">
        <v>10236</v>
      </c>
      <c r="D482" s="297" t="s">
        <v>271</v>
      </c>
      <c r="E482" s="446" t="s">
        <v>5</v>
      </c>
      <c r="F482" s="258" t="s">
        <v>12518</v>
      </c>
      <c r="G482" s="258" t="s">
        <v>12486</v>
      </c>
      <c r="H482" s="258" t="s">
        <v>12519</v>
      </c>
      <c r="I482" s="258" t="s">
        <v>11572</v>
      </c>
      <c r="J482" s="351"/>
      <c r="K482" s="351"/>
      <c r="L482" s="351"/>
      <c r="M482" s="351"/>
      <c r="N482" s="351"/>
      <c r="O482" s="351"/>
      <c r="P482" s="351"/>
      <c r="Q482" s="351"/>
      <c r="R482" s="351"/>
      <c r="S482" s="351"/>
      <c r="T482" s="351"/>
      <c r="U482" s="351"/>
      <c r="V482" s="351"/>
      <c r="W482" s="351"/>
      <c r="X482" s="351"/>
      <c r="Y482" s="351"/>
      <c r="Z482" s="351"/>
      <c r="AA482" s="351"/>
      <c r="AB482" s="351"/>
    </row>
    <row r="483" ht="14.25" customHeight="1">
      <c r="A483" s="255" t="s">
        <v>12478</v>
      </c>
      <c r="B483" s="108"/>
      <c r="C483" s="256" t="s">
        <v>12259</v>
      </c>
      <c r="D483" s="297" t="s">
        <v>271</v>
      </c>
      <c r="E483" s="446" t="s">
        <v>5</v>
      </c>
      <c r="F483" s="258" t="s">
        <v>12520</v>
      </c>
      <c r="G483" s="258" t="s">
        <v>12521</v>
      </c>
      <c r="H483" s="258" t="s">
        <v>12522</v>
      </c>
      <c r="I483" s="258" t="s">
        <v>11572</v>
      </c>
      <c r="J483" s="351"/>
      <c r="K483" s="351"/>
      <c r="L483" s="351"/>
      <c r="M483" s="351"/>
      <c r="N483" s="351"/>
      <c r="O483" s="351"/>
      <c r="P483" s="351"/>
      <c r="Q483" s="351"/>
      <c r="R483" s="351"/>
      <c r="S483" s="351"/>
      <c r="T483" s="351"/>
      <c r="U483" s="351"/>
      <c r="V483" s="351"/>
      <c r="W483" s="351"/>
      <c r="X483" s="351"/>
      <c r="Y483" s="351"/>
      <c r="Z483" s="351"/>
      <c r="AA483" s="351"/>
      <c r="AB483" s="351"/>
    </row>
    <row r="484" ht="14.25" customHeight="1">
      <c r="A484" s="255" t="s">
        <v>12478</v>
      </c>
      <c r="B484" s="109"/>
      <c r="C484" s="256" t="s">
        <v>12263</v>
      </c>
      <c r="D484" s="297" t="s">
        <v>271</v>
      </c>
      <c r="E484" s="446" t="s">
        <v>5</v>
      </c>
      <c r="F484" s="258" t="s">
        <v>12523</v>
      </c>
      <c r="G484" s="258" t="s">
        <v>12524</v>
      </c>
      <c r="H484" s="258" t="s">
        <v>12525</v>
      </c>
      <c r="I484" s="258" t="s">
        <v>12526</v>
      </c>
      <c r="J484" s="351"/>
      <c r="K484" s="351"/>
      <c r="L484" s="351"/>
      <c r="M484" s="351"/>
      <c r="N484" s="351"/>
      <c r="O484" s="351"/>
      <c r="P484" s="351"/>
      <c r="Q484" s="351"/>
      <c r="R484" s="351"/>
      <c r="S484" s="351"/>
      <c r="T484" s="351"/>
      <c r="U484" s="351"/>
      <c r="V484" s="351"/>
      <c r="W484" s="351"/>
      <c r="X484" s="351"/>
      <c r="Y484" s="351"/>
      <c r="Z484" s="351"/>
      <c r="AA484" s="351"/>
      <c r="AB484" s="351"/>
    </row>
    <row r="485" ht="14.25" customHeight="1">
      <c r="A485" s="255" t="s">
        <v>12527</v>
      </c>
      <c r="B485" s="375" t="s">
        <v>12528</v>
      </c>
      <c r="C485" s="267" t="s">
        <v>10199</v>
      </c>
      <c r="D485" s="297" t="s">
        <v>271</v>
      </c>
      <c r="E485" s="446" t="s">
        <v>5</v>
      </c>
      <c r="F485" s="240" t="s">
        <v>12529</v>
      </c>
      <c r="G485" s="240" t="s">
        <v>12530</v>
      </c>
      <c r="H485" s="240" t="s">
        <v>12531</v>
      </c>
      <c r="I485" s="258" t="s">
        <v>12526</v>
      </c>
      <c r="J485" s="351"/>
      <c r="K485" s="351"/>
      <c r="L485" s="351"/>
      <c r="M485" s="351"/>
      <c r="N485" s="351"/>
      <c r="O485" s="351"/>
      <c r="P485" s="351"/>
      <c r="Q485" s="351"/>
      <c r="R485" s="351"/>
      <c r="S485" s="351"/>
      <c r="T485" s="351"/>
      <c r="U485" s="351"/>
      <c r="V485" s="351"/>
      <c r="W485" s="351"/>
      <c r="X485" s="351"/>
      <c r="Y485" s="351"/>
      <c r="Z485" s="351"/>
      <c r="AA485" s="351"/>
      <c r="AB485" s="351"/>
    </row>
    <row r="486" ht="14.25" customHeight="1">
      <c r="A486" s="255" t="s">
        <v>12527</v>
      </c>
      <c r="B486" s="108"/>
      <c r="C486" s="267" t="s">
        <v>10203</v>
      </c>
      <c r="D486" s="297" t="s">
        <v>271</v>
      </c>
      <c r="E486" s="446" t="s">
        <v>5</v>
      </c>
      <c r="F486" s="240" t="s">
        <v>12532</v>
      </c>
      <c r="G486" s="240" t="s">
        <v>12533</v>
      </c>
      <c r="H486" s="240" t="s">
        <v>10926</v>
      </c>
      <c r="I486" s="258" t="s">
        <v>12526</v>
      </c>
      <c r="J486" s="351"/>
      <c r="K486" s="351"/>
      <c r="L486" s="351"/>
      <c r="M486" s="351"/>
      <c r="N486" s="351"/>
      <c r="O486" s="351"/>
      <c r="P486" s="351"/>
      <c r="Q486" s="351"/>
      <c r="R486" s="351"/>
      <c r="S486" s="351"/>
      <c r="T486" s="351"/>
      <c r="U486" s="351"/>
      <c r="V486" s="351"/>
      <c r="W486" s="351"/>
      <c r="X486" s="351"/>
      <c r="Y486" s="351"/>
      <c r="Z486" s="351"/>
      <c r="AA486" s="351"/>
      <c r="AB486" s="351"/>
    </row>
    <row r="487" ht="14.25" customHeight="1">
      <c r="A487" s="255" t="s">
        <v>12527</v>
      </c>
      <c r="B487" s="108"/>
      <c r="C487" s="267" t="s">
        <v>10206</v>
      </c>
      <c r="D487" s="297" t="s">
        <v>271</v>
      </c>
      <c r="E487" s="446" t="s">
        <v>5</v>
      </c>
      <c r="F487" s="240" t="s">
        <v>12534</v>
      </c>
      <c r="G487" s="240" t="s">
        <v>12533</v>
      </c>
      <c r="H487" s="240" t="s">
        <v>10926</v>
      </c>
      <c r="I487" s="258" t="s">
        <v>12526</v>
      </c>
      <c r="J487" s="351"/>
      <c r="K487" s="351"/>
      <c r="L487" s="351"/>
      <c r="M487" s="351"/>
      <c r="N487" s="351"/>
      <c r="O487" s="351"/>
      <c r="P487" s="351"/>
      <c r="Q487" s="351"/>
      <c r="R487" s="351"/>
      <c r="S487" s="351"/>
      <c r="T487" s="351"/>
      <c r="U487" s="351"/>
      <c r="V487" s="351"/>
      <c r="W487" s="351"/>
      <c r="X487" s="351"/>
      <c r="Y487" s="351"/>
      <c r="Z487" s="351"/>
      <c r="AA487" s="351"/>
      <c r="AB487" s="351"/>
    </row>
    <row r="488" ht="14.25" customHeight="1">
      <c r="A488" s="255" t="s">
        <v>12527</v>
      </c>
      <c r="B488" s="108"/>
      <c r="C488" s="267" t="s">
        <v>10209</v>
      </c>
      <c r="D488" s="297" t="s">
        <v>271</v>
      </c>
      <c r="E488" s="446" t="s">
        <v>5</v>
      </c>
      <c r="F488" s="240" t="s">
        <v>12535</v>
      </c>
      <c r="G488" s="240" t="s">
        <v>12536</v>
      </c>
      <c r="H488" s="240" t="s">
        <v>10926</v>
      </c>
      <c r="I488" s="258" t="s">
        <v>12526</v>
      </c>
      <c r="J488" s="351"/>
      <c r="K488" s="351"/>
      <c r="L488" s="351"/>
      <c r="M488" s="351"/>
      <c r="N488" s="351"/>
      <c r="O488" s="351"/>
      <c r="P488" s="351"/>
      <c r="Q488" s="351"/>
      <c r="R488" s="351"/>
      <c r="S488" s="351"/>
      <c r="T488" s="351"/>
      <c r="U488" s="351"/>
      <c r="V488" s="351"/>
      <c r="W488" s="351"/>
      <c r="X488" s="351"/>
      <c r="Y488" s="351"/>
      <c r="Z488" s="351"/>
      <c r="AA488" s="351"/>
      <c r="AB488" s="351"/>
    </row>
    <row r="489" ht="14.25" customHeight="1">
      <c r="A489" s="255" t="s">
        <v>12527</v>
      </c>
      <c r="B489" s="108"/>
      <c r="C489" s="267" t="s">
        <v>10214</v>
      </c>
      <c r="D489" s="297" t="s">
        <v>271</v>
      </c>
      <c r="E489" s="446" t="s">
        <v>5</v>
      </c>
      <c r="F489" s="240" t="s">
        <v>12537</v>
      </c>
      <c r="G489" s="240" t="s">
        <v>12533</v>
      </c>
      <c r="H489" s="240" t="s">
        <v>10930</v>
      </c>
      <c r="I489" s="258" t="s">
        <v>12526</v>
      </c>
      <c r="J489" s="351"/>
      <c r="K489" s="351"/>
      <c r="L489" s="351"/>
      <c r="M489" s="351"/>
      <c r="N489" s="351"/>
      <c r="O489" s="351"/>
      <c r="P489" s="351"/>
      <c r="Q489" s="351"/>
      <c r="R489" s="351"/>
      <c r="S489" s="351"/>
      <c r="T489" s="351"/>
      <c r="U489" s="351"/>
      <c r="V489" s="351"/>
      <c r="W489" s="351"/>
      <c r="X489" s="351"/>
      <c r="Y489" s="351"/>
      <c r="Z489" s="351"/>
      <c r="AA489" s="351"/>
      <c r="AB489" s="351"/>
    </row>
    <row r="490" ht="14.25" customHeight="1">
      <c r="A490" s="255" t="s">
        <v>12527</v>
      </c>
      <c r="B490" s="108"/>
      <c r="C490" s="267" t="s">
        <v>10217</v>
      </c>
      <c r="D490" s="297" t="s">
        <v>271</v>
      </c>
      <c r="E490" s="446" t="s">
        <v>5</v>
      </c>
      <c r="F490" s="240" t="s">
        <v>12538</v>
      </c>
      <c r="G490" s="240" t="s">
        <v>12536</v>
      </c>
      <c r="H490" s="240" t="s">
        <v>10930</v>
      </c>
      <c r="I490" s="258" t="s">
        <v>12526</v>
      </c>
      <c r="J490" s="351"/>
      <c r="K490" s="351"/>
      <c r="L490" s="351"/>
      <c r="M490" s="351"/>
      <c r="N490" s="351"/>
      <c r="O490" s="351"/>
      <c r="P490" s="351"/>
      <c r="Q490" s="351"/>
      <c r="R490" s="351"/>
      <c r="S490" s="351"/>
      <c r="T490" s="351"/>
      <c r="U490" s="351"/>
      <c r="V490" s="351"/>
      <c r="W490" s="351"/>
      <c r="X490" s="351"/>
      <c r="Y490" s="351"/>
      <c r="Z490" s="351"/>
      <c r="AA490" s="351"/>
      <c r="AB490" s="351"/>
    </row>
    <row r="491" ht="14.25" customHeight="1">
      <c r="A491" s="255" t="s">
        <v>12527</v>
      </c>
      <c r="B491" s="108"/>
      <c r="C491" s="267" t="s">
        <v>10220</v>
      </c>
      <c r="D491" s="297" t="s">
        <v>271</v>
      </c>
      <c r="E491" s="446" t="s">
        <v>5</v>
      </c>
      <c r="F491" s="240" t="s">
        <v>12539</v>
      </c>
      <c r="G491" s="240" t="s">
        <v>12533</v>
      </c>
      <c r="H491" s="240" t="s">
        <v>10934</v>
      </c>
      <c r="I491" s="258" t="s">
        <v>12526</v>
      </c>
      <c r="J491" s="351"/>
      <c r="K491" s="351"/>
      <c r="L491" s="351"/>
      <c r="M491" s="351"/>
      <c r="N491" s="351"/>
      <c r="O491" s="351"/>
      <c r="P491" s="351"/>
      <c r="Q491" s="351"/>
      <c r="R491" s="351"/>
      <c r="S491" s="351"/>
      <c r="T491" s="351"/>
      <c r="U491" s="351"/>
      <c r="V491" s="351"/>
      <c r="W491" s="351"/>
      <c r="X491" s="351"/>
      <c r="Y491" s="351"/>
      <c r="Z491" s="351"/>
      <c r="AA491" s="351"/>
      <c r="AB491" s="351"/>
    </row>
    <row r="492" ht="14.25" customHeight="1">
      <c r="A492" s="255" t="s">
        <v>12527</v>
      </c>
      <c r="B492" s="108"/>
      <c r="C492" s="267" t="s">
        <v>10223</v>
      </c>
      <c r="D492" s="297" t="s">
        <v>271</v>
      </c>
      <c r="E492" s="446" t="s">
        <v>5</v>
      </c>
      <c r="F492" s="240" t="s">
        <v>12540</v>
      </c>
      <c r="G492" s="240" t="s">
        <v>12536</v>
      </c>
      <c r="H492" s="240" t="s">
        <v>10934</v>
      </c>
      <c r="I492" s="258" t="s">
        <v>11572</v>
      </c>
      <c r="J492" s="351"/>
      <c r="K492" s="351"/>
      <c r="L492" s="351"/>
      <c r="M492" s="351"/>
      <c r="N492" s="351"/>
      <c r="O492" s="351"/>
      <c r="P492" s="351"/>
      <c r="Q492" s="351"/>
      <c r="R492" s="351"/>
      <c r="S492" s="351"/>
      <c r="T492" s="351"/>
      <c r="U492" s="351"/>
      <c r="V492" s="351"/>
      <c r="W492" s="351"/>
      <c r="X492" s="351"/>
      <c r="Y492" s="351"/>
      <c r="Z492" s="351"/>
      <c r="AA492" s="351"/>
      <c r="AB492" s="351"/>
    </row>
    <row r="493" ht="14.25" customHeight="1">
      <c r="A493" s="255" t="s">
        <v>12527</v>
      </c>
      <c r="B493" s="108"/>
      <c r="C493" s="267" t="s">
        <v>10225</v>
      </c>
      <c r="D493" s="297" t="s">
        <v>271</v>
      </c>
      <c r="E493" s="446" t="s">
        <v>5</v>
      </c>
      <c r="F493" s="240" t="s">
        <v>10936</v>
      </c>
      <c r="G493" s="240" t="s">
        <v>12541</v>
      </c>
      <c r="H493" s="240" t="s">
        <v>12542</v>
      </c>
      <c r="I493" s="258" t="s">
        <v>11572</v>
      </c>
      <c r="J493" s="351"/>
      <c r="K493" s="351"/>
      <c r="L493" s="351"/>
      <c r="M493" s="351"/>
      <c r="N493" s="351"/>
      <c r="O493" s="351"/>
      <c r="P493" s="351"/>
      <c r="Q493" s="351"/>
      <c r="R493" s="351"/>
      <c r="S493" s="351"/>
      <c r="T493" s="351"/>
      <c r="U493" s="351"/>
      <c r="V493" s="351"/>
      <c r="W493" s="351"/>
      <c r="X493" s="351"/>
      <c r="Y493" s="351"/>
      <c r="Z493" s="351"/>
      <c r="AA493" s="351"/>
      <c r="AB493" s="351"/>
    </row>
    <row r="494" ht="14.25" customHeight="1">
      <c r="A494" s="255" t="s">
        <v>12527</v>
      </c>
      <c r="B494" s="108"/>
      <c r="C494" s="267" t="s">
        <v>10227</v>
      </c>
      <c r="D494" s="297" t="s">
        <v>271</v>
      </c>
      <c r="E494" s="446" t="s">
        <v>5</v>
      </c>
      <c r="F494" s="240" t="s">
        <v>10940</v>
      </c>
      <c r="G494" s="240" t="s">
        <v>12543</v>
      </c>
      <c r="H494" s="240" t="s">
        <v>12544</v>
      </c>
      <c r="I494" s="258" t="s">
        <v>11572</v>
      </c>
      <c r="J494" s="351"/>
      <c r="K494" s="351"/>
      <c r="L494" s="351"/>
      <c r="M494" s="351"/>
      <c r="N494" s="351"/>
      <c r="O494" s="351"/>
      <c r="P494" s="351"/>
      <c r="Q494" s="351"/>
      <c r="R494" s="351"/>
      <c r="S494" s="351"/>
      <c r="T494" s="351"/>
      <c r="U494" s="351"/>
      <c r="V494" s="351"/>
      <c r="W494" s="351"/>
      <c r="X494" s="351"/>
      <c r="Y494" s="351"/>
      <c r="Z494" s="351"/>
      <c r="AA494" s="351"/>
      <c r="AB494" s="351"/>
    </row>
    <row r="495" ht="14.25" customHeight="1">
      <c r="A495" s="255" t="s">
        <v>12527</v>
      </c>
      <c r="B495" s="109"/>
      <c r="C495" s="267" t="s">
        <v>10229</v>
      </c>
      <c r="D495" s="297" t="s">
        <v>271</v>
      </c>
      <c r="E495" s="446" t="s">
        <v>5</v>
      </c>
      <c r="F495" s="240" t="s">
        <v>10944</v>
      </c>
      <c r="G495" s="240" t="s">
        <v>12545</v>
      </c>
      <c r="H495" s="240" t="s">
        <v>12546</v>
      </c>
      <c r="I495" s="258" t="s">
        <v>11572</v>
      </c>
      <c r="J495" s="351"/>
      <c r="K495" s="351"/>
      <c r="L495" s="351"/>
      <c r="M495" s="351"/>
      <c r="N495" s="351"/>
      <c r="O495" s="351"/>
      <c r="P495" s="351"/>
      <c r="Q495" s="351"/>
      <c r="R495" s="351"/>
      <c r="S495" s="351"/>
      <c r="T495" s="351"/>
      <c r="U495" s="351"/>
      <c r="V495" s="351"/>
      <c r="W495" s="351"/>
      <c r="X495" s="351"/>
      <c r="Y495" s="351"/>
      <c r="Z495" s="351"/>
      <c r="AA495" s="351"/>
      <c r="AB495" s="351"/>
    </row>
    <row r="496" ht="14.25" customHeight="1">
      <c r="A496" s="255" t="s">
        <v>12547</v>
      </c>
      <c r="B496" s="375" t="s">
        <v>12548</v>
      </c>
      <c r="C496" s="256" t="s">
        <v>10199</v>
      </c>
      <c r="D496" s="297" t="s">
        <v>271</v>
      </c>
      <c r="E496" s="446" t="s">
        <v>5</v>
      </c>
      <c r="F496" s="258" t="s">
        <v>12549</v>
      </c>
      <c r="G496" s="258" t="s">
        <v>12470</v>
      </c>
      <c r="H496" s="258" t="s">
        <v>12550</v>
      </c>
      <c r="I496" s="258" t="s">
        <v>11572</v>
      </c>
      <c r="J496" s="351"/>
      <c r="K496" s="351"/>
      <c r="L496" s="351"/>
      <c r="M496" s="351"/>
      <c r="N496" s="351"/>
      <c r="O496" s="351"/>
      <c r="P496" s="351"/>
      <c r="Q496" s="351"/>
      <c r="R496" s="351"/>
      <c r="S496" s="351"/>
      <c r="T496" s="351"/>
      <c r="U496" s="351"/>
      <c r="V496" s="351"/>
      <c r="W496" s="351"/>
      <c r="X496" s="351"/>
      <c r="Y496" s="351"/>
      <c r="Z496" s="351"/>
      <c r="AA496" s="351"/>
      <c r="AB496" s="351"/>
    </row>
    <row r="497" ht="14.25" customHeight="1">
      <c r="A497" s="255" t="s">
        <v>12547</v>
      </c>
      <c r="B497" s="108"/>
      <c r="C497" s="256" t="s">
        <v>10203</v>
      </c>
      <c r="D497" s="297" t="s">
        <v>271</v>
      </c>
      <c r="E497" s="446" t="s">
        <v>5</v>
      </c>
      <c r="F497" s="258" t="s">
        <v>12551</v>
      </c>
      <c r="G497" s="258" t="s">
        <v>12470</v>
      </c>
      <c r="H497" s="258" t="s">
        <v>12552</v>
      </c>
      <c r="I497" s="258" t="s">
        <v>11572</v>
      </c>
      <c r="J497" s="351"/>
      <c r="K497" s="351"/>
      <c r="L497" s="351"/>
      <c r="M497" s="351"/>
      <c r="N497" s="351"/>
      <c r="O497" s="351"/>
      <c r="P497" s="351"/>
      <c r="Q497" s="351"/>
      <c r="R497" s="351"/>
      <c r="S497" s="351"/>
      <c r="T497" s="351"/>
      <c r="U497" s="351"/>
      <c r="V497" s="351"/>
      <c r="W497" s="351"/>
      <c r="X497" s="351"/>
      <c r="Y497" s="351"/>
      <c r="Z497" s="351"/>
      <c r="AA497" s="351"/>
      <c r="AB497" s="351"/>
    </row>
    <row r="498" ht="14.25" customHeight="1">
      <c r="A498" s="255" t="s">
        <v>12547</v>
      </c>
      <c r="B498" s="108"/>
      <c r="C498" s="256" t="s">
        <v>10206</v>
      </c>
      <c r="D498" s="297" t="s">
        <v>271</v>
      </c>
      <c r="E498" s="446" t="s">
        <v>5</v>
      </c>
      <c r="F498" s="258" t="s">
        <v>12553</v>
      </c>
      <c r="G498" s="258" t="s">
        <v>12421</v>
      </c>
      <c r="H498" s="258" t="s">
        <v>12550</v>
      </c>
      <c r="I498" s="258" t="s">
        <v>11572</v>
      </c>
      <c r="J498" s="351"/>
      <c r="K498" s="351"/>
      <c r="L498" s="351"/>
      <c r="M498" s="351"/>
      <c r="N498" s="351"/>
      <c r="O498" s="351"/>
      <c r="P498" s="351"/>
      <c r="Q498" s="351"/>
      <c r="R498" s="351"/>
      <c r="S498" s="351"/>
      <c r="T498" s="351"/>
      <c r="U498" s="351"/>
      <c r="V498" s="351"/>
      <c r="W498" s="351"/>
      <c r="X498" s="351"/>
      <c r="Y498" s="351"/>
      <c r="Z498" s="351"/>
      <c r="AA498" s="351"/>
      <c r="AB498" s="351"/>
    </row>
    <row r="499" ht="14.25" customHeight="1">
      <c r="A499" s="255" t="s">
        <v>12547</v>
      </c>
      <c r="B499" s="108"/>
      <c r="C499" s="256" t="s">
        <v>10209</v>
      </c>
      <c r="D499" s="297" t="s">
        <v>271</v>
      </c>
      <c r="E499" s="446" t="s">
        <v>5</v>
      </c>
      <c r="F499" s="258" t="s">
        <v>12554</v>
      </c>
      <c r="G499" s="258" t="s">
        <v>12470</v>
      </c>
      <c r="H499" s="258" t="s">
        <v>12552</v>
      </c>
      <c r="I499" s="258" t="s">
        <v>11572</v>
      </c>
      <c r="J499" s="351"/>
      <c r="K499" s="351"/>
      <c r="L499" s="351"/>
      <c r="M499" s="351"/>
      <c r="N499" s="351"/>
      <c r="O499" s="351"/>
      <c r="P499" s="351"/>
      <c r="Q499" s="351"/>
      <c r="R499" s="351"/>
      <c r="S499" s="351"/>
      <c r="T499" s="351"/>
      <c r="U499" s="351"/>
      <c r="V499" s="351"/>
      <c r="W499" s="351"/>
      <c r="X499" s="351"/>
      <c r="Y499" s="351"/>
      <c r="Z499" s="351"/>
      <c r="AA499" s="351"/>
      <c r="AB499" s="351"/>
    </row>
    <row r="500" ht="14.25" customHeight="1">
      <c r="A500" s="255" t="s">
        <v>12547</v>
      </c>
      <c r="B500" s="108"/>
      <c r="C500" s="256" t="s">
        <v>10212</v>
      </c>
      <c r="D500" s="297" t="s">
        <v>271</v>
      </c>
      <c r="E500" s="446" t="s">
        <v>5</v>
      </c>
      <c r="F500" s="258" t="s">
        <v>12555</v>
      </c>
      <c r="G500" s="258" t="s">
        <v>12421</v>
      </c>
      <c r="H500" s="258" t="s">
        <v>12550</v>
      </c>
      <c r="I500" s="258" t="s">
        <v>11572</v>
      </c>
      <c r="J500" s="351"/>
      <c r="K500" s="351"/>
      <c r="L500" s="351"/>
      <c r="M500" s="351"/>
      <c r="N500" s="351"/>
      <c r="O500" s="351"/>
      <c r="P500" s="351"/>
      <c r="Q500" s="351"/>
      <c r="R500" s="351"/>
      <c r="S500" s="351"/>
      <c r="T500" s="351"/>
      <c r="U500" s="351"/>
      <c r="V500" s="351"/>
      <c r="W500" s="351"/>
      <c r="X500" s="351"/>
      <c r="Y500" s="351"/>
      <c r="Z500" s="351"/>
      <c r="AA500" s="351"/>
      <c r="AB500" s="351"/>
    </row>
    <row r="501" ht="14.25" customHeight="1">
      <c r="A501" s="255" t="s">
        <v>12547</v>
      </c>
      <c r="B501" s="108"/>
      <c r="C501" s="256" t="s">
        <v>10214</v>
      </c>
      <c r="D501" s="297" t="s">
        <v>271</v>
      </c>
      <c r="E501" s="446" t="s">
        <v>5</v>
      </c>
      <c r="F501" s="258" t="s">
        <v>12556</v>
      </c>
      <c r="G501" s="258" t="s">
        <v>12470</v>
      </c>
      <c r="H501" s="258" t="s">
        <v>12552</v>
      </c>
      <c r="I501" s="258" t="s">
        <v>11572</v>
      </c>
      <c r="J501" s="351"/>
      <c r="K501" s="351"/>
      <c r="L501" s="351"/>
      <c r="M501" s="351"/>
      <c r="N501" s="351"/>
      <c r="O501" s="351"/>
      <c r="P501" s="351"/>
      <c r="Q501" s="351"/>
      <c r="R501" s="351"/>
      <c r="S501" s="351"/>
      <c r="T501" s="351"/>
      <c r="U501" s="351"/>
      <c r="V501" s="351"/>
      <c r="W501" s="351"/>
      <c r="X501" s="351"/>
      <c r="Y501" s="351"/>
      <c r="Z501" s="351"/>
      <c r="AA501" s="351"/>
      <c r="AB501" s="351"/>
    </row>
    <row r="502" ht="14.25" customHeight="1">
      <c r="A502" s="255" t="s">
        <v>12547</v>
      </c>
      <c r="B502" s="108"/>
      <c r="C502" s="256" t="s">
        <v>10217</v>
      </c>
      <c r="D502" s="297" t="s">
        <v>271</v>
      </c>
      <c r="E502" s="446" t="s">
        <v>5</v>
      </c>
      <c r="F502" s="258" t="s">
        <v>12557</v>
      </c>
      <c r="G502" s="258" t="s">
        <v>12421</v>
      </c>
      <c r="H502" s="258" t="s">
        <v>12550</v>
      </c>
      <c r="I502" s="258" t="s">
        <v>11572</v>
      </c>
      <c r="J502" s="351"/>
      <c r="K502" s="351"/>
      <c r="L502" s="351"/>
      <c r="M502" s="351"/>
      <c r="N502" s="351"/>
      <c r="O502" s="351"/>
      <c r="P502" s="351"/>
      <c r="Q502" s="351"/>
      <c r="R502" s="351"/>
      <c r="S502" s="351"/>
      <c r="T502" s="351"/>
      <c r="U502" s="351"/>
      <c r="V502" s="351"/>
      <c r="W502" s="351"/>
      <c r="X502" s="351"/>
      <c r="Y502" s="351"/>
      <c r="Z502" s="351"/>
      <c r="AA502" s="351"/>
      <c r="AB502" s="351"/>
    </row>
    <row r="503" ht="14.25" customHeight="1">
      <c r="A503" s="255" t="s">
        <v>12547</v>
      </c>
      <c r="B503" s="108"/>
      <c r="C503" s="256" t="s">
        <v>10220</v>
      </c>
      <c r="D503" s="297" t="s">
        <v>271</v>
      </c>
      <c r="E503" s="446" t="s">
        <v>5</v>
      </c>
      <c r="F503" s="258" t="s">
        <v>12558</v>
      </c>
      <c r="G503" s="258" t="s">
        <v>12470</v>
      </c>
      <c r="H503" s="258" t="s">
        <v>12552</v>
      </c>
      <c r="I503" s="258" t="s">
        <v>11572</v>
      </c>
      <c r="J503" s="351"/>
      <c r="K503" s="351"/>
      <c r="L503" s="351"/>
      <c r="M503" s="351"/>
      <c r="N503" s="351"/>
      <c r="O503" s="351"/>
      <c r="P503" s="351"/>
      <c r="Q503" s="351"/>
      <c r="R503" s="351"/>
      <c r="S503" s="351"/>
      <c r="T503" s="351"/>
      <c r="U503" s="351"/>
      <c r="V503" s="351"/>
      <c r="W503" s="351"/>
      <c r="X503" s="351"/>
      <c r="Y503" s="351"/>
      <c r="Z503" s="351"/>
      <c r="AA503" s="351"/>
      <c r="AB503" s="351"/>
    </row>
    <row r="504" ht="14.25" customHeight="1">
      <c r="A504" s="255" t="s">
        <v>12547</v>
      </c>
      <c r="B504" s="109"/>
      <c r="C504" s="256" t="s">
        <v>10223</v>
      </c>
      <c r="D504" s="297" t="s">
        <v>271</v>
      </c>
      <c r="E504" s="446" t="s">
        <v>5</v>
      </c>
      <c r="F504" s="258" t="s">
        <v>12559</v>
      </c>
      <c r="G504" s="258" t="s">
        <v>12421</v>
      </c>
      <c r="H504" s="258" t="s">
        <v>12550</v>
      </c>
      <c r="I504" s="258" t="s">
        <v>11572</v>
      </c>
      <c r="J504" s="351"/>
      <c r="K504" s="351"/>
      <c r="L504" s="351"/>
      <c r="M504" s="351"/>
      <c r="N504" s="351"/>
      <c r="O504" s="351"/>
      <c r="P504" s="351"/>
      <c r="Q504" s="351"/>
      <c r="R504" s="351"/>
      <c r="S504" s="351"/>
      <c r="T504" s="351"/>
      <c r="U504" s="351"/>
      <c r="V504" s="351"/>
      <c r="W504" s="351"/>
      <c r="X504" s="351"/>
      <c r="Y504" s="351"/>
      <c r="Z504" s="351"/>
      <c r="AA504" s="351"/>
      <c r="AB504" s="351"/>
    </row>
    <row r="505" ht="14.25" customHeight="1">
      <c r="A505" s="255" t="s">
        <v>12560</v>
      </c>
      <c r="B505" s="375" t="s">
        <v>12561</v>
      </c>
      <c r="C505" s="256" t="s">
        <v>10199</v>
      </c>
      <c r="D505" s="297" t="s">
        <v>271</v>
      </c>
      <c r="E505" s="446" t="s">
        <v>5</v>
      </c>
      <c r="F505" s="258" t="s">
        <v>12562</v>
      </c>
      <c r="G505" s="258" t="s">
        <v>12563</v>
      </c>
      <c r="H505" s="258" t="s">
        <v>12564</v>
      </c>
      <c r="I505" s="258" t="s">
        <v>11572</v>
      </c>
      <c r="J505" s="351"/>
      <c r="K505" s="351"/>
      <c r="L505" s="351"/>
      <c r="M505" s="351"/>
      <c r="N505" s="351"/>
      <c r="O505" s="351"/>
      <c r="P505" s="351"/>
      <c r="Q505" s="351"/>
      <c r="R505" s="351"/>
      <c r="S505" s="351"/>
      <c r="T505" s="351"/>
      <c r="U505" s="351"/>
      <c r="V505" s="351"/>
      <c r="W505" s="351"/>
      <c r="X505" s="351"/>
      <c r="Y505" s="351"/>
      <c r="Z505" s="351"/>
      <c r="AA505" s="351"/>
      <c r="AB505" s="351"/>
    </row>
    <row r="506" ht="14.25" customHeight="1">
      <c r="A506" s="255" t="s">
        <v>12560</v>
      </c>
      <c r="B506" s="108"/>
      <c r="C506" s="256" t="s">
        <v>10203</v>
      </c>
      <c r="D506" s="297" t="s">
        <v>271</v>
      </c>
      <c r="E506" s="446" t="s">
        <v>5</v>
      </c>
      <c r="F506" s="240" t="s">
        <v>12565</v>
      </c>
      <c r="G506" s="258" t="s">
        <v>12563</v>
      </c>
      <c r="H506" s="240" t="s">
        <v>12566</v>
      </c>
      <c r="I506" s="258" t="s">
        <v>11572</v>
      </c>
      <c r="J506" s="351"/>
      <c r="K506" s="351"/>
      <c r="L506" s="351"/>
      <c r="M506" s="351"/>
      <c r="N506" s="351"/>
      <c r="O506" s="351"/>
      <c r="P506" s="351"/>
      <c r="Q506" s="351"/>
      <c r="R506" s="351"/>
      <c r="S506" s="351"/>
      <c r="T506" s="351"/>
      <c r="U506" s="351"/>
      <c r="V506" s="351"/>
      <c r="W506" s="351"/>
      <c r="X506" s="351"/>
      <c r="Y506" s="351"/>
      <c r="Z506" s="351"/>
      <c r="AA506" s="351"/>
      <c r="AB506" s="351"/>
    </row>
    <row r="507" ht="14.25" customHeight="1">
      <c r="A507" s="255" t="s">
        <v>12560</v>
      </c>
      <c r="B507" s="109"/>
      <c r="C507" s="256" t="s">
        <v>10206</v>
      </c>
      <c r="D507" s="297" t="s">
        <v>271</v>
      </c>
      <c r="E507" s="446" t="s">
        <v>5</v>
      </c>
      <c r="F507" s="240" t="s">
        <v>12567</v>
      </c>
      <c r="G507" s="258" t="s">
        <v>12563</v>
      </c>
      <c r="H507" s="240" t="s">
        <v>12566</v>
      </c>
      <c r="I507" s="258" t="s">
        <v>36</v>
      </c>
      <c r="J507" s="351"/>
      <c r="K507" s="351"/>
      <c r="L507" s="351"/>
      <c r="M507" s="351"/>
      <c r="N507" s="351"/>
      <c r="O507" s="351"/>
      <c r="P507" s="351"/>
      <c r="Q507" s="351"/>
      <c r="R507" s="351"/>
      <c r="S507" s="351"/>
      <c r="T507" s="351"/>
      <c r="U507" s="351"/>
      <c r="V507" s="351"/>
      <c r="W507" s="351"/>
      <c r="X507" s="351"/>
      <c r="Y507" s="351"/>
      <c r="Z507" s="351"/>
      <c r="AA507" s="351"/>
      <c r="AB507" s="351"/>
    </row>
    <row r="508" ht="14.25" customHeight="1">
      <c r="A508" s="255" t="s">
        <v>12568</v>
      </c>
      <c r="B508" s="375" t="s">
        <v>12569</v>
      </c>
      <c r="C508" s="256" t="s">
        <v>10199</v>
      </c>
      <c r="D508" s="297" t="s">
        <v>271</v>
      </c>
      <c r="E508" s="446" t="s">
        <v>5</v>
      </c>
      <c r="F508" s="258" t="s">
        <v>12570</v>
      </c>
      <c r="G508" s="258" t="s">
        <v>12571</v>
      </c>
      <c r="H508" s="258" t="s">
        <v>12572</v>
      </c>
      <c r="I508" s="258" t="s">
        <v>36</v>
      </c>
      <c r="J508" s="351"/>
      <c r="K508" s="351"/>
      <c r="L508" s="351"/>
      <c r="M508" s="351"/>
      <c r="N508" s="351"/>
      <c r="O508" s="351"/>
      <c r="P508" s="351"/>
      <c r="Q508" s="351"/>
      <c r="R508" s="351"/>
      <c r="S508" s="351"/>
      <c r="T508" s="351"/>
      <c r="U508" s="351"/>
      <c r="V508" s="351"/>
      <c r="W508" s="351"/>
      <c r="X508" s="351"/>
      <c r="Y508" s="351"/>
      <c r="Z508" s="351"/>
      <c r="AA508" s="351"/>
      <c r="AB508" s="351"/>
    </row>
    <row r="509" ht="14.25" customHeight="1">
      <c r="A509" s="255" t="s">
        <v>12568</v>
      </c>
      <c r="B509" s="108"/>
      <c r="C509" s="256" t="s">
        <v>10203</v>
      </c>
      <c r="D509" s="297" t="s">
        <v>271</v>
      </c>
      <c r="E509" s="446" t="s">
        <v>5</v>
      </c>
      <c r="F509" s="258" t="s">
        <v>12573</v>
      </c>
      <c r="G509" s="258" t="s">
        <v>12574</v>
      </c>
      <c r="H509" s="258" t="s">
        <v>12575</v>
      </c>
      <c r="I509" s="258" t="s">
        <v>36</v>
      </c>
      <c r="J509" s="351"/>
      <c r="K509" s="351"/>
      <c r="L509" s="351"/>
      <c r="M509" s="351"/>
      <c r="N509" s="351"/>
      <c r="O509" s="351"/>
      <c r="P509" s="351"/>
      <c r="Q509" s="351"/>
      <c r="R509" s="351"/>
      <c r="S509" s="351"/>
      <c r="T509" s="351"/>
      <c r="U509" s="351"/>
      <c r="V509" s="351"/>
      <c r="W509" s="351"/>
      <c r="X509" s="351"/>
      <c r="Y509" s="351"/>
      <c r="Z509" s="351"/>
      <c r="AA509" s="351"/>
      <c r="AB509" s="351"/>
    </row>
    <row r="510" ht="14.25" customHeight="1">
      <c r="A510" s="255" t="s">
        <v>12568</v>
      </c>
      <c r="B510" s="109"/>
      <c r="C510" s="256" t="s">
        <v>10206</v>
      </c>
      <c r="D510" s="297" t="s">
        <v>271</v>
      </c>
      <c r="E510" s="446" t="s">
        <v>5</v>
      </c>
      <c r="F510" s="258" t="s">
        <v>12576</v>
      </c>
      <c r="G510" s="258" t="s">
        <v>12571</v>
      </c>
      <c r="H510" s="258" t="s">
        <v>12577</v>
      </c>
      <c r="I510" s="258" t="s">
        <v>11572</v>
      </c>
      <c r="J510" s="351"/>
      <c r="K510" s="351"/>
      <c r="L510" s="351"/>
      <c r="M510" s="351"/>
      <c r="N510" s="351"/>
      <c r="O510" s="351"/>
      <c r="P510" s="351"/>
      <c r="Q510" s="351"/>
      <c r="R510" s="351"/>
      <c r="S510" s="351"/>
      <c r="T510" s="351"/>
      <c r="U510" s="351"/>
      <c r="V510" s="351"/>
      <c r="W510" s="351"/>
      <c r="X510" s="351"/>
      <c r="Y510" s="351"/>
      <c r="Z510" s="351"/>
      <c r="AA510" s="351"/>
      <c r="AB510" s="351"/>
    </row>
    <row r="511" ht="14.25" customHeight="1">
      <c r="A511" s="255" t="s">
        <v>12578</v>
      </c>
      <c r="B511" s="375" t="s">
        <v>12579</v>
      </c>
      <c r="C511" s="256" t="s">
        <v>10199</v>
      </c>
      <c r="D511" s="297" t="s">
        <v>271</v>
      </c>
      <c r="E511" s="446" t="s">
        <v>5</v>
      </c>
      <c r="F511" s="258" t="s">
        <v>12580</v>
      </c>
      <c r="G511" s="258" t="s">
        <v>12581</v>
      </c>
      <c r="H511" s="258" t="s">
        <v>12582</v>
      </c>
      <c r="I511" s="258" t="s">
        <v>11572</v>
      </c>
      <c r="J511" s="351"/>
      <c r="K511" s="351"/>
      <c r="L511" s="351"/>
      <c r="M511" s="351"/>
      <c r="N511" s="351"/>
      <c r="O511" s="351"/>
      <c r="P511" s="351"/>
      <c r="Q511" s="351"/>
      <c r="R511" s="351"/>
      <c r="S511" s="351"/>
      <c r="T511" s="351"/>
      <c r="U511" s="351"/>
      <c r="V511" s="351"/>
      <c r="W511" s="351"/>
      <c r="X511" s="351"/>
      <c r="Y511" s="351"/>
      <c r="Z511" s="351"/>
      <c r="AA511" s="351"/>
      <c r="AB511" s="351"/>
    </row>
    <row r="512" ht="14.25" customHeight="1">
      <c r="A512" s="255" t="s">
        <v>12578</v>
      </c>
      <c r="B512" s="108"/>
      <c r="C512" s="256" t="s">
        <v>10203</v>
      </c>
      <c r="D512" s="297" t="s">
        <v>271</v>
      </c>
      <c r="E512" s="446" t="s">
        <v>5</v>
      </c>
      <c r="F512" s="258" t="s">
        <v>11168</v>
      </c>
      <c r="G512" s="258" t="s">
        <v>12583</v>
      </c>
      <c r="H512" s="258" t="s">
        <v>12584</v>
      </c>
      <c r="I512" s="258" t="s">
        <v>11572</v>
      </c>
      <c r="J512" s="351"/>
      <c r="K512" s="351"/>
      <c r="L512" s="351"/>
      <c r="M512" s="351"/>
      <c r="N512" s="351"/>
      <c r="O512" s="351"/>
      <c r="P512" s="351"/>
      <c r="Q512" s="351"/>
      <c r="R512" s="351"/>
      <c r="S512" s="351"/>
      <c r="T512" s="351"/>
      <c r="U512" s="351"/>
      <c r="V512" s="351"/>
      <c r="W512" s="351"/>
      <c r="X512" s="351"/>
      <c r="Y512" s="351"/>
      <c r="Z512" s="351"/>
      <c r="AA512" s="351"/>
      <c r="AB512" s="351"/>
    </row>
    <row r="513" ht="14.25" customHeight="1">
      <c r="A513" s="255" t="s">
        <v>12578</v>
      </c>
      <c r="B513" s="108"/>
      <c r="C513" s="256" t="s">
        <v>10206</v>
      </c>
      <c r="D513" s="297" t="s">
        <v>271</v>
      </c>
      <c r="E513" s="446" t="s">
        <v>5</v>
      </c>
      <c r="F513" s="258" t="s">
        <v>12585</v>
      </c>
      <c r="G513" s="258" t="s">
        <v>12586</v>
      </c>
      <c r="H513" s="258" t="s">
        <v>12587</v>
      </c>
      <c r="I513" s="258" t="s">
        <v>11572</v>
      </c>
      <c r="J513" s="351"/>
      <c r="K513" s="351"/>
      <c r="L513" s="351"/>
      <c r="M513" s="351"/>
      <c r="N513" s="351"/>
      <c r="O513" s="351"/>
      <c r="P513" s="351"/>
      <c r="Q513" s="351"/>
      <c r="R513" s="351"/>
      <c r="S513" s="351"/>
      <c r="T513" s="351"/>
      <c r="U513" s="351"/>
      <c r="V513" s="351"/>
      <c r="W513" s="351"/>
      <c r="X513" s="351"/>
      <c r="Y513" s="351"/>
      <c r="Z513" s="351"/>
      <c r="AA513" s="351"/>
      <c r="AB513" s="351"/>
    </row>
    <row r="514" ht="14.25" customHeight="1">
      <c r="A514" s="255" t="s">
        <v>12578</v>
      </c>
      <c r="B514" s="108"/>
      <c r="C514" s="256" t="s">
        <v>10209</v>
      </c>
      <c r="D514" s="297" t="s">
        <v>271</v>
      </c>
      <c r="E514" s="446" t="s">
        <v>5</v>
      </c>
      <c r="F514" s="258" t="s">
        <v>12588</v>
      </c>
      <c r="G514" s="258" t="s">
        <v>12589</v>
      </c>
      <c r="H514" s="258" t="s">
        <v>12590</v>
      </c>
      <c r="I514" s="258" t="s">
        <v>11572</v>
      </c>
      <c r="J514" s="351"/>
      <c r="K514" s="351"/>
      <c r="L514" s="351"/>
      <c r="M514" s="351"/>
      <c r="N514" s="351"/>
      <c r="O514" s="351"/>
      <c r="P514" s="351"/>
      <c r="Q514" s="351"/>
      <c r="R514" s="351"/>
      <c r="S514" s="351"/>
      <c r="T514" s="351"/>
      <c r="U514" s="351"/>
      <c r="V514" s="351"/>
      <c r="W514" s="351"/>
      <c r="X514" s="351"/>
      <c r="Y514" s="351"/>
      <c r="Z514" s="351"/>
      <c r="AA514" s="351"/>
      <c r="AB514" s="351"/>
    </row>
    <row r="515" ht="14.25" customHeight="1">
      <c r="A515" s="255" t="s">
        <v>12578</v>
      </c>
      <c r="B515" s="108"/>
      <c r="C515" s="256" t="s">
        <v>10212</v>
      </c>
      <c r="D515" s="297" t="s">
        <v>271</v>
      </c>
      <c r="E515" s="446" t="s">
        <v>5</v>
      </c>
      <c r="F515" s="258" t="s">
        <v>12591</v>
      </c>
      <c r="G515" s="258" t="s">
        <v>12589</v>
      </c>
      <c r="H515" s="258" t="s">
        <v>12592</v>
      </c>
      <c r="I515" s="258" t="s">
        <v>11572</v>
      </c>
      <c r="J515" s="351"/>
      <c r="K515" s="351"/>
      <c r="L515" s="351"/>
      <c r="M515" s="351"/>
      <c r="N515" s="351"/>
      <c r="O515" s="351"/>
      <c r="P515" s="351"/>
      <c r="Q515" s="351"/>
      <c r="R515" s="351"/>
      <c r="S515" s="351"/>
      <c r="T515" s="351"/>
      <c r="U515" s="351"/>
      <c r="V515" s="351"/>
      <c r="W515" s="351"/>
      <c r="X515" s="351"/>
      <c r="Y515" s="351"/>
      <c r="Z515" s="351"/>
      <c r="AA515" s="351"/>
      <c r="AB515" s="351"/>
    </row>
    <row r="516" ht="14.25" customHeight="1">
      <c r="A516" s="255" t="s">
        <v>12578</v>
      </c>
      <c r="B516" s="108"/>
      <c r="C516" s="256" t="s">
        <v>10214</v>
      </c>
      <c r="D516" s="297" t="s">
        <v>271</v>
      </c>
      <c r="E516" s="446" t="s">
        <v>5</v>
      </c>
      <c r="F516" s="258" t="s">
        <v>12593</v>
      </c>
      <c r="G516" s="258" t="s">
        <v>12594</v>
      </c>
      <c r="H516" s="258" t="s">
        <v>12595</v>
      </c>
      <c r="I516" s="258" t="s">
        <v>11572</v>
      </c>
      <c r="J516" s="351"/>
      <c r="K516" s="351"/>
      <c r="L516" s="351"/>
      <c r="M516" s="351"/>
      <c r="N516" s="351"/>
      <c r="O516" s="351"/>
      <c r="P516" s="351"/>
      <c r="Q516" s="351"/>
      <c r="R516" s="351"/>
      <c r="S516" s="351"/>
      <c r="T516" s="351"/>
      <c r="U516" s="351"/>
      <c r="V516" s="351"/>
      <c r="W516" s="351"/>
      <c r="X516" s="351"/>
      <c r="Y516" s="351"/>
      <c r="Z516" s="351"/>
      <c r="AA516" s="351"/>
      <c r="AB516" s="351"/>
    </row>
    <row r="517" ht="14.25" customHeight="1">
      <c r="A517" s="255" t="s">
        <v>12578</v>
      </c>
      <c r="B517" s="108"/>
      <c r="C517" s="256" t="s">
        <v>10217</v>
      </c>
      <c r="D517" s="297" t="s">
        <v>271</v>
      </c>
      <c r="E517" s="446" t="s">
        <v>5</v>
      </c>
      <c r="F517" s="258" t="s">
        <v>12596</v>
      </c>
      <c r="G517" s="258" t="s">
        <v>12597</v>
      </c>
      <c r="H517" s="258" t="s">
        <v>12598</v>
      </c>
      <c r="I517" s="258" t="s">
        <v>11572</v>
      </c>
      <c r="J517" s="351"/>
      <c r="K517" s="351"/>
      <c r="L517" s="351"/>
      <c r="M517" s="351"/>
      <c r="N517" s="351"/>
      <c r="O517" s="351"/>
      <c r="P517" s="351"/>
      <c r="Q517" s="351"/>
      <c r="R517" s="351"/>
      <c r="S517" s="351"/>
      <c r="T517" s="351"/>
      <c r="U517" s="351"/>
      <c r="V517" s="351"/>
      <c r="W517" s="351"/>
      <c r="X517" s="351"/>
      <c r="Y517" s="351"/>
      <c r="Z517" s="351"/>
      <c r="AA517" s="351"/>
      <c r="AB517" s="351"/>
    </row>
    <row r="518" ht="14.25" customHeight="1">
      <c r="A518" s="255" t="s">
        <v>12578</v>
      </c>
      <c r="B518" s="108"/>
      <c r="C518" s="256" t="s">
        <v>10220</v>
      </c>
      <c r="D518" s="297" t="s">
        <v>271</v>
      </c>
      <c r="E518" s="446" t="s">
        <v>5</v>
      </c>
      <c r="F518" s="258" t="s">
        <v>12576</v>
      </c>
      <c r="G518" s="258" t="s">
        <v>12571</v>
      </c>
      <c r="H518" s="258" t="s">
        <v>12577</v>
      </c>
      <c r="I518" s="258" t="s">
        <v>11572</v>
      </c>
      <c r="J518" s="351"/>
      <c r="K518" s="351"/>
      <c r="L518" s="351"/>
      <c r="M518" s="351"/>
      <c r="N518" s="351"/>
      <c r="O518" s="351"/>
      <c r="P518" s="351"/>
      <c r="Q518" s="351"/>
      <c r="R518" s="351"/>
      <c r="S518" s="351"/>
      <c r="T518" s="351"/>
      <c r="U518" s="351"/>
      <c r="V518" s="351"/>
      <c r="W518" s="351"/>
      <c r="X518" s="351"/>
      <c r="Y518" s="351"/>
      <c r="Z518" s="351"/>
      <c r="AA518" s="351"/>
      <c r="AB518" s="351"/>
    </row>
    <row r="519" ht="14.25" customHeight="1">
      <c r="A519" s="255" t="s">
        <v>12578</v>
      </c>
      <c r="B519" s="108"/>
      <c r="C519" s="256" t="s">
        <v>10223</v>
      </c>
      <c r="D519" s="297" t="s">
        <v>271</v>
      </c>
      <c r="E519" s="446" t="s">
        <v>5</v>
      </c>
      <c r="F519" s="258" t="s">
        <v>12570</v>
      </c>
      <c r="G519" s="258" t="s">
        <v>12571</v>
      </c>
      <c r="H519" s="258" t="s">
        <v>12572</v>
      </c>
      <c r="I519" s="258" t="s">
        <v>11572</v>
      </c>
      <c r="J519" s="351"/>
      <c r="K519" s="351"/>
      <c r="L519" s="351"/>
      <c r="M519" s="351"/>
      <c r="N519" s="351"/>
      <c r="O519" s="351"/>
      <c r="P519" s="351"/>
      <c r="Q519" s="351"/>
      <c r="R519" s="351"/>
      <c r="S519" s="351"/>
      <c r="T519" s="351"/>
      <c r="U519" s="351"/>
      <c r="V519" s="351"/>
      <c r="W519" s="351"/>
      <c r="X519" s="351"/>
      <c r="Y519" s="351"/>
      <c r="Z519" s="351"/>
      <c r="AA519" s="351"/>
      <c r="AB519" s="351"/>
    </row>
    <row r="520" ht="14.25" customHeight="1">
      <c r="A520" s="255" t="s">
        <v>12578</v>
      </c>
      <c r="B520" s="108"/>
      <c r="C520" s="256" t="s">
        <v>10225</v>
      </c>
      <c r="D520" s="297" t="s">
        <v>271</v>
      </c>
      <c r="E520" s="446" t="s">
        <v>5</v>
      </c>
      <c r="F520" s="258" t="s">
        <v>12573</v>
      </c>
      <c r="G520" s="258" t="s">
        <v>12574</v>
      </c>
      <c r="H520" s="258" t="s">
        <v>12575</v>
      </c>
      <c r="I520" s="258" t="s">
        <v>11572</v>
      </c>
      <c r="J520" s="351"/>
      <c r="K520" s="351"/>
      <c r="L520" s="351"/>
      <c r="M520" s="351"/>
      <c r="N520" s="351"/>
      <c r="O520" s="351"/>
      <c r="P520" s="351"/>
      <c r="Q520" s="351"/>
      <c r="R520" s="351"/>
      <c r="S520" s="351"/>
      <c r="T520" s="351"/>
      <c r="U520" s="351"/>
      <c r="V520" s="351"/>
      <c r="W520" s="351"/>
      <c r="X520" s="351"/>
      <c r="Y520" s="351"/>
      <c r="Z520" s="351"/>
      <c r="AA520" s="351"/>
      <c r="AB520" s="351"/>
    </row>
    <row r="521" ht="14.25" customHeight="1">
      <c r="A521" s="255" t="s">
        <v>12578</v>
      </c>
      <c r="B521" s="108"/>
      <c r="C521" s="256" t="s">
        <v>10227</v>
      </c>
      <c r="D521" s="297" t="s">
        <v>271</v>
      </c>
      <c r="E521" s="446" t="s">
        <v>5</v>
      </c>
      <c r="F521" s="258" t="s">
        <v>12599</v>
      </c>
      <c r="G521" s="258" t="s">
        <v>12600</v>
      </c>
      <c r="H521" s="258" t="s">
        <v>12601</v>
      </c>
      <c r="I521" s="258" t="s">
        <v>11572</v>
      </c>
      <c r="J521" s="351"/>
      <c r="K521" s="351"/>
      <c r="L521" s="351"/>
      <c r="M521" s="351"/>
      <c r="N521" s="351"/>
      <c r="O521" s="351"/>
      <c r="P521" s="351"/>
      <c r="Q521" s="351"/>
      <c r="R521" s="351"/>
      <c r="S521" s="351"/>
      <c r="T521" s="351"/>
      <c r="U521" s="351"/>
      <c r="V521" s="351"/>
      <c r="W521" s="351"/>
      <c r="X521" s="351"/>
      <c r="Y521" s="351"/>
      <c r="Z521" s="351"/>
      <c r="AA521" s="351"/>
      <c r="AB521" s="351"/>
    </row>
    <row r="522" ht="14.25" customHeight="1">
      <c r="A522" s="255" t="s">
        <v>12578</v>
      </c>
      <c r="B522" s="108"/>
      <c r="C522" s="256" t="s">
        <v>10229</v>
      </c>
      <c r="D522" s="297" t="s">
        <v>271</v>
      </c>
      <c r="E522" s="446" t="s">
        <v>5</v>
      </c>
      <c r="F522" s="258" t="s">
        <v>12602</v>
      </c>
      <c r="G522" s="283" t="s">
        <v>12603</v>
      </c>
      <c r="H522" s="258" t="s">
        <v>12604</v>
      </c>
      <c r="I522" s="258" t="s">
        <v>11572</v>
      </c>
      <c r="J522" s="351"/>
      <c r="K522" s="351"/>
      <c r="L522" s="351"/>
      <c r="M522" s="351"/>
      <c r="N522" s="351"/>
      <c r="O522" s="351"/>
      <c r="P522" s="351"/>
      <c r="Q522" s="351"/>
      <c r="R522" s="351"/>
      <c r="S522" s="351"/>
      <c r="T522" s="351"/>
      <c r="U522" s="351"/>
      <c r="V522" s="351"/>
      <c r="W522" s="351"/>
      <c r="X522" s="351"/>
      <c r="Y522" s="351"/>
      <c r="Z522" s="351"/>
      <c r="AA522" s="351"/>
      <c r="AB522" s="351"/>
    </row>
    <row r="523" ht="14.25" customHeight="1">
      <c r="A523" s="255" t="s">
        <v>12578</v>
      </c>
      <c r="B523" s="108"/>
      <c r="C523" s="256" t="s">
        <v>10231</v>
      </c>
      <c r="D523" s="297" t="s">
        <v>271</v>
      </c>
      <c r="E523" s="446" t="s">
        <v>5</v>
      </c>
      <c r="F523" s="258" t="s">
        <v>12605</v>
      </c>
      <c r="G523" s="283" t="s">
        <v>12606</v>
      </c>
      <c r="H523" s="258" t="s">
        <v>12607</v>
      </c>
      <c r="I523" s="258" t="s">
        <v>11572</v>
      </c>
      <c r="J523" s="351"/>
      <c r="K523" s="351"/>
      <c r="L523" s="351"/>
      <c r="M523" s="351"/>
      <c r="N523" s="351"/>
      <c r="O523" s="351"/>
      <c r="P523" s="351"/>
      <c r="Q523" s="351"/>
      <c r="R523" s="351"/>
      <c r="S523" s="351"/>
      <c r="T523" s="351"/>
      <c r="U523" s="351"/>
      <c r="V523" s="351"/>
      <c r="W523" s="351"/>
      <c r="X523" s="351"/>
      <c r="Y523" s="351"/>
      <c r="Z523" s="351"/>
      <c r="AA523" s="351"/>
      <c r="AB523" s="351"/>
    </row>
    <row r="524" ht="14.25" customHeight="1">
      <c r="A524" s="255" t="s">
        <v>12578</v>
      </c>
      <c r="B524" s="108"/>
      <c r="C524" s="256" t="s">
        <v>10234</v>
      </c>
      <c r="D524" s="297" t="s">
        <v>271</v>
      </c>
      <c r="E524" s="446" t="s">
        <v>5</v>
      </c>
      <c r="F524" s="258" t="s">
        <v>12608</v>
      </c>
      <c r="G524" s="283" t="s">
        <v>12609</v>
      </c>
      <c r="H524" s="258" t="s">
        <v>12610</v>
      </c>
      <c r="I524" s="258" t="s">
        <v>11572</v>
      </c>
      <c r="J524" s="351"/>
      <c r="K524" s="351"/>
      <c r="L524" s="351"/>
      <c r="M524" s="351"/>
      <c r="N524" s="351"/>
      <c r="O524" s="351"/>
      <c r="P524" s="351"/>
      <c r="Q524" s="351"/>
      <c r="R524" s="351"/>
      <c r="S524" s="351"/>
      <c r="T524" s="351"/>
      <c r="U524" s="351"/>
      <c r="V524" s="351"/>
      <c r="W524" s="351"/>
      <c r="X524" s="351"/>
      <c r="Y524" s="351"/>
      <c r="Z524" s="351"/>
      <c r="AA524" s="351"/>
      <c r="AB524" s="351"/>
    </row>
    <row r="525" ht="14.25" customHeight="1">
      <c r="A525" s="255" t="s">
        <v>12578</v>
      </c>
      <c r="B525" s="108"/>
      <c r="C525" s="256" t="s">
        <v>10236</v>
      </c>
      <c r="D525" s="297" t="s">
        <v>271</v>
      </c>
      <c r="E525" s="446" t="s">
        <v>5</v>
      </c>
      <c r="F525" s="258" t="s">
        <v>12611</v>
      </c>
      <c r="G525" s="283" t="s">
        <v>12612</v>
      </c>
      <c r="H525" s="258" t="s">
        <v>12613</v>
      </c>
      <c r="I525" s="258" t="s">
        <v>11572</v>
      </c>
      <c r="J525" s="351"/>
      <c r="K525" s="351"/>
      <c r="L525" s="351"/>
      <c r="M525" s="351"/>
      <c r="N525" s="351"/>
      <c r="O525" s="351"/>
      <c r="P525" s="351"/>
      <c r="Q525" s="351"/>
      <c r="R525" s="351"/>
      <c r="S525" s="351"/>
      <c r="T525" s="351"/>
      <c r="U525" s="351"/>
      <c r="V525" s="351"/>
      <c r="W525" s="351"/>
      <c r="X525" s="351"/>
      <c r="Y525" s="351"/>
      <c r="Z525" s="351"/>
      <c r="AA525" s="351"/>
      <c r="AB525" s="351"/>
    </row>
    <row r="526" ht="14.25" customHeight="1">
      <c r="A526" s="255" t="s">
        <v>12578</v>
      </c>
      <c r="B526" s="108"/>
      <c r="C526" s="256" t="s">
        <v>12259</v>
      </c>
      <c r="D526" s="297" t="s">
        <v>271</v>
      </c>
      <c r="E526" s="446" t="s">
        <v>5</v>
      </c>
      <c r="F526" s="258" t="s">
        <v>12614</v>
      </c>
      <c r="G526" s="283" t="s">
        <v>12615</v>
      </c>
      <c r="H526" s="258" t="s">
        <v>12616</v>
      </c>
      <c r="I526" s="258" t="s">
        <v>11572</v>
      </c>
      <c r="J526" s="351"/>
      <c r="K526" s="351"/>
      <c r="L526" s="351"/>
      <c r="M526" s="351"/>
      <c r="N526" s="351"/>
      <c r="O526" s="351"/>
      <c r="P526" s="351"/>
      <c r="Q526" s="351"/>
      <c r="R526" s="351"/>
      <c r="S526" s="351"/>
      <c r="T526" s="351"/>
      <c r="U526" s="351"/>
      <c r="V526" s="351"/>
      <c r="W526" s="351"/>
      <c r="X526" s="351"/>
      <c r="Y526" s="351"/>
      <c r="Z526" s="351"/>
      <c r="AA526" s="351"/>
      <c r="AB526" s="351"/>
    </row>
    <row r="527" ht="14.25" customHeight="1">
      <c r="A527" s="255" t="s">
        <v>12578</v>
      </c>
      <c r="B527" s="108"/>
      <c r="C527" s="256" t="s">
        <v>12263</v>
      </c>
      <c r="D527" s="297" t="s">
        <v>271</v>
      </c>
      <c r="E527" s="446" t="s">
        <v>5</v>
      </c>
      <c r="F527" s="258" t="s">
        <v>12617</v>
      </c>
      <c r="G527" s="283" t="s">
        <v>12618</v>
      </c>
      <c r="H527" s="258" t="s">
        <v>12619</v>
      </c>
      <c r="I527" s="258" t="s">
        <v>11572</v>
      </c>
      <c r="J527" s="351"/>
      <c r="K527" s="351"/>
      <c r="L527" s="351"/>
      <c r="M527" s="351"/>
      <c r="N527" s="351"/>
      <c r="O527" s="351"/>
      <c r="P527" s="351"/>
      <c r="Q527" s="351"/>
      <c r="R527" s="351"/>
      <c r="S527" s="351"/>
      <c r="T527" s="351"/>
      <c r="U527" s="351"/>
      <c r="V527" s="351"/>
      <c r="W527" s="351"/>
      <c r="X527" s="351"/>
      <c r="Y527" s="351"/>
      <c r="Z527" s="351"/>
      <c r="AA527" s="351"/>
      <c r="AB527" s="351"/>
    </row>
    <row r="528" ht="14.25" customHeight="1">
      <c r="A528" s="255" t="s">
        <v>12578</v>
      </c>
      <c r="B528" s="109"/>
      <c r="C528" s="256" t="s">
        <v>12266</v>
      </c>
      <c r="D528" s="297" t="s">
        <v>271</v>
      </c>
      <c r="E528" s="446" t="s">
        <v>5</v>
      </c>
      <c r="F528" s="258" t="s">
        <v>12620</v>
      </c>
      <c r="G528" s="283" t="s">
        <v>12621</v>
      </c>
      <c r="H528" s="258" t="s">
        <v>12622</v>
      </c>
      <c r="I528" s="258" t="s">
        <v>36</v>
      </c>
      <c r="J528" s="351"/>
      <c r="K528" s="351"/>
      <c r="L528" s="351"/>
      <c r="M528" s="351"/>
      <c r="N528" s="351"/>
      <c r="O528" s="351"/>
      <c r="P528" s="351"/>
      <c r="Q528" s="351"/>
      <c r="R528" s="351"/>
      <c r="S528" s="351"/>
      <c r="T528" s="351"/>
      <c r="U528" s="351"/>
      <c r="V528" s="351"/>
      <c r="W528" s="351"/>
      <c r="X528" s="351"/>
      <c r="Y528" s="351"/>
      <c r="Z528" s="351"/>
      <c r="AA528" s="351"/>
      <c r="AB528" s="351"/>
    </row>
    <row r="529" ht="14.25" customHeight="1">
      <c r="A529" s="255" t="s">
        <v>12623</v>
      </c>
      <c r="B529" s="375" t="s">
        <v>12624</v>
      </c>
      <c r="C529" s="256" t="s">
        <v>10199</v>
      </c>
      <c r="D529" s="297" t="s">
        <v>271</v>
      </c>
      <c r="E529" s="446" t="s">
        <v>5</v>
      </c>
      <c r="F529" s="258" t="s">
        <v>12570</v>
      </c>
      <c r="G529" s="258" t="s">
        <v>12571</v>
      </c>
      <c r="H529" s="258" t="s">
        <v>12572</v>
      </c>
      <c r="I529" s="258" t="s">
        <v>36</v>
      </c>
      <c r="J529" s="351"/>
      <c r="K529" s="351"/>
      <c r="L529" s="351"/>
      <c r="M529" s="351"/>
      <c r="N529" s="351"/>
      <c r="O529" s="351"/>
      <c r="P529" s="351"/>
      <c r="Q529" s="351"/>
      <c r="R529" s="351"/>
      <c r="S529" s="351"/>
      <c r="T529" s="351"/>
      <c r="U529" s="351"/>
      <c r="V529" s="351"/>
      <c r="W529" s="351"/>
      <c r="X529" s="351"/>
      <c r="Y529" s="351"/>
      <c r="Z529" s="351"/>
      <c r="AA529" s="351"/>
      <c r="AB529" s="351"/>
    </row>
    <row r="530" ht="14.25" customHeight="1">
      <c r="A530" s="255" t="s">
        <v>12623</v>
      </c>
      <c r="B530" s="108"/>
      <c r="C530" s="256" t="s">
        <v>10203</v>
      </c>
      <c r="D530" s="297" t="s">
        <v>271</v>
      </c>
      <c r="E530" s="446" t="s">
        <v>5</v>
      </c>
      <c r="F530" s="258" t="s">
        <v>12573</v>
      </c>
      <c r="G530" s="258" t="s">
        <v>12574</v>
      </c>
      <c r="H530" s="258" t="s">
        <v>12575</v>
      </c>
      <c r="I530" s="258" t="s">
        <v>36</v>
      </c>
      <c r="J530" s="351"/>
      <c r="K530" s="351"/>
      <c r="L530" s="351"/>
      <c r="M530" s="351"/>
      <c r="N530" s="351"/>
      <c r="O530" s="351"/>
      <c r="P530" s="351"/>
      <c r="Q530" s="351"/>
      <c r="R530" s="351"/>
      <c r="S530" s="351"/>
      <c r="T530" s="351"/>
      <c r="U530" s="351"/>
      <c r="V530" s="351"/>
      <c r="W530" s="351"/>
      <c r="X530" s="351"/>
      <c r="Y530" s="351"/>
      <c r="Z530" s="351"/>
      <c r="AA530" s="351"/>
      <c r="AB530" s="351"/>
    </row>
    <row r="531" ht="14.25" customHeight="1">
      <c r="A531" s="255" t="s">
        <v>12623</v>
      </c>
      <c r="B531" s="108"/>
      <c r="C531" s="256" t="s">
        <v>10206</v>
      </c>
      <c r="D531" s="297" t="s">
        <v>271</v>
      </c>
      <c r="E531" s="446" t="s">
        <v>5</v>
      </c>
      <c r="F531" s="258" t="s">
        <v>12576</v>
      </c>
      <c r="G531" s="258" t="s">
        <v>12571</v>
      </c>
      <c r="H531" s="258" t="s">
        <v>12577</v>
      </c>
      <c r="I531" s="258" t="s">
        <v>12625</v>
      </c>
      <c r="J531" s="351"/>
      <c r="K531" s="351"/>
      <c r="L531" s="351"/>
      <c r="M531" s="351"/>
      <c r="N531" s="351"/>
      <c r="O531" s="351"/>
      <c r="P531" s="351"/>
      <c r="Q531" s="351"/>
      <c r="R531" s="351"/>
      <c r="S531" s="351"/>
      <c r="T531" s="351"/>
      <c r="U531" s="351"/>
      <c r="V531" s="351"/>
      <c r="W531" s="351"/>
      <c r="X531" s="351"/>
      <c r="Y531" s="351"/>
      <c r="Z531" s="351"/>
      <c r="AA531" s="351"/>
      <c r="AB531" s="351"/>
    </row>
    <row r="532" ht="14.25" customHeight="1">
      <c r="A532" s="255" t="s">
        <v>12623</v>
      </c>
      <c r="B532" s="108"/>
      <c r="C532" s="256" t="s">
        <v>10209</v>
      </c>
      <c r="D532" s="297" t="s">
        <v>271</v>
      </c>
      <c r="E532" s="446" t="s">
        <v>5</v>
      </c>
      <c r="F532" s="258" t="s">
        <v>12626</v>
      </c>
      <c r="G532" s="258" t="s">
        <v>12571</v>
      </c>
      <c r="H532" s="258" t="s">
        <v>12627</v>
      </c>
      <c r="I532" s="258" t="s">
        <v>12625</v>
      </c>
      <c r="J532" s="351"/>
      <c r="K532" s="351"/>
      <c r="L532" s="351"/>
      <c r="M532" s="351"/>
      <c r="N532" s="351"/>
      <c r="O532" s="351"/>
      <c r="P532" s="351"/>
      <c r="Q532" s="351"/>
      <c r="R532" s="351"/>
      <c r="S532" s="351"/>
      <c r="T532" s="351"/>
      <c r="U532" s="351"/>
      <c r="V532" s="351"/>
      <c r="W532" s="351"/>
      <c r="X532" s="351"/>
      <c r="Y532" s="351"/>
      <c r="Z532" s="351"/>
      <c r="AA532" s="351"/>
      <c r="AB532" s="351"/>
    </row>
    <row r="533" ht="14.25" customHeight="1">
      <c r="A533" s="255" t="s">
        <v>12623</v>
      </c>
      <c r="B533" s="108"/>
      <c r="C533" s="256" t="s">
        <v>10212</v>
      </c>
      <c r="D533" s="297" t="s">
        <v>271</v>
      </c>
      <c r="E533" s="446" t="s">
        <v>5</v>
      </c>
      <c r="F533" s="258" t="s">
        <v>12628</v>
      </c>
      <c r="G533" s="258" t="s">
        <v>12571</v>
      </c>
      <c r="H533" s="258" t="s">
        <v>12629</v>
      </c>
      <c r="I533" s="258" t="s">
        <v>12625</v>
      </c>
      <c r="J533" s="351"/>
      <c r="K533" s="351"/>
      <c r="L533" s="351"/>
      <c r="M533" s="351"/>
      <c r="N533" s="351"/>
      <c r="O533" s="351"/>
      <c r="P533" s="351"/>
      <c r="Q533" s="351"/>
      <c r="R533" s="351"/>
      <c r="S533" s="351"/>
      <c r="T533" s="351"/>
      <c r="U533" s="351"/>
      <c r="V533" s="351"/>
      <c r="W533" s="351"/>
      <c r="X533" s="351"/>
      <c r="Y533" s="351"/>
      <c r="Z533" s="351"/>
      <c r="AA533" s="351"/>
      <c r="AB533" s="351"/>
    </row>
    <row r="534" ht="14.25" customHeight="1">
      <c r="A534" s="255" t="s">
        <v>12623</v>
      </c>
      <c r="B534" s="108"/>
      <c r="C534" s="256" t="s">
        <v>10214</v>
      </c>
      <c r="D534" s="297" t="s">
        <v>271</v>
      </c>
      <c r="E534" s="446" t="s">
        <v>5</v>
      </c>
      <c r="F534" s="258" t="s">
        <v>12630</v>
      </c>
      <c r="G534" s="258" t="s">
        <v>12571</v>
      </c>
      <c r="H534" s="258" t="s">
        <v>12631</v>
      </c>
      <c r="I534" s="258" t="s">
        <v>11572</v>
      </c>
      <c r="J534" s="351"/>
      <c r="K534" s="351"/>
      <c r="L534" s="351"/>
      <c r="M534" s="351"/>
      <c r="N534" s="351"/>
      <c r="O534" s="351"/>
      <c r="P534" s="351"/>
      <c r="Q534" s="351"/>
      <c r="R534" s="351"/>
      <c r="S534" s="351"/>
      <c r="T534" s="351"/>
      <c r="U534" s="351"/>
      <c r="V534" s="351"/>
      <c r="W534" s="351"/>
      <c r="X534" s="351"/>
      <c r="Y534" s="351"/>
      <c r="Z534" s="351"/>
      <c r="AA534" s="351"/>
      <c r="AB534" s="351"/>
    </row>
    <row r="535" ht="14.25" customHeight="1">
      <c r="A535" s="255" t="s">
        <v>12623</v>
      </c>
      <c r="B535" s="109"/>
      <c r="C535" s="256" t="s">
        <v>10217</v>
      </c>
      <c r="D535" s="297" t="s">
        <v>271</v>
      </c>
      <c r="E535" s="446" t="s">
        <v>5</v>
      </c>
      <c r="F535" s="258" t="s">
        <v>12632</v>
      </c>
      <c r="G535" s="258" t="s">
        <v>12571</v>
      </c>
      <c r="H535" s="258" t="s">
        <v>12633</v>
      </c>
      <c r="I535" s="258" t="s">
        <v>36</v>
      </c>
      <c r="J535" s="351"/>
      <c r="K535" s="351"/>
      <c r="L535" s="351"/>
      <c r="M535" s="351"/>
      <c r="N535" s="351"/>
      <c r="O535" s="351"/>
      <c r="P535" s="351"/>
      <c r="Q535" s="351"/>
      <c r="R535" s="351"/>
      <c r="S535" s="351"/>
      <c r="T535" s="351"/>
      <c r="U535" s="351"/>
      <c r="V535" s="351"/>
      <c r="W535" s="351"/>
      <c r="X535" s="351"/>
      <c r="Y535" s="351"/>
      <c r="Z535" s="351"/>
      <c r="AA535" s="351"/>
      <c r="AB535" s="351"/>
    </row>
    <row r="536" ht="14.25" customHeight="1">
      <c r="A536" s="255" t="s">
        <v>12634</v>
      </c>
      <c r="B536" s="402" t="s">
        <v>12635</v>
      </c>
      <c r="C536" s="256" t="s">
        <v>10199</v>
      </c>
      <c r="D536" s="297" t="s">
        <v>271</v>
      </c>
      <c r="E536" s="446" t="s">
        <v>5</v>
      </c>
      <c r="F536" s="258" t="s">
        <v>12636</v>
      </c>
      <c r="G536" s="258" t="s">
        <v>12637</v>
      </c>
      <c r="H536" s="258" t="s">
        <v>12638</v>
      </c>
      <c r="I536" s="258" t="s">
        <v>36</v>
      </c>
      <c r="J536" s="351"/>
      <c r="K536" s="351"/>
      <c r="L536" s="351"/>
      <c r="M536" s="351"/>
      <c r="N536" s="351"/>
      <c r="O536" s="351"/>
      <c r="P536" s="351"/>
      <c r="Q536" s="351"/>
      <c r="R536" s="351"/>
      <c r="S536" s="351"/>
      <c r="T536" s="351"/>
      <c r="U536" s="351"/>
      <c r="V536" s="351"/>
      <c r="W536" s="351"/>
      <c r="X536" s="351"/>
      <c r="Y536" s="351"/>
      <c r="Z536" s="351"/>
      <c r="AA536" s="351"/>
      <c r="AB536" s="351"/>
    </row>
    <row r="537">
      <c r="A537" s="255" t="s">
        <v>12634</v>
      </c>
      <c r="B537" s="108"/>
      <c r="C537" s="256" t="s">
        <v>10203</v>
      </c>
      <c r="D537" s="297" t="s">
        <v>271</v>
      </c>
      <c r="E537" s="446" t="s">
        <v>5</v>
      </c>
      <c r="F537" s="258" t="s">
        <v>12639</v>
      </c>
      <c r="G537" s="258" t="s">
        <v>12640</v>
      </c>
      <c r="H537" s="258" t="s">
        <v>12638</v>
      </c>
      <c r="I537" s="258" t="s">
        <v>36</v>
      </c>
      <c r="J537" s="351"/>
      <c r="K537" s="351"/>
      <c r="L537" s="351"/>
      <c r="M537" s="351"/>
      <c r="N537" s="351"/>
      <c r="O537" s="351"/>
      <c r="P537" s="351"/>
      <c r="Q537" s="351"/>
      <c r="R537" s="351"/>
      <c r="S537" s="351"/>
      <c r="T537" s="351"/>
      <c r="U537" s="351"/>
      <c r="V537" s="351"/>
      <c r="W537" s="351"/>
      <c r="X537" s="351"/>
      <c r="Y537" s="351"/>
      <c r="Z537" s="351"/>
      <c r="AA537" s="351"/>
      <c r="AB537" s="351"/>
    </row>
    <row r="538" ht="14.25" customHeight="1">
      <c r="A538" s="255" t="s">
        <v>12634</v>
      </c>
      <c r="B538" s="108"/>
      <c r="C538" s="256" t="s">
        <v>10206</v>
      </c>
      <c r="D538" s="297" t="s">
        <v>271</v>
      </c>
      <c r="E538" s="446" t="s">
        <v>5</v>
      </c>
      <c r="F538" s="258" t="s">
        <v>12641</v>
      </c>
      <c r="G538" s="258" t="s">
        <v>12642</v>
      </c>
      <c r="H538" s="258" t="s">
        <v>12643</v>
      </c>
      <c r="I538" s="258" t="s">
        <v>36</v>
      </c>
      <c r="J538" s="351"/>
      <c r="K538" s="351"/>
      <c r="L538" s="351"/>
      <c r="M538" s="351"/>
      <c r="N538" s="351"/>
      <c r="O538" s="351"/>
      <c r="P538" s="351"/>
      <c r="Q538" s="351"/>
      <c r="R538" s="351"/>
      <c r="S538" s="351"/>
      <c r="T538" s="351"/>
      <c r="U538" s="351"/>
      <c r="V538" s="351"/>
      <c r="W538" s="351"/>
      <c r="X538" s="351"/>
      <c r="Y538" s="351"/>
      <c r="Z538" s="351"/>
      <c r="AA538" s="351"/>
      <c r="AB538" s="351"/>
    </row>
    <row r="539" ht="14.25" customHeight="1">
      <c r="A539" s="255" t="s">
        <v>12634</v>
      </c>
      <c r="B539" s="108"/>
      <c r="C539" s="256" t="s">
        <v>10209</v>
      </c>
      <c r="D539" s="297" t="s">
        <v>271</v>
      </c>
      <c r="E539" s="446" t="s">
        <v>5</v>
      </c>
      <c r="F539" s="258" t="s">
        <v>12644</v>
      </c>
      <c r="G539" s="258" t="s">
        <v>12645</v>
      </c>
      <c r="H539" s="258" t="s">
        <v>12646</v>
      </c>
      <c r="I539" s="258" t="s">
        <v>36</v>
      </c>
      <c r="J539" s="351"/>
      <c r="K539" s="351"/>
      <c r="L539" s="351"/>
      <c r="M539" s="351"/>
      <c r="N539" s="351"/>
      <c r="O539" s="351"/>
      <c r="P539" s="351"/>
      <c r="Q539" s="351"/>
      <c r="R539" s="351"/>
      <c r="S539" s="351"/>
      <c r="T539" s="351"/>
      <c r="U539" s="351"/>
      <c r="V539" s="351"/>
      <c r="W539" s="351"/>
      <c r="X539" s="351"/>
      <c r="Y539" s="351"/>
      <c r="Z539" s="351"/>
      <c r="AA539" s="351"/>
      <c r="AB539" s="351"/>
    </row>
    <row r="540" ht="14.25" customHeight="1">
      <c r="A540" s="255" t="s">
        <v>12634</v>
      </c>
      <c r="B540" s="108"/>
      <c r="C540" s="256" t="s">
        <v>10212</v>
      </c>
      <c r="D540" s="297" t="s">
        <v>271</v>
      </c>
      <c r="E540" s="446" t="s">
        <v>5</v>
      </c>
      <c r="F540" s="258" t="s">
        <v>12647</v>
      </c>
      <c r="G540" s="258" t="s">
        <v>12648</v>
      </c>
      <c r="H540" s="258" t="s">
        <v>12646</v>
      </c>
      <c r="I540" s="258" t="s">
        <v>36</v>
      </c>
      <c r="J540" s="351"/>
      <c r="K540" s="351"/>
      <c r="L540" s="351"/>
      <c r="M540" s="351"/>
      <c r="N540" s="351"/>
      <c r="O540" s="351"/>
      <c r="P540" s="351"/>
      <c r="Q540" s="351"/>
      <c r="R540" s="351"/>
      <c r="S540" s="351"/>
      <c r="T540" s="351"/>
      <c r="U540" s="351"/>
      <c r="V540" s="351"/>
      <c r="W540" s="351"/>
      <c r="X540" s="351"/>
      <c r="Y540" s="351"/>
      <c r="Z540" s="351"/>
      <c r="AA540" s="351"/>
      <c r="AB540" s="351"/>
    </row>
    <row r="541" ht="14.25" customHeight="1">
      <c r="A541" s="255" t="s">
        <v>12634</v>
      </c>
      <c r="B541" s="108"/>
      <c r="C541" s="256" t="s">
        <v>10214</v>
      </c>
      <c r="D541" s="297" t="s">
        <v>271</v>
      </c>
      <c r="E541" s="446" t="s">
        <v>5</v>
      </c>
      <c r="F541" s="258" t="s">
        <v>12649</v>
      </c>
      <c r="G541" s="258" t="s">
        <v>12645</v>
      </c>
      <c r="H541" s="258" t="s">
        <v>12646</v>
      </c>
      <c r="I541" s="258" t="s">
        <v>36</v>
      </c>
      <c r="J541" s="351"/>
      <c r="K541" s="351"/>
      <c r="L541" s="351"/>
      <c r="M541" s="351"/>
      <c r="N541" s="351"/>
      <c r="O541" s="351"/>
      <c r="P541" s="351"/>
      <c r="Q541" s="351"/>
      <c r="R541" s="351"/>
      <c r="S541" s="351"/>
      <c r="T541" s="351"/>
      <c r="U541" s="351"/>
      <c r="V541" s="351"/>
      <c r="W541" s="351"/>
      <c r="X541" s="351"/>
      <c r="Y541" s="351"/>
      <c r="Z541" s="351"/>
      <c r="AA541" s="351"/>
      <c r="AB541" s="351"/>
    </row>
    <row r="542" ht="14.25" customHeight="1">
      <c r="A542" s="255" t="s">
        <v>12634</v>
      </c>
      <c r="B542" s="108"/>
      <c r="C542" s="256" t="s">
        <v>10217</v>
      </c>
      <c r="D542" s="297" t="s">
        <v>271</v>
      </c>
      <c r="E542" s="446" t="s">
        <v>5</v>
      </c>
      <c r="F542" s="258" t="s">
        <v>12650</v>
      </c>
      <c r="G542" s="258" t="s">
        <v>12637</v>
      </c>
      <c r="H542" s="258" t="s">
        <v>12638</v>
      </c>
      <c r="I542" s="258" t="s">
        <v>36</v>
      </c>
      <c r="J542" s="351"/>
      <c r="K542" s="351"/>
      <c r="L542" s="351"/>
      <c r="M542" s="351"/>
      <c r="N542" s="351"/>
      <c r="O542" s="351"/>
      <c r="P542" s="351"/>
      <c r="Q542" s="351"/>
      <c r="R542" s="351"/>
      <c r="S542" s="351"/>
      <c r="T542" s="351"/>
      <c r="U542" s="351"/>
      <c r="V542" s="351"/>
      <c r="W542" s="351"/>
      <c r="X542" s="351"/>
      <c r="Y542" s="351"/>
      <c r="Z542" s="351"/>
      <c r="AA542" s="351"/>
      <c r="AB542" s="351"/>
    </row>
    <row r="543" ht="14.25" customHeight="1">
      <c r="A543" s="255" t="s">
        <v>12634</v>
      </c>
      <c r="B543" s="108"/>
      <c r="C543" s="256" t="s">
        <v>10220</v>
      </c>
      <c r="D543" s="297" t="s">
        <v>271</v>
      </c>
      <c r="E543" s="446" t="s">
        <v>5</v>
      </c>
      <c r="F543" s="258" t="s">
        <v>11107</v>
      </c>
      <c r="G543" s="258" t="s">
        <v>12645</v>
      </c>
      <c r="H543" s="258" t="s">
        <v>12646</v>
      </c>
      <c r="I543" s="258" t="s">
        <v>36</v>
      </c>
      <c r="J543" s="351"/>
      <c r="K543" s="351"/>
      <c r="L543" s="351"/>
      <c r="M543" s="351"/>
      <c r="N543" s="351"/>
      <c r="O543" s="351"/>
      <c r="P543" s="351"/>
      <c r="Q543" s="351"/>
      <c r="R543" s="351"/>
      <c r="S543" s="351"/>
      <c r="T543" s="351"/>
      <c r="U543" s="351"/>
      <c r="V543" s="351"/>
      <c r="W543" s="351"/>
      <c r="X543" s="351"/>
      <c r="Y543" s="351"/>
      <c r="Z543" s="351"/>
      <c r="AA543" s="351"/>
      <c r="AB543" s="351"/>
    </row>
    <row r="544" ht="14.25" customHeight="1">
      <c r="A544" s="255" t="s">
        <v>12634</v>
      </c>
      <c r="B544" s="109"/>
      <c r="C544" s="256" t="s">
        <v>10223</v>
      </c>
      <c r="D544" s="297" t="s">
        <v>271</v>
      </c>
      <c r="E544" s="446" t="s">
        <v>5</v>
      </c>
      <c r="F544" s="258" t="s">
        <v>9068</v>
      </c>
      <c r="G544" s="258" t="s">
        <v>12645</v>
      </c>
      <c r="H544" s="258" t="s">
        <v>12646</v>
      </c>
      <c r="I544" s="258" t="s">
        <v>36</v>
      </c>
      <c r="J544" s="351"/>
      <c r="K544" s="351"/>
      <c r="L544" s="351"/>
      <c r="M544" s="351"/>
      <c r="N544" s="351"/>
      <c r="O544" s="351"/>
      <c r="P544" s="351"/>
      <c r="Q544" s="351"/>
      <c r="R544" s="351"/>
      <c r="S544" s="351"/>
      <c r="T544" s="351"/>
      <c r="U544" s="351"/>
      <c r="V544" s="351"/>
      <c r="W544" s="351"/>
      <c r="X544" s="351"/>
      <c r="Y544" s="351"/>
      <c r="Z544" s="351"/>
      <c r="AA544" s="351"/>
      <c r="AB544" s="351"/>
    </row>
    <row r="545" ht="14.25" customHeight="1">
      <c r="A545" s="255" t="s">
        <v>12651</v>
      </c>
      <c r="B545" s="375" t="s">
        <v>12652</v>
      </c>
      <c r="C545" s="256" t="s">
        <v>10199</v>
      </c>
      <c r="D545" s="297" t="s">
        <v>271</v>
      </c>
      <c r="E545" s="446" t="s">
        <v>5</v>
      </c>
      <c r="F545" s="258" t="s">
        <v>12653</v>
      </c>
      <c r="G545" s="258" t="s">
        <v>12654</v>
      </c>
      <c r="H545" s="258" t="s">
        <v>12655</v>
      </c>
      <c r="I545" s="258" t="s">
        <v>36</v>
      </c>
      <c r="J545" s="351"/>
      <c r="K545" s="351"/>
      <c r="L545" s="351"/>
      <c r="M545" s="351"/>
      <c r="N545" s="351"/>
      <c r="O545" s="351"/>
      <c r="P545" s="351"/>
      <c r="Q545" s="351"/>
      <c r="R545" s="351"/>
      <c r="S545" s="351"/>
      <c r="T545" s="351"/>
      <c r="U545" s="351"/>
      <c r="V545" s="351"/>
      <c r="W545" s="351"/>
      <c r="X545" s="351"/>
      <c r="Y545" s="351"/>
      <c r="Z545" s="351"/>
      <c r="AA545" s="351"/>
      <c r="AB545" s="351"/>
    </row>
    <row r="546" ht="14.25" customHeight="1">
      <c r="A546" s="255" t="s">
        <v>12651</v>
      </c>
      <c r="B546" s="108"/>
      <c r="C546" s="256" t="s">
        <v>10203</v>
      </c>
      <c r="D546" s="297" t="s">
        <v>271</v>
      </c>
      <c r="E546" s="446" t="s">
        <v>5</v>
      </c>
      <c r="F546" s="258" t="s">
        <v>12656</v>
      </c>
      <c r="G546" s="258" t="s">
        <v>12657</v>
      </c>
      <c r="H546" s="258" t="s">
        <v>12658</v>
      </c>
      <c r="I546" s="258" t="s">
        <v>36</v>
      </c>
      <c r="J546" s="351"/>
      <c r="K546" s="351"/>
      <c r="L546" s="351"/>
      <c r="M546" s="351"/>
      <c r="N546" s="351"/>
      <c r="O546" s="351"/>
      <c r="P546" s="351"/>
      <c r="Q546" s="351"/>
      <c r="R546" s="351"/>
      <c r="S546" s="351"/>
      <c r="T546" s="351"/>
      <c r="U546" s="351"/>
      <c r="V546" s="351"/>
      <c r="W546" s="351"/>
      <c r="X546" s="351"/>
      <c r="Y546" s="351"/>
      <c r="Z546" s="351"/>
      <c r="AA546" s="351"/>
      <c r="AB546" s="351"/>
    </row>
    <row r="547" ht="14.25" customHeight="1">
      <c r="A547" s="255" t="s">
        <v>12651</v>
      </c>
      <c r="B547" s="108"/>
      <c r="C547" s="256" t="s">
        <v>10206</v>
      </c>
      <c r="D547" s="297" t="s">
        <v>271</v>
      </c>
      <c r="E547" s="446" t="s">
        <v>5</v>
      </c>
      <c r="F547" s="258" t="s">
        <v>11535</v>
      </c>
      <c r="G547" s="258" t="s">
        <v>12659</v>
      </c>
      <c r="H547" s="258" t="s">
        <v>11536</v>
      </c>
      <c r="I547" s="258" t="s">
        <v>36</v>
      </c>
      <c r="J547" s="351"/>
      <c r="K547" s="351"/>
      <c r="L547" s="351"/>
      <c r="M547" s="351"/>
      <c r="N547" s="351"/>
      <c r="O547" s="351"/>
      <c r="P547" s="351"/>
      <c r="Q547" s="351"/>
      <c r="R547" s="351"/>
      <c r="S547" s="351"/>
      <c r="T547" s="351"/>
      <c r="U547" s="351"/>
      <c r="V547" s="351"/>
      <c r="W547" s="351"/>
      <c r="X547" s="351"/>
      <c r="Y547" s="351"/>
      <c r="Z547" s="351"/>
      <c r="AA547" s="351"/>
      <c r="AB547" s="351"/>
    </row>
    <row r="548" ht="14.25" customHeight="1">
      <c r="A548" s="255" t="s">
        <v>12651</v>
      </c>
      <c r="B548" s="108"/>
      <c r="C548" s="258" t="s">
        <v>10209</v>
      </c>
      <c r="D548" s="297" t="s">
        <v>271</v>
      </c>
      <c r="E548" s="446" t="s">
        <v>5</v>
      </c>
      <c r="F548" s="258" t="s">
        <v>11537</v>
      </c>
      <c r="G548" s="258" t="s">
        <v>12659</v>
      </c>
      <c r="H548" s="258" t="s">
        <v>11471</v>
      </c>
      <c r="I548" s="258" t="s">
        <v>36</v>
      </c>
      <c r="J548" s="351"/>
      <c r="K548" s="351"/>
      <c r="L548" s="351"/>
      <c r="M548" s="351"/>
      <c r="N548" s="351"/>
      <c r="O548" s="351"/>
      <c r="P548" s="351"/>
      <c r="Q548" s="351"/>
      <c r="R548" s="351"/>
      <c r="S548" s="351"/>
      <c r="T548" s="351"/>
      <c r="U548" s="351"/>
      <c r="V548" s="351"/>
      <c r="W548" s="351"/>
      <c r="X548" s="351"/>
      <c r="Y548" s="351"/>
      <c r="Z548" s="351"/>
      <c r="AA548" s="351"/>
      <c r="AB548" s="351"/>
    </row>
    <row r="549" ht="14.25" customHeight="1">
      <c r="A549" s="255" t="s">
        <v>12651</v>
      </c>
      <c r="B549" s="108"/>
      <c r="C549" s="258" t="s">
        <v>10212</v>
      </c>
      <c r="D549" s="297" t="s">
        <v>271</v>
      </c>
      <c r="E549" s="446" t="s">
        <v>5</v>
      </c>
      <c r="F549" s="258" t="s">
        <v>11538</v>
      </c>
      <c r="G549" s="258" t="s">
        <v>12659</v>
      </c>
      <c r="H549" s="258" t="s">
        <v>11476</v>
      </c>
      <c r="I549" s="258" t="s">
        <v>12660</v>
      </c>
      <c r="J549" s="351"/>
      <c r="K549" s="351"/>
      <c r="L549" s="351"/>
      <c r="M549" s="351"/>
      <c r="N549" s="351"/>
      <c r="O549" s="351"/>
      <c r="P549" s="351"/>
      <c r="Q549" s="351"/>
      <c r="R549" s="351"/>
      <c r="S549" s="351"/>
      <c r="T549" s="351"/>
      <c r="U549" s="351"/>
      <c r="V549" s="351"/>
      <c r="W549" s="351"/>
      <c r="X549" s="351"/>
      <c r="Y549" s="351"/>
      <c r="Z549" s="351"/>
      <c r="AA549" s="351"/>
      <c r="AB549" s="351"/>
    </row>
    <row r="550" ht="14.25" customHeight="1">
      <c r="A550" s="255" t="s">
        <v>12651</v>
      </c>
      <c r="B550" s="108"/>
      <c r="C550" s="258" t="s">
        <v>10214</v>
      </c>
      <c r="D550" s="297" t="s">
        <v>271</v>
      </c>
      <c r="E550" s="446" t="s">
        <v>5</v>
      </c>
      <c r="F550" s="258" t="s">
        <v>11467</v>
      </c>
      <c r="G550" s="258" t="s">
        <v>12661</v>
      </c>
      <c r="H550" s="258" t="s">
        <v>11468</v>
      </c>
      <c r="I550" s="258" t="s">
        <v>36</v>
      </c>
      <c r="J550" s="351"/>
      <c r="K550" s="351"/>
      <c r="L550" s="351"/>
      <c r="M550" s="351"/>
      <c r="N550" s="351"/>
      <c r="O550" s="351"/>
      <c r="P550" s="351"/>
      <c r="Q550" s="351"/>
      <c r="R550" s="351"/>
      <c r="S550" s="351"/>
      <c r="T550" s="351"/>
      <c r="U550" s="351"/>
      <c r="V550" s="351"/>
      <c r="W550" s="351"/>
      <c r="X550" s="351"/>
      <c r="Y550" s="351"/>
      <c r="Z550" s="351"/>
      <c r="AA550" s="351"/>
      <c r="AB550" s="351"/>
    </row>
    <row r="551" ht="14.25" customHeight="1">
      <c r="A551" s="255" t="s">
        <v>12651</v>
      </c>
      <c r="B551" s="108"/>
      <c r="C551" s="258" t="s">
        <v>10217</v>
      </c>
      <c r="D551" s="297" t="s">
        <v>271</v>
      </c>
      <c r="E551" s="446" t="s">
        <v>5</v>
      </c>
      <c r="F551" s="258" t="s">
        <v>11470</v>
      </c>
      <c r="G551" s="258" t="s">
        <v>12661</v>
      </c>
      <c r="H551" s="258" t="s">
        <v>11471</v>
      </c>
      <c r="I551" s="258" t="s">
        <v>36</v>
      </c>
      <c r="J551" s="351"/>
      <c r="K551" s="351"/>
      <c r="L551" s="351"/>
      <c r="M551" s="351"/>
      <c r="N551" s="351"/>
      <c r="O551" s="351"/>
      <c r="P551" s="351"/>
      <c r="Q551" s="351"/>
      <c r="R551" s="351"/>
      <c r="S551" s="351"/>
      <c r="T551" s="351"/>
      <c r="U551" s="351"/>
      <c r="V551" s="351"/>
      <c r="W551" s="351"/>
      <c r="X551" s="351"/>
      <c r="Y551" s="351"/>
      <c r="Z551" s="351"/>
      <c r="AA551" s="351"/>
      <c r="AB551" s="351"/>
    </row>
    <row r="552" ht="14.25" customHeight="1">
      <c r="A552" s="255" t="s">
        <v>12651</v>
      </c>
      <c r="B552" s="108"/>
      <c r="C552" s="258" t="s">
        <v>10220</v>
      </c>
      <c r="D552" s="297" t="s">
        <v>271</v>
      </c>
      <c r="E552" s="446" t="s">
        <v>5</v>
      </c>
      <c r="F552" s="258" t="s">
        <v>11473</v>
      </c>
      <c r="G552" s="258" t="s">
        <v>12661</v>
      </c>
      <c r="H552" s="258" t="s">
        <v>11471</v>
      </c>
      <c r="I552" s="258" t="s">
        <v>36</v>
      </c>
      <c r="J552" s="351"/>
      <c r="K552" s="351"/>
      <c r="L552" s="351"/>
      <c r="M552" s="351"/>
      <c r="N552" s="351"/>
      <c r="O552" s="351"/>
      <c r="P552" s="351"/>
      <c r="Q552" s="351"/>
      <c r="R552" s="351"/>
      <c r="S552" s="351"/>
      <c r="T552" s="351"/>
      <c r="U552" s="351"/>
      <c r="V552" s="351"/>
      <c r="W552" s="351"/>
      <c r="X552" s="351"/>
      <c r="Y552" s="351"/>
      <c r="Z552" s="351"/>
      <c r="AA552" s="351"/>
      <c r="AB552" s="351"/>
    </row>
    <row r="553" ht="14.25" customHeight="1">
      <c r="A553" s="255" t="s">
        <v>12651</v>
      </c>
      <c r="B553" s="108"/>
      <c r="C553" s="258" t="s">
        <v>10223</v>
      </c>
      <c r="D553" s="297" t="s">
        <v>271</v>
      </c>
      <c r="E553" s="446" t="s">
        <v>5</v>
      </c>
      <c r="F553" s="258" t="s">
        <v>11475</v>
      </c>
      <c r="G553" s="258" t="s">
        <v>12661</v>
      </c>
      <c r="H553" s="258" t="s">
        <v>11476</v>
      </c>
      <c r="I553" s="258" t="s">
        <v>12660</v>
      </c>
      <c r="J553" s="351"/>
      <c r="K553" s="351"/>
      <c r="L553" s="351"/>
      <c r="M553" s="351"/>
      <c r="N553" s="351"/>
      <c r="O553" s="351"/>
      <c r="P553" s="351"/>
      <c r="Q553" s="351"/>
      <c r="R553" s="351"/>
      <c r="S553" s="351"/>
      <c r="T553" s="351"/>
      <c r="U553" s="351"/>
      <c r="V553" s="351"/>
      <c r="W553" s="351"/>
      <c r="X553" s="351"/>
      <c r="Y553" s="351"/>
      <c r="Z553" s="351"/>
      <c r="AA553" s="351"/>
      <c r="AB553" s="351"/>
    </row>
    <row r="554" ht="14.25" customHeight="1">
      <c r="A554" s="255" t="s">
        <v>12651</v>
      </c>
      <c r="B554" s="108"/>
      <c r="C554" s="258" t="s">
        <v>10225</v>
      </c>
      <c r="D554" s="297" t="s">
        <v>271</v>
      </c>
      <c r="E554" s="446" t="s">
        <v>5</v>
      </c>
      <c r="F554" s="258" t="s">
        <v>12662</v>
      </c>
      <c r="G554" s="258" t="s">
        <v>12663</v>
      </c>
      <c r="H554" s="258" t="s">
        <v>12664</v>
      </c>
      <c r="I554" s="258" t="s">
        <v>36</v>
      </c>
      <c r="J554" s="351"/>
      <c r="K554" s="351"/>
      <c r="L554" s="351"/>
      <c r="M554" s="351"/>
      <c r="N554" s="351"/>
      <c r="O554" s="351"/>
      <c r="P554" s="351"/>
      <c r="Q554" s="351"/>
      <c r="R554" s="351"/>
      <c r="S554" s="351"/>
      <c r="T554" s="351"/>
      <c r="U554" s="351"/>
      <c r="V554" s="351"/>
      <c r="W554" s="351"/>
      <c r="X554" s="351"/>
      <c r="Y554" s="351"/>
      <c r="Z554" s="351"/>
      <c r="AA554" s="351"/>
      <c r="AB554" s="351"/>
    </row>
    <row r="555" ht="14.25" customHeight="1">
      <c r="A555" s="255" t="s">
        <v>12651</v>
      </c>
      <c r="B555" s="108"/>
      <c r="C555" s="256" t="s">
        <v>10227</v>
      </c>
      <c r="D555" s="297" t="s">
        <v>271</v>
      </c>
      <c r="E555" s="446" t="s">
        <v>5</v>
      </c>
      <c r="F555" s="258" t="s">
        <v>12665</v>
      </c>
      <c r="G555" s="258" t="s">
        <v>12663</v>
      </c>
      <c r="H555" s="258" t="s">
        <v>12666</v>
      </c>
      <c r="I555" s="258" t="s">
        <v>36</v>
      </c>
      <c r="J555" s="351"/>
      <c r="K555" s="351"/>
      <c r="L555" s="351"/>
      <c r="M555" s="351"/>
      <c r="N555" s="351"/>
      <c r="O555" s="351"/>
      <c r="P555" s="351"/>
      <c r="Q555" s="351"/>
      <c r="R555" s="351"/>
      <c r="S555" s="351"/>
      <c r="T555" s="351"/>
      <c r="U555" s="351"/>
      <c r="V555" s="351"/>
      <c r="W555" s="351"/>
      <c r="X555" s="351"/>
      <c r="Y555" s="351"/>
      <c r="Z555" s="351"/>
      <c r="AA555" s="351"/>
      <c r="AB555" s="351"/>
    </row>
    <row r="556" ht="14.25" customHeight="1">
      <c r="A556" s="255" t="s">
        <v>12651</v>
      </c>
      <c r="B556" s="108"/>
      <c r="C556" s="256" t="s">
        <v>10229</v>
      </c>
      <c r="D556" s="297" t="s">
        <v>271</v>
      </c>
      <c r="E556" s="446" t="s">
        <v>5</v>
      </c>
      <c r="F556" s="258" t="s">
        <v>12644</v>
      </c>
      <c r="G556" s="258" t="s">
        <v>12645</v>
      </c>
      <c r="H556" s="258" t="s">
        <v>12646</v>
      </c>
      <c r="I556" s="258" t="s">
        <v>36</v>
      </c>
      <c r="J556" s="351"/>
      <c r="K556" s="351"/>
      <c r="L556" s="351"/>
      <c r="M556" s="351"/>
      <c r="N556" s="351"/>
      <c r="O556" s="351"/>
      <c r="P556" s="351"/>
      <c r="Q556" s="351"/>
      <c r="R556" s="351"/>
      <c r="S556" s="351"/>
      <c r="T556" s="351"/>
      <c r="U556" s="351"/>
      <c r="V556" s="351"/>
      <c r="W556" s="351"/>
      <c r="X556" s="351"/>
      <c r="Y556" s="351"/>
      <c r="Z556" s="351"/>
      <c r="AA556" s="351"/>
      <c r="AB556" s="351"/>
    </row>
    <row r="557" ht="14.25" customHeight="1">
      <c r="A557" s="255" t="s">
        <v>12651</v>
      </c>
      <c r="B557" s="108"/>
      <c r="C557" s="256" t="s">
        <v>10231</v>
      </c>
      <c r="D557" s="297" t="s">
        <v>271</v>
      </c>
      <c r="E557" s="446" t="s">
        <v>5</v>
      </c>
      <c r="F557" s="258" t="s">
        <v>12647</v>
      </c>
      <c r="G557" s="258" t="s">
        <v>12648</v>
      </c>
      <c r="H557" s="258" t="s">
        <v>12646</v>
      </c>
      <c r="I557" s="258" t="s">
        <v>36</v>
      </c>
      <c r="J557" s="351"/>
      <c r="K557" s="351"/>
      <c r="L557" s="351"/>
      <c r="M557" s="351"/>
      <c r="N557" s="351"/>
      <c r="O557" s="351"/>
      <c r="P557" s="351"/>
      <c r="Q557" s="351"/>
      <c r="R557" s="351"/>
      <c r="S557" s="351"/>
      <c r="T557" s="351"/>
      <c r="U557" s="351"/>
      <c r="V557" s="351"/>
      <c r="W557" s="351"/>
      <c r="X557" s="351"/>
      <c r="Y557" s="351"/>
      <c r="Z557" s="351"/>
      <c r="AA557" s="351"/>
      <c r="AB557" s="351"/>
    </row>
    <row r="558" ht="14.25" customHeight="1">
      <c r="A558" s="255" t="s">
        <v>12651</v>
      </c>
      <c r="B558" s="109"/>
      <c r="C558" s="256" t="s">
        <v>10234</v>
      </c>
      <c r="D558" s="297" t="s">
        <v>271</v>
      </c>
      <c r="E558" s="446" t="s">
        <v>5</v>
      </c>
      <c r="F558" s="258" t="s">
        <v>12649</v>
      </c>
      <c r="G558" s="258" t="s">
        <v>12645</v>
      </c>
      <c r="H558" s="258" t="s">
        <v>12646</v>
      </c>
      <c r="I558" s="258" t="s">
        <v>36</v>
      </c>
      <c r="J558" s="351"/>
      <c r="K558" s="351"/>
      <c r="L558" s="351"/>
      <c r="M558" s="351"/>
      <c r="N558" s="351"/>
      <c r="O558" s="351"/>
      <c r="P558" s="351"/>
      <c r="Q558" s="351"/>
      <c r="R558" s="351"/>
      <c r="S558" s="351"/>
      <c r="T558" s="351"/>
      <c r="U558" s="351"/>
      <c r="V558" s="351"/>
      <c r="W558" s="351"/>
      <c r="X558" s="351"/>
      <c r="Y558" s="351"/>
      <c r="Z558" s="351"/>
      <c r="AA558" s="351"/>
      <c r="AB558" s="351"/>
    </row>
    <row r="559" ht="14.25" customHeight="1">
      <c r="A559" s="255" t="s">
        <v>12667</v>
      </c>
      <c r="B559" s="375" t="s">
        <v>12668</v>
      </c>
      <c r="C559" s="256" t="s">
        <v>10199</v>
      </c>
      <c r="D559" s="297" t="s">
        <v>271</v>
      </c>
      <c r="E559" s="446" t="s">
        <v>5</v>
      </c>
      <c r="F559" s="258" t="s">
        <v>12669</v>
      </c>
      <c r="G559" s="258" t="s">
        <v>12654</v>
      </c>
      <c r="H559" s="258" t="s">
        <v>12655</v>
      </c>
      <c r="I559" s="258" t="s">
        <v>36</v>
      </c>
      <c r="J559" s="351"/>
      <c r="K559" s="351"/>
      <c r="L559" s="351"/>
      <c r="M559" s="351"/>
      <c r="N559" s="351"/>
      <c r="O559" s="351"/>
      <c r="P559" s="351"/>
      <c r="Q559" s="351"/>
      <c r="R559" s="351"/>
      <c r="S559" s="351"/>
      <c r="T559" s="351"/>
      <c r="U559" s="351"/>
      <c r="V559" s="351"/>
      <c r="W559" s="351"/>
      <c r="X559" s="351"/>
      <c r="Y559" s="351"/>
      <c r="Z559" s="351"/>
      <c r="AA559" s="351"/>
      <c r="AB559" s="351"/>
    </row>
    <row r="560" ht="14.25" customHeight="1">
      <c r="A560" s="255" t="s">
        <v>12667</v>
      </c>
      <c r="B560" s="108"/>
      <c r="C560" s="256" t="s">
        <v>10203</v>
      </c>
      <c r="D560" s="297" t="s">
        <v>271</v>
      </c>
      <c r="E560" s="446" t="s">
        <v>5</v>
      </c>
      <c r="F560" s="258" t="s">
        <v>12549</v>
      </c>
      <c r="G560" s="258" t="s">
        <v>12470</v>
      </c>
      <c r="H560" s="258" t="s">
        <v>12550</v>
      </c>
      <c r="I560" s="258" t="s">
        <v>36</v>
      </c>
      <c r="J560" s="351"/>
      <c r="K560" s="351"/>
      <c r="L560" s="351"/>
      <c r="M560" s="351"/>
      <c r="N560" s="351"/>
      <c r="O560" s="351"/>
      <c r="P560" s="351"/>
      <c r="Q560" s="351"/>
      <c r="R560" s="351"/>
      <c r="S560" s="351"/>
      <c r="T560" s="351"/>
      <c r="U560" s="351"/>
      <c r="V560" s="351"/>
      <c r="W560" s="351"/>
      <c r="X560" s="351"/>
      <c r="Y560" s="351"/>
      <c r="Z560" s="351"/>
      <c r="AA560" s="351"/>
      <c r="AB560" s="351"/>
    </row>
    <row r="561" ht="14.25" customHeight="1">
      <c r="A561" s="255" t="s">
        <v>12667</v>
      </c>
      <c r="B561" s="108"/>
      <c r="C561" s="256" t="s">
        <v>10206</v>
      </c>
      <c r="D561" s="297" t="s">
        <v>271</v>
      </c>
      <c r="E561" s="446" t="s">
        <v>5</v>
      </c>
      <c r="F561" s="258" t="s">
        <v>12551</v>
      </c>
      <c r="G561" s="258" t="s">
        <v>12470</v>
      </c>
      <c r="H561" s="258" t="s">
        <v>12552</v>
      </c>
      <c r="I561" s="258" t="s">
        <v>36</v>
      </c>
      <c r="J561" s="351"/>
      <c r="K561" s="351"/>
      <c r="L561" s="351"/>
      <c r="M561" s="351"/>
      <c r="N561" s="351"/>
      <c r="O561" s="351"/>
      <c r="P561" s="351"/>
      <c r="Q561" s="351"/>
      <c r="R561" s="351"/>
      <c r="S561" s="351"/>
      <c r="T561" s="351"/>
      <c r="U561" s="351"/>
      <c r="V561" s="351"/>
      <c r="W561" s="351"/>
      <c r="X561" s="351"/>
      <c r="Y561" s="351"/>
      <c r="Z561" s="351"/>
      <c r="AA561" s="351"/>
      <c r="AB561" s="351"/>
    </row>
    <row r="562" ht="14.25" customHeight="1">
      <c r="A562" s="255" t="s">
        <v>12667</v>
      </c>
      <c r="B562" s="108"/>
      <c r="C562" s="256" t="s">
        <v>10209</v>
      </c>
      <c r="D562" s="297" t="s">
        <v>271</v>
      </c>
      <c r="E562" s="446" t="s">
        <v>5</v>
      </c>
      <c r="F562" s="258" t="s">
        <v>12553</v>
      </c>
      <c r="G562" s="258" t="s">
        <v>12421</v>
      </c>
      <c r="H562" s="258" t="s">
        <v>12550</v>
      </c>
      <c r="I562" s="258" t="s">
        <v>36</v>
      </c>
      <c r="J562" s="351"/>
      <c r="K562" s="351"/>
      <c r="L562" s="351"/>
      <c r="M562" s="351"/>
      <c r="N562" s="351"/>
      <c r="O562" s="351"/>
      <c r="P562" s="351"/>
      <c r="Q562" s="351"/>
      <c r="R562" s="351"/>
      <c r="S562" s="351"/>
      <c r="T562" s="351"/>
      <c r="U562" s="351"/>
      <c r="V562" s="351"/>
      <c r="W562" s="351"/>
      <c r="X562" s="351"/>
      <c r="Y562" s="351"/>
      <c r="Z562" s="351"/>
      <c r="AA562" s="351"/>
      <c r="AB562" s="351"/>
    </row>
    <row r="563" ht="14.25" customHeight="1">
      <c r="A563" s="255" t="s">
        <v>12667</v>
      </c>
      <c r="B563" s="108"/>
      <c r="C563" s="256" t="s">
        <v>10212</v>
      </c>
      <c r="D563" s="297" t="s">
        <v>271</v>
      </c>
      <c r="E563" s="446" t="s">
        <v>5</v>
      </c>
      <c r="F563" s="258" t="s">
        <v>12554</v>
      </c>
      <c r="G563" s="258" t="s">
        <v>12470</v>
      </c>
      <c r="H563" s="258" t="s">
        <v>12552</v>
      </c>
      <c r="I563" s="258" t="s">
        <v>36</v>
      </c>
      <c r="J563" s="351"/>
      <c r="K563" s="351"/>
      <c r="L563" s="351"/>
      <c r="M563" s="351"/>
      <c r="N563" s="351"/>
      <c r="O563" s="351"/>
      <c r="P563" s="351"/>
      <c r="Q563" s="351"/>
      <c r="R563" s="351"/>
      <c r="S563" s="351"/>
      <c r="T563" s="351"/>
      <c r="U563" s="351"/>
      <c r="V563" s="351"/>
      <c r="W563" s="351"/>
      <c r="X563" s="351"/>
      <c r="Y563" s="351"/>
      <c r="Z563" s="351"/>
      <c r="AA563" s="351"/>
      <c r="AB563" s="351"/>
    </row>
    <row r="564" ht="14.25" customHeight="1">
      <c r="A564" s="255" t="s">
        <v>12667</v>
      </c>
      <c r="B564" s="108"/>
      <c r="C564" s="256" t="s">
        <v>10214</v>
      </c>
      <c r="D564" s="297" t="s">
        <v>271</v>
      </c>
      <c r="E564" s="446" t="s">
        <v>5</v>
      </c>
      <c r="F564" s="258" t="s">
        <v>12555</v>
      </c>
      <c r="G564" s="258" t="s">
        <v>12421</v>
      </c>
      <c r="H564" s="258" t="s">
        <v>12550</v>
      </c>
      <c r="I564" s="258" t="s">
        <v>36</v>
      </c>
      <c r="J564" s="351"/>
      <c r="K564" s="351"/>
      <c r="L564" s="351"/>
      <c r="M564" s="351"/>
      <c r="N564" s="351"/>
      <c r="O564" s="351"/>
      <c r="P564" s="351"/>
      <c r="Q564" s="351"/>
      <c r="R564" s="351"/>
      <c r="S564" s="351"/>
      <c r="T564" s="351"/>
      <c r="U564" s="351"/>
      <c r="V564" s="351"/>
      <c r="W564" s="351"/>
      <c r="X564" s="351"/>
      <c r="Y564" s="351"/>
      <c r="Z564" s="351"/>
      <c r="AA564" s="351"/>
      <c r="AB564" s="351"/>
    </row>
    <row r="565" ht="14.25" customHeight="1">
      <c r="A565" s="255" t="s">
        <v>12667</v>
      </c>
      <c r="B565" s="108"/>
      <c r="C565" s="256" t="s">
        <v>10217</v>
      </c>
      <c r="D565" s="297" t="s">
        <v>271</v>
      </c>
      <c r="E565" s="446" t="s">
        <v>5</v>
      </c>
      <c r="F565" s="258" t="s">
        <v>12556</v>
      </c>
      <c r="G565" s="258" t="s">
        <v>12470</v>
      </c>
      <c r="H565" s="258" t="s">
        <v>12552</v>
      </c>
      <c r="I565" s="258" t="s">
        <v>36</v>
      </c>
      <c r="J565" s="351"/>
      <c r="K565" s="351"/>
      <c r="L565" s="351"/>
      <c r="M565" s="351"/>
      <c r="N565" s="351"/>
      <c r="O565" s="351"/>
      <c r="P565" s="351"/>
      <c r="Q565" s="351"/>
      <c r="R565" s="351"/>
      <c r="S565" s="351"/>
      <c r="T565" s="351"/>
      <c r="U565" s="351"/>
      <c r="V565" s="351"/>
      <c r="W565" s="351"/>
      <c r="X565" s="351"/>
      <c r="Y565" s="351"/>
      <c r="Z565" s="351"/>
      <c r="AA565" s="351"/>
      <c r="AB565" s="351"/>
    </row>
    <row r="566" ht="14.25" customHeight="1">
      <c r="A566" s="255" t="s">
        <v>12667</v>
      </c>
      <c r="B566" s="108"/>
      <c r="C566" s="256" t="s">
        <v>10220</v>
      </c>
      <c r="D566" s="297" t="s">
        <v>271</v>
      </c>
      <c r="E566" s="446" t="s">
        <v>5</v>
      </c>
      <c r="F566" s="258" t="s">
        <v>12557</v>
      </c>
      <c r="G566" s="258" t="s">
        <v>12421</v>
      </c>
      <c r="H566" s="258" t="s">
        <v>12550</v>
      </c>
      <c r="I566" s="258" t="s">
        <v>36</v>
      </c>
      <c r="J566" s="351"/>
      <c r="K566" s="351"/>
      <c r="L566" s="351"/>
      <c r="M566" s="351"/>
      <c r="N566" s="351"/>
      <c r="O566" s="351"/>
      <c r="P566" s="351"/>
      <c r="Q566" s="351"/>
      <c r="R566" s="351"/>
      <c r="S566" s="351"/>
      <c r="T566" s="351"/>
      <c r="U566" s="351"/>
      <c r="V566" s="351"/>
      <c r="W566" s="351"/>
      <c r="X566" s="351"/>
      <c r="Y566" s="351"/>
      <c r="Z566" s="351"/>
      <c r="AA566" s="351"/>
      <c r="AB566" s="351"/>
    </row>
    <row r="567" ht="14.25" customHeight="1">
      <c r="A567" s="255" t="s">
        <v>12667</v>
      </c>
      <c r="B567" s="108"/>
      <c r="C567" s="256" t="s">
        <v>10223</v>
      </c>
      <c r="D567" s="297" t="s">
        <v>271</v>
      </c>
      <c r="E567" s="446" t="s">
        <v>5</v>
      </c>
      <c r="F567" s="258" t="s">
        <v>12558</v>
      </c>
      <c r="G567" s="258" t="s">
        <v>12470</v>
      </c>
      <c r="H567" s="258" t="s">
        <v>12552</v>
      </c>
      <c r="I567" s="258" t="s">
        <v>36</v>
      </c>
      <c r="J567" s="351"/>
      <c r="K567" s="351"/>
      <c r="L567" s="351"/>
      <c r="M567" s="351"/>
      <c r="N567" s="351"/>
      <c r="O567" s="351"/>
      <c r="P567" s="351"/>
      <c r="Q567" s="351"/>
      <c r="R567" s="351"/>
      <c r="S567" s="351"/>
      <c r="T567" s="351"/>
      <c r="U567" s="351"/>
      <c r="V567" s="351"/>
      <c r="W567" s="351"/>
      <c r="X567" s="351"/>
      <c r="Y567" s="351"/>
      <c r="Z567" s="351"/>
      <c r="AA567" s="351"/>
      <c r="AB567" s="351"/>
    </row>
    <row r="568" ht="14.25" customHeight="1">
      <c r="A568" s="255" t="s">
        <v>12667</v>
      </c>
      <c r="B568" s="108"/>
      <c r="C568" s="256" t="s">
        <v>10225</v>
      </c>
      <c r="D568" s="297" t="s">
        <v>271</v>
      </c>
      <c r="E568" s="446" t="s">
        <v>5</v>
      </c>
      <c r="F568" s="258" t="s">
        <v>12559</v>
      </c>
      <c r="G568" s="258" t="s">
        <v>12421</v>
      </c>
      <c r="H568" s="258" t="s">
        <v>12550</v>
      </c>
      <c r="I568" s="258" t="s">
        <v>36</v>
      </c>
      <c r="J568" s="351"/>
      <c r="K568" s="351"/>
      <c r="L568" s="351"/>
      <c r="M568" s="351"/>
      <c r="N568" s="351"/>
      <c r="O568" s="351"/>
      <c r="P568" s="351"/>
      <c r="Q568" s="351"/>
      <c r="R568" s="351"/>
      <c r="S568" s="351"/>
      <c r="T568" s="351"/>
      <c r="U568" s="351"/>
      <c r="V568" s="351"/>
      <c r="W568" s="351"/>
      <c r="X568" s="351"/>
      <c r="Y568" s="351"/>
      <c r="Z568" s="351"/>
      <c r="AA568" s="351"/>
      <c r="AB568" s="351"/>
    </row>
    <row r="569" ht="14.25" customHeight="1">
      <c r="A569" s="255" t="s">
        <v>12667</v>
      </c>
      <c r="B569" s="108"/>
      <c r="C569" s="256" t="s">
        <v>10227</v>
      </c>
      <c r="D569" s="297" t="s">
        <v>271</v>
      </c>
      <c r="E569" s="446" t="s">
        <v>5</v>
      </c>
      <c r="F569" s="258" t="s">
        <v>12670</v>
      </c>
      <c r="G569" s="258" t="s">
        <v>12671</v>
      </c>
      <c r="H569" s="258" t="s">
        <v>12672</v>
      </c>
      <c r="I569" s="258" t="s">
        <v>36</v>
      </c>
      <c r="J569" s="351"/>
      <c r="K569" s="351"/>
      <c r="L569" s="351"/>
      <c r="M569" s="351"/>
      <c r="N569" s="351"/>
      <c r="O569" s="351"/>
      <c r="P569" s="351"/>
      <c r="Q569" s="351"/>
      <c r="R569" s="351"/>
      <c r="S569" s="351"/>
      <c r="T569" s="351"/>
      <c r="U569" s="351"/>
      <c r="V569" s="351"/>
      <c r="W569" s="351"/>
      <c r="X569" s="351"/>
      <c r="Y569" s="351"/>
      <c r="Z569" s="351"/>
      <c r="AA569" s="351"/>
      <c r="AB569" s="351"/>
    </row>
    <row r="570" ht="14.25" customHeight="1">
      <c r="A570" s="255" t="s">
        <v>12667</v>
      </c>
      <c r="B570" s="108"/>
      <c r="C570" s="256" t="s">
        <v>10229</v>
      </c>
      <c r="D570" s="297" t="s">
        <v>271</v>
      </c>
      <c r="E570" s="446" t="s">
        <v>5</v>
      </c>
      <c r="F570" s="258" t="s">
        <v>12673</v>
      </c>
      <c r="G570" s="258" t="s">
        <v>12674</v>
      </c>
      <c r="H570" s="258" t="s">
        <v>12675</v>
      </c>
      <c r="I570" s="258" t="s">
        <v>36</v>
      </c>
      <c r="J570" s="351"/>
      <c r="K570" s="351"/>
      <c r="L570" s="351"/>
      <c r="M570" s="351"/>
      <c r="N570" s="351"/>
      <c r="O570" s="351"/>
      <c r="P570" s="351"/>
      <c r="Q570" s="351"/>
      <c r="R570" s="351"/>
      <c r="S570" s="351"/>
      <c r="T570" s="351"/>
      <c r="U570" s="351"/>
      <c r="V570" s="351"/>
      <c r="W570" s="351"/>
      <c r="X570" s="351"/>
      <c r="Y570" s="351"/>
      <c r="Z570" s="351"/>
      <c r="AA570" s="351"/>
      <c r="AB570" s="351"/>
    </row>
    <row r="571" ht="14.25" customHeight="1">
      <c r="A571" s="255" t="s">
        <v>12667</v>
      </c>
      <c r="B571" s="108"/>
      <c r="C571" s="256" t="s">
        <v>10231</v>
      </c>
      <c r="D571" s="297" t="s">
        <v>271</v>
      </c>
      <c r="E571" s="446" t="s">
        <v>5</v>
      </c>
      <c r="F571" s="258" t="s">
        <v>12676</v>
      </c>
      <c r="G571" s="258" t="s">
        <v>12677</v>
      </c>
      <c r="H571" s="258" t="s">
        <v>12678</v>
      </c>
      <c r="I571" s="258" t="s">
        <v>36</v>
      </c>
      <c r="J571" s="351"/>
      <c r="K571" s="351"/>
      <c r="L571" s="351"/>
      <c r="M571" s="351"/>
      <c r="N571" s="351"/>
      <c r="O571" s="351"/>
      <c r="P571" s="351"/>
      <c r="Q571" s="351"/>
      <c r="R571" s="351"/>
      <c r="S571" s="351"/>
      <c r="T571" s="351"/>
      <c r="U571" s="351"/>
      <c r="V571" s="351"/>
      <c r="W571" s="351"/>
      <c r="X571" s="351"/>
      <c r="Y571" s="351"/>
      <c r="Z571" s="351"/>
      <c r="AA571" s="351"/>
      <c r="AB571" s="351"/>
    </row>
    <row r="572" ht="14.25" customHeight="1">
      <c r="A572" s="255" t="s">
        <v>12667</v>
      </c>
      <c r="B572" s="108"/>
      <c r="C572" s="256" t="s">
        <v>10234</v>
      </c>
      <c r="D572" s="297" t="s">
        <v>271</v>
      </c>
      <c r="E572" s="446" t="s">
        <v>5</v>
      </c>
      <c r="F572" s="258" t="s">
        <v>12679</v>
      </c>
      <c r="G572" s="258" t="s">
        <v>12680</v>
      </c>
      <c r="H572" s="258" t="s">
        <v>12681</v>
      </c>
      <c r="I572" s="258" t="s">
        <v>36</v>
      </c>
      <c r="J572" s="351"/>
      <c r="K572" s="351"/>
      <c r="L572" s="351"/>
      <c r="M572" s="351"/>
      <c r="N572" s="351"/>
      <c r="O572" s="351"/>
      <c r="P572" s="351"/>
      <c r="Q572" s="351"/>
      <c r="R572" s="351"/>
      <c r="S572" s="351"/>
      <c r="T572" s="351"/>
      <c r="U572" s="351"/>
      <c r="V572" s="351"/>
      <c r="W572" s="351"/>
      <c r="X572" s="351"/>
      <c r="Y572" s="351"/>
      <c r="Z572" s="351"/>
      <c r="AA572" s="351"/>
      <c r="AB572" s="351"/>
    </row>
    <row r="573" ht="14.25" customHeight="1">
      <c r="A573" s="255" t="s">
        <v>12667</v>
      </c>
      <c r="B573" s="108"/>
      <c r="C573" s="256" t="s">
        <v>10236</v>
      </c>
      <c r="D573" s="297" t="s">
        <v>271</v>
      </c>
      <c r="E573" s="446" t="s">
        <v>5</v>
      </c>
      <c r="F573" s="258" t="s">
        <v>12682</v>
      </c>
      <c r="G573" s="258" t="s">
        <v>12683</v>
      </c>
      <c r="H573" s="258" t="s">
        <v>12684</v>
      </c>
      <c r="I573" s="258" t="s">
        <v>36</v>
      </c>
      <c r="J573" s="351"/>
      <c r="K573" s="351"/>
      <c r="L573" s="351"/>
      <c r="M573" s="351"/>
      <c r="N573" s="351"/>
      <c r="O573" s="351"/>
      <c r="P573" s="351"/>
      <c r="Q573" s="351"/>
      <c r="R573" s="351"/>
      <c r="S573" s="351"/>
      <c r="T573" s="351"/>
      <c r="U573" s="351"/>
      <c r="V573" s="351"/>
      <c r="W573" s="351"/>
      <c r="X573" s="351"/>
      <c r="Y573" s="351"/>
      <c r="Z573" s="351"/>
      <c r="AA573" s="351"/>
      <c r="AB573" s="351"/>
    </row>
    <row r="574" ht="14.25" customHeight="1">
      <c r="A574" s="255" t="s">
        <v>12667</v>
      </c>
      <c r="B574" s="108"/>
      <c r="C574" s="256" t="s">
        <v>12259</v>
      </c>
      <c r="D574" s="297" t="s">
        <v>271</v>
      </c>
      <c r="E574" s="446" t="s">
        <v>5</v>
      </c>
      <c r="F574" s="258" t="s">
        <v>12685</v>
      </c>
      <c r="G574" s="264"/>
      <c r="H574" s="258" t="s">
        <v>12686</v>
      </c>
      <c r="I574" s="258" t="s">
        <v>36</v>
      </c>
      <c r="J574" s="351"/>
      <c r="K574" s="351"/>
      <c r="L574" s="351"/>
      <c r="M574" s="351"/>
      <c r="N574" s="351"/>
      <c r="O574" s="351"/>
      <c r="P574" s="351"/>
      <c r="Q574" s="351"/>
      <c r="R574" s="351"/>
      <c r="S574" s="351"/>
      <c r="T574" s="351"/>
      <c r="U574" s="351"/>
      <c r="V574" s="351"/>
      <c r="W574" s="351"/>
      <c r="X574" s="351"/>
      <c r="Y574" s="351"/>
      <c r="Z574" s="351"/>
      <c r="AA574" s="351"/>
      <c r="AB574" s="351"/>
    </row>
    <row r="575" ht="14.25" customHeight="1">
      <c r="A575" s="255" t="s">
        <v>12667</v>
      </c>
      <c r="B575" s="109"/>
      <c r="C575" s="256" t="s">
        <v>12263</v>
      </c>
      <c r="D575" s="297" t="s">
        <v>271</v>
      </c>
      <c r="E575" s="446" t="s">
        <v>5</v>
      </c>
      <c r="F575" s="258" t="s">
        <v>12687</v>
      </c>
      <c r="G575" s="258" t="s">
        <v>12688</v>
      </c>
      <c r="H575" s="258" t="s">
        <v>12689</v>
      </c>
      <c r="I575" s="258" t="s">
        <v>36</v>
      </c>
      <c r="J575" s="351"/>
      <c r="K575" s="351"/>
      <c r="L575" s="351"/>
      <c r="M575" s="351"/>
      <c r="N575" s="351"/>
      <c r="O575" s="351"/>
      <c r="P575" s="351"/>
      <c r="Q575" s="351"/>
      <c r="R575" s="351"/>
      <c r="S575" s="351"/>
      <c r="T575" s="351"/>
      <c r="U575" s="351"/>
      <c r="V575" s="351"/>
      <c r="W575" s="351"/>
      <c r="X575" s="351"/>
      <c r="Y575" s="351"/>
      <c r="Z575" s="351"/>
      <c r="AA575" s="351"/>
      <c r="AB575" s="351"/>
    </row>
    <row r="576" ht="14.25" customHeight="1">
      <c r="A576" s="255" t="s">
        <v>12690</v>
      </c>
      <c r="B576" s="375" t="s">
        <v>12691</v>
      </c>
      <c r="C576" s="256" t="s">
        <v>10199</v>
      </c>
      <c r="D576" s="297" t="s">
        <v>271</v>
      </c>
      <c r="E576" s="446" t="s">
        <v>5</v>
      </c>
      <c r="F576" s="258" t="s">
        <v>11877</v>
      </c>
      <c r="G576" s="258" t="s">
        <v>12692</v>
      </c>
      <c r="H576" s="258" t="s">
        <v>9293</v>
      </c>
      <c r="I576" s="258" t="s">
        <v>36</v>
      </c>
      <c r="J576" s="351"/>
      <c r="K576" s="351"/>
      <c r="L576" s="351"/>
      <c r="M576" s="351"/>
      <c r="N576" s="351"/>
      <c r="O576" s="351"/>
      <c r="P576" s="351"/>
      <c r="Q576" s="351"/>
      <c r="R576" s="351"/>
      <c r="S576" s="351"/>
      <c r="T576" s="351"/>
      <c r="U576" s="351"/>
      <c r="V576" s="351"/>
      <c r="W576" s="351"/>
      <c r="X576" s="351"/>
      <c r="Y576" s="351"/>
      <c r="Z576" s="351"/>
      <c r="AA576" s="351"/>
      <c r="AB576" s="351"/>
    </row>
    <row r="577" ht="14.25" customHeight="1">
      <c r="A577" s="255" t="s">
        <v>12690</v>
      </c>
      <c r="B577" s="108"/>
      <c r="C577" s="258" t="s">
        <v>10203</v>
      </c>
      <c r="D577" s="297" t="s">
        <v>271</v>
      </c>
      <c r="E577" s="446" t="s">
        <v>5</v>
      </c>
      <c r="F577" s="258" t="s">
        <v>11877</v>
      </c>
      <c r="G577" s="258" t="s">
        <v>12693</v>
      </c>
      <c r="H577" s="258" t="s">
        <v>9293</v>
      </c>
      <c r="I577" s="258" t="s">
        <v>36</v>
      </c>
      <c r="J577" s="351"/>
      <c r="K577" s="351"/>
      <c r="L577" s="351"/>
      <c r="M577" s="351"/>
      <c r="N577" s="351"/>
      <c r="O577" s="351"/>
      <c r="P577" s="351"/>
      <c r="Q577" s="351"/>
      <c r="R577" s="351"/>
      <c r="S577" s="351"/>
      <c r="T577" s="351"/>
      <c r="U577" s="351"/>
      <c r="V577" s="351"/>
      <c r="W577" s="351"/>
      <c r="X577" s="351"/>
      <c r="Y577" s="351"/>
      <c r="Z577" s="351"/>
      <c r="AA577" s="351"/>
      <c r="AB577" s="351"/>
    </row>
    <row r="578" ht="14.25" customHeight="1">
      <c r="A578" s="255" t="s">
        <v>12690</v>
      </c>
      <c r="B578" s="108"/>
      <c r="C578" s="258" t="s">
        <v>10206</v>
      </c>
      <c r="D578" s="297" t="s">
        <v>271</v>
      </c>
      <c r="E578" s="446" t="s">
        <v>5</v>
      </c>
      <c r="F578" s="258" t="s">
        <v>11682</v>
      </c>
      <c r="G578" s="258" t="s">
        <v>12694</v>
      </c>
      <c r="H578" s="258" t="s">
        <v>12695</v>
      </c>
      <c r="I578" s="258" t="s">
        <v>36</v>
      </c>
      <c r="J578" s="351"/>
      <c r="K578" s="351"/>
      <c r="L578" s="351"/>
      <c r="M578" s="351"/>
      <c r="N578" s="351"/>
      <c r="O578" s="351"/>
      <c r="P578" s="351"/>
      <c r="Q578" s="351"/>
      <c r="R578" s="351"/>
      <c r="S578" s="351"/>
      <c r="T578" s="351"/>
      <c r="U578" s="351"/>
      <c r="V578" s="351"/>
      <c r="W578" s="351"/>
      <c r="X578" s="351"/>
      <c r="Y578" s="351"/>
      <c r="Z578" s="351"/>
      <c r="AA578" s="351"/>
      <c r="AB578" s="351"/>
    </row>
    <row r="579" ht="14.25" customHeight="1">
      <c r="A579" s="255" t="s">
        <v>12690</v>
      </c>
      <c r="B579" s="108"/>
      <c r="C579" s="258" t="s">
        <v>10209</v>
      </c>
      <c r="D579" s="297" t="s">
        <v>271</v>
      </c>
      <c r="E579" s="446" t="s">
        <v>5</v>
      </c>
      <c r="F579" s="258" t="s">
        <v>12696</v>
      </c>
      <c r="G579" s="258" t="s">
        <v>12697</v>
      </c>
      <c r="H579" s="258" t="s">
        <v>12695</v>
      </c>
      <c r="I579" s="258" t="s">
        <v>36</v>
      </c>
      <c r="J579" s="351"/>
      <c r="K579" s="351"/>
      <c r="L579" s="351"/>
      <c r="M579" s="351"/>
      <c r="N579" s="351"/>
      <c r="O579" s="351"/>
      <c r="P579" s="351"/>
      <c r="Q579" s="351"/>
      <c r="R579" s="351"/>
      <c r="S579" s="351"/>
      <c r="T579" s="351"/>
      <c r="U579" s="351"/>
      <c r="V579" s="351"/>
      <c r="W579" s="351"/>
      <c r="X579" s="351"/>
      <c r="Y579" s="351"/>
      <c r="Z579" s="351"/>
      <c r="AA579" s="351"/>
      <c r="AB579" s="351"/>
    </row>
    <row r="580" ht="14.25" customHeight="1">
      <c r="A580" s="255" t="s">
        <v>12690</v>
      </c>
      <c r="B580" s="108"/>
      <c r="C580" s="258" t="s">
        <v>10212</v>
      </c>
      <c r="D580" s="297" t="s">
        <v>271</v>
      </c>
      <c r="E580" s="446" t="s">
        <v>5</v>
      </c>
      <c r="F580" s="258" t="s">
        <v>11689</v>
      </c>
      <c r="G580" s="258" t="s">
        <v>12698</v>
      </c>
      <c r="H580" s="258" t="s">
        <v>12695</v>
      </c>
      <c r="I580" s="258" t="s">
        <v>36</v>
      </c>
      <c r="J580" s="351"/>
      <c r="K580" s="351"/>
      <c r="L580" s="351"/>
      <c r="M580" s="351"/>
      <c r="N580" s="351"/>
      <c r="O580" s="351"/>
      <c r="P580" s="351"/>
      <c r="Q580" s="351"/>
      <c r="R580" s="351"/>
      <c r="S580" s="351"/>
      <c r="T580" s="351"/>
      <c r="U580" s="351"/>
      <c r="V580" s="351"/>
      <c r="W580" s="351"/>
      <c r="X580" s="351"/>
      <c r="Y580" s="351"/>
      <c r="Z580" s="351"/>
      <c r="AA580" s="351"/>
      <c r="AB580" s="351"/>
    </row>
    <row r="581" ht="14.25" customHeight="1">
      <c r="A581" s="255" t="s">
        <v>12690</v>
      </c>
      <c r="B581" s="108"/>
      <c r="C581" s="258" t="s">
        <v>10214</v>
      </c>
      <c r="D581" s="297" t="s">
        <v>271</v>
      </c>
      <c r="E581" s="446" t="s">
        <v>5</v>
      </c>
      <c r="F581" s="258" t="s">
        <v>12699</v>
      </c>
      <c r="G581" s="258" t="s">
        <v>12700</v>
      </c>
      <c r="H581" s="258" t="s">
        <v>12695</v>
      </c>
      <c r="I581" s="258" t="s">
        <v>36</v>
      </c>
      <c r="J581" s="351"/>
      <c r="K581" s="351"/>
      <c r="L581" s="351"/>
      <c r="M581" s="351"/>
      <c r="N581" s="351"/>
      <c r="O581" s="351"/>
      <c r="P581" s="351"/>
      <c r="Q581" s="351"/>
      <c r="R581" s="351"/>
      <c r="S581" s="351"/>
      <c r="T581" s="351"/>
      <c r="U581" s="351"/>
      <c r="V581" s="351"/>
      <c r="W581" s="351"/>
      <c r="X581" s="351"/>
      <c r="Y581" s="351"/>
      <c r="Z581" s="351"/>
      <c r="AA581" s="351"/>
      <c r="AB581" s="351"/>
    </row>
    <row r="582" ht="14.25" customHeight="1">
      <c r="A582" s="255" t="s">
        <v>12690</v>
      </c>
      <c r="B582" s="108"/>
      <c r="C582" s="258" t="s">
        <v>10217</v>
      </c>
      <c r="D582" s="297" t="s">
        <v>271</v>
      </c>
      <c r="E582" s="446" t="s">
        <v>5</v>
      </c>
      <c r="F582" s="258" t="s">
        <v>11695</v>
      </c>
      <c r="G582" s="258" t="s">
        <v>12701</v>
      </c>
      <c r="H582" s="258" t="s">
        <v>11697</v>
      </c>
      <c r="I582" s="258" t="s">
        <v>36</v>
      </c>
      <c r="J582" s="351"/>
      <c r="K582" s="351"/>
      <c r="L582" s="351"/>
      <c r="M582" s="351"/>
      <c r="N582" s="351"/>
      <c r="O582" s="351"/>
      <c r="P582" s="351"/>
      <c r="Q582" s="351"/>
      <c r="R582" s="351"/>
      <c r="S582" s="351"/>
      <c r="T582" s="351"/>
      <c r="U582" s="351"/>
      <c r="V582" s="351"/>
      <c r="W582" s="351"/>
      <c r="X582" s="351"/>
      <c r="Y582" s="351"/>
      <c r="Z582" s="351"/>
      <c r="AA582" s="351"/>
      <c r="AB582" s="351"/>
    </row>
    <row r="583" ht="14.25" customHeight="1">
      <c r="A583" s="255" t="s">
        <v>12690</v>
      </c>
      <c r="B583" s="108"/>
      <c r="C583" s="258" t="s">
        <v>10220</v>
      </c>
      <c r="D583" s="297" t="s">
        <v>271</v>
      </c>
      <c r="E583" s="446" t="s">
        <v>5</v>
      </c>
      <c r="F583" s="258" t="s">
        <v>11699</v>
      </c>
      <c r="G583" s="258" t="s">
        <v>12702</v>
      </c>
      <c r="H583" s="258" t="s">
        <v>12703</v>
      </c>
      <c r="I583" s="258" t="s">
        <v>36</v>
      </c>
      <c r="J583" s="351"/>
      <c r="K583" s="351"/>
      <c r="L583" s="351"/>
      <c r="M583" s="351"/>
      <c r="N583" s="351"/>
      <c r="O583" s="351"/>
      <c r="P583" s="351"/>
      <c r="Q583" s="351"/>
      <c r="R583" s="351"/>
      <c r="S583" s="351"/>
      <c r="T583" s="351"/>
      <c r="U583" s="351"/>
      <c r="V583" s="351"/>
      <c r="W583" s="351"/>
      <c r="X583" s="351"/>
      <c r="Y583" s="351"/>
      <c r="Z583" s="351"/>
      <c r="AA583" s="351"/>
      <c r="AB583" s="351"/>
    </row>
    <row r="584" ht="14.25" customHeight="1">
      <c r="A584" s="255" t="s">
        <v>12690</v>
      </c>
      <c r="B584" s="108"/>
      <c r="C584" s="258" t="s">
        <v>10223</v>
      </c>
      <c r="D584" s="297" t="s">
        <v>271</v>
      </c>
      <c r="E584" s="446" t="s">
        <v>5</v>
      </c>
      <c r="F584" s="258" t="s">
        <v>11703</v>
      </c>
      <c r="G584" s="258" t="s">
        <v>12704</v>
      </c>
      <c r="H584" s="258" t="s">
        <v>11705</v>
      </c>
      <c r="I584" s="258" t="s">
        <v>36</v>
      </c>
      <c r="J584" s="351"/>
      <c r="K584" s="351"/>
      <c r="L584" s="351"/>
      <c r="M584" s="351"/>
      <c r="N584" s="351"/>
      <c r="O584" s="351"/>
      <c r="P584" s="351"/>
      <c r="Q584" s="351"/>
      <c r="R584" s="351"/>
      <c r="S584" s="351"/>
      <c r="T584" s="351"/>
      <c r="U584" s="351"/>
      <c r="V584" s="351"/>
      <c r="W584" s="351"/>
      <c r="X584" s="351"/>
      <c r="Y584" s="351"/>
      <c r="Z584" s="351"/>
      <c r="AA584" s="351"/>
      <c r="AB584" s="351"/>
    </row>
    <row r="585" ht="14.25" customHeight="1">
      <c r="A585" s="255" t="s">
        <v>12690</v>
      </c>
      <c r="B585" s="108"/>
      <c r="C585" s="258" t="s">
        <v>10225</v>
      </c>
      <c r="D585" s="297" t="s">
        <v>271</v>
      </c>
      <c r="E585" s="446" t="s">
        <v>5</v>
      </c>
      <c r="F585" s="258" t="s">
        <v>11707</v>
      </c>
      <c r="G585" s="258" t="s">
        <v>12705</v>
      </c>
      <c r="H585" s="258" t="s">
        <v>11709</v>
      </c>
      <c r="I585" s="258" t="s">
        <v>36</v>
      </c>
      <c r="J585" s="351"/>
      <c r="K585" s="351"/>
      <c r="L585" s="351"/>
      <c r="M585" s="351"/>
      <c r="N585" s="351"/>
      <c r="O585" s="351"/>
      <c r="P585" s="351"/>
      <c r="Q585" s="351"/>
      <c r="R585" s="351"/>
      <c r="S585" s="351"/>
      <c r="T585" s="351"/>
      <c r="U585" s="351"/>
      <c r="V585" s="351"/>
      <c r="W585" s="351"/>
      <c r="X585" s="351"/>
      <c r="Y585" s="351"/>
      <c r="Z585" s="351"/>
      <c r="AA585" s="351"/>
      <c r="AB585" s="351"/>
    </row>
    <row r="586" ht="14.25" customHeight="1">
      <c r="A586" s="255" t="s">
        <v>12690</v>
      </c>
      <c r="B586" s="108"/>
      <c r="C586" s="258" t="s">
        <v>10227</v>
      </c>
      <c r="D586" s="297" t="s">
        <v>271</v>
      </c>
      <c r="E586" s="446" t="s">
        <v>5</v>
      </c>
      <c r="F586" s="258" t="s">
        <v>11711</v>
      </c>
      <c r="G586" s="258" t="s">
        <v>12706</v>
      </c>
      <c r="H586" s="258" t="s">
        <v>11713</v>
      </c>
      <c r="I586" s="258" t="s">
        <v>36</v>
      </c>
      <c r="J586" s="351"/>
      <c r="K586" s="351"/>
      <c r="L586" s="351"/>
      <c r="M586" s="351"/>
      <c r="N586" s="351"/>
      <c r="O586" s="351"/>
      <c r="P586" s="351"/>
      <c r="Q586" s="351"/>
      <c r="R586" s="351"/>
      <c r="S586" s="351"/>
      <c r="T586" s="351"/>
      <c r="U586" s="351"/>
      <c r="V586" s="351"/>
      <c r="W586" s="351"/>
      <c r="X586" s="351"/>
      <c r="Y586" s="351"/>
      <c r="Z586" s="351"/>
      <c r="AA586" s="351"/>
      <c r="AB586" s="351"/>
    </row>
    <row r="587" ht="14.25" customHeight="1">
      <c r="A587" s="255" t="s">
        <v>12690</v>
      </c>
      <c r="B587" s="108"/>
      <c r="C587" s="258" t="s">
        <v>10229</v>
      </c>
      <c r="D587" s="297" t="s">
        <v>271</v>
      </c>
      <c r="E587" s="446" t="s">
        <v>5</v>
      </c>
      <c r="F587" s="258" t="s">
        <v>11715</v>
      </c>
      <c r="G587" s="258" t="s">
        <v>12707</v>
      </c>
      <c r="H587" s="258" t="s">
        <v>11705</v>
      </c>
      <c r="I587" s="258" t="s">
        <v>36</v>
      </c>
      <c r="J587" s="351"/>
      <c r="K587" s="351"/>
      <c r="L587" s="351"/>
      <c r="M587" s="351"/>
      <c r="N587" s="351"/>
      <c r="O587" s="351"/>
      <c r="P587" s="351"/>
      <c r="Q587" s="351"/>
      <c r="R587" s="351"/>
      <c r="S587" s="351"/>
      <c r="T587" s="351"/>
      <c r="U587" s="351"/>
      <c r="V587" s="351"/>
      <c r="W587" s="351"/>
      <c r="X587" s="351"/>
      <c r="Y587" s="351"/>
      <c r="Z587" s="351"/>
      <c r="AA587" s="351"/>
      <c r="AB587" s="351"/>
    </row>
    <row r="588" ht="14.25" customHeight="1">
      <c r="A588" s="255" t="s">
        <v>12690</v>
      </c>
      <c r="B588" s="108"/>
      <c r="C588" s="258" t="s">
        <v>10231</v>
      </c>
      <c r="D588" s="297" t="s">
        <v>271</v>
      </c>
      <c r="E588" s="446" t="s">
        <v>5</v>
      </c>
      <c r="F588" s="258" t="s">
        <v>12708</v>
      </c>
      <c r="G588" s="447"/>
      <c r="H588" s="258" t="s">
        <v>12110</v>
      </c>
      <c r="I588" s="258" t="s">
        <v>36</v>
      </c>
      <c r="J588" s="351"/>
      <c r="K588" s="351"/>
      <c r="L588" s="351"/>
      <c r="M588" s="351"/>
      <c r="N588" s="351"/>
      <c r="O588" s="351"/>
      <c r="P588" s="351"/>
      <c r="Q588" s="351"/>
      <c r="R588" s="351"/>
      <c r="S588" s="351"/>
      <c r="T588" s="351"/>
      <c r="U588" s="351"/>
      <c r="V588" s="351"/>
      <c r="W588" s="351"/>
      <c r="X588" s="351"/>
      <c r="Y588" s="351"/>
      <c r="Z588" s="351"/>
      <c r="AA588" s="351"/>
      <c r="AB588" s="351"/>
    </row>
    <row r="589" ht="14.25" customHeight="1">
      <c r="A589" s="255" t="s">
        <v>12690</v>
      </c>
      <c r="B589" s="109"/>
      <c r="C589" s="258" t="s">
        <v>10234</v>
      </c>
      <c r="D589" s="297" t="s">
        <v>271</v>
      </c>
      <c r="E589" s="446" t="s">
        <v>5</v>
      </c>
      <c r="F589" s="258" t="s">
        <v>12709</v>
      </c>
      <c r="G589" s="447"/>
      <c r="H589" s="258" t="s">
        <v>12113</v>
      </c>
      <c r="I589" s="258" t="s">
        <v>36</v>
      </c>
      <c r="J589" s="351"/>
      <c r="K589" s="351"/>
      <c r="L589" s="351"/>
      <c r="M589" s="351"/>
      <c r="N589" s="351"/>
      <c r="O589" s="351"/>
      <c r="P589" s="351"/>
      <c r="Q589" s="351"/>
      <c r="R589" s="351"/>
      <c r="S589" s="351"/>
      <c r="T589" s="351"/>
      <c r="U589" s="351"/>
      <c r="V589" s="351"/>
      <c r="W589" s="351"/>
      <c r="X589" s="351"/>
      <c r="Y589" s="351"/>
      <c r="Z589" s="351"/>
      <c r="AA589" s="351"/>
      <c r="AB589" s="351"/>
    </row>
    <row r="590" ht="14.25" customHeight="1">
      <c r="A590" s="255" t="s">
        <v>12710</v>
      </c>
      <c r="B590" s="375" t="s">
        <v>12711</v>
      </c>
      <c r="C590" s="256" t="s">
        <v>10199</v>
      </c>
      <c r="D590" s="297" t="s">
        <v>271</v>
      </c>
      <c r="E590" s="446" t="s">
        <v>5</v>
      </c>
      <c r="F590" s="258" t="s">
        <v>12712</v>
      </c>
      <c r="G590" s="258" t="s">
        <v>12713</v>
      </c>
      <c r="H590" s="258" t="s">
        <v>12714</v>
      </c>
      <c r="I590" s="258" t="s">
        <v>36</v>
      </c>
      <c r="J590" s="351"/>
      <c r="K590" s="351"/>
      <c r="L590" s="351"/>
      <c r="M590" s="351"/>
      <c r="N590" s="351"/>
      <c r="O590" s="351"/>
      <c r="P590" s="351"/>
      <c r="Q590" s="351"/>
      <c r="R590" s="351"/>
      <c r="S590" s="351"/>
      <c r="T590" s="351"/>
      <c r="U590" s="351"/>
      <c r="V590" s="351"/>
      <c r="W590" s="351"/>
      <c r="X590" s="351"/>
      <c r="Y590" s="351"/>
      <c r="Z590" s="351"/>
      <c r="AA590" s="351"/>
      <c r="AB590" s="351"/>
    </row>
    <row r="591">
      <c r="A591" s="255" t="s">
        <v>12710</v>
      </c>
      <c r="B591" s="108"/>
      <c r="C591" s="256" t="s">
        <v>10203</v>
      </c>
      <c r="D591" s="297" t="s">
        <v>271</v>
      </c>
      <c r="E591" s="446" t="s">
        <v>5</v>
      </c>
      <c r="F591" s="258" t="s">
        <v>12715</v>
      </c>
      <c r="G591" s="258" t="s">
        <v>12713</v>
      </c>
      <c r="H591" s="258" t="s">
        <v>12716</v>
      </c>
      <c r="I591" s="258" t="s">
        <v>36</v>
      </c>
      <c r="J591" s="99"/>
      <c r="K591" s="99"/>
      <c r="L591" s="99"/>
      <c r="M591" s="99"/>
      <c r="N591" s="99"/>
      <c r="O591" s="99"/>
      <c r="P591" s="99"/>
      <c r="Q591" s="99"/>
      <c r="R591" s="99"/>
      <c r="S591" s="99"/>
      <c r="T591" s="99"/>
      <c r="U591" s="99"/>
      <c r="V591" s="99"/>
      <c r="W591" s="99"/>
      <c r="X591" s="99"/>
      <c r="Y591" s="99"/>
      <c r="Z591" s="99"/>
      <c r="AA591" s="99"/>
      <c r="AB591" s="99"/>
    </row>
    <row r="592">
      <c r="A592" s="255" t="s">
        <v>12710</v>
      </c>
      <c r="B592" s="108"/>
      <c r="C592" s="256" t="s">
        <v>10206</v>
      </c>
      <c r="D592" s="297" t="s">
        <v>271</v>
      </c>
      <c r="E592" s="446" t="s">
        <v>5</v>
      </c>
      <c r="F592" s="258" t="s">
        <v>12717</v>
      </c>
      <c r="G592" s="258" t="s">
        <v>12713</v>
      </c>
      <c r="H592" s="258" t="s">
        <v>12718</v>
      </c>
      <c r="I592" s="258" t="s">
        <v>36</v>
      </c>
      <c r="J592" s="99"/>
      <c r="K592" s="99"/>
      <c r="L592" s="99"/>
      <c r="M592" s="99"/>
      <c r="N592" s="99"/>
      <c r="O592" s="99"/>
      <c r="P592" s="99"/>
      <c r="Q592" s="99"/>
      <c r="R592" s="99"/>
      <c r="S592" s="99"/>
      <c r="T592" s="99"/>
      <c r="U592" s="99"/>
      <c r="V592" s="99"/>
      <c r="W592" s="99"/>
      <c r="X592" s="99"/>
      <c r="Y592" s="99"/>
      <c r="Z592" s="99"/>
      <c r="AA592" s="99"/>
      <c r="AB592" s="99"/>
    </row>
    <row r="593">
      <c r="A593" s="255" t="s">
        <v>12710</v>
      </c>
      <c r="B593" s="108"/>
      <c r="C593" s="256" t="s">
        <v>10209</v>
      </c>
      <c r="D593" s="297" t="s">
        <v>271</v>
      </c>
      <c r="E593" s="446" t="s">
        <v>5</v>
      </c>
      <c r="F593" s="258" t="s">
        <v>12719</v>
      </c>
      <c r="G593" s="258" t="s">
        <v>12720</v>
      </c>
      <c r="H593" s="258" t="s">
        <v>12721</v>
      </c>
      <c r="I593" s="258" t="s">
        <v>36</v>
      </c>
      <c r="J593" s="99"/>
      <c r="K593" s="99"/>
      <c r="L593" s="99"/>
      <c r="M593" s="99"/>
      <c r="N593" s="99"/>
      <c r="O593" s="99"/>
      <c r="P593" s="99"/>
      <c r="Q593" s="99"/>
      <c r="R593" s="99"/>
      <c r="S593" s="99"/>
      <c r="T593" s="99"/>
      <c r="U593" s="99"/>
      <c r="V593" s="99"/>
      <c r="W593" s="99"/>
      <c r="X593" s="99"/>
      <c r="Y593" s="99"/>
      <c r="Z593" s="99"/>
      <c r="AA593" s="99"/>
      <c r="AB593" s="99"/>
    </row>
    <row r="594">
      <c r="A594" s="255" t="s">
        <v>12710</v>
      </c>
      <c r="B594" s="108"/>
      <c r="C594" s="256" t="s">
        <v>10212</v>
      </c>
      <c r="D594" s="297" t="s">
        <v>271</v>
      </c>
      <c r="E594" s="446" t="s">
        <v>5</v>
      </c>
      <c r="F594" s="258" t="s">
        <v>12722</v>
      </c>
      <c r="G594" s="258" t="s">
        <v>12720</v>
      </c>
      <c r="H594" s="258" t="s">
        <v>12723</v>
      </c>
      <c r="I594" s="258" t="s">
        <v>36</v>
      </c>
      <c r="J594" s="99"/>
      <c r="K594" s="99"/>
      <c r="L594" s="99"/>
      <c r="M594" s="99"/>
      <c r="N594" s="99"/>
      <c r="O594" s="99"/>
      <c r="P594" s="99"/>
      <c r="Q594" s="99"/>
      <c r="R594" s="99"/>
      <c r="S594" s="99"/>
      <c r="T594" s="99"/>
      <c r="U594" s="99"/>
      <c r="V594" s="99"/>
      <c r="W594" s="99"/>
      <c r="X594" s="99"/>
      <c r="Y594" s="99"/>
      <c r="Z594" s="99"/>
      <c r="AA594" s="99"/>
      <c r="AB594" s="99"/>
    </row>
    <row r="595">
      <c r="A595" s="255" t="s">
        <v>12710</v>
      </c>
      <c r="B595" s="108"/>
      <c r="C595" s="256" t="s">
        <v>10214</v>
      </c>
      <c r="D595" s="297" t="s">
        <v>271</v>
      </c>
      <c r="E595" s="446" t="s">
        <v>5</v>
      </c>
      <c r="F595" s="258" t="s">
        <v>12724</v>
      </c>
      <c r="G595" s="258" t="s">
        <v>12725</v>
      </c>
      <c r="H595" s="258" t="s">
        <v>12726</v>
      </c>
      <c r="I595" s="258" t="s">
        <v>36</v>
      </c>
      <c r="J595" s="99"/>
      <c r="K595" s="99"/>
      <c r="L595" s="99"/>
      <c r="M595" s="99"/>
      <c r="N595" s="99"/>
      <c r="O595" s="99"/>
      <c r="P595" s="99"/>
      <c r="Q595" s="99"/>
      <c r="R595" s="99"/>
      <c r="S595" s="99"/>
      <c r="T595" s="99"/>
      <c r="U595" s="99"/>
      <c r="V595" s="99"/>
      <c r="W595" s="99"/>
      <c r="X595" s="99"/>
      <c r="Y595" s="99"/>
      <c r="Z595" s="99"/>
      <c r="AA595" s="99"/>
      <c r="AB595" s="99"/>
    </row>
    <row r="596">
      <c r="A596" s="255" t="s">
        <v>12710</v>
      </c>
      <c r="B596" s="108"/>
      <c r="C596" s="256" t="s">
        <v>10217</v>
      </c>
      <c r="D596" s="297" t="s">
        <v>271</v>
      </c>
      <c r="E596" s="446" t="s">
        <v>5</v>
      </c>
      <c r="F596" s="258" t="s">
        <v>12727</v>
      </c>
      <c r="G596" s="258" t="s">
        <v>12713</v>
      </c>
      <c r="H596" s="258" t="s">
        <v>12728</v>
      </c>
      <c r="I596" s="258" t="s">
        <v>36</v>
      </c>
      <c r="J596" s="99"/>
      <c r="K596" s="99"/>
      <c r="L596" s="99"/>
      <c r="M596" s="99"/>
      <c r="N596" s="99"/>
      <c r="O596" s="99"/>
      <c r="P596" s="99"/>
      <c r="Q596" s="99"/>
      <c r="R596" s="99"/>
      <c r="S596" s="99"/>
      <c r="T596" s="99"/>
      <c r="U596" s="99"/>
      <c r="V596" s="99"/>
      <c r="W596" s="99"/>
      <c r="X596" s="99"/>
      <c r="Y596" s="99"/>
      <c r="Z596" s="99"/>
      <c r="AA596" s="99"/>
      <c r="AB596" s="99"/>
    </row>
    <row r="597">
      <c r="A597" s="255" t="s">
        <v>12710</v>
      </c>
      <c r="B597" s="109"/>
      <c r="C597" s="256" t="s">
        <v>10220</v>
      </c>
      <c r="D597" s="297" t="s">
        <v>271</v>
      </c>
      <c r="E597" s="446" t="s">
        <v>5</v>
      </c>
      <c r="F597" s="258" t="s">
        <v>12729</v>
      </c>
      <c r="G597" s="258" t="s">
        <v>12713</v>
      </c>
      <c r="H597" s="258" t="s">
        <v>12730</v>
      </c>
      <c r="I597" s="258" t="s">
        <v>36</v>
      </c>
      <c r="J597" s="99"/>
      <c r="K597" s="99"/>
      <c r="L597" s="99"/>
      <c r="M597" s="99"/>
      <c r="N597" s="99"/>
      <c r="O597" s="99"/>
      <c r="P597" s="99"/>
      <c r="Q597" s="99"/>
      <c r="R597" s="99"/>
      <c r="S597" s="99"/>
      <c r="T597" s="99"/>
      <c r="U597" s="99"/>
      <c r="V597" s="99"/>
      <c r="W597" s="99"/>
      <c r="X597" s="99"/>
      <c r="Y597" s="99"/>
      <c r="Z597" s="99"/>
      <c r="AA597" s="99"/>
      <c r="AB597" s="99"/>
    </row>
    <row r="598">
      <c r="A598" s="255" t="s">
        <v>12731</v>
      </c>
      <c r="B598" s="375" t="s">
        <v>12732</v>
      </c>
      <c r="C598" s="256" t="s">
        <v>10199</v>
      </c>
      <c r="D598" s="297" t="s">
        <v>271</v>
      </c>
      <c r="E598" s="446" t="s">
        <v>5</v>
      </c>
      <c r="F598" s="258" t="s">
        <v>12712</v>
      </c>
      <c r="G598" s="258" t="s">
        <v>12713</v>
      </c>
      <c r="H598" s="258" t="s">
        <v>12714</v>
      </c>
      <c r="I598" s="258" t="s">
        <v>36</v>
      </c>
      <c r="J598" s="99"/>
      <c r="K598" s="99"/>
      <c r="L598" s="99"/>
      <c r="M598" s="99"/>
      <c r="N598" s="99"/>
      <c r="O598" s="99"/>
      <c r="P598" s="99"/>
      <c r="Q598" s="99"/>
      <c r="R598" s="99"/>
      <c r="S598" s="99"/>
      <c r="T598" s="99"/>
      <c r="U598" s="99"/>
      <c r="V598" s="99"/>
      <c r="W598" s="99"/>
      <c r="X598" s="99"/>
      <c r="Y598" s="99"/>
      <c r="Z598" s="99"/>
      <c r="AA598" s="99"/>
      <c r="AB598" s="99"/>
    </row>
    <row r="599">
      <c r="A599" s="255" t="s">
        <v>12731</v>
      </c>
      <c r="B599" s="108"/>
      <c r="C599" s="256" t="s">
        <v>10203</v>
      </c>
      <c r="D599" s="297" t="s">
        <v>271</v>
      </c>
      <c r="E599" s="446" t="s">
        <v>5</v>
      </c>
      <c r="F599" s="258" t="s">
        <v>12715</v>
      </c>
      <c r="G599" s="258" t="s">
        <v>12713</v>
      </c>
      <c r="H599" s="258" t="s">
        <v>12716</v>
      </c>
      <c r="I599" s="258" t="s">
        <v>36</v>
      </c>
      <c r="J599" s="99"/>
      <c r="K599" s="99"/>
      <c r="L599" s="99"/>
      <c r="M599" s="99"/>
      <c r="N599" s="99"/>
      <c r="O599" s="99"/>
      <c r="P599" s="99"/>
      <c r="Q599" s="99"/>
      <c r="R599" s="99"/>
      <c r="S599" s="99"/>
      <c r="T599" s="99"/>
      <c r="U599" s="99"/>
      <c r="V599" s="99"/>
      <c r="W599" s="99"/>
      <c r="X599" s="99"/>
      <c r="Y599" s="99"/>
      <c r="Z599" s="99"/>
      <c r="AA599" s="99"/>
      <c r="AB599" s="99"/>
    </row>
    <row r="600">
      <c r="A600" s="255" t="s">
        <v>12731</v>
      </c>
      <c r="B600" s="108"/>
      <c r="C600" s="256" t="s">
        <v>10206</v>
      </c>
      <c r="D600" s="297" t="s">
        <v>271</v>
      </c>
      <c r="E600" s="446" t="s">
        <v>5</v>
      </c>
      <c r="F600" s="258" t="s">
        <v>12717</v>
      </c>
      <c r="G600" s="258" t="s">
        <v>12713</v>
      </c>
      <c r="H600" s="258" t="s">
        <v>12718</v>
      </c>
      <c r="I600" s="258" t="s">
        <v>36</v>
      </c>
      <c r="J600" s="99"/>
      <c r="K600" s="99"/>
      <c r="L600" s="99"/>
      <c r="M600" s="99"/>
      <c r="N600" s="99"/>
      <c r="O600" s="99"/>
      <c r="P600" s="99"/>
      <c r="Q600" s="99"/>
      <c r="R600" s="99"/>
      <c r="S600" s="99"/>
      <c r="T600" s="99"/>
      <c r="U600" s="99"/>
      <c r="V600" s="99"/>
      <c r="W600" s="99"/>
      <c r="X600" s="99"/>
      <c r="Y600" s="99"/>
      <c r="Z600" s="99"/>
      <c r="AA600" s="99"/>
      <c r="AB600" s="99"/>
    </row>
    <row r="601">
      <c r="A601" s="255" t="s">
        <v>12731</v>
      </c>
      <c r="B601" s="108"/>
      <c r="C601" s="256" t="s">
        <v>10209</v>
      </c>
      <c r="D601" s="297" t="s">
        <v>271</v>
      </c>
      <c r="E601" s="446" t="s">
        <v>5</v>
      </c>
      <c r="F601" s="258" t="s">
        <v>12719</v>
      </c>
      <c r="G601" s="258" t="s">
        <v>12720</v>
      </c>
      <c r="H601" s="258" t="s">
        <v>12721</v>
      </c>
      <c r="I601" s="258" t="s">
        <v>36</v>
      </c>
      <c r="J601" s="99"/>
      <c r="K601" s="99"/>
      <c r="L601" s="99"/>
      <c r="M601" s="99"/>
      <c r="N601" s="99"/>
      <c r="O601" s="99"/>
      <c r="P601" s="99"/>
      <c r="Q601" s="99"/>
      <c r="R601" s="99"/>
      <c r="S601" s="99"/>
      <c r="T601" s="99"/>
      <c r="U601" s="99"/>
      <c r="V601" s="99"/>
      <c r="W601" s="99"/>
      <c r="X601" s="99"/>
      <c r="Y601" s="99"/>
      <c r="Z601" s="99"/>
      <c r="AA601" s="99"/>
      <c r="AB601" s="99"/>
    </row>
    <row r="602">
      <c r="A602" s="255" t="s">
        <v>12731</v>
      </c>
      <c r="B602" s="108"/>
      <c r="C602" s="256" t="s">
        <v>10212</v>
      </c>
      <c r="D602" s="297" t="s">
        <v>271</v>
      </c>
      <c r="E602" s="446" t="s">
        <v>5</v>
      </c>
      <c r="F602" s="258" t="s">
        <v>12722</v>
      </c>
      <c r="G602" s="258" t="s">
        <v>12720</v>
      </c>
      <c r="H602" s="258" t="s">
        <v>12723</v>
      </c>
      <c r="I602" s="258" t="s">
        <v>36</v>
      </c>
      <c r="J602" s="99"/>
      <c r="K602" s="99"/>
      <c r="L602" s="99"/>
      <c r="M602" s="99"/>
      <c r="N602" s="99"/>
      <c r="O602" s="99"/>
      <c r="P602" s="99"/>
      <c r="Q602" s="99"/>
      <c r="R602" s="99"/>
      <c r="S602" s="99"/>
      <c r="T602" s="99"/>
      <c r="U602" s="99"/>
      <c r="V602" s="99"/>
      <c r="W602" s="99"/>
      <c r="X602" s="99"/>
      <c r="Y602" s="99"/>
      <c r="Z602" s="99"/>
      <c r="AA602" s="99"/>
      <c r="AB602" s="99"/>
    </row>
    <row r="603">
      <c r="A603" s="255" t="s">
        <v>12731</v>
      </c>
      <c r="B603" s="108"/>
      <c r="C603" s="256" t="s">
        <v>10214</v>
      </c>
      <c r="D603" s="297" t="s">
        <v>271</v>
      </c>
      <c r="E603" s="446" t="s">
        <v>5</v>
      </c>
      <c r="F603" s="258" t="s">
        <v>12724</v>
      </c>
      <c r="G603" s="258" t="s">
        <v>12725</v>
      </c>
      <c r="H603" s="258" t="s">
        <v>12726</v>
      </c>
      <c r="I603" s="258" t="s">
        <v>36</v>
      </c>
      <c r="J603" s="99"/>
      <c r="K603" s="99"/>
      <c r="L603" s="99"/>
      <c r="M603" s="99"/>
      <c r="N603" s="99"/>
      <c r="O603" s="99"/>
      <c r="P603" s="99"/>
      <c r="Q603" s="99"/>
      <c r="R603" s="99"/>
      <c r="S603" s="99"/>
      <c r="T603" s="99"/>
      <c r="U603" s="99"/>
      <c r="V603" s="99"/>
      <c r="W603" s="99"/>
      <c r="X603" s="99"/>
      <c r="Y603" s="99"/>
      <c r="Z603" s="99"/>
      <c r="AA603" s="99"/>
      <c r="AB603" s="99"/>
    </row>
    <row r="604">
      <c r="A604" s="255" t="s">
        <v>12731</v>
      </c>
      <c r="B604" s="108"/>
      <c r="C604" s="256" t="s">
        <v>10217</v>
      </c>
      <c r="D604" s="297" t="s">
        <v>271</v>
      </c>
      <c r="E604" s="446" t="s">
        <v>5</v>
      </c>
      <c r="F604" s="258" t="s">
        <v>12727</v>
      </c>
      <c r="G604" s="258" t="s">
        <v>12713</v>
      </c>
      <c r="H604" s="258" t="s">
        <v>12728</v>
      </c>
      <c r="I604" s="258" t="s">
        <v>36</v>
      </c>
      <c r="J604" s="99"/>
      <c r="K604" s="99"/>
      <c r="L604" s="99"/>
      <c r="M604" s="99"/>
      <c r="N604" s="99"/>
      <c r="O604" s="99"/>
      <c r="P604" s="99"/>
      <c r="Q604" s="99"/>
      <c r="R604" s="99"/>
      <c r="S604" s="99"/>
      <c r="T604" s="99"/>
      <c r="U604" s="99"/>
      <c r="V604" s="99"/>
      <c r="W604" s="99"/>
      <c r="X604" s="99"/>
      <c r="Y604" s="99"/>
      <c r="Z604" s="99"/>
      <c r="AA604" s="99"/>
      <c r="AB604" s="99"/>
    </row>
    <row r="605">
      <c r="A605" s="255" t="s">
        <v>12731</v>
      </c>
      <c r="B605" s="109"/>
      <c r="C605" s="256" t="s">
        <v>10220</v>
      </c>
      <c r="D605" s="297" t="s">
        <v>271</v>
      </c>
      <c r="E605" s="446" t="s">
        <v>5</v>
      </c>
      <c r="F605" s="258" t="s">
        <v>12729</v>
      </c>
      <c r="G605" s="258" t="s">
        <v>12713</v>
      </c>
      <c r="H605" s="258" t="s">
        <v>12730</v>
      </c>
      <c r="I605" s="258" t="s">
        <v>36</v>
      </c>
      <c r="J605" s="99"/>
      <c r="K605" s="99"/>
      <c r="L605" s="99"/>
      <c r="M605" s="99"/>
      <c r="N605" s="99"/>
      <c r="O605" s="99"/>
      <c r="P605" s="99"/>
      <c r="Q605" s="99"/>
      <c r="R605" s="99"/>
      <c r="S605" s="99"/>
      <c r="T605" s="99"/>
      <c r="U605" s="99"/>
      <c r="V605" s="99"/>
      <c r="W605" s="99"/>
      <c r="X605" s="99"/>
      <c r="Y605" s="99"/>
      <c r="Z605" s="99"/>
      <c r="AA605" s="99"/>
      <c r="AB605" s="99"/>
    </row>
    <row r="606" ht="14.25" customHeight="1">
      <c r="A606" s="255" t="s">
        <v>12733</v>
      </c>
      <c r="B606" s="402" t="s">
        <v>12734</v>
      </c>
      <c r="C606" s="256" t="s">
        <v>10199</v>
      </c>
      <c r="D606" s="297" t="s">
        <v>271</v>
      </c>
      <c r="E606" s="297" t="s">
        <v>12735</v>
      </c>
      <c r="F606" s="258" t="s">
        <v>12736</v>
      </c>
      <c r="G606" s="258" t="s">
        <v>12737</v>
      </c>
      <c r="H606" s="258" t="s">
        <v>12738</v>
      </c>
      <c r="I606" s="258" t="s">
        <v>36</v>
      </c>
      <c r="J606" s="351"/>
      <c r="K606" s="351"/>
      <c r="L606" s="351"/>
      <c r="M606" s="351"/>
      <c r="N606" s="351"/>
      <c r="O606" s="351"/>
      <c r="P606" s="351"/>
      <c r="Q606" s="351"/>
      <c r="R606" s="351"/>
      <c r="S606" s="351"/>
      <c r="T606" s="351"/>
      <c r="U606" s="351"/>
      <c r="V606" s="351"/>
      <c r="W606" s="351"/>
      <c r="X606" s="351"/>
      <c r="Y606" s="351"/>
      <c r="Z606" s="351"/>
      <c r="AA606" s="351"/>
      <c r="AB606" s="351"/>
    </row>
    <row r="607" ht="14.25" customHeight="1">
      <c r="A607" s="255" t="s">
        <v>12733</v>
      </c>
      <c r="B607" s="108"/>
      <c r="C607" s="256" t="s">
        <v>10203</v>
      </c>
      <c r="D607" s="297" t="s">
        <v>271</v>
      </c>
      <c r="E607" s="297" t="s">
        <v>12735</v>
      </c>
      <c r="F607" s="258" t="s">
        <v>12739</v>
      </c>
      <c r="G607" s="258" t="s">
        <v>12737</v>
      </c>
      <c r="H607" s="258" t="s">
        <v>12740</v>
      </c>
      <c r="I607" s="258" t="s">
        <v>36</v>
      </c>
      <c r="J607" s="351"/>
      <c r="K607" s="351"/>
      <c r="L607" s="351"/>
      <c r="M607" s="351"/>
      <c r="N607" s="351"/>
      <c r="O607" s="351"/>
      <c r="P607" s="351"/>
      <c r="Q607" s="351"/>
      <c r="R607" s="351"/>
      <c r="S607" s="351"/>
      <c r="T607" s="351"/>
      <c r="U607" s="351"/>
      <c r="V607" s="351"/>
      <c r="W607" s="351"/>
      <c r="X607" s="351"/>
      <c r="Y607" s="351"/>
      <c r="Z607" s="351"/>
      <c r="AA607" s="351"/>
      <c r="AB607" s="351"/>
    </row>
    <row r="608" ht="14.25" customHeight="1">
      <c r="A608" s="255" t="s">
        <v>12733</v>
      </c>
      <c r="B608" s="108"/>
      <c r="C608" s="256" t="s">
        <v>10206</v>
      </c>
      <c r="D608" s="297" t="s">
        <v>271</v>
      </c>
      <c r="E608" s="297" t="s">
        <v>12735</v>
      </c>
      <c r="F608" s="258" t="s">
        <v>12741</v>
      </c>
      <c r="G608" s="258" t="s">
        <v>12737</v>
      </c>
      <c r="H608" s="258" t="s">
        <v>12742</v>
      </c>
      <c r="I608" s="258" t="s">
        <v>36</v>
      </c>
      <c r="J608" s="351"/>
      <c r="K608" s="351"/>
      <c r="L608" s="351"/>
      <c r="M608" s="351"/>
      <c r="N608" s="351"/>
      <c r="O608" s="351"/>
      <c r="P608" s="351"/>
      <c r="Q608" s="351"/>
      <c r="R608" s="351"/>
      <c r="S608" s="351"/>
      <c r="T608" s="351"/>
      <c r="U608" s="351"/>
      <c r="V608" s="351"/>
      <c r="W608" s="351"/>
      <c r="X608" s="351"/>
      <c r="Y608" s="351"/>
      <c r="Z608" s="351"/>
      <c r="AA608" s="351"/>
      <c r="AB608" s="351"/>
    </row>
    <row r="609" ht="14.25" customHeight="1">
      <c r="A609" s="255" t="s">
        <v>12733</v>
      </c>
      <c r="B609" s="108"/>
      <c r="C609" s="256" t="s">
        <v>10209</v>
      </c>
      <c r="D609" s="297" t="s">
        <v>271</v>
      </c>
      <c r="E609" s="297" t="s">
        <v>12735</v>
      </c>
      <c r="F609" s="258" t="s">
        <v>12743</v>
      </c>
      <c r="G609" s="258" t="s">
        <v>12737</v>
      </c>
      <c r="H609" s="258" t="s">
        <v>12744</v>
      </c>
      <c r="I609" s="258" t="s">
        <v>36</v>
      </c>
      <c r="J609" s="351"/>
      <c r="K609" s="351"/>
      <c r="L609" s="351"/>
      <c r="M609" s="351"/>
      <c r="N609" s="351"/>
      <c r="O609" s="351"/>
      <c r="P609" s="351"/>
      <c r="Q609" s="351"/>
      <c r="R609" s="351"/>
      <c r="S609" s="351"/>
      <c r="T609" s="351"/>
      <c r="U609" s="351"/>
      <c r="V609" s="351"/>
      <c r="W609" s="351"/>
      <c r="X609" s="351"/>
      <c r="Y609" s="351"/>
      <c r="Z609" s="351"/>
      <c r="AA609" s="351"/>
      <c r="AB609" s="351"/>
    </row>
    <row r="610" ht="14.25" customHeight="1">
      <c r="A610" s="255" t="s">
        <v>12733</v>
      </c>
      <c r="B610" s="109"/>
      <c r="C610" s="256" t="s">
        <v>10212</v>
      </c>
      <c r="D610" s="297" t="s">
        <v>271</v>
      </c>
      <c r="E610" s="297" t="s">
        <v>12735</v>
      </c>
      <c r="F610" s="258" t="s">
        <v>12745</v>
      </c>
      <c r="G610" s="258" t="s">
        <v>12737</v>
      </c>
      <c r="H610" s="258" t="s">
        <v>12746</v>
      </c>
      <c r="I610" s="258" t="s">
        <v>36</v>
      </c>
      <c r="J610" s="351"/>
      <c r="K610" s="351"/>
      <c r="L610" s="351"/>
      <c r="M610" s="351"/>
      <c r="N610" s="351"/>
      <c r="O610" s="351"/>
      <c r="P610" s="351"/>
      <c r="Q610" s="351"/>
      <c r="R610" s="351"/>
      <c r="S610" s="351"/>
      <c r="T610" s="351"/>
      <c r="U610" s="351"/>
      <c r="V610" s="351"/>
      <c r="W610" s="351"/>
      <c r="X610" s="351"/>
      <c r="Y610" s="351"/>
      <c r="Z610" s="351"/>
      <c r="AA610" s="351"/>
      <c r="AB610" s="351"/>
    </row>
    <row r="611" ht="14.25" customHeight="1">
      <c r="A611" s="448" t="s">
        <v>12747</v>
      </c>
      <c r="B611" s="402" t="s">
        <v>12748</v>
      </c>
      <c r="C611" s="256" t="s">
        <v>10199</v>
      </c>
      <c r="D611" s="297" t="s">
        <v>271</v>
      </c>
      <c r="E611" s="297" t="s">
        <v>12735</v>
      </c>
      <c r="F611" s="258" t="s">
        <v>12749</v>
      </c>
      <c r="G611" s="258" t="s">
        <v>12750</v>
      </c>
      <c r="H611" s="258" t="s">
        <v>12751</v>
      </c>
      <c r="I611" s="258" t="s">
        <v>36</v>
      </c>
      <c r="J611" s="351"/>
      <c r="K611" s="351"/>
      <c r="L611" s="351"/>
      <c r="M611" s="351"/>
      <c r="N611" s="351"/>
      <c r="O611" s="351"/>
      <c r="P611" s="351"/>
      <c r="Q611" s="351"/>
      <c r="R611" s="351"/>
      <c r="S611" s="351"/>
      <c r="T611" s="351"/>
      <c r="U611" s="351"/>
      <c r="V611" s="351"/>
      <c r="W611" s="351"/>
      <c r="X611" s="351"/>
      <c r="Y611" s="351"/>
      <c r="Z611" s="351"/>
      <c r="AA611" s="351"/>
      <c r="AB611" s="351"/>
    </row>
    <row r="612" ht="14.25" customHeight="1">
      <c r="A612" s="448" t="s">
        <v>12747</v>
      </c>
      <c r="B612" s="108"/>
      <c r="C612" s="256" t="s">
        <v>10203</v>
      </c>
      <c r="D612" s="297" t="s">
        <v>271</v>
      </c>
      <c r="E612" s="297" t="s">
        <v>12735</v>
      </c>
      <c r="F612" s="258" t="s">
        <v>12752</v>
      </c>
      <c r="G612" s="258" t="s">
        <v>12750</v>
      </c>
      <c r="H612" s="258" t="s">
        <v>12753</v>
      </c>
      <c r="I612" s="258" t="s">
        <v>36</v>
      </c>
      <c r="J612" s="351"/>
      <c r="K612" s="351"/>
      <c r="L612" s="351"/>
      <c r="M612" s="351"/>
      <c r="N612" s="351"/>
      <c r="O612" s="351"/>
      <c r="P612" s="351"/>
      <c r="Q612" s="351"/>
      <c r="R612" s="351"/>
      <c r="S612" s="351"/>
      <c r="T612" s="351"/>
      <c r="U612" s="351"/>
      <c r="V612" s="351"/>
      <c r="W612" s="351"/>
      <c r="X612" s="351"/>
      <c r="Y612" s="351"/>
      <c r="Z612" s="351"/>
      <c r="AA612" s="351"/>
      <c r="AB612" s="351"/>
    </row>
    <row r="613" ht="14.25" customHeight="1">
      <c r="A613" s="448" t="s">
        <v>12747</v>
      </c>
      <c r="B613" s="109"/>
      <c r="C613" s="256" t="s">
        <v>10206</v>
      </c>
      <c r="D613" s="297" t="s">
        <v>271</v>
      </c>
      <c r="E613" s="297" t="s">
        <v>12735</v>
      </c>
      <c r="F613" s="258" t="s">
        <v>12754</v>
      </c>
      <c r="G613" s="258" t="s">
        <v>12755</v>
      </c>
      <c r="H613" s="258" t="s">
        <v>12756</v>
      </c>
      <c r="I613" s="258" t="s">
        <v>36</v>
      </c>
      <c r="J613" s="351"/>
      <c r="K613" s="351"/>
      <c r="L613" s="351"/>
      <c r="M613" s="351"/>
      <c r="N613" s="351"/>
      <c r="O613" s="351"/>
      <c r="P613" s="351"/>
      <c r="Q613" s="351"/>
      <c r="R613" s="351"/>
      <c r="S613" s="351"/>
      <c r="T613" s="351"/>
      <c r="U613" s="351"/>
      <c r="V613" s="351"/>
      <c r="W613" s="351"/>
      <c r="X613" s="351"/>
      <c r="Y613" s="351"/>
      <c r="Z613" s="351"/>
      <c r="AA613" s="351"/>
      <c r="AB613" s="351"/>
    </row>
    <row r="614" ht="14.25" customHeight="1">
      <c r="A614" s="448" t="s">
        <v>12757</v>
      </c>
      <c r="B614" s="258" t="s">
        <v>12758</v>
      </c>
      <c r="C614" s="256" t="s">
        <v>10199</v>
      </c>
      <c r="D614" s="297" t="s">
        <v>271</v>
      </c>
      <c r="E614" s="297" t="s">
        <v>12735</v>
      </c>
      <c r="F614" s="258" t="s">
        <v>12759</v>
      </c>
      <c r="G614" s="258" t="s">
        <v>12750</v>
      </c>
      <c r="H614" s="258" t="s">
        <v>12760</v>
      </c>
      <c r="I614" s="258" t="s">
        <v>36</v>
      </c>
      <c r="J614" s="351"/>
      <c r="K614" s="351"/>
      <c r="L614" s="351"/>
      <c r="M614" s="351"/>
      <c r="N614" s="351"/>
      <c r="O614" s="351"/>
      <c r="P614" s="351"/>
      <c r="Q614" s="351"/>
      <c r="R614" s="351"/>
      <c r="S614" s="351"/>
      <c r="T614" s="351"/>
      <c r="U614" s="351"/>
      <c r="V614" s="351"/>
      <c r="W614" s="351"/>
      <c r="X614" s="351"/>
      <c r="Y614" s="351"/>
      <c r="Z614" s="351"/>
      <c r="AA614" s="351"/>
      <c r="AB614" s="351"/>
    </row>
    <row r="615" ht="14.25" customHeight="1">
      <c r="A615" s="448" t="s">
        <v>12761</v>
      </c>
      <c r="B615" s="402" t="s">
        <v>12762</v>
      </c>
      <c r="C615" s="256" t="s">
        <v>10199</v>
      </c>
      <c r="D615" s="297" t="s">
        <v>271</v>
      </c>
      <c r="E615" s="297" t="s">
        <v>12735</v>
      </c>
      <c r="F615" s="258" t="s">
        <v>12763</v>
      </c>
      <c r="G615" s="258" t="s">
        <v>12764</v>
      </c>
      <c r="H615" s="258" t="s">
        <v>11456</v>
      </c>
      <c r="I615" s="258" t="s">
        <v>36</v>
      </c>
      <c r="J615" s="351"/>
      <c r="K615" s="351"/>
      <c r="L615" s="351"/>
      <c r="M615" s="351"/>
      <c r="N615" s="351"/>
      <c r="O615" s="351"/>
      <c r="P615" s="351"/>
      <c r="Q615" s="351"/>
      <c r="R615" s="351"/>
      <c r="S615" s="351"/>
      <c r="T615" s="351"/>
      <c r="U615" s="351"/>
      <c r="V615" s="351"/>
      <c r="W615" s="351"/>
      <c r="X615" s="351"/>
      <c r="Y615" s="351"/>
      <c r="Z615" s="351"/>
      <c r="AA615" s="351"/>
      <c r="AB615" s="351"/>
    </row>
    <row r="616" ht="14.25" customHeight="1">
      <c r="A616" s="448" t="s">
        <v>12761</v>
      </c>
      <c r="B616" s="108"/>
      <c r="C616" s="256" t="s">
        <v>10203</v>
      </c>
      <c r="D616" s="297" t="s">
        <v>271</v>
      </c>
      <c r="E616" s="297" t="s">
        <v>12735</v>
      </c>
      <c r="F616" s="258" t="s">
        <v>12765</v>
      </c>
      <c r="G616" s="258" t="s">
        <v>12764</v>
      </c>
      <c r="H616" s="258" t="s">
        <v>12766</v>
      </c>
      <c r="I616" s="258" t="s">
        <v>36</v>
      </c>
      <c r="J616" s="351"/>
      <c r="K616" s="351"/>
      <c r="L616" s="351"/>
      <c r="M616" s="351"/>
      <c r="N616" s="351"/>
      <c r="O616" s="351"/>
      <c r="P616" s="351"/>
      <c r="Q616" s="351"/>
      <c r="R616" s="351"/>
      <c r="S616" s="351"/>
      <c r="T616" s="351"/>
      <c r="U616" s="351"/>
      <c r="V616" s="351"/>
      <c r="W616" s="351"/>
      <c r="X616" s="351"/>
      <c r="Y616" s="351"/>
      <c r="Z616" s="351"/>
      <c r="AA616" s="351"/>
      <c r="AB616" s="351"/>
    </row>
    <row r="617" ht="14.25" customHeight="1">
      <c r="A617" s="448" t="s">
        <v>12761</v>
      </c>
      <c r="B617" s="108"/>
      <c r="C617" s="256" t="s">
        <v>10206</v>
      </c>
      <c r="D617" s="297" t="s">
        <v>271</v>
      </c>
      <c r="E617" s="297" t="s">
        <v>12735</v>
      </c>
      <c r="F617" s="258" t="s">
        <v>12767</v>
      </c>
      <c r="G617" s="258" t="s">
        <v>12768</v>
      </c>
      <c r="H617" s="258" t="s">
        <v>12769</v>
      </c>
      <c r="I617" s="258" t="s">
        <v>36</v>
      </c>
      <c r="J617" s="351"/>
      <c r="K617" s="351"/>
      <c r="L617" s="351"/>
      <c r="M617" s="351"/>
      <c r="N617" s="351"/>
      <c r="O617" s="351"/>
      <c r="P617" s="351"/>
      <c r="Q617" s="351"/>
      <c r="R617" s="351"/>
      <c r="S617" s="351"/>
      <c r="T617" s="351"/>
      <c r="U617" s="351"/>
      <c r="V617" s="351"/>
      <c r="W617" s="351"/>
      <c r="X617" s="351"/>
      <c r="Y617" s="351"/>
      <c r="Z617" s="351"/>
      <c r="AA617" s="351"/>
      <c r="AB617" s="351"/>
    </row>
    <row r="618" ht="14.25" customHeight="1">
      <c r="A618" s="448" t="s">
        <v>12761</v>
      </c>
      <c r="B618" s="108"/>
      <c r="C618" s="256" t="s">
        <v>10209</v>
      </c>
      <c r="D618" s="297" t="s">
        <v>271</v>
      </c>
      <c r="E618" s="297" t="s">
        <v>12735</v>
      </c>
      <c r="F618" s="258" t="s">
        <v>12770</v>
      </c>
      <c r="G618" s="258" t="s">
        <v>12771</v>
      </c>
      <c r="H618" s="258" t="s">
        <v>12772</v>
      </c>
      <c r="I618" s="258" t="s">
        <v>36</v>
      </c>
      <c r="J618" s="351"/>
      <c r="K618" s="351"/>
      <c r="L618" s="351"/>
      <c r="M618" s="351"/>
      <c r="N618" s="351"/>
      <c r="O618" s="351"/>
      <c r="P618" s="351"/>
      <c r="Q618" s="351"/>
      <c r="R618" s="351"/>
      <c r="S618" s="351"/>
      <c r="T618" s="351"/>
      <c r="U618" s="351"/>
      <c r="V618" s="351"/>
      <c r="W618" s="351"/>
      <c r="X618" s="351"/>
      <c r="Y618" s="351"/>
      <c r="Z618" s="351"/>
      <c r="AA618" s="351"/>
      <c r="AB618" s="351"/>
    </row>
    <row r="619" ht="14.25" customHeight="1">
      <c r="A619" s="448" t="s">
        <v>12761</v>
      </c>
      <c r="B619" s="108"/>
      <c r="C619" s="256" t="s">
        <v>10212</v>
      </c>
      <c r="D619" s="297" t="s">
        <v>271</v>
      </c>
      <c r="E619" s="297" t="s">
        <v>12735</v>
      </c>
      <c r="F619" s="258" t="s">
        <v>12773</v>
      </c>
      <c r="G619" s="258" t="s">
        <v>12764</v>
      </c>
      <c r="H619" s="258" t="s">
        <v>12774</v>
      </c>
      <c r="I619" s="258" t="s">
        <v>36</v>
      </c>
      <c r="J619" s="351"/>
      <c r="K619" s="351"/>
      <c r="L619" s="351"/>
      <c r="M619" s="351"/>
      <c r="N619" s="351"/>
      <c r="O619" s="351"/>
      <c r="P619" s="351"/>
      <c r="Q619" s="351"/>
      <c r="R619" s="351"/>
      <c r="S619" s="351"/>
      <c r="T619" s="351"/>
      <c r="U619" s="351"/>
      <c r="V619" s="351"/>
      <c r="W619" s="351"/>
      <c r="X619" s="351"/>
      <c r="Y619" s="351"/>
      <c r="Z619" s="351"/>
      <c r="AA619" s="351"/>
      <c r="AB619" s="351"/>
    </row>
    <row r="620" ht="14.25" customHeight="1">
      <c r="A620" s="448" t="s">
        <v>12761</v>
      </c>
      <c r="B620" s="108"/>
      <c r="C620" s="256" t="s">
        <v>10214</v>
      </c>
      <c r="D620" s="297" t="s">
        <v>271</v>
      </c>
      <c r="E620" s="297" t="s">
        <v>12735</v>
      </c>
      <c r="F620" s="258" t="s">
        <v>12775</v>
      </c>
      <c r="G620" s="258" t="s">
        <v>12776</v>
      </c>
      <c r="H620" s="258" t="s">
        <v>12777</v>
      </c>
      <c r="I620" s="258" t="s">
        <v>36</v>
      </c>
      <c r="J620" s="351"/>
      <c r="K620" s="351"/>
      <c r="L620" s="351"/>
      <c r="M620" s="351"/>
      <c r="N620" s="351"/>
      <c r="O620" s="351"/>
      <c r="P620" s="351"/>
      <c r="Q620" s="351"/>
      <c r="R620" s="351"/>
      <c r="S620" s="351"/>
      <c r="T620" s="351"/>
      <c r="U620" s="351"/>
      <c r="V620" s="351"/>
      <c r="W620" s="351"/>
      <c r="X620" s="351"/>
      <c r="Y620" s="351"/>
      <c r="Z620" s="351"/>
      <c r="AA620" s="351"/>
      <c r="AB620" s="351"/>
    </row>
    <row r="621" ht="14.25" customHeight="1">
      <c r="A621" s="448" t="s">
        <v>12761</v>
      </c>
      <c r="B621" s="108"/>
      <c r="C621" s="256" t="s">
        <v>10217</v>
      </c>
      <c r="D621" s="297" t="s">
        <v>271</v>
      </c>
      <c r="E621" s="297" t="s">
        <v>12735</v>
      </c>
      <c r="F621" s="258" t="s">
        <v>12778</v>
      </c>
      <c r="G621" s="258" t="s">
        <v>12779</v>
      </c>
      <c r="H621" s="258" t="s">
        <v>12780</v>
      </c>
      <c r="I621" s="258" t="s">
        <v>36</v>
      </c>
      <c r="J621" s="351"/>
      <c r="K621" s="351"/>
      <c r="L621" s="351"/>
      <c r="M621" s="351"/>
      <c r="N621" s="351"/>
      <c r="O621" s="351"/>
      <c r="P621" s="351"/>
      <c r="Q621" s="351"/>
      <c r="R621" s="351"/>
      <c r="S621" s="351"/>
      <c r="T621" s="351"/>
      <c r="U621" s="351"/>
      <c r="V621" s="351"/>
      <c r="W621" s="351"/>
      <c r="X621" s="351"/>
      <c r="Y621" s="351"/>
      <c r="Z621" s="351"/>
      <c r="AA621" s="351"/>
      <c r="AB621" s="351"/>
    </row>
    <row r="622" ht="14.25" customHeight="1">
      <c r="A622" s="448" t="s">
        <v>12761</v>
      </c>
      <c r="B622" s="108"/>
      <c r="C622" s="256" t="s">
        <v>10220</v>
      </c>
      <c r="D622" s="297" t="s">
        <v>271</v>
      </c>
      <c r="E622" s="297" t="s">
        <v>12735</v>
      </c>
      <c r="F622" s="258" t="s">
        <v>12781</v>
      </c>
      <c r="G622" s="258" t="s">
        <v>12782</v>
      </c>
      <c r="H622" s="258" t="s">
        <v>12083</v>
      </c>
      <c r="I622" s="258" t="s">
        <v>36</v>
      </c>
      <c r="J622" s="351"/>
      <c r="K622" s="351"/>
      <c r="L622" s="351"/>
      <c r="M622" s="351"/>
      <c r="N622" s="351"/>
      <c r="O622" s="351"/>
      <c r="P622" s="351"/>
      <c r="Q622" s="351"/>
      <c r="R622" s="351"/>
      <c r="S622" s="351"/>
      <c r="T622" s="351"/>
      <c r="U622" s="351"/>
      <c r="V622" s="351"/>
      <c r="W622" s="351"/>
      <c r="X622" s="351"/>
      <c r="Y622" s="351"/>
      <c r="Z622" s="351"/>
      <c r="AA622" s="351"/>
      <c r="AB622" s="351"/>
    </row>
    <row r="623" ht="14.25" customHeight="1">
      <c r="A623" s="448" t="s">
        <v>12761</v>
      </c>
      <c r="B623" s="108"/>
      <c r="C623" s="256" t="s">
        <v>10223</v>
      </c>
      <c r="D623" s="297" t="s">
        <v>271</v>
      </c>
      <c r="E623" s="297" t="s">
        <v>12735</v>
      </c>
      <c r="F623" s="258" t="s">
        <v>12783</v>
      </c>
      <c r="G623" s="258" t="s">
        <v>12782</v>
      </c>
      <c r="H623" s="258" t="s">
        <v>12086</v>
      </c>
      <c r="I623" s="258" t="s">
        <v>36</v>
      </c>
      <c r="J623" s="351"/>
      <c r="K623" s="351"/>
      <c r="L623" s="351"/>
      <c r="M623" s="351"/>
      <c r="N623" s="351"/>
      <c r="O623" s="351"/>
      <c r="P623" s="351"/>
      <c r="Q623" s="351"/>
      <c r="R623" s="351"/>
      <c r="S623" s="351"/>
      <c r="T623" s="351"/>
      <c r="U623" s="351"/>
      <c r="V623" s="351"/>
      <c r="W623" s="351"/>
      <c r="X623" s="351"/>
      <c r="Y623" s="351"/>
      <c r="Z623" s="351"/>
      <c r="AA623" s="351"/>
      <c r="AB623" s="351"/>
    </row>
    <row r="624" ht="14.25" customHeight="1">
      <c r="A624" s="448" t="s">
        <v>12761</v>
      </c>
      <c r="B624" s="108"/>
      <c r="C624" s="256" t="s">
        <v>10225</v>
      </c>
      <c r="D624" s="297" t="s">
        <v>271</v>
      </c>
      <c r="E624" s="297" t="s">
        <v>12735</v>
      </c>
      <c r="F624" s="258" t="s">
        <v>12088</v>
      </c>
      <c r="G624" s="258" t="s">
        <v>12782</v>
      </c>
      <c r="H624" s="258" t="s">
        <v>12089</v>
      </c>
      <c r="I624" s="258" t="s">
        <v>36</v>
      </c>
      <c r="J624" s="351"/>
      <c r="K624" s="351"/>
      <c r="L624" s="351"/>
      <c r="M624" s="351"/>
      <c r="N624" s="351"/>
      <c r="O624" s="351"/>
      <c r="P624" s="351"/>
      <c r="Q624" s="351"/>
      <c r="R624" s="351"/>
      <c r="S624" s="351"/>
      <c r="T624" s="351"/>
      <c r="U624" s="351"/>
      <c r="V624" s="351"/>
      <c r="W624" s="351"/>
      <c r="X624" s="351"/>
      <c r="Y624" s="351"/>
      <c r="Z624" s="351"/>
      <c r="AA624" s="351"/>
      <c r="AB624" s="351"/>
    </row>
    <row r="625" ht="14.25" customHeight="1">
      <c r="A625" s="448" t="s">
        <v>12761</v>
      </c>
      <c r="B625" s="109"/>
      <c r="C625" s="256" t="s">
        <v>10227</v>
      </c>
      <c r="D625" s="297" t="s">
        <v>271</v>
      </c>
      <c r="E625" s="297" t="s">
        <v>12735</v>
      </c>
      <c r="F625" s="258" t="s">
        <v>12091</v>
      </c>
      <c r="G625" s="258" t="s">
        <v>12782</v>
      </c>
      <c r="H625" s="258" t="s">
        <v>12092</v>
      </c>
      <c r="I625" s="258" t="s">
        <v>36</v>
      </c>
      <c r="J625" s="351"/>
      <c r="K625" s="351"/>
      <c r="L625" s="351"/>
      <c r="M625" s="351"/>
      <c r="N625" s="351"/>
      <c r="O625" s="351"/>
      <c r="P625" s="351"/>
      <c r="Q625" s="351"/>
      <c r="R625" s="351"/>
      <c r="S625" s="351"/>
      <c r="T625" s="351"/>
      <c r="U625" s="351"/>
      <c r="V625" s="351"/>
      <c r="W625" s="351"/>
      <c r="X625" s="351"/>
      <c r="Y625" s="351"/>
      <c r="Z625" s="351"/>
      <c r="AA625" s="351"/>
      <c r="AB625" s="351"/>
    </row>
    <row r="626" ht="14.25" customHeight="1">
      <c r="A626" s="448" t="s">
        <v>12784</v>
      </c>
      <c r="B626" s="402" t="s">
        <v>12785</v>
      </c>
      <c r="C626" s="256" t="s">
        <v>10199</v>
      </c>
      <c r="D626" s="297" t="s">
        <v>271</v>
      </c>
      <c r="E626" s="297" t="s">
        <v>12735</v>
      </c>
      <c r="F626" s="258" t="s">
        <v>12786</v>
      </c>
      <c r="G626" s="258" t="s">
        <v>12787</v>
      </c>
      <c r="H626" s="258" t="s">
        <v>12788</v>
      </c>
      <c r="I626" s="258" t="s">
        <v>36</v>
      </c>
      <c r="J626" s="351"/>
      <c r="K626" s="351"/>
      <c r="L626" s="351"/>
      <c r="M626" s="351"/>
      <c r="N626" s="351"/>
      <c r="O626" s="351"/>
      <c r="P626" s="351"/>
      <c r="Q626" s="351"/>
      <c r="R626" s="351"/>
      <c r="S626" s="351"/>
      <c r="T626" s="351"/>
      <c r="U626" s="351"/>
      <c r="V626" s="351"/>
      <c r="W626" s="351"/>
      <c r="X626" s="351"/>
      <c r="Y626" s="351"/>
      <c r="Z626" s="351"/>
      <c r="AA626" s="351"/>
      <c r="AB626" s="351"/>
    </row>
    <row r="627" ht="14.25" customHeight="1">
      <c r="A627" s="448" t="s">
        <v>12784</v>
      </c>
      <c r="B627" s="109"/>
      <c r="C627" s="256" t="s">
        <v>10203</v>
      </c>
      <c r="D627" s="297" t="s">
        <v>271</v>
      </c>
      <c r="E627" s="297" t="s">
        <v>12735</v>
      </c>
      <c r="F627" s="258" t="s">
        <v>12789</v>
      </c>
      <c r="G627" s="258" t="s">
        <v>12787</v>
      </c>
      <c r="H627" s="240" t="s">
        <v>12790</v>
      </c>
      <c r="I627" s="258" t="s">
        <v>36</v>
      </c>
      <c r="J627" s="351"/>
      <c r="K627" s="351"/>
      <c r="L627" s="351"/>
      <c r="M627" s="351"/>
      <c r="N627" s="351"/>
      <c r="O627" s="351"/>
      <c r="P627" s="351"/>
      <c r="Q627" s="351"/>
      <c r="R627" s="351"/>
      <c r="S627" s="351"/>
      <c r="T627" s="351"/>
      <c r="U627" s="351"/>
      <c r="V627" s="351"/>
      <c r="W627" s="351"/>
      <c r="X627" s="351"/>
      <c r="Y627" s="351"/>
      <c r="Z627" s="351"/>
      <c r="AA627" s="351"/>
      <c r="AB627" s="351"/>
    </row>
    <row r="628" ht="14.25" customHeight="1">
      <c r="A628" s="438"/>
      <c r="B628" s="449" t="s">
        <v>8748</v>
      </c>
      <c r="C628" s="450" t="s">
        <v>10199</v>
      </c>
      <c r="D628" s="297" t="s">
        <v>271</v>
      </c>
      <c r="E628" s="450" t="s">
        <v>5</v>
      </c>
      <c r="F628" s="451" t="s">
        <v>12791</v>
      </c>
      <c r="G628" s="451" t="s">
        <v>12792</v>
      </c>
      <c r="H628" s="451" t="s">
        <v>12793</v>
      </c>
      <c r="I628" s="258" t="s">
        <v>36</v>
      </c>
      <c r="J628" s="351"/>
      <c r="K628" s="351"/>
      <c r="L628" s="351"/>
      <c r="M628" s="351"/>
      <c r="N628" s="351"/>
      <c r="O628" s="351"/>
      <c r="P628" s="351"/>
      <c r="Q628" s="351"/>
      <c r="R628" s="351"/>
      <c r="S628" s="351"/>
      <c r="T628" s="351"/>
      <c r="U628" s="351"/>
      <c r="V628" s="351"/>
      <c r="W628" s="351"/>
      <c r="X628" s="351"/>
      <c r="Y628" s="351"/>
      <c r="Z628" s="351"/>
      <c r="AA628" s="351"/>
      <c r="AB628" s="351"/>
    </row>
    <row r="629" ht="14.25" customHeight="1">
      <c r="A629" s="438"/>
      <c r="B629" s="108"/>
      <c r="C629" s="450" t="s">
        <v>10203</v>
      </c>
      <c r="D629" s="297" t="s">
        <v>271</v>
      </c>
      <c r="E629" s="450" t="s">
        <v>5</v>
      </c>
      <c r="F629" s="451" t="s">
        <v>12794</v>
      </c>
      <c r="G629" s="451" t="s">
        <v>12795</v>
      </c>
      <c r="H629" s="451" t="s">
        <v>12796</v>
      </c>
      <c r="I629" s="258" t="s">
        <v>36</v>
      </c>
      <c r="J629" s="351"/>
      <c r="K629" s="351"/>
      <c r="L629" s="351"/>
      <c r="M629" s="351"/>
      <c r="N629" s="351"/>
      <c r="O629" s="351"/>
      <c r="P629" s="351"/>
      <c r="Q629" s="351"/>
      <c r="R629" s="351"/>
      <c r="S629" s="351"/>
      <c r="T629" s="351"/>
      <c r="U629" s="351"/>
      <c r="V629" s="351"/>
      <c r="W629" s="351"/>
      <c r="X629" s="351"/>
      <c r="Y629" s="351"/>
      <c r="Z629" s="351"/>
      <c r="AA629" s="351"/>
      <c r="AB629" s="351"/>
    </row>
    <row r="630" ht="14.25" customHeight="1">
      <c r="A630" s="438"/>
      <c r="B630" s="108"/>
      <c r="C630" s="450" t="s">
        <v>10206</v>
      </c>
      <c r="D630" s="297" t="s">
        <v>271</v>
      </c>
      <c r="E630" s="450" t="s">
        <v>5</v>
      </c>
      <c r="F630" s="451" t="s">
        <v>12797</v>
      </c>
      <c r="G630" s="451" t="s">
        <v>12798</v>
      </c>
      <c r="H630" s="451" t="s">
        <v>12799</v>
      </c>
      <c r="I630" s="258" t="s">
        <v>36</v>
      </c>
      <c r="J630" s="351"/>
      <c r="K630" s="351"/>
      <c r="L630" s="351"/>
      <c r="M630" s="351"/>
      <c r="N630" s="351"/>
      <c r="O630" s="351"/>
      <c r="P630" s="351"/>
      <c r="Q630" s="351"/>
      <c r="R630" s="351"/>
      <c r="S630" s="351"/>
      <c r="T630" s="351"/>
      <c r="U630" s="351"/>
      <c r="V630" s="351"/>
      <c r="W630" s="351"/>
      <c r="X630" s="351"/>
      <c r="Y630" s="351"/>
      <c r="Z630" s="351"/>
      <c r="AA630" s="351"/>
      <c r="AB630" s="351"/>
    </row>
    <row r="631" ht="14.25" customHeight="1">
      <c r="A631" s="438"/>
      <c r="B631" s="108"/>
      <c r="C631" s="450" t="s">
        <v>10209</v>
      </c>
      <c r="D631" s="297" t="s">
        <v>271</v>
      </c>
      <c r="E631" s="450" t="s">
        <v>5</v>
      </c>
      <c r="F631" s="451" t="s">
        <v>12800</v>
      </c>
      <c r="G631" s="451" t="s">
        <v>12801</v>
      </c>
      <c r="H631" s="451" t="s">
        <v>12802</v>
      </c>
      <c r="I631" s="258" t="s">
        <v>36</v>
      </c>
      <c r="J631" s="351"/>
      <c r="K631" s="351"/>
      <c r="L631" s="351"/>
      <c r="M631" s="351"/>
      <c r="N631" s="351"/>
      <c r="O631" s="351"/>
      <c r="P631" s="351"/>
      <c r="Q631" s="351"/>
      <c r="R631" s="351"/>
      <c r="S631" s="351"/>
      <c r="T631" s="351"/>
      <c r="U631" s="351"/>
      <c r="V631" s="351"/>
      <c r="W631" s="351"/>
      <c r="X631" s="351"/>
      <c r="Y631" s="351"/>
      <c r="Z631" s="351"/>
      <c r="AA631" s="351"/>
      <c r="AB631" s="351"/>
    </row>
    <row r="632" ht="14.25" customHeight="1">
      <c r="A632" s="438"/>
      <c r="B632" s="108"/>
      <c r="C632" s="450" t="s">
        <v>10212</v>
      </c>
      <c r="D632" s="297" t="s">
        <v>271</v>
      </c>
      <c r="E632" s="450" t="s">
        <v>5</v>
      </c>
      <c r="F632" s="451" t="s">
        <v>12803</v>
      </c>
      <c r="G632" s="452"/>
      <c r="H632" s="451" t="s">
        <v>12804</v>
      </c>
      <c r="I632" s="258" t="s">
        <v>36</v>
      </c>
      <c r="J632" s="351"/>
      <c r="K632" s="351"/>
      <c r="L632" s="351"/>
      <c r="M632" s="351"/>
      <c r="N632" s="351"/>
      <c r="O632" s="351"/>
      <c r="P632" s="351"/>
      <c r="Q632" s="351"/>
      <c r="R632" s="351"/>
      <c r="S632" s="351"/>
      <c r="T632" s="351"/>
      <c r="U632" s="351"/>
      <c r="V632" s="351"/>
      <c r="W632" s="351"/>
      <c r="X632" s="351"/>
      <c r="Y632" s="351"/>
      <c r="Z632" s="351"/>
      <c r="AA632" s="351"/>
      <c r="AB632" s="351"/>
    </row>
    <row r="633" ht="14.25" customHeight="1">
      <c r="A633" s="438"/>
      <c r="B633" s="109"/>
      <c r="C633" s="450" t="s">
        <v>10214</v>
      </c>
      <c r="D633" s="297" t="s">
        <v>271</v>
      </c>
      <c r="E633" s="450" t="s">
        <v>5</v>
      </c>
      <c r="F633" s="451" t="s">
        <v>12805</v>
      </c>
      <c r="G633" s="452"/>
      <c r="H633" s="451" t="s">
        <v>12804</v>
      </c>
      <c r="I633" s="258" t="s">
        <v>36</v>
      </c>
      <c r="J633" s="351"/>
      <c r="K633" s="351"/>
      <c r="L633" s="351"/>
      <c r="M633" s="351"/>
      <c r="N633" s="351"/>
      <c r="O633" s="351"/>
      <c r="P633" s="351"/>
      <c r="Q633" s="351"/>
      <c r="R633" s="351"/>
      <c r="S633" s="351"/>
      <c r="T633" s="351"/>
      <c r="U633" s="351"/>
      <c r="V633" s="351"/>
      <c r="W633" s="351"/>
      <c r="X633" s="351"/>
      <c r="Y633" s="351"/>
      <c r="Z633" s="351"/>
      <c r="AA633" s="351"/>
      <c r="AB633" s="351"/>
    </row>
    <row r="634" ht="14.25" customHeight="1">
      <c r="A634" s="438"/>
      <c r="B634" s="453" t="s">
        <v>11036</v>
      </c>
      <c r="C634" s="450" t="s">
        <v>10217</v>
      </c>
      <c r="D634" s="297" t="s">
        <v>271</v>
      </c>
      <c r="E634" s="450" t="s">
        <v>5</v>
      </c>
      <c r="F634" s="451" t="s">
        <v>12806</v>
      </c>
      <c r="G634" s="451" t="s">
        <v>12807</v>
      </c>
      <c r="H634" s="451" t="s">
        <v>12808</v>
      </c>
      <c r="I634" s="258" t="s">
        <v>36</v>
      </c>
      <c r="J634" s="351"/>
      <c r="K634" s="351"/>
      <c r="L634" s="351"/>
      <c r="M634" s="351"/>
      <c r="N634" s="351"/>
      <c r="O634" s="351"/>
      <c r="P634" s="351"/>
      <c r="Q634" s="351"/>
      <c r="R634" s="351"/>
      <c r="S634" s="351"/>
      <c r="T634" s="351"/>
      <c r="U634" s="351"/>
      <c r="V634" s="351"/>
      <c r="W634" s="351"/>
      <c r="X634" s="351"/>
      <c r="Y634" s="351"/>
      <c r="Z634" s="351"/>
      <c r="AA634" s="351"/>
      <c r="AB634" s="351"/>
    </row>
    <row r="635" ht="14.25" customHeight="1">
      <c r="A635" s="438"/>
      <c r="B635" s="108"/>
      <c r="C635" s="450" t="s">
        <v>10220</v>
      </c>
      <c r="D635" s="297" t="s">
        <v>271</v>
      </c>
      <c r="E635" s="450" t="s">
        <v>5</v>
      </c>
      <c r="F635" s="451" t="s">
        <v>12809</v>
      </c>
      <c r="G635" s="454" t="s">
        <v>12810</v>
      </c>
      <c r="H635" s="451" t="s">
        <v>12811</v>
      </c>
      <c r="I635" s="258" t="s">
        <v>36</v>
      </c>
      <c r="J635" s="351"/>
      <c r="K635" s="351"/>
      <c r="L635" s="351"/>
      <c r="M635" s="351"/>
      <c r="N635" s="351"/>
      <c r="O635" s="351"/>
      <c r="P635" s="351"/>
      <c r="Q635" s="351"/>
      <c r="R635" s="351"/>
      <c r="S635" s="351"/>
      <c r="T635" s="351"/>
      <c r="U635" s="351"/>
      <c r="V635" s="351"/>
      <c r="W635" s="351"/>
      <c r="X635" s="351"/>
      <c r="Y635" s="351"/>
      <c r="Z635" s="351"/>
      <c r="AA635" s="351"/>
      <c r="AB635" s="351"/>
    </row>
    <row r="636" ht="14.25" customHeight="1">
      <c r="A636" s="438"/>
      <c r="B636" s="108"/>
      <c r="C636" s="450" t="s">
        <v>10223</v>
      </c>
      <c r="D636" s="297" t="s">
        <v>271</v>
      </c>
      <c r="E636" s="450" t="s">
        <v>5</v>
      </c>
      <c r="F636" s="451" t="s">
        <v>12812</v>
      </c>
      <c r="G636" s="454" t="s">
        <v>12813</v>
      </c>
      <c r="H636" s="451" t="s">
        <v>12814</v>
      </c>
      <c r="I636" s="258" t="s">
        <v>36</v>
      </c>
      <c r="J636" s="351"/>
      <c r="K636" s="351"/>
      <c r="L636" s="351"/>
      <c r="M636" s="351"/>
      <c r="N636" s="351"/>
      <c r="O636" s="351"/>
      <c r="P636" s="351"/>
      <c r="Q636" s="351"/>
      <c r="R636" s="351"/>
      <c r="S636" s="351"/>
      <c r="T636" s="351"/>
      <c r="U636" s="351"/>
      <c r="V636" s="351"/>
      <c r="W636" s="351"/>
      <c r="X636" s="351"/>
      <c r="Y636" s="351"/>
      <c r="Z636" s="351"/>
      <c r="AA636" s="351"/>
      <c r="AB636" s="351"/>
    </row>
    <row r="637" ht="14.25" customHeight="1">
      <c r="A637" s="438"/>
      <c r="B637" s="108"/>
      <c r="C637" s="450" t="s">
        <v>10225</v>
      </c>
      <c r="D637" s="297" t="s">
        <v>271</v>
      </c>
      <c r="E637" s="450" t="s">
        <v>5</v>
      </c>
      <c r="F637" s="451" t="s">
        <v>12815</v>
      </c>
      <c r="G637" s="454" t="s">
        <v>12816</v>
      </c>
      <c r="H637" s="451" t="s">
        <v>12817</v>
      </c>
      <c r="I637" s="258" t="s">
        <v>36</v>
      </c>
      <c r="J637" s="351"/>
      <c r="K637" s="351"/>
      <c r="L637" s="351"/>
      <c r="M637" s="351"/>
      <c r="N637" s="351"/>
      <c r="O637" s="351"/>
      <c r="P637" s="351"/>
      <c r="Q637" s="351"/>
      <c r="R637" s="351"/>
      <c r="S637" s="351"/>
      <c r="T637" s="351"/>
      <c r="U637" s="351"/>
      <c r="V637" s="351"/>
      <c r="W637" s="351"/>
      <c r="X637" s="351"/>
      <c r="Y637" s="351"/>
      <c r="Z637" s="351"/>
      <c r="AA637" s="351"/>
      <c r="AB637" s="351"/>
    </row>
    <row r="638" ht="14.25" customHeight="1">
      <c r="A638" s="438"/>
      <c r="B638" s="108"/>
      <c r="C638" s="450" t="s">
        <v>10227</v>
      </c>
      <c r="D638" s="297" t="s">
        <v>271</v>
      </c>
      <c r="E638" s="450" t="s">
        <v>5</v>
      </c>
      <c r="F638" s="451" t="s">
        <v>12653</v>
      </c>
      <c r="G638" s="454" t="s">
        <v>12818</v>
      </c>
      <c r="H638" s="451" t="s">
        <v>12655</v>
      </c>
      <c r="I638" s="258" t="s">
        <v>36</v>
      </c>
      <c r="J638" s="351"/>
      <c r="K638" s="351"/>
      <c r="L638" s="351"/>
      <c r="M638" s="351"/>
      <c r="N638" s="351"/>
      <c r="O638" s="351"/>
      <c r="P638" s="351"/>
      <c r="Q638" s="351"/>
      <c r="R638" s="351"/>
      <c r="S638" s="351"/>
      <c r="T638" s="351"/>
      <c r="U638" s="351"/>
      <c r="V638" s="351"/>
      <c r="W638" s="351"/>
      <c r="X638" s="351"/>
      <c r="Y638" s="351"/>
      <c r="Z638" s="351"/>
      <c r="AA638" s="351"/>
      <c r="AB638" s="351"/>
    </row>
    <row r="639" ht="14.25" customHeight="1">
      <c r="A639" s="438"/>
      <c r="B639" s="108"/>
      <c r="C639" s="450" t="s">
        <v>10229</v>
      </c>
      <c r="D639" s="297" t="s">
        <v>271</v>
      </c>
      <c r="E639" s="450" t="s">
        <v>5</v>
      </c>
      <c r="F639" s="451" t="s">
        <v>12819</v>
      </c>
      <c r="G639" s="454" t="s">
        <v>12820</v>
      </c>
      <c r="H639" s="451" t="s">
        <v>12655</v>
      </c>
      <c r="I639" s="258" t="s">
        <v>36</v>
      </c>
      <c r="J639" s="351"/>
      <c r="K639" s="351"/>
      <c r="L639" s="351"/>
      <c r="M639" s="351"/>
      <c r="N639" s="351"/>
      <c r="O639" s="351"/>
      <c r="P639" s="351"/>
      <c r="Q639" s="351"/>
      <c r="R639" s="351"/>
      <c r="S639" s="351"/>
      <c r="T639" s="351"/>
      <c r="U639" s="351"/>
      <c r="V639" s="351"/>
      <c r="W639" s="351"/>
      <c r="X639" s="351"/>
      <c r="Y639" s="351"/>
      <c r="Z639" s="351"/>
      <c r="AA639" s="351"/>
      <c r="AB639" s="351"/>
    </row>
    <row r="640" ht="14.25" customHeight="1">
      <c r="A640" s="438"/>
      <c r="B640" s="108"/>
      <c r="C640" s="450" t="s">
        <v>10231</v>
      </c>
      <c r="D640" s="297" t="s">
        <v>271</v>
      </c>
      <c r="E640" s="450" t="s">
        <v>5</v>
      </c>
      <c r="F640" s="451" t="s">
        <v>12821</v>
      </c>
      <c r="G640" s="454" t="s">
        <v>12822</v>
      </c>
      <c r="H640" s="451" t="s">
        <v>12655</v>
      </c>
      <c r="I640" s="258" t="s">
        <v>36</v>
      </c>
      <c r="J640" s="351"/>
      <c r="K640" s="351"/>
      <c r="L640" s="351"/>
      <c r="M640" s="351"/>
      <c r="N640" s="351"/>
      <c r="O640" s="351"/>
      <c r="P640" s="351"/>
      <c r="Q640" s="351"/>
      <c r="R640" s="351"/>
      <c r="S640" s="351"/>
      <c r="T640" s="351"/>
      <c r="U640" s="351"/>
      <c r="V640" s="351"/>
      <c r="W640" s="351"/>
      <c r="X640" s="351"/>
      <c r="Y640" s="351"/>
      <c r="Z640" s="351"/>
      <c r="AA640" s="351"/>
      <c r="AB640" s="351"/>
    </row>
    <row r="641" ht="14.25" customHeight="1">
      <c r="A641" s="438"/>
      <c r="B641" s="108"/>
      <c r="C641" s="450" t="s">
        <v>10234</v>
      </c>
      <c r="D641" s="297" t="s">
        <v>271</v>
      </c>
      <c r="E641" s="450" t="s">
        <v>5</v>
      </c>
      <c r="F641" s="451" t="s">
        <v>12823</v>
      </c>
      <c r="G641" s="454" t="s">
        <v>12822</v>
      </c>
      <c r="H641" s="451" t="s">
        <v>12655</v>
      </c>
      <c r="I641" s="258" t="s">
        <v>36</v>
      </c>
      <c r="J641" s="351"/>
      <c r="K641" s="351"/>
      <c r="L641" s="351"/>
      <c r="M641" s="351"/>
      <c r="N641" s="351"/>
      <c r="O641" s="351"/>
      <c r="P641" s="351"/>
      <c r="Q641" s="351"/>
      <c r="R641" s="351"/>
      <c r="S641" s="351"/>
      <c r="T641" s="351"/>
      <c r="U641" s="351"/>
      <c r="V641" s="351"/>
      <c r="W641" s="351"/>
      <c r="X641" s="351"/>
      <c r="Y641" s="351"/>
      <c r="Z641" s="351"/>
      <c r="AA641" s="351"/>
      <c r="AB641" s="351"/>
    </row>
    <row r="642" ht="14.25" customHeight="1">
      <c r="A642" s="438"/>
      <c r="B642" s="108"/>
      <c r="C642" s="450" t="s">
        <v>10236</v>
      </c>
      <c r="D642" s="297" t="s">
        <v>271</v>
      </c>
      <c r="E642" s="450" t="s">
        <v>5</v>
      </c>
      <c r="F642" s="451" t="s">
        <v>12824</v>
      </c>
      <c r="G642" s="454" t="s">
        <v>12822</v>
      </c>
      <c r="H642" s="451" t="s">
        <v>12655</v>
      </c>
      <c r="I642" s="258" t="s">
        <v>36</v>
      </c>
      <c r="J642" s="351"/>
      <c r="K642" s="351"/>
      <c r="L642" s="351"/>
      <c r="M642" s="351"/>
      <c r="N642" s="351"/>
      <c r="O642" s="351"/>
      <c r="P642" s="351"/>
      <c r="Q642" s="351"/>
      <c r="R642" s="351"/>
      <c r="S642" s="351"/>
      <c r="T642" s="351"/>
      <c r="U642" s="351"/>
      <c r="V642" s="351"/>
      <c r="W642" s="351"/>
      <c r="X642" s="351"/>
      <c r="Y642" s="351"/>
      <c r="Z642" s="351"/>
      <c r="AA642" s="351"/>
      <c r="AB642" s="351"/>
    </row>
    <row r="643" ht="14.25" customHeight="1">
      <c r="A643" s="438"/>
      <c r="B643" s="108"/>
      <c r="C643" s="450" t="s">
        <v>12259</v>
      </c>
      <c r="D643" s="297" t="s">
        <v>271</v>
      </c>
      <c r="E643" s="450" t="s">
        <v>5</v>
      </c>
      <c r="F643" s="451" t="s">
        <v>12825</v>
      </c>
      <c r="G643" s="454" t="s">
        <v>12826</v>
      </c>
      <c r="H643" s="451" t="s">
        <v>12655</v>
      </c>
      <c r="I643" s="258" t="s">
        <v>36</v>
      </c>
      <c r="J643" s="351"/>
      <c r="K643" s="351"/>
      <c r="L643" s="351"/>
      <c r="M643" s="351"/>
      <c r="N643" s="351"/>
      <c r="O643" s="351"/>
      <c r="P643" s="351"/>
      <c r="Q643" s="351"/>
      <c r="R643" s="351"/>
      <c r="S643" s="351"/>
      <c r="T643" s="351"/>
      <c r="U643" s="351"/>
      <c r="V643" s="351"/>
      <c r="W643" s="351"/>
      <c r="X643" s="351"/>
      <c r="Y643" s="351"/>
      <c r="Z643" s="351"/>
      <c r="AA643" s="351"/>
      <c r="AB643" s="351"/>
    </row>
    <row r="644" ht="14.25" customHeight="1">
      <c r="A644" s="438"/>
      <c r="B644" s="108"/>
      <c r="C644" s="450" t="s">
        <v>12263</v>
      </c>
      <c r="D644" s="297" t="s">
        <v>271</v>
      </c>
      <c r="E644" s="450" t="s">
        <v>5</v>
      </c>
      <c r="F644" s="451" t="s">
        <v>12656</v>
      </c>
      <c r="G644" s="454" t="s">
        <v>12827</v>
      </c>
      <c r="H644" s="451" t="s">
        <v>12658</v>
      </c>
      <c r="I644" s="258" t="s">
        <v>36</v>
      </c>
      <c r="J644" s="351"/>
      <c r="K644" s="351"/>
      <c r="L644" s="351"/>
      <c r="M644" s="351"/>
      <c r="N644" s="351"/>
      <c r="O644" s="351"/>
      <c r="P644" s="351"/>
      <c r="Q644" s="351"/>
      <c r="R644" s="351"/>
      <c r="S644" s="351"/>
      <c r="T644" s="351"/>
      <c r="U644" s="351"/>
      <c r="V644" s="351"/>
      <c r="W644" s="351"/>
      <c r="X644" s="351"/>
      <c r="Y644" s="351"/>
      <c r="Z644" s="351"/>
      <c r="AA644" s="351"/>
      <c r="AB644" s="351"/>
    </row>
    <row r="645" ht="14.25" customHeight="1">
      <c r="A645" s="438"/>
      <c r="B645" s="108"/>
      <c r="C645" s="450" t="s">
        <v>12266</v>
      </c>
      <c r="D645" s="297" t="s">
        <v>271</v>
      </c>
      <c r="E645" s="450" t="s">
        <v>5</v>
      </c>
      <c r="F645" s="451" t="s">
        <v>12828</v>
      </c>
      <c r="G645" s="454" t="s">
        <v>12829</v>
      </c>
      <c r="H645" s="451" t="s">
        <v>12830</v>
      </c>
      <c r="I645" s="258" t="s">
        <v>36</v>
      </c>
      <c r="J645" s="351"/>
      <c r="K645" s="351"/>
      <c r="L645" s="351"/>
      <c r="M645" s="351"/>
      <c r="N645" s="351"/>
      <c r="O645" s="351"/>
      <c r="P645" s="351"/>
      <c r="Q645" s="351"/>
      <c r="R645" s="351"/>
      <c r="S645" s="351"/>
      <c r="T645" s="351"/>
      <c r="U645" s="351"/>
      <c r="V645" s="351"/>
      <c r="W645" s="351"/>
      <c r="X645" s="351"/>
      <c r="Y645" s="351"/>
      <c r="Z645" s="351"/>
      <c r="AA645" s="351"/>
      <c r="AB645" s="351"/>
    </row>
    <row r="646" ht="14.25" customHeight="1">
      <c r="A646" s="438"/>
      <c r="B646" s="108"/>
      <c r="C646" s="450" t="s">
        <v>12270</v>
      </c>
      <c r="D646" s="297" t="s">
        <v>271</v>
      </c>
      <c r="E646" s="450" t="s">
        <v>5</v>
      </c>
      <c r="F646" s="451" t="s">
        <v>12831</v>
      </c>
      <c r="G646" s="454" t="s">
        <v>12832</v>
      </c>
      <c r="H646" s="451" t="s">
        <v>12833</v>
      </c>
      <c r="I646" s="258" t="s">
        <v>36</v>
      </c>
      <c r="J646" s="351"/>
      <c r="K646" s="351"/>
      <c r="L646" s="351"/>
      <c r="M646" s="351"/>
      <c r="N646" s="351"/>
      <c r="O646" s="351"/>
      <c r="P646" s="351"/>
      <c r="Q646" s="351"/>
      <c r="R646" s="351"/>
      <c r="S646" s="351"/>
      <c r="T646" s="351"/>
      <c r="U646" s="351"/>
      <c r="V646" s="351"/>
      <c r="W646" s="351"/>
      <c r="X646" s="351"/>
      <c r="Y646" s="351"/>
      <c r="Z646" s="351"/>
      <c r="AA646" s="351"/>
      <c r="AB646" s="351"/>
    </row>
    <row r="647" ht="14.25" customHeight="1">
      <c r="A647" s="438"/>
      <c r="B647" s="108"/>
      <c r="C647" s="450" t="s">
        <v>12274</v>
      </c>
      <c r="D647" s="297" t="s">
        <v>271</v>
      </c>
      <c r="E647" s="450" t="s">
        <v>5</v>
      </c>
      <c r="F647" s="451" t="s">
        <v>12834</v>
      </c>
      <c r="G647" s="454" t="s">
        <v>12835</v>
      </c>
      <c r="H647" s="451" t="s">
        <v>12836</v>
      </c>
      <c r="I647" s="258" t="s">
        <v>36</v>
      </c>
      <c r="J647" s="351"/>
      <c r="K647" s="351"/>
      <c r="L647" s="351"/>
      <c r="M647" s="351"/>
      <c r="N647" s="351"/>
      <c r="O647" s="351"/>
      <c r="P647" s="351"/>
      <c r="Q647" s="351"/>
      <c r="R647" s="351"/>
      <c r="S647" s="351"/>
      <c r="T647" s="351"/>
      <c r="U647" s="351"/>
      <c r="V647" s="351"/>
      <c r="W647" s="351"/>
      <c r="X647" s="351"/>
      <c r="Y647" s="351"/>
      <c r="Z647" s="351"/>
      <c r="AA647" s="351"/>
      <c r="AB647" s="351"/>
    </row>
    <row r="648" ht="14.25" customHeight="1">
      <c r="A648" s="438"/>
      <c r="B648" s="108"/>
      <c r="C648" s="450" t="s">
        <v>12277</v>
      </c>
      <c r="D648" s="297" t="s">
        <v>271</v>
      </c>
      <c r="E648" s="450" t="s">
        <v>5</v>
      </c>
      <c r="F648" s="451" t="s">
        <v>12837</v>
      </c>
      <c r="G648" s="454" t="s">
        <v>12838</v>
      </c>
      <c r="H648" s="451" t="s">
        <v>12839</v>
      </c>
      <c r="I648" s="258" t="s">
        <v>36</v>
      </c>
      <c r="J648" s="351"/>
      <c r="K648" s="351"/>
      <c r="L648" s="351"/>
      <c r="M648" s="351"/>
      <c r="N648" s="351"/>
      <c r="O648" s="351"/>
      <c r="P648" s="351"/>
      <c r="Q648" s="351"/>
      <c r="R648" s="351"/>
      <c r="S648" s="351"/>
      <c r="T648" s="351"/>
      <c r="U648" s="351"/>
      <c r="V648" s="351"/>
      <c r="W648" s="351"/>
      <c r="X648" s="351"/>
      <c r="Y648" s="351"/>
      <c r="Z648" s="351"/>
      <c r="AA648" s="351"/>
      <c r="AB648" s="351"/>
    </row>
    <row r="649" ht="14.25" customHeight="1">
      <c r="A649" s="438"/>
      <c r="B649" s="108"/>
      <c r="C649" s="450" t="s">
        <v>12280</v>
      </c>
      <c r="D649" s="297" t="s">
        <v>271</v>
      </c>
      <c r="E649" s="450" t="s">
        <v>5</v>
      </c>
      <c r="F649" s="451" t="s">
        <v>12840</v>
      </c>
      <c r="G649" s="454" t="s">
        <v>12841</v>
      </c>
      <c r="H649" s="451" t="s">
        <v>12842</v>
      </c>
      <c r="I649" s="258" t="s">
        <v>36</v>
      </c>
      <c r="J649" s="351"/>
      <c r="K649" s="351"/>
      <c r="L649" s="351"/>
      <c r="M649" s="351"/>
      <c r="N649" s="351"/>
      <c r="O649" s="351"/>
      <c r="P649" s="351"/>
      <c r="Q649" s="351"/>
      <c r="R649" s="351"/>
      <c r="S649" s="351"/>
      <c r="T649" s="351"/>
      <c r="U649" s="351"/>
      <c r="V649" s="351"/>
      <c r="W649" s="351"/>
      <c r="X649" s="351"/>
      <c r="Y649" s="351"/>
      <c r="Z649" s="351"/>
      <c r="AA649" s="351"/>
      <c r="AB649" s="351"/>
    </row>
    <row r="650" ht="14.25" customHeight="1">
      <c r="A650" s="438"/>
      <c r="B650" s="108"/>
      <c r="C650" s="450" t="s">
        <v>12283</v>
      </c>
      <c r="D650" s="297" t="s">
        <v>271</v>
      </c>
      <c r="E650" s="450" t="s">
        <v>5</v>
      </c>
      <c r="F650" s="451" t="s">
        <v>12843</v>
      </c>
      <c r="G650" s="454" t="s">
        <v>12844</v>
      </c>
      <c r="H650" s="451" t="s">
        <v>12845</v>
      </c>
      <c r="I650" s="258" t="s">
        <v>36</v>
      </c>
      <c r="J650" s="351"/>
      <c r="K650" s="351"/>
      <c r="L650" s="351"/>
      <c r="M650" s="351"/>
      <c r="N650" s="351"/>
      <c r="O650" s="351"/>
      <c r="P650" s="351"/>
      <c r="Q650" s="351"/>
      <c r="R650" s="351"/>
      <c r="S650" s="351"/>
      <c r="T650" s="351"/>
      <c r="U650" s="351"/>
      <c r="V650" s="351"/>
      <c r="W650" s="351"/>
      <c r="X650" s="351"/>
      <c r="Y650" s="351"/>
      <c r="Z650" s="351"/>
      <c r="AA650" s="351"/>
      <c r="AB650" s="351"/>
    </row>
    <row r="651" ht="14.25" customHeight="1">
      <c r="A651" s="438"/>
      <c r="B651" s="108"/>
      <c r="C651" s="450" t="s">
        <v>12286</v>
      </c>
      <c r="D651" s="297" t="s">
        <v>271</v>
      </c>
      <c r="E651" s="450" t="s">
        <v>5</v>
      </c>
      <c r="F651" s="451" t="s">
        <v>12846</v>
      </c>
      <c r="G651" s="454" t="s">
        <v>12847</v>
      </c>
      <c r="H651" s="451" t="s">
        <v>12842</v>
      </c>
      <c r="I651" s="258" t="s">
        <v>36</v>
      </c>
      <c r="J651" s="351"/>
      <c r="K651" s="351"/>
      <c r="L651" s="351"/>
      <c r="M651" s="351"/>
      <c r="N651" s="351"/>
      <c r="O651" s="351"/>
      <c r="P651" s="351"/>
      <c r="Q651" s="351"/>
      <c r="R651" s="351"/>
      <c r="S651" s="351"/>
      <c r="T651" s="351"/>
      <c r="U651" s="351"/>
      <c r="V651" s="351"/>
      <c r="W651" s="351"/>
      <c r="X651" s="351"/>
      <c r="Y651" s="351"/>
      <c r="Z651" s="351"/>
      <c r="AA651" s="351"/>
      <c r="AB651" s="351"/>
    </row>
    <row r="652" ht="14.25" customHeight="1">
      <c r="A652" s="438"/>
      <c r="B652" s="108"/>
      <c r="C652" s="450" t="s">
        <v>12848</v>
      </c>
      <c r="D652" s="297" t="s">
        <v>271</v>
      </c>
      <c r="E652" s="450" t="s">
        <v>5</v>
      </c>
      <c r="F652" s="451" t="s">
        <v>12849</v>
      </c>
      <c r="G652" s="454" t="s">
        <v>12850</v>
      </c>
      <c r="H652" s="451" t="s">
        <v>12851</v>
      </c>
      <c r="I652" s="258" t="s">
        <v>36</v>
      </c>
      <c r="J652" s="351"/>
      <c r="K652" s="351"/>
      <c r="L652" s="351"/>
      <c r="M652" s="351"/>
      <c r="N652" s="351"/>
      <c r="O652" s="351"/>
      <c r="P652" s="351"/>
      <c r="Q652" s="351"/>
      <c r="R652" s="351"/>
      <c r="S652" s="351"/>
      <c r="T652" s="351"/>
      <c r="U652" s="351"/>
      <c r="V652" s="351"/>
      <c r="W652" s="351"/>
      <c r="X652" s="351"/>
      <c r="Y652" s="351"/>
      <c r="Z652" s="351"/>
      <c r="AA652" s="351"/>
      <c r="AB652" s="351"/>
    </row>
    <row r="653" ht="14.25" customHeight="1">
      <c r="A653" s="438"/>
      <c r="B653" s="108"/>
      <c r="C653" s="450" t="s">
        <v>12852</v>
      </c>
      <c r="D653" s="297" t="s">
        <v>271</v>
      </c>
      <c r="E653" s="450" t="s">
        <v>5</v>
      </c>
      <c r="F653" s="451" t="s">
        <v>12853</v>
      </c>
      <c r="G653" s="451" t="s">
        <v>12854</v>
      </c>
      <c r="H653" s="451" t="s">
        <v>12855</v>
      </c>
      <c r="I653" s="258" t="s">
        <v>36</v>
      </c>
      <c r="J653" s="351"/>
      <c r="K653" s="351"/>
      <c r="L653" s="351"/>
      <c r="M653" s="351"/>
      <c r="N653" s="351"/>
      <c r="O653" s="351"/>
      <c r="P653" s="351"/>
      <c r="Q653" s="351"/>
      <c r="R653" s="351"/>
      <c r="S653" s="351"/>
      <c r="T653" s="351"/>
      <c r="U653" s="351"/>
      <c r="V653" s="351"/>
      <c r="W653" s="351"/>
      <c r="X653" s="351"/>
      <c r="Y653" s="351"/>
      <c r="Z653" s="351"/>
      <c r="AA653" s="351"/>
      <c r="AB653" s="351"/>
    </row>
    <row r="654" ht="14.25" customHeight="1">
      <c r="A654" s="438"/>
      <c r="B654" s="108"/>
      <c r="C654" s="450" t="s">
        <v>12856</v>
      </c>
      <c r="D654" s="297" t="s">
        <v>271</v>
      </c>
      <c r="E654" s="450" t="s">
        <v>5</v>
      </c>
      <c r="F654" s="451" t="s">
        <v>12857</v>
      </c>
      <c r="G654" s="451" t="s">
        <v>12858</v>
      </c>
      <c r="H654" s="451" t="s">
        <v>12859</v>
      </c>
      <c r="I654" s="258" t="s">
        <v>36</v>
      </c>
      <c r="J654" s="351"/>
      <c r="K654" s="351"/>
      <c r="L654" s="351"/>
      <c r="M654" s="351"/>
      <c r="N654" s="351"/>
      <c r="O654" s="351"/>
      <c r="P654" s="351"/>
      <c r="Q654" s="351"/>
      <c r="R654" s="351"/>
      <c r="S654" s="351"/>
      <c r="T654" s="351"/>
      <c r="U654" s="351"/>
      <c r="V654" s="351"/>
      <c r="W654" s="351"/>
      <c r="X654" s="351"/>
      <c r="Y654" s="351"/>
      <c r="Z654" s="351"/>
      <c r="AA654" s="351"/>
      <c r="AB654" s="351"/>
    </row>
    <row r="655" ht="14.25" customHeight="1">
      <c r="A655" s="438"/>
      <c r="B655" s="108"/>
      <c r="C655" s="450" t="s">
        <v>12860</v>
      </c>
      <c r="D655" s="297" t="s">
        <v>271</v>
      </c>
      <c r="E655" s="450" t="s">
        <v>5</v>
      </c>
      <c r="F655" s="451" t="s">
        <v>11366</v>
      </c>
      <c r="G655" s="451" t="s">
        <v>12861</v>
      </c>
      <c r="H655" s="451" t="s">
        <v>11367</v>
      </c>
      <c r="I655" s="258" t="s">
        <v>36</v>
      </c>
      <c r="J655" s="351"/>
      <c r="K655" s="351"/>
      <c r="L655" s="351"/>
      <c r="M655" s="351"/>
      <c r="N655" s="351"/>
      <c r="O655" s="351"/>
      <c r="P655" s="351"/>
      <c r="Q655" s="351"/>
      <c r="R655" s="351"/>
      <c r="S655" s="351"/>
      <c r="T655" s="351"/>
      <c r="U655" s="351"/>
      <c r="V655" s="351"/>
      <c r="W655" s="351"/>
      <c r="X655" s="351"/>
      <c r="Y655" s="351"/>
      <c r="Z655" s="351"/>
      <c r="AA655" s="351"/>
      <c r="AB655" s="351"/>
    </row>
    <row r="656" ht="14.25" customHeight="1">
      <c r="A656" s="438"/>
      <c r="B656" s="108"/>
      <c r="C656" s="450" t="s">
        <v>12862</v>
      </c>
      <c r="D656" s="297" t="s">
        <v>271</v>
      </c>
      <c r="E656" s="450" t="s">
        <v>5</v>
      </c>
      <c r="F656" s="451" t="s">
        <v>11369</v>
      </c>
      <c r="G656" s="451" t="s">
        <v>12863</v>
      </c>
      <c r="H656" s="451" t="s">
        <v>11370</v>
      </c>
      <c r="I656" s="258" t="s">
        <v>36</v>
      </c>
      <c r="J656" s="351"/>
      <c r="K656" s="351"/>
      <c r="L656" s="351"/>
      <c r="M656" s="351"/>
      <c r="N656" s="351"/>
      <c r="O656" s="351"/>
      <c r="P656" s="351"/>
      <c r="Q656" s="351"/>
      <c r="R656" s="351"/>
      <c r="S656" s="351"/>
      <c r="T656" s="351"/>
      <c r="U656" s="351"/>
      <c r="V656" s="351"/>
      <c r="W656" s="351"/>
      <c r="X656" s="351"/>
      <c r="Y656" s="351"/>
      <c r="Z656" s="351"/>
      <c r="AA656" s="351"/>
      <c r="AB656" s="351"/>
    </row>
    <row r="657" ht="14.25" customHeight="1">
      <c r="A657" s="438"/>
      <c r="B657" s="108"/>
      <c r="C657" s="450" t="s">
        <v>12864</v>
      </c>
      <c r="D657" s="297" t="s">
        <v>271</v>
      </c>
      <c r="E657" s="450" t="s">
        <v>5</v>
      </c>
      <c r="F657" s="451" t="s">
        <v>12865</v>
      </c>
      <c r="G657" s="451" t="s">
        <v>12866</v>
      </c>
      <c r="H657" s="451" t="s">
        <v>12867</v>
      </c>
      <c r="I657" s="258" t="s">
        <v>36</v>
      </c>
      <c r="J657" s="351"/>
      <c r="K657" s="351"/>
      <c r="L657" s="351"/>
      <c r="M657" s="351"/>
      <c r="N657" s="351"/>
      <c r="O657" s="351"/>
      <c r="P657" s="351"/>
      <c r="Q657" s="351"/>
      <c r="R657" s="351"/>
      <c r="S657" s="351"/>
      <c r="T657" s="351"/>
      <c r="U657" s="351"/>
      <c r="V657" s="351"/>
      <c r="W657" s="351"/>
      <c r="X657" s="351"/>
      <c r="Y657" s="351"/>
      <c r="Z657" s="351"/>
      <c r="AA657" s="351"/>
      <c r="AB657" s="351"/>
    </row>
    <row r="658" ht="14.25" customHeight="1">
      <c r="A658" s="438"/>
      <c r="B658" s="108"/>
      <c r="C658" s="450" t="s">
        <v>12868</v>
      </c>
      <c r="D658" s="297" t="s">
        <v>271</v>
      </c>
      <c r="E658" s="450" t="s">
        <v>5</v>
      </c>
      <c r="F658" s="451" t="s">
        <v>12869</v>
      </c>
      <c r="G658" s="451" t="s">
        <v>12870</v>
      </c>
      <c r="H658" s="451" t="s">
        <v>12871</v>
      </c>
      <c r="I658" s="258" t="s">
        <v>36</v>
      </c>
      <c r="J658" s="351"/>
      <c r="K658" s="351"/>
      <c r="L658" s="351"/>
      <c r="M658" s="351"/>
      <c r="N658" s="351"/>
      <c r="O658" s="351"/>
      <c r="P658" s="351"/>
      <c r="Q658" s="351"/>
      <c r="R658" s="351"/>
      <c r="S658" s="351"/>
      <c r="T658" s="351"/>
      <c r="U658" s="351"/>
      <c r="V658" s="351"/>
      <c r="W658" s="351"/>
      <c r="X658" s="351"/>
      <c r="Y658" s="351"/>
      <c r="Z658" s="351"/>
      <c r="AA658" s="351"/>
      <c r="AB658" s="351"/>
    </row>
    <row r="659" ht="14.25" customHeight="1">
      <c r="A659" s="438"/>
      <c r="B659" s="108"/>
      <c r="C659" s="450" t="s">
        <v>12872</v>
      </c>
      <c r="D659" s="297" t="s">
        <v>271</v>
      </c>
      <c r="E659" s="450" t="s">
        <v>5</v>
      </c>
      <c r="F659" s="451" t="s">
        <v>12873</v>
      </c>
      <c r="G659" s="451" t="s">
        <v>12874</v>
      </c>
      <c r="H659" s="451" t="s">
        <v>12646</v>
      </c>
      <c r="I659" s="258" t="s">
        <v>36</v>
      </c>
      <c r="J659" s="351"/>
      <c r="K659" s="351"/>
      <c r="L659" s="351"/>
      <c r="M659" s="351"/>
      <c r="N659" s="351"/>
      <c r="O659" s="351"/>
      <c r="P659" s="351"/>
      <c r="Q659" s="351"/>
      <c r="R659" s="351"/>
      <c r="S659" s="351"/>
      <c r="T659" s="351"/>
      <c r="U659" s="351"/>
      <c r="V659" s="351"/>
      <c r="W659" s="351"/>
      <c r="X659" s="351"/>
      <c r="Y659" s="351"/>
      <c r="Z659" s="351"/>
      <c r="AA659" s="351"/>
      <c r="AB659" s="351"/>
    </row>
    <row r="660" ht="14.25" customHeight="1">
      <c r="A660" s="438"/>
      <c r="B660" s="108"/>
      <c r="C660" s="450" t="s">
        <v>12875</v>
      </c>
      <c r="D660" s="297" t="s">
        <v>271</v>
      </c>
      <c r="E660" s="450" t="s">
        <v>5</v>
      </c>
      <c r="F660" s="451" t="s">
        <v>12876</v>
      </c>
      <c r="G660" s="451" t="s">
        <v>12877</v>
      </c>
      <c r="H660" s="451" t="s">
        <v>12808</v>
      </c>
      <c r="I660" s="258" t="s">
        <v>36</v>
      </c>
      <c r="J660" s="351"/>
      <c r="K660" s="351"/>
      <c r="L660" s="351"/>
      <c r="M660" s="351"/>
      <c r="N660" s="351"/>
      <c r="O660" s="351"/>
      <c r="P660" s="351"/>
      <c r="Q660" s="351"/>
      <c r="R660" s="351"/>
      <c r="S660" s="351"/>
      <c r="T660" s="351"/>
      <c r="U660" s="351"/>
      <c r="V660" s="351"/>
      <c r="W660" s="351"/>
      <c r="X660" s="351"/>
      <c r="Y660" s="351"/>
      <c r="Z660" s="351"/>
      <c r="AA660" s="351"/>
      <c r="AB660" s="351"/>
    </row>
    <row r="661" ht="14.25" customHeight="1">
      <c r="A661" s="438"/>
      <c r="B661" s="108"/>
      <c r="C661" s="450" t="s">
        <v>12878</v>
      </c>
      <c r="D661" s="297" t="s">
        <v>271</v>
      </c>
      <c r="E661" s="450" t="s">
        <v>5</v>
      </c>
      <c r="F661" s="451" t="s">
        <v>12879</v>
      </c>
      <c r="G661" s="451" t="s">
        <v>12880</v>
      </c>
      <c r="H661" s="451" t="s">
        <v>12881</v>
      </c>
      <c r="I661" s="258" t="s">
        <v>36</v>
      </c>
      <c r="J661" s="351"/>
      <c r="K661" s="351"/>
      <c r="L661" s="351"/>
      <c r="M661" s="351"/>
      <c r="N661" s="351"/>
      <c r="O661" s="351"/>
      <c r="P661" s="351"/>
      <c r="Q661" s="351"/>
      <c r="R661" s="351"/>
      <c r="S661" s="351"/>
      <c r="T661" s="351"/>
      <c r="U661" s="351"/>
      <c r="V661" s="351"/>
      <c r="W661" s="351"/>
      <c r="X661" s="351"/>
      <c r="Y661" s="351"/>
      <c r="Z661" s="351"/>
      <c r="AA661" s="351"/>
      <c r="AB661" s="351"/>
    </row>
    <row r="662" ht="14.25" customHeight="1">
      <c r="A662" s="438"/>
      <c r="B662" s="108"/>
      <c r="C662" s="450" t="s">
        <v>12882</v>
      </c>
      <c r="D662" s="297" t="s">
        <v>271</v>
      </c>
      <c r="E662" s="450" t="s">
        <v>5</v>
      </c>
      <c r="F662" s="451" t="s">
        <v>12883</v>
      </c>
      <c r="G662" s="451" t="s">
        <v>12884</v>
      </c>
      <c r="H662" s="451" t="s">
        <v>12814</v>
      </c>
      <c r="I662" s="258" t="s">
        <v>36</v>
      </c>
      <c r="J662" s="351"/>
      <c r="K662" s="351"/>
      <c r="L662" s="351"/>
      <c r="M662" s="351"/>
      <c r="N662" s="351"/>
      <c r="O662" s="351"/>
      <c r="P662" s="351"/>
      <c r="Q662" s="351"/>
      <c r="R662" s="351"/>
      <c r="S662" s="351"/>
      <c r="T662" s="351"/>
      <c r="U662" s="351"/>
      <c r="V662" s="351"/>
      <c r="W662" s="351"/>
      <c r="X662" s="351"/>
      <c r="Y662" s="351"/>
      <c r="Z662" s="351"/>
      <c r="AA662" s="351"/>
      <c r="AB662" s="351"/>
    </row>
    <row r="663" ht="14.25" customHeight="1">
      <c r="A663" s="438"/>
      <c r="B663" s="108"/>
      <c r="C663" s="450" t="s">
        <v>12885</v>
      </c>
      <c r="D663" s="297" t="s">
        <v>271</v>
      </c>
      <c r="E663" s="450" t="s">
        <v>5</v>
      </c>
      <c r="F663" s="451" t="s">
        <v>12886</v>
      </c>
      <c r="G663" s="451" t="s">
        <v>12887</v>
      </c>
      <c r="H663" s="451" t="s">
        <v>12888</v>
      </c>
      <c r="I663" s="258" t="s">
        <v>36</v>
      </c>
      <c r="J663" s="351"/>
      <c r="K663" s="351"/>
      <c r="L663" s="351"/>
      <c r="M663" s="351"/>
      <c r="N663" s="351"/>
      <c r="O663" s="351"/>
      <c r="P663" s="351"/>
      <c r="Q663" s="351"/>
      <c r="R663" s="351"/>
      <c r="S663" s="351"/>
      <c r="T663" s="351"/>
      <c r="U663" s="351"/>
      <c r="V663" s="351"/>
      <c r="W663" s="351"/>
      <c r="X663" s="351"/>
      <c r="Y663" s="351"/>
      <c r="Z663" s="351"/>
      <c r="AA663" s="351"/>
      <c r="AB663" s="351"/>
    </row>
    <row r="664" ht="14.25" customHeight="1">
      <c r="A664" s="438"/>
      <c r="B664" s="108"/>
      <c r="C664" s="450" t="s">
        <v>12889</v>
      </c>
      <c r="D664" s="297" t="s">
        <v>271</v>
      </c>
      <c r="E664" s="450" t="s">
        <v>5</v>
      </c>
      <c r="F664" s="451" t="s">
        <v>12890</v>
      </c>
      <c r="G664" s="451" t="s">
        <v>12891</v>
      </c>
      <c r="H664" s="451" t="s">
        <v>12655</v>
      </c>
      <c r="I664" s="258" t="s">
        <v>36</v>
      </c>
      <c r="J664" s="351"/>
      <c r="K664" s="351"/>
      <c r="L664" s="351"/>
      <c r="M664" s="351"/>
      <c r="N664" s="351"/>
      <c r="O664" s="351"/>
      <c r="P664" s="351"/>
      <c r="Q664" s="351"/>
      <c r="R664" s="351"/>
      <c r="S664" s="351"/>
      <c r="T664" s="351"/>
      <c r="U664" s="351"/>
      <c r="V664" s="351"/>
      <c r="W664" s="351"/>
      <c r="X664" s="351"/>
      <c r="Y664" s="351"/>
      <c r="Z664" s="351"/>
      <c r="AA664" s="351"/>
      <c r="AB664" s="351"/>
    </row>
    <row r="665" ht="14.25" customHeight="1">
      <c r="A665" s="438"/>
      <c r="B665" s="108"/>
      <c r="C665" s="450" t="s">
        <v>12892</v>
      </c>
      <c r="D665" s="297" t="s">
        <v>271</v>
      </c>
      <c r="E665" s="450" t="s">
        <v>5</v>
      </c>
      <c r="F665" s="451" t="s">
        <v>12893</v>
      </c>
      <c r="G665" s="451" t="s">
        <v>12894</v>
      </c>
      <c r="H665" s="451" t="s">
        <v>12655</v>
      </c>
      <c r="I665" s="258" t="s">
        <v>36</v>
      </c>
      <c r="J665" s="351"/>
      <c r="K665" s="351"/>
      <c r="L665" s="351"/>
      <c r="M665" s="351"/>
      <c r="N665" s="351"/>
      <c r="O665" s="351"/>
      <c r="P665" s="351"/>
      <c r="Q665" s="351"/>
      <c r="R665" s="351"/>
      <c r="S665" s="351"/>
      <c r="T665" s="351"/>
      <c r="U665" s="351"/>
      <c r="V665" s="351"/>
      <c r="W665" s="351"/>
      <c r="X665" s="351"/>
      <c r="Y665" s="351"/>
      <c r="Z665" s="351"/>
      <c r="AA665" s="351"/>
      <c r="AB665" s="351"/>
    </row>
    <row r="666" ht="14.25" customHeight="1">
      <c r="A666" s="438"/>
      <c r="B666" s="108"/>
      <c r="C666" s="450" t="s">
        <v>12895</v>
      </c>
      <c r="D666" s="297" t="s">
        <v>271</v>
      </c>
      <c r="E666" s="450" t="s">
        <v>5</v>
      </c>
      <c r="F666" s="451" t="s">
        <v>12896</v>
      </c>
      <c r="G666" s="451" t="s">
        <v>12897</v>
      </c>
      <c r="H666" s="451" t="s">
        <v>12655</v>
      </c>
      <c r="I666" s="258" t="s">
        <v>36</v>
      </c>
      <c r="J666" s="351"/>
      <c r="K666" s="351"/>
      <c r="L666" s="351"/>
      <c r="M666" s="351"/>
      <c r="N666" s="351"/>
      <c r="O666" s="351"/>
      <c r="P666" s="351"/>
      <c r="Q666" s="351"/>
      <c r="R666" s="351"/>
      <c r="S666" s="351"/>
      <c r="T666" s="351"/>
      <c r="U666" s="351"/>
      <c r="V666" s="351"/>
      <c r="W666" s="351"/>
      <c r="X666" s="351"/>
      <c r="Y666" s="351"/>
      <c r="Z666" s="351"/>
      <c r="AA666" s="351"/>
      <c r="AB666" s="351"/>
    </row>
    <row r="667" ht="14.25" customHeight="1">
      <c r="A667" s="438"/>
      <c r="B667" s="108"/>
      <c r="C667" s="450" t="s">
        <v>12898</v>
      </c>
      <c r="D667" s="297" t="s">
        <v>271</v>
      </c>
      <c r="E667" s="450" t="s">
        <v>5</v>
      </c>
      <c r="F667" s="451" t="s">
        <v>12899</v>
      </c>
      <c r="G667" s="451" t="s">
        <v>12897</v>
      </c>
      <c r="H667" s="451" t="s">
        <v>12655</v>
      </c>
      <c r="I667" s="258" t="s">
        <v>36</v>
      </c>
      <c r="J667" s="351"/>
      <c r="K667" s="351"/>
      <c r="L667" s="351"/>
      <c r="M667" s="351"/>
      <c r="N667" s="351"/>
      <c r="O667" s="351"/>
      <c r="P667" s="351"/>
      <c r="Q667" s="351"/>
      <c r="R667" s="351"/>
      <c r="S667" s="351"/>
      <c r="T667" s="351"/>
      <c r="U667" s="351"/>
      <c r="V667" s="351"/>
      <c r="W667" s="351"/>
      <c r="X667" s="351"/>
      <c r="Y667" s="351"/>
      <c r="Z667" s="351"/>
      <c r="AA667" s="351"/>
      <c r="AB667" s="351"/>
    </row>
    <row r="668" ht="14.25" customHeight="1">
      <c r="A668" s="438"/>
      <c r="B668" s="108"/>
      <c r="C668" s="450" t="s">
        <v>12900</v>
      </c>
      <c r="D668" s="297" t="s">
        <v>271</v>
      </c>
      <c r="E668" s="450" t="s">
        <v>5</v>
      </c>
      <c r="F668" s="451" t="s">
        <v>12901</v>
      </c>
      <c r="G668" s="451" t="s">
        <v>12897</v>
      </c>
      <c r="H668" s="451" t="s">
        <v>12655</v>
      </c>
      <c r="I668" s="258" t="s">
        <v>36</v>
      </c>
      <c r="J668" s="351"/>
      <c r="K668" s="351"/>
      <c r="L668" s="351"/>
      <c r="M668" s="351"/>
      <c r="N668" s="351"/>
      <c r="O668" s="351"/>
      <c r="P668" s="351"/>
      <c r="Q668" s="351"/>
      <c r="R668" s="351"/>
      <c r="S668" s="351"/>
      <c r="T668" s="351"/>
      <c r="U668" s="351"/>
      <c r="V668" s="351"/>
      <c r="W668" s="351"/>
      <c r="X668" s="351"/>
      <c r="Y668" s="351"/>
      <c r="Z668" s="351"/>
      <c r="AA668" s="351"/>
      <c r="AB668" s="351"/>
    </row>
    <row r="669" ht="14.25" customHeight="1">
      <c r="A669" s="438"/>
      <c r="B669" s="108"/>
      <c r="C669" s="450" t="s">
        <v>12902</v>
      </c>
      <c r="D669" s="297" t="s">
        <v>271</v>
      </c>
      <c r="E669" s="450" t="s">
        <v>5</v>
      </c>
      <c r="F669" s="451" t="s">
        <v>12903</v>
      </c>
      <c r="G669" s="451" t="s">
        <v>12904</v>
      </c>
      <c r="H669" s="451" t="s">
        <v>12655</v>
      </c>
      <c r="I669" s="258" t="s">
        <v>36</v>
      </c>
      <c r="J669" s="351"/>
      <c r="K669" s="351"/>
      <c r="L669" s="351"/>
      <c r="M669" s="351"/>
      <c r="N669" s="351"/>
      <c r="O669" s="351"/>
      <c r="P669" s="351"/>
      <c r="Q669" s="351"/>
      <c r="R669" s="351"/>
      <c r="S669" s="351"/>
      <c r="T669" s="351"/>
      <c r="U669" s="351"/>
      <c r="V669" s="351"/>
      <c r="W669" s="351"/>
      <c r="X669" s="351"/>
      <c r="Y669" s="351"/>
      <c r="Z669" s="351"/>
      <c r="AA669" s="351"/>
      <c r="AB669" s="351"/>
    </row>
    <row r="670" ht="14.25" customHeight="1">
      <c r="A670" s="438"/>
      <c r="B670" s="108"/>
      <c r="C670" s="450" t="s">
        <v>12905</v>
      </c>
      <c r="D670" s="297" t="s">
        <v>271</v>
      </c>
      <c r="E670" s="450" t="s">
        <v>5</v>
      </c>
      <c r="F670" s="451" t="s">
        <v>12906</v>
      </c>
      <c r="G670" s="451" t="s">
        <v>12907</v>
      </c>
      <c r="H670" s="451" t="s">
        <v>12658</v>
      </c>
      <c r="I670" s="258" t="s">
        <v>36</v>
      </c>
      <c r="J670" s="351"/>
      <c r="K670" s="351"/>
      <c r="L670" s="351"/>
      <c r="M670" s="351"/>
      <c r="N670" s="351"/>
      <c r="O670" s="351"/>
      <c r="P670" s="351"/>
      <c r="Q670" s="351"/>
      <c r="R670" s="351"/>
      <c r="S670" s="351"/>
      <c r="T670" s="351"/>
      <c r="U670" s="351"/>
      <c r="V670" s="351"/>
      <c r="W670" s="351"/>
      <c r="X670" s="351"/>
      <c r="Y670" s="351"/>
      <c r="Z670" s="351"/>
      <c r="AA670" s="351"/>
      <c r="AB670" s="351"/>
    </row>
    <row r="671" ht="14.25" customHeight="1">
      <c r="A671" s="438"/>
      <c r="B671" s="108"/>
      <c r="C671" s="450" t="s">
        <v>12908</v>
      </c>
      <c r="D671" s="297" t="s">
        <v>271</v>
      </c>
      <c r="E671" s="450" t="s">
        <v>5</v>
      </c>
      <c r="F671" s="451" t="s">
        <v>12909</v>
      </c>
      <c r="G671" s="451" t="s">
        <v>12910</v>
      </c>
      <c r="H671" s="451" t="s">
        <v>12911</v>
      </c>
      <c r="I671" s="258" t="s">
        <v>36</v>
      </c>
      <c r="J671" s="351"/>
      <c r="K671" s="351"/>
      <c r="L671" s="351"/>
      <c r="M671" s="351"/>
      <c r="N671" s="351"/>
      <c r="O671" s="351"/>
      <c r="P671" s="351"/>
      <c r="Q671" s="351"/>
      <c r="R671" s="351"/>
      <c r="S671" s="351"/>
      <c r="T671" s="351"/>
      <c r="U671" s="351"/>
      <c r="V671" s="351"/>
      <c r="W671" s="351"/>
      <c r="X671" s="351"/>
      <c r="Y671" s="351"/>
      <c r="Z671" s="351"/>
      <c r="AA671" s="351"/>
      <c r="AB671" s="351"/>
    </row>
    <row r="672" ht="14.25" customHeight="1">
      <c r="A672" s="438"/>
      <c r="B672" s="108"/>
      <c r="C672" s="450" t="s">
        <v>12912</v>
      </c>
      <c r="D672" s="297" t="s">
        <v>271</v>
      </c>
      <c r="E672" s="450" t="s">
        <v>5</v>
      </c>
      <c r="F672" s="451" t="s">
        <v>12913</v>
      </c>
      <c r="G672" s="451" t="s">
        <v>12914</v>
      </c>
      <c r="H672" s="451" t="s">
        <v>12833</v>
      </c>
      <c r="I672" s="258" t="s">
        <v>36</v>
      </c>
      <c r="J672" s="351"/>
      <c r="K672" s="351"/>
      <c r="L672" s="351"/>
      <c r="M672" s="351"/>
      <c r="N672" s="351"/>
      <c r="O672" s="351"/>
      <c r="P672" s="351"/>
      <c r="Q672" s="351"/>
      <c r="R672" s="351"/>
      <c r="S672" s="351"/>
      <c r="T672" s="351"/>
      <c r="U672" s="351"/>
      <c r="V672" s="351"/>
      <c r="W672" s="351"/>
      <c r="X672" s="351"/>
      <c r="Y672" s="351"/>
      <c r="Z672" s="351"/>
      <c r="AA672" s="351"/>
      <c r="AB672" s="351"/>
    </row>
    <row r="673" ht="14.25" customHeight="1">
      <c r="A673" s="438"/>
      <c r="B673" s="108"/>
      <c r="C673" s="450" t="s">
        <v>12915</v>
      </c>
      <c r="D673" s="297" t="s">
        <v>271</v>
      </c>
      <c r="E673" s="450" t="s">
        <v>5</v>
      </c>
      <c r="F673" s="451" t="s">
        <v>12916</v>
      </c>
      <c r="G673" s="451" t="s">
        <v>12917</v>
      </c>
      <c r="H673" s="451" t="s">
        <v>12836</v>
      </c>
      <c r="I673" s="258" t="s">
        <v>36</v>
      </c>
      <c r="J673" s="351"/>
      <c r="K673" s="351"/>
      <c r="L673" s="351"/>
      <c r="M673" s="351"/>
      <c r="N673" s="351"/>
      <c r="O673" s="351"/>
      <c r="P673" s="351"/>
      <c r="Q673" s="351"/>
      <c r="R673" s="351"/>
      <c r="S673" s="351"/>
      <c r="T673" s="351"/>
      <c r="U673" s="351"/>
      <c r="V673" s="351"/>
      <c r="W673" s="351"/>
      <c r="X673" s="351"/>
      <c r="Y673" s="351"/>
      <c r="Z673" s="351"/>
      <c r="AA673" s="351"/>
      <c r="AB673" s="351"/>
    </row>
    <row r="674" ht="14.25" customHeight="1">
      <c r="A674" s="438"/>
      <c r="B674" s="108"/>
      <c r="C674" s="450" t="s">
        <v>12918</v>
      </c>
      <c r="D674" s="297" t="s">
        <v>271</v>
      </c>
      <c r="E674" s="450" t="s">
        <v>5</v>
      </c>
      <c r="F674" s="451" t="s">
        <v>12919</v>
      </c>
      <c r="G674" s="451" t="s">
        <v>12920</v>
      </c>
      <c r="H674" s="451" t="s">
        <v>12839</v>
      </c>
      <c r="I674" s="258" t="s">
        <v>36</v>
      </c>
      <c r="J674" s="351"/>
      <c r="K674" s="351"/>
      <c r="L674" s="351"/>
      <c r="M674" s="351"/>
      <c r="N674" s="351"/>
      <c r="O674" s="351"/>
      <c r="P674" s="351"/>
      <c r="Q674" s="351"/>
      <c r="R674" s="351"/>
      <c r="S674" s="351"/>
      <c r="T674" s="351"/>
      <c r="U674" s="351"/>
      <c r="V674" s="351"/>
      <c r="W674" s="351"/>
      <c r="X674" s="351"/>
      <c r="Y674" s="351"/>
      <c r="Z674" s="351"/>
      <c r="AA674" s="351"/>
      <c r="AB674" s="351"/>
    </row>
    <row r="675" ht="14.25" customHeight="1">
      <c r="A675" s="438"/>
      <c r="B675" s="108"/>
      <c r="C675" s="450" t="s">
        <v>12921</v>
      </c>
      <c r="D675" s="297" t="s">
        <v>271</v>
      </c>
      <c r="E675" s="450" t="s">
        <v>5</v>
      </c>
      <c r="F675" s="451" t="s">
        <v>12922</v>
      </c>
      <c r="G675" s="451" t="s">
        <v>12923</v>
      </c>
      <c r="H675" s="451" t="s">
        <v>12842</v>
      </c>
      <c r="I675" s="258" t="s">
        <v>36</v>
      </c>
      <c r="J675" s="351"/>
      <c r="K675" s="351"/>
      <c r="L675" s="351"/>
      <c r="M675" s="351"/>
      <c r="N675" s="351"/>
      <c r="O675" s="351"/>
      <c r="P675" s="351"/>
      <c r="Q675" s="351"/>
      <c r="R675" s="351"/>
      <c r="S675" s="351"/>
      <c r="T675" s="351"/>
      <c r="U675" s="351"/>
      <c r="V675" s="351"/>
      <c r="W675" s="351"/>
      <c r="X675" s="351"/>
      <c r="Y675" s="351"/>
      <c r="Z675" s="351"/>
      <c r="AA675" s="351"/>
      <c r="AB675" s="351"/>
    </row>
    <row r="676" ht="14.25" customHeight="1">
      <c r="A676" s="438"/>
      <c r="B676" s="108"/>
      <c r="C676" s="450" t="s">
        <v>12924</v>
      </c>
      <c r="D676" s="297" t="s">
        <v>271</v>
      </c>
      <c r="E676" s="450" t="s">
        <v>5</v>
      </c>
      <c r="F676" s="451" t="s">
        <v>12925</v>
      </c>
      <c r="G676" s="451" t="s">
        <v>12926</v>
      </c>
      <c r="H676" s="451" t="s">
        <v>12845</v>
      </c>
      <c r="I676" s="258" t="s">
        <v>36</v>
      </c>
      <c r="J676" s="351"/>
      <c r="K676" s="351"/>
      <c r="L676" s="351"/>
      <c r="M676" s="351"/>
      <c r="N676" s="351"/>
      <c r="O676" s="351"/>
      <c r="P676" s="351"/>
      <c r="Q676" s="351"/>
      <c r="R676" s="351"/>
      <c r="S676" s="351"/>
      <c r="T676" s="351"/>
      <c r="U676" s="351"/>
      <c r="V676" s="351"/>
      <c r="W676" s="351"/>
      <c r="X676" s="351"/>
      <c r="Y676" s="351"/>
      <c r="Z676" s="351"/>
      <c r="AA676" s="351"/>
      <c r="AB676" s="351"/>
    </row>
    <row r="677" ht="14.25" customHeight="1">
      <c r="A677" s="438"/>
      <c r="B677" s="108"/>
      <c r="C677" s="450" t="s">
        <v>12927</v>
      </c>
      <c r="D677" s="297" t="s">
        <v>271</v>
      </c>
      <c r="E677" s="450" t="s">
        <v>5</v>
      </c>
      <c r="F677" s="451" t="s">
        <v>12928</v>
      </c>
      <c r="G677" s="451" t="s">
        <v>12929</v>
      </c>
      <c r="H677" s="451" t="s">
        <v>12842</v>
      </c>
      <c r="I677" s="258" t="s">
        <v>36</v>
      </c>
      <c r="J677" s="351"/>
      <c r="K677" s="351"/>
      <c r="L677" s="351"/>
      <c r="M677" s="351"/>
      <c r="N677" s="351"/>
      <c r="O677" s="351"/>
      <c r="P677" s="351"/>
      <c r="Q677" s="351"/>
      <c r="R677" s="351"/>
      <c r="S677" s="351"/>
      <c r="T677" s="351"/>
      <c r="U677" s="351"/>
      <c r="V677" s="351"/>
      <c r="W677" s="351"/>
      <c r="X677" s="351"/>
      <c r="Y677" s="351"/>
      <c r="Z677" s="351"/>
      <c r="AA677" s="351"/>
      <c r="AB677" s="351"/>
    </row>
    <row r="678" ht="14.25" customHeight="1">
      <c r="A678" s="438"/>
      <c r="B678" s="108"/>
      <c r="C678" s="450" t="s">
        <v>12930</v>
      </c>
      <c r="D678" s="297" t="s">
        <v>271</v>
      </c>
      <c r="E678" s="450" t="s">
        <v>5</v>
      </c>
      <c r="F678" s="451" t="s">
        <v>12931</v>
      </c>
      <c r="G678" s="451" t="s">
        <v>12932</v>
      </c>
      <c r="H678" s="451" t="s">
        <v>12933</v>
      </c>
      <c r="I678" s="258" t="s">
        <v>36</v>
      </c>
      <c r="J678" s="351"/>
      <c r="K678" s="351"/>
      <c r="L678" s="351"/>
      <c r="M678" s="351"/>
      <c r="N678" s="351"/>
      <c r="O678" s="351"/>
      <c r="P678" s="351"/>
      <c r="Q678" s="351"/>
      <c r="R678" s="351"/>
      <c r="S678" s="351"/>
      <c r="T678" s="351"/>
      <c r="U678" s="351"/>
      <c r="V678" s="351"/>
      <c r="W678" s="351"/>
      <c r="X678" s="351"/>
      <c r="Y678" s="351"/>
      <c r="Z678" s="351"/>
      <c r="AA678" s="351"/>
      <c r="AB678" s="351"/>
    </row>
    <row r="679" ht="14.25" customHeight="1">
      <c r="A679" s="438"/>
      <c r="B679" s="108"/>
      <c r="C679" s="450" t="s">
        <v>12934</v>
      </c>
      <c r="D679" s="297" t="s">
        <v>271</v>
      </c>
      <c r="E679" s="450" t="s">
        <v>5</v>
      </c>
      <c r="F679" s="454" t="s">
        <v>12935</v>
      </c>
      <c r="G679" s="454" t="s">
        <v>12936</v>
      </c>
      <c r="H679" s="454" t="s">
        <v>12937</v>
      </c>
      <c r="I679" s="258" t="s">
        <v>36</v>
      </c>
      <c r="J679" s="351"/>
      <c r="K679" s="351"/>
      <c r="L679" s="351"/>
      <c r="M679" s="351"/>
      <c r="N679" s="351"/>
      <c r="O679" s="351"/>
      <c r="P679" s="351"/>
      <c r="Q679" s="351"/>
      <c r="R679" s="351"/>
      <c r="S679" s="351"/>
      <c r="T679" s="351"/>
      <c r="U679" s="351"/>
      <c r="V679" s="351"/>
      <c r="W679" s="351"/>
      <c r="X679" s="351"/>
      <c r="Y679" s="351"/>
      <c r="Z679" s="351"/>
      <c r="AA679" s="351"/>
      <c r="AB679" s="351"/>
    </row>
    <row r="680" ht="14.25" customHeight="1">
      <c r="A680" s="438"/>
      <c r="B680" s="108"/>
      <c r="C680" s="450" t="s">
        <v>12938</v>
      </c>
      <c r="D680" s="297" t="s">
        <v>271</v>
      </c>
      <c r="E680" s="450" t="s">
        <v>5</v>
      </c>
      <c r="F680" s="454" t="s">
        <v>12472</v>
      </c>
      <c r="G680" s="454" t="s">
        <v>12939</v>
      </c>
      <c r="H680" s="454" t="s">
        <v>12473</v>
      </c>
      <c r="I680" s="258" t="s">
        <v>36</v>
      </c>
      <c r="J680" s="351"/>
      <c r="K680" s="351"/>
      <c r="L680" s="351"/>
      <c r="M680" s="351"/>
      <c r="N680" s="351"/>
      <c r="O680" s="351"/>
      <c r="P680" s="351"/>
      <c r="Q680" s="351"/>
      <c r="R680" s="351"/>
      <c r="S680" s="351"/>
      <c r="T680" s="351"/>
      <c r="U680" s="351"/>
      <c r="V680" s="351"/>
      <c r="W680" s="351"/>
      <c r="X680" s="351"/>
      <c r="Y680" s="351"/>
      <c r="Z680" s="351"/>
      <c r="AA680" s="351"/>
      <c r="AB680" s="351"/>
    </row>
    <row r="681" ht="14.25" customHeight="1">
      <c r="A681" s="438"/>
      <c r="B681" s="108"/>
      <c r="C681" s="450" t="s">
        <v>12940</v>
      </c>
      <c r="D681" s="297" t="s">
        <v>271</v>
      </c>
      <c r="E681" s="450" t="s">
        <v>5</v>
      </c>
      <c r="F681" s="454" t="s">
        <v>12941</v>
      </c>
      <c r="G681" s="454" t="s">
        <v>12942</v>
      </c>
      <c r="H681" s="454" t="s">
        <v>12943</v>
      </c>
      <c r="I681" s="258" t="s">
        <v>36</v>
      </c>
      <c r="J681" s="351"/>
      <c r="K681" s="351"/>
      <c r="L681" s="351"/>
      <c r="M681" s="351"/>
      <c r="N681" s="351"/>
      <c r="O681" s="351"/>
      <c r="P681" s="351"/>
      <c r="Q681" s="351"/>
      <c r="R681" s="351"/>
      <c r="S681" s="351"/>
      <c r="T681" s="351"/>
      <c r="U681" s="351"/>
      <c r="V681" s="351"/>
      <c r="W681" s="351"/>
      <c r="X681" s="351"/>
      <c r="Y681" s="351"/>
      <c r="Z681" s="351"/>
      <c r="AA681" s="351"/>
      <c r="AB681" s="351"/>
    </row>
    <row r="682" ht="14.25" customHeight="1">
      <c r="A682" s="438"/>
      <c r="B682" s="108"/>
      <c r="C682" s="450" t="s">
        <v>12944</v>
      </c>
      <c r="D682" s="297" t="s">
        <v>271</v>
      </c>
      <c r="E682" s="450" t="s">
        <v>5</v>
      </c>
      <c r="F682" s="451" t="s">
        <v>12292</v>
      </c>
      <c r="G682" s="451" t="s">
        <v>12945</v>
      </c>
      <c r="H682" s="451" t="s">
        <v>12294</v>
      </c>
      <c r="I682" s="258" t="s">
        <v>36</v>
      </c>
      <c r="J682" s="351"/>
      <c r="K682" s="351"/>
      <c r="L682" s="351"/>
      <c r="M682" s="351"/>
      <c r="N682" s="351"/>
      <c r="O682" s="351"/>
      <c r="P682" s="351"/>
      <c r="Q682" s="351"/>
      <c r="R682" s="351"/>
      <c r="S682" s="351"/>
      <c r="T682" s="351"/>
      <c r="U682" s="351"/>
      <c r="V682" s="351"/>
      <c r="W682" s="351"/>
      <c r="X682" s="351"/>
      <c r="Y682" s="351"/>
      <c r="Z682" s="351"/>
      <c r="AA682" s="351"/>
      <c r="AB682" s="351"/>
    </row>
    <row r="683" ht="14.25" customHeight="1">
      <c r="A683" s="438"/>
      <c r="B683" s="109"/>
      <c r="C683" s="450" t="s">
        <v>12946</v>
      </c>
      <c r="D683" s="297" t="s">
        <v>271</v>
      </c>
      <c r="E683" s="450" t="s">
        <v>5</v>
      </c>
      <c r="F683" s="451" t="s">
        <v>12296</v>
      </c>
      <c r="G683" s="451" t="s">
        <v>12947</v>
      </c>
      <c r="H683" s="451" t="s">
        <v>12948</v>
      </c>
      <c r="I683" s="258" t="s">
        <v>36</v>
      </c>
      <c r="J683" s="351"/>
      <c r="K683" s="351"/>
      <c r="L683" s="351"/>
      <c r="M683" s="351"/>
      <c r="N683" s="351"/>
      <c r="O683" s="351"/>
      <c r="P683" s="351"/>
      <c r="Q683" s="351"/>
      <c r="R683" s="351"/>
      <c r="S683" s="351"/>
      <c r="T683" s="351"/>
      <c r="U683" s="351"/>
      <c r="V683" s="351"/>
      <c r="W683" s="351"/>
      <c r="X683" s="351"/>
      <c r="Y683" s="351"/>
      <c r="Z683" s="351"/>
      <c r="AA683" s="351"/>
      <c r="AB683" s="351"/>
    </row>
    <row r="684" ht="14.25" customHeight="1">
      <c r="A684" s="438"/>
      <c r="B684" s="449" t="s">
        <v>11056</v>
      </c>
      <c r="C684" s="450" t="s">
        <v>12949</v>
      </c>
      <c r="D684" s="297" t="s">
        <v>271</v>
      </c>
      <c r="E684" s="450" t="s">
        <v>5</v>
      </c>
      <c r="F684" s="451" t="s">
        <v>12950</v>
      </c>
      <c r="G684" s="454" t="s">
        <v>12951</v>
      </c>
      <c r="H684" s="451" t="s">
        <v>12952</v>
      </c>
      <c r="I684" s="258" t="s">
        <v>36</v>
      </c>
      <c r="J684" s="351"/>
      <c r="K684" s="351"/>
      <c r="L684" s="351"/>
      <c r="M684" s="351"/>
      <c r="N684" s="351"/>
      <c r="O684" s="351"/>
      <c r="P684" s="351"/>
      <c r="Q684" s="351"/>
      <c r="R684" s="351"/>
      <c r="S684" s="351"/>
      <c r="T684" s="351"/>
      <c r="U684" s="351"/>
      <c r="V684" s="351"/>
      <c r="W684" s="351"/>
      <c r="X684" s="351"/>
      <c r="Y684" s="351"/>
      <c r="Z684" s="351"/>
      <c r="AA684" s="351"/>
      <c r="AB684" s="351"/>
    </row>
    <row r="685" ht="14.25" customHeight="1">
      <c r="A685" s="438"/>
      <c r="B685" s="108"/>
      <c r="C685" s="450" t="s">
        <v>12953</v>
      </c>
      <c r="D685" s="297" t="s">
        <v>271</v>
      </c>
      <c r="E685" s="450" t="s">
        <v>5</v>
      </c>
      <c r="F685" s="451" t="s">
        <v>12954</v>
      </c>
      <c r="G685" s="454" t="s">
        <v>12951</v>
      </c>
      <c r="H685" s="451" t="s">
        <v>12955</v>
      </c>
      <c r="I685" s="258" t="s">
        <v>36</v>
      </c>
      <c r="J685" s="351"/>
      <c r="K685" s="351"/>
      <c r="L685" s="351"/>
      <c r="M685" s="351"/>
      <c r="N685" s="351"/>
      <c r="O685" s="351"/>
      <c r="P685" s="351"/>
      <c r="Q685" s="351"/>
      <c r="R685" s="351"/>
      <c r="S685" s="351"/>
      <c r="T685" s="351"/>
      <c r="U685" s="351"/>
      <c r="V685" s="351"/>
      <c r="W685" s="351"/>
      <c r="X685" s="351"/>
      <c r="Y685" s="351"/>
      <c r="Z685" s="351"/>
      <c r="AA685" s="351"/>
      <c r="AB685" s="351"/>
    </row>
    <row r="686" ht="14.25" customHeight="1">
      <c r="A686" s="438"/>
      <c r="B686" s="108"/>
      <c r="C686" s="450" t="s">
        <v>12956</v>
      </c>
      <c r="D686" s="297" t="s">
        <v>271</v>
      </c>
      <c r="E686" s="450" t="s">
        <v>5</v>
      </c>
      <c r="F686" s="451" t="s">
        <v>12957</v>
      </c>
      <c r="G686" s="454" t="s">
        <v>12951</v>
      </c>
      <c r="H686" s="451" t="s">
        <v>12958</v>
      </c>
      <c r="I686" s="258" t="s">
        <v>36</v>
      </c>
      <c r="J686" s="351"/>
      <c r="K686" s="351"/>
      <c r="L686" s="351"/>
      <c r="M686" s="351"/>
      <c r="N686" s="351"/>
      <c r="O686" s="351"/>
      <c r="P686" s="351"/>
      <c r="Q686" s="351"/>
      <c r="R686" s="351"/>
      <c r="S686" s="351"/>
      <c r="T686" s="351"/>
      <c r="U686" s="351"/>
      <c r="V686" s="351"/>
      <c r="W686" s="351"/>
      <c r="X686" s="351"/>
      <c r="Y686" s="351"/>
      <c r="Z686" s="351"/>
      <c r="AA686" s="351"/>
      <c r="AB686" s="351"/>
    </row>
    <row r="687" ht="14.25" customHeight="1">
      <c r="A687" s="438"/>
      <c r="B687" s="109"/>
      <c r="C687" s="450" t="s">
        <v>12959</v>
      </c>
      <c r="D687" s="297" t="s">
        <v>271</v>
      </c>
      <c r="E687" s="450" t="s">
        <v>5</v>
      </c>
      <c r="F687" s="451" t="s">
        <v>12960</v>
      </c>
      <c r="G687" s="454" t="s">
        <v>12961</v>
      </c>
      <c r="H687" s="451" t="s">
        <v>12952</v>
      </c>
      <c r="I687" s="258" t="s">
        <v>36</v>
      </c>
      <c r="J687" s="351"/>
      <c r="K687" s="351"/>
      <c r="L687" s="351"/>
      <c r="M687" s="351"/>
      <c r="N687" s="351"/>
      <c r="O687" s="351"/>
      <c r="P687" s="351"/>
      <c r="Q687" s="351"/>
      <c r="R687" s="351"/>
      <c r="S687" s="351"/>
      <c r="T687" s="351"/>
      <c r="U687" s="351"/>
      <c r="V687" s="351"/>
      <c r="W687" s="351"/>
      <c r="X687" s="351"/>
      <c r="Y687" s="351"/>
      <c r="Z687" s="351"/>
      <c r="AA687" s="351"/>
      <c r="AB687" s="351"/>
    </row>
    <row r="688" ht="14.25" customHeight="1">
      <c r="A688" s="438"/>
      <c r="B688" s="449" t="s">
        <v>11060</v>
      </c>
      <c r="C688" s="450" t="s">
        <v>12962</v>
      </c>
      <c r="D688" s="297" t="s">
        <v>271</v>
      </c>
      <c r="E688" s="450" t="s">
        <v>5</v>
      </c>
      <c r="F688" s="454" t="s">
        <v>12963</v>
      </c>
      <c r="G688" s="455" t="s">
        <v>12964</v>
      </c>
      <c r="H688" s="455" t="s">
        <v>11332</v>
      </c>
      <c r="I688" s="404" t="s">
        <v>36</v>
      </c>
      <c r="J688" s="351"/>
      <c r="K688" s="351"/>
      <c r="L688" s="351"/>
      <c r="M688" s="351"/>
      <c r="N688" s="351"/>
      <c r="O688" s="351"/>
      <c r="P688" s="351"/>
      <c r="Q688" s="351"/>
      <c r="R688" s="351"/>
      <c r="S688" s="351"/>
      <c r="T688" s="351"/>
      <c r="U688" s="351"/>
      <c r="V688" s="351"/>
      <c r="W688" s="351"/>
      <c r="X688" s="351"/>
      <c r="Y688" s="351"/>
      <c r="Z688" s="351"/>
      <c r="AA688" s="351"/>
      <c r="AB688" s="351"/>
    </row>
    <row r="689" ht="14.25" customHeight="1">
      <c r="A689" s="438"/>
      <c r="B689" s="108"/>
      <c r="C689" s="450" t="s">
        <v>12965</v>
      </c>
      <c r="D689" s="297" t="s">
        <v>271</v>
      </c>
      <c r="E689" s="450" t="s">
        <v>5</v>
      </c>
      <c r="F689" s="456" t="s">
        <v>12966</v>
      </c>
      <c r="G689" s="457" t="s">
        <v>12967</v>
      </c>
      <c r="H689" s="457" t="s">
        <v>11332</v>
      </c>
      <c r="I689" s="404" t="s">
        <v>36</v>
      </c>
      <c r="J689" s="351"/>
      <c r="K689" s="351"/>
      <c r="L689" s="351"/>
      <c r="M689" s="351"/>
      <c r="N689" s="351"/>
      <c r="O689" s="351"/>
      <c r="P689" s="351"/>
      <c r="Q689" s="351"/>
      <c r="R689" s="351"/>
      <c r="S689" s="351"/>
      <c r="T689" s="351"/>
      <c r="U689" s="351"/>
      <c r="V689" s="351"/>
      <c r="W689" s="351"/>
      <c r="X689" s="351"/>
      <c r="Y689" s="351"/>
      <c r="Z689" s="351"/>
      <c r="AA689" s="351"/>
      <c r="AB689" s="351"/>
    </row>
    <row r="690" ht="14.25" customHeight="1">
      <c r="A690" s="438"/>
      <c r="B690" s="108"/>
      <c r="C690" s="450" t="s">
        <v>12968</v>
      </c>
      <c r="D690" s="297" t="s">
        <v>271</v>
      </c>
      <c r="E690" s="450" t="s">
        <v>5</v>
      </c>
      <c r="F690" s="456" t="s">
        <v>12969</v>
      </c>
      <c r="G690" s="457" t="s">
        <v>12970</v>
      </c>
      <c r="H690" s="457" t="s">
        <v>11332</v>
      </c>
      <c r="I690" s="404" t="s">
        <v>36</v>
      </c>
      <c r="J690" s="351"/>
      <c r="K690" s="351"/>
      <c r="L690" s="351"/>
      <c r="M690" s="351"/>
      <c r="N690" s="351"/>
      <c r="O690" s="351"/>
      <c r="P690" s="351"/>
      <c r="Q690" s="351"/>
      <c r="R690" s="351"/>
      <c r="S690" s="351"/>
      <c r="T690" s="351"/>
      <c r="U690" s="351"/>
      <c r="V690" s="351"/>
      <c r="W690" s="351"/>
      <c r="X690" s="351"/>
      <c r="Y690" s="351"/>
      <c r="Z690" s="351"/>
      <c r="AA690" s="351"/>
      <c r="AB690" s="351"/>
    </row>
    <row r="691" ht="14.25" customHeight="1">
      <c r="A691" s="438"/>
      <c r="B691" s="108"/>
      <c r="C691" s="450" t="s">
        <v>12971</v>
      </c>
      <c r="D691" s="297" t="s">
        <v>271</v>
      </c>
      <c r="E691" s="450" t="s">
        <v>5</v>
      </c>
      <c r="F691" s="456" t="s">
        <v>12972</v>
      </c>
      <c r="G691" s="457" t="s">
        <v>12973</v>
      </c>
      <c r="H691" s="457" t="s">
        <v>11332</v>
      </c>
      <c r="I691" s="404" t="s">
        <v>36</v>
      </c>
      <c r="J691" s="351"/>
      <c r="K691" s="351"/>
      <c r="L691" s="351"/>
      <c r="M691" s="351"/>
      <c r="N691" s="351"/>
      <c r="O691" s="351"/>
      <c r="P691" s="351"/>
      <c r="Q691" s="351"/>
      <c r="R691" s="351"/>
      <c r="S691" s="351"/>
      <c r="T691" s="351"/>
      <c r="U691" s="351"/>
      <c r="V691" s="351"/>
      <c r="W691" s="351"/>
      <c r="X691" s="351"/>
      <c r="Y691" s="351"/>
      <c r="Z691" s="351"/>
      <c r="AA691" s="351"/>
      <c r="AB691" s="351"/>
    </row>
    <row r="692" ht="14.25" customHeight="1">
      <c r="A692" s="438"/>
      <c r="B692" s="108"/>
      <c r="C692" s="450" t="s">
        <v>12974</v>
      </c>
      <c r="D692" s="297" t="s">
        <v>271</v>
      </c>
      <c r="E692" s="450" t="s">
        <v>5</v>
      </c>
      <c r="F692" s="456" t="s">
        <v>12975</v>
      </c>
      <c r="G692" s="457" t="s">
        <v>12976</v>
      </c>
      <c r="H692" s="457" t="s">
        <v>11332</v>
      </c>
      <c r="I692" s="404" t="s">
        <v>36</v>
      </c>
      <c r="J692" s="351"/>
      <c r="K692" s="351"/>
      <c r="L692" s="351"/>
      <c r="M692" s="351"/>
      <c r="N692" s="351"/>
      <c r="O692" s="351"/>
      <c r="P692" s="351"/>
      <c r="Q692" s="351"/>
      <c r="R692" s="351"/>
      <c r="S692" s="351"/>
      <c r="T692" s="351"/>
      <c r="U692" s="351"/>
      <c r="V692" s="351"/>
      <c r="W692" s="351"/>
      <c r="X692" s="351"/>
      <c r="Y692" s="351"/>
      <c r="Z692" s="351"/>
      <c r="AA692" s="351"/>
      <c r="AB692" s="351"/>
    </row>
    <row r="693" ht="14.25" customHeight="1">
      <c r="A693" s="438"/>
      <c r="B693" s="108"/>
      <c r="C693" s="450" t="s">
        <v>12977</v>
      </c>
      <c r="D693" s="297" t="s">
        <v>271</v>
      </c>
      <c r="E693" s="450" t="s">
        <v>5</v>
      </c>
      <c r="F693" s="456" t="s">
        <v>12978</v>
      </c>
      <c r="G693" s="457" t="s">
        <v>12979</v>
      </c>
      <c r="H693" s="457" t="s">
        <v>11332</v>
      </c>
      <c r="I693" s="404" t="s">
        <v>36</v>
      </c>
      <c r="J693" s="351"/>
      <c r="K693" s="351"/>
      <c r="L693" s="351"/>
      <c r="M693" s="351"/>
      <c r="N693" s="351"/>
      <c r="O693" s="351"/>
      <c r="P693" s="351"/>
      <c r="Q693" s="351"/>
      <c r="R693" s="351"/>
      <c r="S693" s="351"/>
      <c r="T693" s="351"/>
      <c r="U693" s="351"/>
      <c r="V693" s="351"/>
      <c r="W693" s="351"/>
      <c r="X693" s="351"/>
      <c r="Y693" s="351"/>
      <c r="Z693" s="351"/>
      <c r="AA693" s="351"/>
      <c r="AB693" s="351"/>
    </row>
    <row r="694" ht="14.25" customHeight="1">
      <c r="A694" s="438"/>
      <c r="B694" s="108"/>
      <c r="C694" s="450" t="s">
        <v>12980</v>
      </c>
      <c r="D694" s="297" t="s">
        <v>271</v>
      </c>
      <c r="E694" s="450" t="s">
        <v>5</v>
      </c>
      <c r="F694" s="456" t="s">
        <v>12981</v>
      </c>
      <c r="G694" s="457" t="s">
        <v>12982</v>
      </c>
      <c r="H694" s="457" t="s">
        <v>12983</v>
      </c>
      <c r="I694" s="404" t="s">
        <v>36</v>
      </c>
      <c r="J694" s="351"/>
      <c r="K694" s="351"/>
      <c r="L694" s="351"/>
      <c r="M694" s="351"/>
      <c r="N694" s="351"/>
      <c r="O694" s="351"/>
      <c r="P694" s="351"/>
      <c r="Q694" s="351"/>
      <c r="R694" s="351"/>
      <c r="S694" s="351"/>
      <c r="T694" s="351"/>
      <c r="U694" s="351"/>
      <c r="V694" s="351"/>
      <c r="W694" s="351"/>
      <c r="X694" s="351"/>
      <c r="Y694" s="351"/>
      <c r="Z694" s="351"/>
      <c r="AA694" s="351"/>
      <c r="AB694" s="351"/>
    </row>
    <row r="695" ht="14.25" customHeight="1">
      <c r="A695" s="438"/>
      <c r="B695" s="108"/>
      <c r="C695" s="450" t="s">
        <v>12984</v>
      </c>
      <c r="D695" s="297" t="s">
        <v>271</v>
      </c>
      <c r="E695" s="450" t="s">
        <v>5</v>
      </c>
      <c r="F695" s="456" t="s">
        <v>12985</v>
      </c>
      <c r="G695" s="457" t="s">
        <v>12986</v>
      </c>
      <c r="H695" s="457" t="s">
        <v>12987</v>
      </c>
      <c r="I695" s="404" t="s">
        <v>36</v>
      </c>
      <c r="J695" s="351"/>
      <c r="K695" s="351"/>
      <c r="L695" s="351"/>
      <c r="M695" s="351"/>
      <c r="N695" s="351"/>
      <c r="O695" s="351"/>
      <c r="P695" s="351"/>
      <c r="Q695" s="351"/>
      <c r="R695" s="351"/>
      <c r="S695" s="351"/>
      <c r="T695" s="351"/>
      <c r="U695" s="351"/>
      <c r="V695" s="351"/>
      <c r="W695" s="351"/>
      <c r="X695" s="351"/>
      <c r="Y695" s="351"/>
      <c r="Z695" s="351"/>
      <c r="AA695" s="351"/>
      <c r="AB695" s="351"/>
    </row>
    <row r="696" ht="14.25" customHeight="1">
      <c r="A696" s="438"/>
      <c r="B696" s="108"/>
      <c r="C696" s="450" t="s">
        <v>12988</v>
      </c>
      <c r="D696" s="297" t="s">
        <v>271</v>
      </c>
      <c r="E696" s="450" t="s">
        <v>5</v>
      </c>
      <c r="F696" s="456" t="s">
        <v>12989</v>
      </c>
      <c r="G696" s="457" t="s">
        <v>12964</v>
      </c>
      <c r="H696" s="457" t="s">
        <v>11332</v>
      </c>
      <c r="I696" s="404" t="s">
        <v>36</v>
      </c>
      <c r="J696" s="351"/>
      <c r="K696" s="351"/>
      <c r="L696" s="351"/>
      <c r="M696" s="351"/>
      <c r="N696" s="351"/>
      <c r="O696" s="351"/>
      <c r="P696" s="351"/>
      <c r="Q696" s="351"/>
      <c r="R696" s="351"/>
      <c r="S696" s="351"/>
      <c r="T696" s="351"/>
      <c r="U696" s="351"/>
      <c r="V696" s="351"/>
      <c r="W696" s="351"/>
      <c r="X696" s="351"/>
      <c r="Y696" s="351"/>
      <c r="Z696" s="351"/>
      <c r="AA696" s="351"/>
      <c r="AB696" s="351"/>
    </row>
    <row r="697" ht="14.25" customHeight="1">
      <c r="A697" s="438"/>
      <c r="B697" s="108"/>
      <c r="C697" s="450" t="s">
        <v>12990</v>
      </c>
      <c r="D697" s="297" t="s">
        <v>271</v>
      </c>
      <c r="E697" s="450" t="s">
        <v>5</v>
      </c>
      <c r="F697" s="456" t="s">
        <v>12991</v>
      </c>
      <c r="G697" s="457" t="s">
        <v>12967</v>
      </c>
      <c r="H697" s="457" t="s">
        <v>11332</v>
      </c>
      <c r="I697" s="404" t="s">
        <v>36</v>
      </c>
      <c r="J697" s="351"/>
      <c r="K697" s="351"/>
      <c r="L697" s="351"/>
      <c r="M697" s="351"/>
      <c r="N697" s="351"/>
      <c r="O697" s="351"/>
      <c r="P697" s="351"/>
      <c r="Q697" s="351"/>
      <c r="R697" s="351"/>
      <c r="S697" s="351"/>
      <c r="T697" s="351"/>
      <c r="U697" s="351"/>
      <c r="V697" s="351"/>
      <c r="W697" s="351"/>
      <c r="X697" s="351"/>
      <c r="Y697" s="351"/>
      <c r="Z697" s="351"/>
      <c r="AA697" s="351"/>
      <c r="AB697" s="351"/>
    </row>
    <row r="698" ht="14.25" customHeight="1">
      <c r="A698" s="438"/>
      <c r="B698" s="108"/>
      <c r="C698" s="450" t="s">
        <v>12992</v>
      </c>
      <c r="D698" s="297" t="s">
        <v>271</v>
      </c>
      <c r="E698" s="450" t="s">
        <v>5</v>
      </c>
      <c r="F698" s="456" t="s">
        <v>12993</v>
      </c>
      <c r="G698" s="457" t="s">
        <v>12970</v>
      </c>
      <c r="H698" s="457" t="s">
        <v>11332</v>
      </c>
      <c r="I698" s="404" t="s">
        <v>36</v>
      </c>
      <c r="J698" s="351"/>
      <c r="K698" s="351"/>
      <c r="L698" s="351"/>
      <c r="M698" s="351"/>
      <c r="N698" s="351"/>
      <c r="O698" s="351"/>
      <c r="P698" s="351"/>
      <c r="Q698" s="351"/>
      <c r="R698" s="351"/>
      <c r="S698" s="351"/>
      <c r="T698" s="351"/>
      <c r="U698" s="351"/>
      <c r="V698" s="351"/>
      <c r="W698" s="351"/>
      <c r="X698" s="351"/>
      <c r="Y698" s="351"/>
      <c r="Z698" s="351"/>
      <c r="AA698" s="351"/>
      <c r="AB698" s="351"/>
    </row>
    <row r="699" ht="14.25" customHeight="1">
      <c r="A699" s="438"/>
      <c r="B699" s="108"/>
      <c r="C699" s="450" t="s">
        <v>12994</v>
      </c>
      <c r="D699" s="297" t="s">
        <v>271</v>
      </c>
      <c r="E699" s="450" t="s">
        <v>5</v>
      </c>
      <c r="F699" s="456" t="s">
        <v>12995</v>
      </c>
      <c r="G699" s="457" t="s">
        <v>12973</v>
      </c>
      <c r="H699" s="457" t="s">
        <v>11332</v>
      </c>
      <c r="I699" s="404" t="s">
        <v>36</v>
      </c>
      <c r="J699" s="351"/>
      <c r="K699" s="351"/>
      <c r="L699" s="351"/>
      <c r="M699" s="351"/>
      <c r="N699" s="351"/>
      <c r="O699" s="351"/>
      <c r="P699" s="351"/>
      <c r="Q699" s="351"/>
      <c r="R699" s="351"/>
      <c r="S699" s="351"/>
      <c r="T699" s="351"/>
      <c r="U699" s="351"/>
      <c r="V699" s="351"/>
      <c r="W699" s="351"/>
      <c r="X699" s="351"/>
      <c r="Y699" s="351"/>
      <c r="Z699" s="351"/>
      <c r="AA699" s="351"/>
      <c r="AB699" s="351"/>
    </row>
    <row r="700" ht="14.25" customHeight="1">
      <c r="A700" s="438"/>
      <c r="B700" s="108"/>
      <c r="C700" s="450" t="s">
        <v>12996</v>
      </c>
      <c r="D700" s="297" t="s">
        <v>271</v>
      </c>
      <c r="E700" s="450" t="s">
        <v>5</v>
      </c>
      <c r="F700" s="456" t="s">
        <v>12997</v>
      </c>
      <c r="G700" s="457" t="s">
        <v>12976</v>
      </c>
      <c r="H700" s="457" t="s">
        <v>11332</v>
      </c>
      <c r="I700" s="404" t="s">
        <v>36</v>
      </c>
      <c r="J700" s="351"/>
      <c r="K700" s="351"/>
      <c r="L700" s="351"/>
      <c r="M700" s="351"/>
      <c r="N700" s="351"/>
      <c r="O700" s="351"/>
      <c r="P700" s="351"/>
      <c r="Q700" s="351"/>
      <c r="R700" s="351"/>
      <c r="S700" s="351"/>
      <c r="T700" s="351"/>
      <c r="U700" s="351"/>
      <c r="V700" s="351"/>
      <c r="W700" s="351"/>
      <c r="X700" s="351"/>
      <c r="Y700" s="351"/>
      <c r="Z700" s="351"/>
      <c r="AA700" s="351"/>
      <c r="AB700" s="351"/>
    </row>
    <row r="701" ht="14.25" customHeight="1">
      <c r="A701" s="438"/>
      <c r="B701" s="108"/>
      <c r="C701" s="450" t="s">
        <v>12998</v>
      </c>
      <c r="D701" s="297" t="s">
        <v>271</v>
      </c>
      <c r="E701" s="450" t="s">
        <v>5</v>
      </c>
      <c r="F701" s="456" t="s">
        <v>12999</v>
      </c>
      <c r="G701" s="457" t="s">
        <v>12979</v>
      </c>
      <c r="H701" s="457" t="s">
        <v>11332</v>
      </c>
      <c r="I701" s="404" t="s">
        <v>36</v>
      </c>
      <c r="J701" s="351"/>
      <c r="K701" s="351"/>
      <c r="L701" s="351"/>
      <c r="M701" s="351"/>
      <c r="N701" s="351"/>
      <c r="O701" s="351"/>
      <c r="P701" s="351"/>
      <c r="Q701" s="351"/>
      <c r="R701" s="351"/>
      <c r="S701" s="351"/>
      <c r="T701" s="351"/>
      <c r="U701" s="351"/>
      <c r="V701" s="351"/>
      <c r="W701" s="351"/>
      <c r="X701" s="351"/>
      <c r="Y701" s="351"/>
      <c r="Z701" s="351"/>
      <c r="AA701" s="351"/>
      <c r="AB701" s="351"/>
    </row>
    <row r="702" ht="14.25" customHeight="1">
      <c r="A702" s="438"/>
      <c r="B702" s="108"/>
      <c r="C702" s="450" t="s">
        <v>13000</v>
      </c>
      <c r="D702" s="297" t="s">
        <v>271</v>
      </c>
      <c r="E702" s="450" t="s">
        <v>5</v>
      </c>
      <c r="F702" s="456" t="s">
        <v>13001</v>
      </c>
      <c r="G702" s="457" t="s">
        <v>12982</v>
      </c>
      <c r="H702" s="457" t="s">
        <v>12983</v>
      </c>
      <c r="I702" s="404" t="s">
        <v>36</v>
      </c>
      <c r="J702" s="351"/>
      <c r="K702" s="351"/>
      <c r="L702" s="351"/>
      <c r="M702" s="351"/>
      <c r="N702" s="351"/>
      <c r="O702" s="351"/>
      <c r="P702" s="351"/>
      <c r="Q702" s="351"/>
      <c r="R702" s="351"/>
      <c r="S702" s="351"/>
      <c r="T702" s="351"/>
      <c r="U702" s="351"/>
      <c r="V702" s="351"/>
      <c r="W702" s="351"/>
      <c r="X702" s="351"/>
      <c r="Y702" s="351"/>
      <c r="Z702" s="351"/>
      <c r="AA702" s="351"/>
      <c r="AB702" s="351"/>
    </row>
    <row r="703" ht="14.25" customHeight="1">
      <c r="A703" s="438"/>
      <c r="B703" s="108"/>
      <c r="C703" s="450" t="s">
        <v>13002</v>
      </c>
      <c r="D703" s="297" t="s">
        <v>271</v>
      </c>
      <c r="E703" s="450" t="s">
        <v>5</v>
      </c>
      <c r="F703" s="456" t="s">
        <v>13003</v>
      </c>
      <c r="G703" s="457" t="s">
        <v>12986</v>
      </c>
      <c r="H703" s="457" t="s">
        <v>12987</v>
      </c>
      <c r="I703" s="404" t="s">
        <v>36</v>
      </c>
      <c r="J703" s="351"/>
      <c r="K703" s="351"/>
      <c r="L703" s="351"/>
      <c r="M703" s="351"/>
      <c r="N703" s="351"/>
      <c r="O703" s="351"/>
      <c r="P703" s="351"/>
      <c r="Q703" s="351"/>
      <c r="R703" s="351"/>
      <c r="S703" s="351"/>
      <c r="T703" s="351"/>
      <c r="U703" s="351"/>
      <c r="V703" s="351"/>
      <c r="W703" s="351"/>
      <c r="X703" s="351"/>
      <c r="Y703" s="351"/>
      <c r="Z703" s="351"/>
      <c r="AA703" s="351"/>
      <c r="AB703" s="351"/>
    </row>
    <row r="704" ht="14.25" customHeight="1">
      <c r="A704" s="438"/>
      <c r="B704" s="108"/>
      <c r="C704" s="450" t="s">
        <v>13004</v>
      </c>
      <c r="D704" s="297" t="s">
        <v>271</v>
      </c>
      <c r="E704" s="450" t="s">
        <v>5</v>
      </c>
      <c r="F704" s="456" t="s">
        <v>13005</v>
      </c>
      <c r="G704" s="457" t="s">
        <v>13006</v>
      </c>
      <c r="H704" s="457" t="s">
        <v>13007</v>
      </c>
      <c r="I704" s="404" t="s">
        <v>317</v>
      </c>
      <c r="J704" s="351"/>
      <c r="K704" s="351"/>
      <c r="L704" s="351"/>
      <c r="M704" s="351"/>
      <c r="N704" s="351"/>
      <c r="O704" s="351"/>
      <c r="P704" s="351"/>
      <c r="Q704" s="351"/>
      <c r="R704" s="351"/>
      <c r="S704" s="351"/>
      <c r="T704" s="351"/>
      <c r="U704" s="351"/>
      <c r="V704" s="351"/>
      <c r="W704" s="351"/>
      <c r="X704" s="351"/>
      <c r="Y704" s="351"/>
      <c r="Z704" s="351"/>
      <c r="AA704" s="351"/>
      <c r="AB704" s="351"/>
    </row>
    <row r="705" ht="14.25" customHeight="1">
      <c r="A705" s="438"/>
      <c r="B705" s="108"/>
      <c r="C705" s="450" t="s">
        <v>13008</v>
      </c>
      <c r="D705" s="297" t="s">
        <v>271</v>
      </c>
      <c r="E705" s="450" t="s">
        <v>5</v>
      </c>
      <c r="F705" s="456" t="s">
        <v>13009</v>
      </c>
      <c r="G705" s="457" t="s">
        <v>13010</v>
      </c>
      <c r="H705" s="457" t="s">
        <v>11332</v>
      </c>
      <c r="I705" s="404" t="s">
        <v>36</v>
      </c>
      <c r="J705" s="351"/>
      <c r="K705" s="351"/>
      <c r="L705" s="351"/>
      <c r="M705" s="351"/>
      <c r="N705" s="351"/>
      <c r="O705" s="351"/>
      <c r="P705" s="351"/>
      <c r="Q705" s="351"/>
      <c r="R705" s="351"/>
      <c r="S705" s="351"/>
      <c r="T705" s="351"/>
      <c r="U705" s="351"/>
      <c r="V705" s="351"/>
      <c r="W705" s="351"/>
      <c r="X705" s="351"/>
      <c r="Y705" s="351"/>
      <c r="Z705" s="351"/>
      <c r="AA705" s="351"/>
      <c r="AB705" s="351"/>
    </row>
    <row r="706" ht="14.25" customHeight="1">
      <c r="A706" s="438"/>
      <c r="B706" s="108"/>
      <c r="C706" s="450" t="s">
        <v>13011</v>
      </c>
      <c r="D706" s="297" t="s">
        <v>271</v>
      </c>
      <c r="E706" s="450" t="s">
        <v>5</v>
      </c>
      <c r="F706" s="456" t="s">
        <v>13012</v>
      </c>
      <c r="G706" s="457" t="s">
        <v>13010</v>
      </c>
      <c r="H706" s="457" t="s">
        <v>11332</v>
      </c>
      <c r="I706" s="404" t="s">
        <v>36</v>
      </c>
      <c r="J706" s="351"/>
      <c r="K706" s="351"/>
      <c r="L706" s="351"/>
      <c r="M706" s="351"/>
      <c r="N706" s="351"/>
      <c r="O706" s="351"/>
      <c r="P706" s="351"/>
      <c r="Q706" s="351"/>
      <c r="R706" s="351"/>
      <c r="S706" s="351"/>
      <c r="T706" s="351"/>
      <c r="U706" s="351"/>
      <c r="V706" s="351"/>
      <c r="W706" s="351"/>
      <c r="X706" s="351"/>
      <c r="Y706" s="351"/>
      <c r="Z706" s="351"/>
      <c r="AA706" s="351"/>
      <c r="AB706" s="351"/>
    </row>
    <row r="707" ht="14.25" customHeight="1">
      <c r="A707" s="438"/>
      <c r="B707" s="108"/>
      <c r="C707" s="450" t="s">
        <v>13013</v>
      </c>
      <c r="D707" s="297" t="s">
        <v>271</v>
      </c>
      <c r="E707" s="450" t="s">
        <v>5</v>
      </c>
      <c r="F707" s="456" t="s">
        <v>13014</v>
      </c>
      <c r="G707" s="457" t="s">
        <v>13010</v>
      </c>
      <c r="H707" s="457" t="s">
        <v>11332</v>
      </c>
      <c r="I707" s="404" t="s">
        <v>36</v>
      </c>
      <c r="J707" s="351"/>
      <c r="K707" s="351"/>
      <c r="L707" s="351"/>
      <c r="M707" s="351"/>
      <c r="N707" s="351"/>
      <c r="O707" s="351"/>
      <c r="P707" s="351"/>
      <c r="Q707" s="351"/>
      <c r="R707" s="351"/>
      <c r="S707" s="351"/>
      <c r="T707" s="351"/>
      <c r="U707" s="351"/>
      <c r="V707" s="351"/>
      <c r="W707" s="351"/>
      <c r="X707" s="351"/>
      <c r="Y707" s="351"/>
      <c r="Z707" s="351"/>
      <c r="AA707" s="351"/>
      <c r="AB707" s="351"/>
    </row>
    <row r="708" ht="14.25" customHeight="1">
      <c r="A708" s="438"/>
      <c r="B708" s="108"/>
      <c r="C708" s="450" t="s">
        <v>13015</v>
      </c>
      <c r="D708" s="297" t="s">
        <v>271</v>
      </c>
      <c r="E708" s="450" t="s">
        <v>5</v>
      </c>
      <c r="F708" s="456" t="s">
        <v>13016</v>
      </c>
      <c r="G708" s="457" t="s">
        <v>13010</v>
      </c>
      <c r="H708" s="457" t="s">
        <v>11332</v>
      </c>
      <c r="I708" s="404" t="s">
        <v>36</v>
      </c>
      <c r="J708" s="351"/>
      <c r="K708" s="351"/>
      <c r="L708" s="351"/>
      <c r="M708" s="351"/>
      <c r="N708" s="351"/>
      <c r="O708" s="351"/>
      <c r="P708" s="351"/>
      <c r="Q708" s="351"/>
      <c r="R708" s="351"/>
      <c r="S708" s="351"/>
      <c r="T708" s="351"/>
      <c r="U708" s="351"/>
      <c r="V708" s="351"/>
      <c r="W708" s="351"/>
      <c r="X708" s="351"/>
      <c r="Y708" s="351"/>
      <c r="Z708" s="351"/>
      <c r="AA708" s="351"/>
      <c r="AB708" s="351"/>
    </row>
    <row r="709" ht="14.25" customHeight="1">
      <c r="A709" s="438"/>
      <c r="B709" s="108"/>
      <c r="C709" s="450" t="s">
        <v>13017</v>
      </c>
      <c r="D709" s="297" t="s">
        <v>271</v>
      </c>
      <c r="E709" s="450" t="s">
        <v>5</v>
      </c>
      <c r="F709" s="456" t="s">
        <v>13018</v>
      </c>
      <c r="G709" s="457" t="s">
        <v>13010</v>
      </c>
      <c r="H709" s="457" t="s">
        <v>11332</v>
      </c>
      <c r="I709" s="404" t="s">
        <v>36</v>
      </c>
      <c r="J709" s="351"/>
      <c r="K709" s="351"/>
      <c r="L709" s="351"/>
      <c r="M709" s="351"/>
      <c r="N709" s="351"/>
      <c r="O709" s="351"/>
      <c r="P709" s="351"/>
      <c r="Q709" s="351"/>
      <c r="R709" s="351"/>
      <c r="S709" s="351"/>
      <c r="T709" s="351"/>
      <c r="U709" s="351"/>
      <c r="V709" s="351"/>
      <c r="W709" s="351"/>
      <c r="X709" s="351"/>
      <c r="Y709" s="351"/>
      <c r="Z709" s="351"/>
      <c r="AA709" s="351"/>
      <c r="AB709" s="351"/>
    </row>
    <row r="710" ht="14.25" customHeight="1">
      <c r="A710" s="438"/>
      <c r="B710" s="108"/>
      <c r="C710" s="450" t="s">
        <v>13019</v>
      </c>
      <c r="D710" s="297" t="s">
        <v>271</v>
      </c>
      <c r="E710" s="450" t="s">
        <v>5</v>
      </c>
      <c r="F710" s="456" t="s">
        <v>13020</v>
      </c>
      <c r="G710" s="457" t="s">
        <v>13010</v>
      </c>
      <c r="H710" s="457" t="s">
        <v>11332</v>
      </c>
      <c r="I710" s="404" t="s">
        <v>36</v>
      </c>
      <c r="J710" s="351"/>
      <c r="K710" s="351"/>
      <c r="L710" s="351"/>
      <c r="M710" s="351"/>
      <c r="N710" s="351"/>
      <c r="O710" s="351"/>
      <c r="P710" s="351"/>
      <c r="Q710" s="351"/>
      <c r="R710" s="351"/>
      <c r="S710" s="351"/>
      <c r="T710" s="351"/>
      <c r="U710" s="351"/>
      <c r="V710" s="351"/>
      <c r="W710" s="351"/>
      <c r="X710" s="351"/>
      <c r="Y710" s="351"/>
      <c r="Z710" s="351"/>
      <c r="AA710" s="351"/>
      <c r="AB710" s="351"/>
    </row>
    <row r="711" ht="14.25" customHeight="1">
      <c r="A711" s="438"/>
      <c r="B711" s="108"/>
      <c r="C711" s="450" t="s">
        <v>13021</v>
      </c>
      <c r="D711" s="297" t="s">
        <v>271</v>
      </c>
      <c r="E711" s="450" t="s">
        <v>5</v>
      </c>
      <c r="F711" s="456" t="s">
        <v>13022</v>
      </c>
      <c r="G711" s="457" t="s">
        <v>13010</v>
      </c>
      <c r="H711" s="457" t="s">
        <v>11332</v>
      </c>
      <c r="I711" s="404" t="s">
        <v>36</v>
      </c>
      <c r="J711" s="351"/>
      <c r="K711" s="351"/>
      <c r="L711" s="351"/>
      <c r="M711" s="351"/>
      <c r="N711" s="351"/>
      <c r="O711" s="351"/>
      <c r="P711" s="351"/>
      <c r="Q711" s="351"/>
      <c r="R711" s="351"/>
      <c r="S711" s="351"/>
      <c r="T711" s="351"/>
      <c r="U711" s="351"/>
      <c r="V711" s="351"/>
      <c r="W711" s="351"/>
      <c r="X711" s="351"/>
      <c r="Y711" s="351"/>
      <c r="Z711" s="351"/>
      <c r="AA711" s="351"/>
      <c r="AB711" s="351"/>
    </row>
    <row r="712" ht="14.25" customHeight="1">
      <c r="A712" s="438"/>
      <c r="B712" s="108"/>
      <c r="C712" s="450" t="s">
        <v>13023</v>
      </c>
      <c r="D712" s="297" t="s">
        <v>271</v>
      </c>
      <c r="E712" s="450" t="s">
        <v>5</v>
      </c>
      <c r="F712" s="456" t="s">
        <v>13024</v>
      </c>
      <c r="G712" s="457" t="s">
        <v>13010</v>
      </c>
      <c r="H712" s="457" t="s">
        <v>11339</v>
      </c>
      <c r="I712" s="404" t="s">
        <v>36</v>
      </c>
      <c r="J712" s="351"/>
      <c r="K712" s="351"/>
      <c r="L712" s="351"/>
      <c r="M712" s="351"/>
      <c r="N712" s="351"/>
      <c r="O712" s="351"/>
      <c r="P712" s="351"/>
      <c r="Q712" s="351"/>
      <c r="R712" s="351"/>
      <c r="S712" s="351"/>
      <c r="T712" s="351"/>
      <c r="U712" s="351"/>
      <c r="V712" s="351"/>
      <c r="W712" s="351"/>
      <c r="X712" s="351"/>
      <c r="Y712" s="351"/>
      <c r="Z712" s="351"/>
      <c r="AA712" s="351"/>
      <c r="AB712" s="351"/>
    </row>
    <row r="713" ht="14.25" customHeight="1">
      <c r="A713" s="438"/>
      <c r="B713" s="109"/>
      <c r="C713" s="450" t="s">
        <v>13025</v>
      </c>
      <c r="D713" s="297" t="s">
        <v>271</v>
      </c>
      <c r="E713" s="450" t="s">
        <v>5</v>
      </c>
      <c r="F713" s="456" t="s">
        <v>13026</v>
      </c>
      <c r="G713" s="457" t="s">
        <v>13010</v>
      </c>
      <c r="H713" s="457" t="s">
        <v>11342</v>
      </c>
      <c r="I713" s="404" t="s">
        <v>36</v>
      </c>
      <c r="J713" s="351"/>
      <c r="K713" s="351"/>
      <c r="L713" s="351"/>
      <c r="M713" s="351"/>
      <c r="N713" s="351"/>
      <c r="O713" s="351"/>
      <c r="P713" s="351"/>
      <c r="Q713" s="351"/>
      <c r="R713" s="351"/>
      <c r="S713" s="351"/>
      <c r="T713" s="351"/>
      <c r="U713" s="351"/>
      <c r="V713" s="351"/>
      <c r="W713" s="351"/>
      <c r="X713" s="351"/>
      <c r="Y713" s="351"/>
      <c r="Z713" s="351"/>
      <c r="AA713" s="351"/>
      <c r="AB713" s="351"/>
    </row>
    <row r="714" ht="14.25" customHeight="1">
      <c r="A714" s="438"/>
      <c r="B714" s="449" t="s">
        <v>11063</v>
      </c>
      <c r="C714" s="450" t="s">
        <v>13027</v>
      </c>
      <c r="D714" s="297" t="s">
        <v>271</v>
      </c>
      <c r="E714" s="450" t="s">
        <v>5</v>
      </c>
      <c r="F714" s="454" t="s">
        <v>13028</v>
      </c>
      <c r="G714" s="454" t="s">
        <v>13029</v>
      </c>
      <c r="H714" s="454" t="s">
        <v>13030</v>
      </c>
      <c r="I714" s="258" t="s">
        <v>36</v>
      </c>
      <c r="J714" s="351"/>
      <c r="K714" s="351"/>
      <c r="L714" s="351"/>
      <c r="M714" s="351"/>
      <c r="N714" s="351"/>
      <c r="O714" s="351"/>
      <c r="P714" s="351"/>
      <c r="Q714" s="351"/>
      <c r="R714" s="351"/>
      <c r="S714" s="351"/>
      <c r="T714" s="351"/>
      <c r="U714" s="351"/>
      <c r="V714" s="351"/>
      <c r="W714" s="351"/>
      <c r="X714" s="351"/>
      <c r="Y714" s="351"/>
      <c r="Z714" s="351"/>
      <c r="AA714" s="351"/>
      <c r="AB714" s="351"/>
    </row>
    <row r="715" ht="14.25" customHeight="1">
      <c r="A715" s="438"/>
      <c r="B715" s="108"/>
      <c r="C715" s="450" t="s">
        <v>13031</v>
      </c>
      <c r="D715" s="297" t="s">
        <v>271</v>
      </c>
      <c r="E715" s="450" t="s">
        <v>5</v>
      </c>
      <c r="F715" s="454" t="s">
        <v>13032</v>
      </c>
      <c r="G715" s="454" t="s">
        <v>13033</v>
      </c>
      <c r="H715" s="458" t="s">
        <v>13034</v>
      </c>
      <c r="I715" s="258" t="s">
        <v>36</v>
      </c>
      <c r="J715" s="351"/>
      <c r="K715" s="351"/>
      <c r="L715" s="351"/>
      <c r="M715" s="351"/>
      <c r="N715" s="351"/>
      <c r="O715" s="351"/>
      <c r="P715" s="351"/>
      <c r="Q715" s="351"/>
      <c r="R715" s="351"/>
      <c r="S715" s="351"/>
      <c r="T715" s="351"/>
      <c r="U715" s="351"/>
      <c r="V715" s="351"/>
      <c r="W715" s="351"/>
      <c r="X715" s="351"/>
      <c r="Y715" s="351"/>
      <c r="Z715" s="351"/>
      <c r="AA715" s="351"/>
      <c r="AB715" s="351"/>
    </row>
    <row r="716" ht="14.25" customHeight="1">
      <c r="A716" s="438"/>
      <c r="B716" s="108"/>
      <c r="C716" s="450" t="s">
        <v>13035</v>
      </c>
      <c r="D716" s="297" t="s">
        <v>271</v>
      </c>
      <c r="E716" s="450" t="s">
        <v>5</v>
      </c>
      <c r="F716" s="454" t="s">
        <v>13036</v>
      </c>
      <c r="G716" s="454" t="s">
        <v>13037</v>
      </c>
      <c r="H716" s="454" t="s">
        <v>13038</v>
      </c>
      <c r="I716" s="258" t="s">
        <v>36</v>
      </c>
      <c r="J716" s="351"/>
      <c r="K716" s="351"/>
      <c r="L716" s="351"/>
      <c r="M716" s="351"/>
      <c r="N716" s="351"/>
      <c r="O716" s="351"/>
      <c r="P716" s="351"/>
      <c r="Q716" s="351"/>
      <c r="R716" s="351"/>
      <c r="S716" s="351"/>
      <c r="T716" s="351"/>
      <c r="U716" s="351"/>
      <c r="V716" s="351"/>
      <c r="W716" s="351"/>
      <c r="X716" s="351"/>
      <c r="Y716" s="351"/>
      <c r="Z716" s="351"/>
      <c r="AA716" s="351"/>
      <c r="AB716" s="351"/>
    </row>
    <row r="717" ht="14.25" customHeight="1">
      <c r="A717" s="438"/>
      <c r="B717" s="108"/>
      <c r="C717" s="450" t="s">
        <v>13039</v>
      </c>
      <c r="D717" s="297" t="s">
        <v>271</v>
      </c>
      <c r="E717" s="450" t="s">
        <v>5</v>
      </c>
      <c r="F717" s="454" t="s">
        <v>13040</v>
      </c>
      <c r="G717" s="454" t="s">
        <v>13041</v>
      </c>
      <c r="H717" s="458" t="s">
        <v>13042</v>
      </c>
      <c r="I717" s="258" t="s">
        <v>36</v>
      </c>
      <c r="J717" s="351"/>
      <c r="K717" s="351"/>
      <c r="L717" s="351"/>
      <c r="M717" s="351"/>
      <c r="N717" s="351"/>
      <c r="O717" s="351"/>
      <c r="P717" s="351"/>
      <c r="Q717" s="351"/>
      <c r="R717" s="351"/>
      <c r="S717" s="351"/>
      <c r="T717" s="351"/>
      <c r="U717" s="351"/>
      <c r="V717" s="351"/>
      <c r="W717" s="351"/>
      <c r="X717" s="351"/>
      <c r="Y717" s="351"/>
      <c r="Z717" s="351"/>
      <c r="AA717" s="351"/>
      <c r="AB717" s="351"/>
    </row>
    <row r="718" ht="14.25" customHeight="1">
      <c r="A718" s="438"/>
      <c r="B718" s="108"/>
      <c r="C718" s="450" t="s">
        <v>13043</v>
      </c>
      <c r="D718" s="297" t="s">
        <v>271</v>
      </c>
      <c r="E718" s="450" t="s">
        <v>5</v>
      </c>
      <c r="F718" s="454" t="s">
        <v>13044</v>
      </c>
      <c r="G718" s="454" t="s">
        <v>13045</v>
      </c>
      <c r="H718" s="454" t="s">
        <v>13038</v>
      </c>
      <c r="I718" s="258" t="s">
        <v>36</v>
      </c>
      <c r="J718" s="351"/>
      <c r="K718" s="351"/>
      <c r="L718" s="351"/>
      <c r="M718" s="351"/>
      <c r="N718" s="351"/>
      <c r="O718" s="351"/>
      <c r="P718" s="351"/>
      <c r="Q718" s="351"/>
      <c r="R718" s="351"/>
      <c r="S718" s="351"/>
      <c r="T718" s="351"/>
      <c r="U718" s="351"/>
      <c r="V718" s="351"/>
      <c r="W718" s="351"/>
      <c r="X718" s="351"/>
      <c r="Y718" s="351"/>
      <c r="Z718" s="351"/>
      <c r="AA718" s="351"/>
      <c r="AB718" s="351"/>
    </row>
    <row r="719" ht="14.25" customHeight="1">
      <c r="A719" s="438"/>
      <c r="B719" s="108"/>
      <c r="C719" s="450" t="s">
        <v>13046</v>
      </c>
      <c r="D719" s="297" t="s">
        <v>271</v>
      </c>
      <c r="E719" s="450" t="s">
        <v>5</v>
      </c>
      <c r="F719" s="454" t="s">
        <v>13047</v>
      </c>
      <c r="G719" s="454" t="s">
        <v>13048</v>
      </c>
      <c r="H719" s="458" t="s">
        <v>13049</v>
      </c>
      <c r="I719" s="258" t="s">
        <v>36</v>
      </c>
      <c r="J719" s="351"/>
      <c r="K719" s="351"/>
      <c r="L719" s="351"/>
      <c r="M719" s="351"/>
      <c r="N719" s="351"/>
      <c r="O719" s="351"/>
      <c r="P719" s="351"/>
      <c r="Q719" s="351"/>
      <c r="R719" s="351"/>
      <c r="S719" s="351"/>
      <c r="T719" s="351"/>
      <c r="U719" s="351"/>
      <c r="V719" s="351"/>
      <c r="W719" s="351"/>
      <c r="X719" s="351"/>
      <c r="Y719" s="351"/>
      <c r="Z719" s="351"/>
      <c r="AA719" s="351"/>
      <c r="AB719" s="351"/>
    </row>
    <row r="720" ht="14.25" customHeight="1">
      <c r="A720" s="438"/>
      <c r="B720" s="108"/>
      <c r="C720" s="450" t="s">
        <v>13050</v>
      </c>
      <c r="D720" s="297" t="s">
        <v>271</v>
      </c>
      <c r="E720" s="450" t="s">
        <v>5</v>
      </c>
      <c r="F720" s="454" t="s">
        <v>13051</v>
      </c>
      <c r="G720" s="454" t="s">
        <v>13052</v>
      </c>
      <c r="H720" s="458" t="s">
        <v>13053</v>
      </c>
      <c r="I720" s="258" t="s">
        <v>36</v>
      </c>
      <c r="J720" s="351"/>
      <c r="K720" s="351"/>
      <c r="L720" s="351"/>
      <c r="M720" s="351"/>
      <c r="N720" s="351"/>
      <c r="O720" s="351"/>
      <c r="P720" s="351"/>
      <c r="Q720" s="351"/>
      <c r="R720" s="351"/>
      <c r="S720" s="351"/>
      <c r="T720" s="351"/>
      <c r="U720" s="351"/>
      <c r="V720" s="351"/>
      <c r="W720" s="351"/>
      <c r="X720" s="351"/>
      <c r="Y720" s="351"/>
      <c r="Z720" s="351"/>
      <c r="AA720" s="351"/>
      <c r="AB720" s="351"/>
    </row>
    <row r="721" ht="14.25" customHeight="1">
      <c r="A721" s="438"/>
      <c r="B721" s="108"/>
      <c r="C721" s="450" t="s">
        <v>13054</v>
      </c>
      <c r="D721" s="297" t="s">
        <v>271</v>
      </c>
      <c r="E721" s="450" t="s">
        <v>5</v>
      </c>
      <c r="F721" s="454" t="s">
        <v>13055</v>
      </c>
      <c r="G721" s="454" t="s">
        <v>13056</v>
      </c>
      <c r="H721" s="458" t="s">
        <v>13049</v>
      </c>
      <c r="I721" s="258" t="s">
        <v>36</v>
      </c>
      <c r="J721" s="351"/>
      <c r="K721" s="351"/>
      <c r="L721" s="351"/>
      <c r="M721" s="351"/>
      <c r="N721" s="351"/>
      <c r="O721" s="351"/>
      <c r="P721" s="351"/>
      <c r="Q721" s="351"/>
      <c r="R721" s="351"/>
      <c r="S721" s="351"/>
      <c r="T721" s="351"/>
      <c r="U721" s="351"/>
      <c r="V721" s="351"/>
      <c r="W721" s="351"/>
      <c r="X721" s="351"/>
      <c r="Y721" s="351"/>
      <c r="Z721" s="351"/>
      <c r="AA721" s="351"/>
      <c r="AB721" s="351"/>
    </row>
    <row r="722" ht="14.25" customHeight="1">
      <c r="A722" s="438"/>
      <c r="B722" s="108"/>
      <c r="C722" s="450" t="s">
        <v>13057</v>
      </c>
      <c r="D722" s="297" t="s">
        <v>271</v>
      </c>
      <c r="E722" s="450" t="s">
        <v>5</v>
      </c>
      <c r="F722" s="454" t="s">
        <v>13058</v>
      </c>
      <c r="G722" s="454" t="s">
        <v>13059</v>
      </c>
      <c r="H722" s="458" t="s">
        <v>13060</v>
      </c>
      <c r="I722" s="258" t="s">
        <v>36</v>
      </c>
      <c r="J722" s="351"/>
      <c r="K722" s="351"/>
      <c r="L722" s="351"/>
      <c r="M722" s="351"/>
      <c r="N722" s="351"/>
      <c r="O722" s="351"/>
      <c r="P722" s="351"/>
      <c r="Q722" s="351"/>
      <c r="R722" s="351"/>
      <c r="S722" s="351"/>
      <c r="T722" s="351"/>
      <c r="U722" s="351"/>
      <c r="V722" s="351"/>
      <c r="W722" s="351"/>
      <c r="X722" s="351"/>
      <c r="Y722" s="351"/>
      <c r="Z722" s="351"/>
      <c r="AA722" s="351"/>
      <c r="AB722" s="351"/>
    </row>
    <row r="723" ht="14.25" customHeight="1">
      <c r="A723" s="438"/>
      <c r="B723" s="108"/>
      <c r="C723" s="450" t="s">
        <v>13061</v>
      </c>
      <c r="D723" s="297" t="s">
        <v>271</v>
      </c>
      <c r="E723" s="450" t="s">
        <v>5</v>
      </c>
      <c r="F723" s="454" t="s">
        <v>11677</v>
      </c>
      <c r="G723" s="454" t="s">
        <v>13062</v>
      </c>
      <c r="H723" s="458" t="s">
        <v>11678</v>
      </c>
      <c r="I723" s="258" t="s">
        <v>36</v>
      </c>
      <c r="J723" s="351"/>
      <c r="K723" s="351"/>
      <c r="L723" s="351"/>
      <c r="M723" s="351"/>
      <c r="N723" s="351"/>
      <c r="O723" s="351"/>
      <c r="P723" s="351"/>
      <c r="Q723" s="351"/>
      <c r="R723" s="351"/>
      <c r="S723" s="351"/>
      <c r="T723" s="351"/>
      <c r="U723" s="351"/>
      <c r="V723" s="351"/>
      <c r="W723" s="351"/>
      <c r="X723" s="351"/>
      <c r="Y723" s="351"/>
      <c r="Z723" s="351"/>
      <c r="AA723" s="351"/>
      <c r="AB723" s="351"/>
    </row>
    <row r="724" ht="14.25" customHeight="1">
      <c r="A724" s="438"/>
      <c r="B724" s="108"/>
      <c r="C724" s="450" t="s">
        <v>13063</v>
      </c>
      <c r="D724" s="297" t="s">
        <v>271</v>
      </c>
      <c r="E724" s="450" t="s">
        <v>5</v>
      </c>
      <c r="F724" s="454" t="s">
        <v>13064</v>
      </c>
      <c r="G724" s="454" t="s">
        <v>13065</v>
      </c>
      <c r="H724" s="458" t="s">
        <v>13053</v>
      </c>
      <c r="I724" s="258" t="s">
        <v>36</v>
      </c>
      <c r="J724" s="351"/>
      <c r="K724" s="351"/>
      <c r="L724" s="351"/>
      <c r="M724" s="351"/>
      <c r="N724" s="351"/>
      <c r="O724" s="351"/>
      <c r="P724" s="351"/>
      <c r="Q724" s="351"/>
      <c r="R724" s="351"/>
      <c r="S724" s="351"/>
      <c r="T724" s="351"/>
      <c r="U724" s="351"/>
      <c r="V724" s="351"/>
      <c r="W724" s="351"/>
      <c r="X724" s="351"/>
      <c r="Y724" s="351"/>
      <c r="Z724" s="351"/>
      <c r="AA724" s="351"/>
      <c r="AB724" s="351"/>
    </row>
    <row r="725" ht="14.25" customHeight="1">
      <c r="A725" s="438"/>
      <c r="B725" s="108"/>
      <c r="C725" s="450" t="s">
        <v>13066</v>
      </c>
      <c r="D725" s="297" t="s">
        <v>271</v>
      </c>
      <c r="E725" s="450" t="s">
        <v>5</v>
      </c>
      <c r="F725" s="454" t="s">
        <v>13067</v>
      </c>
      <c r="G725" s="454" t="s">
        <v>13056</v>
      </c>
      <c r="H725" s="458" t="s">
        <v>13068</v>
      </c>
      <c r="I725" s="258" t="s">
        <v>36</v>
      </c>
      <c r="J725" s="351"/>
      <c r="K725" s="351"/>
      <c r="L725" s="351"/>
      <c r="M725" s="351"/>
      <c r="N725" s="351"/>
      <c r="O725" s="351"/>
      <c r="P725" s="351"/>
      <c r="Q725" s="351"/>
      <c r="R725" s="351"/>
      <c r="S725" s="351"/>
      <c r="T725" s="351"/>
      <c r="U725" s="351"/>
      <c r="V725" s="351"/>
      <c r="W725" s="351"/>
      <c r="X725" s="351"/>
      <c r="Y725" s="351"/>
      <c r="Z725" s="351"/>
      <c r="AA725" s="351"/>
      <c r="AB725" s="351"/>
    </row>
    <row r="726" ht="14.25" customHeight="1">
      <c r="A726" s="438"/>
      <c r="B726" s="108"/>
      <c r="C726" s="450" t="s">
        <v>13069</v>
      </c>
      <c r="D726" s="297" t="s">
        <v>271</v>
      </c>
      <c r="E726" s="450" t="s">
        <v>5</v>
      </c>
      <c r="F726" s="454" t="s">
        <v>13070</v>
      </c>
      <c r="G726" s="454" t="s">
        <v>13059</v>
      </c>
      <c r="H726" s="458" t="s">
        <v>13060</v>
      </c>
      <c r="I726" s="258" t="s">
        <v>36</v>
      </c>
      <c r="J726" s="351"/>
      <c r="K726" s="351"/>
      <c r="L726" s="351"/>
      <c r="M726" s="351"/>
      <c r="N726" s="351"/>
      <c r="O726" s="351"/>
      <c r="P726" s="351"/>
      <c r="Q726" s="351"/>
      <c r="R726" s="351"/>
      <c r="S726" s="351"/>
      <c r="T726" s="351"/>
      <c r="U726" s="351"/>
      <c r="V726" s="351"/>
      <c r="W726" s="351"/>
      <c r="X726" s="351"/>
      <c r="Y726" s="351"/>
      <c r="Z726" s="351"/>
      <c r="AA726" s="351"/>
      <c r="AB726" s="351"/>
    </row>
    <row r="727" ht="14.25" customHeight="1">
      <c r="A727" s="438"/>
      <c r="B727" s="108"/>
      <c r="C727" s="450" t="s">
        <v>13071</v>
      </c>
      <c r="D727" s="297" t="s">
        <v>271</v>
      </c>
      <c r="E727" s="450" t="s">
        <v>5</v>
      </c>
      <c r="F727" s="454" t="s">
        <v>13072</v>
      </c>
      <c r="G727" s="454" t="s">
        <v>13073</v>
      </c>
      <c r="H727" s="458" t="s">
        <v>13053</v>
      </c>
      <c r="I727" s="258" t="s">
        <v>36</v>
      </c>
      <c r="J727" s="351"/>
      <c r="K727" s="351"/>
      <c r="L727" s="351"/>
      <c r="M727" s="351"/>
      <c r="N727" s="351"/>
      <c r="O727" s="351"/>
      <c r="P727" s="351"/>
      <c r="Q727" s="351"/>
      <c r="R727" s="351"/>
      <c r="S727" s="351"/>
      <c r="T727" s="351"/>
      <c r="U727" s="351"/>
      <c r="V727" s="351"/>
      <c r="W727" s="351"/>
      <c r="X727" s="351"/>
      <c r="Y727" s="351"/>
      <c r="Z727" s="351"/>
      <c r="AA727" s="351"/>
      <c r="AB727" s="351"/>
    </row>
    <row r="728" ht="14.25" customHeight="1">
      <c r="A728" s="438"/>
      <c r="B728" s="108"/>
      <c r="C728" s="450" t="s">
        <v>13074</v>
      </c>
      <c r="D728" s="297" t="s">
        <v>271</v>
      </c>
      <c r="E728" s="450" t="s">
        <v>5</v>
      </c>
      <c r="F728" s="454" t="s">
        <v>13075</v>
      </c>
      <c r="G728" s="454" t="s">
        <v>13056</v>
      </c>
      <c r="H728" s="458" t="s">
        <v>13049</v>
      </c>
      <c r="I728" s="258" t="s">
        <v>36</v>
      </c>
      <c r="J728" s="351"/>
      <c r="K728" s="351"/>
      <c r="L728" s="351"/>
      <c r="M728" s="351"/>
      <c r="N728" s="351"/>
      <c r="O728" s="351"/>
      <c r="P728" s="351"/>
      <c r="Q728" s="351"/>
      <c r="R728" s="351"/>
      <c r="S728" s="351"/>
      <c r="T728" s="351"/>
      <c r="U728" s="351"/>
      <c r="V728" s="351"/>
      <c r="W728" s="351"/>
      <c r="X728" s="351"/>
      <c r="Y728" s="351"/>
      <c r="Z728" s="351"/>
      <c r="AA728" s="351"/>
      <c r="AB728" s="351"/>
    </row>
    <row r="729" ht="14.25" customHeight="1">
      <c r="A729" s="438"/>
      <c r="B729" s="108"/>
      <c r="C729" s="450" t="s">
        <v>13076</v>
      </c>
      <c r="D729" s="297" t="s">
        <v>271</v>
      </c>
      <c r="E729" s="450" t="s">
        <v>5</v>
      </c>
      <c r="F729" s="454" t="s">
        <v>13077</v>
      </c>
      <c r="G729" s="454" t="s">
        <v>13059</v>
      </c>
      <c r="H729" s="458" t="s">
        <v>13060</v>
      </c>
      <c r="I729" s="258" t="s">
        <v>36</v>
      </c>
      <c r="J729" s="351"/>
      <c r="K729" s="351"/>
      <c r="L729" s="351"/>
      <c r="M729" s="351"/>
      <c r="N729" s="351"/>
      <c r="O729" s="351"/>
      <c r="P729" s="351"/>
      <c r="Q729" s="351"/>
      <c r="R729" s="351"/>
      <c r="S729" s="351"/>
      <c r="T729" s="351"/>
      <c r="U729" s="351"/>
      <c r="V729" s="351"/>
      <c r="W729" s="351"/>
      <c r="X729" s="351"/>
      <c r="Y729" s="351"/>
      <c r="Z729" s="351"/>
      <c r="AA729" s="351"/>
      <c r="AB729" s="351"/>
    </row>
    <row r="730" ht="14.25" customHeight="1">
      <c r="A730" s="438"/>
      <c r="B730" s="108"/>
      <c r="C730" s="450" t="s">
        <v>13078</v>
      </c>
      <c r="D730" s="297" t="s">
        <v>271</v>
      </c>
      <c r="E730" s="450" t="s">
        <v>5</v>
      </c>
      <c r="F730" s="454" t="s">
        <v>13079</v>
      </c>
      <c r="G730" s="454" t="s">
        <v>13080</v>
      </c>
      <c r="H730" s="458" t="s">
        <v>13081</v>
      </c>
      <c r="I730" s="258" t="s">
        <v>36</v>
      </c>
      <c r="J730" s="351"/>
      <c r="K730" s="351"/>
      <c r="L730" s="351"/>
      <c r="M730" s="351"/>
      <c r="N730" s="351"/>
      <c r="O730" s="351"/>
      <c r="P730" s="351"/>
      <c r="Q730" s="351"/>
      <c r="R730" s="351"/>
      <c r="S730" s="351"/>
      <c r="T730" s="351"/>
      <c r="U730" s="351"/>
      <c r="V730" s="351"/>
      <c r="W730" s="351"/>
      <c r="X730" s="351"/>
      <c r="Y730" s="351"/>
      <c r="Z730" s="351"/>
      <c r="AA730" s="351"/>
      <c r="AB730" s="351"/>
    </row>
    <row r="731" ht="14.25" customHeight="1">
      <c r="A731" s="438"/>
      <c r="B731" s="108"/>
      <c r="C731" s="450" t="s">
        <v>13082</v>
      </c>
      <c r="D731" s="297" t="s">
        <v>271</v>
      </c>
      <c r="E731" s="450" t="s">
        <v>5</v>
      </c>
      <c r="F731" s="451" t="s">
        <v>13083</v>
      </c>
      <c r="G731" s="451" t="s">
        <v>13084</v>
      </c>
      <c r="H731" s="451" t="s">
        <v>13085</v>
      </c>
      <c r="I731" s="258" t="s">
        <v>36</v>
      </c>
      <c r="J731" s="351"/>
      <c r="K731" s="351"/>
      <c r="L731" s="351"/>
      <c r="M731" s="351"/>
      <c r="N731" s="351"/>
      <c r="O731" s="351"/>
      <c r="P731" s="351"/>
      <c r="Q731" s="351"/>
      <c r="R731" s="351"/>
      <c r="S731" s="351"/>
      <c r="T731" s="351"/>
      <c r="U731" s="351"/>
      <c r="V731" s="351"/>
      <c r="W731" s="351"/>
      <c r="X731" s="351"/>
      <c r="Y731" s="351"/>
      <c r="Z731" s="351"/>
      <c r="AA731" s="351"/>
      <c r="AB731" s="351"/>
    </row>
    <row r="732" ht="14.25" customHeight="1">
      <c r="A732" s="438"/>
      <c r="B732" s="108"/>
      <c r="C732" s="450" t="s">
        <v>13086</v>
      </c>
      <c r="D732" s="297" t="s">
        <v>271</v>
      </c>
      <c r="E732" s="450" t="s">
        <v>5</v>
      </c>
      <c r="F732" s="451" t="s">
        <v>13087</v>
      </c>
      <c r="G732" s="451" t="s">
        <v>13088</v>
      </c>
      <c r="H732" s="451" t="s">
        <v>13089</v>
      </c>
      <c r="I732" s="258" t="s">
        <v>36</v>
      </c>
      <c r="J732" s="351"/>
      <c r="K732" s="351"/>
      <c r="L732" s="351"/>
      <c r="M732" s="351"/>
      <c r="N732" s="351"/>
      <c r="O732" s="351"/>
      <c r="P732" s="351"/>
      <c r="Q732" s="351"/>
      <c r="R732" s="351"/>
      <c r="S732" s="351"/>
      <c r="T732" s="351"/>
      <c r="U732" s="351"/>
      <c r="V732" s="351"/>
      <c r="W732" s="351"/>
      <c r="X732" s="351"/>
      <c r="Y732" s="351"/>
      <c r="Z732" s="351"/>
      <c r="AA732" s="351"/>
      <c r="AB732" s="351"/>
    </row>
    <row r="733" ht="14.25" customHeight="1">
      <c r="A733" s="438"/>
      <c r="B733" s="108"/>
      <c r="C733" s="450" t="s">
        <v>13090</v>
      </c>
      <c r="D733" s="297" t="s">
        <v>271</v>
      </c>
      <c r="E733" s="450" t="s">
        <v>5</v>
      </c>
      <c r="F733" s="451" t="s">
        <v>13091</v>
      </c>
      <c r="G733" s="451" t="s">
        <v>13092</v>
      </c>
      <c r="H733" s="451" t="s">
        <v>13093</v>
      </c>
      <c r="I733" s="258" t="s">
        <v>36</v>
      </c>
      <c r="J733" s="351"/>
      <c r="K733" s="351"/>
      <c r="L733" s="351"/>
      <c r="M733" s="351"/>
      <c r="N733" s="351"/>
      <c r="O733" s="351"/>
      <c r="P733" s="351"/>
      <c r="Q733" s="351"/>
      <c r="R733" s="351"/>
      <c r="S733" s="351"/>
      <c r="T733" s="351"/>
      <c r="U733" s="351"/>
      <c r="V733" s="351"/>
      <c r="W733" s="351"/>
      <c r="X733" s="351"/>
      <c r="Y733" s="351"/>
      <c r="Z733" s="351"/>
      <c r="AA733" s="351"/>
      <c r="AB733" s="351"/>
    </row>
    <row r="734" ht="14.25" customHeight="1">
      <c r="A734" s="438"/>
      <c r="B734" s="108"/>
      <c r="C734" s="450" t="s">
        <v>13094</v>
      </c>
      <c r="D734" s="297" t="s">
        <v>271</v>
      </c>
      <c r="E734" s="450" t="s">
        <v>5</v>
      </c>
      <c r="F734" s="451" t="s">
        <v>13095</v>
      </c>
      <c r="G734" s="451" t="s">
        <v>13096</v>
      </c>
      <c r="H734" s="451" t="s">
        <v>13093</v>
      </c>
      <c r="I734" s="258" t="s">
        <v>36</v>
      </c>
      <c r="J734" s="351"/>
      <c r="K734" s="351"/>
      <c r="L734" s="351"/>
      <c r="M734" s="351"/>
      <c r="N734" s="351"/>
      <c r="O734" s="351"/>
      <c r="P734" s="351"/>
      <c r="Q734" s="351"/>
      <c r="R734" s="351"/>
      <c r="S734" s="351"/>
      <c r="T734" s="351"/>
      <c r="U734" s="351"/>
      <c r="V734" s="351"/>
      <c r="W734" s="351"/>
      <c r="X734" s="351"/>
      <c r="Y734" s="351"/>
      <c r="Z734" s="351"/>
      <c r="AA734" s="351"/>
      <c r="AB734" s="351"/>
    </row>
    <row r="735" ht="14.25" customHeight="1">
      <c r="A735" s="438"/>
      <c r="B735" s="108"/>
      <c r="C735" s="450" t="s">
        <v>13097</v>
      </c>
      <c r="D735" s="297" t="s">
        <v>271</v>
      </c>
      <c r="E735" s="450" t="s">
        <v>5</v>
      </c>
      <c r="F735" s="451" t="s">
        <v>13098</v>
      </c>
      <c r="G735" s="451" t="s">
        <v>13099</v>
      </c>
      <c r="H735" s="451" t="s">
        <v>13093</v>
      </c>
      <c r="I735" s="258" t="s">
        <v>36</v>
      </c>
      <c r="J735" s="351"/>
      <c r="K735" s="351"/>
      <c r="L735" s="351"/>
      <c r="M735" s="351"/>
      <c r="N735" s="351"/>
      <c r="O735" s="351"/>
      <c r="P735" s="351"/>
      <c r="Q735" s="351"/>
      <c r="R735" s="351"/>
      <c r="S735" s="351"/>
      <c r="T735" s="351"/>
      <c r="U735" s="351"/>
      <c r="V735" s="351"/>
      <c r="W735" s="351"/>
      <c r="X735" s="351"/>
      <c r="Y735" s="351"/>
      <c r="Z735" s="351"/>
      <c r="AA735" s="351"/>
      <c r="AB735" s="351"/>
    </row>
    <row r="736" ht="14.25" customHeight="1">
      <c r="A736" s="438"/>
      <c r="B736" s="108"/>
      <c r="C736" s="450" t="s">
        <v>13100</v>
      </c>
      <c r="D736" s="297" t="s">
        <v>271</v>
      </c>
      <c r="E736" s="450" t="s">
        <v>5</v>
      </c>
      <c r="F736" s="454" t="s">
        <v>13101</v>
      </c>
      <c r="G736" s="454" t="s">
        <v>13102</v>
      </c>
      <c r="H736" s="454" t="s">
        <v>13103</v>
      </c>
      <c r="I736" s="258" t="s">
        <v>36</v>
      </c>
      <c r="J736" s="351"/>
      <c r="K736" s="351"/>
      <c r="L736" s="351"/>
      <c r="M736" s="351"/>
      <c r="N736" s="351"/>
      <c r="O736" s="351"/>
      <c r="P736" s="351"/>
      <c r="Q736" s="351"/>
      <c r="R736" s="351"/>
      <c r="S736" s="351"/>
      <c r="T736" s="351"/>
      <c r="U736" s="351"/>
      <c r="V736" s="351"/>
      <c r="W736" s="351"/>
      <c r="X736" s="351"/>
      <c r="Y736" s="351"/>
      <c r="Z736" s="351"/>
      <c r="AA736" s="351"/>
      <c r="AB736" s="351"/>
    </row>
    <row r="737" ht="14.25" customHeight="1">
      <c r="A737" s="438"/>
      <c r="B737" s="108"/>
      <c r="C737" s="450" t="s">
        <v>13104</v>
      </c>
      <c r="D737" s="297" t="s">
        <v>271</v>
      </c>
      <c r="E737" s="450" t="s">
        <v>5</v>
      </c>
      <c r="F737" s="454" t="s">
        <v>13105</v>
      </c>
      <c r="G737" s="454" t="s">
        <v>13106</v>
      </c>
      <c r="H737" s="454" t="s">
        <v>13103</v>
      </c>
      <c r="I737" s="258" t="s">
        <v>36</v>
      </c>
      <c r="J737" s="351"/>
      <c r="K737" s="351"/>
      <c r="L737" s="351"/>
      <c r="M737" s="351"/>
      <c r="N737" s="351"/>
      <c r="O737" s="351"/>
      <c r="P737" s="351"/>
      <c r="Q737" s="351"/>
      <c r="R737" s="351"/>
      <c r="S737" s="351"/>
      <c r="T737" s="351"/>
      <c r="U737" s="351"/>
      <c r="V737" s="351"/>
      <c r="W737" s="351"/>
      <c r="X737" s="351"/>
      <c r="Y737" s="351"/>
      <c r="Z737" s="351"/>
      <c r="AA737" s="351"/>
      <c r="AB737" s="351"/>
    </row>
    <row r="738" ht="14.25" customHeight="1">
      <c r="A738" s="438"/>
      <c r="B738" s="108"/>
      <c r="C738" s="450" t="s">
        <v>13107</v>
      </c>
      <c r="D738" s="297" t="s">
        <v>271</v>
      </c>
      <c r="E738" s="450" t="s">
        <v>5</v>
      </c>
      <c r="F738" s="454" t="s">
        <v>13108</v>
      </c>
      <c r="G738" s="454" t="s">
        <v>13109</v>
      </c>
      <c r="H738" s="454" t="s">
        <v>13103</v>
      </c>
      <c r="I738" s="258" t="s">
        <v>36</v>
      </c>
      <c r="J738" s="351"/>
      <c r="K738" s="351"/>
      <c r="L738" s="351"/>
      <c r="M738" s="351"/>
      <c r="N738" s="351"/>
      <c r="O738" s="351"/>
      <c r="P738" s="351"/>
      <c r="Q738" s="351"/>
      <c r="R738" s="351"/>
      <c r="S738" s="351"/>
      <c r="T738" s="351"/>
      <c r="U738" s="351"/>
      <c r="V738" s="351"/>
      <c r="W738" s="351"/>
      <c r="X738" s="351"/>
      <c r="Y738" s="351"/>
      <c r="Z738" s="351"/>
      <c r="AA738" s="351"/>
      <c r="AB738" s="351"/>
    </row>
    <row r="739" ht="14.25" customHeight="1">
      <c r="A739" s="438"/>
      <c r="B739" s="108"/>
      <c r="C739" s="450" t="s">
        <v>13110</v>
      </c>
      <c r="D739" s="297" t="s">
        <v>271</v>
      </c>
      <c r="E739" s="450" t="s">
        <v>5</v>
      </c>
      <c r="F739" s="451" t="s">
        <v>13111</v>
      </c>
      <c r="G739" s="454" t="s">
        <v>13112</v>
      </c>
      <c r="H739" s="454" t="s">
        <v>13103</v>
      </c>
      <c r="I739" s="258" t="s">
        <v>36</v>
      </c>
      <c r="J739" s="351"/>
      <c r="K739" s="351"/>
      <c r="L739" s="351"/>
      <c r="M739" s="351"/>
      <c r="N739" s="351"/>
      <c r="O739" s="351"/>
      <c r="P739" s="351"/>
      <c r="Q739" s="351"/>
      <c r="R739" s="351"/>
      <c r="S739" s="351"/>
      <c r="T739" s="351"/>
      <c r="U739" s="351"/>
      <c r="V739" s="351"/>
      <c r="W739" s="351"/>
      <c r="X739" s="351"/>
      <c r="Y739" s="351"/>
      <c r="Z739" s="351"/>
      <c r="AA739" s="351"/>
      <c r="AB739" s="351"/>
    </row>
    <row r="740" ht="14.25" customHeight="1">
      <c r="A740" s="438"/>
      <c r="B740" s="108"/>
      <c r="C740" s="450" t="s">
        <v>13113</v>
      </c>
      <c r="D740" s="297" t="s">
        <v>271</v>
      </c>
      <c r="E740" s="450" t="s">
        <v>5</v>
      </c>
      <c r="F740" s="451" t="s">
        <v>13114</v>
      </c>
      <c r="G740" s="454" t="s">
        <v>13115</v>
      </c>
      <c r="H740" s="454" t="s">
        <v>13103</v>
      </c>
      <c r="I740" s="258" t="s">
        <v>36</v>
      </c>
      <c r="J740" s="351"/>
      <c r="K740" s="351"/>
      <c r="L740" s="351"/>
      <c r="M740" s="351"/>
      <c r="N740" s="351"/>
      <c r="O740" s="351"/>
      <c r="P740" s="351"/>
      <c r="Q740" s="351"/>
      <c r="R740" s="351"/>
      <c r="S740" s="351"/>
      <c r="T740" s="351"/>
      <c r="U740" s="351"/>
      <c r="V740" s="351"/>
      <c r="W740" s="351"/>
      <c r="X740" s="351"/>
      <c r="Y740" s="351"/>
      <c r="Z740" s="351"/>
      <c r="AA740" s="351"/>
      <c r="AB740" s="351"/>
    </row>
    <row r="741" ht="14.25" customHeight="1">
      <c r="A741" s="438"/>
      <c r="B741" s="108"/>
      <c r="C741" s="450" t="s">
        <v>13116</v>
      </c>
      <c r="D741" s="297" t="s">
        <v>271</v>
      </c>
      <c r="E741" s="450" t="s">
        <v>5</v>
      </c>
      <c r="F741" s="451" t="s">
        <v>13117</v>
      </c>
      <c r="G741" s="454" t="s">
        <v>13115</v>
      </c>
      <c r="H741" s="454" t="s">
        <v>13103</v>
      </c>
      <c r="I741" s="258" t="s">
        <v>36</v>
      </c>
      <c r="J741" s="351"/>
      <c r="K741" s="351"/>
      <c r="L741" s="351"/>
      <c r="M741" s="351"/>
      <c r="N741" s="351"/>
      <c r="O741" s="351"/>
      <c r="P741" s="351"/>
      <c r="Q741" s="351"/>
      <c r="R741" s="351"/>
      <c r="S741" s="351"/>
      <c r="T741" s="351"/>
      <c r="U741" s="351"/>
      <c r="V741" s="351"/>
      <c r="W741" s="351"/>
      <c r="X741" s="351"/>
      <c r="Y741" s="351"/>
      <c r="Z741" s="351"/>
      <c r="AA741" s="351"/>
      <c r="AB741" s="351"/>
    </row>
    <row r="742" ht="14.25" customHeight="1">
      <c r="A742" s="438"/>
      <c r="B742" s="108"/>
      <c r="C742" s="450" t="s">
        <v>13118</v>
      </c>
      <c r="D742" s="297" t="s">
        <v>271</v>
      </c>
      <c r="E742" s="450" t="s">
        <v>5</v>
      </c>
      <c r="F742" s="451" t="s">
        <v>13119</v>
      </c>
      <c r="G742" s="454" t="s">
        <v>13115</v>
      </c>
      <c r="H742" s="454" t="s">
        <v>13103</v>
      </c>
      <c r="I742" s="258" t="s">
        <v>36</v>
      </c>
      <c r="J742" s="351"/>
      <c r="K742" s="351"/>
      <c r="L742" s="351"/>
      <c r="M742" s="351"/>
      <c r="N742" s="351"/>
      <c r="O742" s="351"/>
      <c r="P742" s="351"/>
      <c r="Q742" s="351"/>
      <c r="R742" s="351"/>
      <c r="S742" s="351"/>
      <c r="T742" s="351"/>
      <c r="U742" s="351"/>
      <c r="V742" s="351"/>
      <c r="W742" s="351"/>
      <c r="X742" s="351"/>
      <c r="Y742" s="351"/>
      <c r="Z742" s="351"/>
      <c r="AA742" s="351"/>
      <c r="AB742" s="351"/>
    </row>
    <row r="743" ht="14.25" customHeight="1">
      <c r="A743" s="438"/>
      <c r="B743" s="109"/>
      <c r="C743" s="450" t="s">
        <v>13120</v>
      </c>
      <c r="D743" s="297" t="s">
        <v>271</v>
      </c>
      <c r="E743" s="450" t="s">
        <v>5</v>
      </c>
      <c r="F743" s="451" t="s">
        <v>13121</v>
      </c>
      <c r="G743" s="454" t="s">
        <v>13122</v>
      </c>
      <c r="H743" s="454" t="s">
        <v>13103</v>
      </c>
      <c r="I743" s="258" t="s">
        <v>36</v>
      </c>
      <c r="J743" s="351"/>
      <c r="K743" s="351"/>
      <c r="L743" s="351"/>
      <c r="M743" s="351"/>
      <c r="N743" s="351"/>
      <c r="O743" s="351"/>
      <c r="P743" s="351"/>
      <c r="Q743" s="351"/>
      <c r="R743" s="351"/>
      <c r="S743" s="351"/>
      <c r="T743" s="351"/>
      <c r="U743" s="351"/>
      <c r="V743" s="351"/>
      <c r="W743" s="351"/>
      <c r="X743" s="351"/>
      <c r="Y743" s="351"/>
      <c r="Z743" s="351"/>
      <c r="AA743" s="351"/>
      <c r="AB743" s="351"/>
    </row>
    <row r="744" ht="14.25" customHeight="1">
      <c r="A744" s="438"/>
      <c r="B744" s="449" t="s">
        <v>11079</v>
      </c>
      <c r="C744" s="450" t="s">
        <v>13123</v>
      </c>
      <c r="D744" s="297" t="s">
        <v>271</v>
      </c>
      <c r="E744" s="450" t="s">
        <v>5</v>
      </c>
      <c r="F744" s="451" t="s">
        <v>13124</v>
      </c>
      <c r="G744" s="451" t="s">
        <v>13125</v>
      </c>
      <c r="H744" s="451" t="s">
        <v>13126</v>
      </c>
      <c r="I744" s="258" t="s">
        <v>36</v>
      </c>
      <c r="J744" s="351"/>
      <c r="K744" s="351"/>
      <c r="L744" s="351"/>
      <c r="M744" s="351"/>
      <c r="N744" s="351"/>
      <c r="O744" s="351"/>
      <c r="P744" s="351"/>
      <c r="Q744" s="351"/>
      <c r="R744" s="351"/>
      <c r="S744" s="351"/>
      <c r="T744" s="351"/>
      <c r="U744" s="351"/>
      <c r="V744" s="351"/>
      <c r="W744" s="351"/>
      <c r="X744" s="351"/>
      <c r="Y744" s="351"/>
      <c r="Z744" s="351"/>
      <c r="AA744" s="351"/>
      <c r="AB744" s="351"/>
    </row>
    <row r="745" ht="14.25" customHeight="1">
      <c r="A745" s="438"/>
      <c r="B745" s="108"/>
      <c r="C745" s="450" t="s">
        <v>13127</v>
      </c>
      <c r="D745" s="297" t="s">
        <v>271</v>
      </c>
      <c r="E745" s="450" t="s">
        <v>5</v>
      </c>
      <c r="F745" s="451" t="s">
        <v>13128</v>
      </c>
      <c r="G745" s="451" t="s">
        <v>13129</v>
      </c>
      <c r="H745" s="451" t="s">
        <v>13130</v>
      </c>
      <c r="I745" s="258" t="s">
        <v>36</v>
      </c>
      <c r="J745" s="351"/>
      <c r="K745" s="351"/>
      <c r="L745" s="351"/>
      <c r="M745" s="351"/>
      <c r="N745" s="351"/>
      <c r="O745" s="351"/>
      <c r="P745" s="351"/>
      <c r="Q745" s="351"/>
      <c r="R745" s="351"/>
      <c r="S745" s="351"/>
      <c r="T745" s="351"/>
      <c r="U745" s="351"/>
      <c r="V745" s="351"/>
      <c r="W745" s="351"/>
      <c r="X745" s="351"/>
      <c r="Y745" s="351"/>
      <c r="Z745" s="351"/>
      <c r="AA745" s="351"/>
      <c r="AB745" s="351"/>
    </row>
    <row r="746" ht="14.25" customHeight="1">
      <c r="A746" s="438"/>
      <c r="B746" s="108"/>
      <c r="C746" s="450" t="s">
        <v>13131</v>
      </c>
      <c r="D746" s="297" t="s">
        <v>271</v>
      </c>
      <c r="E746" s="450" t="s">
        <v>5</v>
      </c>
      <c r="F746" s="451" t="s">
        <v>13132</v>
      </c>
      <c r="G746" s="451" t="s">
        <v>13133</v>
      </c>
      <c r="H746" s="451" t="s">
        <v>13134</v>
      </c>
      <c r="I746" s="258" t="s">
        <v>36</v>
      </c>
      <c r="J746" s="351"/>
      <c r="K746" s="351"/>
      <c r="L746" s="351"/>
      <c r="M746" s="351"/>
      <c r="N746" s="351"/>
      <c r="O746" s="351"/>
      <c r="P746" s="351"/>
      <c r="Q746" s="351"/>
      <c r="R746" s="351"/>
      <c r="S746" s="351"/>
      <c r="T746" s="351"/>
      <c r="U746" s="351"/>
      <c r="V746" s="351"/>
      <c r="W746" s="351"/>
      <c r="X746" s="351"/>
      <c r="Y746" s="351"/>
      <c r="Z746" s="351"/>
      <c r="AA746" s="351"/>
      <c r="AB746" s="351"/>
    </row>
    <row r="747" ht="14.25" customHeight="1">
      <c r="A747" s="438"/>
      <c r="B747" s="108"/>
      <c r="C747" s="450" t="s">
        <v>13135</v>
      </c>
      <c r="D747" s="297" t="s">
        <v>271</v>
      </c>
      <c r="E747" s="450" t="s">
        <v>5</v>
      </c>
      <c r="F747" s="451" t="s">
        <v>13136</v>
      </c>
      <c r="G747" s="451" t="s">
        <v>13137</v>
      </c>
      <c r="H747" s="451" t="s">
        <v>13138</v>
      </c>
      <c r="I747" s="258" t="s">
        <v>36</v>
      </c>
      <c r="J747" s="351"/>
      <c r="K747" s="351"/>
      <c r="L747" s="351"/>
      <c r="M747" s="351"/>
      <c r="N747" s="351"/>
      <c r="O747" s="351"/>
      <c r="P747" s="351"/>
      <c r="Q747" s="351"/>
      <c r="R747" s="351"/>
      <c r="S747" s="351"/>
      <c r="T747" s="351"/>
      <c r="U747" s="351"/>
      <c r="V747" s="351"/>
      <c r="W747" s="351"/>
      <c r="X747" s="351"/>
      <c r="Y747" s="351"/>
      <c r="Z747" s="351"/>
      <c r="AA747" s="351"/>
      <c r="AB747" s="351"/>
    </row>
    <row r="748" ht="14.25" customHeight="1">
      <c r="A748" s="438"/>
      <c r="B748" s="108"/>
      <c r="C748" s="450" t="s">
        <v>13139</v>
      </c>
      <c r="D748" s="297" t="s">
        <v>271</v>
      </c>
      <c r="E748" s="450" t="s">
        <v>5</v>
      </c>
      <c r="F748" s="451" t="s">
        <v>13140</v>
      </c>
      <c r="G748" s="451" t="s">
        <v>13141</v>
      </c>
      <c r="H748" s="451" t="s">
        <v>13126</v>
      </c>
      <c r="I748" s="258" t="s">
        <v>36</v>
      </c>
      <c r="J748" s="351"/>
      <c r="K748" s="351"/>
      <c r="L748" s="351"/>
      <c r="M748" s="351"/>
      <c r="N748" s="351"/>
      <c r="O748" s="351"/>
      <c r="P748" s="351"/>
      <c r="Q748" s="351"/>
      <c r="R748" s="351"/>
      <c r="S748" s="351"/>
      <c r="T748" s="351"/>
      <c r="U748" s="351"/>
      <c r="V748" s="351"/>
      <c r="W748" s="351"/>
      <c r="X748" s="351"/>
      <c r="Y748" s="351"/>
      <c r="Z748" s="351"/>
      <c r="AA748" s="351"/>
      <c r="AB748" s="351"/>
    </row>
    <row r="749" ht="14.25" customHeight="1">
      <c r="A749" s="438"/>
      <c r="B749" s="108"/>
      <c r="C749" s="450" t="s">
        <v>13142</v>
      </c>
      <c r="D749" s="297" t="s">
        <v>271</v>
      </c>
      <c r="E749" s="450" t="s">
        <v>5</v>
      </c>
      <c r="F749" s="451" t="s">
        <v>13143</v>
      </c>
      <c r="G749" s="451" t="s">
        <v>13144</v>
      </c>
      <c r="H749" s="451" t="s">
        <v>13130</v>
      </c>
      <c r="I749" s="258" t="s">
        <v>36</v>
      </c>
      <c r="J749" s="351"/>
      <c r="K749" s="351"/>
      <c r="L749" s="351"/>
      <c r="M749" s="351"/>
      <c r="N749" s="351"/>
      <c r="O749" s="351"/>
      <c r="P749" s="351"/>
      <c r="Q749" s="351"/>
      <c r="R749" s="351"/>
      <c r="S749" s="351"/>
      <c r="T749" s="351"/>
      <c r="U749" s="351"/>
      <c r="V749" s="351"/>
      <c r="W749" s="351"/>
      <c r="X749" s="351"/>
      <c r="Y749" s="351"/>
      <c r="Z749" s="351"/>
      <c r="AA749" s="351"/>
      <c r="AB749" s="351"/>
    </row>
    <row r="750" ht="14.25" customHeight="1">
      <c r="A750" s="438"/>
      <c r="B750" s="108"/>
      <c r="C750" s="450" t="s">
        <v>13145</v>
      </c>
      <c r="D750" s="297" t="s">
        <v>271</v>
      </c>
      <c r="E750" s="450" t="s">
        <v>5</v>
      </c>
      <c r="F750" s="451" t="s">
        <v>13146</v>
      </c>
      <c r="G750" s="451" t="s">
        <v>13133</v>
      </c>
      <c r="H750" s="451" t="s">
        <v>13134</v>
      </c>
      <c r="I750" s="258" t="s">
        <v>36</v>
      </c>
      <c r="J750" s="351"/>
      <c r="K750" s="351"/>
      <c r="L750" s="351"/>
      <c r="M750" s="351"/>
      <c r="N750" s="351"/>
      <c r="O750" s="351"/>
      <c r="P750" s="351"/>
      <c r="Q750" s="351"/>
      <c r="R750" s="351"/>
      <c r="S750" s="351"/>
      <c r="T750" s="351"/>
      <c r="U750" s="351"/>
      <c r="V750" s="351"/>
      <c r="W750" s="351"/>
      <c r="X750" s="351"/>
      <c r="Y750" s="351"/>
      <c r="Z750" s="351"/>
      <c r="AA750" s="351"/>
      <c r="AB750" s="351"/>
    </row>
    <row r="751" ht="14.25" customHeight="1">
      <c r="A751" s="438"/>
      <c r="B751" s="108"/>
      <c r="C751" s="450" t="s">
        <v>13147</v>
      </c>
      <c r="D751" s="297" t="s">
        <v>271</v>
      </c>
      <c r="E751" s="450" t="s">
        <v>5</v>
      </c>
      <c r="F751" s="451" t="s">
        <v>13148</v>
      </c>
      <c r="G751" s="451" t="s">
        <v>13137</v>
      </c>
      <c r="H751" s="451" t="s">
        <v>13149</v>
      </c>
      <c r="I751" s="258" t="s">
        <v>36</v>
      </c>
      <c r="J751" s="351"/>
      <c r="K751" s="351"/>
      <c r="L751" s="351"/>
      <c r="M751" s="351"/>
      <c r="N751" s="351"/>
      <c r="O751" s="351"/>
      <c r="P751" s="351"/>
      <c r="Q751" s="351"/>
      <c r="R751" s="351"/>
      <c r="S751" s="351"/>
      <c r="T751" s="351"/>
      <c r="U751" s="351"/>
      <c r="V751" s="351"/>
      <c r="W751" s="351"/>
      <c r="X751" s="351"/>
      <c r="Y751" s="351"/>
      <c r="Z751" s="351"/>
      <c r="AA751" s="351"/>
      <c r="AB751" s="351"/>
    </row>
    <row r="752" ht="14.25" customHeight="1">
      <c r="A752" s="438"/>
      <c r="B752" s="108"/>
      <c r="C752" s="450" t="s">
        <v>13150</v>
      </c>
      <c r="D752" s="297" t="s">
        <v>271</v>
      </c>
      <c r="E752" s="450" t="s">
        <v>5</v>
      </c>
      <c r="F752" s="454" t="s">
        <v>13151</v>
      </c>
      <c r="G752" s="451" t="s">
        <v>13152</v>
      </c>
      <c r="H752" s="451" t="s">
        <v>13153</v>
      </c>
      <c r="I752" s="258" t="s">
        <v>36</v>
      </c>
      <c r="J752" s="351"/>
      <c r="K752" s="351"/>
      <c r="L752" s="351"/>
      <c r="M752" s="351"/>
      <c r="N752" s="351"/>
      <c r="O752" s="351"/>
      <c r="P752" s="351"/>
      <c r="Q752" s="351"/>
      <c r="R752" s="351"/>
      <c r="S752" s="351"/>
      <c r="T752" s="351"/>
      <c r="U752" s="351"/>
      <c r="V752" s="351"/>
      <c r="W752" s="351"/>
      <c r="X752" s="351"/>
      <c r="Y752" s="351"/>
      <c r="Z752" s="351"/>
      <c r="AA752" s="351"/>
      <c r="AB752" s="351"/>
    </row>
    <row r="753" ht="14.25" customHeight="1">
      <c r="A753" s="438"/>
      <c r="B753" s="108"/>
      <c r="C753" s="450" t="s">
        <v>13154</v>
      </c>
      <c r="D753" s="297" t="s">
        <v>271</v>
      </c>
      <c r="E753" s="450" t="s">
        <v>5</v>
      </c>
      <c r="F753" s="459" t="s">
        <v>10899</v>
      </c>
      <c r="G753" s="459" t="s">
        <v>13155</v>
      </c>
      <c r="H753" s="459" t="s">
        <v>13156</v>
      </c>
      <c r="I753" s="404" t="s">
        <v>36</v>
      </c>
      <c r="J753" s="351"/>
      <c r="K753" s="351"/>
      <c r="L753" s="351"/>
      <c r="M753" s="351"/>
      <c r="N753" s="351"/>
      <c r="O753" s="351"/>
      <c r="P753" s="351"/>
      <c r="Q753" s="351"/>
      <c r="R753" s="351"/>
      <c r="S753" s="351"/>
      <c r="T753" s="351"/>
      <c r="U753" s="351"/>
      <c r="V753" s="351"/>
      <c r="W753" s="351"/>
      <c r="X753" s="351"/>
      <c r="Y753" s="351"/>
      <c r="Z753" s="351"/>
      <c r="AA753" s="351"/>
      <c r="AB753" s="351"/>
    </row>
    <row r="754" ht="14.25" customHeight="1">
      <c r="A754" s="438"/>
      <c r="B754" s="108"/>
      <c r="C754" s="450" t="s">
        <v>13157</v>
      </c>
      <c r="D754" s="297" t="s">
        <v>271</v>
      </c>
      <c r="E754" s="450" t="s">
        <v>5</v>
      </c>
      <c r="F754" s="459" t="s">
        <v>10899</v>
      </c>
      <c r="G754" s="459" t="s">
        <v>13158</v>
      </c>
      <c r="H754" s="459" t="s">
        <v>13159</v>
      </c>
      <c r="I754" s="404" t="s">
        <v>36</v>
      </c>
      <c r="J754" s="351"/>
      <c r="K754" s="351"/>
      <c r="L754" s="351"/>
      <c r="M754" s="351"/>
      <c r="N754" s="351"/>
      <c r="O754" s="351"/>
      <c r="P754" s="351"/>
      <c r="Q754" s="351"/>
      <c r="R754" s="351"/>
      <c r="S754" s="351"/>
      <c r="T754" s="351"/>
      <c r="U754" s="351"/>
      <c r="V754" s="351"/>
      <c r="W754" s="351"/>
      <c r="X754" s="351"/>
      <c r="Y754" s="351"/>
      <c r="Z754" s="351"/>
      <c r="AA754" s="351"/>
      <c r="AB754" s="351"/>
    </row>
    <row r="755" ht="14.25" customHeight="1">
      <c r="A755" s="438"/>
      <c r="B755" s="108"/>
      <c r="C755" s="450" t="s">
        <v>13160</v>
      </c>
      <c r="D755" s="297" t="s">
        <v>271</v>
      </c>
      <c r="E755" s="450" t="s">
        <v>5</v>
      </c>
      <c r="F755" s="459" t="s">
        <v>10899</v>
      </c>
      <c r="G755" s="459" t="s">
        <v>13161</v>
      </c>
      <c r="H755" s="459" t="s">
        <v>10907</v>
      </c>
      <c r="I755" s="404" t="s">
        <v>36</v>
      </c>
      <c r="J755" s="351"/>
      <c r="K755" s="351"/>
      <c r="L755" s="351"/>
      <c r="M755" s="351"/>
      <c r="N755" s="351"/>
      <c r="O755" s="351"/>
      <c r="P755" s="351"/>
      <c r="Q755" s="351"/>
      <c r="R755" s="351"/>
      <c r="S755" s="351"/>
      <c r="T755" s="351"/>
      <c r="U755" s="351"/>
      <c r="V755" s="351"/>
      <c r="W755" s="351"/>
      <c r="X755" s="351"/>
      <c r="Y755" s="351"/>
      <c r="Z755" s="351"/>
      <c r="AA755" s="351"/>
      <c r="AB755" s="351"/>
    </row>
    <row r="756" ht="14.25" customHeight="1">
      <c r="A756" s="438"/>
      <c r="B756" s="108"/>
      <c r="C756" s="450" t="s">
        <v>13162</v>
      </c>
      <c r="D756" s="297" t="s">
        <v>271</v>
      </c>
      <c r="E756" s="450" t="s">
        <v>5</v>
      </c>
      <c r="F756" s="459" t="s">
        <v>10899</v>
      </c>
      <c r="G756" s="459" t="s">
        <v>13163</v>
      </c>
      <c r="H756" s="459" t="s">
        <v>10907</v>
      </c>
      <c r="I756" s="404" t="s">
        <v>36</v>
      </c>
      <c r="J756" s="351"/>
      <c r="K756" s="351"/>
      <c r="L756" s="351"/>
      <c r="M756" s="351"/>
      <c r="N756" s="351"/>
      <c r="O756" s="351"/>
      <c r="P756" s="351"/>
      <c r="Q756" s="351"/>
      <c r="R756" s="351"/>
      <c r="S756" s="351"/>
      <c r="T756" s="351"/>
      <c r="U756" s="351"/>
      <c r="V756" s="351"/>
      <c r="W756" s="351"/>
      <c r="X756" s="351"/>
      <c r="Y756" s="351"/>
      <c r="Z756" s="351"/>
      <c r="AA756" s="351"/>
      <c r="AB756" s="351"/>
    </row>
    <row r="757" ht="14.25" customHeight="1">
      <c r="A757" s="438"/>
      <c r="B757" s="108"/>
      <c r="C757" s="450" t="s">
        <v>13164</v>
      </c>
      <c r="D757" s="297" t="s">
        <v>271</v>
      </c>
      <c r="E757" s="450" t="s">
        <v>5</v>
      </c>
      <c r="F757" s="459" t="s">
        <v>10899</v>
      </c>
      <c r="G757" s="459" t="s">
        <v>13165</v>
      </c>
      <c r="H757" s="459" t="s">
        <v>13166</v>
      </c>
      <c r="I757" s="404" t="s">
        <v>36</v>
      </c>
      <c r="J757" s="351"/>
      <c r="K757" s="351"/>
      <c r="L757" s="351"/>
      <c r="M757" s="351"/>
      <c r="N757" s="351"/>
      <c r="O757" s="351"/>
      <c r="P757" s="351"/>
      <c r="Q757" s="351"/>
      <c r="R757" s="351"/>
      <c r="S757" s="351"/>
      <c r="T757" s="351"/>
      <c r="U757" s="351"/>
      <c r="V757" s="351"/>
      <c r="W757" s="351"/>
      <c r="X757" s="351"/>
      <c r="Y757" s="351"/>
      <c r="Z757" s="351"/>
      <c r="AA757" s="351"/>
      <c r="AB757" s="351"/>
    </row>
    <row r="758" ht="14.25" customHeight="1">
      <c r="A758" s="438"/>
      <c r="B758" s="108"/>
      <c r="C758" s="450" t="s">
        <v>13167</v>
      </c>
      <c r="D758" s="297" t="s">
        <v>271</v>
      </c>
      <c r="E758" s="450" t="s">
        <v>5</v>
      </c>
      <c r="F758" s="459" t="s">
        <v>10899</v>
      </c>
      <c r="G758" s="459" t="s">
        <v>13168</v>
      </c>
      <c r="H758" s="459" t="s">
        <v>13169</v>
      </c>
      <c r="I758" s="404" t="s">
        <v>36</v>
      </c>
      <c r="J758" s="351"/>
      <c r="K758" s="351"/>
      <c r="L758" s="351"/>
      <c r="M758" s="351"/>
      <c r="N758" s="351"/>
      <c r="O758" s="351"/>
      <c r="P758" s="351"/>
      <c r="Q758" s="351"/>
      <c r="R758" s="351"/>
      <c r="S758" s="351"/>
      <c r="T758" s="351"/>
      <c r="U758" s="351"/>
      <c r="V758" s="351"/>
      <c r="W758" s="351"/>
      <c r="X758" s="351"/>
      <c r="Y758" s="351"/>
      <c r="Z758" s="351"/>
      <c r="AA758" s="351"/>
      <c r="AB758" s="351"/>
    </row>
    <row r="759" ht="14.25" customHeight="1">
      <c r="A759" s="438"/>
      <c r="B759" s="108"/>
      <c r="C759" s="450" t="s">
        <v>13170</v>
      </c>
      <c r="D759" s="297" t="s">
        <v>271</v>
      </c>
      <c r="E759" s="450" t="s">
        <v>5</v>
      </c>
      <c r="F759" s="459" t="s">
        <v>10899</v>
      </c>
      <c r="G759" s="459" t="s">
        <v>13171</v>
      </c>
      <c r="H759" s="459" t="s">
        <v>13172</v>
      </c>
      <c r="I759" s="404" t="s">
        <v>36</v>
      </c>
      <c r="J759" s="351"/>
      <c r="K759" s="351"/>
      <c r="L759" s="351"/>
      <c r="M759" s="351"/>
      <c r="N759" s="351"/>
      <c r="O759" s="351"/>
      <c r="P759" s="351"/>
      <c r="Q759" s="351"/>
      <c r="R759" s="351"/>
      <c r="S759" s="351"/>
      <c r="T759" s="351"/>
      <c r="U759" s="351"/>
      <c r="V759" s="351"/>
      <c r="W759" s="351"/>
      <c r="X759" s="351"/>
      <c r="Y759" s="351"/>
      <c r="Z759" s="351"/>
      <c r="AA759" s="351"/>
      <c r="AB759" s="351"/>
    </row>
    <row r="760" ht="14.25" customHeight="1">
      <c r="A760" s="438"/>
      <c r="B760" s="108"/>
      <c r="C760" s="450" t="s">
        <v>13173</v>
      </c>
      <c r="D760" s="297" t="s">
        <v>271</v>
      </c>
      <c r="E760" s="450" t="s">
        <v>5</v>
      </c>
      <c r="F760" s="459" t="s">
        <v>10899</v>
      </c>
      <c r="G760" s="459" t="s">
        <v>13174</v>
      </c>
      <c r="H760" s="459" t="s">
        <v>10920</v>
      </c>
      <c r="I760" s="404" t="s">
        <v>36</v>
      </c>
      <c r="J760" s="351"/>
      <c r="K760" s="351"/>
      <c r="L760" s="351"/>
      <c r="M760" s="351"/>
      <c r="N760" s="351"/>
      <c r="O760" s="351"/>
      <c r="P760" s="351"/>
      <c r="Q760" s="351"/>
      <c r="R760" s="351"/>
      <c r="S760" s="351"/>
      <c r="T760" s="351"/>
      <c r="U760" s="351"/>
      <c r="V760" s="351"/>
      <c r="W760" s="351"/>
      <c r="X760" s="351"/>
      <c r="Y760" s="351"/>
      <c r="Z760" s="351"/>
      <c r="AA760" s="351"/>
      <c r="AB760" s="351"/>
    </row>
    <row r="761" ht="14.25" customHeight="1">
      <c r="A761" s="438"/>
      <c r="B761" s="108"/>
      <c r="C761" s="450" t="s">
        <v>13175</v>
      </c>
      <c r="D761" s="297" t="s">
        <v>271</v>
      </c>
      <c r="E761" s="450" t="s">
        <v>5</v>
      </c>
      <c r="F761" s="459" t="s">
        <v>10899</v>
      </c>
      <c r="G761" s="459" t="s">
        <v>13176</v>
      </c>
      <c r="H761" s="459" t="s">
        <v>10920</v>
      </c>
      <c r="I761" s="404" t="s">
        <v>36</v>
      </c>
      <c r="J761" s="351"/>
      <c r="K761" s="351"/>
      <c r="L761" s="351"/>
      <c r="M761" s="351"/>
      <c r="N761" s="351"/>
      <c r="O761" s="351"/>
      <c r="P761" s="351"/>
      <c r="Q761" s="351"/>
      <c r="R761" s="351"/>
      <c r="S761" s="351"/>
      <c r="T761" s="351"/>
      <c r="U761" s="351"/>
      <c r="V761" s="351"/>
      <c r="W761" s="351"/>
      <c r="X761" s="351"/>
      <c r="Y761" s="351"/>
      <c r="Z761" s="351"/>
      <c r="AA761" s="351"/>
      <c r="AB761" s="351"/>
    </row>
    <row r="762" ht="14.25" customHeight="1">
      <c r="A762" s="438"/>
      <c r="B762" s="108"/>
      <c r="C762" s="450" t="s">
        <v>13177</v>
      </c>
      <c r="D762" s="297" t="s">
        <v>271</v>
      </c>
      <c r="E762" s="450" t="s">
        <v>5</v>
      </c>
      <c r="F762" s="454" t="s">
        <v>13178</v>
      </c>
      <c r="G762" s="454" t="s">
        <v>13179</v>
      </c>
      <c r="H762" s="454" t="s">
        <v>13180</v>
      </c>
      <c r="I762" s="258" t="s">
        <v>36</v>
      </c>
      <c r="J762" s="351"/>
      <c r="K762" s="351"/>
      <c r="L762" s="351"/>
      <c r="M762" s="351"/>
      <c r="N762" s="351"/>
      <c r="O762" s="351"/>
      <c r="P762" s="351"/>
      <c r="Q762" s="351"/>
      <c r="R762" s="351"/>
      <c r="S762" s="351"/>
      <c r="T762" s="351"/>
      <c r="U762" s="351"/>
      <c r="V762" s="351"/>
      <c r="W762" s="351"/>
      <c r="X762" s="351"/>
      <c r="Y762" s="351"/>
      <c r="Z762" s="351"/>
      <c r="AA762" s="351"/>
      <c r="AB762" s="351"/>
    </row>
    <row r="763" ht="14.25" customHeight="1">
      <c r="A763" s="438"/>
      <c r="B763" s="108"/>
      <c r="C763" s="450" t="s">
        <v>13181</v>
      </c>
      <c r="D763" s="297" t="s">
        <v>271</v>
      </c>
      <c r="E763" s="450" t="s">
        <v>5</v>
      </c>
      <c r="F763" s="454" t="s">
        <v>13182</v>
      </c>
      <c r="G763" s="454" t="s">
        <v>13183</v>
      </c>
      <c r="H763" s="454" t="s">
        <v>13180</v>
      </c>
      <c r="I763" s="258" t="s">
        <v>36</v>
      </c>
      <c r="J763" s="351"/>
      <c r="K763" s="351"/>
      <c r="L763" s="351"/>
      <c r="M763" s="351"/>
      <c r="N763" s="351"/>
      <c r="O763" s="351"/>
      <c r="P763" s="351"/>
      <c r="Q763" s="351"/>
      <c r="R763" s="351"/>
      <c r="S763" s="351"/>
      <c r="T763" s="351"/>
      <c r="U763" s="351"/>
      <c r="V763" s="351"/>
      <c r="W763" s="351"/>
      <c r="X763" s="351"/>
      <c r="Y763" s="351"/>
      <c r="Z763" s="351"/>
      <c r="AA763" s="351"/>
      <c r="AB763" s="351"/>
    </row>
    <row r="764" ht="14.25" customHeight="1">
      <c r="A764" s="438"/>
      <c r="B764" s="108"/>
      <c r="C764" s="450" t="s">
        <v>13184</v>
      </c>
      <c r="D764" s="297" t="s">
        <v>271</v>
      </c>
      <c r="E764" s="450" t="s">
        <v>5</v>
      </c>
      <c r="F764" s="454" t="s">
        <v>13185</v>
      </c>
      <c r="G764" s="454" t="s">
        <v>13186</v>
      </c>
      <c r="H764" s="454" t="s">
        <v>13180</v>
      </c>
      <c r="I764" s="258" t="s">
        <v>36</v>
      </c>
      <c r="J764" s="351"/>
      <c r="K764" s="351"/>
      <c r="L764" s="351"/>
      <c r="M764" s="351"/>
      <c r="N764" s="351"/>
      <c r="O764" s="351"/>
      <c r="P764" s="351"/>
      <c r="Q764" s="351"/>
      <c r="R764" s="351"/>
      <c r="S764" s="351"/>
      <c r="T764" s="351"/>
      <c r="U764" s="351"/>
      <c r="V764" s="351"/>
      <c r="W764" s="351"/>
      <c r="X764" s="351"/>
      <c r="Y764" s="351"/>
      <c r="Z764" s="351"/>
      <c r="AA764" s="351"/>
      <c r="AB764" s="351"/>
    </row>
    <row r="765" ht="14.25" customHeight="1">
      <c r="A765" s="438"/>
      <c r="B765" s="108"/>
      <c r="C765" s="450" t="s">
        <v>13187</v>
      </c>
      <c r="D765" s="297" t="s">
        <v>271</v>
      </c>
      <c r="E765" s="450" t="s">
        <v>5</v>
      </c>
      <c r="F765" s="454" t="s">
        <v>13188</v>
      </c>
      <c r="G765" s="454" t="s">
        <v>13189</v>
      </c>
      <c r="H765" s="454" t="s">
        <v>13180</v>
      </c>
      <c r="I765" s="258" t="s">
        <v>36</v>
      </c>
      <c r="J765" s="351"/>
      <c r="K765" s="351"/>
      <c r="L765" s="351"/>
      <c r="M765" s="351"/>
      <c r="N765" s="351"/>
      <c r="O765" s="351"/>
      <c r="P765" s="351"/>
      <c r="Q765" s="351"/>
      <c r="R765" s="351"/>
      <c r="S765" s="351"/>
      <c r="T765" s="351"/>
      <c r="U765" s="351"/>
      <c r="V765" s="351"/>
      <c r="W765" s="351"/>
      <c r="X765" s="351"/>
      <c r="Y765" s="351"/>
      <c r="Z765" s="351"/>
      <c r="AA765" s="351"/>
      <c r="AB765" s="351"/>
    </row>
    <row r="766" ht="14.25" customHeight="1">
      <c r="A766" s="438"/>
      <c r="B766" s="108"/>
      <c r="C766" s="450" t="s">
        <v>13190</v>
      </c>
      <c r="D766" s="297" t="s">
        <v>271</v>
      </c>
      <c r="E766" s="450" t="s">
        <v>5</v>
      </c>
      <c r="F766" s="454" t="s">
        <v>13191</v>
      </c>
      <c r="G766" s="454" t="s">
        <v>13192</v>
      </c>
      <c r="H766" s="454" t="s">
        <v>13193</v>
      </c>
      <c r="I766" s="258" t="s">
        <v>36</v>
      </c>
      <c r="J766" s="351"/>
      <c r="K766" s="351"/>
      <c r="L766" s="351"/>
      <c r="M766" s="351"/>
      <c r="N766" s="351"/>
      <c r="O766" s="351"/>
      <c r="P766" s="351"/>
      <c r="Q766" s="351"/>
      <c r="R766" s="351"/>
      <c r="S766" s="351"/>
      <c r="T766" s="351"/>
      <c r="U766" s="351"/>
      <c r="V766" s="351"/>
      <c r="W766" s="351"/>
      <c r="X766" s="351"/>
      <c r="Y766" s="351"/>
      <c r="Z766" s="351"/>
      <c r="AA766" s="351"/>
      <c r="AB766" s="351"/>
    </row>
    <row r="767" ht="14.25" customHeight="1">
      <c r="A767" s="438"/>
      <c r="B767" s="108"/>
      <c r="C767" s="450" t="s">
        <v>13194</v>
      </c>
      <c r="D767" s="297" t="s">
        <v>271</v>
      </c>
      <c r="E767" s="450" t="s">
        <v>5</v>
      </c>
      <c r="F767" s="454" t="s">
        <v>13195</v>
      </c>
      <c r="G767" s="454" t="s">
        <v>13196</v>
      </c>
      <c r="H767" s="454" t="s">
        <v>13197</v>
      </c>
      <c r="I767" s="258" t="s">
        <v>36</v>
      </c>
      <c r="J767" s="351"/>
      <c r="K767" s="351"/>
      <c r="L767" s="351"/>
      <c r="M767" s="351"/>
      <c r="N767" s="351"/>
      <c r="O767" s="351"/>
      <c r="P767" s="351"/>
      <c r="Q767" s="351"/>
      <c r="R767" s="351"/>
      <c r="S767" s="351"/>
      <c r="T767" s="351"/>
      <c r="U767" s="351"/>
      <c r="V767" s="351"/>
      <c r="W767" s="351"/>
      <c r="X767" s="351"/>
      <c r="Y767" s="351"/>
      <c r="Z767" s="351"/>
      <c r="AA767" s="351"/>
      <c r="AB767" s="351"/>
    </row>
    <row r="768" ht="14.25" customHeight="1">
      <c r="A768" s="438"/>
      <c r="B768" s="108"/>
      <c r="C768" s="450" t="s">
        <v>13198</v>
      </c>
      <c r="D768" s="297" t="s">
        <v>271</v>
      </c>
      <c r="E768" s="450" t="s">
        <v>5</v>
      </c>
      <c r="F768" s="454" t="s">
        <v>13199</v>
      </c>
      <c r="G768" s="454" t="s">
        <v>13200</v>
      </c>
      <c r="H768" s="454" t="s">
        <v>13201</v>
      </c>
      <c r="I768" s="258" t="s">
        <v>36</v>
      </c>
      <c r="J768" s="351"/>
      <c r="K768" s="351"/>
      <c r="L768" s="351"/>
      <c r="M768" s="351"/>
      <c r="N768" s="351"/>
      <c r="O768" s="351"/>
      <c r="P768" s="351"/>
      <c r="Q768" s="351"/>
      <c r="R768" s="351"/>
      <c r="S768" s="351"/>
      <c r="T768" s="351"/>
      <c r="U768" s="351"/>
      <c r="V768" s="351"/>
      <c r="W768" s="351"/>
      <c r="X768" s="351"/>
      <c r="Y768" s="351"/>
      <c r="Z768" s="351"/>
      <c r="AA768" s="351"/>
      <c r="AB768" s="351"/>
    </row>
    <row r="769" ht="14.25" customHeight="1">
      <c r="A769" s="438"/>
      <c r="B769" s="108"/>
      <c r="C769" s="450" t="s">
        <v>13202</v>
      </c>
      <c r="D769" s="297" t="s">
        <v>271</v>
      </c>
      <c r="E769" s="450" t="s">
        <v>5</v>
      </c>
      <c r="F769" s="454" t="s">
        <v>13203</v>
      </c>
      <c r="G769" s="454" t="s">
        <v>13204</v>
      </c>
      <c r="H769" s="454" t="s">
        <v>13205</v>
      </c>
      <c r="I769" s="258" t="s">
        <v>36</v>
      </c>
      <c r="J769" s="351"/>
      <c r="K769" s="351"/>
      <c r="L769" s="351"/>
      <c r="M769" s="351"/>
      <c r="N769" s="351"/>
      <c r="O769" s="351"/>
      <c r="P769" s="351"/>
      <c r="Q769" s="351"/>
      <c r="R769" s="351"/>
      <c r="S769" s="351"/>
      <c r="T769" s="351"/>
      <c r="U769" s="351"/>
      <c r="V769" s="351"/>
      <c r="W769" s="351"/>
      <c r="X769" s="351"/>
      <c r="Y769" s="351"/>
      <c r="Z769" s="351"/>
      <c r="AA769" s="351"/>
      <c r="AB769" s="351"/>
    </row>
    <row r="770" ht="14.25" customHeight="1">
      <c r="A770" s="438"/>
      <c r="B770" s="108"/>
      <c r="C770" s="450" t="s">
        <v>13206</v>
      </c>
      <c r="D770" s="297" t="s">
        <v>271</v>
      </c>
      <c r="E770" s="450" t="s">
        <v>5</v>
      </c>
      <c r="F770" s="458" t="s">
        <v>13207</v>
      </c>
      <c r="G770" s="454" t="s">
        <v>13208</v>
      </c>
      <c r="H770" s="458" t="s">
        <v>13209</v>
      </c>
      <c r="I770" s="258" t="s">
        <v>36</v>
      </c>
      <c r="J770" s="351"/>
      <c r="K770" s="351"/>
      <c r="L770" s="351"/>
      <c r="M770" s="351"/>
      <c r="N770" s="351"/>
      <c r="O770" s="351"/>
      <c r="P770" s="351"/>
      <c r="Q770" s="351"/>
      <c r="R770" s="351"/>
      <c r="S770" s="351"/>
      <c r="T770" s="351"/>
      <c r="U770" s="351"/>
      <c r="V770" s="351"/>
      <c r="W770" s="351"/>
      <c r="X770" s="351"/>
      <c r="Y770" s="351"/>
      <c r="Z770" s="351"/>
      <c r="AA770" s="351"/>
      <c r="AB770" s="351"/>
    </row>
    <row r="771" ht="14.25" customHeight="1">
      <c r="A771" s="438"/>
      <c r="B771" s="108"/>
      <c r="C771" s="450" t="s">
        <v>13210</v>
      </c>
      <c r="D771" s="297" t="s">
        <v>271</v>
      </c>
      <c r="E771" s="450" t="s">
        <v>5</v>
      </c>
      <c r="F771" s="458" t="s">
        <v>13211</v>
      </c>
      <c r="G771" s="454" t="s">
        <v>13212</v>
      </c>
      <c r="H771" s="458" t="s">
        <v>13209</v>
      </c>
      <c r="I771" s="258" t="s">
        <v>36</v>
      </c>
      <c r="J771" s="351"/>
      <c r="K771" s="351"/>
      <c r="L771" s="351"/>
      <c r="M771" s="351"/>
      <c r="N771" s="351"/>
      <c r="O771" s="351"/>
      <c r="P771" s="351"/>
      <c r="Q771" s="351"/>
      <c r="R771" s="351"/>
      <c r="S771" s="351"/>
      <c r="T771" s="351"/>
      <c r="U771" s="351"/>
      <c r="V771" s="351"/>
      <c r="W771" s="351"/>
      <c r="X771" s="351"/>
      <c r="Y771" s="351"/>
      <c r="Z771" s="351"/>
      <c r="AA771" s="351"/>
      <c r="AB771" s="351"/>
    </row>
    <row r="772" ht="14.25" customHeight="1">
      <c r="A772" s="438"/>
      <c r="B772" s="108"/>
      <c r="C772" s="450" t="s">
        <v>13213</v>
      </c>
      <c r="D772" s="297" t="s">
        <v>271</v>
      </c>
      <c r="E772" s="450" t="s">
        <v>5</v>
      </c>
      <c r="F772" s="458" t="s">
        <v>13214</v>
      </c>
      <c r="G772" s="454" t="s">
        <v>13215</v>
      </c>
      <c r="H772" s="458" t="s">
        <v>13216</v>
      </c>
      <c r="I772" s="404" t="s">
        <v>36</v>
      </c>
      <c r="J772" s="351"/>
      <c r="K772" s="351"/>
      <c r="L772" s="351"/>
      <c r="M772" s="351"/>
      <c r="N772" s="351"/>
      <c r="O772" s="351"/>
      <c r="P772" s="351"/>
      <c r="Q772" s="351"/>
      <c r="R772" s="351"/>
      <c r="S772" s="351"/>
      <c r="T772" s="351"/>
      <c r="U772" s="351"/>
      <c r="V772" s="351"/>
      <c r="W772" s="351"/>
      <c r="X772" s="351"/>
      <c r="Y772" s="351"/>
      <c r="Z772" s="351"/>
      <c r="AA772" s="351"/>
      <c r="AB772" s="351"/>
    </row>
    <row r="773" ht="14.25" customHeight="1">
      <c r="A773" s="438"/>
      <c r="B773" s="108"/>
      <c r="C773" s="450" t="s">
        <v>13217</v>
      </c>
      <c r="D773" s="297" t="s">
        <v>271</v>
      </c>
      <c r="E773" s="450" t="s">
        <v>5</v>
      </c>
      <c r="F773" s="458" t="s">
        <v>13218</v>
      </c>
      <c r="G773" s="454" t="s">
        <v>13219</v>
      </c>
      <c r="H773" s="458" t="s">
        <v>13220</v>
      </c>
      <c r="I773" s="404" t="s">
        <v>36</v>
      </c>
      <c r="J773" s="351"/>
      <c r="K773" s="351"/>
      <c r="L773" s="351"/>
      <c r="M773" s="351"/>
      <c r="N773" s="351"/>
      <c r="O773" s="351"/>
      <c r="P773" s="351"/>
      <c r="Q773" s="351"/>
      <c r="R773" s="351"/>
      <c r="S773" s="351"/>
      <c r="T773" s="351"/>
      <c r="U773" s="351"/>
      <c r="V773" s="351"/>
      <c r="W773" s="351"/>
      <c r="X773" s="351"/>
      <c r="Y773" s="351"/>
      <c r="Z773" s="351"/>
      <c r="AA773" s="351"/>
      <c r="AB773" s="351"/>
    </row>
    <row r="774" ht="14.25" customHeight="1">
      <c r="A774" s="438"/>
      <c r="B774" s="108"/>
      <c r="C774" s="450" t="s">
        <v>13221</v>
      </c>
      <c r="D774" s="297" t="s">
        <v>271</v>
      </c>
      <c r="E774" s="450" t="s">
        <v>5</v>
      </c>
      <c r="F774" s="454" t="s">
        <v>11096</v>
      </c>
      <c r="G774" s="454" t="s">
        <v>13222</v>
      </c>
      <c r="H774" s="454" t="s">
        <v>12952</v>
      </c>
      <c r="I774" s="258" t="s">
        <v>36</v>
      </c>
      <c r="J774" s="351"/>
      <c r="K774" s="351"/>
      <c r="L774" s="351"/>
      <c r="M774" s="351"/>
      <c r="N774" s="351"/>
      <c r="O774" s="351"/>
      <c r="P774" s="351"/>
      <c r="Q774" s="351"/>
      <c r="R774" s="351"/>
      <c r="S774" s="351"/>
      <c r="T774" s="351"/>
      <c r="U774" s="351"/>
      <c r="V774" s="351"/>
      <c r="W774" s="351"/>
      <c r="X774" s="351"/>
      <c r="Y774" s="351"/>
      <c r="Z774" s="351"/>
      <c r="AA774" s="351"/>
      <c r="AB774" s="351"/>
    </row>
    <row r="775" ht="14.25" customHeight="1">
      <c r="A775" s="438"/>
      <c r="B775" s="109"/>
      <c r="C775" s="450" t="s">
        <v>13223</v>
      </c>
      <c r="D775" s="297" t="s">
        <v>271</v>
      </c>
      <c r="E775" s="450" t="s">
        <v>5</v>
      </c>
      <c r="F775" s="454" t="s">
        <v>11097</v>
      </c>
      <c r="G775" s="454" t="s">
        <v>13224</v>
      </c>
      <c r="H775" s="454" t="s">
        <v>13225</v>
      </c>
      <c r="I775" s="258" t="s">
        <v>36</v>
      </c>
      <c r="J775" s="351"/>
      <c r="K775" s="351"/>
      <c r="L775" s="351"/>
      <c r="M775" s="351"/>
      <c r="N775" s="351"/>
      <c r="O775" s="351"/>
      <c r="P775" s="351"/>
      <c r="Q775" s="351"/>
      <c r="R775" s="351"/>
      <c r="S775" s="351"/>
      <c r="T775" s="351"/>
      <c r="U775" s="351"/>
      <c r="V775" s="351"/>
      <c r="W775" s="351"/>
      <c r="X775" s="351"/>
      <c r="Y775" s="351"/>
      <c r="Z775" s="351"/>
      <c r="AA775" s="351"/>
      <c r="AB775" s="351"/>
    </row>
    <row r="776" ht="14.25" customHeight="1">
      <c r="A776" s="438"/>
      <c r="B776" s="449" t="s">
        <v>11098</v>
      </c>
      <c r="C776" s="450" t="s">
        <v>13226</v>
      </c>
      <c r="D776" s="297" t="s">
        <v>271</v>
      </c>
      <c r="E776" s="450" t="s">
        <v>5</v>
      </c>
      <c r="F776" s="451" t="s">
        <v>12532</v>
      </c>
      <c r="G776" s="451" t="s">
        <v>13227</v>
      </c>
      <c r="H776" s="451" t="s">
        <v>10926</v>
      </c>
      <c r="I776" s="258" t="s">
        <v>36</v>
      </c>
      <c r="J776" s="351"/>
      <c r="K776" s="351"/>
      <c r="L776" s="351"/>
      <c r="M776" s="351"/>
      <c r="N776" s="351"/>
      <c r="O776" s="351"/>
      <c r="P776" s="351"/>
      <c r="Q776" s="351"/>
      <c r="R776" s="351"/>
      <c r="S776" s="351"/>
      <c r="T776" s="351"/>
      <c r="U776" s="351"/>
      <c r="V776" s="351"/>
      <c r="W776" s="351"/>
      <c r="X776" s="351"/>
      <c r="Y776" s="351"/>
      <c r="Z776" s="351"/>
      <c r="AA776" s="351"/>
      <c r="AB776" s="351"/>
    </row>
    <row r="777" ht="14.25" customHeight="1">
      <c r="A777" s="438"/>
      <c r="B777" s="108"/>
      <c r="C777" s="450" t="s">
        <v>13228</v>
      </c>
      <c r="D777" s="297" t="s">
        <v>271</v>
      </c>
      <c r="E777" s="450" t="s">
        <v>5</v>
      </c>
      <c r="F777" s="451" t="s">
        <v>13229</v>
      </c>
      <c r="G777" s="451" t="s">
        <v>13230</v>
      </c>
      <c r="H777" s="451" t="s">
        <v>10926</v>
      </c>
      <c r="I777" s="258" t="s">
        <v>36</v>
      </c>
      <c r="J777" s="351"/>
      <c r="K777" s="351"/>
      <c r="L777" s="351"/>
      <c r="M777" s="351"/>
      <c r="N777" s="351"/>
      <c r="O777" s="351"/>
      <c r="P777" s="351"/>
      <c r="Q777" s="351"/>
      <c r="R777" s="351"/>
      <c r="S777" s="351"/>
      <c r="T777" s="351"/>
      <c r="U777" s="351"/>
      <c r="V777" s="351"/>
      <c r="W777" s="351"/>
      <c r="X777" s="351"/>
      <c r="Y777" s="351"/>
      <c r="Z777" s="351"/>
      <c r="AA777" s="351"/>
      <c r="AB777" s="351"/>
    </row>
    <row r="778" ht="14.25" customHeight="1">
      <c r="A778" s="438"/>
      <c r="B778" s="108"/>
      <c r="C778" s="450" t="s">
        <v>13231</v>
      </c>
      <c r="D778" s="297" t="s">
        <v>271</v>
      </c>
      <c r="E778" s="450" t="s">
        <v>5</v>
      </c>
      <c r="F778" s="451" t="s">
        <v>13232</v>
      </c>
      <c r="G778" s="451" t="s">
        <v>13233</v>
      </c>
      <c r="H778" s="451" t="s">
        <v>10926</v>
      </c>
      <c r="I778" s="258" t="s">
        <v>36</v>
      </c>
      <c r="J778" s="351"/>
      <c r="K778" s="351"/>
      <c r="L778" s="351"/>
      <c r="M778" s="351"/>
      <c r="N778" s="351"/>
      <c r="O778" s="351"/>
      <c r="P778" s="351"/>
      <c r="Q778" s="351"/>
      <c r="R778" s="351"/>
      <c r="S778" s="351"/>
      <c r="T778" s="351"/>
      <c r="U778" s="351"/>
      <c r="V778" s="351"/>
      <c r="W778" s="351"/>
      <c r="X778" s="351"/>
      <c r="Y778" s="351"/>
      <c r="Z778" s="351"/>
      <c r="AA778" s="351"/>
      <c r="AB778" s="351"/>
    </row>
    <row r="779" ht="14.25" customHeight="1">
      <c r="A779" s="438"/>
      <c r="B779" s="108"/>
      <c r="C779" s="450" t="s">
        <v>13234</v>
      </c>
      <c r="D779" s="297" t="s">
        <v>271</v>
      </c>
      <c r="E779" s="450" t="s">
        <v>5</v>
      </c>
      <c r="F779" s="451" t="s">
        <v>13235</v>
      </c>
      <c r="G779" s="451" t="s">
        <v>13236</v>
      </c>
      <c r="H779" s="451" t="s">
        <v>10930</v>
      </c>
      <c r="I779" s="258" t="s">
        <v>36</v>
      </c>
      <c r="J779" s="351"/>
      <c r="K779" s="351"/>
      <c r="L779" s="351"/>
      <c r="M779" s="351"/>
      <c r="N779" s="351"/>
      <c r="O779" s="351"/>
      <c r="P779" s="351"/>
      <c r="Q779" s="351"/>
      <c r="R779" s="351"/>
      <c r="S779" s="351"/>
      <c r="T779" s="351"/>
      <c r="U779" s="351"/>
      <c r="V779" s="351"/>
      <c r="W779" s="351"/>
      <c r="X779" s="351"/>
      <c r="Y779" s="351"/>
      <c r="Z779" s="351"/>
      <c r="AA779" s="351"/>
      <c r="AB779" s="351"/>
    </row>
    <row r="780" ht="14.25" customHeight="1">
      <c r="A780" s="438"/>
      <c r="B780" s="108"/>
      <c r="C780" s="450" t="s">
        <v>13237</v>
      </c>
      <c r="D780" s="297" t="s">
        <v>271</v>
      </c>
      <c r="E780" s="450" t="s">
        <v>5</v>
      </c>
      <c r="F780" s="451" t="s">
        <v>12538</v>
      </c>
      <c r="G780" s="451" t="s">
        <v>13233</v>
      </c>
      <c r="H780" s="451" t="s">
        <v>10930</v>
      </c>
      <c r="I780" s="258" t="s">
        <v>36</v>
      </c>
      <c r="J780" s="351"/>
      <c r="K780" s="351"/>
      <c r="L780" s="351"/>
      <c r="M780" s="351"/>
      <c r="N780" s="351"/>
      <c r="O780" s="351"/>
      <c r="P780" s="351"/>
      <c r="Q780" s="351"/>
      <c r="R780" s="351"/>
      <c r="S780" s="351"/>
      <c r="T780" s="351"/>
      <c r="U780" s="351"/>
      <c r="V780" s="351"/>
      <c r="W780" s="351"/>
      <c r="X780" s="351"/>
      <c r="Y780" s="351"/>
      <c r="Z780" s="351"/>
      <c r="AA780" s="351"/>
      <c r="AB780" s="351"/>
    </row>
    <row r="781" ht="14.25" customHeight="1">
      <c r="A781" s="438"/>
      <c r="B781" s="108"/>
      <c r="C781" s="450" t="s">
        <v>13238</v>
      </c>
      <c r="D781" s="297" t="s">
        <v>271</v>
      </c>
      <c r="E781" s="450" t="s">
        <v>5</v>
      </c>
      <c r="F781" s="451" t="s">
        <v>12539</v>
      </c>
      <c r="G781" s="451" t="s">
        <v>13239</v>
      </c>
      <c r="H781" s="451" t="s">
        <v>10934</v>
      </c>
      <c r="I781" s="258" t="s">
        <v>36</v>
      </c>
      <c r="J781" s="351"/>
      <c r="K781" s="351"/>
      <c r="L781" s="351"/>
      <c r="M781" s="351"/>
      <c r="N781" s="351"/>
      <c r="O781" s="351"/>
      <c r="P781" s="351"/>
      <c r="Q781" s="351"/>
      <c r="R781" s="351"/>
      <c r="S781" s="351"/>
      <c r="T781" s="351"/>
      <c r="U781" s="351"/>
      <c r="V781" s="351"/>
      <c r="W781" s="351"/>
      <c r="X781" s="351"/>
      <c r="Y781" s="351"/>
      <c r="Z781" s="351"/>
      <c r="AA781" s="351"/>
      <c r="AB781" s="351"/>
    </row>
    <row r="782" ht="14.25" customHeight="1">
      <c r="A782" s="438"/>
      <c r="B782" s="108"/>
      <c r="C782" s="450" t="s">
        <v>13240</v>
      </c>
      <c r="D782" s="297" t="s">
        <v>271</v>
      </c>
      <c r="E782" s="450" t="s">
        <v>5</v>
      </c>
      <c r="F782" s="451" t="s">
        <v>12540</v>
      </c>
      <c r="G782" s="451" t="s">
        <v>13233</v>
      </c>
      <c r="H782" s="451" t="s">
        <v>10934</v>
      </c>
      <c r="I782" s="258" t="s">
        <v>36</v>
      </c>
      <c r="J782" s="351"/>
      <c r="K782" s="351"/>
      <c r="L782" s="351"/>
      <c r="M782" s="351"/>
      <c r="N782" s="351"/>
      <c r="O782" s="351"/>
      <c r="P782" s="351"/>
      <c r="Q782" s="351"/>
      <c r="R782" s="351"/>
      <c r="S782" s="351"/>
      <c r="T782" s="351"/>
      <c r="U782" s="351"/>
      <c r="V782" s="351"/>
      <c r="W782" s="351"/>
      <c r="X782" s="351"/>
      <c r="Y782" s="351"/>
      <c r="Z782" s="351"/>
      <c r="AA782" s="351"/>
      <c r="AB782" s="351"/>
    </row>
    <row r="783" ht="14.25" customHeight="1">
      <c r="A783" s="438"/>
      <c r="B783" s="108"/>
      <c r="C783" s="450" t="s">
        <v>13241</v>
      </c>
      <c r="D783" s="297" t="s">
        <v>271</v>
      </c>
      <c r="E783" s="450" t="s">
        <v>5</v>
      </c>
      <c r="F783" s="451" t="s">
        <v>10936</v>
      </c>
      <c r="G783" s="451" t="s">
        <v>12541</v>
      </c>
      <c r="H783" s="451" t="s">
        <v>13242</v>
      </c>
      <c r="I783" s="258" t="s">
        <v>36</v>
      </c>
      <c r="J783" s="351"/>
      <c r="K783" s="351"/>
      <c r="L783" s="351"/>
      <c r="M783" s="351"/>
      <c r="N783" s="351"/>
      <c r="O783" s="351"/>
      <c r="P783" s="351"/>
      <c r="Q783" s="351"/>
      <c r="R783" s="351"/>
      <c r="S783" s="351"/>
      <c r="T783" s="351"/>
      <c r="U783" s="351"/>
      <c r="V783" s="351"/>
      <c r="W783" s="351"/>
      <c r="X783" s="351"/>
      <c r="Y783" s="351"/>
      <c r="Z783" s="351"/>
      <c r="AA783" s="351"/>
      <c r="AB783" s="351"/>
    </row>
    <row r="784" ht="14.25" customHeight="1">
      <c r="A784" s="438"/>
      <c r="B784" s="108"/>
      <c r="C784" s="450" t="s">
        <v>13243</v>
      </c>
      <c r="D784" s="297" t="s">
        <v>271</v>
      </c>
      <c r="E784" s="450" t="s">
        <v>5</v>
      </c>
      <c r="F784" s="451" t="s">
        <v>10940</v>
      </c>
      <c r="G784" s="451" t="s">
        <v>12543</v>
      </c>
      <c r="H784" s="451" t="s">
        <v>13242</v>
      </c>
      <c r="I784" s="258" t="s">
        <v>36</v>
      </c>
      <c r="J784" s="351"/>
      <c r="K784" s="351"/>
      <c r="L784" s="351"/>
      <c r="M784" s="351"/>
      <c r="N784" s="351"/>
      <c r="O784" s="351"/>
      <c r="P784" s="351"/>
      <c r="Q784" s="351"/>
      <c r="R784" s="351"/>
      <c r="S784" s="351"/>
      <c r="T784" s="351"/>
      <c r="U784" s="351"/>
      <c r="V784" s="351"/>
      <c r="W784" s="351"/>
      <c r="X784" s="351"/>
      <c r="Y784" s="351"/>
      <c r="Z784" s="351"/>
      <c r="AA784" s="351"/>
      <c r="AB784" s="351"/>
    </row>
    <row r="785" ht="14.25" customHeight="1">
      <c r="A785" s="438"/>
      <c r="B785" s="109"/>
      <c r="C785" s="450" t="s">
        <v>13244</v>
      </c>
      <c r="D785" s="297" t="s">
        <v>271</v>
      </c>
      <c r="E785" s="450" t="s">
        <v>5</v>
      </c>
      <c r="F785" s="451" t="s">
        <v>10944</v>
      </c>
      <c r="G785" s="451" t="s">
        <v>12545</v>
      </c>
      <c r="H785" s="451" t="s">
        <v>13245</v>
      </c>
      <c r="I785" s="258" t="s">
        <v>36</v>
      </c>
      <c r="J785" s="351"/>
      <c r="K785" s="351"/>
      <c r="L785" s="351"/>
      <c r="M785" s="351"/>
      <c r="N785" s="351"/>
      <c r="O785" s="351"/>
      <c r="P785" s="351"/>
      <c r="Q785" s="351"/>
      <c r="R785" s="351"/>
      <c r="S785" s="351"/>
      <c r="T785" s="351"/>
      <c r="U785" s="351"/>
      <c r="V785" s="351"/>
      <c r="W785" s="351"/>
      <c r="X785" s="351"/>
      <c r="Y785" s="351"/>
      <c r="Z785" s="351"/>
      <c r="AA785" s="351"/>
      <c r="AB785" s="351"/>
    </row>
    <row r="786" ht="14.25" customHeight="1">
      <c r="A786" s="460"/>
      <c r="B786" s="449" t="s">
        <v>8677</v>
      </c>
      <c r="C786" s="450" t="s">
        <v>13246</v>
      </c>
      <c r="D786" s="297" t="s">
        <v>271</v>
      </c>
      <c r="E786" s="450" t="s">
        <v>5</v>
      </c>
      <c r="F786" s="451" t="s">
        <v>13247</v>
      </c>
      <c r="G786" s="451" t="s">
        <v>13248</v>
      </c>
      <c r="H786" s="451" t="s">
        <v>13249</v>
      </c>
      <c r="I786" s="258" t="s">
        <v>36</v>
      </c>
      <c r="J786" s="251"/>
      <c r="K786" s="251"/>
      <c r="L786" s="251"/>
      <c r="M786" s="251"/>
      <c r="N786" s="251"/>
      <c r="O786" s="251"/>
      <c r="P786" s="251"/>
      <c r="Q786" s="251"/>
      <c r="R786" s="251"/>
      <c r="S786" s="251"/>
      <c r="T786" s="251"/>
      <c r="U786" s="251"/>
      <c r="V786" s="251"/>
      <c r="W786" s="251"/>
      <c r="X786" s="251"/>
      <c r="Y786" s="251"/>
      <c r="Z786" s="251"/>
      <c r="AA786" s="251"/>
      <c r="AB786" s="251"/>
    </row>
    <row r="787" ht="14.25" customHeight="1">
      <c r="A787" s="460"/>
      <c r="B787" s="108"/>
      <c r="C787" s="450" t="s">
        <v>13250</v>
      </c>
      <c r="D787" s="297" t="s">
        <v>271</v>
      </c>
      <c r="E787" s="450" t="s">
        <v>5</v>
      </c>
      <c r="F787" s="454" t="s">
        <v>13251</v>
      </c>
      <c r="G787" s="451" t="s">
        <v>13252</v>
      </c>
      <c r="H787" s="454" t="s">
        <v>11484</v>
      </c>
      <c r="I787" s="258" t="s">
        <v>36</v>
      </c>
      <c r="J787" s="251"/>
      <c r="K787" s="251"/>
      <c r="L787" s="251"/>
      <c r="M787" s="251"/>
      <c r="N787" s="251"/>
      <c r="O787" s="251"/>
      <c r="P787" s="251"/>
      <c r="Q787" s="251"/>
      <c r="R787" s="251"/>
      <c r="S787" s="251"/>
      <c r="T787" s="251"/>
      <c r="U787" s="251"/>
      <c r="V787" s="251"/>
      <c r="W787" s="251"/>
      <c r="X787" s="251"/>
      <c r="Y787" s="251"/>
      <c r="Z787" s="251"/>
      <c r="AA787" s="251"/>
      <c r="AB787" s="251"/>
    </row>
    <row r="788" ht="14.25" customHeight="1">
      <c r="A788" s="460"/>
      <c r="B788" s="108"/>
      <c r="C788" s="450" t="s">
        <v>13253</v>
      </c>
      <c r="D788" s="297" t="s">
        <v>271</v>
      </c>
      <c r="E788" s="450" t="s">
        <v>5</v>
      </c>
      <c r="F788" s="454" t="s">
        <v>13254</v>
      </c>
      <c r="G788" s="451" t="s">
        <v>13252</v>
      </c>
      <c r="H788" s="454" t="s">
        <v>11484</v>
      </c>
      <c r="I788" s="258" t="s">
        <v>36</v>
      </c>
      <c r="J788" s="251"/>
      <c r="K788" s="251"/>
      <c r="L788" s="251"/>
      <c r="M788" s="251"/>
      <c r="N788" s="251"/>
      <c r="O788" s="251"/>
      <c r="P788" s="251"/>
      <c r="Q788" s="251"/>
      <c r="R788" s="251"/>
      <c r="S788" s="251"/>
      <c r="T788" s="251"/>
      <c r="U788" s="251"/>
      <c r="V788" s="251"/>
      <c r="W788" s="251"/>
      <c r="X788" s="251"/>
      <c r="Y788" s="251"/>
      <c r="Z788" s="251"/>
      <c r="AA788" s="251"/>
      <c r="AB788" s="251"/>
    </row>
    <row r="789" ht="14.25" customHeight="1">
      <c r="A789" s="460"/>
      <c r="B789" s="108"/>
      <c r="C789" s="450" t="s">
        <v>13255</v>
      </c>
      <c r="D789" s="297" t="s">
        <v>271</v>
      </c>
      <c r="E789" s="450" t="s">
        <v>5</v>
      </c>
      <c r="F789" s="454" t="s">
        <v>13256</v>
      </c>
      <c r="G789" s="451" t="s">
        <v>13252</v>
      </c>
      <c r="H789" s="454" t="s">
        <v>11484</v>
      </c>
      <c r="I789" s="258" t="s">
        <v>36</v>
      </c>
      <c r="J789" s="251"/>
      <c r="K789" s="251"/>
      <c r="L789" s="251"/>
      <c r="M789" s="251"/>
      <c r="N789" s="251"/>
      <c r="O789" s="251"/>
      <c r="P789" s="251"/>
      <c r="Q789" s="251"/>
      <c r="R789" s="251"/>
      <c r="S789" s="251"/>
      <c r="T789" s="251"/>
      <c r="U789" s="251"/>
      <c r="V789" s="251"/>
      <c r="W789" s="251"/>
      <c r="X789" s="251"/>
      <c r="Y789" s="251"/>
      <c r="Z789" s="251"/>
      <c r="AA789" s="251"/>
      <c r="AB789" s="251"/>
    </row>
    <row r="790" ht="14.25" customHeight="1">
      <c r="A790" s="460"/>
      <c r="B790" s="108"/>
      <c r="C790" s="450" t="s">
        <v>13257</v>
      </c>
      <c r="D790" s="297" t="s">
        <v>271</v>
      </c>
      <c r="E790" s="450" t="s">
        <v>5</v>
      </c>
      <c r="F790" s="454" t="s">
        <v>13258</v>
      </c>
      <c r="G790" s="451" t="s">
        <v>13252</v>
      </c>
      <c r="H790" s="454" t="s">
        <v>11484</v>
      </c>
      <c r="I790" s="258" t="s">
        <v>36</v>
      </c>
      <c r="J790" s="251"/>
      <c r="K790" s="251"/>
      <c r="L790" s="251"/>
      <c r="M790" s="251"/>
      <c r="N790" s="251"/>
      <c r="O790" s="251"/>
      <c r="P790" s="251"/>
      <c r="Q790" s="251"/>
      <c r="R790" s="251"/>
      <c r="S790" s="251"/>
      <c r="T790" s="251"/>
      <c r="U790" s="251"/>
      <c r="V790" s="251"/>
      <c r="W790" s="251"/>
      <c r="X790" s="251"/>
      <c r="Y790" s="251"/>
      <c r="Z790" s="251"/>
      <c r="AA790" s="251"/>
      <c r="AB790" s="251"/>
    </row>
    <row r="791" ht="14.25" customHeight="1">
      <c r="A791" s="460"/>
      <c r="B791" s="109"/>
      <c r="C791" s="450" t="s">
        <v>13259</v>
      </c>
      <c r="D791" s="297" t="s">
        <v>271</v>
      </c>
      <c r="E791" s="450" t="s">
        <v>5</v>
      </c>
      <c r="F791" s="454" t="s">
        <v>13260</v>
      </c>
      <c r="G791" s="451" t="s">
        <v>13252</v>
      </c>
      <c r="H791" s="454" t="s">
        <v>11484</v>
      </c>
      <c r="I791" s="258" t="s">
        <v>36</v>
      </c>
      <c r="J791" s="251"/>
      <c r="K791" s="251"/>
      <c r="L791" s="251"/>
      <c r="M791" s="251"/>
      <c r="N791" s="251"/>
      <c r="O791" s="251"/>
      <c r="P791" s="251"/>
      <c r="Q791" s="251"/>
      <c r="R791" s="251"/>
      <c r="S791" s="251"/>
      <c r="T791" s="251"/>
      <c r="U791" s="251"/>
      <c r="V791" s="251"/>
      <c r="W791" s="251"/>
      <c r="X791" s="251"/>
      <c r="Y791" s="251"/>
      <c r="Z791" s="251"/>
      <c r="AA791" s="251"/>
      <c r="AB791" s="251"/>
    </row>
    <row r="792" ht="14.25" customHeight="1">
      <c r="A792" s="460"/>
      <c r="B792" s="449" t="s">
        <v>11105</v>
      </c>
      <c r="C792" s="450" t="s">
        <v>13261</v>
      </c>
      <c r="D792" s="297" t="s">
        <v>271</v>
      </c>
      <c r="E792" s="450" t="s">
        <v>5</v>
      </c>
      <c r="F792" s="451" t="s">
        <v>12636</v>
      </c>
      <c r="G792" s="451" t="s">
        <v>13262</v>
      </c>
      <c r="H792" s="451" t="s">
        <v>12638</v>
      </c>
      <c r="I792" s="258" t="s">
        <v>36</v>
      </c>
      <c r="J792" s="251"/>
      <c r="K792" s="251"/>
      <c r="L792" s="251"/>
      <c r="M792" s="251"/>
      <c r="N792" s="251"/>
      <c r="O792" s="251"/>
      <c r="P792" s="251"/>
      <c r="Q792" s="251"/>
      <c r="R792" s="251"/>
      <c r="S792" s="251"/>
      <c r="T792" s="251"/>
      <c r="U792" s="251"/>
      <c r="V792" s="251"/>
      <c r="W792" s="251"/>
      <c r="X792" s="251"/>
      <c r="Y792" s="251"/>
      <c r="Z792" s="251"/>
      <c r="AA792" s="251"/>
      <c r="AB792" s="251"/>
    </row>
    <row r="793" ht="14.25" customHeight="1">
      <c r="A793" s="460"/>
      <c r="B793" s="108"/>
      <c r="C793" s="450" t="s">
        <v>13263</v>
      </c>
      <c r="D793" s="297" t="s">
        <v>271</v>
      </c>
      <c r="E793" s="450" t="s">
        <v>5</v>
      </c>
      <c r="F793" s="451" t="s">
        <v>12639</v>
      </c>
      <c r="G793" s="451" t="s">
        <v>13264</v>
      </c>
      <c r="H793" s="451" t="s">
        <v>12638</v>
      </c>
      <c r="I793" s="258" t="s">
        <v>36</v>
      </c>
      <c r="J793" s="251"/>
      <c r="K793" s="251"/>
      <c r="L793" s="251"/>
      <c r="M793" s="251"/>
      <c r="N793" s="251"/>
      <c r="O793" s="251"/>
      <c r="P793" s="251"/>
      <c r="Q793" s="251"/>
      <c r="R793" s="251"/>
      <c r="S793" s="251"/>
      <c r="T793" s="251"/>
      <c r="U793" s="251"/>
      <c r="V793" s="251"/>
      <c r="W793" s="251"/>
      <c r="X793" s="251"/>
      <c r="Y793" s="251"/>
      <c r="Z793" s="251"/>
      <c r="AA793" s="251"/>
      <c r="AB793" s="251"/>
    </row>
    <row r="794" ht="14.25" customHeight="1">
      <c r="A794" s="460"/>
      <c r="B794" s="108"/>
      <c r="C794" s="450" t="s">
        <v>13265</v>
      </c>
      <c r="D794" s="297" t="s">
        <v>271</v>
      </c>
      <c r="E794" s="450" t="s">
        <v>5</v>
      </c>
      <c r="F794" s="451" t="s">
        <v>12641</v>
      </c>
      <c r="G794" s="451" t="s">
        <v>13266</v>
      </c>
      <c r="H794" s="451" t="s">
        <v>13267</v>
      </c>
      <c r="I794" s="258" t="s">
        <v>36</v>
      </c>
      <c r="J794" s="251"/>
      <c r="K794" s="251"/>
      <c r="L794" s="251"/>
      <c r="M794" s="251"/>
      <c r="N794" s="251"/>
      <c r="O794" s="251"/>
      <c r="P794" s="251"/>
      <c r="Q794" s="251"/>
      <c r="R794" s="251"/>
      <c r="S794" s="251"/>
      <c r="T794" s="251"/>
      <c r="U794" s="251"/>
      <c r="V794" s="251"/>
      <c r="W794" s="251"/>
      <c r="X794" s="251"/>
      <c r="Y794" s="251"/>
      <c r="Z794" s="251"/>
      <c r="AA794" s="251"/>
      <c r="AB794" s="251"/>
    </row>
    <row r="795" ht="14.25" customHeight="1">
      <c r="A795" s="460"/>
      <c r="B795" s="108"/>
      <c r="C795" s="450" t="s">
        <v>13268</v>
      </c>
      <c r="D795" s="297" t="s">
        <v>271</v>
      </c>
      <c r="E795" s="450" t="s">
        <v>5</v>
      </c>
      <c r="F795" s="451" t="s">
        <v>13269</v>
      </c>
      <c r="G795" s="451" t="s">
        <v>13270</v>
      </c>
      <c r="H795" s="451" t="s">
        <v>12646</v>
      </c>
      <c r="I795" s="258" t="s">
        <v>36</v>
      </c>
      <c r="J795" s="251"/>
      <c r="K795" s="251"/>
      <c r="L795" s="251"/>
      <c r="M795" s="251"/>
      <c r="N795" s="251"/>
      <c r="O795" s="251"/>
      <c r="P795" s="251"/>
      <c r="Q795" s="251"/>
      <c r="R795" s="251"/>
      <c r="S795" s="251"/>
      <c r="T795" s="251"/>
      <c r="U795" s="251"/>
      <c r="V795" s="251"/>
      <c r="W795" s="251"/>
      <c r="X795" s="251"/>
      <c r="Y795" s="251"/>
      <c r="Z795" s="251"/>
      <c r="AA795" s="251"/>
      <c r="AB795" s="251"/>
    </row>
    <row r="796" ht="14.25" customHeight="1">
      <c r="A796" s="460"/>
      <c r="B796" s="108"/>
      <c r="C796" s="450" t="s">
        <v>13271</v>
      </c>
      <c r="D796" s="297" t="s">
        <v>271</v>
      </c>
      <c r="E796" s="450" t="s">
        <v>5</v>
      </c>
      <c r="F796" s="451" t="s">
        <v>13272</v>
      </c>
      <c r="G796" s="451" t="s">
        <v>13273</v>
      </c>
      <c r="H796" s="451" t="s">
        <v>13274</v>
      </c>
      <c r="I796" s="258" t="s">
        <v>36</v>
      </c>
      <c r="J796" s="251"/>
      <c r="K796" s="251"/>
      <c r="L796" s="251"/>
      <c r="M796" s="251"/>
      <c r="N796" s="251"/>
      <c r="O796" s="251"/>
      <c r="P796" s="251"/>
      <c r="Q796" s="251"/>
      <c r="R796" s="251"/>
      <c r="S796" s="251"/>
      <c r="T796" s="251"/>
      <c r="U796" s="251"/>
      <c r="V796" s="251"/>
      <c r="W796" s="251"/>
      <c r="X796" s="251"/>
      <c r="Y796" s="251"/>
      <c r="Z796" s="251"/>
      <c r="AA796" s="251"/>
      <c r="AB796" s="251"/>
    </row>
    <row r="797" ht="14.25" customHeight="1">
      <c r="A797" s="460"/>
      <c r="B797" s="108"/>
      <c r="C797" s="450" t="s">
        <v>13275</v>
      </c>
      <c r="D797" s="297" t="s">
        <v>271</v>
      </c>
      <c r="E797" s="450" t="s">
        <v>5</v>
      </c>
      <c r="F797" s="451" t="s">
        <v>11107</v>
      </c>
      <c r="G797" s="451" t="s">
        <v>13276</v>
      </c>
      <c r="H797" s="451" t="s">
        <v>13277</v>
      </c>
      <c r="I797" s="258" t="s">
        <v>36</v>
      </c>
      <c r="J797" s="251"/>
      <c r="K797" s="251"/>
      <c r="L797" s="251"/>
      <c r="M797" s="251"/>
      <c r="N797" s="251"/>
      <c r="O797" s="251"/>
      <c r="P797" s="251"/>
      <c r="Q797" s="251"/>
      <c r="R797" s="251"/>
      <c r="S797" s="251"/>
      <c r="T797" s="251"/>
      <c r="U797" s="251"/>
      <c r="V797" s="251"/>
      <c r="W797" s="251"/>
      <c r="X797" s="251"/>
      <c r="Y797" s="251"/>
      <c r="Z797" s="251"/>
      <c r="AA797" s="251"/>
      <c r="AB797" s="251"/>
    </row>
    <row r="798" ht="14.25" customHeight="1">
      <c r="A798" s="460"/>
      <c r="B798" s="108"/>
      <c r="C798" s="450" t="s">
        <v>13278</v>
      </c>
      <c r="D798" s="297" t="s">
        <v>271</v>
      </c>
      <c r="E798" s="450" t="s">
        <v>5</v>
      </c>
      <c r="F798" s="451" t="s">
        <v>9068</v>
      </c>
      <c r="G798" s="451" t="s">
        <v>13279</v>
      </c>
      <c r="H798" s="451" t="s">
        <v>13280</v>
      </c>
      <c r="I798" s="258" t="s">
        <v>36</v>
      </c>
      <c r="J798" s="251"/>
      <c r="K798" s="251"/>
      <c r="L798" s="251"/>
      <c r="M798" s="251"/>
      <c r="N798" s="251"/>
      <c r="O798" s="251"/>
      <c r="P798" s="251"/>
      <c r="Q798" s="251"/>
      <c r="R798" s="251"/>
      <c r="S798" s="251"/>
      <c r="T798" s="251"/>
      <c r="U798" s="251"/>
      <c r="V798" s="251"/>
      <c r="W798" s="251"/>
      <c r="X798" s="251"/>
      <c r="Y798" s="251"/>
      <c r="Z798" s="251"/>
      <c r="AA798" s="251"/>
      <c r="AB798" s="251"/>
    </row>
    <row r="799" ht="14.25" customHeight="1">
      <c r="A799" s="460"/>
      <c r="B799" s="109"/>
      <c r="C799" s="450" t="s">
        <v>13281</v>
      </c>
      <c r="D799" s="297" t="s">
        <v>271</v>
      </c>
      <c r="E799" s="450" t="s">
        <v>5</v>
      </c>
      <c r="F799" s="451" t="s">
        <v>11109</v>
      </c>
      <c r="G799" s="451" t="s">
        <v>13282</v>
      </c>
      <c r="H799" s="451" t="s">
        <v>13283</v>
      </c>
      <c r="I799" s="258" t="s">
        <v>36</v>
      </c>
      <c r="J799" s="251"/>
      <c r="K799" s="251"/>
      <c r="L799" s="251"/>
      <c r="M799" s="251"/>
      <c r="N799" s="251"/>
      <c r="O799" s="251"/>
      <c r="P799" s="251"/>
      <c r="Q799" s="251"/>
      <c r="R799" s="251"/>
      <c r="S799" s="251"/>
      <c r="T799" s="251"/>
      <c r="U799" s="251"/>
      <c r="V799" s="251"/>
      <c r="W799" s="251"/>
      <c r="X799" s="251"/>
      <c r="Y799" s="251"/>
      <c r="Z799" s="251"/>
      <c r="AA799" s="251"/>
      <c r="AB799" s="251"/>
    </row>
    <row r="800" ht="14.25" customHeight="1">
      <c r="A800" s="460"/>
      <c r="B800" s="449" t="s">
        <v>11116</v>
      </c>
      <c r="C800" s="450" t="s">
        <v>13284</v>
      </c>
      <c r="D800" s="297" t="s">
        <v>271</v>
      </c>
      <c r="E800" s="450" t="s">
        <v>5</v>
      </c>
      <c r="F800" s="454" t="s">
        <v>13285</v>
      </c>
      <c r="G800" s="454" t="s">
        <v>13286</v>
      </c>
      <c r="H800" s="454" t="s">
        <v>13287</v>
      </c>
      <c r="I800" s="258" t="s">
        <v>36</v>
      </c>
      <c r="J800" s="251"/>
      <c r="K800" s="251"/>
      <c r="L800" s="251"/>
      <c r="M800" s="251"/>
      <c r="N800" s="251"/>
      <c r="O800" s="251"/>
      <c r="P800" s="251"/>
      <c r="Q800" s="251"/>
      <c r="R800" s="251"/>
      <c r="S800" s="251"/>
      <c r="T800" s="251"/>
      <c r="U800" s="251"/>
      <c r="V800" s="251"/>
      <c r="W800" s="251"/>
      <c r="X800" s="251"/>
      <c r="Y800" s="251"/>
      <c r="Z800" s="251"/>
      <c r="AA800" s="251"/>
      <c r="AB800" s="251"/>
    </row>
    <row r="801" ht="14.25" customHeight="1">
      <c r="A801" s="460"/>
      <c r="B801" s="108"/>
      <c r="C801" s="450" t="s">
        <v>13288</v>
      </c>
      <c r="D801" s="297" t="s">
        <v>271</v>
      </c>
      <c r="E801" s="450" t="s">
        <v>5</v>
      </c>
      <c r="F801" s="454" t="s">
        <v>13289</v>
      </c>
      <c r="G801" s="454" t="s">
        <v>13290</v>
      </c>
      <c r="H801" s="454" t="s">
        <v>13291</v>
      </c>
      <c r="I801" s="258" t="s">
        <v>36</v>
      </c>
      <c r="J801" s="251"/>
      <c r="K801" s="251"/>
      <c r="L801" s="251"/>
      <c r="M801" s="251"/>
      <c r="N801" s="251"/>
      <c r="O801" s="251"/>
      <c r="P801" s="251"/>
      <c r="Q801" s="251"/>
      <c r="R801" s="251"/>
      <c r="S801" s="251"/>
      <c r="T801" s="251"/>
      <c r="U801" s="251"/>
      <c r="V801" s="251"/>
      <c r="W801" s="251"/>
      <c r="X801" s="251"/>
      <c r="Y801" s="251"/>
      <c r="Z801" s="251"/>
      <c r="AA801" s="251"/>
      <c r="AB801" s="251"/>
    </row>
    <row r="802" ht="14.25" customHeight="1">
      <c r="A802" s="460"/>
      <c r="B802" s="109"/>
      <c r="C802" s="450" t="s">
        <v>13292</v>
      </c>
      <c r="D802" s="297" t="s">
        <v>271</v>
      </c>
      <c r="E802" s="450" t="s">
        <v>5</v>
      </c>
      <c r="F802" s="454" t="s">
        <v>13293</v>
      </c>
      <c r="G802" s="454" t="s">
        <v>13294</v>
      </c>
      <c r="H802" s="454" t="s">
        <v>13295</v>
      </c>
      <c r="I802" s="258" t="s">
        <v>36</v>
      </c>
      <c r="J802" s="251"/>
      <c r="K802" s="251"/>
      <c r="L802" s="251"/>
      <c r="M802" s="251"/>
      <c r="N802" s="251"/>
      <c r="O802" s="251"/>
      <c r="P802" s="251"/>
      <c r="Q802" s="251"/>
      <c r="R802" s="251"/>
      <c r="S802" s="251"/>
      <c r="T802" s="251"/>
      <c r="U802" s="251"/>
      <c r="V802" s="251"/>
      <c r="W802" s="251"/>
      <c r="X802" s="251"/>
      <c r="Y802" s="251"/>
      <c r="Z802" s="251"/>
      <c r="AA802" s="251"/>
      <c r="AB802" s="251"/>
    </row>
    <row r="803" ht="14.25" customHeight="1">
      <c r="A803" s="460"/>
      <c r="B803" s="449" t="s">
        <v>13296</v>
      </c>
      <c r="C803" s="450" t="s">
        <v>13297</v>
      </c>
      <c r="D803" s="297" t="s">
        <v>271</v>
      </c>
      <c r="E803" s="450" t="s">
        <v>5</v>
      </c>
      <c r="F803" s="451" t="s">
        <v>13298</v>
      </c>
      <c r="G803" s="451" t="s">
        <v>13299</v>
      </c>
      <c r="H803" s="451" t="s">
        <v>13300</v>
      </c>
      <c r="I803" s="258" t="s">
        <v>36</v>
      </c>
      <c r="J803" s="251"/>
      <c r="K803" s="251"/>
      <c r="L803" s="251"/>
      <c r="M803" s="251"/>
      <c r="N803" s="251"/>
      <c r="O803" s="251"/>
      <c r="P803" s="251"/>
      <c r="Q803" s="251"/>
      <c r="R803" s="251"/>
      <c r="S803" s="251"/>
      <c r="T803" s="251"/>
      <c r="U803" s="251"/>
      <c r="V803" s="251"/>
      <c r="W803" s="251"/>
      <c r="X803" s="251"/>
      <c r="Y803" s="251"/>
      <c r="Z803" s="251"/>
      <c r="AA803" s="251"/>
      <c r="AB803" s="251"/>
    </row>
    <row r="804" ht="14.25" customHeight="1">
      <c r="A804" s="460"/>
      <c r="B804" s="108"/>
      <c r="C804" s="450" t="s">
        <v>13301</v>
      </c>
      <c r="D804" s="297" t="s">
        <v>271</v>
      </c>
      <c r="E804" s="450" t="s">
        <v>5</v>
      </c>
      <c r="F804" s="451" t="s">
        <v>13302</v>
      </c>
      <c r="G804" s="451" t="s">
        <v>13303</v>
      </c>
      <c r="H804" s="451" t="s">
        <v>13300</v>
      </c>
      <c r="I804" s="258" t="s">
        <v>36</v>
      </c>
      <c r="J804" s="251"/>
      <c r="K804" s="251"/>
      <c r="L804" s="251"/>
      <c r="M804" s="251"/>
      <c r="N804" s="251"/>
      <c r="O804" s="251"/>
      <c r="P804" s="251"/>
      <c r="Q804" s="251"/>
      <c r="R804" s="251"/>
      <c r="S804" s="251"/>
      <c r="T804" s="251"/>
      <c r="U804" s="251"/>
      <c r="V804" s="251"/>
      <c r="W804" s="251"/>
      <c r="X804" s="251"/>
      <c r="Y804" s="251"/>
      <c r="Z804" s="251"/>
      <c r="AA804" s="251"/>
      <c r="AB804" s="251"/>
    </row>
    <row r="805" ht="14.25" customHeight="1">
      <c r="A805" s="460"/>
      <c r="B805" s="108"/>
      <c r="C805" s="450" t="s">
        <v>13304</v>
      </c>
      <c r="D805" s="297" t="s">
        <v>271</v>
      </c>
      <c r="E805" s="450" t="s">
        <v>5</v>
      </c>
      <c r="F805" s="451" t="s">
        <v>13305</v>
      </c>
      <c r="G805" s="451" t="s">
        <v>13303</v>
      </c>
      <c r="H805" s="451" t="s">
        <v>13300</v>
      </c>
      <c r="I805" s="258" t="s">
        <v>36</v>
      </c>
      <c r="J805" s="251"/>
      <c r="K805" s="251"/>
      <c r="L805" s="251"/>
      <c r="M805" s="251"/>
      <c r="N805" s="251"/>
      <c r="O805" s="251"/>
      <c r="P805" s="251"/>
      <c r="Q805" s="251"/>
      <c r="R805" s="251"/>
      <c r="S805" s="251"/>
      <c r="T805" s="251"/>
      <c r="U805" s="251"/>
      <c r="V805" s="251"/>
      <c r="W805" s="251"/>
      <c r="X805" s="251"/>
      <c r="Y805" s="251"/>
      <c r="Z805" s="251"/>
      <c r="AA805" s="251"/>
      <c r="AB805" s="251"/>
    </row>
    <row r="806" ht="14.25" customHeight="1">
      <c r="A806" s="460"/>
      <c r="B806" s="108"/>
      <c r="C806" s="450" t="s">
        <v>13306</v>
      </c>
      <c r="D806" s="297" t="s">
        <v>271</v>
      </c>
      <c r="E806" s="450" t="s">
        <v>5</v>
      </c>
      <c r="F806" s="451" t="s">
        <v>13307</v>
      </c>
      <c r="G806" s="451" t="s">
        <v>13303</v>
      </c>
      <c r="H806" s="451" t="s">
        <v>13300</v>
      </c>
      <c r="I806" s="258" t="s">
        <v>36</v>
      </c>
      <c r="J806" s="251"/>
      <c r="K806" s="251"/>
      <c r="L806" s="251"/>
      <c r="M806" s="251"/>
      <c r="N806" s="251"/>
      <c r="O806" s="251"/>
      <c r="P806" s="251"/>
      <c r="Q806" s="251"/>
      <c r="R806" s="251"/>
      <c r="S806" s="251"/>
      <c r="T806" s="251"/>
      <c r="U806" s="251"/>
      <c r="V806" s="251"/>
      <c r="W806" s="251"/>
      <c r="X806" s="251"/>
      <c r="Y806" s="251"/>
      <c r="Z806" s="251"/>
      <c r="AA806" s="251"/>
      <c r="AB806" s="251"/>
    </row>
    <row r="807" ht="14.25" customHeight="1">
      <c r="A807" s="460"/>
      <c r="B807" s="108"/>
      <c r="C807" s="450" t="s">
        <v>13308</v>
      </c>
      <c r="D807" s="297" t="s">
        <v>271</v>
      </c>
      <c r="E807" s="450" t="s">
        <v>5</v>
      </c>
      <c r="F807" s="451" t="s">
        <v>13309</v>
      </c>
      <c r="G807" s="451" t="s">
        <v>13299</v>
      </c>
      <c r="H807" s="451" t="s">
        <v>13300</v>
      </c>
      <c r="I807" s="258" t="s">
        <v>36</v>
      </c>
      <c r="J807" s="251"/>
      <c r="K807" s="251"/>
      <c r="L807" s="251"/>
      <c r="M807" s="251"/>
      <c r="N807" s="251"/>
      <c r="O807" s="251"/>
      <c r="P807" s="251"/>
      <c r="Q807" s="251"/>
      <c r="R807" s="251"/>
      <c r="S807" s="251"/>
      <c r="T807" s="251"/>
      <c r="U807" s="251"/>
      <c r="V807" s="251"/>
      <c r="W807" s="251"/>
      <c r="X807" s="251"/>
      <c r="Y807" s="251"/>
      <c r="Z807" s="251"/>
      <c r="AA807" s="251"/>
      <c r="AB807" s="251"/>
    </row>
    <row r="808" ht="14.25" customHeight="1">
      <c r="A808" s="460"/>
      <c r="B808" s="108"/>
      <c r="C808" s="450" t="s">
        <v>13310</v>
      </c>
      <c r="D808" s="297" t="s">
        <v>271</v>
      </c>
      <c r="E808" s="450" t="s">
        <v>5</v>
      </c>
      <c r="F808" s="451" t="s">
        <v>13311</v>
      </c>
      <c r="G808" s="451" t="s">
        <v>13303</v>
      </c>
      <c r="H808" s="451" t="s">
        <v>13300</v>
      </c>
      <c r="I808" s="258" t="s">
        <v>36</v>
      </c>
      <c r="J808" s="251"/>
      <c r="K808" s="251"/>
      <c r="L808" s="251"/>
      <c r="M808" s="251"/>
      <c r="N808" s="251"/>
      <c r="O808" s="251"/>
      <c r="P808" s="251"/>
      <c r="Q808" s="251"/>
      <c r="R808" s="251"/>
      <c r="S808" s="251"/>
      <c r="T808" s="251"/>
      <c r="U808" s="251"/>
      <c r="V808" s="251"/>
      <c r="W808" s="251"/>
      <c r="X808" s="251"/>
      <c r="Y808" s="251"/>
      <c r="Z808" s="251"/>
      <c r="AA808" s="251"/>
      <c r="AB808" s="251"/>
    </row>
    <row r="809" ht="14.25" customHeight="1">
      <c r="A809" s="460"/>
      <c r="B809" s="108"/>
      <c r="C809" s="450" t="s">
        <v>13312</v>
      </c>
      <c r="D809" s="297" t="s">
        <v>271</v>
      </c>
      <c r="E809" s="450" t="s">
        <v>5</v>
      </c>
      <c r="F809" s="451" t="s">
        <v>13313</v>
      </c>
      <c r="G809" s="451" t="s">
        <v>13303</v>
      </c>
      <c r="H809" s="451" t="s">
        <v>13300</v>
      </c>
      <c r="I809" s="258" t="s">
        <v>36</v>
      </c>
      <c r="J809" s="251"/>
      <c r="K809" s="251"/>
      <c r="L809" s="251"/>
      <c r="M809" s="251"/>
      <c r="N809" s="251"/>
      <c r="O809" s="251"/>
      <c r="P809" s="251"/>
      <c r="Q809" s="251"/>
      <c r="R809" s="251"/>
      <c r="S809" s="251"/>
      <c r="T809" s="251"/>
      <c r="U809" s="251"/>
      <c r="V809" s="251"/>
      <c r="W809" s="251"/>
      <c r="X809" s="251"/>
      <c r="Y809" s="251"/>
      <c r="Z809" s="251"/>
      <c r="AA809" s="251"/>
      <c r="AB809" s="251"/>
    </row>
    <row r="810" ht="14.25" customHeight="1">
      <c r="A810" s="460"/>
      <c r="B810" s="108"/>
      <c r="C810" s="450" t="s">
        <v>13314</v>
      </c>
      <c r="D810" s="297" t="s">
        <v>271</v>
      </c>
      <c r="E810" s="450" t="s">
        <v>5</v>
      </c>
      <c r="F810" s="451" t="s">
        <v>13315</v>
      </c>
      <c r="G810" s="451" t="s">
        <v>13303</v>
      </c>
      <c r="H810" s="451" t="s">
        <v>13300</v>
      </c>
      <c r="I810" s="258" t="s">
        <v>36</v>
      </c>
      <c r="J810" s="251"/>
      <c r="K810" s="251"/>
      <c r="L810" s="251"/>
      <c r="M810" s="251"/>
      <c r="N810" s="251"/>
      <c r="O810" s="251"/>
      <c r="P810" s="251"/>
      <c r="Q810" s="251"/>
      <c r="R810" s="251"/>
      <c r="S810" s="251"/>
      <c r="T810" s="251"/>
      <c r="U810" s="251"/>
      <c r="V810" s="251"/>
      <c r="W810" s="251"/>
      <c r="X810" s="251"/>
      <c r="Y810" s="251"/>
      <c r="Z810" s="251"/>
      <c r="AA810" s="251"/>
      <c r="AB810" s="251"/>
    </row>
    <row r="811" ht="14.25" customHeight="1">
      <c r="A811" s="460"/>
      <c r="B811" s="108"/>
      <c r="C811" s="450" t="s">
        <v>13316</v>
      </c>
      <c r="D811" s="297" t="s">
        <v>271</v>
      </c>
      <c r="E811" s="450" t="s">
        <v>5</v>
      </c>
      <c r="F811" s="451" t="s">
        <v>13317</v>
      </c>
      <c r="G811" s="451" t="s">
        <v>13318</v>
      </c>
      <c r="H811" s="451" t="s">
        <v>13300</v>
      </c>
      <c r="I811" s="258" t="s">
        <v>36</v>
      </c>
      <c r="J811" s="251"/>
      <c r="K811" s="251"/>
      <c r="L811" s="251"/>
      <c r="M811" s="251"/>
      <c r="N811" s="251"/>
      <c r="O811" s="251"/>
      <c r="P811" s="251"/>
      <c r="Q811" s="251"/>
      <c r="R811" s="251"/>
      <c r="S811" s="251"/>
      <c r="T811" s="251"/>
      <c r="U811" s="251"/>
      <c r="V811" s="251"/>
      <c r="W811" s="251"/>
      <c r="X811" s="251"/>
      <c r="Y811" s="251"/>
      <c r="Z811" s="251"/>
      <c r="AA811" s="251"/>
      <c r="AB811" s="251"/>
    </row>
    <row r="812" ht="14.25" customHeight="1">
      <c r="A812" s="460"/>
      <c r="B812" s="108"/>
      <c r="C812" s="450" t="s">
        <v>13319</v>
      </c>
      <c r="D812" s="297" t="s">
        <v>271</v>
      </c>
      <c r="E812" s="450" t="s">
        <v>5</v>
      </c>
      <c r="F812" s="451" t="s">
        <v>11201</v>
      </c>
      <c r="G812" s="451" t="s">
        <v>13320</v>
      </c>
      <c r="H812" s="451" t="s">
        <v>11202</v>
      </c>
      <c r="I812" s="258" t="s">
        <v>36</v>
      </c>
      <c r="J812" s="251"/>
      <c r="K812" s="251"/>
      <c r="L812" s="251"/>
      <c r="M812" s="251"/>
      <c r="N812" s="251"/>
      <c r="O812" s="251"/>
      <c r="P812" s="251"/>
      <c r="Q812" s="251"/>
      <c r="R812" s="251"/>
      <c r="S812" s="251"/>
      <c r="T812" s="251"/>
      <c r="U812" s="251"/>
      <c r="V812" s="251"/>
      <c r="W812" s="251"/>
      <c r="X812" s="251"/>
      <c r="Y812" s="251"/>
      <c r="Z812" s="251"/>
      <c r="AA812" s="251"/>
      <c r="AB812" s="251"/>
    </row>
    <row r="813" ht="14.25" customHeight="1">
      <c r="A813" s="460"/>
      <c r="B813" s="108"/>
      <c r="C813" s="450" t="s">
        <v>13321</v>
      </c>
      <c r="D813" s="297" t="s">
        <v>271</v>
      </c>
      <c r="E813" s="450" t="s">
        <v>5</v>
      </c>
      <c r="F813" s="451" t="s">
        <v>11204</v>
      </c>
      <c r="G813" s="451" t="s">
        <v>13320</v>
      </c>
      <c r="H813" s="451" t="s">
        <v>11205</v>
      </c>
      <c r="I813" s="258" t="s">
        <v>36</v>
      </c>
      <c r="J813" s="251"/>
      <c r="K813" s="251"/>
      <c r="L813" s="251"/>
      <c r="M813" s="251"/>
      <c r="N813" s="251"/>
      <c r="O813" s="251"/>
      <c r="P813" s="251"/>
      <c r="Q813" s="251"/>
      <c r="R813" s="251"/>
      <c r="S813" s="251"/>
      <c r="T813" s="251"/>
      <c r="U813" s="251"/>
      <c r="V813" s="251"/>
      <c r="W813" s="251"/>
      <c r="X813" s="251"/>
      <c r="Y813" s="251"/>
      <c r="Z813" s="251"/>
      <c r="AA813" s="251"/>
      <c r="AB813" s="251"/>
    </row>
    <row r="814" ht="14.25" customHeight="1">
      <c r="A814" s="460"/>
      <c r="B814" s="108"/>
      <c r="C814" s="450" t="s">
        <v>13322</v>
      </c>
      <c r="D814" s="297" t="s">
        <v>271</v>
      </c>
      <c r="E814" s="450" t="s">
        <v>5</v>
      </c>
      <c r="F814" s="451" t="s">
        <v>11207</v>
      </c>
      <c r="G814" s="451" t="s">
        <v>13323</v>
      </c>
      <c r="H814" s="451" t="s">
        <v>11208</v>
      </c>
      <c r="I814" s="258" t="s">
        <v>36</v>
      </c>
      <c r="J814" s="251"/>
      <c r="K814" s="251"/>
      <c r="L814" s="251"/>
      <c r="M814" s="251"/>
      <c r="N814" s="251"/>
      <c r="O814" s="251"/>
      <c r="P814" s="251"/>
      <c r="Q814" s="251"/>
      <c r="R814" s="251"/>
      <c r="S814" s="251"/>
      <c r="T814" s="251"/>
      <c r="U814" s="251"/>
      <c r="V814" s="251"/>
      <c r="W814" s="251"/>
      <c r="X814" s="251"/>
      <c r="Y814" s="251"/>
      <c r="Z814" s="251"/>
      <c r="AA814" s="251"/>
      <c r="AB814" s="251"/>
    </row>
    <row r="815" ht="14.25" customHeight="1">
      <c r="A815" s="460"/>
      <c r="B815" s="108"/>
      <c r="C815" s="450" t="s">
        <v>13324</v>
      </c>
      <c r="D815" s="297" t="s">
        <v>271</v>
      </c>
      <c r="E815" s="450" t="s">
        <v>5</v>
      </c>
      <c r="F815" s="451" t="s">
        <v>11210</v>
      </c>
      <c r="G815" s="451" t="s">
        <v>13323</v>
      </c>
      <c r="H815" s="451" t="s">
        <v>11211</v>
      </c>
      <c r="I815" s="258" t="s">
        <v>36</v>
      </c>
      <c r="J815" s="251"/>
      <c r="K815" s="251"/>
      <c r="L815" s="251"/>
      <c r="M815" s="251"/>
      <c r="N815" s="251"/>
      <c r="O815" s="251"/>
      <c r="P815" s="251"/>
      <c r="Q815" s="251"/>
      <c r="R815" s="251"/>
      <c r="S815" s="251"/>
      <c r="T815" s="251"/>
      <c r="U815" s="251"/>
      <c r="V815" s="251"/>
      <c r="W815" s="251"/>
      <c r="X815" s="251"/>
      <c r="Y815" s="251"/>
      <c r="Z815" s="251"/>
      <c r="AA815" s="251"/>
      <c r="AB815" s="251"/>
    </row>
    <row r="816" ht="14.25" customHeight="1">
      <c r="A816" s="460"/>
      <c r="B816" s="108"/>
      <c r="C816" s="450" t="s">
        <v>13325</v>
      </c>
      <c r="D816" s="297" t="s">
        <v>271</v>
      </c>
      <c r="E816" s="450" t="s">
        <v>5</v>
      </c>
      <c r="F816" s="451" t="s">
        <v>11213</v>
      </c>
      <c r="G816" s="451" t="s">
        <v>13326</v>
      </c>
      <c r="H816" s="451" t="s">
        <v>11214</v>
      </c>
      <c r="I816" s="258" t="s">
        <v>36</v>
      </c>
      <c r="J816" s="251"/>
      <c r="K816" s="251"/>
      <c r="L816" s="251"/>
      <c r="M816" s="251"/>
      <c r="N816" s="251"/>
      <c r="O816" s="251"/>
      <c r="P816" s="251"/>
      <c r="Q816" s="251"/>
      <c r="R816" s="251"/>
      <c r="S816" s="251"/>
      <c r="T816" s="251"/>
      <c r="U816" s="251"/>
      <c r="V816" s="251"/>
      <c r="W816" s="251"/>
      <c r="X816" s="251"/>
      <c r="Y816" s="251"/>
      <c r="Z816" s="251"/>
      <c r="AA816" s="251"/>
      <c r="AB816" s="251"/>
    </row>
    <row r="817" ht="14.25" customHeight="1">
      <c r="A817" s="460"/>
      <c r="B817" s="108"/>
      <c r="C817" s="450" t="s">
        <v>13327</v>
      </c>
      <c r="D817" s="297" t="s">
        <v>271</v>
      </c>
      <c r="E817" s="450" t="s">
        <v>5</v>
      </c>
      <c r="F817" s="451" t="s">
        <v>11216</v>
      </c>
      <c r="G817" s="451" t="s">
        <v>13326</v>
      </c>
      <c r="H817" s="451" t="s">
        <v>11217</v>
      </c>
      <c r="I817" s="258" t="s">
        <v>36</v>
      </c>
      <c r="J817" s="251"/>
      <c r="K817" s="251"/>
      <c r="L817" s="251"/>
      <c r="M817" s="251"/>
      <c r="N817" s="251"/>
      <c r="O817" s="251"/>
      <c r="P817" s="251"/>
      <c r="Q817" s="251"/>
      <c r="R817" s="251"/>
      <c r="S817" s="251"/>
      <c r="T817" s="251"/>
      <c r="U817" s="251"/>
      <c r="V817" s="251"/>
      <c r="W817" s="251"/>
      <c r="X817" s="251"/>
      <c r="Y817" s="251"/>
      <c r="Z817" s="251"/>
      <c r="AA817" s="251"/>
      <c r="AB817" s="251"/>
    </row>
    <row r="818" ht="14.25" customHeight="1">
      <c r="A818" s="460"/>
      <c r="B818" s="108"/>
      <c r="C818" s="450" t="s">
        <v>13328</v>
      </c>
      <c r="D818" s="297" t="s">
        <v>271</v>
      </c>
      <c r="E818" s="450" t="s">
        <v>5</v>
      </c>
      <c r="F818" s="451" t="s">
        <v>11219</v>
      </c>
      <c r="G818" s="451" t="s">
        <v>13329</v>
      </c>
      <c r="H818" s="451" t="s">
        <v>11220</v>
      </c>
      <c r="I818" s="258" t="s">
        <v>36</v>
      </c>
      <c r="J818" s="251"/>
      <c r="K818" s="251"/>
      <c r="L818" s="251"/>
      <c r="M818" s="251"/>
      <c r="N818" s="251"/>
      <c r="O818" s="251"/>
      <c r="P818" s="251"/>
      <c r="Q818" s="251"/>
      <c r="R818" s="251"/>
      <c r="S818" s="251"/>
      <c r="T818" s="251"/>
      <c r="U818" s="251"/>
      <c r="V818" s="251"/>
      <c r="W818" s="251"/>
      <c r="X818" s="251"/>
      <c r="Y818" s="251"/>
      <c r="Z818" s="251"/>
      <c r="AA818" s="251"/>
      <c r="AB818" s="251"/>
    </row>
    <row r="819" ht="14.25" customHeight="1">
      <c r="A819" s="460"/>
      <c r="B819" s="108"/>
      <c r="C819" s="450" t="s">
        <v>13330</v>
      </c>
      <c r="D819" s="297" t="s">
        <v>271</v>
      </c>
      <c r="E819" s="450" t="s">
        <v>5</v>
      </c>
      <c r="F819" s="451" t="s">
        <v>11222</v>
      </c>
      <c r="G819" s="451" t="s">
        <v>13329</v>
      </c>
      <c r="H819" s="451" t="s">
        <v>11223</v>
      </c>
      <c r="I819" s="258" t="s">
        <v>36</v>
      </c>
      <c r="J819" s="251"/>
      <c r="K819" s="251"/>
      <c r="L819" s="251"/>
      <c r="M819" s="251"/>
      <c r="N819" s="251"/>
      <c r="O819" s="251"/>
      <c r="P819" s="251"/>
      <c r="Q819" s="251"/>
      <c r="R819" s="251"/>
      <c r="S819" s="251"/>
      <c r="T819" s="251"/>
      <c r="U819" s="251"/>
      <c r="V819" s="251"/>
      <c r="W819" s="251"/>
      <c r="X819" s="251"/>
      <c r="Y819" s="251"/>
      <c r="Z819" s="251"/>
      <c r="AA819" s="251"/>
      <c r="AB819" s="251"/>
    </row>
    <row r="820" ht="14.25" customHeight="1">
      <c r="A820" s="460"/>
      <c r="B820" s="108"/>
      <c r="C820" s="450" t="s">
        <v>13331</v>
      </c>
      <c r="D820" s="297" t="s">
        <v>271</v>
      </c>
      <c r="E820" s="450" t="s">
        <v>5</v>
      </c>
      <c r="F820" s="451" t="s">
        <v>11225</v>
      </c>
      <c r="G820" s="451" t="s">
        <v>13320</v>
      </c>
      <c r="H820" s="451" t="s">
        <v>11226</v>
      </c>
      <c r="I820" s="258" t="s">
        <v>36</v>
      </c>
      <c r="J820" s="251"/>
      <c r="K820" s="251"/>
      <c r="L820" s="251"/>
      <c r="M820" s="251"/>
      <c r="N820" s="251"/>
      <c r="O820" s="251"/>
      <c r="P820" s="251"/>
      <c r="Q820" s="251"/>
      <c r="R820" s="251"/>
      <c r="S820" s="251"/>
      <c r="T820" s="251"/>
      <c r="U820" s="251"/>
      <c r="V820" s="251"/>
      <c r="W820" s="251"/>
      <c r="X820" s="251"/>
      <c r="Y820" s="251"/>
      <c r="Z820" s="251"/>
      <c r="AA820" s="251"/>
      <c r="AB820" s="251"/>
    </row>
    <row r="821" ht="14.25" customHeight="1">
      <c r="A821" s="460"/>
      <c r="B821" s="108"/>
      <c r="C821" s="450" t="s">
        <v>13332</v>
      </c>
      <c r="D821" s="297" t="s">
        <v>271</v>
      </c>
      <c r="E821" s="450" t="s">
        <v>5</v>
      </c>
      <c r="F821" s="451" t="s">
        <v>11228</v>
      </c>
      <c r="G821" s="451" t="s">
        <v>13323</v>
      </c>
      <c r="H821" s="451" t="s">
        <v>11229</v>
      </c>
      <c r="I821" s="258" t="s">
        <v>36</v>
      </c>
      <c r="J821" s="251"/>
      <c r="K821" s="251"/>
      <c r="L821" s="251"/>
      <c r="M821" s="251"/>
      <c r="N821" s="251"/>
      <c r="O821" s="251"/>
      <c r="P821" s="251"/>
      <c r="Q821" s="251"/>
      <c r="R821" s="251"/>
      <c r="S821" s="251"/>
      <c r="T821" s="251"/>
      <c r="U821" s="251"/>
      <c r="V821" s="251"/>
      <c r="W821" s="251"/>
      <c r="X821" s="251"/>
      <c r="Y821" s="251"/>
      <c r="Z821" s="251"/>
      <c r="AA821" s="251"/>
      <c r="AB821" s="251"/>
    </row>
    <row r="822" ht="14.25" customHeight="1">
      <c r="A822" s="460"/>
      <c r="B822" s="108"/>
      <c r="C822" s="450" t="s">
        <v>13333</v>
      </c>
      <c r="D822" s="297" t="s">
        <v>271</v>
      </c>
      <c r="E822" s="450" t="s">
        <v>5</v>
      </c>
      <c r="F822" s="451" t="s">
        <v>11231</v>
      </c>
      <c r="G822" s="451" t="s">
        <v>13334</v>
      </c>
      <c r="H822" s="451" t="s">
        <v>11226</v>
      </c>
      <c r="I822" s="258" t="s">
        <v>36</v>
      </c>
      <c r="J822" s="251"/>
      <c r="K822" s="251"/>
      <c r="L822" s="251"/>
      <c r="M822" s="251"/>
      <c r="N822" s="251"/>
      <c r="O822" s="251"/>
      <c r="P822" s="251"/>
      <c r="Q822" s="251"/>
      <c r="R822" s="251"/>
      <c r="S822" s="251"/>
      <c r="T822" s="251"/>
      <c r="U822" s="251"/>
      <c r="V822" s="251"/>
      <c r="W822" s="251"/>
      <c r="X822" s="251"/>
      <c r="Y822" s="251"/>
      <c r="Z822" s="251"/>
      <c r="AA822" s="251"/>
      <c r="AB822" s="251"/>
    </row>
    <row r="823" ht="14.25" customHeight="1">
      <c r="A823" s="460"/>
      <c r="B823" s="108"/>
      <c r="C823" s="450" t="s">
        <v>13335</v>
      </c>
      <c r="D823" s="297" t="s">
        <v>271</v>
      </c>
      <c r="E823" s="450" t="s">
        <v>5</v>
      </c>
      <c r="F823" s="451" t="s">
        <v>11233</v>
      </c>
      <c r="G823" s="451" t="s">
        <v>13329</v>
      </c>
      <c r="H823" s="451" t="s">
        <v>11226</v>
      </c>
      <c r="I823" s="258" t="s">
        <v>36</v>
      </c>
      <c r="J823" s="251"/>
      <c r="K823" s="251"/>
      <c r="L823" s="251"/>
      <c r="M823" s="251"/>
      <c r="N823" s="251"/>
      <c r="O823" s="251"/>
      <c r="P823" s="251"/>
      <c r="Q823" s="251"/>
      <c r="R823" s="251"/>
      <c r="S823" s="251"/>
      <c r="T823" s="251"/>
      <c r="U823" s="251"/>
      <c r="V823" s="251"/>
      <c r="W823" s="251"/>
      <c r="X823" s="251"/>
      <c r="Y823" s="251"/>
      <c r="Z823" s="251"/>
      <c r="AA823" s="251"/>
      <c r="AB823" s="251"/>
    </row>
    <row r="824" ht="14.25" customHeight="1">
      <c r="A824" s="460"/>
      <c r="B824" s="109"/>
      <c r="C824" s="450" t="s">
        <v>13336</v>
      </c>
      <c r="D824" s="297" t="s">
        <v>271</v>
      </c>
      <c r="E824" s="450" t="s">
        <v>5</v>
      </c>
      <c r="F824" s="451" t="s">
        <v>11235</v>
      </c>
      <c r="G824" s="451" t="s">
        <v>13337</v>
      </c>
      <c r="H824" s="451" t="s">
        <v>13338</v>
      </c>
      <c r="I824" s="258" t="s">
        <v>36</v>
      </c>
      <c r="J824" s="251"/>
      <c r="K824" s="251"/>
      <c r="L824" s="251"/>
      <c r="M824" s="251"/>
      <c r="N824" s="251"/>
      <c r="O824" s="251"/>
      <c r="P824" s="251"/>
      <c r="Q824" s="251"/>
      <c r="R824" s="251"/>
      <c r="S824" s="251"/>
      <c r="T824" s="251"/>
      <c r="U824" s="251"/>
      <c r="V824" s="251"/>
      <c r="W824" s="251"/>
      <c r="X824" s="251"/>
      <c r="Y824" s="251"/>
      <c r="Z824" s="251"/>
      <c r="AA824" s="251"/>
      <c r="AB824" s="251"/>
    </row>
    <row r="825" ht="14.25" customHeight="1">
      <c r="A825" s="460"/>
      <c r="B825" s="449" t="s">
        <v>13339</v>
      </c>
      <c r="C825" s="450" t="s">
        <v>13340</v>
      </c>
      <c r="D825" s="297" t="s">
        <v>271</v>
      </c>
      <c r="E825" s="450" t="s">
        <v>5</v>
      </c>
      <c r="F825" s="454" t="s">
        <v>12599</v>
      </c>
      <c r="G825" s="454" t="s">
        <v>13341</v>
      </c>
      <c r="H825" s="454" t="s">
        <v>12601</v>
      </c>
      <c r="I825" s="258" t="s">
        <v>36</v>
      </c>
      <c r="J825" s="251"/>
      <c r="K825" s="251"/>
      <c r="L825" s="251"/>
      <c r="M825" s="251"/>
      <c r="N825" s="251"/>
      <c r="O825" s="251"/>
      <c r="P825" s="251"/>
      <c r="Q825" s="251"/>
      <c r="R825" s="251"/>
      <c r="S825" s="251"/>
      <c r="T825" s="251"/>
      <c r="U825" s="251"/>
      <c r="V825" s="251"/>
      <c r="W825" s="251"/>
      <c r="X825" s="251"/>
      <c r="Y825" s="251"/>
      <c r="Z825" s="251"/>
      <c r="AA825" s="251"/>
      <c r="AB825" s="251"/>
    </row>
    <row r="826" ht="14.25" customHeight="1">
      <c r="A826" s="460"/>
      <c r="B826" s="108"/>
      <c r="C826" s="450" t="s">
        <v>13342</v>
      </c>
      <c r="D826" s="297" t="s">
        <v>271</v>
      </c>
      <c r="E826" s="450" t="s">
        <v>5</v>
      </c>
      <c r="F826" s="451" t="s">
        <v>12602</v>
      </c>
      <c r="G826" s="454" t="s">
        <v>13343</v>
      </c>
      <c r="H826" s="451" t="s">
        <v>12604</v>
      </c>
      <c r="I826" s="258" t="s">
        <v>36</v>
      </c>
      <c r="J826" s="251"/>
      <c r="K826" s="251"/>
      <c r="L826" s="251"/>
      <c r="M826" s="251"/>
      <c r="N826" s="251"/>
      <c r="O826" s="251"/>
      <c r="P826" s="251"/>
      <c r="Q826" s="251"/>
      <c r="R826" s="251"/>
      <c r="S826" s="251"/>
      <c r="T826" s="251"/>
      <c r="U826" s="251"/>
      <c r="V826" s="251"/>
      <c r="W826" s="251"/>
      <c r="X826" s="251"/>
      <c r="Y826" s="251"/>
      <c r="Z826" s="251"/>
      <c r="AA826" s="251"/>
      <c r="AB826" s="251"/>
    </row>
    <row r="827" ht="14.25" customHeight="1">
      <c r="A827" s="460"/>
      <c r="B827" s="108"/>
      <c r="C827" s="450" t="s">
        <v>13344</v>
      </c>
      <c r="D827" s="297" t="s">
        <v>271</v>
      </c>
      <c r="E827" s="450" t="s">
        <v>5</v>
      </c>
      <c r="F827" s="451" t="s">
        <v>12605</v>
      </c>
      <c r="G827" s="454" t="s">
        <v>13345</v>
      </c>
      <c r="H827" s="451" t="s">
        <v>12607</v>
      </c>
      <c r="I827" s="258" t="s">
        <v>36</v>
      </c>
      <c r="J827" s="251"/>
      <c r="K827" s="251"/>
      <c r="L827" s="251"/>
      <c r="M827" s="251"/>
      <c r="N827" s="251"/>
      <c r="O827" s="251"/>
      <c r="P827" s="251"/>
      <c r="Q827" s="251"/>
      <c r="R827" s="251"/>
      <c r="S827" s="251"/>
      <c r="T827" s="251"/>
      <c r="U827" s="251"/>
      <c r="V827" s="251"/>
      <c r="W827" s="251"/>
      <c r="X827" s="251"/>
      <c r="Y827" s="251"/>
      <c r="Z827" s="251"/>
      <c r="AA827" s="251"/>
      <c r="AB827" s="251"/>
    </row>
    <row r="828" ht="14.25" customHeight="1">
      <c r="A828" s="460"/>
      <c r="B828" s="108"/>
      <c r="C828" s="450" t="s">
        <v>13346</v>
      </c>
      <c r="D828" s="297" t="s">
        <v>271</v>
      </c>
      <c r="E828" s="450" t="s">
        <v>5</v>
      </c>
      <c r="F828" s="451" t="s">
        <v>12608</v>
      </c>
      <c r="G828" s="454" t="s">
        <v>13347</v>
      </c>
      <c r="H828" s="451" t="s">
        <v>12610</v>
      </c>
      <c r="I828" s="258" t="s">
        <v>36</v>
      </c>
      <c r="J828" s="251"/>
      <c r="K828" s="251"/>
      <c r="L828" s="251"/>
      <c r="M828" s="251"/>
      <c r="N828" s="251"/>
      <c r="O828" s="251"/>
      <c r="P828" s="251"/>
      <c r="Q828" s="251"/>
      <c r="R828" s="251"/>
      <c r="S828" s="251"/>
      <c r="T828" s="251"/>
      <c r="U828" s="251"/>
      <c r="V828" s="251"/>
      <c r="W828" s="251"/>
      <c r="X828" s="251"/>
      <c r="Y828" s="251"/>
      <c r="Z828" s="251"/>
      <c r="AA828" s="251"/>
      <c r="AB828" s="251"/>
    </row>
    <row r="829" ht="14.25" customHeight="1">
      <c r="A829" s="460"/>
      <c r="B829" s="108"/>
      <c r="C829" s="450" t="s">
        <v>13348</v>
      </c>
      <c r="D829" s="297" t="s">
        <v>271</v>
      </c>
      <c r="E829" s="450" t="s">
        <v>5</v>
      </c>
      <c r="F829" s="451" t="s">
        <v>12611</v>
      </c>
      <c r="G829" s="454" t="s">
        <v>13349</v>
      </c>
      <c r="H829" s="451" t="s">
        <v>12613</v>
      </c>
      <c r="I829" s="258" t="s">
        <v>36</v>
      </c>
      <c r="J829" s="251"/>
      <c r="K829" s="251"/>
      <c r="L829" s="251"/>
      <c r="M829" s="251"/>
      <c r="N829" s="251"/>
      <c r="O829" s="251"/>
      <c r="P829" s="251"/>
      <c r="Q829" s="251"/>
      <c r="R829" s="251"/>
      <c r="S829" s="251"/>
      <c r="T829" s="251"/>
      <c r="U829" s="251"/>
      <c r="V829" s="251"/>
      <c r="W829" s="251"/>
      <c r="X829" s="251"/>
      <c r="Y829" s="251"/>
      <c r="Z829" s="251"/>
      <c r="AA829" s="251"/>
      <c r="AB829" s="251"/>
    </row>
    <row r="830" ht="14.25" customHeight="1">
      <c r="A830" s="460"/>
      <c r="B830" s="108"/>
      <c r="C830" s="450" t="s">
        <v>13350</v>
      </c>
      <c r="D830" s="297" t="s">
        <v>271</v>
      </c>
      <c r="E830" s="450" t="s">
        <v>5</v>
      </c>
      <c r="F830" s="451" t="s">
        <v>12614</v>
      </c>
      <c r="G830" s="454" t="s">
        <v>13351</v>
      </c>
      <c r="H830" s="451" t="s">
        <v>12616</v>
      </c>
      <c r="I830" s="258" t="s">
        <v>36</v>
      </c>
      <c r="J830" s="251"/>
      <c r="K830" s="251"/>
      <c r="L830" s="251"/>
      <c r="M830" s="251"/>
      <c r="N830" s="251"/>
      <c r="O830" s="251"/>
      <c r="P830" s="251"/>
      <c r="Q830" s="251"/>
      <c r="R830" s="251"/>
      <c r="S830" s="251"/>
      <c r="T830" s="251"/>
      <c r="U830" s="251"/>
      <c r="V830" s="251"/>
      <c r="W830" s="251"/>
      <c r="X830" s="251"/>
      <c r="Y830" s="251"/>
      <c r="Z830" s="251"/>
      <c r="AA830" s="251"/>
      <c r="AB830" s="251"/>
    </row>
    <row r="831" ht="14.25" customHeight="1">
      <c r="A831" s="460"/>
      <c r="B831" s="108"/>
      <c r="C831" s="450" t="s">
        <v>13352</v>
      </c>
      <c r="D831" s="297" t="s">
        <v>271</v>
      </c>
      <c r="E831" s="450" t="s">
        <v>5</v>
      </c>
      <c r="F831" s="451" t="s">
        <v>12617</v>
      </c>
      <c r="G831" s="454" t="s">
        <v>13353</v>
      </c>
      <c r="H831" s="451" t="s">
        <v>12619</v>
      </c>
      <c r="I831" s="258" t="s">
        <v>36</v>
      </c>
      <c r="J831" s="251"/>
      <c r="K831" s="251"/>
      <c r="L831" s="251"/>
      <c r="M831" s="251"/>
      <c r="N831" s="251"/>
      <c r="O831" s="251"/>
      <c r="P831" s="251"/>
      <c r="Q831" s="251"/>
      <c r="R831" s="251"/>
      <c r="S831" s="251"/>
      <c r="T831" s="251"/>
      <c r="U831" s="251"/>
      <c r="V831" s="251"/>
      <c r="W831" s="251"/>
      <c r="X831" s="251"/>
      <c r="Y831" s="251"/>
      <c r="Z831" s="251"/>
      <c r="AA831" s="251"/>
      <c r="AB831" s="251"/>
    </row>
    <row r="832" ht="14.25" customHeight="1">
      <c r="A832" s="460"/>
      <c r="B832" s="108"/>
      <c r="C832" s="450" t="s">
        <v>13354</v>
      </c>
      <c r="D832" s="297" t="s">
        <v>271</v>
      </c>
      <c r="E832" s="450" t="s">
        <v>5</v>
      </c>
      <c r="F832" s="451" t="s">
        <v>12620</v>
      </c>
      <c r="G832" s="454" t="s">
        <v>13355</v>
      </c>
      <c r="H832" s="451" t="s">
        <v>12622</v>
      </c>
      <c r="I832" s="258" t="s">
        <v>36</v>
      </c>
      <c r="J832" s="251"/>
      <c r="K832" s="251"/>
      <c r="L832" s="251"/>
      <c r="M832" s="251"/>
      <c r="N832" s="251"/>
      <c r="O832" s="251"/>
      <c r="P832" s="251"/>
      <c r="Q832" s="251"/>
      <c r="R832" s="251"/>
      <c r="S832" s="251"/>
      <c r="T832" s="251"/>
      <c r="U832" s="251"/>
      <c r="V832" s="251"/>
      <c r="W832" s="251"/>
      <c r="X832" s="251"/>
      <c r="Y832" s="251"/>
      <c r="Z832" s="251"/>
      <c r="AA832" s="251"/>
      <c r="AB832" s="251"/>
    </row>
    <row r="833" ht="14.25" customHeight="1">
      <c r="A833" s="460"/>
      <c r="B833" s="108"/>
      <c r="C833" s="450" t="s">
        <v>13356</v>
      </c>
      <c r="D833" s="297" t="s">
        <v>271</v>
      </c>
      <c r="E833" s="450" t="s">
        <v>5</v>
      </c>
      <c r="F833" s="451" t="s">
        <v>13357</v>
      </c>
      <c r="G833" s="454" t="s">
        <v>12951</v>
      </c>
      <c r="H833" s="451" t="s">
        <v>13358</v>
      </c>
      <c r="I833" s="258" t="s">
        <v>36</v>
      </c>
      <c r="J833" s="251"/>
      <c r="K833" s="251"/>
      <c r="L833" s="251"/>
      <c r="M833" s="251"/>
      <c r="N833" s="251"/>
      <c r="O833" s="251"/>
      <c r="P833" s="251"/>
      <c r="Q833" s="251"/>
      <c r="R833" s="251"/>
      <c r="S833" s="251"/>
      <c r="T833" s="251"/>
      <c r="U833" s="251"/>
      <c r="V833" s="251"/>
      <c r="W833" s="251"/>
      <c r="X833" s="251"/>
      <c r="Y833" s="251"/>
      <c r="Z833" s="251"/>
      <c r="AA833" s="251"/>
      <c r="AB833" s="251"/>
    </row>
    <row r="834" ht="14.25" customHeight="1">
      <c r="A834" s="460"/>
      <c r="B834" s="108"/>
      <c r="C834" s="450" t="s">
        <v>13359</v>
      </c>
      <c r="D834" s="297" t="s">
        <v>271</v>
      </c>
      <c r="E834" s="450" t="s">
        <v>5</v>
      </c>
      <c r="F834" s="451" t="s">
        <v>13360</v>
      </c>
      <c r="G834" s="454" t="s">
        <v>12951</v>
      </c>
      <c r="H834" s="451" t="s">
        <v>13361</v>
      </c>
      <c r="I834" s="258" t="s">
        <v>36</v>
      </c>
      <c r="J834" s="251"/>
      <c r="K834" s="251"/>
      <c r="L834" s="251"/>
      <c r="M834" s="251"/>
      <c r="N834" s="251"/>
      <c r="O834" s="251"/>
      <c r="P834" s="251"/>
      <c r="Q834" s="251"/>
      <c r="R834" s="251"/>
      <c r="S834" s="251"/>
      <c r="T834" s="251"/>
      <c r="U834" s="251"/>
      <c r="V834" s="251"/>
      <c r="W834" s="251"/>
      <c r="X834" s="251"/>
      <c r="Y834" s="251"/>
      <c r="Z834" s="251"/>
      <c r="AA834" s="251"/>
      <c r="AB834" s="251"/>
    </row>
    <row r="835" ht="14.25" customHeight="1">
      <c r="A835" s="460"/>
      <c r="B835" s="108"/>
      <c r="C835" s="450" t="s">
        <v>13362</v>
      </c>
      <c r="D835" s="297" t="s">
        <v>271</v>
      </c>
      <c r="E835" s="450" t="s">
        <v>5</v>
      </c>
      <c r="F835" s="451" t="s">
        <v>13363</v>
      </c>
      <c r="G835" s="454" t="s">
        <v>12951</v>
      </c>
      <c r="H835" s="451" t="s">
        <v>13364</v>
      </c>
      <c r="I835" s="258" t="s">
        <v>36</v>
      </c>
      <c r="J835" s="251"/>
      <c r="K835" s="251"/>
      <c r="L835" s="251"/>
      <c r="M835" s="251"/>
      <c r="N835" s="251"/>
      <c r="O835" s="251"/>
      <c r="P835" s="251"/>
      <c r="Q835" s="251"/>
      <c r="R835" s="251"/>
      <c r="S835" s="251"/>
      <c r="T835" s="251"/>
      <c r="U835" s="251"/>
      <c r="V835" s="251"/>
      <c r="W835" s="251"/>
      <c r="X835" s="251"/>
      <c r="Y835" s="251"/>
      <c r="Z835" s="251"/>
      <c r="AA835" s="251"/>
      <c r="AB835" s="251"/>
    </row>
    <row r="836" ht="14.25" customHeight="1">
      <c r="A836" s="460"/>
      <c r="B836" s="108"/>
      <c r="C836" s="450" t="s">
        <v>13365</v>
      </c>
      <c r="D836" s="297" t="s">
        <v>271</v>
      </c>
      <c r="E836" s="450" t="s">
        <v>5</v>
      </c>
      <c r="F836" s="451" t="s">
        <v>13366</v>
      </c>
      <c r="G836" s="451" t="s">
        <v>13367</v>
      </c>
      <c r="H836" s="451" t="s">
        <v>13368</v>
      </c>
      <c r="I836" s="258" t="s">
        <v>36</v>
      </c>
      <c r="J836" s="251"/>
      <c r="K836" s="251"/>
      <c r="L836" s="251"/>
      <c r="M836" s="251"/>
      <c r="N836" s="251"/>
      <c r="O836" s="251"/>
      <c r="P836" s="251"/>
      <c r="Q836" s="251"/>
      <c r="R836" s="251"/>
      <c r="S836" s="251"/>
      <c r="T836" s="251"/>
      <c r="U836" s="251"/>
      <c r="V836" s="251"/>
      <c r="W836" s="251"/>
      <c r="X836" s="251"/>
      <c r="Y836" s="251"/>
      <c r="Z836" s="251"/>
      <c r="AA836" s="251"/>
      <c r="AB836" s="251"/>
    </row>
    <row r="837" ht="14.25" customHeight="1">
      <c r="A837" s="460"/>
      <c r="B837" s="108"/>
      <c r="C837" s="450" t="s">
        <v>13369</v>
      </c>
      <c r="D837" s="297" t="s">
        <v>271</v>
      </c>
      <c r="E837" s="450" t="s">
        <v>5</v>
      </c>
      <c r="F837" s="451" t="s">
        <v>13370</v>
      </c>
      <c r="G837" s="451" t="s">
        <v>13371</v>
      </c>
      <c r="H837" s="451" t="s">
        <v>13372</v>
      </c>
      <c r="I837" s="258" t="s">
        <v>36</v>
      </c>
      <c r="J837" s="251"/>
      <c r="K837" s="251"/>
      <c r="L837" s="251"/>
      <c r="M837" s="251"/>
      <c r="N837" s="251"/>
      <c r="O837" s="251"/>
      <c r="P837" s="251"/>
      <c r="Q837" s="251"/>
      <c r="R837" s="251"/>
      <c r="S837" s="251"/>
      <c r="T837" s="251"/>
      <c r="U837" s="251"/>
      <c r="V837" s="251"/>
      <c r="W837" s="251"/>
      <c r="X837" s="251"/>
      <c r="Y837" s="251"/>
      <c r="Z837" s="251"/>
      <c r="AA837" s="251"/>
      <c r="AB837" s="251"/>
    </row>
    <row r="838" ht="14.25" customHeight="1">
      <c r="A838" s="460"/>
      <c r="B838" s="108"/>
      <c r="C838" s="450" t="s">
        <v>13373</v>
      </c>
      <c r="D838" s="297" t="s">
        <v>271</v>
      </c>
      <c r="E838" s="450" t="s">
        <v>5</v>
      </c>
      <c r="F838" s="451" t="s">
        <v>13374</v>
      </c>
      <c r="G838" s="451" t="s">
        <v>13375</v>
      </c>
      <c r="H838" s="451" t="s">
        <v>13376</v>
      </c>
      <c r="I838" s="258" t="s">
        <v>36</v>
      </c>
      <c r="J838" s="251"/>
      <c r="K838" s="251"/>
      <c r="L838" s="251"/>
      <c r="M838" s="251"/>
      <c r="N838" s="251"/>
      <c r="O838" s="251"/>
      <c r="P838" s="251"/>
      <c r="Q838" s="251"/>
      <c r="R838" s="251"/>
      <c r="S838" s="251"/>
      <c r="T838" s="251"/>
      <c r="U838" s="251"/>
      <c r="V838" s="251"/>
      <c r="W838" s="251"/>
      <c r="X838" s="251"/>
      <c r="Y838" s="251"/>
      <c r="Z838" s="251"/>
      <c r="AA838" s="251"/>
      <c r="AB838" s="251"/>
    </row>
    <row r="839" ht="14.25" customHeight="1">
      <c r="A839" s="460"/>
      <c r="B839" s="108"/>
      <c r="C839" s="450" t="s">
        <v>13377</v>
      </c>
      <c r="D839" s="297" t="s">
        <v>271</v>
      </c>
      <c r="E839" s="450" t="s">
        <v>5</v>
      </c>
      <c r="F839" s="451" t="s">
        <v>13378</v>
      </c>
      <c r="G839" s="451" t="s">
        <v>13379</v>
      </c>
      <c r="H839" s="451" t="s">
        <v>13376</v>
      </c>
      <c r="I839" s="258" t="s">
        <v>36</v>
      </c>
      <c r="J839" s="251"/>
      <c r="K839" s="251"/>
      <c r="L839" s="251"/>
      <c r="M839" s="251"/>
      <c r="N839" s="251"/>
      <c r="O839" s="251"/>
      <c r="P839" s="251"/>
      <c r="Q839" s="251"/>
      <c r="R839" s="251"/>
      <c r="S839" s="251"/>
      <c r="T839" s="251"/>
      <c r="U839" s="251"/>
      <c r="V839" s="251"/>
      <c r="W839" s="251"/>
      <c r="X839" s="251"/>
      <c r="Y839" s="251"/>
      <c r="Z839" s="251"/>
      <c r="AA839" s="251"/>
      <c r="AB839" s="251"/>
    </row>
    <row r="840" ht="14.25" customHeight="1">
      <c r="A840" s="460"/>
      <c r="B840" s="108"/>
      <c r="C840" s="450" t="s">
        <v>13380</v>
      </c>
      <c r="D840" s="297" t="s">
        <v>271</v>
      </c>
      <c r="E840" s="450" t="s">
        <v>5</v>
      </c>
      <c r="F840" s="451" t="s">
        <v>13381</v>
      </c>
      <c r="G840" s="451" t="s">
        <v>13382</v>
      </c>
      <c r="H840" s="451" t="s">
        <v>13383</v>
      </c>
      <c r="I840" s="258" t="s">
        <v>36</v>
      </c>
      <c r="J840" s="251"/>
      <c r="K840" s="251"/>
      <c r="L840" s="251"/>
      <c r="M840" s="251"/>
      <c r="N840" s="251"/>
      <c r="O840" s="251"/>
      <c r="P840" s="251"/>
      <c r="Q840" s="251"/>
      <c r="R840" s="251"/>
      <c r="S840" s="251"/>
      <c r="T840" s="251"/>
      <c r="U840" s="251"/>
      <c r="V840" s="251"/>
      <c r="W840" s="251"/>
      <c r="X840" s="251"/>
      <c r="Y840" s="251"/>
      <c r="Z840" s="251"/>
      <c r="AA840" s="251"/>
      <c r="AB840" s="251"/>
    </row>
    <row r="841" ht="14.25" customHeight="1">
      <c r="A841" s="460"/>
      <c r="B841" s="108"/>
      <c r="C841" s="450" t="s">
        <v>13384</v>
      </c>
      <c r="D841" s="297" t="s">
        <v>271</v>
      </c>
      <c r="E841" s="450" t="s">
        <v>5</v>
      </c>
      <c r="F841" s="451" t="s">
        <v>13385</v>
      </c>
      <c r="G841" s="451" t="s">
        <v>13386</v>
      </c>
      <c r="H841" s="451" t="s">
        <v>13383</v>
      </c>
      <c r="I841" s="258" t="s">
        <v>36</v>
      </c>
      <c r="J841" s="251"/>
      <c r="K841" s="251"/>
      <c r="L841" s="251"/>
      <c r="M841" s="251"/>
      <c r="N841" s="251"/>
      <c r="O841" s="251"/>
      <c r="P841" s="251"/>
      <c r="Q841" s="251"/>
      <c r="R841" s="251"/>
      <c r="S841" s="251"/>
      <c r="T841" s="251"/>
      <c r="U841" s="251"/>
      <c r="V841" s="251"/>
      <c r="W841" s="251"/>
      <c r="X841" s="251"/>
      <c r="Y841" s="251"/>
      <c r="Z841" s="251"/>
      <c r="AA841" s="251"/>
      <c r="AB841" s="251"/>
    </row>
    <row r="842" ht="14.25" customHeight="1">
      <c r="A842" s="460"/>
      <c r="B842" s="108"/>
      <c r="C842" s="450" t="s">
        <v>13387</v>
      </c>
      <c r="D842" s="297" t="s">
        <v>271</v>
      </c>
      <c r="E842" s="450" t="s">
        <v>5</v>
      </c>
      <c r="F842" s="451" t="s">
        <v>13388</v>
      </c>
      <c r="G842" s="451" t="s">
        <v>13389</v>
      </c>
      <c r="H842" s="451" t="s">
        <v>13390</v>
      </c>
      <c r="I842" s="258" t="s">
        <v>36</v>
      </c>
      <c r="J842" s="251"/>
      <c r="K842" s="251"/>
      <c r="L842" s="251"/>
      <c r="M842" s="251"/>
      <c r="N842" s="251"/>
      <c r="O842" s="251"/>
      <c r="P842" s="251"/>
      <c r="Q842" s="251"/>
      <c r="R842" s="251"/>
      <c r="S842" s="251"/>
      <c r="T842" s="251"/>
      <c r="U842" s="251"/>
      <c r="V842" s="251"/>
      <c r="W842" s="251"/>
      <c r="X842" s="251"/>
      <c r="Y842" s="251"/>
      <c r="Z842" s="251"/>
      <c r="AA842" s="251"/>
      <c r="AB842" s="251"/>
    </row>
    <row r="843" ht="14.25" customHeight="1">
      <c r="A843" s="460"/>
      <c r="B843" s="108"/>
      <c r="C843" s="450" t="s">
        <v>13391</v>
      </c>
      <c r="D843" s="297" t="s">
        <v>271</v>
      </c>
      <c r="E843" s="450" t="s">
        <v>5</v>
      </c>
      <c r="F843" s="451" t="s">
        <v>13392</v>
      </c>
      <c r="G843" s="451" t="s">
        <v>13393</v>
      </c>
      <c r="H843" s="451" t="s">
        <v>13390</v>
      </c>
      <c r="I843" s="258" t="s">
        <v>36</v>
      </c>
      <c r="J843" s="251"/>
      <c r="K843" s="251"/>
      <c r="L843" s="251"/>
      <c r="M843" s="251"/>
      <c r="N843" s="251"/>
      <c r="O843" s="251"/>
      <c r="P843" s="251"/>
      <c r="Q843" s="251"/>
      <c r="R843" s="251"/>
      <c r="S843" s="251"/>
      <c r="T843" s="251"/>
      <c r="U843" s="251"/>
      <c r="V843" s="251"/>
      <c r="W843" s="251"/>
      <c r="X843" s="251"/>
      <c r="Y843" s="251"/>
      <c r="Z843" s="251"/>
      <c r="AA843" s="251"/>
      <c r="AB843" s="251"/>
    </row>
    <row r="844" ht="14.25" customHeight="1">
      <c r="A844" s="460"/>
      <c r="B844" s="108"/>
      <c r="C844" s="450" t="s">
        <v>13394</v>
      </c>
      <c r="D844" s="297" t="s">
        <v>271</v>
      </c>
      <c r="E844" s="450" t="s">
        <v>5</v>
      </c>
      <c r="F844" s="451" t="s">
        <v>13395</v>
      </c>
      <c r="G844" s="451" t="s">
        <v>13389</v>
      </c>
      <c r="H844" s="451" t="s">
        <v>13390</v>
      </c>
      <c r="I844" s="258" t="s">
        <v>36</v>
      </c>
      <c r="J844" s="251"/>
      <c r="K844" s="251"/>
      <c r="L844" s="251"/>
      <c r="M844" s="251"/>
      <c r="N844" s="251"/>
      <c r="O844" s="251"/>
      <c r="P844" s="251"/>
      <c r="Q844" s="251"/>
      <c r="R844" s="251"/>
      <c r="S844" s="251"/>
      <c r="T844" s="251"/>
      <c r="U844" s="251"/>
      <c r="V844" s="251"/>
      <c r="W844" s="251"/>
      <c r="X844" s="251"/>
      <c r="Y844" s="251"/>
      <c r="Z844" s="251"/>
      <c r="AA844" s="251"/>
      <c r="AB844" s="251"/>
    </row>
    <row r="845" ht="14.25" customHeight="1">
      <c r="A845" s="460"/>
      <c r="B845" s="108"/>
      <c r="C845" s="450" t="s">
        <v>13396</v>
      </c>
      <c r="D845" s="297" t="s">
        <v>271</v>
      </c>
      <c r="E845" s="450" t="s">
        <v>5</v>
      </c>
      <c r="F845" s="451" t="s">
        <v>13397</v>
      </c>
      <c r="G845" s="451" t="s">
        <v>13398</v>
      </c>
      <c r="H845" s="451" t="s">
        <v>13399</v>
      </c>
      <c r="I845" s="258" t="s">
        <v>36</v>
      </c>
      <c r="J845" s="251"/>
      <c r="K845" s="251"/>
      <c r="L845" s="251"/>
      <c r="M845" s="251"/>
      <c r="N845" s="251"/>
      <c r="O845" s="251"/>
      <c r="P845" s="251"/>
      <c r="Q845" s="251"/>
      <c r="R845" s="251"/>
      <c r="S845" s="251"/>
      <c r="T845" s="251"/>
      <c r="U845" s="251"/>
      <c r="V845" s="251"/>
      <c r="W845" s="251"/>
      <c r="X845" s="251"/>
      <c r="Y845" s="251"/>
      <c r="Z845" s="251"/>
      <c r="AA845" s="251"/>
      <c r="AB845" s="251"/>
    </row>
    <row r="846" ht="14.25" customHeight="1">
      <c r="A846" s="460"/>
      <c r="B846" s="108"/>
      <c r="C846" s="450" t="s">
        <v>13400</v>
      </c>
      <c r="D846" s="297" t="s">
        <v>271</v>
      </c>
      <c r="E846" s="450" t="s">
        <v>5</v>
      </c>
      <c r="F846" s="451" t="s">
        <v>13401</v>
      </c>
      <c r="G846" s="451" t="s">
        <v>13402</v>
      </c>
      <c r="H846" s="451" t="s">
        <v>13403</v>
      </c>
      <c r="I846" s="258" t="s">
        <v>36</v>
      </c>
      <c r="J846" s="251"/>
      <c r="K846" s="251"/>
      <c r="L846" s="251"/>
      <c r="M846" s="251"/>
      <c r="N846" s="251"/>
      <c r="O846" s="251"/>
      <c r="P846" s="251"/>
      <c r="Q846" s="251"/>
      <c r="R846" s="251"/>
      <c r="S846" s="251"/>
      <c r="T846" s="251"/>
      <c r="U846" s="251"/>
      <c r="V846" s="251"/>
      <c r="W846" s="251"/>
      <c r="X846" s="251"/>
      <c r="Y846" s="251"/>
      <c r="Z846" s="251"/>
      <c r="AA846" s="251"/>
      <c r="AB846" s="251"/>
    </row>
    <row r="847" ht="14.25" customHeight="1">
      <c r="A847" s="460"/>
      <c r="B847" s="108"/>
      <c r="C847" s="450" t="s">
        <v>13404</v>
      </c>
      <c r="D847" s="297" t="s">
        <v>271</v>
      </c>
      <c r="E847" s="450" t="s">
        <v>5</v>
      </c>
      <c r="F847" s="451" t="s">
        <v>13405</v>
      </c>
      <c r="G847" s="451" t="s">
        <v>13406</v>
      </c>
      <c r="H847" s="451" t="s">
        <v>13403</v>
      </c>
      <c r="I847" s="258" t="s">
        <v>36</v>
      </c>
      <c r="J847" s="251"/>
      <c r="K847" s="251"/>
      <c r="L847" s="251"/>
      <c r="M847" s="251"/>
      <c r="N847" s="251"/>
      <c r="O847" s="251"/>
      <c r="P847" s="251"/>
      <c r="Q847" s="251"/>
      <c r="R847" s="251"/>
      <c r="S847" s="251"/>
      <c r="T847" s="251"/>
      <c r="U847" s="251"/>
      <c r="V847" s="251"/>
      <c r="W847" s="251"/>
      <c r="X847" s="251"/>
      <c r="Y847" s="251"/>
      <c r="Z847" s="251"/>
      <c r="AA847" s="251"/>
      <c r="AB847" s="251"/>
    </row>
    <row r="848" ht="14.25" customHeight="1">
      <c r="A848" s="460"/>
      <c r="B848" s="108"/>
      <c r="C848" s="450" t="s">
        <v>13407</v>
      </c>
      <c r="D848" s="297" t="s">
        <v>271</v>
      </c>
      <c r="E848" s="450" t="s">
        <v>5</v>
      </c>
      <c r="F848" s="451" t="s">
        <v>13408</v>
      </c>
      <c r="G848" s="451" t="s">
        <v>13409</v>
      </c>
      <c r="H848" s="451" t="s">
        <v>13410</v>
      </c>
      <c r="I848" s="461" t="s">
        <v>317</v>
      </c>
      <c r="J848" s="251"/>
      <c r="K848" s="251"/>
      <c r="L848" s="251"/>
      <c r="M848" s="251"/>
      <c r="N848" s="251"/>
      <c r="O848" s="251"/>
      <c r="P848" s="251"/>
      <c r="Q848" s="251"/>
      <c r="R848" s="251"/>
      <c r="S848" s="251"/>
      <c r="T848" s="251"/>
      <c r="U848" s="251"/>
      <c r="V848" s="251"/>
      <c r="W848" s="251"/>
      <c r="X848" s="251"/>
      <c r="Y848" s="251"/>
      <c r="Z848" s="251"/>
      <c r="AA848" s="251"/>
      <c r="AB848" s="251"/>
    </row>
    <row r="849" ht="14.25" customHeight="1">
      <c r="A849" s="460"/>
      <c r="B849" s="109"/>
      <c r="C849" s="450" t="s">
        <v>13411</v>
      </c>
      <c r="D849" s="297" t="s">
        <v>271</v>
      </c>
      <c r="E849" s="450" t="s">
        <v>5</v>
      </c>
      <c r="F849" s="451" t="s">
        <v>13412</v>
      </c>
      <c r="G849" s="451" t="s">
        <v>13413</v>
      </c>
      <c r="H849" s="451" t="s">
        <v>13414</v>
      </c>
      <c r="I849" s="258" t="s">
        <v>36</v>
      </c>
      <c r="J849" s="251"/>
      <c r="K849" s="251"/>
      <c r="L849" s="251"/>
      <c r="M849" s="251"/>
      <c r="N849" s="251"/>
      <c r="O849" s="251"/>
      <c r="P849" s="251"/>
      <c r="Q849" s="251"/>
      <c r="R849" s="251"/>
      <c r="S849" s="251"/>
      <c r="T849" s="251"/>
      <c r="U849" s="251"/>
      <c r="V849" s="251"/>
      <c r="W849" s="251"/>
      <c r="X849" s="251"/>
      <c r="Y849" s="251"/>
      <c r="Z849" s="251"/>
      <c r="AA849" s="251"/>
      <c r="AB849" s="251"/>
    </row>
    <row r="850" ht="14.25" customHeight="1">
      <c r="A850" s="460"/>
      <c r="B850" s="449" t="s">
        <v>13415</v>
      </c>
      <c r="C850" s="450" t="s">
        <v>13416</v>
      </c>
      <c r="D850" s="297" t="s">
        <v>271</v>
      </c>
      <c r="E850" s="450" t="s">
        <v>5</v>
      </c>
      <c r="F850" s="451" t="s">
        <v>11130</v>
      </c>
      <c r="G850" s="451" t="s">
        <v>13417</v>
      </c>
      <c r="H850" s="451" t="s">
        <v>13418</v>
      </c>
      <c r="I850" s="258" t="s">
        <v>36</v>
      </c>
      <c r="J850" s="251"/>
      <c r="K850" s="251"/>
      <c r="L850" s="251"/>
      <c r="M850" s="251"/>
      <c r="N850" s="251"/>
      <c r="O850" s="251"/>
      <c r="P850" s="251"/>
      <c r="Q850" s="251"/>
      <c r="R850" s="251"/>
      <c r="S850" s="251"/>
      <c r="T850" s="251"/>
      <c r="U850" s="251"/>
      <c r="V850" s="251"/>
      <c r="W850" s="251"/>
      <c r="X850" s="251"/>
      <c r="Y850" s="251"/>
      <c r="Z850" s="251"/>
      <c r="AA850" s="251"/>
      <c r="AB850" s="251"/>
    </row>
    <row r="851" ht="14.25" customHeight="1">
      <c r="A851" s="460"/>
      <c r="B851" s="109"/>
      <c r="C851" s="450" t="s">
        <v>13419</v>
      </c>
      <c r="D851" s="297" t="s">
        <v>271</v>
      </c>
      <c r="E851" s="450" t="s">
        <v>5</v>
      </c>
      <c r="F851" s="451" t="s">
        <v>11131</v>
      </c>
      <c r="G851" s="451" t="s">
        <v>13420</v>
      </c>
      <c r="H851" s="451" t="s">
        <v>13418</v>
      </c>
      <c r="I851" s="258" t="s">
        <v>36</v>
      </c>
      <c r="J851" s="251"/>
      <c r="K851" s="251"/>
      <c r="L851" s="251"/>
      <c r="M851" s="251"/>
      <c r="N851" s="251"/>
      <c r="O851" s="251"/>
      <c r="P851" s="251"/>
      <c r="Q851" s="251"/>
      <c r="R851" s="251"/>
      <c r="S851" s="251"/>
      <c r="T851" s="251"/>
      <c r="U851" s="251"/>
      <c r="V851" s="251"/>
      <c r="W851" s="251"/>
      <c r="X851" s="251"/>
      <c r="Y851" s="251"/>
      <c r="Z851" s="251"/>
      <c r="AA851" s="251"/>
      <c r="AB851" s="251"/>
    </row>
    <row r="852" ht="14.25" customHeight="1">
      <c r="A852" s="460"/>
      <c r="B852" s="449" t="s">
        <v>11132</v>
      </c>
      <c r="C852" s="450" t="s">
        <v>13421</v>
      </c>
      <c r="D852" s="297" t="s">
        <v>271</v>
      </c>
      <c r="E852" s="450" t="s">
        <v>5</v>
      </c>
      <c r="F852" s="451" t="s">
        <v>13422</v>
      </c>
      <c r="G852" s="451" t="s">
        <v>13423</v>
      </c>
      <c r="H852" s="451" t="s">
        <v>12646</v>
      </c>
      <c r="I852" s="258" t="s">
        <v>36</v>
      </c>
      <c r="J852" s="251"/>
      <c r="K852" s="251"/>
      <c r="L852" s="251"/>
      <c r="M852" s="251"/>
      <c r="N852" s="251"/>
      <c r="O852" s="251"/>
      <c r="P852" s="251"/>
      <c r="Q852" s="251"/>
      <c r="R852" s="251"/>
      <c r="S852" s="251"/>
      <c r="T852" s="251"/>
      <c r="U852" s="251"/>
      <c r="V852" s="251"/>
      <c r="W852" s="251"/>
      <c r="X852" s="251"/>
      <c r="Y852" s="251"/>
      <c r="Z852" s="251"/>
      <c r="AA852" s="251"/>
      <c r="AB852" s="251"/>
    </row>
    <row r="853" ht="14.25" customHeight="1">
      <c r="A853" s="460"/>
      <c r="B853" s="108"/>
      <c r="C853" s="450" t="s">
        <v>13424</v>
      </c>
      <c r="D853" s="297" t="s">
        <v>271</v>
      </c>
      <c r="E853" s="450" t="s">
        <v>5</v>
      </c>
      <c r="F853" s="451" t="s">
        <v>13425</v>
      </c>
      <c r="G853" s="451" t="s">
        <v>13426</v>
      </c>
      <c r="H853" s="451" t="s">
        <v>13427</v>
      </c>
      <c r="I853" s="258" t="s">
        <v>36</v>
      </c>
      <c r="J853" s="251"/>
      <c r="K853" s="251"/>
      <c r="L853" s="251"/>
      <c r="M853" s="251"/>
      <c r="N853" s="251"/>
      <c r="O853" s="251"/>
      <c r="P853" s="251"/>
      <c r="Q853" s="251"/>
      <c r="R853" s="251"/>
      <c r="S853" s="251"/>
      <c r="T853" s="251"/>
      <c r="U853" s="251"/>
      <c r="V853" s="251"/>
      <c r="W853" s="251"/>
      <c r="X853" s="251"/>
      <c r="Y853" s="251"/>
      <c r="Z853" s="251"/>
      <c r="AA853" s="251"/>
      <c r="AB853" s="251"/>
    </row>
    <row r="854" ht="14.25" customHeight="1">
      <c r="A854" s="460"/>
      <c r="B854" s="108"/>
      <c r="C854" s="450" t="s">
        <v>13428</v>
      </c>
      <c r="D854" s="297" t="s">
        <v>271</v>
      </c>
      <c r="E854" s="450" t="s">
        <v>5</v>
      </c>
      <c r="F854" s="451" t="s">
        <v>13429</v>
      </c>
      <c r="G854" s="451" t="s">
        <v>13430</v>
      </c>
      <c r="H854" s="451" t="s">
        <v>13431</v>
      </c>
      <c r="I854" s="258" t="s">
        <v>36</v>
      </c>
      <c r="J854" s="251"/>
      <c r="K854" s="251"/>
      <c r="L854" s="251"/>
      <c r="M854" s="251"/>
      <c r="N854" s="251"/>
      <c r="O854" s="251"/>
      <c r="P854" s="251"/>
      <c r="Q854" s="251"/>
      <c r="R854" s="251"/>
      <c r="S854" s="251"/>
      <c r="T854" s="251"/>
      <c r="U854" s="251"/>
      <c r="V854" s="251"/>
      <c r="W854" s="251"/>
      <c r="X854" s="251"/>
      <c r="Y854" s="251"/>
      <c r="Z854" s="251"/>
      <c r="AA854" s="251"/>
      <c r="AB854" s="251"/>
    </row>
    <row r="855" ht="14.25" customHeight="1">
      <c r="A855" s="460"/>
      <c r="B855" s="108"/>
      <c r="C855" s="450" t="s">
        <v>13432</v>
      </c>
      <c r="D855" s="297" t="s">
        <v>271</v>
      </c>
      <c r="E855" s="450" t="s">
        <v>5</v>
      </c>
      <c r="F855" s="451" t="s">
        <v>13433</v>
      </c>
      <c r="G855" s="451" t="s">
        <v>13434</v>
      </c>
      <c r="H855" s="451" t="s">
        <v>13435</v>
      </c>
      <c r="I855" s="258" t="s">
        <v>36</v>
      </c>
      <c r="J855" s="251"/>
      <c r="K855" s="251"/>
      <c r="L855" s="251"/>
      <c r="M855" s="251"/>
      <c r="N855" s="251"/>
      <c r="O855" s="251"/>
      <c r="P855" s="251"/>
      <c r="Q855" s="251"/>
      <c r="R855" s="251"/>
      <c r="S855" s="251"/>
      <c r="T855" s="251"/>
      <c r="U855" s="251"/>
      <c r="V855" s="251"/>
      <c r="W855" s="251"/>
      <c r="X855" s="251"/>
      <c r="Y855" s="251"/>
      <c r="Z855" s="251"/>
      <c r="AA855" s="251"/>
      <c r="AB855" s="251"/>
    </row>
    <row r="856" ht="14.25" customHeight="1">
      <c r="A856" s="460"/>
      <c r="B856" s="108"/>
      <c r="C856" s="450" t="s">
        <v>13436</v>
      </c>
      <c r="D856" s="297" t="s">
        <v>271</v>
      </c>
      <c r="E856" s="450" t="s">
        <v>5</v>
      </c>
      <c r="F856" s="451" t="s">
        <v>13437</v>
      </c>
      <c r="G856" s="451" t="s">
        <v>13438</v>
      </c>
      <c r="H856" s="451" t="s">
        <v>13439</v>
      </c>
      <c r="I856" s="258" t="s">
        <v>36</v>
      </c>
      <c r="J856" s="251"/>
      <c r="K856" s="251"/>
      <c r="L856" s="251"/>
      <c r="M856" s="251"/>
      <c r="N856" s="251"/>
      <c r="O856" s="251"/>
      <c r="P856" s="251"/>
      <c r="Q856" s="251"/>
      <c r="R856" s="251"/>
      <c r="S856" s="251"/>
      <c r="T856" s="251"/>
      <c r="U856" s="251"/>
      <c r="V856" s="251"/>
      <c r="W856" s="251"/>
      <c r="X856" s="251"/>
      <c r="Y856" s="251"/>
      <c r="Z856" s="251"/>
      <c r="AA856" s="251"/>
      <c r="AB856" s="251"/>
    </row>
    <row r="857" ht="14.25" customHeight="1">
      <c r="A857" s="460"/>
      <c r="B857" s="108"/>
      <c r="C857" s="450" t="s">
        <v>13440</v>
      </c>
      <c r="D857" s="297" t="s">
        <v>271</v>
      </c>
      <c r="E857" s="450" t="s">
        <v>5</v>
      </c>
      <c r="F857" s="451" t="s">
        <v>13441</v>
      </c>
      <c r="G857" s="451" t="s">
        <v>13442</v>
      </c>
      <c r="H857" s="451" t="s">
        <v>13443</v>
      </c>
      <c r="I857" s="258" t="s">
        <v>36</v>
      </c>
      <c r="J857" s="251"/>
      <c r="K857" s="251"/>
      <c r="L857" s="251"/>
      <c r="M857" s="251"/>
      <c r="N857" s="251"/>
      <c r="O857" s="251"/>
      <c r="P857" s="251"/>
      <c r="Q857" s="251"/>
      <c r="R857" s="251"/>
      <c r="S857" s="251"/>
      <c r="T857" s="251"/>
      <c r="U857" s="251"/>
      <c r="V857" s="251"/>
      <c r="W857" s="251"/>
      <c r="X857" s="251"/>
      <c r="Y857" s="251"/>
      <c r="Z857" s="251"/>
      <c r="AA857" s="251"/>
      <c r="AB857" s="251"/>
    </row>
    <row r="858" ht="14.25" customHeight="1">
      <c r="A858" s="460"/>
      <c r="B858" s="108"/>
      <c r="C858" s="450" t="s">
        <v>13444</v>
      </c>
      <c r="D858" s="297" t="s">
        <v>271</v>
      </c>
      <c r="E858" s="450" t="s">
        <v>5</v>
      </c>
      <c r="F858" s="451" t="s">
        <v>13445</v>
      </c>
      <c r="G858" s="451" t="s">
        <v>13446</v>
      </c>
      <c r="H858" s="451" t="s">
        <v>13447</v>
      </c>
      <c r="I858" s="258" t="s">
        <v>36</v>
      </c>
      <c r="J858" s="251"/>
      <c r="K858" s="251"/>
      <c r="L858" s="251"/>
      <c r="M858" s="251"/>
      <c r="N858" s="251"/>
      <c r="O858" s="251"/>
      <c r="P858" s="251"/>
      <c r="Q858" s="251"/>
      <c r="R858" s="251"/>
      <c r="S858" s="251"/>
      <c r="T858" s="251"/>
      <c r="U858" s="251"/>
      <c r="V858" s="251"/>
      <c r="W858" s="251"/>
      <c r="X858" s="251"/>
      <c r="Y858" s="251"/>
      <c r="Z858" s="251"/>
      <c r="AA858" s="251"/>
      <c r="AB858" s="251"/>
    </row>
    <row r="859" ht="14.25" customHeight="1">
      <c r="A859" s="460"/>
      <c r="B859" s="108"/>
      <c r="C859" s="450" t="s">
        <v>13448</v>
      </c>
      <c r="D859" s="297" t="s">
        <v>271</v>
      </c>
      <c r="E859" s="450" t="s">
        <v>5</v>
      </c>
      <c r="F859" s="451" t="s">
        <v>13449</v>
      </c>
      <c r="G859" s="451" t="s">
        <v>13450</v>
      </c>
      <c r="H859" s="451" t="s">
        <v>13451</v>
      </c>
      <c r="I859" s="258" t="s">
        <v>36</v>
      </c>
      <c r="J859" s="251"/>
      <c r="K859" s="251"/>
      <c r="L859" s="251"/>
      <c r="M859" s="251"/>
      <c r="N859" s="251"/>
      <c r="O859" s="251"/>
      <c r="P859" s="251"/>
      <c r="Q859" s="251"/>
      <c r="R859" s="251"/>
      <c r="S859" s="251"/>
      <c r="T859" s="251"/>
      <c r="U859" s="251"/>
      <c r="V859" s="251"/>
      <c r="W859" s="251"/>
      <c r="X859" s="251"/>
      <c r="Y859" s="251"/>
      <c r="Z859" s="251"/>
      <c r="AA859" s="251"/>
      <c r="AB859" s="251"/>
    </row>
    <row r="860" ht="14.25" customHeight="1">
      <c r="A860" s="460"/>
      <c r="B860" s="108"/>
      <c r="C860" s="450" t="s">
        <v>13452</v>
      </c>
      <c r="D860" s="297" t="s">
        <v>271</v>
      </c>
      <c r="E860" s="450" t="s">
        <v>5</v>
      </c>
      <c r="F860" s="451" t="s">
        <v>13453</v>
      </c>
      <c r="G860" s="451" t="s">
        <v>13454</v>
      </c>
      <c r="H860" s="451" t="s">
        <v>13455</v>
      </c>
      <c r="I860" s="258" t="s">
        <v>36</v>
      </c>
      <c r="J860" s="251"/>
      <c r="K860" s="251"/>
      <c r="L860" s="251"/>
      <c r="M860" s="251"/>
      <c r="N860" s="251"/>
      <c r="O860" s="251"/>
      <c r="P860" s="251"/>
      <c r="Q860" s="251"/>
      <c r="R860" s="251"/>
      <c r="S860" s="251"/>
      <c r="T860" s="251"/>
      <c r="U860" s="251"/>
      <c r="V860" s="251"/>
      <c r="W860" s="251"/>
      <c r="X860" s="251"/>
      <c r="Y860" s="251"/>
      <c r="Z860" s="251"/>
      <c r="AA860" s="251"/>
      <c r="AB860" s="251"/>
    </row>
    <row r="861" ht="14.25" customHeight="1">
      <c r="A861" s="460"/>
      <c r="B861" s="108"/>
      <c r="C861" s="450" t="s">
        <v>13456</v>
      </c>
      <c r="D861" s="297" t="s">
        <v>271</v>
      </c>
      <c r="E861" s="450" t="s">
        <v>5</v>
      </c>
      <c r="F861" s="451" t="s">
        <v>13457</v>
      </c>
      <c r="G861" s="451" t="s">
        <v>13458</v>
      </c>
      <c r="H861" s="451" t="s">
        <v>13459</v>
      </c>
      <c r="I861" s="258" t="s">
        <v>36</v>
      </c>
      <c r="J861" s="251"/>
      <c r="K861" s="251"/>
      <c r="L861" s="251"/>
      <c r="M861" s="251"/>
      <c r="N861" s="251"/>
      <c r="O861" s="251"/>
      <c r="P861" s="251"/>
      <c r="Q861" s="251"/>
      <c r="R861" s="251"/>
      <c r="S861" s="251"/>
      <c r="T861" s="251"/>
      <c r="U861" s="251"/>
      <c r="V861" s="251"/>
      <c r="W861" s="251"/>
      <c r="X861" s="251"/>
      <c r="Y861" s="251"/>
      <c r="Z861" s="251"/>
      <c r="AA861" s="251"/>
      <c r="AB861" s="251"/>
    </row>
    <row r="862" ht="14.25" customHeight="1">
      <c r="A862" s="460"/>
      <c r="B862" s="108"/>
      <c r="C862" s="450" t="s">
        <v>13460</v>
      </c>
      <c r="D862" s="297" t="s">
        <v>271</v>
      </c>
      <c r="E862" s="450" t="s">
        <v>5</v>
      </c>
      <c r="F862" s="451" t="s">
        <v>13461</v>
      </c>
      <c r="G862" s="451" t="s">
        <v>13462</v>
      </c>
      <c r="H862" s="451" t="s">
        <v>13463</v>
      </c>
      <c r="I862" s="258" t="s">
        <v>36</v>
      </c>
      <c r="J862" s="251"/>
      <c r="K862" s="251"/>
      <c r="L862" s="251"/>
      <c r="M862" s="251"/>
      <c r="N862" s="251"/>
      <c r="O862" s="251"/>
      <c r="P862" s="251"/>
      <c r="Q862" s="251"/>
      <c r="R862" s="251"/>
      <c r="S862" s="251"/>
      <c r="T862" s="251"/>
      <c r="U862" s="251"/>
      <c r="V862" s="251"/>
      <c r="W862" s="251"/>
      <c r="X862" s="251"/>
      <c r="Y862" s="251"/>
      <c r="Z862" s="251"/>
      <c r="AA862" s="251"/>
      <c r="AB862" s="251"/>
    </row>
    <row r="863" ht="14.25" customHeight="1">
      <c r="A863" s="460"/>
      <c r="B863" s="108"/>
      <c r="C863" s="450" t="s">
        <v>13464</v>
      </c>
      <c r="D863" s="297" t="s">
        <v>271</v>
      </c>
      <c r="E863" s="450" t="s">
        <v>5</v>
      </c>
      <c r="F863" s="451" t="s">
        <v>13465</v>
      </c>
      <c r="G863" s="451" t="s">
        <v>13466</v>
      </c>
      <c r="H863" s="451" t="s">
        <v>13467</v>
      </c>
      <c r="I863" s="258" t="s">
        <v>36</v>
      </c>
      <c r="J863" s="251"/>
      <c r="K863" s="251"/>
      <c r="L863" s="251"/>
      <c r="M863" s="251"/>
      <c r="N863" s="251"/>
      <c r="O863" s="251"/>
      <c r="P863" s="251"/>
      <c r="Q863" s="251"/>
      <c r="R863" s="251"/>
      <c r="S863" s="251"/>
      <c r="T863" s="251"/>
      <c r="U863" s="251"/>
      <c r="V863" s="251"/>
      <c r="W863" s="251"/>
      <c r="X863" s="251"/>
      <c r="Y863" s="251"/>
      <c r="Z863" s="251"/>
      <c r="AA863" s="251"/>
      <c r="AB863" s="251"/>
    </row>
    <row r="864" ht="14.25" customHeight="1">
      <c r="A864" s="460"/>
      <c r="B864" s="108"/>
      <c r="C864" s="450" t="s">
        <v>13468</v>
      </c>
      <c r="D864" s="297" t="s">
        <v>271</v>
      </c>
      <c r="E864" s="450" t="s">
        <v>5</v>
      </c>
      <c r="F864" s="451" t="s">
        <v>13469</v>
      </c>
      <c r="G864" s="451" t="s">
        <v>13470</v>
      </c>
      <c r="H864" s="451" t="s">
        <v>13471</v>
      </c>
      <c r="I864" s="258" t="s">
        <v>36</v>
      </c>
      <c r="J864" s="251"/>
      <c r="K864" s="251"/>
      <c r="L864" s="251"/>
      <c r="M864" s="251"/>
      <c r="N864" s="251"/>
      <c r="O864" s="251"/>
      <c r="P864" s="251"/>
      <c r="Q864" s="251"/>
      <c r="R864" s="251"/>
      <c r="S864" s="251"/>
      <c r="T864" s="251"/>
      <c r="U864" s="251"/>
      <c r="V864" s="251"/>
      <c r="W864" s="251"/>
      <c r="X864" s="251"/>
      <c r="Y864" s="251"/>
      <c r="Z864" s="251"/>
      <c r="AA864" s="251"/>
      <c r="AB864" s="251"/>
    </row>
    <row r="865" ht="14.25" customHeight="1">
      <c r="A865" s="460"/>
      <c r="B865" s="108"/>
      <c r="C865" s="450" t="s">
        <v>13472</v>
      </c>
      <c r="D865" s="297" t="s">
        <v>271</v>
      </c>
      <c r="E865" s="450" t="s">
        <v>5</v>
      </c>
      <c r="F865" s="451" t="s">
        <v>13473</v>
      </c>
      <c r="G865" s="451" t="s">
        <v>13474</v>
      </c>
      <c r="H865" s="451" t="s">
        <v>13475</v>
      </c>
      <c r="I865" s="258" t="s">
        <v>36</v>
      </c>
      <c r="J865" s="251"/>
      <c r="K865" s="251"/>
      <c r="L865" s="251"/>
      <c r="M865" s="251"/>
      <c r="N865" s="251"/>
      <c r="O865" s="251"/>
      <c r="P865" s="251"/>
      <c r="Q865" s="251"/>
      <c r="R865" s="251"/>
      <c r="S865" s="251"/>
      <c r="T865" s="251"/>
      <c r="U865" s="251"/>
      <c r="V865" s="251"/>
      <c r="W865" s="251"/>
      <c r="X865" s="251"/>
      <c r="Y865" s="251"/>
      <c r="Z865" s="251"/>
      <c r="AA865" s="251"/>
      <c r="AB865" s="251"/>
    </row>
    <row r="866" ht="14.25" customHeight="1">
      <c r="A866" s="460"/>
      <c r="B866" s="108"/>
      <c r="C866" s="450" t="s">
        <v>13476</v>
      </c>
      <c r="D866" s="297" t="s">
        <v>271</v>
      </c>
      <c r="E866" s="450" t="s">
        <v>5</v>
      </c>
      <c r="F866" s="451" t="s">
        <v>13477</v>
      </c>
      <c r="G866" s="451" t="s">
        <v>13478</v>
      </c>
      <c r="H866" s="451" t="s">
        <v>13479</v>
      </c>
      <c r="I866" s="258" t="s">
        <v>36</v>
      </c>
      <c r="J866" s="251"/>
      <c r="K866" s="251"/>
      <c r="L866" s="251"/>
      <c r="M866" s="251"/>
      <c r="N866" s="251"/>
      <c r="O866" s="251"/>
      <c r="P866" s="251"/>
      <c r="Q866" s="251"/>
      <c r="R866" s="251"/>
      <c r="S866" s="251"/>
      <c r="T866" s="251"/>
      <c r="U866" s="251"/>
      <c r="V866" s="251"/>
      <c r="W866" s="251"/>
      <c r="X866" s="251"/>
      <c r="Y866" s="251"/>
      <c r="Z866" s="251"/>
      <c r="AA866" s="251"/>
      <c r="AB866" s="251"/>
    </row>
    <row r="867" ht="14.25" customHeight="1">
      <c r="A867" s="460"/>
      <c r="B867" s="108"/>
      <c r="C867" s="450" t="s">
        <v>13480</v>
      </c>
      <c r="D867" s="297" t="s">
        <v>271</v>
      </c>
      <c r="E867" s="450" t="s">
        <v>5</v>
      </c>
      <c r="F867" s="451" t="s">
        <v>13481</v>
      </c>
      <c r="G867" s="451" t="s">
        <v>13482</v>
      </c>
      <c r="H867" s="451" t="s">
        <v>13483</v>
      </c>
      <c r="I867" s="258" t="s">
        <v>36</v>
      </c>
      <c r="J867" s="251"/>
      <c r="K867" s="251"/>
      <c r="L867" s="251"/>
      <c r="M867" s="251"/>
      <c r="N867" s="251"/>
      <c r="O867" s="251"/>
      <c r="P867" s="251"/>
      <c r="Q867" s="251"/>
      <c r="R867" s="251"/>
      <c r="S867" s="251"/>
      <c r="T867" s="251"/>
      <c r="U867" s="251"/>
      <c r="V867" s="251"/>
      <c r="W867" s="251"/>
      <c r="X867" s="251"/>
      <c r="Y867" s="251"/>
      <c r="Z867" s="251"/>
      <c r="AA867" s="251"/>
      <c r="AB867" s="251"/>
    </row>
    <row r="868" ht="14.25" customHeight="1">
      <c r="A868" s="460"/>
      <c r="B868" s="108"/>
      <c r="C868" s="450" t="s">
        <v>13484</v>
      </c>
      <c r="D868" s="297" t="s">
        <v>271</v>
      </c>
      <c r="E868" s="450" t="s">
        <v>5</v>
      </c>
      <c r="F868" s="451" t="s">
        <v>13485</v>
      </c>
      <c r="G868" s="451" t="s">
        <v>13486</v>
      </c>
      <c r="H868" s="451" t="s">
        <v>13487</v>
      </c>
      <c r="I868" s="258" t="s">
        <v>36</v>
      </c>
      <c r="J868" s="251"/>
      <c r="K868" s="251"/>
      <c r="L868" s="251"/>
      <c r="M868" s="251"/>
      <c r="N868" s="251"/>
      <c r="O868" s="251"/>
      <c r="P868" s="251"/>
      <c r="Q868" s="251"/>
      <c r="R868" s="251"/>
      <c r="S868" s="251"/>
      <c r="T868" s="251"/>
      <c r="U868" s="251"/>
      <c r="V868" s="251"/>
      <c r="W868" s="251"/>
      <c r="X868" s="251"/>
      <c r="Y868" s="251"/>
      <c r="Z868" s="251"/>
      <c r="AA868" s="251"/>
      <c r="AB868" s="251"/>
    </row>
    <row r="869" ht="14.25" customHeight="1">
      <c r="A869" s="460"/>
      <c r="B869" s="108"/>
      <c r="C869" s="450" t="s">
        <v>13488</v>
      </c>
      <c r="D869" s="297" t="s">
        <v>271</v>
      </c>
      <c r="E869" s="450" t="s">
        <v>5</v>
      </c>
      <c r="F869" s="451" t="s">
        <v>13489</v>
      </c>
      <c r="G869" s="451" t="s">
        <v>13490</v>
      </c>
      <c r="H869" s="451" t="s">
        <v>13491</v>
      </c>
      <c r="I869" s="258" t="s">
        <v>36</v>
      </c>
      <c r="J869" s="251"/>
      <c r="K869" s="251"/>
      <c r="L869" s="251"/>
      <c r="M869" s="251"/>
      <c r="N869" s="251"/>
      <c r="O869" s="251"/>
      <c r="P869" s="251"/>
      <c r="Q869" s="251"/>
      <c r="R869" s="251"/>
      <c r="S869" s="251"/>
      <c r="T869" s="251"/>
      <c r="U869" s="251"/>
      <c r="V869" s="251"/>
      <c r="W869" s="251"/>
      <c r="X869" s="251"/>
      <c r="Y869" s="251"/>
      <c r="Z869" s="251"/>
      <c r="AA869" s="251"/>
      <c r="AB869" s="251"/>
    </row>
    <row r="870" ht="14.25" customHeight="1">
      <c r="A870" s="460"/>
      <c r="B870" s="108"/>
      <c r="C870" s="450" t="s">
        <v>13492</v>
      </c>
      <c r="D870" s="297" t="s">
        <v>271</v>
      </c>
      <c r="E870" s="450" t="s">
        <v>5</v>
      </c>
      <c r="F870" s="451" t="s">
        <v>13493</v>
      </c>
      <c r="G870" s="451" t="s">
        <v>13494</v>
      </c>
      <c r="H870" s="451" t="s">
        <v>13495</v>
      </c>
      <c r="I870" s="258" t="s">
        <v>36</v>
      </c>
      <c r="J870" s="251"/>
      <c r="K870" s="251"/>
      <c r="L870" s="251"/>
      <c r="M870" s="251"/>
      <c r="N870" s="251"/>
      <c r="O870" s="251"/>
      <c r="P870" s="251"/>
      <c r="Q870" s="251"/>
      <c r="R870" s="251"/>
      <c r="S870" s="251"/>
      <c r="T870" s="251"/>
      <c r="U870" s="251"/>
      <c r="V870" s="251"/>
      <c r="W870" s="251"/>
      <c r="X870" s="251"/>
      <c r="Y870" s="251"/>
      <c r="Z870" s="251"/>
      <c r="AA870" s="251"/>
      <c r="AB870" s="251"/>
    </row>
    <row r="871" ht="14.25" customHeight="1">
      <c r="A871" s="460"/>
      <c r="B871" s="108"/>
      <c r="C871" s="450" t="s">
        <v>13496</v>
      </c>
      <c r="D871" s="297" t="s">
        <v>271</v>
      </c>
      <c r="E871" s="450" t="s">
        <v>5</v>
      </c>
      <c r="F871" s="451" t="s">
        <v>13497</v>
      </c>
      <c r="G871" s="451" t="s">
        <v>13498</v>
      </c>
      <c r="H871" s="451" t="s">
        <v>13499</v>
      </c>
      <c r="I871" s="258" t="s">
        <v>36</v>
      </c>
      <c r="J871" s="251"/>
      <c r="K871" s="251"/>
      <c r="L871" s="251"/>
      <c r="M871" s="251"/>
      <c r="N871" s="251"/>
      <c r="O871" s="251"/>
      <c r="P871" s="251"/>
      <c r="Q871" s="251"/>
      <c r="R871" s="251"/>
      <c r="S871" s="251"/>
      <c r="T871" s="251"/>
      <c r="U871" s="251"/>
      <c r="V871" s="251"/>
      <c r="W871" s="251"/>
      <c r="X871" s="251"/>
      <c r="Y871" s="251"/>
      <c r="Z871" s="251"/>
      <c r="AA871" s="251"/>
      <c r="AB871" s="251"/>
    </row>
    <row r="872" ht="14.25" customHeight="1">
      <c r="A872" s="460"/>
      <c r="B872" s="108"/>
      <c r="C872" s="450" t="s">
        <v>13500</v>
      </c>
      <c r="D872" s="297" t="s">
        <v>271</v>
      </c>
      <c r="E872" s="450" t="s">
        <v>5</v>
      </c>
      <c r="F872" s="451" t="s">
        <v>13501</v>
      </c>
      <c r="G872" s="451" t="s">
        <v>13502</v>
      </c>
      <c r="H872" s="451" t="s">
        <v>13503</v>
      </c>
      <c r="I872" s="258" t="s">
        <v>36</v>
      </c>
      <c r="J872" s="251"/>
      <c r="K872" s="251"/>
      <c r="L872" s="251"/>
      <c r="M872" s="251"/>
      <c r="N872" s="251"/>
      <c r="O872" s="251"/>
      <c r="P872" s="251"/>
      <c r="Q872" s="251"/>
      <c r="R872" s="251"/>
      <c r="S872" s="251"/>
      <c r="T872" s="251"/>
      <c r="U872" s="251"/>
      <c r="V872" s="251"/>
      <c r="W872" s="251"/>
      <c r="X872" s="251"/>
      <c r="Y872" s="251"/>
      <c r="Z872" s="251"/>
      <c r="AA872" s="251"/>
      <c r="AB872" s="251"/>
    </row>
    <row r="873" ht="14.25" customHeight="1">
      <c r="A873" s="460"/>
      <c r="B873" s="108"/>
      <c r="C873" s="450" t="s">
        <v>13504</v>
      </c>
      <c r="D873" s="297" t="s">
        <v>271</v>
      </c>
      <c r="E873" s="450" t="s">
        <v>5</v>
      </c>
      <c r="F873" s="451" t="s">
        <v>13505</v>
      </c>
      <c r="G873" s="451" t="s">
        <v>13506</v>
      </c>
      <c r="H873" s="451" t="s">
        <v>13507</v>
      </c>
      <c r="I873" s="258" t="s">
        <v>36</v>
      </c>
      <c r="J873" s="251"/>
      <c r="K873" s="251"/>
      <c r="L873" s="251"/>
      <c r="M873" s="251"/>
      <c r="N873" s="251"/>
      <c r="O873" s="251"/>
      <c r="P873" s="251"/>
      <c r="Q873" s="251"/>
      <c r="R873" s="251"/>
      <c r="S873" s="251"/>
      <c r="T873" s="251"/>
      <c r="U873" s="251"/>
      <c r="V873" s="251"/>
      <c r="W873" s="251"/>
      <c r="X873" s="251"/>
      <c r="Y873" s="251"/>
      <c r="Z873" s="251"/>
      <c r="AA873" s="251"/>
      <c r="AB873" s="251"/>
    </row>
    <row r="874" ht="14.25" customHeight="1">
      <c r="A874" s="460"/>
      <c r="B874" s="108"/>
      <c r="C874" s="450" t="s">
        <v>13508</v>
      </c>
      <c r="D874" s="297" t="s">
        <v>271</v>
      </c>
      <c r="E874" s="450" t="s">
        <v>5</v>
      </c>
      <c r="F874" s="451" t="s">
        <v>13509</v>
      </c>
      <c r="G874" s="451" t="s">
        <v>13510</v>
      </c>
      <c r="H874" s="451" t="s">
        <v>13511</v>
      </c>
      <c r="I874" s="258" t="s">
        <v>36</v>
      </c>
      <c r="J874" s="251"/>
      <c r="K874" s="251"/>
      <c r="L874" s="251"/>
      <c r="M874" s="251"/>
      <c r="N874" s="251"/>
      <c r="O874" s="251"/>
      <c r="P874" s="251"/>
      <c r="Q874" s="251"/>
      <c r="R874" s="251"/>
      <c r="S874" s="251"/>
      <c r="T874" s="251"/>
      <c r="U874" s="251"/>
      <c r="V874" s="251"/>
      <c r="W874" s="251"/>
      <c r="X874" s="251"/>
      <c r="Y874" s="251"/>
      <c r="Z874" s="251"/>
      <c r="AA874" s="251"/>
      <c r="AB874" s="251"/>
    </row>
    <row r="875" ht="14.25" customHeight="1">
      <c r="A875" s="460"/>
      <c r="B875" s="108"/>
      <c r="C875" s="450" t="s">
        <v>13512</v>
      </c>
      <c r="D875" s="297" t="s">
        <v>271</v>
      </c>
      <c r="E875" s="450" t="s">
        <v>5</v>
      </c>
      <c r="F875" s="451" t="s">
        <v>13513</v>
      </c>
      <c r="G875" s="451" t="s">
        <v>13514</v>
      </c>
      <c r="H875" s="451" t="s">
        <v>13515</v>
      </c>
      <c r="I875" s="258" t="s">
        <v>36</v>
      </c>
      <c r="J875" s="251"/>
      <c r="K875" s="251"/>
      <c r="L875" s="251"/>
      <c r="M875" s="251"/>
      <c r="N875" s="251"/>
      <c r="O875" s="251"/>
      <c r="P875" s="251"/>
      <c r="Q875" s="251"/>
      <c r="R875" s="251"/>
      <c r="S875" s="251"/>
      <c r="T875" s="251"/>
      <c r="U875" s="251"/>
      <c r="V875" s="251"/>
      <c r="W875" s="251"/>
      <c r="X875" s="251"/>
      <c r="Y875" s="251"/>
      <c r="Z875" s="251"/>
      <c r="AA875" s="251"/>
      <c r="AB875" s="251"/>
    </row>
    <row r="876" ht="14.25" customHeight="1">
      <c r="A876" s="460"/>
      <c r="B876" s="108"/>
      <c r="C876" s="450" t="s">
        <v>13516</v>
      </c>
      <c r="D876" s="297" t="s">
        <v>271</v>
      </c>
      <c r="E876" s="450" t="s">
        <v>5</v>
      </c>
      <c r="F876" s="451" t="s">
        <v>13517</v>
      </c>
      <c r="G876" s="451" t="s">
        <v>13518</v>
      </c>
      <c r="H876" s="451" t="s">
        <v>12441</v>
      </c>
      <c r="I876" s="258" t="s">
        <v>36</v>
      </c>
      <c r="J876" s="251"/>
      <c r="K876" s="251"/>
      <c r="L876" s="251"/>
      <c r="M876" s="251"/>
      <c r="N876" s="251"/>
      <c r="O876" s="251"/>
      <c r="P876" s="251"/>
      <c r="Q876" s="251"/>
      <c r="R876" s="251"/>
      <c r="S876" s="251"/>
      <c r="T876" s="251"/>
      <c r="U876" s="251"/>
      <c r="V876" s="251"/>
      <c r="W876" s="251"/>
      <c r="X876" s="251"/>
      <c r="Y876" s="251"/>
      <c r="Z876" s="251"/>
      <c r="AA876" s="251"/>
      <c r="AB876" s="251"/>
    </row>
    <row r="877" ht="14.25" customHeight="1">
      <c r="A877" s="460"/>
      <c r="B877" s="108"/>
      <c r="C877" s="450" t="s">
        <v>13519</v>
      </c>
      <c r="D877" s="297" t="s">
        <v>271</v>
      </c>
      <c r="E877" s="450" t="s">
        <v>5</v>
      </c>
      <c r="F877" s="451" t="s">
        <v>13520</v>
      </c>
      <c r="G877" s="451" t="s">
        <v>13521</v>
      </c>
      <c r="H877" s="451" t="s">
        <v>13503</v>
      </c>
      <c r="I877" s="258" t="s">
        <v>36</v>
      </c>
      <c r="J877" s="251"/>
      <c r="K877" s="251"/>
      <c r="L877" s="251"/>
      <c r="M877" s="251"/>
      <c r="N877" s="251"/>
      <c r="O877" s="251"/>
      <c r="P877" s="251"/>
      <c r="Q877" s="251"/>
      <c r="R877" s="251"/>
      <c r="S877" s="251"/>
      <c r="T877" s="251"/>
      <c r="U877" s="251"/>
      <c r="V877" s="251"/>
      <c r="W877" s="251"/>
      <c r="X877" s="251"/>
      <c r="Y877" s="251"/>
      <c r="Z877" s="251"/>
      <c r="AA877" s="251"/>
      <c r="AB877" s="251"/>
    </row>
    <row r="878" ht="14.25" customHeight="1">
      <c r="A878" s="460"/>
      <c r="B878" s="108"/>
      <c r="C878" s="450" t="s">
        <v>13522</v>
      </c>
      <c r="D878" s="297" t="s">
        <v>271</v>
      </c>
      <c r="E878" s="450" t="s">
        <v>5</v>
      </c>
      <c r="F878" s="451" t="s">
        <v>13523</v>
      </c>
      <c r="G878" s="451" t="s">
        <v>13524</v>
      </c>
      <c r="H878" s="451" t="s">
        <v>13507</v>
      </c>
      <c r="I878" s="258" t="s">
        <v>36</v>
      </c>
      <c r="J878" s="251"/>
      <c r="K878" s="251"/>
      <c r="L878" s="251"/>
      <c r="M878" s="251"/>
      <c r="N878" s="251"/>
      <c r="O878" s="251"/>
      <c r="P878" s="251"/>
      <c r="Q878" s="251"/>
      <c r="R878" s="251"/>
      <c r="S878" s="251"/>
      <c r="T878" s="251"/>
      <c r="U878" s="251"/>
      <c r="V878" s="251"/>
      <c r="W878" s="251"/>
      <c r="X878" s="251"/>
      <c r="Y878" s="251"/>
      <c r="Z878" s="251"/>
      <c r="AA878" s="251"/>
      <c r="AB878" s="251"/>
    </row>
    <row r="879" ht="14.25" customHeight="1">
      <c r="A879" s="460"/>
      <c r="B879" s="108"/>
      <c r="C879" s="450" t="s">
        <v>13525</v>
      </c>
      <c r="D879" s="297" t="s">
        <v>271</v>
      </c>
      <c r="E879" s="450" t="s">
        <v>5</v>
      </c>
      <c r="F879" s="451" t="s">
        <v>13526</v>
      </c>
      <c r="G879" s="451" t="s">
        <v>13527</v>
      </c>
      <c r="H879" s="451" t="s">
        <v>13511</v>
      </c>
      <c r="I879" s="258" t="s">
        <v>36</v>
      </c>
      <c r="J879" s="251"/>
      <c r="K879" s="251"/>
      <c r="L879" s="251"/>
      <c r="M879" s="251"/>
      <c r="N879" s="251"/>
      <c r="O879" s="251"/>
      <c r="P879" s="251"/>
      <c r="Q879" s="251"/>
      <c r="R879" s="251"/>
      <c r="S879" s="251"/>
      <c r="T879" s="251"/>
      <c r="U879" s="251"/>
      <c r="V879" s="251"/>
      <c r="W879" s="251"/>
      <c r="X879" s="251"/>
      <c r="Y879" s="251"/>
      <c r="Z879" s="251"/>
      <c r="AA879" s="251"/>
      <c r="AB879" s="251"/>
    </row>
    <row r="880" ht="14.25" customHeight="1">
      <c r="A880" s="460"/>
      <c r="B880" s="108"/>
      <c r="C880" s="450" t="s">
        <v>13528</v>
      </c>
      <c r="D880" s="297" t="s">
        <v>271</v>
      </c>
      <c r="E880" s="450" t="s">
        <v>5</v>
      </c>
      <c r="F880" s="451" t="s">
        <v>13529</v>
      </c>
      <c r="G880" s="451" t="s">
        <v>13530</v>
      </c>
      <c r="H880" s="451" t="s">
        <v>13515</v>
      </c>
      <c r="I880" s="258" t="s">
        <v>36</v>
      </c>
      <c r="J880" s="251"/>
      <c r="K880" s="251"/>
      <c r="L880" s="251"/>
      <c r="M880" s="251"/>
      <c r="N880" s="251"/>
      <c r="O880" s="251"/>
      <c r="P880" s="251"/>
      <c r="Q880" s="251"/>
      <c r="R880" s="251"/>
      <c r="S880" s="251"/>
      <c r="T880" s="251"/>
      <c r="U880" s="251"/>
      <c r="V880" s="251"/>
      <c r="W880" s="251"/>
      <c r="X880" s="251"/>
      <c r="Y880" s="251"/>
      <c r="Z880" s="251"/>
      <c r="AA880" s="251"/>
      <c r="AB880" s="251"/>
    </row>
    <row r="881" ht="14.25" customHeight="1">
      <c r="A881" s="460"/>
      <c r="B881" s="108"/>
      <c r="C881" s="450" t="s">
        <v>13531</v>
      </c>
      <c r="D881" s="297" t="s">
        <v>271</v>
      </c>
      <c r="E881" s="450" t="s">
        <v>5</v>
      </c>
      <c r="F881" s="451" t="s">
        <v>13532</v>
      </c>
      <c r="G881" s="451" t="s">
        <v>13533</v>
      </c>
      <c r="H881" s="451" t="s">
        <v>13534</v>
      </c>
      <c r="I881" s="258" t="s">
        <v>36</v>
      </c>
      <c r="J881" s="251"/>
      <c r="K881" s="251"/>
      <c r="L881" s="251"/>
      <c r="M881" s="251"/>
      <c r="N881" s="251"/>
      <c r="O881" s="251"/>
      <c r="P881" s="251"/>
      <c r="Q881" s="251"/>
      <c r="R881" s="251"/>
      <c r="S881" s="251"/>
      <c r="T881" s="251"/>
      <c r="U881" s="251"/>
      <c r="V881" s="251"/>
      <c r="W881" s="251"/>
      <c r="X881" s="251"/>
      <c r="Y881" s="251"/>
      <c r="Z881" s="251"/>
      <c r="AA881" s="251"/>
      <c r="AB881" s="251"/>
    </row>
    <row r="882" ht="14.25" customHeight="1">
      <c r="A882" s="460"/>
      <c r="B882" s="108"/>
      <c r="C882" s="450" t="s">
        <v>13535</v>
      </c>
      <c r="D882" s="297" t="s">
        <v>271</v>
      </c>
      <c r="E882" s="450" t="s">
        <v>5</v>
      </c>
      <c r="F882" s="451" t="s">
        <v>13536</v>
      </c>
      <c r="G882" s="451" t="s">
        <v>13537</v>
      </c>
      <c r="H882" s="451" t="s">
        <v>13538</v>
      </c>
      <c r="I882" s="258" t="s">
        <v>36</v>
      </c>
      <c r="J882" s="251"/>
      <c r="K882" s="251"/>
      <c r="L882" s="251"/>
      <c r="M882" s="251"/>
      <c r="N882" s="251"/>
      <c r="O882" s="251"/>
      <c r="P882" s="251"/>
      <c r="Q882" s="251"/>
      <c r="R882" s="251"/>
      <c r="S882" s="251"/>
      <c r="T882" s="251"/>
      <c r="U882" s="251"/>
      <c r="V882" s="251"/>
      <c r="W882" s="251"/>
      <c r="X882" s="251"/>
      <c r="Y882" s="251"/>
      <c r="Z882" s="251"/>
      <c r="AA882" s="251"/>
      <c r="AB882" s="251"/>
    </row>
    <row r="883" ht="14.25" customHeight="1">
      <c r="A883" s="460"/>
      <c r="B883" s="108"/>
      <c r="C883" s="450" t="s">
        <v>13539</v>
      </c>
      <c r="D883" s="297" t="s">
        <v>271</v>
      </c>
      <c r="E883" s="450" t="s">
        <v>5</v>
      </c>
      <c r="F883" s="451" t="s">
        <v>13540</v>
      </c>
      <c r="G883" s="451" t="s">
        <v>13541</v>
      </c>
      <c r="H883" s="451" t="s">
        <v>13542</v>
      </c>
      <c r="I883" s="258" t="s">
        <v>36</v>
      </c>
      <c r="J883" s="251"/>
      <c r="K883" s="251"/>
      <c r="L883" s="251"/>
      <c r="M883" s="251"/>
      <c r="N883" s="251"/>
      <c r="O883" s="251"/>
      <c r="P883" s="251"/>
      <c r="Q883" s="251"/>
      <c r="R883" s="251"/>
      <c r="S883" s="251"/>
      <c r="T883" s="251"/>
      <c r="U883" s="251"/>
      <c r="V883" s="251"/>
      <c r="W883" s="251"/>
      <c r="X883" s="251"/>
      <c r="Y883" s="251"/>
      <c r="Z883" s="251"/>
      <c r="AA883" s="251"/>
      <c r="AB883" s="251"/>
    </row>
    <row r="884" ht="14.25" customHeight="1">
      <c r="A884" s="460"/>
      <c r="B884" s="108"/>
      <c r="C884" s="450" t="s">
        <v>13543</v>
      </c>
      <c r="D884" s="297" t="s">
        <v>271</v>
      </c>
      <c r="E884" s="450" t="s">
        <v>5</v>
      </c>
      <c r="F884" s="451" t="s">
        <v>13544</v>
      </c>
      <c r="G884" s="451" t="s">
        <v>13545</v>
      </c>
      <c r="H884" s="451" t="s">
        <v>13546</v>
      </c>
      <c r="I884" s="258" t="s">
        <v>36</v>
      </c>
      <c r="J884" s="251"/>
      <c r="K884" s="251"/>
      <c r="L884" s="251"/>
      <c r="M884" s="251"/>
      <c r="N884" s="251"/>
      <c r="O884" s="251"/>
      <c r="P884" s="251"/>
      <c r="Q884" s="251"/>
      <c r="R884" s="251"/>
      <c r="S884" s="251"/>
      <c r="T884" s="251"/>
      <c r="U884" s="251"/>
      <c r="V884" s="251"/>
      <c r="W884" s="251"/>
      <c r="X884" s="251"/>
      <c r="Y884" s="251"/>
      <c r="Z884" s="251"/>
      <c r="AA884" s="251"/>
      <c r="AB884" s="251"/>
    </row>
    <row r="885" ht="14.25" customHeight="1">
      <c r="A885" s="460"/>
      <c r="B885" s="108"/>
      <c r="C885" s="450" t="s">
        <v>13547</v>
      </c>
      <c r="D885" s="297" t="s">
        <v>271</v>
      </c>
      <c r="E885" s="450" t="s">
        <v>5</v>
      </c>
      <c r="F885" s="451" t="s">
        <v>13548</v>
      </c>
      <c r="G885" s="451" t="s">
        <v>13549</v>
      </c>
      <c r="H885" s="451" t="s">
        <v>13550</v>
      </c>
      <c r="I885" s="258" t="s">
        <v>36</v>
      </c>
      <c r="J885" s="251"/>
      <c r="K885" s="251"/>
      <c r="L885" s="251"/>
      <c r="M885" s="251"/>
      <c r="N885" s="251"/>
      <c r="O885" s="251"/>
      <c r="P885" s="251"/>
      <c r="Q885" s="251"/>
      <c r="R885" s="251"/>
      <c r="S885" s="251"/>
      <c r="T885" s="251"/>
      <c r="U885" s="251"/>
      <c r="V885" s="251"/>
      <c r="W885" s="251"/>
      <c r="X885" s="251"/>
      <c r="Y885" s="251"/>
      <c r="Z885" s="251"/>
      <c r="AA885" s="251"/>
      <c r="AB885" s="251"/>
    </row>
    <row r="886" ht="14.25" customHeight="1">
      <c r="A886" s="460"/>
      <c r="B886" s="108"/>
      <c r="C886" s="450" t="s">
        <v>13551</v>
      </c>
      <c r="D886" s="297" t="s">
        <v>271</v>
      </c>
      <c r="E886" s="450" t="s">
        <v>5</v>
      </c>
      <c r="F886" s="462" t="s">
        <v>13552</v>
      </c>
      <c r="G886" s="451" t="s">
        <v>13553</v>
      </c>
      <c r="H886" s="462" t="s">
        <v>13554</v>
      </c>
      <c r="I886" s="258" t="s">
        <v>36</v>
      </c>
      <c r="J886" s="251"/>
      <c r="K886" s="251"/>
      <c r="L886" s="251"/>
      <c r="M886" s="251"/>
      <c r="N886" s="251"/>
      <c r="O886" s="251"/>
      <c r="P886" s="251"/>
      <c r="Q886" s="251"/>
      <c r="R886" s="251"/>
      <c r="S886" s="251"/>
      <c r="T886" s="251"/>
      <c r="U886" s="251"/>
      <c r="V886" s="251"/>
      <c r="W886" s="251"/>
      <c r="X886" s="251"/>
      <c r="Y886" s="251"/>
      <c r="Z886" s="251"/>
      <c r="AA886" s="251"/>
      <c r="AB886" s="251"/>
    </row>
    <row r="887" ht="14.25" customHeight="1">
      <c r="A887" s="460"/>
      <c r="B887" s="108"/>
      <c r="C887" s="450" t="s">
        <v>13555</v>
      </c>
      <c r="D887" s="297" t="s">
        <v>271</v>
      </c>
      <c r="E887" s="450" t="s">
        <v>5</v>
      </c>
      <c r="F887" s="451" t="s">
        <v>13556</v>
      </c>
      <c r="G887" s="451" t="s">
        <v>13557</v>
      </c>
      <c r="H887" s="451" t="s">
        <v>13180</v>
      </c>
      <c r="I887" s="258" t="s">
        <v>36</v>
      </c>
      <c r="J887" s="251"/>
      <c r="K887" s="251"/>
      <c r="L887" s="251"/>
      <c r="M887" s="251"/>
      <c r="N887" s="251"/>
      <c r="O887" s="251"/>
      <c r="P887" s="251"/>
      <c r="Q887" s="251"/>
      <c r="R887" s="251"/>
      <c r="S887" s="251"/>
      <c r="T887" s="251"/>
      <c r="U887" s="251"/>
      <c r="V887" s="251"/>
      <c r="W887" s="251"/>
      <c r="X887" s="251"/>
      <c r="Y887" s="251"/>
      <c r="Z887" s="251"/>
      <c r="AA887" s="251"/>
      <c r="AB887" s="251"/>
    </row>
    <row r="888" ht="14.25" customHeight="1">
      <c r="A888" s="460"/>
      <c r="B888" s="108"/>
      <c r="C888" s="450" t="s">
        <v>13558</v>
      </c>
      <c r="D888" s="297" t="s">
        <v>271</v>
      </c>
      <c r="E888" s="450" t="s">
        <v>5</v>
      </c>
      <c r="F888" s="451" t="s">
        <v>13559</v>
      </c>
      <c r="G888" s="451" t="s">
        <v>13557</v>
      </c>
      <c r="H888" s="451" t="s">
        <v>13180</v>
      </c>
      <c r="I888" s="258" t="s">
        <v>36</v>
      </c>
      <c r="J888" s="251"/>
      <c r="K888" s="251"/>
      <c r="L888" s="251"/>
      <c r="M888" s="251"/>
      <c r="N888" s="251"/>
      <c r="O888" s="251"/>
      <c r="P888" s="251"/>
      <c r="Q888" s="251"/>
      <c r="R888" s="251"/>
      <c r="S888" s="251"/>
      <c r="T888" s="251"/>
      <c r="U888" s="251"/>
      <c r="V888" s="251"/>
      <c r="W888" s="251"/>
      <c r="X888" s="251"/>
      <c r="Y888" s="251"/>
      <c r="Z888" s="251"/>
      <c r="AA888" s="251"/>
      <c r="AB888" s="251"/>
    </row>
    <row r="889" ht="14.25" customHeight="1">
      <c r="A889" s="460"/>
      <c r="B889" s="109"/>
      <c r="C889" s="450" t="s">
        <v>13560</v>
      </c>
      <c r="D889" s="297" t="s">
        <v>271</v>
      </c>
      <c r="E889" s="450" t="s">
        <v>5</v>
      </c>
      <c r="F889" s="451" t="s">
        <v>13561</v>
      </c>
      <c r="G889" s="451" t="s">
        <v>13557</v>
      </c>
      <c r="H889" s="451" t="s">
        <v>13180</v>
      </c>
      <c r="I889" s="258" t="s">
        <v>36</v>
      </c>
      <c r="J889" s="251"/>
      <c r="K889" s="251"/>
      <c r="L889" s="251"/>
      <c r="M889" s="251"/>
      <c r="N889" s="251"/>
      <c r="O889" s="251"/>
      <c r="P889" s="251"/>
      <c r="Q889" s="251"/>
      <c r="R889" s="251"/>
      <c r="S889" s="251"/>
      <c r="T889" s="251"/>
      <c r="U889" s="251"/>
      <c r="V889" s="251"/>
      <c r="W889" s="251"/>
      <c r="X889" s="251"/>
      <c r="Y889" s="251"/>
      <c r="Z889" s="251"/>
      <c r="AA889" s="251"/>
      <c r="AB889" s="251"/>
    </row>
    <row r="890" ht="14.25" customHeight="1">
      <c r="A890" s="460"/>
      <c r="B890" s="463" t="s">
        <v>13562</v>
      </c>
      <c r="C890" s="450" t="s">
        <v>13563</v>
      </c>
      <c r="D890" s="297" t="s">
        <v>271</v>
      </c>
      <c r="E890" s="450" t="s">
        <v>5</v>
      </c>
      <c r="F890" s="451" t="s">
        <v>11912</v>
      </c>
      <c r="G890" s="451" t="s">
        <v>13564</v>
      </c>
      <c r="H890" s="451" t="s">
        <v>11914</v>
      </c>
      <c r="I890" s="258" t="s">
        <v>36</v>
      </c>
      <c r="J890" s="251"/>
      <c r="K890" s="251"/>
      <c r="L890" s="251"/>
      <c r="M890" s="251"/>
      <c r="N890" s="251"/>
      <c r="O890" s="251"/>
      <c r="P890" s="251"/>
      <c r="Q890" s="251"/>
      <c r="R890" s="251"/>
      <c r="S890" s="251"/>
      <c r="T890" s="251"/>
      <c r="U890" s="251"/>
      <c r="V890" s="251"/>
      <c r="W890" s="251"/>
      <c r="X890" s="251"/>
      <c r="Y890" s="251"/>
      <c r="Z890" s="251"/>
      <c r="AA890" s="251"/>
      <c r="AB890" s="251"/>
    </row>
    <row r="891" ht="14.25" customHeight="1">
      <c r="A891" s="460"/>
      <c r="B891" s="108"/>
      <c r="C891" s="450" t="s">
        <v>13565</v>
      </c>
      <c r="D891" s="297" t="s">
        <v>271</v>
      </c>
      <c r="E891" s="450" t="s">
        <v>5</v>
      </c>
      <c r="F891" s="451" t="s">
        <v>11916</v>
      </c>
      <c r="G891" s="451" t="s">
        <v>13566</v>
      </c>
      <c r="H891" s="451" t="s">
        <v>13567</v>
      </c>
      <c r="I891" s="258" t="s">
        <v>36</v>
      </c>
      <c r="J891" s="251"/>
      <c r="K891" s="251"/>
      <c r="L891" s="251"/>
      <c r="M891" s="251"/>
      <c r="N891" s="251"/>
      <c r="O891" s="251"/>
      <c r="P891" s="251"/>
      <c r="Q891" s="251"/>
      <c r="R891" s="251"/>
      <c r="S891" s="251"/>
      <c r="T891" s="251"/>
      <c r="U891" s="251"/>
      <c r="V891" s="251"/>
      <c r="W891" s="251"/>
      <c r="X891" s="251"/>
      <c r="Y891" s="251"/>
      <c r="Z891" s="251"/>
      <c r="AA891" s="251"/>
      <c r="AB891" s="251"/>
    </row>
    <row r="892" ht="14.25" customHeight="1">
      <c r="A892" s="460"/>
      <c r="B892" s="108"/>
      <c r="C892" s="450" t="s">
        <v>13568</v>
      </c>
      <c r="D892" s="297" t="s">
        <v>271</v>
      </c>
      <c r="E892" s="450" t="s">
        <v>5</v>
      </c>
      <c r="F892" s="451" t="s">
        <v>11920</v>
      </c>
      <c r="G892" s="451" t="s">
        <v>13569</v>
      </c>
      <c r="H892" s="451" t="s">
        <v>13570</v>
      </c>
      <c r="I892" s="258" t="s">
        <v>36</v>
      </c>
      <c r="J892" s="251"/>
      <c r="K892" s="251"/>
      <c r="L892" s="251"/>
      <c r="M892" s="251"/>
      <c r="N892" s="251"/>
      <c r="O892" s="251"/>
      <c r="P892" s="251"/>
      <c r="Q892" s="251"/>
      <c r="R892" s="251"/>
      <c r="S892" s="251"/>
      <c r="T892" s="251"/>
      <c r="U892" s="251"/>
      <c r="V892" s="251"/>
      <c r="W892" s="251"/>
      <c r="X892" s="251"/>
      <c r="Y892" s="251"/>
      <c r="Z892" s="251"/>
      <c r="AA892" s="251"/>
      <c r="AB892" s="251"/>
    </row>
    <row r="893" ht="14.25" customHeight="1">
      <c r="A893" s="460"/>
      <c r="B893" s="108"/>
      <c r="C893" s="450" t="s">
        <v>13571</v>
      </c>
      <c r="D893" s="297" t="s">
        <v>271</v>
      </c>
      <c r="E893" s="450" t="s">
        <v>5</v>
      </c>
      <c r="F893" s="451" t="s">
        <v>13572</v>
      </c>
      <c r="G893" s="451" t="s">
        <v>13573</v>
      </c>
      <c r="H893" s="451" t="s">
        <v>13574</v>
      </c>
      <c r="I893" s="258" t="s">
        <v>36</v>
      </c>
      <c r="J893" s="251"/>
      <c r="K893" s="251"/>
      <c r="L893" s="251"/>
      <c r="M893" s="251"/>
      <c r="N893" s="251"/>
      <c r="O893" s="251"/>
      <c r="P893" s="251"/>
      <c r="Q893" s="251"/>
      <c r="R893" s="251"/>
      <c r="S893" s="251"/>
      <c r="T893" s="251"/>
      <c r="U893" s="251"/>
      <c r="V893" s="251"/>
      <c r="W893" s="251"/>
      <c r="X893" s="251"/>
      <c r="Y893" s="251"/>
      <c r="Z893" s="251"/>
      <c r="AA893" s="251"/>
      <c r="AB893" s="251"/>
    </row>
    <row r="894" ht="14.25" customHeight="1">
      <c r="A894" s="460"/>
      <c r="B894" s="108"/>
      <c r="C894" s="450" t="s">
        <v>13575</v>
      </c>
      <c r="D894" s="297" t="s">
        <v>271</v>
      </c>
      <c r="E894" s="450" t="s">
        <v>5</v>
      </c>
      <c r="F894" s="451" t="s">
        <v>11928</v>
      </c>
      <c r="G894" s="451" t="s">
        <v>13576</v>
      </c>
      <c r="H894" s="451" t="s">
        <v>13577</v>
      </c>
      <c r="I894" s="258" t="s">
        <v>36</v>
      </c>
      <c r="J894" s="251"/>
      <c r="K894" s="251"/>
      <c r="L894" s="251"/>
      <c r="M894" s="251"/>
      <c r="N894" s="251"/>
      <c r="O894" s="251"/>
      <c r="P894" s="251"/>
      <c r="Q894" s="251"/>
      <c r="R894" s="251"/>
      <c r="S894" s="251"/>
      <c r="T894" s="251"/>
      <c r="U894" s="251"/>
      <c r="V894" s="251"/>
      <c r="W894" s="251"/>
      <c r="X894" s="251"/>
      <c r="Y894" s="251"/>
      <c r="Z894" s="251"/>
      <c r="AA894" s="251"/>
      <c r="AB894" s="251"/>
    </row>
    <row r="895" ht="14.25" customHeight="1">
      <c r="A895" s="460"/>
      <c r="B895" s="108"/>
      <c r="C895" s="450" t="s">
        <v>13578</v>
      </c>
      <c r="D895" s="297" t="s">
        <v>271</v>
      </c>
      <c r="E895" s="450" t="s">
        <v>5</v>
      </c>
      <c r="F895" s="451" t="s">
        <v>13579</v>
      </c>
      <c r="G895" s="451" t="s">
        <v>13569</v>
      </c>
      <c r="H895" s="451" t="s">
        <v>13580</v>
      </c>
      <c r="I895" s="258" t="s">
        <v>36</v>
      </c>
      <c r="J895" s="251"/>
      <c r="K895" s="251"/>
      <c r="L895" s="251"/>
      <c r="M895" s="251"/>
      <c r="N895" s="251"/>
      <c r="O895" s="251"/>
      <c r="P895" s="251"/>
      <c r="Q895" s="251"/>
      <c r="R895" s="251"/>
      <c r="S895" s="251"/>
      <c r="T895" s="251"/>
      <c r="U895" s="251"/>
      <c r="V895" s="251"/>
      <c r="W895" s="251"/>
      <c r="X895" s="251"/>
      <c r="Y895" s="251"/>
      <c r="Z895" s="251"/>
      <c r="AA895" s="251"/>
      <c r="AB895" s="251"/>
    </row>
    <row r="896" ht="14.25" customHeight="1">
      <c r="A896" s="460"/>
      <c r="B896" s="108"/>
      <c r="C896" s="450" t="s">
        <v>13581</v>
      </c>
      <c r="D896" s="297" t="s">
        <v>271</v>
      </c>
      <c r="E896" s="450" t="s">
        <v>5</v>
      </c>
      <c r="F896" s="451" t="s">
        <v>13582</v>
      </c>
      <c r="G896" s="451" t="s">
        <v>13573</v>
      </c>
      <c r="H896" s="451" t="s">
        <v>13583</v>
      </c>
      <c r="I896" s="258" t="s">
        <v>36</v>
      </c>
      <c r="J896" s="251"/>
      <c r="K896" s="251"/>
      <c r="L896" s="251"/>
      <c r="M896" s="251"/>
      <c r="N896" s="251"/>
      <c r="O896" s="251"/>
      <c r="P896" s="251"/>
      <c r="Q896" s="251"/>
      <c r="R896" s="251"/>
      <c r="S896" s="251"/>
      <c r="T896" s="251"/>
      <c r="U896" s="251"/>
      <c r="V896" s="251"/>
      <c r="W896" s="251"/>
      <c r="X896" s="251"/>
      <c r="Y896" s="251"/>
      <c r="Z896" s="251"/>
      <c r="AA896" s="251"/>
      <c r="AB896" s="251"/>
    </row>
    <row r="897" ht="14.25" customHeight="1">
      <c r="A897" s="460"/>
      <c r="B897" s="108"/>
      <c r="C897" s="450" t="s">
        <v>13584</v>
      </c>
      <c r="D897" s="297" t="s">
        <v>271</v>
      </c>
      <c r="E897" s="450" t="s">
        <v>5</v>
      </c>
      <c r="F897" s="451" t="s">
        <v>13585</v>
      </c>
      <c r="G897" s="451" t="s">
        <v>13586</v>
      </c>
      <c r="H897" s="451" t="s">
        <v>13587</v>
      </c>
      <c r="I897" s="258" t="s">
        <v>36</v>
      </c>
      <c r="J897" s="251"/>
      <c r="K897" s="251"/>
      <c r="L897" s="251"/>
      <c r="M897" s="251"/>
      <c r="N897" s="251"/>
      <c r="O897" s="251"/>
      <c r="P897" s="251"/>
      <c r="Q897" s="251"/>
      <c r="R897" s="251"/>
      <c r="S897" s="251"/>
      <c r="T897" s="251"/>
      <c r="U897" s="251"/>
      <c r="V897" s="251"/>
      <c r="W897" s="251"/>
      <c r="X897" s="251"/>
      <c r="Y897" s="251"/>
      <c r="Z897" s="251"/>
      <c r="AA897" s="251"/>
      <c r="AB897" s="251"/>
    </row>
    <row r="898" ht="14.25" customHeight="1">
      <c r="A898" s="460"/>
      <c r="B898" s="108"/>
      <c r="C898" s="450" t="s">
        <v>13588</v>
      </c>
      <c r="D898" s="297" t="s">
        <v>271</v>
      </c>
      <c r="E898" s="450" t="s">
        <v>5</v>
      </c>
      <c r="F898" s="451" t="s">
        <v>11941</v>
      </c>
      <c r="G898" s="451" t="s">
        <v>13589</v>
      </c>
      <c r="H898" s="451" t="s">
        <v>13590</v>
      </c>
      <c r="I898" s="258" t="s">
        <v>36</v>
      </c>
      <c r="J898" s="251"/>
      <c r="K898" s="251"/>
      <c r="L898" s="251"/>
      <c r="M898" s="251"/>
      <c r="N898" s="251"/>
      <c r="O898" s="251"/>
      <c r="P898" s="251"/>
      <c r="Q898" s="251"/>
      <c r="R898" s="251"/>
      <c r="S898" s="251"/>
      <c r="T898" s="251"/>
      <c r="U898" s="251"/>
      <c r="V898" s="251"/>
      <c r="W898" s="251"/>
      <c r="X898" s="251"/>
      <c r="Y898" s="251"/>
      <c r="Z898" s="251"/>
      <c r="AA898" s="251"/>
      <c r="AB898" s="251"/>
    </row>
    <row r="899" ht="14.25" customHeight="1">
      <c r="A899" s="460"/>
      <c r="B899" s="109"/>
      <c r="C899" s="450" t="s">
        <v>13591</v>
      </c>
      <c r="D899" s="297" t="s">
        <v>271</v>
      </c>
      <c r="E899" s="450" t="s">
        <v>5</v>
      </c>
      <c r="F899" s="451" t="s">
        <v>11945</v>
      </c>
      <c r="G899" s="451" t="s">
        <v>13592</v>
      </c>
      <c r="H899" s="451" t="s">
        <v>13593</v>
      </c>
      <c r="I899" s="258" t="s">
        <v>36</v>
      </c>
      <c r="J899" s="251"/>
      <c r="K899" s="251"/>
      <c r="L899" s="251"/>
      <c r="M899" s="251"/>
      <c r="N899" s="251"/>
      <c r="O899" s="251"/>
      <c r="P899" s="251"/>
      <c r="Q899" s="251"/>
      <c r="R899" s="251"/>
      <c r="S899" s="251"/>
      <c r="T899" s="251"/>
      <c r="U899" s="251"/>
      <c r="V899" s="251"/>
      <c r="W899" s="251"/>
      <c r="X899" s="251"/>
      <c r="Y899" s="251"/>
      <c r="Z899" s="251"/>
      <c r="AA899" s="251"/>
      <c r="AB899" s="251"/>
    </row>
    <row r="900" ht="14.25" customHeight="1">
      <c r="A900" s="464"/>
      <c r="B900" s="465" t="s">
        <v>13594</v>
      </c>
      <c r="C900" s="466" t="s">
        <v>10199</v>
      </c>
      <c r="D900" s="297" t="s">
        <v>271</v>
      </c>
      <c r="E900" s="466" t="s">
        <v>13595</v>
      </c>
      <c r="F900" s="467" t="s">
        <v>12763</v>
      </c>
      <c r="G900" s="468" t="s">
        <v>12764</v>
      </c>
      <c r="H900" s="468" t="s">
        <v>11456</v>
      </c>
      <c r="I900" s="258" t="s">
        <v>36</v>
      </c>
      <c r="J900" s="469"/>
      <c r="K900" s="469"/>
      <c r="L900" s="469"/>
      <c r="M900" s="469"/>
      <c r="N900" s="469"/>
      <c r="O900" s="469"/>
      <c r="P900" s="469"/>
      <c r="Q900" s="469"/>
      <c r="R900" s="469"/>
      <c r="S900" s="469"/>
      <c r="T900" s="469"/>
      <c r="U900" s="469"/>
      <c r="V900" s="469"/>
      <c r="W900" s="469"/>
      <c r="X900" s="469"/>
      <c r="Y900" s="469"/>
      <c r="Z900" s="469"/>
      <c r="AA900" s="469"/>
      <c r="AB900" s="469"/>
    </row>
    <row r="901" ht="14.25" customHeight="1">
      <c r="A901" s="464"/>
      <c r="B901" s="108"/>
      <c r="C901" s="466" t="s">
        <v>10203</v>
      </c>
      <c r="D901" s="297" t="s">
        <v>271</v>
      </c>
      <c r="E901" s="466" t="s">
        <v>13595</v>
      </c>
      <c r="F901" s="467" t="s">
        <v>12765</v>
      </c>
      <c r="G901" s="468" t="s">
        <v>12764</v>
      </c>
      <c r="H901" s="468" t="s">
        <v>12766</v>
      </c>
      <c r="I901" s="258" t="s">
        <v>36</v>
      </c>
      <c r="J901" s="469"/>
      <c r="K901" s="469"/>
      <c r="L901" s="469"/>
      <c r="M901" s="469"/>
      <c r="N901" s="469"/>
      <c r="O901" s="469"/>
      <c r="P901" s="469"/>
      <c r="Q901" s="469"/>
      <c r="R901" s="469"/>
      <c r="S901" s="469"/>
      <c r="T901" s="469"/>
      <c r="U901" s="469"/>
      <c r="V901" s="469"/>
      <c r="W901" s="469"/>
      <c r="X901" s="469"/>
      <c r="Y901" s="469"/>
      <c r="Z901" s="469"/>
      <c r="AA901" s="469"/>
      <c r="AB901" s="469"/>
    </row>
    <row r="902" ht="14.25" customHeight="1">
      <c r="A902" s="464"/>
      <c r="B902" s="108"/>
      <c r="C902" s="466" t="s">
        <v>10206</v>
      </c>
      <c r="D902" s="297" t="s">
        <v>271</v>
      </c>
      <c r="E902" s="466" t="s">
        <v>13595</v>
      </c>
      <c r="F902" s="467" t="s">
        <v>12767</v>
      </c>
      <c r="G902" s="470" t="s">
        <v>12768</v>
      </c>
      <c r="H902" s="468" t="s">
        <v>12769</v>
      </c>
      <c r="I902" s="258" t="s">
        <v>36</v>
      </c>
      <c r="J902" s="469"/>
      <c r="K902" s="469"/>
      <c r="L902" s="469"/>
      <c r="M902" s="469"/>
      <c r="N902" s="469"/>
      <c r="O902" s="469"/>
      <c r="P902" s="469"/>
      <c r="Q902" s="469"/>
      <c r="R902" s="469"/>
      <c r="S902" s="469"/>
      <c r="T902" s="469"/>
      <c r="U902" s="469"/>
      <c r="V902" s="469"/>
      <c r="W902" s="469"/>
      <c r="X902" s="469"/>
      <c r="Y902" s="469"/>
      <c r="Z902" s="469"/>
      <c r="AA902" s="469"/>
      <c r="AB902" s="469"/>
    </row>
    <row r="903" ht="14.25" customHeight="1">
      <c r="A903" s="464"/>
      <c r="B903" s="108"/>
      <c r="C903" s="466" t="s">
        <v>10209</v>
      </c>
      <c r="D903" s="297" t="s">
        <v>271</v>
      </c>
      <c r="E903" s="466" t="s">
        <v>13595</v>
      </c>
      <c r="F903" s="467" t="s">
        <v>12770</v>
      </c>
      <c r="G903" s="470" t="s">
        <v>12771</v>
      </c>
      <c r="H903" s="468" t="s">
        <v>12772</v>
      </c>
      <c r="I903" s="258" t="s">
        <v>36</v>
      </c>
      <c r="J903" s="469"/>
      <c r="K903" s="469"/>
      <c r="L903" s="469"/>
      <c r="M903" s="469"/>
      <c r="N903" s="469"/>
      <c r="O903" s="469"/>
      <c r="P903" s="469"/>
      <c r="Q903" s="469"/>
      <c r="R903" s="469"/>
      <c r="S903" s="469"/>
      <c r="T903" s="469"/>
      <c r="U903" s="469"/>
      <c r="V903" s="469"/>
      <c r="W903" s="469"/>
      <c r="X903" s="469"/>
      <c r="Y903" s="469"/>
      <c r="Z903" s="469"/>
      <c r="AA903" s="469"/>
      <c r="AB903" s="469"/>
    </row>
    <row r="904" ht="14.25" customHeight="1">
      <c r="A904" s="464"/>
      <c r="B904" s="108"/>
      <c r="C904" s="466" t="s">
        <v>10212</v>
      </c>
      <c r="D904" s="297" t="s">
        <v>271</v>
      </c>
      <c r="E904" s="466" t="s">
        <v>13595</v>
      </c>
      <c r="F904" s="467" t="s">
        <v>12773</v>
      </c>
      <c r="G904" s="470" t="s">
        <v>12764</v>
      </c>
      <c r="H904" s="468" t="s">
        <v>12774</v>
      </c>
      <c r="I904" s="258" t="s">
        <v>36</v>
      </c>
      <c r="J904" s="469"/>
      <c r="K904" s="469"/>
      <c r="L904" s="469"/>
      <c r="M904" s="469"/>
      <c r="N904" s="469"/>
      <c r="O904" s="469"/>
      <c r="P904" s="469"/>
      <c r="Q904" s="469"/>
      <c r="R904" s="469"/>
      <c r="S904" s="469"/>
      <c r="T904" s="469"/>
      <c r="U904" s="469"/>
      <c r="V904" s="469"/>
      <c r="W904" s="469"/>
      <c r="X904" s="469"/>
      <c r="Y904" s="469"/>
      <c r="Z904" s="469"/>
      <c r="AA904" s="469"/>
      <c r="AB904" s="469"/>
    </row>
    <row r="905" ht="14.25" customHeight="1">
      <c r="A905" s="464"/>
      <c r="B905" s="108"/>
      <c r="C905" s="466" t="s">
        <v>10214</v>
      </c>
      <c r="D905" s="297" t="s">
        <v>271</v>
      </c>
      <c r="E905" s="466" t="s">
        <v>13595</v>
      </c>
      <c r="F905" s="467" t="s">
        <v>12775</v>
      </c>
      <c r="G905" s="470" t="s">
        <v>12776</v>
      </c>
      <c r="H905" s="470" t="s">
        <v>12777</v>
      </c>
      <c r="I905" s="258" t="s">
        <v>36</v>
      </c>
      <c r="J905" s="469"/>
      <c r="K905" s="469"/>
      <c r="L905" s="469"/>
      <c r="M905" s="469"/>
      <c r="N905" s="469"/>
      <c r="O905" s="469"/>
      <c r="P905" s="469"/>
      <c r="Q905" s="469"/>
      <c r="R905" s="469"/>
      <c r="S905" s="469"/>
      <c r="T905" s="469"/>
      <c r="U905" s="469"/>
      <c r="V905" s="469"/>
      <c r="W905" s="469"/>
      <c r="X905" s="469"/>
      <c r="Y905" s="469"/>
      <c r="Z905" s="469"/>
      <c r="AA905" s="469"/>
      <c r="AB905" s="469"/>
    </row>
    <row r="906" ht="14.25" customHeight="1">
      <c r="A906" s="464"/>
      <c r="B906" s="108"/>
      <c r="C906" s="466" t="s">
        <v>10217</v>
      </c>
      <c r="D906" s="297" t="s">
        <v>271</v>
      </c>
      <c r="E906" s="466" t="s">
        <v>13595</v>
      </c>
      <c r="F906" s="467" t="s">
        <v>12778</v>
      </c>
      <c r="G906" s="470" t="s">
        <v>12779</v>
      </c>
      <c r="H906" s="470" t="s">
        <v>12780</v>
      </c>
      <c r="I906" s="258" t="s">
        <v>36</v>
      </c>
      <c r="J906" s="469"/>
      <c r="K906" s="469"/>
      <c r="L906" s="469"/>
      <c r="M906" s="469"/>
      <c r="N906" s="469"/>
      <c r="O906" s="469"/>
      <c r="P906" s="469"/>
      <c r="Q906" s="469"/>
      <c r="R906" s="469"/>
      <c r="S906" s="469"/>
      <c r="T906" s="469"/>
      <c r="U906" s="469"/>
      <c r="V906" s="469"/>
      <c r="W906" s="469"/>
      <c r="X906" s="469"/>
      <c r="Y906" s="469"/>
      <c r="Z906" s="469"/>
      <c r="AA906" s="469"/>
      <c r="AB906" s="469"/>
    </row>
    <row r="907" ht="14.25" customHeight="1">
      <c r="A907" s="464"/>
      <c r="B907" s="108"/>
      <c r="C907" s="466" t="s">
        <v>10220</v>
      </c>
      <c r="D907" s="297" t="s">
        <v>271</v>
      </c>
      <c r="E907" s="466" t="s">
        <v>13595</v>
      </c>
      <c r="F907" s="467" t="s">
        <v>12781</v>
      </c>
      <c r="G907" s="470" t="s">
        <v>12782</v>
      </c>
      <c r="H907" s="471" t="s">
        <v>12083</v>
      </c>
      <c r="I907" s="258" t="s">
        <v>36</v>
      </c>
      <c r="J907" s="469"/>
      <c r="K907" s="469"/>
      <c r="L907" s="469"/>
      <c r="M907" s="469"/>
      <c r="N907" s="469"/>
      <c r="O907" s="469"/>
      <c r="P907" s="469"/>
      <c r="Q907" s="469"/>
      <c r="R907" s="469"/>
      <c r="S907" s="469"/>
      <c r="T907" s="469"/>
      <c r="U907" s="469"/>
      <c r="V907" s="469"/>
      <c r="W907" s="469"/>
      <c r="X907" s="469"/>
      <c r="Y907" s="469"/>
      <c r="Z907" s="469"/>
      <c r="AA907" s="469"/>
      <c r="AB907" s="469"/>
    </row>
    <row r="908" ht="14.25" customHeight="1">
      <c r="A908" s="464"/>
      <c r="B908" s="108"/>
      <c r="C908" s="466" t="s">
        <v>10223</v>
      </c>
      <c r="D908" s="297" t="s">
        <v>271</v>
      </c>
      <c r="E908" s="466" t="s">
        <v>13595</v>
      </c>
      <c r="F908" s="467" t="s">
        <v>12783</v>
      </c>
      <c r="G908" s="470" t="s">
        <v>12782</v>
      </c>
      <c r="H908" s="471" t="s">
        <v>12086</v>
      </c>
      <c r="I908" s="258" t="s">
        <v>36</v>
      </c>
      <c r="J908" s="469"/>
      <c r="K908" s="469"/>
      <c r="L908" s="469"/>
      <c r="M908" s="469"/>
      <c r="N908" s="469"/>
      <c r="O908" s="469"/>
      <c r="P908" s="469"/>
      <c r="Q908" s="469"/>
      <c r="R908" s="469"/>
      <c r="S908" s="469"/>
      <c r="T908" s="469"/>
      <c r="U908" s="469"/>
      <c r="V908" s="469"/>
      <c r="W908" s="469"/>
      <c r="X908" s="469"/>
      <c r="Y908" s="469"/>
      <c r="Z908" s="469"/>
      <c r="AA908" s="469"/>
      <c r="AB908" s="469"/>
    </row>
    <row r="909" ht="14.25" customHeight="1">
      <c r="A909" s="464"/>
      <c r="B909" s="108"/>
      <c r="C909" s="466" t="s">
        <v>10225</v>
      </c>
      <c r="D909" s="297" t="s">
        <v>271</v>
      </c>
      <c r="E909" s="466" t="s">
        <v>13595</v>
      </c>
      <c r="F909" s="471" t="s">
        <v>12088</v>
      </c>
      <c r="G909" s="471" t="s">
        <v>12782</v>
      </c>
      <c r="H909" s="471" t="s">
        <v>12089</v>
      </c>
      <c r="I909" s="258" t="s">
        <v>36</v>
      </c>
      <c r="J909" s="469"/>
      <c r="K909" s="469"/>
      <c r="L909" s="469"/>
      <c r="M909" s="469"/>
      <c r="N909" s="469"/>
      <c r="O909" s="469"/>
      <c r="P909" s="469"/>
      <c r="Q909" s="469"/>
      <c r="R909" s="469"/>
      <c r="S909" s="469"/>
      <c r="T909" s="469"/>
      <c r="U909" s="469"/>
      <c r="V909" s="469"/>
      <c r="W909" s="469"/>
      <c r="X909" s="469"/>
      <c r="Y909" s="469"/>
      <c r="Z909" s="469"/>
      <c r="AA909" s="469"/>
      <c r="AB909" s="469"/>
    </row>
    <row r="910" ht="14.25" customHeight="1">
      <c r="A910" s="464"/>
      <c r="B910" s="108"/>
      <c r="C910" s="466" t="s">
        <v>10227</v>
      </c>
      <c r="D910" s="297" t="s">
        <v>271</v>
      </c>
      <c r="E910" s="466" t="s">
        <v>13595</v>
      </c>
      <c r="F910" s="471" t="s">
        <v>12091</v>
      </c>
      <c r="G910" s="471" t="s">
        <v>12782</v>
      </c>
      <c r="H910" s="471" t="s">
        <v>12092</v>
      </c>
      <c r="I910" s="258" t="s">
        <v>36</v>
      </c>
      <c r="J910" s="469"/>
      <c r="K910" s="469"/>
      <c r="L910" s="469"/>
      <c r="M910" s="469"/>
      <c r="N910" s="469"/>
      <c r="O910" s="469"/>
      <c r="P910" s="469"/>
      <c r="Q910" s="469"/>
      <c r="R910" s="469"/>
      <c r="S910" s="469"/>
      <c r="T910" s="469"/>
      <c r="U910" s="469"/>
      <c r="V910" s="469"/>
      <c r="W910" s="469"/>
      <c r="X910" s="469"/>
      <c r="Y910" s="469"/>
      <c r="Z910" s="469"/>
      <c r="AA910" s="469"/>
      <c r="AB910" s="469"/>
    </row>
    <row r="911" ht="14.25" customHeight="1">
      <c r="A911" s="464"/>
      <c r="B911" s="108"/>
      <c r="C911" s="466" t="s">
        <v>10229</v>
      </c>
      <c r="D911" s="297" t="s">
        <v>271</v>
      </c>
      <c r="E911" s="466" t="s">
        <v>13595</v>
      </c>
      <c r="F911" s="471" t="s">
        <v>12094</v>
      </c>
      <c r="G911" s="471" t="s">
        <v>12782</v>
      </c>
      <c r="H911" s="471" t="s">
        <v>12095</v>
      </c>
      <c r="I911" s="258" t="s">
        <v>36</v>
      </c>
      <c r="J911" s="469"/>
      <c r="K911" s="469"/>
      <c r="L911" s="469"/>
      <c r="M911" s="469"/>
      <c r="N911" s="469"/>
      <c r="O911" s="469"/>
      <c r="P911" s="469"/>
      <c r="Q911" s="469"/>
      <c r="R911" s="469"/>
      <c r="S911" s="469"/>
      <c r="T911" s="469"/>
      <c r="U911" s="469"/>
      <c r="V911" s="469"/>
      <c r="W911" s="469"/>
      <c r="X911" s="469"/>
      <c r="Y911" s="469"/>
      <c r="Z911" s="469"/>
      <c r="AA911" s="469"/>
      <c r="AB911" s="469"/>
    </row>
    <row r="912" ht="14.25" customHeight="1">
      <c r="A912" s="464"/>
      <c r="B912" s="108"/>
      <c r="C912" s="466" t="s">
        <v>10231</v>
      </c>
      <c r="D912" s="297" t="s">
        <v>271</v>
      </c>
      <c r="E912" s="466" t="s">
        <v>13595</v>
      </c>
      <c r="F912" s="471" t="s">
        <v>12097</v>
      </c>
      <c r="G912" s="471" t="s">
        <v>12782</v>
      </c>
      <c r="H912" s="471" t="s">
        <v>12098</v>
      </c>
      <c r="I912" s="258" t="s">
        <v>36</v>
      </c>
      <c r="J912" s="469"/>
      <c r="K912" s="469"/>
      <c r="L912" s="469"/>
      <c r="M912" s="469"/>
      <c r="N912" s="469"/>
      <c r="O912" s="469"/>
      <c r="P912" s="469"/>
      <c r="Q912" s="469"/>
      <c r="R912" s="469"/>
      <c r="S912" s="469"/>
      <c r="T912" s="469"/>
      <c r="U912" s="469"/>
      <c r="V912" s="469"/>
      <c r="W912" s="469"/>
      <c r="X912" s="469"/>
      <c r="Y912" s="469"/>
      <c r="Z912" s="469"/>
      <c r="AA912" s="469"/>
      <c r="AB912" s="469"/>
    </row>
    <row r="913" ht="14.25" customHeight="1">
      <c r="A913" s="464"/>
      <c r="B913" s="108"/>
      <c r="C913" s="466" t="s">
        <v>10234</v>
      </c>
      <c r="D913" s="297" t="s">
        <v>271</v>
      </c>
      <c r="E913" s="466" t="s">
        <v>13595</v>
      </c>
      <c r="F913" s="471" t="s">
        <v>12100</v>
      </c>
      <c r="G913" s="471" t="s">
        <v>12782</v>
      </c>
      <c r="H913" s="471" t="s">
        <v>12101</v>
      </c>
      <c r="I913" s="258" t="s">
        <v>36</v>
      </c>
      <c r="J913" s="469"/>
      <c r="K913" s="469"/>
      <c r="L913" s="469"/>
      <c r="M913" s="469"/>
      <c r="N913" s="469"/>
      <c r="O913" s="469"/>
      <c r="P913" s="469"/>
      <c r="Q913" s="469"/>
      <c r="R913" s="469"/>
      <c r="S913" s="469"/>
      <c r="T913" s="469"/>
      <c r="U913" s="469"/>
      <c r="V913" s="469"/>
      <c r="W913" s="469"/>
      <c r="X913" s="469"/>
      <c r="Y913" s="469"/>
      <c r="Z913" s="469"/>
      <c r="AA913" s="469"/>
      <c r="AB913" s="469"/>
    </row>
    <row r="914" ht="14.25" customHeight="1">
      <c r="A914" s="464"/>
      <c r="B914" s="108"/>
      <c r="C914" s="466" t="s">
        <v>10236</v>
      </c>
      <c r="D914" s="297" t="s">
        <v>271</v>
      </c>
      <c r="E914" s="466" t="s">
        <v>13595</v>
      </c>
      <c r="F914" s="471" t="s">
        <v>12103</v>
      </c>
      <c r="G914" s="471" t="s">
        <v>12782</v>
      </c>
      <c r="H914" s="468" t="s">
        <v>12104</v>
      </c>
      <c r="I914" s="258" t="s">
        <v>36</v>
      </c>
      <c r="J914" s="469"/>
      <c r="K914" s="469"/>
      <c r="L914" s="469"/>
      <c r="M914" s="469"/>
      <c r="N914" s="469"/>
      <c r="O914" s="469"/>
      <c r="P914" s="469"/>
      <c r="Q914" s="469"/>
      <c r="R914" s="469"/>
      <c r="S914" s="469"/>
      <c r="T914" s="469"/>
      <c r="U914" s="469"/>
      <c r="V914" s="469"/>
      <c r="W914" s="469"/>
      <c r="X914" s="469"/>
      <c r="Y914" s="469"/>
      <c r="Z914" s="469"/>
      <c r="AA914" s="469"/>
      <c r="AB914" s="469"/>
    </row>
    <row r="915" ht="14.25" customHeight="1">
      <c r="A915" s="464"/>
      <c r="B915" s="108"/>
      <c r="C915" s="466" t="s">
        <v>12259</v>
      </c>
      <c r="D915" s="297" t="s">
        <v>271</v>
      </c>
      <c r="E915" s="466" t="s">
        <v>13595</v>
      </c>
      <c r="F915" s="467" t="s">
        <v>13596</v>
      </c>
      <c r="G915" s="470" t="s">
        <v>12782</v>
      </c>
      <c r="H915" s="471" t="s">
        <v>12157</v>
      </c>
      <c r="I915" s="258" t="s">
        <v>36</v>
      </c>
      <c r="J915" s="469"/>
      <c r="K915" s="469"/>
      <c r="L915" s="469"/>
      <c r="M915" s="469"/>
      <c r="N915" s="469"/>
      <c r="O915" s="469"/>
      <c r="P915" s="469"/>
      <c r="Q915" s="469"/>
      <c r="R915" s="469"/>
      <c r="S915" s="469"/>
      <c r="T915" s="469"/>
      <c r="U915" s="469"/>
      <c r="V915" s="469"/>
      <c r="W915" s="469"/>
      <c r="X915" s="469"/>
      <c r="Y915" s="469"/>
      <c r="Z915" s="469"/>
      <c r="AA915" s="469"/>
      <c r="AB915" s="469"/>
    </row>
    <row r="916" ht="14.25" customHeight="1">
      <c r="A916" s="464"/>
      <c r="B916" s="108"/>
      <c r="C916" s="466" t="s">
        <v>12263</v>
      </c>
      <c r="D916" s="297" t="s">
        <v>271</v>
      </c>
      <c r="E916" s="466" t="s">
        <v>13595</v>
      </c>
      <c r="F916" s="467" t="s">
        <v>12159</v>
      </c>
      <c r="G916" s="470" t="s">
        <v>12782</v>
      </c>
      <c r="H916" s="472" t="s">
        <v>12160</v>
      </c>
      <c r="I916" s="258" t="s">
        <v>36</v>
      </c>
      <c r="J916" s="469"/>
      <c r="K916" s="469"/>
      <c r="L916" s="469"/>
      <c r="M916" s="469"/>
      <c r="N916" s="469"/>
      <c r="O916" s="469"/>
      <c r="P916" s="469"/>
      <c r="Q916" s="469"/>
      <c r="R916" s="469"/>
      <c r="S916" s="469"/>
      <c r="T916" s="469"/>
      <c r="U916" s="469"/>
      <c r="V916" s="469"/>
      <c r="W916" s="469"/>
      <c r="X916" s="469"/>
      <c r="Y916" s="469"/>
      <c r="Z916" s="469"/>
      <c r="AA916" s="469"/>
      <c r="AB916" s="469"/>
    </row>
    <row r="917" ht="14.25" customHeight="1">
      <c r="A917" s="464"/>
      <c r="B917" s="108"/>
      <c r="C917" s="466" t="s">
        <v>12266</v>
      </c>
      <c r="D917" s="297" t="s">
        <v>271</v>
      </c>
      <c r="E917" s="466" t="s">
        <v>13595</v>
      </c>
      <c r="F917" s="471" t="s">
        <v>11350</v>
      </c>
      <c r="G917" s="471" t="s">
        <v>11600</v>
      </c>
      <c r="H917" s="473" t="s">
        <v>13597</v>
      </c>
      <c r="I917" s="258" t="s">
        <v>36</v>
      </c>
      <c r="J917" s="469"/>
      <c r="K917" s="469"/>
      <c r="L917" s="469"/>
      <c r="M917" s="469"/>
      <c r="N917" s="469"/>
      <c r="O917" s="469"/>
      <c r="P917" s="469"/>
      <c r="Q917" s="469"/>
      <c r="R917" s="469"/>
      <c r="S917" s="469"/>
      <c r="T917" s="469"/>
      <c r="U917" s="469"/>
      <c r="V917" s="469"/>
      <c r="W917" s="469"/>
      <c r="X917" s="469"/>
      <c r="Y917" s="469"/>
      <c r="Z917" s="469"/>
      <c r="AA917" s="469"/>
      <c r="AB917" s="469"/>
    </row>
    <row r="918" ht="14.25" customHeight="1">
      <c r="A918" s="464"/>
      <c r="B918" s="466" t="s">
        <v>13598</v>
      </c>
      <c r="C918" s="466" t="s">
        <v>10199</v>
      </c>
      <c r="D918" s="297" t="s">
        <v>271</v>
      </c>
      <c r="E918" s="466" t="s">
        <v>13598</v>
      </c>
      <c r="F918" s="471" t="s">
        <v>13599</v>
      </c>
      <c r="G918" s="474" t="s">
        <v>13600</v>
      </c>
      <c r="H918" s="475" t="s">
        <v>13601</v>
      </c>
      <c r="I918" s="258" t="s">
        <v>36</v>
      </c>
      <c r="J918" s="469"/>
      <c r="K918" s="469"/>
      <c r="L918" s="469"/>
      <c r="M918" s="469"/>
      <c r="N918" s="469"/>
      <c r="O918" s="469"/>
      <c r="P918" s="469"/>
      <c r="Q918" s="469"/>
      <c r="R918" s="469"/>
      <c r="S918" s="469"/>
      <c r="T918" s="469"/>
      <c r="U918" s="469"/>
      <c r="V918" s="469"/>
      <c r="W918" s="469"/>
      <c r="X918" s="469"/>
      <c r="Y918" s="469"/>
      <c r="Z918" s="469"/>
      <c r="AA918" s="469"/>
      <c r="AB918" s="469"/>
    </row>
    <row r="919" ht="14.25" customHeight="1">
      <c r="A919" s="464"/>
      <c r="C919" s="466" t="s">
        <v>10203</v>
      </c>
      <c r="D919" s="297" t="s">
        <v>271</v>
      </c>
      <c r="E919" s="466" t="s">
        <v>13598</v>
      </c>
      <c r="F919" s="472" t="s">
        <v>13602</v>
      </c>
      <c r="G919" s="476" t="s">
        <v>13603</v>
      </c>
      <c r="H919" s="476" t="s">
        <v>13604</v>
      </c>
      <c r="I919" s="258" t="s">
        <v>36</v>
      </c>
      <c r="J919" s="469"/>
      <c r="K919" s="469"/>
      <c r="L919" s="469"/>
      <c r="M919" s="469"/>
      <c r="N919" s="469"/>
      <c r="O919" s="469"/>
      <c r="P919" s="469"/>
      <c r="Q919" s="469"/>
      <c r="R919" s="469"/>
      <c r="S919" s="469"/>
      <c r="T919" s="469"/>
      <c r="U919" s="469"/>
      <c r="V919" s="469"/>
      <c r="W919" s="469"/>
      <c r="X919" s="469"/>
      <c r="Y919" s="469"/>
      <c r="Z919" s="469"/>
      <c r="AA919" s="469"/>
      <c r="AB919" s="469"/>
    </row>
    <row r="920" ht="14.25" customHeight="1">
      <c r="A920" s="464"/>
      <c r="C920" s="466" t="s">
        <v>10206</v>
      </c>
      <c r="D920" s="297" t="s">
        <v>271</v>
      </c>
      <c r="E920" s="466" t="s">
        <v>13598</v>
      </c>
      <c r="F920" s="472" t="s">
        <v>13605</v>
      </c>
      <c r="G920" s="476" t="s">
        <v>13606</v>
      </c>
      <c r="H920" s="476" t="s">
        <v>13607</v>
      </c>
      <c r="I920" s="258" t="s">
        <v>36</v>
      </c>
      <c r="J920" s="469"/>
      <c r="K920" s="469"/>
      <c r="L920" s="469"/>
      <c r="M920" s="469"/>
      <c r="N920" s="469"/>
      <c r="O920" s="469"/>
      <c r="P920" s="469"/>
      <c r="Q920" s="469"/>
      <c r="R920" s="469"/>
      <c r="S920" s="469"/>
      <c r="T920" s="469"/>
      <c r="U920" s="469"/>
      <c r="V920" s="469"/>
      <c r="W920" s="469"/>
      <c r="X920" s="469"/>
      <c r="Y920" s="469"/>
      <c r="Z920" s="469"/>
      <c r="AA920" s="469"/>
      <c r="AB920" s="469"/>
    </row>
    <row r="921" ht="14.25" customHeight="1">
      <c r="A921" s="464"/>
      <c r="C921" s="466" t="s">
        <v>10209</v>
      </c>
      <c r="D921" s="297" t="s">
        <v>271</v>
      </c>
      <c r="E921" s="466" t="s">
        <v>13598</v>
      </c>
      <c r="F921" s="472" t="s">
        <v>13608</v>
      </c>
      <c r="G921" s="473" t="s">
        <v>13609</v>
      </c>
      <c r="H921" s="473" t="s">
        <v>13610</v>
      </c>
      <c r="I921" s="258" t="s">
        <v>317</v>
      </c>
      <c r="J921" s="469"/>
      <c r="K921" s="469"/>
      <c r="L921" s="469"/>
      <c r="M921" s="469"/>
      <c r="N921" s="469"/>
      <c r="O921" s="469"/>
      <c r="P921" s="469"/>
      <c r="Q921" s="469"/>
      <c r="R921" s="469"/>
      <c r="S921" s="469"/>
      <c r="T921" s="469"/>
      <c r="U921" s="469"/>
      <c r="V921" s="469"/>
      <c r="W921" s="469"/>
      <c r="X921" s="469"/>
      <c r="Y921" s="469"/>
      <c r="Z921" s="469"/>
      <c r="AA921" s="469"/>
      <c r="AB921" s="469"/>
    </row>
    <row r="922" ht="14.25" customHeight="1">
      <c r="A922" s="464"/>
      <c r="C922" s="466" t="s">
        <v>10212</v>
      </c>
      <c r="D922" s="297" t="s">
        <v>271</v>
      </c>
      <c r="E922" s="466" t="s">
        <v>13598</v>
      </c>
      <c r="F922" s="472" t="s">
        <v>13611</v>
      </c>
      <c r="G922" s="473" t="s">
        <v>13612</v>
      </c>
      <c r="H922" s="477" t="s">
        <v>13613</v>
      </c>
      <c r="I922" s="331" t="s">
        <v>317</v>
      </c>
      <c r="J922" s="469"/>
      <c r="K922" s="469"/>
      <c r="L922" s="469"/>
      <c r="M922" s="469"/>
      <c r="N922" s="469"/>
      <c r="O922" s="469"/>
      <c r="P922" s="469"/>
      <c r="Q922" s="469"/>
      <c r="R922" s="469"/>
      <c r="S922" s="469"/>
      <c r="T922" s="469"/>
      <c r="U922" s="469"/>
      <c r="V922" s="469"/>
      <c r="W922" s="469"/>
      <c r="X922" s="469"/>
      <c r="Y922" s="469"/>
      <c r="Z922" s="469"/>
      <c r="AA922" s="469"/>
      <c r="AB922" s="469"/>
    </row>
    <row r="923" ht="14.25" customHeight="1">
      <c r="A923" s="464"/>
      <c r="C923" s="466" t="s">
        <v>10214</v>
      </c>
      <c r="D923" s="297" t="s">
        <v>271</v>
      </c>
      <c r="E923" s="466" t="s">
        <v>13598</v>
      </c>
      <c r="F923" s="472" t="s">
        <v>13614</v>
      </c>
      <c r="G923" s="473" t="s">
        <v>13615</v>
      </c>
      <c r="H923" s="473" t="s">
        <v>13616</v>
      </c>
      <c r="I923" s="258" t="s">
        <v>36</v>
      </c>
      <c r="J923" s="469"/>
      <c r="K923" s="469"/>
      <c r="L923" s="469"/>
      <c r="M923" s="469"/>
      <c r="N923" s="469"/>
      <c r="O923" s="469"/>
      <c r="P923" s="469"/>
      <c r="Q923" s="469"/>
      <c r="R923" s="469"/>
      <c r="S923" s="469"/>
      <c r="T923" s="469"/>
      <c r="U923" s="469"/>
      <c r="V923" s="469"/>
      <c r="W923" s="469"/>
      <c r="X923" s="469"/>
      <c r="Y923" s="469"/>
      <c r="Z923" s="469"/>
      <c r="AA923" s="469"/>
      <c r="AB923" s="469"/>
    </row>
    <row r="924" ht="14.25" customHeight="1">
      <c r="A924" s="464"/>
      <c r="C924" s="466" t="s">
        <v>10217</v>
      </c>
      <c r="D924" s="297" t="s">
        <v>271</v>
      </c>
      <c r="E924" s="466" t="s">
        <v>13598</v>
      </c>
      <c r="F924" s="472" t="s">
        <v>13617</v>
      </c>
      <c r="G924" s="477" t="s">
        <v>13612</v>
      </c>
      <c r="H924" s="477" t="s">
        <v>13618</v>
      </c>
      <c r="I924" s="258" t="s">
        <v>36</v>
      </c>
      <c r="J924" s="469"/>
      <c r="K924" s="469"/>
      <c r="L924" s="469"/>
      <c r="M924" s="469"/>
      <c r="N924" s="469"/>
      <c r="O924" s="469"/>
      <c r="P924" s="469"/>
      <c r="Q924" s="469"/>
      <c r="R924" s="469"/>
      <c r="S924" s="469"/>
      <c r="T924" s="469"/>
      <c r="U924" s="469"/>
      <c r="V924" s="469"/>
      <c r="W924" s="469"/>
      <c r="X924" s="469"/>
      <c r="Y924" s="469"/>
      <c r="Z924" s="469"/>
      <c r="AA924" s="469"/>
      <c r="AB924" s="469"/>
    </row>
    <row r="925" ht="14.25" customHeight="1">
      <c r="A925" s="464"/>
      <c r="C925" s="466" t="s">
        <v>10220</v>
      </c>
      <c r="D925" s="297" t="s">
        <v>271</v>
      </c>
      <c r="E925" s="466" t="s">
        <v>13598</v>
      </c>
      <c r="F925" s="472" t="s">
        <v>13619</v>
      </c>
      <c r="G925" s="473" t="s">
        <v>13620</v>
      </c>
      <c r="H925" s="473" t="s">
        <v>12598</v>
      </c>
      <c r="I925" s="258" t="s">
        <v>36</v>
      </c>
      <c r="J925" s="469"/>
      <c r="K925" s="469"/>
      <c r="L925" s="469"/>
      <c r="M925" s="469"/>
      <c r="N925" s="469"/>
      <c r="O925" s="469"/>
      <c r="P925" s="469"/>
      <c r="Q925" s="469"/>
      <c r="R925" s="469"/>
      <c r="S925" s="469"/>
      <c r="T925" s="469"/>
      <c r="U925" s="469"/>
      <c r="V925" s="469"/>
      <c r="W925" s="469"/>
      <c r="X925" s="469"/>
      <c r="Y925" s="469"/>
      <c r="Z925" s="469"/>
      <c r="AA925" s="469"/>
      <c r="AB925" s="469"/>
    </row>
    <row r="926" ht="14.25" customHeight="1">
      <c r="A926" s="464"/>
      <c r="C926" s="466" t="s">
        <v>10223</v>
      </c>
      <c r="D926" s="297" t="s">
        <v>271</v>
      </c>
      <c r="E926" s="466" t="s">
        <v>13598</v>
      </c>
      <c r="F926" s="472" t="s">
        <v>13621</v>
      </c>
      <c r="G926" s="473" t="s">
        <v>13622</v>
      </c>
      <c r="H926" s="473" t="s">
        <v>13623</v>
      </c>
      <c r="I926" s="258" t="s">
        <v>36</v>
      </c>
      <c r="J926" s="469"/>
      <c r="K926" s="469"/>
      <c r="L926" s="469"/>
      <c r="M926" s="469"/>
      <c r="N926" s="469"/>
      <c r="O926" s="469"/>
      <c r="P926" s="469"/>
      <c r="Q926" s="469"/>
      <c r="R926" s="469"/>
      <c r="S926" s="469"/>
      <c r="T926" s="469"/>
      <c r="U926" s="469"/>
      <c r="V926" s="469"/>
      <c r="W926" s="469"/>
      <c r="X926" s="469"/>
      <c r="Y926" s="469"/>
      <c r="Z926" s="469"/>
      <c r="AA926" s="469"/>
      <c r="AB926" s="469"/>
    </row>
    <row r="927" ht="14.25" customHeight="1">
      <c r="A927" s="464"/>
      <c r="C927" s="466" t="s">
        <v>10225</v>
      </c>
      <c r="D927" s="297" t="s">
        <v>271</v>
      </c>
      <c r="E927" s="466" t="s">
        <v>13598</v>
      </c>
      <c r="F927" s="472" t="s">
        <v>13624</v>
      </c>
      <c r="G927" s="473" t="s">
        <v>13625</v>
      </c>
      <c r="H927" s="473" t="s">
        <v>13626</v>
      </c>
      <c r="I927" s="331" t="s">
        <v>36</v>
      </c>
      <c r="J927" s="469"/>
      <c r="K927" s="469"/>
      <c r="L927" s="469"/>
      <c r="M927" s="469"/>
      <c r="N927" s="469"/>
      <c r="O927" s="469"/>
      <c r="P927" s="469"/>
      <c r="Q927" s="469"/>
      <c r="R927" s="469"/>
      <c r="S927" s="469"/>
      <c r="T927" s="469"/>
      <c r="U927" s="469"/>
      <c r="V927" s="469"/>
      <c r="W927" s="469"/>
      <c r="X927" s="469"/>
      <c r="Y927" s="469"/>
      <c r="Z927" s="469"/>
      <c r="AA927" s="469"/>
      <c r="AB927" s="469"/>
    </row>
    <row r="928" ht="14.25" customHeight="1">
      <c r="A928" s="464"/>
      <c r="C928" s="466" t="s">
        <v>10227</v>
      </c>
      <c r="D928" s="297" t="s">
        <v>271</v>
      </c>
      <c r="E928" s="466" t="s">
        <v>13598</v>
      </c>
      <c r="F928" s="472" t="s">
        <v>13627</v>
      </c>
      <c r="G928" s="473" t="s">
        <v>13628</v>
      </c>
      <c r="H928" s="473" t="s">
        <v>13629</v>
      </c>
      <c r="I928" s="331" t="s">
        <v>36</v>
      </c>
      <c r="J928" s="469"/>
      <c r="K928" s="469"/>
      <c r="L928" s="469"/>
      <c r="M928" s="469"/>
      <c r="N928" s="469"/>
      <c r="O928" s="469"/>
      <c r="P928" s="469"/>
      <c r="Q928" s="469"/>
      <c r="R928" s="469"/>
      <c r="S928" s="469"/>
      <c r="T928" s="469"/>
      <c r="U928" s="469"/>
      <c r="V928" s="469"/>
      <c r="W928" s="469"/>
      <c r="X928" s="469"/>
      <c r="Y928" s="469"/>
      <c r="Z928" s="469"/>
      <c r="AA928" s="469"/>
      <c r="AB928" s="469"/>
    </row>
    <row r="929" ht="14.25" customHeight="1">
      <c r="A929" s="464"/>
      <c r="C929" s="466" t="s">
        <v>10229</v>
      </c>
      <c r="D929" s="297" t="s">
        <v>271</v>
      </c>
      <c r="E929" s="466" t="s">
        <v>13598</v>
      </c>
      <c r="F929" s="472" t="s">
        <v>13630</v>
      </c>
      <c r="G929" s="473" t="s">
        <v>13631</v>
      </c>
      <c r="H929" s="473" t="s">
        <v>13632</v>
      </c>
      <c r="I929" s="331" t="s">
        <v>36</v>
      </c>
      <c r="J929" s="469"/>
      <c r="K929" s="469"/>
      <c r="L929" s="469"/>
      <c r="M929" s="469"/>
      <c r="N929" s="469"/>
      <c r="O929" s="469"/>
      <c r="P929" s="469"/>
      <c r="Q929" s="469"/>
      <c r="R929" s="469"/>
      <c r="S929" s="469"/>
      <c r="T929" s="469"/>
      <c r="U929" s="469"/>
      <c r="V929" s="469"/>
      <c r="W929" s="469"/>
      <c r="X929" s="469"/>
      <c r="Y929" s="469"/>
      <c r="Z929" s="469"/>
      <c r="AA929" s="469"/>
      <c r="AB929" s="469"/>
    </row>
    <row r="930" ht="14.25" customHeight="1">
      <c r="A930" s="464"/>
      <c r="C930" s="466" t="s">
        <v>10231</v>
      </c>
      <c r="D930" s="297" t="s">
        <v>271</v>
      </c>
      <c r="E930" s="466" t="s">
        <v>13598</v>
      </c>
      <c r="F930" s="472" t="s">
        <v>13624</v>
      </c>
      <c r="G930" s="473" t="s">
        <v>13633</v>
      </c>
      <c r="H930" s="473" t="s">
        <v>13626</v>
      </c>
      <c r="I930" s="331" t="s">
        <v>36</v>
      </c>
      <c r="J930" s="469"/>
      <c r="K930" s="469"/>
      <c r="L930" s="469"/>
      <c r="M930" s="469"/>
      <c r="N930" s="469"/>
      <c r="O930" s="469"/>
      <c r="P930" s="469"/>
      <c r="Q930" s="469"/>
      <c r="R930" s="469"/>
      <c r="S930" s="469"/>
      <c r="T930" s="469"/>
      <c r="U930" s="469"/>
      <c r="V930" s="469"/>
      <c r="W930" s="469"/>
      <c r="X930" s="469"/>
      <c r="Y930" s="469"/>
      <c r="Z930" s="469"/>
      <c r="AA930" s="469"/>
      <c r="AB930" s="469"/>
    </row>
    <row r="931" ht="14.25" customHeight="1">
      <c r="A931" s="464"/>
      <c r="C931" s="466" t="s">
        <v>10234</v>
      </c>
      <c r="D931" s="297" t="s">
        <v>271</v>
      </c>
      <c r="E931" s="466" t="s">
        <v>13598</v>
      </c>
      <c r="F931" s="472" t="s">
        <v>13627</v>
      </c>
      <c r="G931" s="473" t="s">
        <v>13634</v>
      </c>
      <c r="H931" s="473" t="s">
        <v>13629</v>
      </c>
      <c r="I931" s="331" t="s">
        <v>36</v>
      </c>
      <c r="J931" s="469"/>
      <c r="K931" s="469"/>
      <c r="L931" s="469"/>
      <c r="M931" s="469"/>
      <c r="N931" s="469"/>
      <c r="O931" s="469"/>
      <c r="P931" s="469"/>
      <c r="Q931" s="469"/>
      <c r="R931" s="469"/>
      <c r="S931" s="469"/>
      <c r="T931" s="469"/>
      <c r="U931" s="469"/>
      <c r="V931" s="469"/>
      <c r="W931" s="469"/>
      <c r="X931" s="469"/>
      <c r="Y931" s="469"/>
      <c r="Z931" s="469"/>
      <c r="AA931" s="469"/>
      <c r="AB931" s="469"/>
    </row>
    <row r="932" ht="14.25" customHeight="1">
      <c r="A932" s="464"/>
      <c r="C932" s="466" t="s">
        <v>10236</v>
      </c>
      <c r="D932" s="297" t="s">
        <v>271</v>
      </c>
      <c r="E932" s="466" t="s">
        <v>13598</v>
      </c>
      <c r="F932" s="472" t="s">
        <v>13630</v>
      </c>
      <c r="G932" s="473" t="s">
        <v>13631</v>
      </c>
      <c r="H932" s="473" t="s">
        <v>13632</v>
      </c>
      <c r="I932" s="331" t="s">
        <v>36</v>
      </c>
      <c r="J932" s="469"/>
      <c r="K932" s="469"/>
      <c r="L932" s="469"/>
      <c r="M932" s="469"/>
      <c r="N932" s="469"/>
      <c r="O932" s="469"/>
      <c r="P932" s="469"/>
      <c r="Q932" s="469"/>
      <c r="R932" s="469"/>
      <c r="S932" s="469"/>
      <c r="T932" s="469"/>
      <c r="U932" s="469"/>
      <c r="V932" s="469"/>
      <c r="W932" s="469"/>
      <c r="X932" s="469"/>
      <c r="Y932" s="469"/>
      <c r="Z932" s="469"/>
      <c r="AA932" s="469"/>
      <c r="AB932" s="469"/>
    </row>
    <row r="933" ht="14.25" customHeight="1">
      <c r="A933" s="464"/>
      <c r="C933" s="466" t="s">
        <v>12259</v>
      </c>
      <c r="D933" s="297" t="s">
        <v>271</v>
      </c>
      <c r="E933" s="466" t="s">
        <v>13598</v>
      </c>
      <c r="F933" s="472" t="s">
        <v>13614</v>
      </c>
      <c r="G933" s="473" t="s">
        <v>13631</v>
      </c>
      <c r="H933" s="473" t="s">
        <v>13616</v>
      </c>
      <c r="I933" s="331" t="s">
        <v>36</v>
      </c>
      <c r="J933" s="469"/>
      <c r="K933" s="469"/>
      <c r="L933" s="469"/>
      <c r="M933" s="469"/>
      <c r="N933" s="469"/>
      <c r="O933" s="469"/>
      <c r="P933" s="469"/>
      <c r="Q933" s="469"/>
      <c r="R933" s="469"/>
      <c r="S933" s="469"/>
      <c r="T933" s="469"/>
      <c r="U933" s="469"/>
      <c r="V933" s="469"/>
      <c r="W933" s="469"/>
      <c r="X933" s="469"/>
      <c r="Y933" s="469"/>
      <c r="Z933" s="469"/>
      <c r="AA933" s="469"/>
      <c r="AB933" s="469"/>
    </row>
    <row r="934" ht="14.25" customHeight="1">
      <c r="A934" s="464"/>
      <c r="C934" s="466" t="s">
        <v>12263</v>
      </c>
      <c r="D934" s="297" t="s">
        <v>271</v>
      </c>
      <c r="E934" s="466" t="s">
        <v>13598</v>
      </c>
      <c r="F934" s="472" t="s">
        <v>13635</v>
      </c>
      <c r="G934" s="473" t="s">
        <v>13636</v>
      </c>
      <c r="H934" s="473" t="s">
        <v>13637</v>
      </c>
      <c r="I934" s="331" t="s">
        <v>36</v>
      </c>
      <c r="J934" s="469"/>
      <c r="K934" s="469"/>
      <c r="L934" s="469"/>
      <c r="M934" s="469"/>
      <c r="N934" s="469"/>
      <c r="O934" s="469"/>
      <c r="P934" s="469"/>
      <c r="Q934" s="469"/>
      <c r="R934" s="469"/>
      <c r="S934" s="469"/>
      <c r="T934" s="469"/>
      <c r="U934" s="469"/>
      <c r="V934" s="469"/>
      <c r="W934" s="469"/>
      <c r="X934" s="469"/>
      <c r="Y934" s="469"/>
      <c r="Z934" s="469"/>
      <c r="AA934" s="469"/>
      <c r="AB934" s="469"/>
    </row>
    <row r="935" ht="14.25" customHeight="1">
      <c r="A935" s="464"/>
      <c r="C935" s="466" t="s">
        <v>12266</v>
      </c>
      <c r="D935" s="297" t="s">
        <v>271</v>
      </c>
      <c r="E935" s="466" t="s">
        <v>13598</v>
      </c>
      <c r="F935" s="472" t="s">
        <v>13638</v>
      </c>
      <c r="G935" s="473" t="s">
        <v>13639</v>
      </c>
      <c r="H935" s="473" t="s">
        <v>13640</v>
      </c>
      <c r="I935" s="331" t="s">
        <v>36</v>
      </c>
      <c r="J935" s="469"/>
      <c r="K935" s="469"/>
      <c r="L935" s="469"/>
      <c r="M935" s="469"/>
      <c r="N935" s="469"/>
      <c r="O935" s="469"/>
      <c r="P935" s="469"/>
      <c r="Q935" s="469"/>
      <c r="R935" s="469"/>
      <c r="S935" s="469"/>
      <c r="T935" s="469"/>
      <c r="U935" s="469"/>
      <c r="V935" s="469"/>
      <c r="W935" s="469"/>
      <c r="X935" s="469"/>
      <c r="Y935" s="469"/>
      <c r="Z935" s="469"/>
      <c r="AA935" s="469"/>
      <c r="AB935" s="469"/>
    </row>
    <row r="936" ht="14.25" customHeight="1">
      <c r="A936" s="464"/>
      <c r="C936" s="466" t="s">
        <v>12270</v>
      </c>
      <c r="D936" s="297" t="s">
        <v>271</v>
      </c>
      <c r="E936" s="466" t="s">
        <v>13598</v>
      </c>
      <c r="F936" s="472" t="s">
        <v>13641</v>
      </c>
      <c r="G936" s="473" t="s">
        <v>13642</v>
      </c>
      <c r="H936" s="473" t="s">
        <v>13643</v>
      </c>
      <c r="I936" s="331" t="s">
        <v>36</v>
      </c>
      <c r="J936" s="469"/>
      <c r="K936" s="469"/>
      <c r="L936" s="469"/>
      <c r="M936" s="469"/>
      <c r="N936" s="469"/>
      <c r="O936" s="469"/>
      <c r="P936" s="469"/>
      <c r="Q936" s="469"/>
      <c r="R936" s="469"/>
      <c r="S936" s="469"/>
      <c r="T936" s="469"/>
      <c r="U936" s="469"/>
      <c r="V936" s="469"/>
      <c r="W936" s="469"/>
      <c r="X936" s="469"/>
      <c r="Y936" s="469"/>
      <c r="Z936" s="469"/>
      <c r="AA936" s="469"/>
      <c r="AB936" s="469"/>
    </row>
    <row r="937" ht="14.25" customHeight="1">
      <c r="A937" s="464"/>
      <c r="C937" s="466" t="s">
        <v>12274</v>
      </c>
      <c r="D937" s="297" t="s">
        <v>271</v>
      </c>
      <c r="E937" s="466" t="s">
        <v>13598</v>
      </c>
      <c r="F937" s="472" t="s">
        <v>13644</v>
      </c>
      <c r="G937" s="473" t="s">
        <v>13645</v>
      </c>
      <c r="H937" s="473" t="s">
        <v>13646</v>
      </c>
      <c r="I937" s="331" t="s">
        <v>317</v>
      </c>
      <c r="J937" s="469"/>
      <c r="K937" s="469"/>
      <c r="L937" s="469"/>
      <c r="M937" s="469"/>
      <c r="N937" s="469"/>
      <c r="O937" s="469"/>
      <c r="P937" s="469"/>
      <c r="Q937" s="469"/>
      <c r="R937" s="469"/>
      <c r="S937" s="469"/>
      <c r="T937" s="469"/>
      <c r="U937" s="469"/>
      <c r="V937" s="469"/>
      <c r="W937" s="469"/>
      <c r="X937" s="469"/>
      <c r="Y937" s="469"/>
      <c r="Z937" s="469"/>
      <c r="AA937" s="469"/>
      <c r="AB937" s="469"/>
    </row>
    <row r="938" ht="14.25" customHeight="1">
      <c r="A938" s="464"/>
      <c r="C938" s="466" t="s">
        <v>12277</v>
      </c>
      <c r="D938" s="297" t="s">
        <v>271</v>
      </c>
      <c r="E938" s="466" t="s">
        <v>13598</v>
      </c>
      <c r="F938" s="472" t="s">
        <v>13647</v>
      </c>
      <c r="G938" s="473" t="s">
        <v>11492</v>
      </c>
      <c r="H938" s="473" t="s">
        <v>13648</v>
      </c>
      <c r="I938" s="331" t="s">
        <v>36</v>
      </c>
      <c r="J938" s="469"/>
      <c r="K938" s="469"/>
      <c r="L938" s="469"/>
      <c r="M938" s="469"/>
      <c r="N938" s="469"/>
      <c r="O938" s="469"/>
      <c r="P938" s="469"/>
      <c r="Q938" s="469"/>
      <c r="R938" s="469"/>
      <c r="S938" s="469"/>
      <c r="T938" s="469"/>
      <c r="U938" s="469"/>
      <c r="V938" s="469"/>
      <c r="W938" s="469"/>
      <c r="X938" s="469"/>
      <c r="Y938" s="469"/>
      <c r="Z938" s="469"/>
      <c r="AA938" s="469"/>
      <c r="AB938" s="469"/>
    </row>
    <row r="939" ht="14.25" customHeight="1">
      <c r="A939" s="464"/>
      <c r="C939" s="466" t="s">
        <v>12280</v>
      </c>
      <c r="D939" s="297" t="s">
        <v>271</v>
      </c>
      <c r="E939" s="466" t="s">
        <v>13598</v>
      </c>
      <c r="F939" s="472" t="s">
        <v>13649</v>
      </c>
      <c r="G939" s="473" t="s">
        <v>13650</v>
      </c>
      <c r="H939" s="473" t="s">
        <v>13651</v>
      </c>
      <c r="I939" s="331" t="s">
        <v>36</v>
      </c>
      <c r="J939" s="469"/>
      <c r="K939" s="469"/>
      <c r="L939" s="469"/>
      <c r="M939" s="469"/>
      <c r="N939" s="469"/>
      <c r="O939" s="469"/>
      <c r="P939" s="469"/>
      <c r="Q939" s="469"/>
      <c r="R939" s="469"/>
      <c r="S939" s="469"/>
      <c r="T939" s="469"/>
      <c r="U939" s="469"/>
      <c r="V939" s="469"/>
      <c r="W939" s="469"/>
      <c r="X939" s="469"/>
      <c r="Y939" s="469"/>
      <c r="Z939" s="469"/>
      <c r="AA939" s="469"/>
      <c r="AB939" s="469"/>
    </row>
    <row r="940" ht="14.25" customHeight="1">
      <c r="A940" s="464"/>
      <c r="B940" s="478" t="s">
        <v>13652</v>
      </c>
      <c r="C940" s="466" t="s">
        <v>10199</v>
      </c>
      <c r="D940" s="297" t="s">
        <v>271</v>
      </c>
      <c r="E940" s="471" t="s">
        <v>13652</v>
      </c>
      <c r="F940" s="479" t="s">
        <v>13653</v>
      </c>
      <c r="G940" s="480" t="s">
        <v>13654</v>
      </c>
      <c r="H940" s="480" t="s">
        <v>13655</v>
      </c>
      <c r="I940" s="331" t="s">
        <v>36</v>
      </c>
      <c r="J940" s="469"/>
      <c r="K940" s="469"/>
      <c r="L940" s="469"/>
      <c r="M940" s="469"/>
      <c r="N940" s="469"/>
      <c r="O940" s="469"/>
      <c r="P940" s="469"/>
      <c r="Q940" s="469"/>
      <c r="R940" s="469"/>
      <c r="S940" s="469"/>
      <c r="T940" s="469"/>
      <c r="U940" s="469"/>
      <c r="V940" s="469"/>
      <c r="W940" s="469"/>
      <c r="X940" s="469"/>
      <c r="Y940" s="469"/>
      <c r="Z940" s="469"/>
      <c r="AA940" s="469"/>
      <c r="AB940" s="469"/>
    </row>
    <row r="941" ht="14.25" customHeight="1">
      <c r="A941" s="464"/>
      <c r="B941" s="481"/>
      <c r="C941" s="466" t="s">
        <v>10203</v>
      </c>
      <c r="D941" s="297" t="s">
        <v>271</v>
      </c>
      <c r="E941" s="471" t="s">
        <v>13652</v>
      </c>
      <c r="F941" s="482" t="s">
        <v>13656</v>
      </c>
      <c r="G941" s="483" t="s">
        <v>13657</v>
      </c>
      <c r="H941" s="483" t="s">
        <v>13658</v>
      </c>
      <c r="I941" s="331" t="s">
        <v>36</v>
      </c>
      <c r="J941" s="469"/>
      <c r="K941" s="469"/>
      <c r="L941" s="469"/>
      <c r="M941" s="469"/>
      <c r="N941" s="469"/>
      <c r="O941" s="469"/>
      <c r="P941" s="469"/>
      <c r="Q941" s="469"/>
      <c r="R941" s="469"/>
      <c r="S941" s="469"/>
      <c r="T941" s="469"/>
      <c r="U941" s="469"/>
      <c r="V941" s="469"/>
      <c r="W941" s="469"/>
      <c r="X941" s="469"/>
      <c r="Y941" s="469"/>
      <c r="Z941" s="469"/>
      <c r="AA941" s="469"/>
      <c r="AB941" s="469"/>
    </row>
    <row r="942" ht="14.25" customHeight="1">
      <c r="A942" s="464"/>
      <c r="B942" s="481"/>
      <c r="C942" s="466"/>
      <c r="D942" s="484"/>
      <c r="E942" s="466"/>
      <c r="F942" s="485"/>
      <c r="G942" s="485"/>
      <c r="H942" s="485"/>
      <c r="I942" s="331"/>
      <c r="J942" s="469"/>
      <c r="K942" s="469"/>
      <c r="L942" s="469"/>
      <c r="M942" s="469"/>
      <c r="N942" s="469"/>
      <c r="O942" s="469"/>
      <c r="P942" s="469"/>
      <c r="Q942" s="469"/>
      <c r="R942" s="469"/>
      <c r="S942" s="469"/>
      <c r="T942" s="469"/>
      <c r="U942" s="469"/>
      <c r="V942" s="469"/>
      <c r="W942" s="469"/>
      <c r="X942" s="469"/>
      <c r="Y942" s="469"/>
      <c r="Z942" s="469"/>
      <c r="AA942" s="469"/>
      <c r="AB942" s="469"/>
    </row>
    <row r="943" ht="14.25" customHeight="1">
      <c r="A943" s="464"/>
      <c r="B943" s="481"/>
      <c r="C943" s="466"/>
      <c r="D943" s="484"/>
      <c r="E943" s="466"/>
      <c r="F943" s="485"/>
      <c r="G943" s="485"/>
      <c r="H943" s="485"/>
      <c r="I943" s="331"/>
      <c r="J943" s="469"/>
      <c r="K943" s="469"/>
      <c r="L943" s="469"/>
      <c r="M943" s="469"/>
      <c r="N943" s="469"/>
      <c r="O943" s="469"/>
      <c r="P943" s="469"/>
      <c r="Q943" s="469"/>
      <c r="R943" s="469"/>
      <c r="S943" s="469"/>
      <c r="T943" s="469"/>
      <c r="U943" s="469"/>
      <c r="V943" s="469"/>
      <c r="W943" s="469"/>
      <c r="X943" s="469"/>
      <c r="Y943" s="469"/>
      <c r="Z943" s="469"/>
      <c r="AA943" s="469"/>
      <c r="AB943" s="469"/>
    </row>
    <row r="944" ht="14.25" customHeight="1">
      <c r="A944" s="464"/>
      <c r="B944" s="481"/>
      <c r="C944" s="466"/>
      <c r="D944" s="484"/>
      <c r="E944" s="466"/>
      <c r="F944" s="485"/>
      <c r="G944" s="485"/>
      <c r="H944" s="485"/>
      <c r="I944" s="331"/>
      <c r="J944" s="469"/>
      <c r="K944" s="469"/>
      <c r="L944" s="469"/>
      <c r="M944" s="469"/>
      <c r="N944" s="469"/>
      <c r="O944" s="469"/>
      <c r="P944" s="469"/>
      <c r="Q944" s="469"/>
      <c r="R944" s="469"/>
      <c r="S944" s="469"/>
      <c r="T944" s="469"/>
      <c r="U944" s="469"/>
      <c r="V944" s="469"/>
      <c r="W944" s="469"/>
      <c r="X944" s="469"/>
      <c r="Y944" s="469"/>
      <c r="Z944" s="469"/>
      <c r="AA944" s="469"/>
      <c r="AB944" s="469"/>
    </row>
    <row r="945" ht="14.25" customHeight="1">
      <c r="A945" s="464"/>
      <c r="B945" s="481"/>
      <c r="C945" s="466"/>
      <c r="D945" s="484"/>
      <c r="E945" s="466"/>
      <c r="F945" s="485"/>
      <c r="G945" s="485"/>
      <c r="H945" s="485"/>
      <c r="I945" s="331"/>
      <c r="J945" s="469"/>
      <c r="K945" s="469"/>
      <c r="L945" s="469"/>
      <c r="M945" s="469"/>
      <c r="N945" s="469"/>
      <c r="O945" s="469"/>
      <c r="P945" s="469"/>
      <c r="Q945" s="469"/>
      <c r="R945" s="469"/>
      <c r="S945" s="469"/>
      <c r="T945" s="469"/>
      <c r="U945" s="469"/>
      <c r="V945" s="469"/>
      <c r="W945" s="469"/>
      <c r="X945" s="469"/>
      <c r="Y945" s="469"/>
      <c r="Z945" s="469"/>
      <c r="AA945" s="469"/>
      <c r="AB945" s="469"/>
    </row>
    <row r="946" ht="14.25" customHeight="1">
      <c r="A946" s="464"/>
      <c r="B946" s="481"/>
      <c r="C946" s="466"/>
      <c r="D946" s="484"/>
      <c r="E946" s="466"/>
      <c r="F946" s="485"/>
      <c r="G946" s="485"/>
      <c r="H946" s="485"/>
      <c r="I946" s="331"/>
      <c r="J946" s="469"/>
      <c r="K946" s="469"/>
      <c r="L946" s="469"/>
      <c r="M946" s="469"/>
      <c r="N946" s="469"/>
      <c r="O946" s="469"/>
      <c r="P946" s="469"/>
      <c r="Q946" s="469"/>
      <c r="R946" s="469"/>
      <c r="S946" s="469"/>
      <c r="T946" s="469"/>
      <c r="U946" s="469"/>
      <c r="V946" s="469"/>
      <c r="W946" s="469"/>
      <c r="X946" s="469"/>
      <c r="Y946" s="469"/>
      <c r="Z946" s="469"/>
      <c r="AA946" s="469"/>
      <c r="AB946" s="469"/>
    </row>
    <row r="947" ht="14.25" customHeight="1">
      <c r="A947" s="464"/>
      <c r="B947" s="481"/>
      <c r="C947" s="466"/>
      <c r="D947" s="484"/>
      <c r="E947" s="466"/>
      <c r="F947" s="485"/>
      <c r="G947" s="485"/>
      <c r="H947" s="485"/>
      <c r="I947" s="331"/>
      <c r="J947" s="469"/>
      <c r="K947" s="469"/>
      <c r="L947" s="469"/>
      <c r="M947" s="469"/>
      <c r="N947" s="469"/>
      <c r="O947" s="469"/>
      <c r="P947" s="469"/>
      <c r="Q947" s="469"/>
      <c r="R947" s="469"/>
      <c r="S947" s="469"/>
      <c r="T947" s="469"/>
      <c r="U947" s="469"/>
      <c r="V947" s="469"/>
      <c r="W947" s="469"/>
      <c r="X947" s="469"/>
      <c r="Y947" s="469"/>
      <c r="Z947" s="469"/>
      <c r="AA947" s="469"/>
      <c r="AB947" s="469"/>
    </row>
    <row r="948" ht="14.25" customHeight="1">
      <c r="A948" s="464"/>
      <c r="B948" s="481"/>
      <c r="C948" s="466"/>
      <c r="D948" s="484"/>
      <c r="E948" s="466"/>
      <c r="F948" s="485"/>
      <c r="G948" s="485"/>
      <c r="H948" s="485"/>
      <c r="I948" s="331"/>
      <c r="J948" s="469"/>
      <c r="K948" s="469"/>
      <c r="L948" s="469"/>
      <c r="M948" s="469"/>
      <c r="N948" s="469"/>
      <c r="O948" s="469"/>
      <c r="P948" s="469"/>
      <c r="Q948" s="469"/>
      <c r="R948" s="469"/>
      <c r="S948" s="469"/>
      <c r="T948" s="469"/>
      <c r="U948" s="469"/>
      <c r="V948" s="469"/>
      <c r="W948" s="469"/>
      <c r="X948" s="469"/>
      <c r="Y948" s="469"/>
      <c r="Z948" s="469"/>
      <c r="AA948" s="469"/>
      <c r="AB948" s="469"/>
    </row>
    <row r="949" ht="14.25" customHeight="1">
      <c r="A949" s="464"/>
      <c r="B949" s="481"/>
      <c r="C949" s="466"/>
      <c r="D949" s="484"/>
      <c r="E949" s="466"/>
      <c r="F949" s="485"/>
      <c r="G949" s="485"/>
      <c r="H949" s="485"/>
      <c r="I949" s="331"/>
      <c r="J949" s="469"/>
      <c r="K949" s="469"/>
      <c r="L949" s="469"/>
      <c r="M949" s="469"/>
      <c r="N949" s="469"/>
      <c r="O949" s="469"/>
      <c r="P949" s="469"/>
      <c r="Q949" s="469"/>
      <c r="R949" s="469"/>
      <c r="S949" s="469"/>
      <c r="T949" s="469"/>
      <c r="U949" s="469"/>
      <c r="V949" s="469"/>
      <c r="W949" s="469"/>
      <c r="X949" s="469"/>
      <c r="Y949" s="469"/>
      <c r="Z949" s="469"/>
      <c r="AA949" s="469"/>
      <c r="AB949" s="469"/>
    </row>
    <row r="950" ht="14.25" customHeight="1">
      <c r="A950" s="464"/>
      <c r="B950" s="481"/>
      <c r="C950" s="466"/>
      <c r="D950" s="484"/>
      <c r="E950" s="466"/>
      <c r="F950" s="485"/>
      <c r="G950" s="485"/>
      <c r="H950" s="485"/>
      <c r="I950" s="331"/>
      <c r="J950" s="469"/>
      <c r="K950" s="469"/>
      <c r="L950" s="469"/>
      <c r="M950" s="469"/>
      <c r="N950" s="469"/>
      <c r="O950" s="469"/>
      <c r="P950" s="469"/>
      <c r="Q950" s="469"/>
      <c r="R950" s="469"/>
      <c r="S950" s="469"/>
      <c r="T950" s="469"/>
      <c r="U950" s="469"/>
      <c r="V950" s="469"/>
      <c r="W950" s="469"/>
      <c r="X950" s="469"/>
      <c r="Y950" s="469"/>
      <c r="Z950" s="469"/>
      <c r="AA950" s="469"/>
      <c r="AB950" s="469"/>
    </row>
    <row r="951" ht="14.25" customHeight="1">
      <c r="A951" s="464"/>
      <c r="B951" s="481"/>
      <c r="C951" s="466"/>
      <c r="D951" s="484"/>
      <c r="E951" s="466"/>
      <c r="F951" s="485"/>
      <c r="G951" s="485"/>
      <c r="H951" s="485"/>
      <c r="I951" s="331"/>
      <c r="J951" s="469"/>
      <c r="K951" s="469"/>
      <c r="L951" s="469"/>
      <c r="M951" s="469"/>
      <c r="N951" s="469"/>
      <c r="O951" s="469"/>
      <c r="P951" s="469"/>
      <c r="Q951" s="469"/>
      <c r="R951" s="469"/>
      <c r="S951" s="469"/>
      <c r="T951" s="469"/>
      <c r="U951" s="469"/>
      <c r="V951" s="469"/>
      <c r="W951" s="469"/>
      <c r="X951" s="469"/>
      <c r="Y951" s="469"/>
      <c r="Z951" s="469"/>
      <c r="AA951" s="469"/>
      <c r="AB951" s="469"/>
    </row>
    <row r="952" ht="14.25" customHeight="1">
      <c r="A952" s="464"/>
      <c r="B952" s="481"/>
      <c r="C952" s="466"/>
      <c r="D952" s="484"/>
      <c r="E952" s="466"/>
      <c r="F952" s="485"/>
      <c r="G952" s="485"/>
      <c r="H952" s="485"/>
      <c r="I952" s="331"/>
      <c r="J952" s="469"/>
      <c r="K952" s="469"/>
      <c r="L952" s="469"/>
      <c r="M952" s="469"/>
      <c r="N952" s="469"/>
      <c r="O952" s="469"/>
      <c r="P952" s="469"/>
      <c r="Q952" s="469"/>
      <c r="R952" s="469"/>
      <c r="S952" s="469"/>
      <c r="T952" s="469"/>
      <c r="U952" s="469"/>
      <c r="V952" s="469"/>
      <c r="W952" s="469"/>
      <c r="X952" s="469"/>
      <c r="Y952" s="469"/>
      <c r="Z952" s="469"/>
      <c r="AA952" s="469"/>
      <c r="AB952" s="469"/>
    </row>
    <row r="953" ht="14.25" customHeight="1">
      <c r="A953" s="464"/>
      <c r="B953" s="481"/>
      <c r="C953" s="466"/>
      <c r="D953" s="484"/>
      <c r="E953" s="466"/>
      <c r="F953" s="485"/>
      <c r="G953" s="485"/>
      <c r="H953" s="485"/>
      <c r="I953" s="331"/>
      <c r="J953" s="469"/>
      <c r="K953" s="469"/>
      <c r="L953" s="469"/>
      <c r="M953" s="469"/>
      <c r="N953" s="469"/>
      <c r="O953" s="469"/>
      <c r="P953" s="469"/>
      <c r="Q953" s="469"/>
      <c r="R953" s="469"/>
      <c r="S953" s="469"/>
      <c r="T953" s="469"/>
      <c r="U953" s="469"/>
      <c r="V953" s="469"/>
      <c r="W953" s="469"/>
      <c r="X953" s="469"/>
      <c r="Y953" s="469"/>
      <c r="Z953" s="469"/>
      <c r="AA953" s="469"/>
      <c r="AB953" s="469"/>
    </row>
    <row r="954" ht="14.25" customHeight="1">
      <c r="A954" s="464"/>
      <c r="B954" s="481"/>
      <c r="C954" s="466"/>
      <c r="D954" s="484"/>
      <c r="E954" s="466"/>
      <c r="F954" s="485"/>
      <c r="G954" s="485"/>
      <c r="H954" s="485"/>
      <c r="I954" s="331"/>
      <c r="J954" s="469"/>
      <c r="K954" s="469"/>
      <c r="L954" s="469"/>
      <c r="M954" s="469"/>
      <c r="N954" s="469"/>
      <c r="O954" s="469"/>
      <c r="P954" s="469"/>
      <c r="Q954" s="469"/>
      <c r="R954" s="469"/>
      <c r="S954" s="469"/>
      <c r="T954" s="469"/>
      <c r="U954" s="469"/>
      <c r="V954" s="469"/>
      <c r="W954" s="469"/>
      <c r="X954" s="469"/>
      <c r="Y954" s="469"/>
      <c r="Z954" s="469"/>
      <c r="AA954" s="469"/>
      <c r="AB954" s="469"/>
    </row>
    <row r="955" ht="14.25" customHeight="1">
      <c r="A955" s="464"/>
      <c r="B955" s="481"/>
      <c r="C955" s="466"/>
      <c r="D955" s="484"/>
      <c r="E955" s="466"/>
      <c r="F955" s="485"/>
      <c r="G955" s="485"/>
      <c r="H955" s="485"/>
      <c r="I955" s="331"/>
      <c r="J955" s="469"/>
      <c r="K955" s="469"/>
      <c r="L955" s="469"/>
      <c r="M955" s="469"/>
      <c r="N955" s="469"/>
      <c r="O955" s="469"/>
      <c r="P955" s="469"/>
      <c r="Q955" s="469"/>
      <c r="R955" s="469"/>
      <c r="S955" s="469"/>
      <c r="T955" s="469"/>
      <c r="U955" s="469"/>
      <c r="V955" s="469"/>
      <c r="W955" s="469"/>
      <c r="X955" s="469"/>
      <c r="Y955" s="469"/>
      <c r="Z955" s="469"/>
      <c r="AA955" s="469"/>
      <c r="AB955" s="469"/>
    </row>
    <row r="956" ht="14.25" customHeight="1">
      <c r="A956" s="464"/>
      <c r="B956" s="481"/>
      <c r="C956" s="466"/>
      <c r="D956" s="484"/>
      <c r="E956" s="466"/>
      <c r="F956" s="485"/>
      <c r="G956" s="485"/>
      <c r="H956" s="485"/>
      <c r="I956" s="331"/>
      <c r="J956" s="469"/>
      <c r="K956" s="469"/>
      <c r="L956" s="469"/>
      <c r="M956" s="469"/>
      <c r="N956" s="469"/>
      <c r="O956" s="469"/>
      <c r="P956" s="469"/>
      <c r="Q956" s="469"/>
      <c r="R956" s="469"/>
      <c r="S956" s="469"/>
      <c r="T956" s="469"/>
      <c r="U956" s="469"/>
      <c r="V956" s="469"/>
      <c r="W956" s="469"/>
      <c r="X956" s="469"/>
      <c r="Y956" s="469"/>
      <c r="Z956" s="469"/>
      <c r="AA956" s="469"/>
      <c r="AB956" s="469"/>
    </row>
    <row r="957" ht="14.25" customHeight="1">
      <c r="A957" s="464"/>
      <c r="B957" s="481"/>
      <c r="C957" s="466"/>
      <c r="D957" s="484"/>
      <c r="E957" s="466"/>
      <c r="F957" s="485"/>
      <c r="G957" s="485"/>
      <c r="H957" s="485"/>
      <c r="I957" s="331"/>
      <c r="J957" s="469"/>
      <c r="K957" s="469"/>
      <c r="L957" s="469"/>
      <c r="M957" s="469"/>
      <c r="N957" s="469"/>
      <c r="O957" s="469"/>
      <c r="P957" s="469"/>
      <c r="Q957" s="469"/>
      <c r="R957" s="469"/>
      <c r="S957" s="469"/>
      <c r="T957" s="469"/>
      <c r="U957" s="469"/>
      <c r="V957" s="469"/>
      <c r="W957" s="469"/>
      <c r="X957" s="469"/>
      <c r="Y957" s="469"/>
      <c r="Z957" s="469"/>
      <c r="AA957" s="469"/>
      <c r="AB957" s="469"/>
    </row>
    <row r="958" ht="14.25" customHeight="1">
      <c r="A958" s="464"/>
      <c r="B958" s="481"/>
      <c r="C958" s="466"/>
      <c r="D958" s="484"/>
      <c r="E958" s="466"/>
      <c r="F958" s="485"/>
      <c r="G958" s="485"/>
      <c r="H958" s="485"/>
      <c r="I958" s="331"/>
      <c r="J958" s="469"/>
      <c r="K958" s="469"/>
      <c r="L958" s="469"/>
      <c r="M958" s="469"/>
      <c r="N958" s="469"/>
      <c r="O958" s="469"/>
      <c r="P958" s="469"/>
      <c r="Q958" s="469"/>
      <c r="R958" s="469"/>
      <c r="S958" s="469"/>
      <c r="T958" s="469"/>
      <c r="U958" s="469"/>
      <c r="V958" s="469"/>
      <c r="W958" s="469"/>
      <c r="X958" s="469"/>
      <c r="Y958" s="469"/>
      <c r="Z958" s="469"/>
      <c r="AA958" s="469"/>
      <c r="AB958" s="469"/>
    </row>
    <row r="959" ht="14.25" customHeight="1">
      <c r="A959" s="464"/>
      <c r="B959" s="481"/>
      <c r="C959" s="466"/>
      <c r="D959" s="484"/>
      <c r="E959" s="466"/>
      <c r="F959" s="485"/>
      <c r="G959" s="485"/>
      <c r="H959" s="485"/>
      <c r="I959" s="331"/>
      <c r="J959" s="469"/>
      <c r="K959" s="469"/>
      <c r="L959" s="469"/>
      <c r="M959" s="469"/>
      <c r="N959" s="469"/>
      <c r="O959" s="469"/>
      <c r="P959" s="469"/>
      <c r="Q959" s="469"/>
      <c r="R959" s="469"/>
      <c r="S959" s="469"/>
      <c r="T959" s="469"/>
      <c r="U959" s="469"/>
      <c r="V959" s="469"/>
      <c r="W959" s="469"/>
      <c r="X959" s="469"/>
      <c r="Y959" s="469"/>
      <c r="Z959" s="469"/>
      <c r="AA959" s="469"/>
      <c r="AB959" s="469"/>
    </row>
    <row r="960" ht="14.25" customHeight="1">
      <c r="A960" s="464"/>
      <c r="B960" s="481"/>
      <c r="C960" s="466"/>
      <c r="D960" s="484"/>
      <c r="E960" s="466"/>
      <c r="F960" s="485"/>
      <c r="G960" s="485"/>
      <c r="H960" s="485"/>
      <c r="I960" s="331"/>
      <c r="J960" s="469"/>
      <c r="K960" s="469"/>
      <c r="L960" s="469"/>
      <c r="M960" s="469"/>
      <c r="N960" s="469"/>
      <c r="O960" s="469"/>
      <c r="P960" s="469"/>
      <c r="Q960" s="469"/>
      <c r="R960" s="469"/>
      <c r="S960" s="469"/>
      <c r="T960" s="469"/>
      <c r="U960" s="469"/>
      <c r="V960" s="469"/>
      <c r="W960" s="469"/>
      <c r="X960" s="469"/>
      <c r="Y960" s="469"/>
      <c r="Z960" s="469"/>
      <c r="AA960" s="469"/>
      <c r="AB960" s="469"/>
    </row>
    <row r="961" ht="14.25" customHeight="1">
      <c r="A961" s="464"/>
      <c r="B961" s="481"/>
      <c r="C961" s="466"/>
      <c r="D961" s="484"/>
      <c r="E961" s="466"/>
      <c r="F961" s="485"/>
      <c r="G961" s="485"/>
      <c r="H961" s="485"/>
      <c r="I961" s="331"/>
      <c r="J961" s="469"/>
      <c r="K961" s="469"/>
      <c r="L961" s="469"/>
      <c r="M961" s="469"/>
      <c r="N961" s="469"/>
      <c r="O961" s="469"/>
      <c r="P961" s="469"/>
      <c r="Q961" s="469"/>
      <c r="R961" s="469"/>
      <c r="S961" s="469"/>
      <c r="T961" s="469"/>
      <c r="U961" s="469"/>
      <c r="V961" s="469"/>
      <c r="W961" s="469"/>
      <c r="X961" s="469"/>
      <c r="Y961" s="469"/>
      <c r="Z961" s="469"/>
      <c r="AA961" s="469"/>
      <c r="AB961" s="469"/>
    </row>
    <row r="962" ht="14.25" customHeight="1">
      <c r="A962" s="464"/>
      <c r="B962" s="481"/>
      <c r="C962" s="466"/>
      <c r="D962" s="484"/>
      <c r="E962" s="466"/>
      <c r="F962" s="485"/>
      <c r="G962" s="485"/>
      <c r="H962" s="485"/>
      <c r="I962" s="331"/>
      <c r="J962" s="469"/>
      <c r="K962" s="469"/>
      <c r="L962" s="469"/>
      <c r="M962" s="469"/>
      <c r="N962" s="469"/>
      <c r="O962" s="469"/>
      <c r="P962" s="469"/>
      <c r="Q962" s="469"/>
      <c r="R962" s="469"/>
      <c r="S962" s="469"/>
      <c r="T962" s="469"/>
      <c r="U962" s="469"/>
      <c r="V962" s="469"/>
      <c r="W962" s="469"/>
      <c r="X962" s="469"/>
      <c r="Y962" s="469"/>
      <c r="Z962" s="469"/>
      <c r="AA962" s="469"/>
      <c r="AB962" s="469"/>
    </row>
    <row r="963" ht="14.25" customHeight="1">
      <c r="A963" s="464"/>
      <c r="B963" s="481"/>
      <c r="C963" s="466"/>
      <c r="D963" s="484"/>
      <c r="E963" s="466"/>
      <c r="F963" s="485"/>
      <c r="G963" s="485"/>
      <c r="H963" s="485"/>
      <c r="I963" s="331"/>
      <c r="J963" s="469"/>
      <c r="K963" s="469"/>
      <c r="L963" s="469"/>
      <c r="M963" s="469"/>
      <c r="N963" s="469"/>
      <c r="O963" s="469"/>
      <c r="P963" s="469"/>
      <c r="Q963" s="469"/>
      <c r="R963" s="469"/>
      <c r="S963" s="469"/>
      <c r="T963" s="469"/>
      <c r="U963" s="469"/>
      <c r="V963" s="469"/>
      <c r="W963" s="469"/>
      <c r="X963" s="469"/>
      <c r="Y963" s="469"/>
      <c r="Z963" s="469"/>
      <c r="AA963" s="469"/>
      <c r="AB963" s="469"/>
    </row>
    <row r="964" ht="14.25" customHeight="1">
      <c r="A964" s="464"/>
      <c r="B964" s="481"/>
      <c r="C964" s="466"/>
      <c r="D964" s="484"/>
      <c r="E964" s="466"/>
      <c r="F964" s="485"/>
      <c r="G964" s="485"/>
      <c r="H964" s="485"/>
      <c r="I964" s="331"/>
      <c r="J964" s="469"/>
      <c r="K964" s="469"/>
      <c r="L964" s="469"/>
      <c r="M964" s="469"/>
      <c r="N964" s="469"/>
      <c r="O964" s="469"/>
      <c r="P964" s="469"/>
      <c r="Q964" s="469"/>
      <c r="R964" s="469"/>
      <c r="S964" s="469"/>
      <c r="T964" s="469"/>
      <c r="U964" s="469"/>
      <c r="V964" s="469"/>
      <c r="W964" s="469"/>
      <c r="X964" s="469"/>
      <c r="Y964" s="469"/>
      <c r="Z964" s="469"/>
      <c r="AA964" s="469"/>
      <c r="AB964" s="469"/>
    </row>
    <row r="965" ht="14.25" customHeight="1">
      <c r="A965" s="464"/>
      <c r="B965" s="481"/>
      <c r="C965" s="466"/>
      <c r="D965" s="484"/>
      <c r="E965" s="466"/>
      <c r="F965" s="485"/>
      <c r="G965" s="485"/>
      <c r="H965" s="485"/>
      <c r="I965" s="331"/>
      <c r="J965" s="469"/>
      <c r="K965" s="469"/>
      <c r="L965" s="469"/>
      <c r="M965" s="469"/>
      <c r="N965" s="469"/>
      <c r="O965" s="469"/>
      <c r="P965" s="469"/>
      <c r="Q965" s="469"/>
      <c r="R965" s="469"/>
      <c r="S965" s="469"/>
      <c r="T965" s="469"/>
      <c r="U965" s="469"/>
      <c r="V965" s="469"/>
      <c r="W965" s="469"/>
      <c r="X965" s="469"/>
      <c r="Y965" s="469"/>
      <c r="Z965" s="469"/>
      <c r="AA965" s="469"/>
      <c r="AB965" s="469"/>
    </row>
    <row r="966" ht="14.25" customHeight="1">
      <c r="A966" s="464"/>
      <c r="B966" s="481"/>
      <c r="C966" s="466"/>
      <c r="D966" s="484"/>
      <c r="E966" s="466"/>
      <c r="F966" s="485"/>
      <c r="G966" s="485"/>
      <c r="H966" s="485"/>
      <c r="I966" s="331"/>
      <c r="J966" s="469"/>
      <c r="K966" s="469"/>
      <c r="L966" s="469"/>
      <c r="M966" s="469"/>
      <c r="N966" s="469"/>
      <c r="O966" s="469"/>
      <c r="P966" s="469"/>
      <c r="Q966" s="469"/>
      <c r="R966" s="469"/>
      <c r="S966" s="469"/>
      <c r="T966" s="469"/>
      <c r="U966" s="469"/>
      <c r="V966" s="469"/>
      <c r="W966" s="469"/>
      <c r="X966" s="469"/>
      <c r="Y966" s="469"/>
      <c r="Z966" s="469"/>
      <c r="AA966" s="469"/>
      <c r="AB966" s="469"/>
    </row>
    <row r="967" ht="14.25" customHeight="1">
      <c r="A967" s="464"/>
      <c r="B967" s="481"/>
      <c r="C967" s="466"/>
      <c r="D967" s="484"/>
      <c r="E967" s="466"/>
      <c r="F967" s="485"/>
      <c r="G967" s="485"/>
      <c r="H967" s="485"/>
      <c r="I967" s="331"/>
      <c r="J967" s="469"/>
      <c r="K967" s="469"/>
      <c r="L967" s="469"/>
      <c r="M967" s="469"/>
      <c r="N967" s="469"/>
      <c r="O967" s="469"/>
      <c r="P967" s="469"/>
      <c r="Q967" s="469"/>
      <c r="R967" s="469"/>
      <c r="S967" s="469"/>
      <c r="T967" s="469"/>
      <c r="U967" s="469"/>
      <c r="V967" s="469"/>
      <c r="W967" s="469"/>
      <c r="X967" s="469"/>
      <c r="Y967" s="469"/>
      <c r="Z967" s="469"/>
      <c r="AA967" s="469"/>
      <c r="AB967" s="469"/>
    </row>
    <row r="968" ht="14.25" customHeight="1">
      <c r="A968" s="464"/>
      <c r="B968" s="481"/>
      <c r="C968" s="466"/>
      <c r="D968" s="484"/>
      <c r="E968" s="466"/>
      <c r="F968" s="485"/>
      <c r="G968" s="485"/>
      <c r="H968" s="485"/>
      <c r="I968" s="331"/>
      <c r="J968" s="469"/>
      <c r="K968" s="469"/>
      <c r="L968" s="469"/>
      <c r="M968" s="469"/>
      <c r="N968" s="469"/>
      <c r="O968" s="469"/>
      <c r="P968" s="469"/>
      <c r="Q968" s="469"/>
      <c r="R968" s="469"/>
      <c r="S968" s="469"/>
      <c r="T968" s="469"/>
      <c r="U968" s="469"/>
      <c r="V968" s="469"/>
      <c r="W968" s="469"/>
      <c r="X968" s="469"/>
      <c r="Y968" s="469"/>
      <c r="Z968" s="469"/>
      <c r="AA968" s="469"/>
      <c r="AB968" s="469"/>
    </row>
    <row r="969" ht="14.25" customHeight="1">
      <c r="A969" s="464"/>
      <c r="B969" s="481"/>
      <c r="C969" s="466"/>
      <c r="D969" s="484"/>
      <c r="E969" s="466"/>
      <c r="F969" s="485"/>
      <c r="G969" s="485"/>
      <c r="H969" s="485"/>
      <c r="I969" s="331"/>
      <c r="J969" s="469"/>
      <c r="K969" s="469"/>
      <c r="L969" s="469"/>
      <c r="M969" s="469"/>
      <c r="N969" s="469"/>
      <c r="O969" s="469"/>
      <c r="P969" s="469"/>
      <c r="Q969" s="469"/>
      <c r="R969" s="469"/>
      <c r="S969" s="469"/>
      <c r="T969" s="469"/>
      <c r="U969" s="469"/>
      <c r="V969" s="469"/>
      <c r="W969" s="469"/>
      <c r="X969" s="469"/>
      <c r="Y969" s="469"/>
      <c r="Z969" s="469"/>
      <c r="AA969" s="469"/>
      <c r="AB969" s="469"/>
    </row>
    <row r="970" ht="14.25" customHeight="1">
      <c r="A970" s="464"/>
      <c r="B970" s="481"/>
      <c r="C970" s="466"/>
      <c r="D970" s="484"/>
      <c r="E970" s="466"/>
      <c r="F970" s="485"/>
      <c r="G970" s="485"/>
      <c r="H970" s="485"/>
      <c r="I970" s="331"/>
      <c r="J970" s="469"/>
      <c r="K970" s="469"/>
      <c r="L970" s="469"/>
      <c r="M970" s="469"/>
      <c r="N970" s="469"/>
      <c r="O970" s="469"/>
      <c r="P970" s="469"/>
      <c r="Q970" s="469"/>
      <c r="R970" s="469"/>
      <c r="S970" s="469"/>
      <c r="T970" s="469"/>
      <c r="U970" s="469"/>
      <c r="V970" s="469"/>
      <c r="W970" s="469"/>
      <c r="X970" s="469"/>
      <c r="Y970" s="469"/>
      <c r="Z970" s="469"/>
      <c r="AA970" s="469"/>
      <c r="AB970" s="469"/>
    </row>
    <row r="971" ht="14.25" customHeight="1">
      <c r="A971" s="464"/>
      <c r="B971" s="481"/>
      <c r="C971" s="466"/>
      <c r="D971" s="484"/>
      <c r="E971" s="466"/>
      <c r="F971" s="485"/>
      <c r="G971" s="485"/>
      <c r="H971" s="485"/>
      <c r="I971" s="331"/>
      <c r="J971" s="469"/>
      <c r="K971" s="469"/>
      <c r="L971" s="469"/>
      <c r="M971" s="469"/>
      <c r="N971" s="469"/>
      <c r="O971" s="469"/>
      <c r="P971" s="469"/>
      <c r="Q971" s="469"/>
      <c r="R971" s="469"/>
      <c r="S971" s="469"/>
      <c r="T971" s="469"/>
      <c r="U971" s="469"/>
      <c r="V971" s="469"/>
      <c r="W971" s="469"/>
      <c r="X971" s="469"/>
      <c r="Y971" s="469"/>
      <c r="Z971" s="469"/>
      <c r="AA971" s="469"/>
      <c r="AB971" s="469"/>
    </row>
    <row r="972" ht="14.25" customHeight="1">
      <c r="A972" s="464"/>
      <c r="B972" s="481"/>
      <c r="C972" s="466"/>
      <c r="D972" s="484"/>
      <c r="E972" s="466"/>
      <c r="F972" s="485"/>
      <c r="G972" s="485"/>
      <c r="H972" s="485"/>
      <c r="I972" s="331"/>
      <c r="J972" s="469"/>
      <c r="K972" s="469"/>
      <c r="L972" s="469"/>
      <c r="M972" s="469"/>
      <c r="N972" s="469"/>
      <c r="O972" s="469"/>
      <c r="P972" s="469"/>
      <c r="Q972" s="469"/>
      <c r="R972" s="469"/>
      <c r="S972" s="469"/>
      <c r="T972" s="469"/>
      <c r="U972" s="469"/>
      <c r="V972" s="469"/>
      <c r="W972" s="469"/>
      <c r="X972" s="469"/>
      <c r="Y972" s="469"/>
      <c r="Z972" s="469"/>
      <c r="AA972" s="469"/>
      <c r="AB972" s="469"/>
    </row>
    <row r="973" ht="14.25" customHeight="1">
      <c r="A973" s="464"/>
      <c r="B973" s="481"/>
      <c r="C973" s="466"/>
      <c r="D973" s="484"/>
      <c r="E973" s="466"/>
      <c r="F973" s="485"/>
      <c r="G973" s="485"/>
      <c r="H973" s="485"/>
      <c r="I973" s="331"/>
      <c r="J973" s="469"/>
      <c r="K973" s="469"/>
      <c r="L973" s="469"/>
      <c r="M973" s="469"/>
      <c r="N973" s="469"/>
      <c r="O973" s="469"/>
      <c r="P973" s="469"/>
      <c r="Q973" s="469"/>
      <c r="R973" s="469"/>
      <c r="S973" s="469"/>
      <c r="T973" s="469"/>
      <c r="U973" s="469"/>
      <c r="V973" s="469"/>
      <c r="W973" s="469"/>
      <c r="X973" s="469"/>
      <c r="Y973" s="469"/>
      <c r="Z973" s="469"/>
      <c r="AA973" s="469"/>
      <c r="AB973" s="469"/>
    </row>
    <row r="974" ht="14.25" customHeight="1">
      <c r="A974" s="464"/>
      <c r="B974" s="481"/>
      <c r="C974" s="466"/>
      <c r="D974" s="484"/>
      <c r="E974" s="466"/>
      <c r="F974" s="485"/>
      <c r="G974" s="485"/>
      <c r="H974" s="485"/>
      <c r="I974" s="331"/>
      <c r="J974" s="469"/>
      <c r="K974" s="469"/>
      <c r="L974" s="469"/>
      <c r="M974" s="469"/>
      <c r="N974" s="469"/>
      <c r="O974" s="469"/>
      <c r="P974" s="469"/>
      <c r="Q974" s="469"/>
      <c r="R974" s="469"/>
      <c r="S974" s="469"/>
      <c r="T974" s="469"/>
      <c r="U974" s="469"/>
      <c r="V974" s="469"/>
      <c r="W974" s="469"/>
      <c r="X974" s="469"/>
      <c r="Y974" s="469"/>
      <c r="Z974" s="469"/>
      <c r="AA974" s="469"/>
      <c r="AB974" s="469"/>
    </row>
    <row r="975" ht="14.25" customHeight="1">
      <c r="A975" s="464"/>
      <c r="B975" s="481"/>
      <c r="C975" s="466"/>
      <c r="D975" s="484"/>
      <c r="E975" s="466"/>
      <c r="F975" s="485"/>
      <c r="G975" s="485"/>
      <c r="H975" s="485"/>
      <c r="I975" s="331"/>
      <c r="J975" s="469"/>
      <c r="K975" s="469"/>
      <c r="L975" s="469"/>
      <c r="M975" s="469"/>
      <c r="N975" s="469"/>
      <c r="O975" s="469"/>
      <c r="P975" s="469"/>
      <c r="Q975" s="469"/>
      <c r="R975" s="469"/>
      <c r="S975" s="469"/>
      <c r="T975" s="469"/>
      <c r="U975" s="469"/>
      <c r="V975" s="469"/>
      <c r="W975" s="469"/>
      <c r="X975" s="469"/>
      <c r="Y975" s="469"/>
      <c r="Z975" s="469"/>
      <c r="AA975" s="469"/>
      <c r="AB975" s="469"/>
    </row>
    <row r="976" ht="14.25" customHeight="1">
      <c r="A976" s="464"/>
      <c r="B976" s="481"/>
      <c r="C976" s="466"/>
      <c r="D976" s="484"/>
      <c r="E976" s="466"/>
      <c r="F976" s="485"/>
      <c r="G976" s="485"/>
      <c r="H976" s="485"/>
      <c r="I976" s="331"/>
      <c r="J976" s="469"/>
      <c r="K976" s="469"/>
      <c r="L976" s="469"/>
      <c r="M976" s="469"/>
      <c r="N976" s="469"/>
      <c r="O976" s="469"/>
      <c r="P976" s="469"/>
      <c r="Q976" s="469"/>
      <c r="R976" s="469"/>
      <c r="S976" s="469"/>
      <c r="T976" s="469"/>
      <c r="U976" s="469"/>
      <c r="V976" s="469"/>
      <c r="W976" s="469"/>
      <c r="X976" s="469"/>
      <c r="Y976" s="469"/>
      <c r="Z976" s="469"/>
      <c r="AA976" s="469"/>
      <c r="AB976" s="469"/>
    </row>
    <row r="977" ht="14.25" customHeight="1">
      <c r="A977" s="464"/>
      <c r="B977" s="481"/>
      <c r="C977" s="466"/>
      <c r="D977" s="484"/>
      <c r="E977" s="466"/>
      <c r="F977" s="485"/>
      <c r="G977" s="485"/>
      <c r="H977" s="485"/>
      <c r="I977" s="331"/>
      <c r="J977" s="469"/>
      <c r="K977" s="469"/>
      <c r="L977" s="469"/>
      <c r="M977" s="469"/>
      <c r="N977" s="469"/>
      <c r="O977" s="469"/>
      <c r="P977" s="469"/>
      <c r="Q977" s="469"/>
      <c r="R977" s="469"/>
      <c r="S977" s="469"/>
      <c r="T977" s="469"/>
      <c r="U977" s="469"/>
      <c r="V977" s="469"/>
      <c r="W977" s="469"/>
      <c r="X977" s="469"/>
      <c r="Y977" s="469"/>
      <c r="Z977" s="469"/>
      <c r="AA977" s="469"/>
      <c r="AB977" s="469"/>
    </row>
    <row r="978" ht="14.25" customHeight="1">
      <c r="A978" s="464"/>
      <c r="B978" s="481"/>
      <c r="C978" s="466"/>
      <c r="D978" s="484"/>
      <c r="E978" s="466"/>
      <c r="F978" s="485"/>
      <c r="G978" s="485"/>
      <c r="H978" s="485"/>
      <c r="I978" s="331"/>
      <c r="J978" s="469"/>
      <c r="K978" s="469"/>
      <c r="L978" s="469"/>
      <c r="M978" s="469"/>
      <c r="N978" s="469"/>
      <c r="O978" s="469"/>
      <c r="P978" s="469"/>
      <c r="Q978" s="469"/>
      <c r="R978" s="469"/>
      <c r="S978" s="469"/>
      <c r="T978" s="469"/>
      <c r="U978" s="469"/>
      <c r="V978" s="469"/>
      <c r="W978" s="469"/>
      <c r="X978" s="469"/>
      <c r="Y978" s="469"/>
      <c r="Z978" s="469"/>
      <c r="AA978" s="469"/>
      <c r="AB978" s="469"/>
    </row>
    <row r="979" ht="14.25" customHeight="1">
      <c r="A979" s="464"/>
      <c r="B979" s="481"/>
      <c r="C979" s="466"/>
      <c r="D979" s="484"/>
      <c r="E979" s="466"/>
      <c r="F979" s="485"/>
      <c r="G979" s="485"/>
      <c r="H979" s="485"/>
      <c r="I979" s="331"/>
      <c r="J979" s="469"/>
      <c r="K979" s="469"/>
      <c r="L979" s="469"/>
      <c r="M979" s="469"/>
      <c r="N979" s="469"/>
      <c r="O979" s="469"/>
      <c r="P979" s="469"/>
      <c r="Q979" s="469"/>
      <c r="R979" s="469"/>
      <c r="S979" s="469"/>
      <c r="T979" s="469"/>
      <c r="U979" s="469"/>
      <c r="V979" s="469"/>
      <c r="W979" s="469"/>
      <c r="X979" s="469"/>
      <c r="Y979" s="469"/>
      <c r="Z979" s="469"/>
      <c r="AA979" s="469"/>
      <c r="AB979" s="469"/>
    </row>
    <row r="980" ht="14.25" customHeight="1">
      <c r="A980" s="464"/>
      <c r="B980" s="481"/>
      <c r="C980" s="466"/>
      <c r="D980" s="484"/>
      <c r="E980" s="466"/>
      <c r="F980" s="485"/>
      <c r="G980" s="485"/>
      <c r="H980" s="485"/>
      <c r="I980" s="331"/>
      <c r="J980" s="469"/>
      <c r="K980" s="469"/>
      <c r="L980" s="469"/>
      <c r="M980" s="469"/>
      <c r="N980" s="469"/>
      <c r="O980" s="469"/>
      <c r="P980" s="469"/>
      <c r="Q980" s="469"/>
      <c r="R980" s="469"/>
      <c r="S980" s="469"/>
      <c r="T980" s="469"/>
      <c r="U980" s="469"/>
      <c r="V980" s="469"/>
      <c r="W980" s="469"/>
      <c r="X980" s="469"/>
      <c r="Y980" s="469"/>
      <c r="Z980" s="469"/>
      <c r="AA980" s="469"/>
      <c r="AB980" s="469"/>
    </row>
    <row r="981" ht="14.25" customHeight="1">
      <c r="A981" s="464"/>
      <c r="B981" s="481"/>
      <c r="C981" s="466"/>
      <c r="D981" s="484"/>
      <c r="E981" s="466"/>
      <c r="F981" s="485"/>
      <c r="G981" s="485"/>
      <c r="H981" s="485"/>
      <c r="I981" s="331"/>
      <c r="J981" s="469"/>
      <c r="K981" s="469"/>
      <c r="L981" s="469"/>
      <c r="M981" s="469"/>
      <c r="N981" s="469"/>
      <c r="O981" s="469"/>
      <c r="P981" s="469"/>
      <c r="Q981" s="469"/>
      <c r="R981" s="469"/>
      <c r="S981" s="469"/>
      <c r="T981" s="469"/>
      <c r="U981" s="469"/>
      <c r="V981" s="469"/>
      <c r="W981" s="469"/>
      <c r="X981" s="469"/>
      <c r="Y981" s="469"/>
      <c r="Z981" s="469"/>
      <c r="AA981" s="469"/>
      <c r="AB981" s="469"/>
    </row>
    <row r="982" ht="14.25" customHeight="1">
      <c r="A982" s="464"/>
      <c r="B982" s="481"/>
      <c r="C982" s="466"/>
      <c r="D982" s="484"/>
      <c r="E982" s="466"/>
      <c r="F982" s="485"/>
      <c r="G982" s="485"/>
      <c r="H982" s="485"/>
      <c r="I982" s="331"/>
      <c r="J982" s="469"/>
      <c r="K982" s="469"/>
      <c r="L982" s="469"/>
      <c r="M982" s="469"/>
      <c r="N982" s="469"/>
      <c r="O982" s="469"/>
      <c r="P982" s="469"/>
      <c r="Q982" s="469"/>
      <c r="R982" s="469"/>
      <c r="S982" s="469"/>
      <c r="T982" s="469"/>
      <c r="U982" s="469"/>
      <c r="V982" s="469"/>
      <c r="W982" s="469"/>
      <c r="X982" s="469"/>
      <c r="Y982" s="469"/>
      <c r="Z982" s="469"/>
      <c r="AA982" s="469"/>
      <c r="AB982" s="469"/>
    </row>
    <row r="983" ht="14.25" customHeight="1">
      <c r="A983" s="464"/>
      <c r="B983" s="481"/>
      <c r="C983" s="466"/>
      <c r="D983" s="484"/>
      <c r="E983" s="466"/>
      <c r="F983" s="485"/>
      <c r="G983" s="485"/>
      <c r="H983" s="485"/>
      <c r="I983" s="331"/>
      <c r="J983" s="469"/>
      <c r="K983" s="469"/>
      <c r="L983" s="469"/>
      <c r="M983" s="469"/>
      <c r="N983" s="469"/>
      <c r="O983" s="469"/>
      <c r="P983" s="469"/>
      <c r="Q983" s="469"/>
      <c r="R983" s="469"/>
      <c r="S983" s="469"/>
      <c r="T983" s="469"/>
      <c r="U983" s="469"/>
      <c r="V983" s="469"/>
      <c r="W983" s="469"/>
      <c r="X983" s="469"/>
      <c r="Y983" s="469"/>
      <c r="Z983" s="469"/>
      <c r="AA983" s="469"/>
      <c r="AB983" s="469"/>
    </row>
    <row r="984" ht="14.25" customHeight="1">
      <c r="A984" s="464"/>
      <c r="B984" s="481"/>
      <c r="C984" s="466"/>
      <c r="D984" s="484"/>
      <c r="E984" s="466"/>
      <c r="F984" s="485"/>
      <c r="G984" s="485"/>
      <c r="H984" s="485"/>
      <c r="I984" s="331"/>
      <c r="J984" s="469"/>
      <c r="K984" s="469"/>
      <c r="L984" s="469"/>
      <c r="M984" s="469"/>
      <c r="N984" s="469"/>
      <c r="O984" s="469"/>
      <c r="P984" s="469"/>
      <c r="Q984" s="469"/>
      <c r="R984" s="469"/>
      <c r="S984" s="469"/>
      <c r="T984" s="469"/>
      <c r="U984" s="469"/>
      <c r="V984" s="469"/>
      <c r="W984" s="469"/>
      <c r="X984" s="469"/>
      <c r="Y984" s="469"/>
      <c r="Z984" s="469"/>
      <c r="AA984" s="469"/>
      <c r="AB984" s="469"/>
    </row>
    <row r="985" ht="14.25" customHeight="1">
      <c r="A985" s="464"/>
      <c r="B985" s="481"/>
      <c r="C985" s="466"/>
      <c r="D985" s="484"/>
      <c r="E985" s="466"/>
      <c r="F985" s="485"/>
      <c r="G985" s="485"/>
      <c r="H985" s="485"/>
      <c r="I985" s="331"/>
      <c r="J985" s="469"/>
      <c r="K985" s="469"/>
      <c r="L985" s="469"/>
      <c r="M985" s="469"/>
      <c r="N985" s="469"/>
      <c r="O985" s="469"/>
      <c r="P985" s="469"/>
      <c r="Q985" s="469"/>
      <c r="R985" s="469"/>
      <c r="S985" s="469"/>
      <c r="T985" s="469"/>
      <c r="U985" s="469"/>
      <c r="V985" s="469"/>
      <c r="W985" s="469"/>
      <c r="X985" s="469"/>
      <c r="Y985" s="469"/>
      <c r="Z985" s="469"/>
      <c r="AA985" s="469"/>
      <c r="AB985" s="469"/>
    </row>
    <row r="986" ht="14.25" customHeight="1">
      <c r="A986" s="464"/>
      <c r="B986" s="481"/>
      <c r="C986" s="466"/>
      <c r="D986" s="484"/>
      <c r="E986" s="466"/>
      <c r="F986" s="485"/>
      <c r="G986" s="485"/>
      <c r="H986" s="485"/>
      <c r="I986" s="331"/>
      <c r="J986" s="469"/>
      <c r="K986" s="469"/>
      <c r="L986" s="469"/>
      <c r="M986" s="469"/>
      <c r="N986" s="469"/>
      <c r="O986" s="469"/>
      <c r="P986" s="469"/>
      <c r="Q986" s="469"/>
      <c r="R986" s="469"/>
      <c r="S986" s="469"/>
      <c r="T986" s="469"/>
      <c r="U986" s="469"/>
      <c r="V986" s="469"/>
      <c r="W986" s="469"/>
      <c r="X986" s="469"/>
      <c r="Y986" s="469"/>
      <c r="Z986" s="469"/>
      <c r="AA986" s="469"/>
      <c r="AB986" s="469"/>
    </row>
    <row r="987" ht="14.25" customHeight="1">
      <c r="A987" s="464"/>
      <c r="B987" s="481"/>
      <c r="C987" s="466"/>
      <c r="D987" s="484"/>
      <c r="E987" s="466"/>
      <c r="F987" s="485"/>
      <c r="G987" s="485"/>
      <c r="H987" s="485"/>
      <c r="I987" s="331"/>
      <c r="J987" s="469"/>
      <c r="K987" s="469"/>
      <c r="L987" s="469"/>
      <c r="M987" s="469"/>
      <c r="N987" s="469"/>
      <c r="O987" s="469"/>
      <c r="P987" s="469"/>
      <c r="Q987" s="469"/>
      <c r="R987" s="469"/>
      <c r="S987" s="469"/>
      <c r="T987" s="469"/>
      <c r="U987" s="469"/>
      <c r="V987" s="469"/>
      <c r="W987" s="469"/>
      <c r="X987" s="469"/>
      <c r="Y987" s="469"/>
      <c r="Z987" s="469"/>
      <c r="AA987" s="469"/>
      <c r="AB987" s="469"/>
    </row>
    <row r="988" ht="14.25" customHeight="1">
      <c r="A988" s="464"/>
      <c r="B988" s="481"/>
      <c r="C988" s="466"/>
      <c r="D988" s="484"/>
      <c r="E988" s="466"/>
      <c r="F988" s="485"/>
      <c r="G988" s="485"/>
      <c r="H988" s="485"/>
      <c r="I988" s="331"/>
      <c r="J988" s="469"/>
      <c r="K988" s="469"/>
      <c r="L988" s="469"/>
      <c r="M988" s="469"/>
      <c r="N988" s="469"/>
      <c r="O988" s="469"/>
      <c r="P988" s="469"/>
      <c r="Q988" s="469"/>
      <c r="R988" s="469"/>
      <c r="S988" s="469"/>
      <c r="T988" s="469"/>
      <c r="U988" s="469"/>
      <c r="V988" s="469"/>
      <c r="W988" s="469"/>
      <c r="X988" s="469"/>
      <c r="Y988" s="469"/>
      <c r="Z988" s="469"/>
      <c r="AA988" s="469"/>
      <c r="AB988" s="469"/>
    </row>
    <row r="989" ht="14.25" customHeight="1">
      <c r="A989" s="464"/>
      <c r="B989" s="481"/>
      <c r="C989" s="466"/>
      <c r="D989" s="484"/>
      <c r="E989" s="466"/>
      <c r="F989" s="485"/>
      <c r="G989" s="485"/>
      <c r="H989" s="485"/>
      <c r="I989" s="331"/>
      <c r="J989" s="469"/>
      <c r="K989" s="469"/>
      <c r="L989" s="469"/>
      <c r="M989" s="469"/>
      <c r="N989" s="469"/>
      <c r="O989" s="469"/>
      <c r="P989" s="469"/>
      <c r="Q989" s="469"/>
      <c r="R989" s="469"/>
      <c r="S989" s="469"/>
      <c r="T989" s="469"/>
      <c r="U989" s="469"/>
      <c r="V989" s="469"/>
      <c r="W989" s="469"/>
      <c r="X989" s="469"/>
      <c r="Y989" s="469"/>
      <c r="Z989" s="469"/>
      <c r="AA989" s="469"/>
      <c r="AB989" s="469"/>
    </row>
    <row r="990" ht="14.25" customHeight="1">
      <c r="A990" s="464"/>
      <c r="B990" s="481"/>
      <c r="C990" s="466"/>
      <c r="D990" s="484"/>
      <c r="E990" s="466"/>
      <c r="F990" s="485"/>
      <c r="G990" s="485"/>
      <c r="H990" s="485"/>
      <c r="I990" s="331"/>
      <c r="J990" s="469"/>
      <c r="K990" s="469"/>
      <c r="L990" s="469"/>
      <c r="M990" s="469"/>
      <c r="N990" s="469"/>
      <c r="O990" s="469"/>
      <c r="P990" s="469"/>
      <c r="Q990" s="469"/>
      <c r="R990" s="469"/>
      <c r="S990" s="469"/>
      <c r="T990" s="469"/>
      <c r="U990" s="469"/>
      <c r="V990" s="469"/>
      <c r="W990" s="469"/>
      <c r="X990" s="469"/>
      <c r="Y990" s="469"/>
      <c r="Z990" s="469"/>
      <c r="AA990" s="469"/>
      <c r="AB990" s="469"/>
    </row>
    <row r="991" ht="14.25" customHeight="1">
      <c r="A991" s="464"/>
      <c r="B991" s="481"/>
      <c r="C991" s="466"/>
      <c r="D991" s="484"/>
      <c r="E991" s="466"/>
      <c r="F991" s="485"/>
      <c r="G991" s="485"/>
      <c r="H991" s="485"/>
      <c r="I991" s="331"/>
      <c r="J991" s="469"/>
      <c r="K991" s="469"/>
      <c r="L991" s="469"/>
      <c r="M991" s="469"/>
      <c r="N991" s="469"/>
      <c r="O991" s="469"/>
      <c r="P991" s="469"/>
      <c r="Q991" s="469"/>
      <c r="R991" s="469"/>
      <c r="S991" s="469"/>
      <c r="T991" s="469"/>
      <c r="U991" s="469"/>
      <c r="V991" s="469"/>
      <c r="W991" s="469"/>
      <c r="X991" s="469"/>
      <c r="Y991" s="469"/>
      <c r="Z991" s="469"/>
      <c r="AA991" s="469"/>
      <c r="AB991" s="469"/>
    </row>
    <row r="992" ht="14.25" customHeight="1">
      <c r="A992" s="464"/>
      <c r="B992" s="481"/>
      <c r="C992" s="466"/>
      <c r="D992" s="484"/>
      <c r="E992" s="466"/>
      <c r="F992" s="485"/>
      <c r="G992" s="485"/>
      <c r="H992" s="485"/>
      <c r="I992" s="331"/>
      <c r="J992" s="469"/>
      <c r="K992" s="469"/>
      <c r="L992" s="469"/>
      <c r="M992" s="469"/>
      <c r="N992" s="469"/>
      <c r="O992" s="469"/>
      <c r="P992" s="469"/>
      <c r="Q992" s="469"/>
      <c r="R992" s="469"/>
      <c r="S992" s="469"/>
      <c r="T992" s="469"/>
      <c r="U992" s="469"/>
      <c r="V992" s="469"/>
      <c r="W992" s="469"/>
      <c r="X992" s="469"/>
      <c r="Y992" s="469"/>
      <c r="Z992" s="469"/>
      <c r="AA992" s="469"/>
      <c r="AB992" s="469"/>
    </row>
    <row r="993" ht="14.25" customHeight="1">
      <c r="A993" s="464"/>
      <c r="B993" s="481"/>
      <c r="C993" s="466"/>
      <c r="D993" s="484"/>
      <c r="E993" s="466"/>
      <c r="F993" s="485"/>
      <c r="G993" s="485"/>
      <c r="H993" s="485"/>
      <c r="I993" s="331"/>
      <c r="J993" s="469"/>
      <c r="K993" s="469"/>
      <c r="L993" s="469"/>
      <c r="M993" s="469"/>
      <c r="N993" s="469"/>
      <c r="O993" s="469"/>
      <c r="P993" s="469"/>
      <c r="Q993" s="469"/>
      <c r="R993" s="469"/>
      <c r="S993" s="469"/>
      <c r="T993" s="469"/>
      <c r="U993" s="469"/>
      <c r="V993" s="469"/>
      <c r="W993" s="469"/>
      <c r="X993" s="469"/>
      <c r="Y993" s="469"/>
      <c r="Z993" s="469"/>
      <c r="AA993" s="469"/>
      <c r="AB993" s="469"/>
    </row>
    <row r="994" ht="14.25" customHeight="1">
      <c r="A994" s="464"/>
      <c r="B994" s="481"/>
      <c r="C994" s="466"/>
      <c r="D994" s="484"/>
      <c r="E994" s="466"/>
      <c r="F994" s="485"/>
      <c r="G994" s="485"/>
      <c r="H994" s="485"/>
      <c r="I994" s="331"/>
      <c r="J994" s="469"/>
      <c r="K994" s="469"/>
      <c r="L994" s="469"/>
      <c r="M994" s="469"/>
      <c r="N994" s="469"/>
      <c r="O994" s="469"/>
      <c r="P994" s="469"/>
      <c r="Q994" s="469"/>
      <c r="R994" s="469"/>
      <c r="S994" s="469"/>
      <c r="T994" s="469"/>
      <c r="U994" s="469"/>
      <c r="V994" s="469"/>
      <c r="W994" s="469"/>
      <c r="X994" s="469"/>
      <c r="Y994" s="469"/>
      <c r="Z994" s="469"/>
      <c r="AA994" s="469"/>
      <c r="AB994" s="469"/>
    </row>
    <row r="995" ht="14.25" customHeight="1">
      <c r="A995" s="464"/>
      <c r="B995" s="481"/>
      <c r="C995" s="466"/>
      <c r="D995" s="484"/>
      <c r="E995" s="466"/>
      <c r="F995" s="485"/>
      <c r="G995" s="485"/>
      <c r="H995" s="485"/>
      <c r="I995" s="331"/>
      <c r="J995" s="469"/>
      <c r="K995" s="469"/>
      <c r="L995" s="469"/>
      <c r="M995" s="469"/>
      <c r="N995" s="469"/>
      <c r="O995" s="469"/>
      <c r="P995" s="469"/>
      <c r="Q995" s="469"/>
      <c r="R995" s="469"/>
      <c r="S995" s="469"/>
      <c r="T995" s="469"/>
      <c r="U995" s="469"/>
      <c r="V995" s="469"/>
      <c r="W995" s="469"/>
      <c r="X995" s="469"/>
      <c r="Y995" s="469"/>
      <c r="Z995" s="469"/>
      <c r="AA995" s="469"/>
      <c r="AB995" s="469"/>
    </row>
    <row r="996" ht="14.25" customHeight="1">
      <c r="A996" s="464"/>
      <c r="B996" s="481"/>
      <c r="C996" s="466"/>
      <c r="D996" s="484"/>
      <c r="E996" s="466"/>
      <c r="F996" s="485"/>
      <c r="G996" s="485"/>
      <c r="H996" s="485"/>
      <c r="I996" s="331"/>
      <c r="J996" s="469"/>
      <c r="K996" s="469"/>
      <c r="L996" s="469"/>
      <c r="M996" s="469"/>
      <c r="N996" s="469"/>
      <c r="O996" s="469"/>
      <c r="P996" s="469"/>
      <c r="Q996" s="469"/>
      <c r="R996" s="469"/>
      <c r="S996" s="469"/>
      <c r="T996" s="469"/>
      <c r="U996" s="469"/>
      <c r="V996" s="469"/>
      <c r="W996" s="469"/>
      <c r="X996" s="469"/>
      <c r="Y996" s="469"/>
      <c r="Z996" s="469"/>
      <c r="AA996" s="469"/>
      <c r="AB996" s="469"/>
    </row>
    <row r="997" ht="14.25" customHeight="1">
      <c r="A997" s="464"/>
      <c r="B997" s="481"/>
      <c r="C997" s="466"/>
      <c r="D997" s="484"/>
      <c r="E997" s="466"/>
      <c r="F997" s="485"/>
      <c r="G997" s="485"/>
      <c r="H997" s="485"/>
      <c r="I997" s="331"/>
      <c r="J997" s="469"/>
      <c r="K997" s="469"/>
      <c r="L997" s="469"/>
      <c r="M997" s="469"/>
      <c r="N997" s="469"/>
      <c r="O997" s="469"/>
      <c r="P997" s="469"/>
      <c r="Q997" s="469"/>
      <c r="R997" s="469"/>
      <c r="S997" s="469"/>
      <c r="T997" s="469"/>
      <c r="U997" s="469"/>
      <c r="V997" s="469"/>
      <c r="W997" s="469"/>
      <c r="X997" s="469"/>
      <c r="Y997" s="469"/>
      <c r="Z997" s="469"/>
      <c r="AA997" s="469"/>
      <c r="AB997" s="469"/>
    </row>
    <row r="998" ht="14.25" customHeight="1">
      <c r="A998" s="464"/>
      <c r="B998" s="481"/>
      <c r="C998" s="466"/>
      <c r="D998" s="484"/>
      <c r="E998" s="466"/>
      <c r="F998" s="485"/>
      <c r="G998" s="485"/>
      <c r="H998" s="485"/>
      <c r="I998" s="331"/>
      <c r="J998" s="469"/>
      <c r="K998" s="469"/>
      <c r="L998" s="469"/>
      <c r="M998" s="469"/>
      <c r="N998" s="469"/>
      <c r="O998" s="469"/>
      <c r="P998" s="469"/>
      <c r="Q998" s="469"/>
      <c r="R998" s="469"/>
      <c r="S998" s="469"/>
      <c r="T998" s="469"/>
      <c r="U998" s="469"/>
      <c r="V998" s="469"/>
      <c r="W998" s="469"/>
      <c r="X998" s="469"/>
      <c r="Y998" s="469"/>
      <c r="Z998" s="469"/>
      <c r="AA998" s="469"/>
      <c r="AB998" s="469"/>
    </row>
    <row r="999" ht="14.25" customHeight="1">
      <c r="A999" s="464"/>
      <c r="B999" s="481"/>
      <c r="C999" s="466"/>
      <c r="D999" s="484"/>
      <c r="E999" s="466"/>
      <c r="F999" s="485"/>
      <c r="G999" s="485"/>
      <c r="H999" s="485"/>
      <c r="I999" s="331"/>
      <c r="J999" s="469"/>
      <c r="K999" s="469"/>
      <c r="L999" s="469"/>
      <c r="M999" s="469"/>
      <c r="N999" s="469"/>
      <c r="O999" s="469"/>
      <c r="P999" s="469"/>
      <c r="Q999" s="469"/>
      <c r="R999" s="469"/>
      <c r="S999" s="469"/>
      <c r="T999" s="469"/>
      <c r="U999" s="469"/>
      <c r="V999" s="469"/>
      <c r="W999" s="469"/>
      <c r="X999" s="469"/>
      <c r="Y999" s="469"/>
      <c r="Z999" s="469"/>
      <c r="AA999" s="469"/>
      <c r="AB999" s="469"/>
    </row>
    <row r="1000" ht="14.25" customHeight="1">
      <c r="A1000" s="464"/>
      <c r="B1000" s="481"/>
      <c r="C1000" s="466"/>
      <c r="D1000" s="484"/>
      <c r="E1000" s="466"/>
      <c r="F1000" s="485"/>
      <c r="G1000" s="485"/>
      <c r="H1000" s="485"/>
      <c r="I1000" s="331"/>
      <c r="J1000" s="469"/>
      <c r="K1000" s="469"/>
      <c r="L1000" s="469"/>
      <c r="M1000" s="469"/>
      <c r="N1000" s="469"/>
      <c r="O1000" s="469"/>
      <c r="P1000" s="469"/>
      <c r="Q1000" s="469"/>
      <c r="R1000" s="469"/>
      <c r="S1000" s="469"/>
      <c r="T1000" s="469"/>
      <c r="U1000" s="469"/>
      <c r="V1000" s="469"/>
      <c r="W1000" s="469"/>
      <c r="X1000" s="469"/>
      <c r="Y1000" s="469"/>
      <c r="Z1000" s="469"/>
      <c r="AA1000" s="469"/>
      <c r="AB1000" s="469"/>
    </row>
    <row r="1001" ht="14.25" customHeight="1">
      <c r="A1001" s="464"/>
      <c r="B1001" s="481"/>
      <c r="C1001" s="466"/>
      <c r="D1001" s="484"/>
      <c r="E1001" s="466"/>
      <c r="F1001" s="485"/>
      <c r="G1001" s="485"/>
      <c r="H1001" s="485"/>
      <c r="I1001" s="331"/>
      <c r="J1001" s="469"/>
      <c r="K1001" s="469"/>
      <c r="L1001" s="469"/>
      <c r="M1001" s="469"/>
      <c r="N1001" s="469"/>
      <c r="O1001" s="469"/>
      <c r="P1001" s="469"/>
      <c r="Q1001" s="469"/>
      <c r="R1001" s="469"/>
      <c r="S1001" s="469"/>
      <c r="T1001" s="469"/>
      <c r="U1001" s="469"/>
      <c r="V1001" s="469"/>
      <c r="W1001" s="469"/>
      <c r="X1001" s="469"/>
      <c r="Y1001" s="469"/>
      <c r="Z1001" s="469"/>
      <c r="AA1001" s="469"/>
      <c r="AB1001" s="469"/>
    </row>
    <row r="1002" ht="14.25" customHeight="1">
      <c r="A1002" s="464"/>
      <c r="B1002" s="481"/>
      <c r="C1002" s="466"/>
      <c r="D1002" s="484"/>
      <c r="E1002" s="466"/>
      <c r="F1002" s="485"/>
      <c r="G1002" s="485"/>
      <c r="H1002" s="485"/>
      <c r="I1002" s="331"/>
      <c r="J1002" s="469"/>
      <c r="K1002" s="469"/>
      <c r="L1002" s="469"/>
      <c r="M1002" s="469"/>
      <c r="N1002" s="469"/>
      <c r="O1002" s="469"/>
      <c r="P1002" s="469"/>
      <c r="Q1002" s="469"/>
      <c r="R1002" s="469"/>
      <c r="S1002" s="469"/>
      <c r="T1002" s="469"/>
      <c r="U1002" s="469"/>
      <c r="V1002" s="469"/>
      <c r="W1002" s="469"/>
      <c r="X1002" s="469"/>
      <c r="Y1002" s="469"/>
      <c r="Z1002" s="469"/>
      <c r="AA1002" s="469"/>
      <c r="AB1002" s="469"/>
    </row>
    <row r="1003" ht="14.25" customHeight="1">
      <c r="A1003" s="464"/>
      <c r="B1003" s="481"/>
      <c r="C1003" s="466"/>
      <c r="D1003" s="484"/>
      <c r="E1003" s="466"/>
      <c r="F1003" s="485"/>
      <c r="G1003" s="485"/>
      <c r="H1003" s="485"/>
      <c r="I1003" s="331"/>
      <c r="J1003" s="469"/>
      <c r="K1003" s="469"/>
      <c r="L1003" s="469"/>
      <c r="M1003" s="469"/>
      <c r="N1003" s="469"/>
      <c r="O1003" s="469"/>
      <c r="P1003" s="469"/>
      <c r="Q1003" s="469"/>
      <c r="R1003" s="469"/>
      <c r="S1003" s="469"/>
      <c r="T1003" s="469"/>
      <c r="U1003" s="469"/>
      <c r="V1003" s="469"/>
      <c r="W1003" s="469"/>
      <c r="X1003" s="469"/>
      <c r="Y1003" s="469"/>
      <c r="Z1003" s="469"/>
      <c r="AA1003" s="469"/>
      <c r="AB1003" s="469"/>
    </row>
    <row r="1004" ht="14.25" customHeight="1">
      <c r="A1004" s="464"/>
      <c r="B1004" s="481"/>
      <c r="C1004" s="466"/>
      <c r="D1004" s="484"/>
      <c r="E1004" s="466"/>
      <c r="F1004" s="485"/>
      <c r="G1004" s="485"/>
      <c r="H1004" s="485"/>
      <c r="I1004" s="331"/>
      <c r="J1004" s="469"/>
      <c r="K1004" s="469"/>
      <c r="L1004" s="469"/>
      <c r="M1004" s="469"/>
      <c r="N1004" s="469"/>
      <c r="O1004" s="469"/>
      <c r="P1004" s="469"/>
      <c r="Q1004" s="469"/>
      <c r="R1004" s="469"/>
      <c r="S1004" s="469"/>
      <c r="T1004" s="469"/>
      <c r="U1004" s="469"/>
      <c r="V1004" s="469"/>
      <c r="W1004" s="469"/>
      <c r="X1004" s="469"/>
      <c r="Y1004" s="469"/>
      <c r="Z1004" s="469"/>
      <c r="AA1004" s="469"/>
      <c r="AB1004" s="469"/>
    </row>
    <row r="1005" ht="14.25" customHeight="1">
      <c r="A1005" s="464"/>
      <c r="B1005" s="481"/>
      <c r="C1005" s="466"/>
      <c r="D1005" s="484"/>
      <c r="E1005" s="466"/>
      <c r="F1005" s="485"/>
      <c r="G1005" s="485"/>
      <c r="H1005" s="485"/>
      <c r="I1005" s="331"/>
      <c r="J1005" s="469"/>
      <c r="K1005" s="469"/>
      <c r="L1005" s="469"/>
      <c r="M1005" s="469"/>
      <c r="N1005" s="469"/>
      <c r="O1005" s="469"/>
      <c r="P1005" s="469"/>
      <c r="Q1005" s="469"/>
      <c r="R1005" s="469"/>
      <c r="S1005" s="469"/>
      <c r="T1005" s="469"/>
      <c r="U1005" s="469"/>
      <c r="V1005" s="469"/>
      <c r="W1005" s="469"/>
      <c r="X1005" s="469"/>
      <c r="Y1005" s="469"/>
      <c r="Z1005" s="469"/>
      <c r="AA1005" s="469"/>
      <c r="AB1005" s="469"/>
    </row>
    <row r="1006" ht="14.25" customHeight="1">
      <c r="A1006" s="464"/>
      <c r="B1006" s="481"/>
      <c r="C1006" s="466"/>
      <c r="D1006" s="484"/>
      <c r="E1006" s="466"/>
      <c r="F1006" s="485"/>
      <c r="G1006" s="485"/>
      <c r="H1006" s="485"/>
      <c r="I1006" s="331"/>
      <c r="J1006" s="469"/>
      <c r="K1006" s="469"/>
      <c r="L1006" s="469"/>
      <c r="M1006" s="469"/>
      <c r="N1006" s="469"/>
      <c r="O1006" s="469"/>
      <c r="P1006" s="469"/>
      <c r="Q1006" s="469"/>
      <c r="R1006" s="469"/>
      <c r="S1006" s="469"/>
      <c r="T1006" s="469"/>
      <c r="U1006" s="469"/>
      <c r="V1006" s="469"/>
      <c r="W1006" s="469"/>
      <c r="X1006" s="469"/>
      <c r="Y1006" s="469"/>
      <c r="Z1006" s="469"/>
      <c r="AA1006" s="469"/>
      <c r="AB1006" s="469"/>
    </row>
    <row r="1007" ht="14.25" customHeight="1">
      <c r="A1007" s="464"/>
      <c r="B1007" s="481"/>
      <c r="C1007" s="466"/>
      <c r="D1007" s="484"/>
      <c r="E1007" s="466"/>
      <c r="F1007" s="485"/>
      <c r="G1007" s="485"/>
      <c r="H1007" s="485"/>
      <c r="I1007" s="331"/>
      <c r="J1007" s="469"/>
      <c r="K1007" s="469"/>
      <c r="L1007" s="469"/>
      <c r="M1007" s="469"/>
      <c r="N1007" s="469"/>
      <c r="O1007" s="469"/>
      <c r="P1007" s="469"/>
      <c r="Q1007" s="469"/>
      <c r="R1007" s="469"/>
      <c r="S1007" s="469"/>
      <c r="T1007" s="469"/>
      <c r="U1007" s="469"/>
      <c r="V1007" s="469"/>
      <c r="W1007" s="469"/>
      <c r="X1007" s="469"/>
      <c r="Y1007" s="469"/>
      <c r="Z1007" s="469"/>
      <c r="AA1007" s="469"/>
      <c r="AB1007" s="469"/>
    </row>
    <row r="1008" ht="14.25" customHeight="1">
      <c r="A1008" s="464"/>
      <c r="B1008" s="481"/>
      <c r="C1008" s="466"/>
      <c r="D1008" s="484"/>
      <c r="E1008" s="466"/>
      <c r="F1008" s="485"/>
      <c r="G1008" s="485"/>
      <c r="H1008" s="485"/>
      <c r="I1008" s="331"/>
      <c r="J1008" s="469"/>
      <c r="K1008" s="469"/>
      <c r="L1008" s="469"/>
      <c r="M1008" s="469"/>
      <c r="N1008" s="469"/>
      <c r="O1008" s="469"/>
      <c r="P1008" s="469"/>
      <c r="Q1008" s="469"/>
      <c r="R1008" s="469"/>
      <c r="S1008" s="469"/>
      <c r="T1008" s="469"/>
      <c r="U1008" s="469"/>
      <c r="V1008" s="469"/>
      <c r="W1008" s="469"/>
      <c r="X1008" s="469"/>
      <c r="Y1008" s="469"/>
      <c r="Z1008" s="469"/>
      <c r="AA1008" s="469"/>
      <c r="AB1008" s="469"/>
    </row>
    <row r="1009" ht="14.25" customHeight="1">
      <c r="A1009" s="464"/>
      <c r="B1009" s="481"/>
      <c r="C1009" s="466"/>
      <c r="D1009" s="484"/>
      <c r="E1009" s="466"/>
      <c r="F1009" s="485"/>
      <c r="G1009" s="485"/>
      <c r="H1009" s="485"/>
      <c r="I1009" s="331"/>
      <c r="J1009" s="469"/>
      <c r="K1009" s="469"/>
      <c r="L1009" s="469"/>
      <c r="M1009" s="469"/>
      <c r="N1009" s="469"/>
      <c r="O1009" s="469"/>
      <c r="P1009" s="469"/>
      <c r="Q1009" s="469"/>
      <c r="R1009" s="469"/>
      <c r="S1009" s="469"/>
      <c r="T1009" s="469"/>
      <c r="U1009" s="469"/>
      <c r="V1009" s="469"/>
      <c r="W1009" s="469"/>
      <c r="X1009" s="469"/>
      <c r="Y1009" s="469"/>
      <c r="Z1009" s="469"/>
      <c r="AA1009" s="469"/>
      <c r="AB1009" s="469"/>
    </row>
    <row r="1010" ht="14.25" customHeight="1">
      <c r="A1010" s="464"/>
      <c r="B1010" s="481"/>
      <c r="C1010" s="466"/>
      <c r="D1010" s="484"/>
      <c r="E1010" s="466"/>
      <c r="F1010" s="485"/>
      <c r="G1010" s="485"/>
      <c r="H1010" s="485"/>
      <c r="I1010" s="331"/>
      <c r="J1010" s="469"/>
      <c r="K1010" s="469"/>
      <c r="L1010" s="469"/>
      <c r="M1010" s="469"/>
      <c r="N1010" s="469"/>
      <c r="O1010" s="469"/>
      <c r="P1010" s="469"/>
      <c r="Q1010" s="469"/>
      <c r="R1010" s="469"/>
      <c r="S1010" s="469"/>
      <c r="T1010" s="469"/>
      <c r="U1010" s="469"/>
      <c r="V1010" s="469"/>
      <c r="W1010" s="469"/>
      <c r="X1010" s="469"/>
      <c r="Y1010" s="469"/>
      <c r="Z1010" s="469"/>
      <c r="AA1010" s="469"/>
      <c r="AB1010" s="469"/>
    </row>
    <row r="1011" ht="14.25" customHeight="1">
      <c r="A1011" s="464"/>
      <c r="B1011" s="481"/>
      <c r="C1011" s="466"/>
      <c r="D1011" s="484"/>
      <c r="E1011" s="466"/>
      <c r="F1011" s="485"/>
      <c r="G1011" s="485"/>
      <c r="H1011" s="485"/>
      <c r="I1011" s="331"/>
      <c r="J1011" s="469"/>
      <c r="K1011" s="469"/>
      <c r="L1011" s="469"/>
      <c r="M1011" s="469"/>
      <c r="N1011" s="469"/>
      <c r="O1011" s="469"/>
      <c r="P1011" s="469"/>
      <c r="Q1011" s="469"/>
      <c r="R1011" s="469"/>
      <c r="S1011" s="469"/>
      <c r="T1011" s="469"/>
      <c r="U1011" s="469"/>
      <c r="V1011" s="469"/>
      <c r="W1011" s="469"/>
      <c r="X1011" s="469"/>
      <c r="Y1011" s="469"/>
      <c r="Z1011" s="469"/>
      <c r="AA1011" s="469"/>
      <c r="AB1011" s="469"/>
    </row>
    <row r="1012" ht="14.25" customHeight="1">
      <c r="A1012" s="464"/>
      <c r="B1012" s="481"/>
      <c r="C1012" s="466"/>
      <c r="D1012" s="484"/>
      <c r="E1012" s="466"/>
      <c r="F1012" s="485"/>
      <c r="G1012" s="485"/>
      <c r="H1012" s="485"/>
      <c r="I1012" s="331"/>
      <c r="J1012" s="469"/>
      <c r="K1012" s="469"/>
      <c r="L1012" s="469"/>
      <c r="M1012" s="469"/>
      <c r="N1012" s="469"/>
      <c r="O1012" s="469"/>
      <c r="P1012" s="469"/>
      <c r="Q1012" s="469"/>
      <c r="R1012" s="469"/>
      <c r="S1012" s="469"/>
      <c r="T1012" s="469"/>
      <c r="U1012" s="469"/>
      <c r="V1012" s="469"/>
      <c r="W1012" s="469"/>
      <c r="X1012" s="469"/>
      <c r="Y1012" s="469"/>
      <c r="Z1012" s="469"/>
      <c r="AA1012" s="469"/>
      <c r="AB1012" s="469"/>
    </row>
    <row r="1013" ht="14.25" customHeight="1">
      <c r="A1013" s="464"/>
      <c r="B1013" s="481"/>
      <c r="C1013" s="466"/>
      <c r="D1013" s="484"/>
      <c r="E1013" s="466"/>
      <c r="F1013" s="485"/>
      <c r="G1013" s="485"/>
      <c r="H1013" s="485"/>
      <c r="I1013" s="331"/>
      <c r="J1013" s="469"/>
      <c r="K1013" s="469"/>
      <c r="L1013" s="469"/>
      <c r="M1013" s="469"/>
      <c r="N1013" s="469"/>
      <c r="O1013" s="469"/>
      <c r="P1013" s="469"/>
      <c r="Q1013" s="469"/>
      <c r="R1013" s="469"/>
      <c r="S1013" s="469"/>
      <c r="T1013" s="469"/>
      <c r="U1013" s="469"/>
      <c r="V1013" s="469"/>
      <c r="W1013" s="469"/>
      <c r="X1013" s="469"/>
      <c r="Y1013" s="469"/>
      <c r="Z1013" s="469"/>
      <c r="AA1013" s="469"/>
      <c r="AB1013" s="469"/>
    </row>
    <row r="1014" ht="14.25" customHeight="1">
      <c r="A1014" s="464"/>
      <c r="B1014" s="481"/>
      <c r="C1014" s="466"/>
      <c r="D1014" s="484"/>
      <c r="E1014" s="466"/>
      <c r="F1014" s="485"/>
      <c r="G1014" s="485"/>
      <c r="H1014" s="485"/>
      <c r="I1014" s="331"/>
      <c r="J1014" s="469"/>
      <c r="K1014" s="469"/>
      <c r="L1014" s="469"/>
      <c r="M1014" s="469"/>
      <c r="N1014" s="469"/>
      <c r="O1014" s="469"/>
      <c r="P1014" s="469"/>
      <c r="Q1014" s="469"/>
      <c r="R1014" s="469"/>
      <c r="S1014" s="469"/>
      <c r="T1014" s="469"/>
      <c r="U1014" s="469"/>
      <c r="V1014" s="469"/>
      <c r="W1014" s="469"/>
      <c r="X1014" s="469"/>
      <c r="Y1014" s="469"/>
      <c r="Z1014" s="469"/>
      <c r="AA1014" s="469"/>
      <c r="AB1014" s="469"/>
    </row>
    <row r="1015" ht="14.25" customHeight="1">
      <c r="A1015" s="464"/>
      <c r="B1015" s="481"/>
      <c r="C1015" s="466"/>
      <c r="D1015" s="484"/>
      <c r="E1015" s="466"/>
      <c r="F1015" s="485"/>
      <c r="G1015" s="485"/>
      <c r="H1015" s="485"/>
      <c r="I1015" s="331"/>
      <c r="J1015" s="469"/>
      <c r="K1015" s="469"/>
      <c r="L1015" s="469"/>
      <c r="M1015" s="469"/>
      <c r="N1015" s="469"/>
      <c r="O1015" s="469"/>
      <c r="P1015" s="469"/>
      <c r="Q1015" s="469"/>
      <c r="R1015" s="469"/>
      <c r="S1015" s="469"/>
      <c r="T1015" s="469"/>
      <c r="U1015" s="469"/>
      <c r="V1015" s="469"/>
      <c r="W1015" s="469"/>
      <c r="X1015" s="469"/>
      <c r="Y1015" s="469"/>
      <c r="Z1015" s="469"/>
      <c r="AA1015" s="469"/>
      <c r="AB1015" s="469"/>
    </row>
    <row r="1016" ht="14.25" customHeight="1">
      <c r="A1016" s="464"/>
      <c r="B1016" s="481"/>
      <c r="C1016" s="466"/>
      <c r="D1016" s="484"/>
      <c r="E1016" s="466"/>
      <c r="F1016" s="485"/>
      <c r="G1016" s="485"/>
      <c r="H1016" s="485"/>
      <c r="I1016" s="331"/>
      <c r="J1016" s="469"/>
      <c r="K1016" s="469"/>
      <c r="L1016" s="469"/>
      <c r="M1016" s="469"/>
      <c r="N1016" s="469"/>
      <c r="O1016" s="469"/>
      <c r="P1016" s="469"/>
      <c r="Q1016" s="469"/>
      <c r="R1016" s="469"/>
      <c r="S1016" s="469"/>
      <c r="T1016" s="469"/>
      <c r="U1016" s="469"/>
      <c r="V1016" s="469"/>
      <c r="W1016" s="469"/>
      <c r="X1016" s="469"/>
      <c r="Y1016" s="469"/>
      <c r="Z1016" s="469"/>
      <c r="AA1016" s="469"/>
      <c r="AB1016" s="469"/>
    </row>
    <row r="1017" ht="14.25" customHeight="1">
      <c r="A1017" s="464"/>
      <c r="B1017" s="481"/>
      <c r="C1017" s="466"/>
      <c r="D1017" s="484"/>
      <c r="E1017" s="466"/>
      <c r="F1017" s="485"/>
      <c r="G1017" s="485"/>
      <c r="H1017" s="485"/>
      <c r="I1017" s="331"/>
      <c r="J1017" s="469"/>
      <c r="K1017" s="469"/>
      <c r="L1017" s="469"/>
      <c r="M1017" s="469"/>
      <c r="N1017" s="469"/>
      <c r="O1017" s="469"/>
      <c r="P1017" s="469"/>
      <c r="Q1017" s="469"/>
      <c r="R1017" s="469"/>
      <c r="S1017" s="469"/>
      <c r="T1017" s="469"/>
      <c r="U1017" s="469"/>
      <c r="V1017" s="469"/>
      <c r="W1017" s="469"/>
      <c r="X1017" s="469"/>
      <c r="Y1017" s="469"/>
      <c r="Z1017" s="469"/>
      <c r="AA1017" s="469"/>
      <c r="AB1017" s="469"/>
    </row>
    <row r="1018" ht="14.25" customHeight="1">
      <c r="A1018" s="464"/>
      <c r="B1018" s="481"/>
      <c r="C1018" s="466"/>
      <c r="D1018" s="484"/>
      <c r="E1018" s="466"/>
      <c r="F1018" s="485"/>
      <c r="G1018" s="485"/>
      <c r="H1018" s="485"/>
      <c r="I1018" s="331"/>
      <c r="J1018" s="469"/>
      <c r="K1018" s="469"/>
      <c r="L1018" s="469"/>
      <c r="M1018" s="469"/>
      <c r="N1018" s="469"/>
      <c r="O1018" s="469"/>
      <c r="P1018" s="469"/>
      <c r="Q1018" s="469"/>
      <c r="R1018" s="469"/>
      <c r="S1018" s="469"/>
      <c r="T1018" s="469"/>
      <c r="U1018" s="469"/>
      <c r="V1018" s="469"/>
      <c r="W1018" s="469"/>
      <c r="X1018" s="469"/>
      <c r="Y1018" s="469"/>
      <c r="Z1018" s="469"/>
      <c r="AA1018" s="469"/>
      <c r="AB1018" s="469"/>
    </row>
    <row r="1019" ht="14.25" customHeight="1">
      <c r="A1019" s="464"/>
      <c r="B1019" s="481"/>
      <c r="C1019" s="466"/>
      <c r="D1019" s="484"/>
      <c r="E1019" s="466"/>
      <c r="F1019" s="485"/>
      <c r="G1019" s="485"/>
      <c r="H1019" s="485"/>
      <c r="I1019" s="331"/>
      <c r="J1019" s="469"/>
      <c r="K1019" s="469"/>
      <c r="L1019" s="469"/>
      <c r="M1019" s="469"/>
      <c r="N1019" s="469"/>
      <c r="O1019" s="469"/>
      <c r="P1019" s="469"/>
      <c r="Q1019" s="469"/>
      <c r="R1019" s="469"/>
      <c r="S1019" s="469"/>
      <c r="T1019" s="469"/>
      <c r="U1019" s="469"/>
      <c r="V1019" s="469"/>
      <c r="W1019" s="469"/>
      <c r="X1019" s="469"/>
      <c r="Y1019" s="469"/>
      <c r="Z1019" s="469"/>
      <c r="AA1019" s="469"/>
      <c r="AB1019" s="469"/>
    </row>
    <row r="1020" ht="14.25" customHeight="1">
      <c r="A1020" s="464"/>
      <c r="B1020" s="481"/>
      <c r="C1020" s="466"/>
      <c r="D1020" s="484"/>
      <c r="E1020" s="466"/>
      <c r="F1020" s="485"/>
      <c r="G1020" s="485"/>
      <c r="H1020" s="485"/>
      <c r="I1020" s="331"/>
      <c r="J1020" s="469"/>
      <c r="K1020" s="469"/>
      <c r="L1020" s="469"/>
      <c r="M1020" s="469"/>
      <c r="N1020" s="469"/>
      <c r="O1020" s="469"/>
      <c r="P1020" s="469"/>
      <c r="Q1020" s="469"/>
      <c r="R1020" s="469"/>
      <c r="S1020" s="469"/>
      <c r="T1020" s="469"/>
      <c r="U1020" s="469"/>
      <c r="V1020" s="469"/>
      <c r="W1020" s="469"/>
      <c r="X1020" s="469"/>
      <c r="Y1020" s="469"/>
      <c r="Z1020" s="469"/>
      <c r="AA1020" s="469"/>
      <c r="AB1020" s="469"/>
    </row>
    <row r="1021" ht="14.25" customHeight="1">
      <c r="A1021" s="464"/>
      <c r="B1021" s="481"/>
      <c r="C1021" s="466"/>
      <c r="D1021" s="484"/>
      <c r="E1021" s="466"/>
      <c r="F1021" s="485"/>
      <c r="G1021" s="485"/>
      <c r="H1021" s="485"/>
      <c r="I1021" s="331"/>
      <c r="J1021" s="469"/>
      <c r="K1021" s="469"/>
      <c r="L1021" s="469"/>
      <c r="M1021" s="469"/>
      <c r="N1021" s="469"/>
      <c r="O1021" s="469"/>
      <c r="P1021" s="469"/>
      <c r="Q1021" s="469"/>
      <c r="R1021" s="469"/>
      <c r="S1021" s="469"/>
      <c r="T1021" s="469"/>
      <c r="U1021" s="469"/>
      <c r="V1021" s="469"/>
      <c r="W1021" s="469"/>
      <c r="X1021" s="469"/>
      <c r="Y1021" s="469"/>
      <c r="Z1021" s="469"/>
      <c r="AA1021" s="469"/>
      <c r="AB1021" s="469"/>
    </row>
    <row r="1022" ht="14.25" customHeight="1">
      <c r="A1022" s="464"/>
      <c r="B1022" s="481"/>
      <c r="C1022" s="466"/>
      <c r="D1022" s="484"/>
      <c r="E1022" s="466"/>
      <c r="F1022" s="485"/>
      <c r="G1022" s="485"/>
      <c r="H1022" s="485"/>
      <c r="I1022" s="331"/>
      <c r="J1022" s="469"/>
      <c r="K1022" s="469"/>
      <c r="L1022" s="469"/>
      <c r="M1022" s="469"/>
      <c r="N1022" s="469"/>
      <c r="O1022" s="469"/>
      <c r="P1022" s="469"/>
      <c r="Q1022" s="469"/>
      <c r="R1022" s="469"/>
      <c r="S1022" s="469"/>
      <c r="T1022" s="469"/>
      <c r="U1022" s="469"/>
      <c r="V1022" s="469"/>
      <c r="W1022" s="469"/>
      <c r="X1022" s="469"/>
      <c r="Y1022" s="469"/>
      <c r="Z1022" s="469"/>
      <c r="AA1022" s="469"/>
      <c r="AB1022" s="469"/>
    </row>
    <row r="1023" ht="14.25" customHeight="1">
      <c r="A1023" s="464"/>
      <c r="B1023" s="481"/>
      <c r="C1023" s="466"/>
      <c r="D1023" s="484"/>
      <c r="E1023" s="466"/>
      <c r="F1023" s="485"/>
      <c r="G1023" s="485"/>
      <c r="H1023" s="485"/>
      <c r="I1023" s="331"/>
      <c r="J1023" s="469"/>
      <c r="K1023" s="469"/>
      <c r="L1023" s="469"/>
      <c r="M1023" s="469"/>
      <c r="N1023" s="469"/>
      <c r="O1023" s="469"/>
      <c r="P1023" s="469"/>
      <c r="Q1023" s="469"/>
      <c r="R1023" s="469"/>
      <c r="S1023" s="469"/>
      <c r="T1023" s="469"/>
      <c r="U1023" s="469"/>
      <c r="V1023" s="469"/>
      <c r="W1023" s="469"/>
      <c r="X1023" s="469"/>
      <c r="Y1023" s="469"/>
      <c r="Z1023" s="469"/>
      <c r="AA1023" s="469"/>
      <c r="AB1023" s="469"/>
    </row>
    <row r="1024" ht="14.25" customHeight="1">
      <c r="A1024" s="464"/>
      <c r="B1024" s="481"/>
      <c r="C1024" s="466"/>
      <c r="D1024" s="484"/>
      <c r="E1024" s="466"/>
      <c r="F1024" s="485"/>
      <c r="G1024" s="485"/>
      <c r="H1024" s="485"/>
      <c r="I1024" s="331"/>
      <c r="J1024" s="469"/>
      <c r="K1024" s="469"/>
      <c r="L1024" s="469"/>
      <c r="M1024" s="469"/>
      <c r="N1024" s="469"/>
      <c r="O1024" s="469"/>
      <c r="P1024" s="469"/>
      <c r="Q1024" s="469"/>
      <c r="R1024" s="469"/>
      <c r="S1024" s="469"/>
      <c r="T1024" s="469"/>
      <c r="U1024" s="469"/>
      <c r="V1024" s="469"/>
      <c r="W1024" s="469"/>
      <c r="X1024" s="469"/>
      <c r="Y1024" s="469"/>
      <c r="Z1024" s="469"/>
      <c r="AA1024" s="469"/>
      <c r="AB1024" s="469"/>
    </row>
    <row r="1025" ht="14.25" customHeight="1">
      <c r="A1025" s="464"/>
      <c r="B1025" s="481"/>
      <c r="C1025" s="466"/>
      <c r="D1025" s="484"/>
      <c r="E1025" s="466"/>
      <c r="F1025" s="485"/>
      <c r="G1025" s="485"/>
      <c r="H1025" s="485"/>
      <c r="I1025" s="331"/>
      <c r="J1025" s="469"/>
      <c r="K1025" s="469"/>
      <c r="L1025" s="469"/>
      <c r="M1025" s="469"/>
      <c r="N1025" s="469"/>
      <c r="O1025" s="469"/>
      <c r="P1025" s="469"/>
      <c r="Q1025" s="469"/>
      <c r="R1025" s="469"/>
      <c r="S1025" s="469"/>
      <c r="T1025" s="469"/>
      <c r="U1025" s="469"/>
      <c r="V1025" s="469"/>
      <c r="W1025" s="469"/>
      <c r="X1025" s="469"/>
      <c r="Y1025" s="469"/>
      <c r="Z1025" s="469"/>
      <c r="AA1025" s="469"/>
      <c r="AB1025" s="469"/>
    </row>
    <row r="1026" ht="14.25" customHeight="1">
      <c r="A1026" s="464"/>
      <c r="B1026" s="481"/>
      <c r="C1026" s="466"/>
      <c r="D1026" s="484"/>
      <c r="E1026" s="466"/>
      <c r="F1026" s="485"/>
      <c r="G1026" s="485"/>
      <c r="H1026" s="485"/>
      <c r="I1026" s="331"/>
      <c r="J1026" s="469"/>
      <c r="K1026" s="469"/>
      <c r="L1026" s="469"/>
      <c r="M1026" s="469"/>
      <c r="N1026" s="469"/>
      <c r="O1026" s="469"/>
      <c r="P1026" s="469"/>
      <c r="Q1026" s="469"/>
      <c r="R1026" s="469"/>
      <c r="S1026" s="469"/>
      <c r="T1026" s="469"/>
      <c r="U1026" s="469"/>
      <c r="V1026" s="469"/>
      <c r="W1026" s="469"/>
      <c r="X1026" s="469"/>
      <c r="Y1026" s="469"/>
      <c r="Z1026" s="469"/>
      <c r="AA1026" s="469"/>
      <c r="AB1026" s="469"/>
    </row>
    <row r="1027" ht="14.25" customHeight="1">
      <c r="A1027" s="464"/>
      <c r="B1027" s="481"/>
      <c r="C1027" s="466"/>
      <c r="D1027" s="484"/>
      <c r="E1027" s="466"/>
      <c r="F1027" s="485"/>
      <c r="G1027" s="485"/>
      <c r="H1027" s="485"/>
      <c r="I1027" s="331"/>
      <c r="J1027" s="469"/>
      <c r="K1027" s="469"/>
      <c r="L1027" s="469"/>
      <c r="M1027" s="469"/>
      <c r="N1027" s="469"/>
      <c r="O1027" s="469"/>
      <c r="P1027" s="469"/>
      <c r="Q1027" s="469"/>
      <c r="R1027" s="469"/>
      <c r="S1027" s="469"/>
      <c r="T1027" s="469"/>
      <c r="U1027" s="469"/>
      <c r="V1027" s="469"/>
      <c r="W1027" s="469"/>
      <c r="X1027" s="469"/>
      <c r="Y1027" s="469"/>
      <c r="Z1027" s="469"/>
      <c r="AA1027" s="469"/>
      <c r="AB1027" s="469"/>
    </row>
    <row r="1028" ht="14.25" customHeight="1">
      <c r="A1028" s="464"/>
      <c r="B1028" s="481"/>
      <c r="C1028" s="466"/>
      <c r="D1028" s="484"/>
      <c r="E1028" s="466"/>
      <c r="F1028" s="485"/>
      <c r="G1028" s="485"/>
      <c r="H1028" s="485"/>
      <c r="I1028" s="331"/>
      <c r="J1028" s="469"/>
      <c r="K1028" s="469"/>
      <c r="L1028" s="469"/>
      <c r="M1028" s="469"/>
      <c r="N1028" s="469"/>
      <c r="O1028" s="469"/>
      <c r="P1028" s="469"/>
      <c r="Q1028" s="469"/>
      <c r="R1028" s="469"/>
      <c r="S1028" s="469"/>
      <c r="T1028" s="469"/>
      <c r="U1028" s="469"/>
      <c r="V1028" s="469"/>
      <c r="W1028" s="469"/>
      <c r="X1028" s="469"/>
      <c r="Y1028" s="469"/>
      <c r="Z1028" s="469"/>
      <c r="AA1028" s="469"/>
      <c r="AB1028" s="469"/>
    </row>
    <row r="1029" ht="14.25" customHeight="1">
      <c r="A1029" s="464"/>
      <c r="B1029" s="481"/>
      <c r="C1029" s="466"/>
      <c r="D1029" s="484"/>
      <c r="E1029" s="466"/>
      <c r="F1029" s="485"/>
      <c r="G1029" s="485"/>
      <c r="H1029" s="485"/>
      <c r="I1029" s="331"/>
      <c r="J1029" s="469"/>
      <c r="K1029" s="469"/>
      <c r="L1029" s="469"/>
      <c r="M1029" s="469"/>
      <c r="N1029" s="469"/>
      <c r="O1029" s="469"/>
      <c r="P1029" s="469"/>
      <c r="Q1029" s="469"/>
      <c r="R1029" s="469"/>
      <c r="S1029" s="469"/>
      <c r="T1029" s="469"/>
      <c r="U1029" s="469"/>
      <c r="V1029" s="469"/>
      <c r="W1029" s="469"/>
      <c r="X1029" s="469"/>
      <c r="Y1029" s="469"/>
      <c r="Z1029" s="469"/>
      <c r="AA1029" s="469"/>
      <c r="AB1029" s="469"/>
    </row>
    <row r="1030" ht="14.25" customHeight="1">
      <c r="A1030" s="464"/>
      <c r="B1030" s="481"/>
      <c r="C1030" s="466"/>
      <c r="D1030" s="484"/>
      <c r="E1030" s="466"/>
      <c r="F1030" s="485"/>
      <c r="G1030" s="485"/>
      <c r="H1030" s="485"/>
      <c r="I1030" s="331"/>
      <c r="J1030" s="469"/>
      <c r="K1030" s="469"/>
      <c r="L1030" s="469"/>
      <c r="M1030" s="469"/>
      <c r="N1030" s="469"/>
      <c r="O1030" s="469"/>
      <c r="P1030" s="469"/>
      <c r="Q1030" s="469"/>
      <c r="R1030" s="469"/>
      <c r="S1030" s="469"/>
      <c r="T1030" s="469"/>
      <c r="U1030" s="469"/>
      <c r="V1030" s="469"/>
      <c r="W1030" s="469"/>
      <c r="X1030" s="469"/>
      <c r="Y1030" s="469"/>
      <c r="Z1030" s="469"/>
      <c r="AA1030" s="469"/>
      <c r="AB1030" s="469"/>
    </row>
    <row r="1031" ht="14.25" customHeight="1">
      <c r="A1031" s="464"/>
      <c r="B1031" s="481"/>
      <c r="C1031" s="466"/>
      <c r="D1031" s="484"/>
      <c r="E1031" s="466"/>
      <c r="F1031" s="485"/>
      <c r="G1031" s="485"/>
      <c r="H1031" s="485"/>
      <c r="I1031" s="331"/>
      <c r="J1031" s="469"/>
      <c r="K1031" s="469"/>
      <c r="L1031" s="469"/>
      <c r="M1031" s="469"/>
      <c r="N1031" s="469"/>
      <c r="O1031" s="469"/>
      <c r="P1031" s="469"/>
      <c r="Q1031" s="469"/>
      <c r="R1031" s="469"/>
      <c r="S1031" s="469"/>
      <c r="T1031" s="469"/>
      <c r="U1031" s="469"/>
      <c r="V1031" s="469"/>
      <c r="W1031" s="469"/>
      <c r="X1031" s="469"/>
      <c r="Y1031" s="469"/>
      <c r="Z1031" s="469"/>
      <c r="AA1031" s="469"/>
      <c r="AB1031" s="469"/>
    </row>
    <row r="1032" ht="14.25" customHeight="1">
      <c r="A1032" s="464"/>
      <c r="B1032" s="481"/>
      <c r="C1032" s="466"/>
      <c r="D1032" s="484"/>
      <c r="E1032" s="466"/>
      <c r="F1032" s="485"/>
      <c r="G1032" s="485"/>
      <c r="H1032" s="485"/>
      <c r="I1032" s="331"/>
      <c r="J1032" s="469"/>
      <c r="K1032" s="469"/>
      <c r="L1032" s="469"/>
      <c r="M1032" s="469"/>
      <c r="N1032" s="469"/>
      <c r="O1032" s="469"/>
      <c r="P1032" s="469"/>
      <c r="Q1032" s="469"/>
      <c r="R1032" s="469"/>
      <c r="S1032" s="469"/>
      <c r="T1032" s="469"/>
      <c r="U1032" s="469"/>
      <c r="V1032" s="469"/>
      <c r="W1032" s="469"/>
      <c r="X1032" s="469"/>
      <c r="Y1032" s="469"/>
      <c r="Z1032" s="469"/>
      <c r="AA1032" s="469"/>
      <c r="AB1032" s="469"/>
    </row>
    <row r="1033" ht="14.25" customHeight="1">
      <c r="A1033" s="464"/>
      <c r="B1033" s="481"/>
      <c r="C1033" s="466"/>
      <c r="D1033" s="484"/>
      <c r="E1033" s="466"/>
      <c r="F1033" s="485"/>
      <c r="G1033" s="485"/>
      <c r="H1033" s="485"/>
      <c r="I1033" s="331"/>
      <c r="J1033" s="469"/>
      <c r="K1033" s="469"/>
      <c r="L1033" s="469"/>
      <c r="M1033" s="469"/>
      <c r="N1033" s="469"/>
      <c r="O1033" s="469"/>
      <c r="P1033" s="469"/>
      <c r="Q1033" s="469"/>
      <c r="R1033" s="469"/>
      <c r="S1033" s="469"/>
      <c r="T1033" s="469"/>
      <c r="U1033" s="469"/>
      <c r="V1033" s="469"/>
      <c r="W1033" s="469"/>
      <c r="X1033" s="469"/>
      <c r="Y1033" s="469"/>
      <c r="Z1033" s="469"/>
      <c r="AA1033" s="469"/>
      <c r="AB1033" s="469"/>
    </row>
    <row r="1034" ht="14.25" customHeight="1">
      <c r="A1034" s="464"/>
      <c r="B1034" s="481"/>
      <c r="C1034" s="466"/>
      <c r="D1034" s="484"/>
      <c r="E1034" s="466"/>
      <c r="F1034" s="485"/>
      <c r="G1034" s="485"/>
      <c r="H1034" s="485"/>
      <c r="I1034" s="331"/>
      <c r="J1034" s="469"/>
      <c r="K1034" s="469"/>
      <c r="L1034" s="469"/>
      <c r="M1034" s="469"/>
      <c r="N1034" s="469"/>
      <c r="O1034" s="469"/>
      <c r="P1034" s="469"/>
      <c r="Q1034" s="469"/>
      <c r="R1034" s="469"/>
      <c r="S1034" s="469"/>
      <c r="T1034" s="469"/>
      <c r="U1034" s="469"/>
      <c r="V1034" s="469"/>
      <c r="W1034" s="469"/>
      <c r="X1034" s="469"/>
      <c r="Y1034" s="469"/>
      <c r="Z1034" s="469"/>
      <c r="AA1034" s="469"/>
      <c r="AB1034" s="469"/>
    </row>
    <row r="1035" ht="14.25" customHeight="1">
      <c r="A1035" s="464"/>
      <c r="B1035" s="481"/>
      <c r="C1035" s="466"/>
      <c r="D1035" s="484"/>
      <c r="E1035" s="466"/>
      <c r="F1035" s="485"/>
      <c r="G1035" s="485"/>
      <c r="H1035" s="485"/>
      <c r="I1035" s="331"/>
      <c r="J1035" s="469"/>
      <c r="K1035" s="469"/>
      <c r="L1035" s="469"/>
      <c r="M1035" s="469"/>
      <c r="N1035" s="469"/>
      <c r="O1035" s="469"/>
      <c r="P1035" s="469"/>
      <c r="Q1035" s="469"/>
      <c r="R1035" s="469"/>
      <c r="S1035" s="469"/>
      <c r="T1035" s="469"/>
      <c r="U1035" s="469"/>
      <c r="V1035" s="469"/>
      <c r="W1035" s="469"/>
      <c r="X1035" s="469"/>
      <c r="Y1035" s="469"/>
      <c r="Z1035" s="469"/>
      <c r="AA1035" s="469"/>
      <c r="AB1035" s="469"/>
    </row>
    <row r="1036" ht="14.25" customHeight="1">
      <c r="A1036" s="464"/>
      <c r="B1036" s="481"/>
      <c r="C1036" s="466"/>
      <c r="D1036" s="484"/>
      <c r="E1036" s="466"/>
      <c r="F1036" s="485"/>
      <c r="G1036" s="485"/>
      <c r="H1036" s="485"/>
      <c r="I1036" s="331"/>
      <c r="J1036" s="469"/>
      <c r="K1036" s="469"/>
      <c r="L1036" s="469"/>
      <c r="M1036" s="469"/>
      <c r="N1036" s="469"/>
      <c r="O1036" s="469"/>
      <c r="P1036" s="469"/>
      <c r="Q1036" s="469"/>
      <c r="R1036" s="469"/>
      <c r="S1036" s="469"/>
      <c r="T1036" s="469"/>
      <c r="U1036" s="469"/>
      <c r="V1036" s="469"/>
      <c r="W1036" s="469"/>
      <c r="X1036" s="469"/>
      <c r="Y1036" s="469"/>
      <c r="Z1036" s="469"/>
      <c r="AA1036" s="469"/>
      <c r="AB1036" s="469"/>
    </row>
    <row r="1037" ht="14.25" customHeight="1">
      <c r="A1037" s="464"/>
      <c r="B1037" s="481"/>
      <c r="C1037" s="466"/>
      <c r="D1037" s="484"/>
      <c r="E1037" s="466"/>
      <c r="F1037" s="485"/>
      <c r="G1037" s="485"/>
      <c r="H1037" s="485"/>
      <c r="I1037" s="331"/>
      <c r="J1037" s="469"/>
      <c r="K1037" s="469"/>
      <c r="L1037" s="469"/>
      <c r="M1037" s="469"/>
      <c r="N1037" s="469"/>
      <c r="O1037" s="469"/>
      <c r="P1037" s="469"/>
      <c r="Q1037" s="469"/>
      <c r="R1037" s="469"/>
      <c r="S1037" s="469"/>
      <c r="T1037" s="469"/>
      <c r="U1037" s="469"/>
      <c r="V1037" s="469"/>
      <c r="W1037" s="469"/>
      <c r="X1037" s="469"/>
      <c r="Y1037" s="469"/>
      <c r="Z1037" s="469"/>
      <c r="AA1037" s="469"/>
      <c r="AB1037" s="469"/>
    </row>
    <row r="1038" ht="14.25" customHeight="1">
      <c r="A1038" s="464"/>
      <c r="B1038" s="481"/>
      <c r="C1038" s="466"/>
      <c r="D1038" s="484"/>
      <c r="E1038" s="466"/>
      <c r="F1038" s="485"/>
      <c r="G1038" s="485"/>
      <c r="H1038" s="485"/>
      <c r="I1038" s="331"/>
      <c r="J1038" s="469"/>
      <c r="K1038" s="469"/>
      <c r="L1038" s="469"/>
      <c r="M1038" s="469"/>
      <c r="N1038" s="469"/>
      <c r="O1038" s="469"/>
      <c r="P1038" s="469"/>
      <c r="Q1038" s="469"/>
      <c r="R1038" s="469"/>
      <c r="S1038" s="469"/>
      <c r="T1038" s="469"/>
      <c r="U1038" s="469"/>
      <c r="V1038" s="469"/>
      <c r="W1038" s="469"/>
      <c r="X1038" s="469"/>
      <c r="Y1038" s="469"/>
      <c r="Z1038" s="469"/>
      <c r="AA1038" s="469"/>
      <c r="AB1038" s="469"/>
    </row>
    <row r="1039" ht="14.25" customHeight="1">
      <c r="A1039" s="464"/>
      <c r="B1039" s="481"/>
      <c r="C1039" s="466"/>
      <c r="D1039" s="484"/>
      <c r="E1039" s="466"/>
      <c r="F1039" s="485"/>
      <c r="G1039" s="485"/>
      <c r="H1039" s="485"/>
      <c r="I1039" s="331"/>
      <c r="J1039" s="469"/>
      <c r="K1039" s="469"/>
      <c r="L1039" s="469"/>
      <c r="M1039" s="469"/>
      <c r="N1039" s="469"/>
      <c r="O1039" s="469"/>
      <c r="P1039" s="469"/>
      <c r="Q1039" s="469"/>
      <c r="R1039" s="469"/>
      <c r="S1039" s="469"/>
      <c r="T1039" s="469"/>
      <c r="U1039" s="469"/>
      <c r="V1039" s="469"/>
      <c r="W1039" s="469"/>
      <c r="X1039" s="469"/>
      <c r="Y1039" s="469"/>
      <c r="Z1039" s="469"/>
      <c r="AA1039" s="469"/>
      <c r="AB1039" s="469"/>
    </row>
    <row r="1040" ht="14.25" customHeight="1">
      <c r="A1040" s="464"/>
      <c r="B1040" s="481"/>
      <c r="C1040" s="466"/>
      <c r="D1040" s="484"/>
      <c r="E1040" s="466"/>
      <c r="F1040" s="485"/>
      <c r="G1040" s="485"/>
      <c r="H1040" s="485"/>
      <c r="I1040" s="331"/>
      <c r="J1040" s="469"/>
      <c r="K1040" s="469"/>
      <c r="L1040" s="469"/>
      <c r="M1040" s="469"/>
      <c r="N1040" s="469"/>
      <c r="O1040" s="469"/>
      <c r="P1040" s="469"/>
      <c r="Q1040" s="469"/>
      <c r="R1040" s="469"/>
      <c r="S1040" s="469"/>
      <c r="T1040" s="469"/>
      <c r="U1040" s="469"/>
      <c r="V1040" s="469"/>
      <c r="W1040" s="469"/>
      <c r="X1040" s="469"/>
      <c r="Y1040" s="469"/>
      <c r="Z1040" s="469"/>
      <c r="AA1040" s="469"/>
      <c r="AB1040" s="469"/>
    </row>
    <row r="1041" ht="14.25" customHeight="1">
      <c r="A1041" s="464"/>
      <c r="B1041" s="481"/>
      <c r="C1041" s="466"/>
      <c r="D1041" s="484"/>
      <c r="E1041" s="466"/>
      <c r="F1041" s="485"/>
      <c r="G1041" s="485"/>
      <c r="H1041" s="485"/>
      <c r="I1041" s="331"/>
      <c r="J1041" s="469"/>
      <c r="K1041" s="469"/>
      <c r="L1041" s="469"/>
      <c r="M1041" s="469"/>
      <c r="N1041" s="469"/>
      <c r="O1041" s="469"/>
      <c r="P1041" s="469"/>
      <c r="Q1041" s="469"/>
      <c r="R1041" s="469"/>
      <c r="S1041" s="469"/>
      <c r="T1041" s="469"/>
      <c r="U1041" s="469"/>
      <c r="V1041" s="469"/>
      <c r="W1041" s="469"/>
      <c r="X1041" s="469"/>
      <c r="Y1041" s="469"/>
      <c r="Z1041" s="469"/>
      <c r="AA1041" s="469"/>
      <c r="AB1041" s="469"/>
    </row>
    <row r="1042" ht="14.25" customHeight="1">
      <c r="A1042" s="464"/>
      <c r="B1042" s="481"/>
      <c r="C1042" s="466"/>
      <c r="D1042" s="484"/>
      <c r="E1042" s="466"/>
      <c r="F1042" s="485"/>
      <c r="G1042" s="485"/>
      <c r="H1042" s="485"/>
      <c r="I1042" s="331"/>
      <c r="J1042" s="469"/>
      <c r="K1042" s="469"/>
      <c r="L1042" s="469"/>
      <c r="M1042" s="469"/>
      <c r="N1042" s="469"/>
      <c r="O1042" s="469"/>
      <c r="P1042" s="469"/>
      <c r="Q1042" s="469"/>
      <c r="R1042" s="469"/>
      <c r="S1042" s="469"/>
      <c r="T1042" s="469"/>
      <c r="U1042" s="469"/>
      <c r="V1042" s="469"/>
      <c r="W1042" s="469"/>
      <c r="X1042" s="469"/>
      <c r="Y1042" s="469"/>
      <c r="Z1042" s="469"/>
      <c r="AA1042" s="469"/>
      <c r="AB1042" s="469"/>
    </row>
    <row r="1043" ht="14.25" customHeight="1">
      <c r="A1043" s="464"/>
      <c r="B1043" s="481"/>
      <c r="C1043" s="466"/>
      <c r="D1043" s="484"/>
      <c r="E1043" s="466"/>
      <c r="F1043" s="485"/>
      <c r="G1043" s="485"/>
      <c r="H1043" s="485"/>
      <c r="I1043" s="331"/>
      <c r="J1043" s="469"/>
      <c r="K1043" s="469"/>
      <c r="L1043" s="469"/>
      <c r="M1043" s="469"/>
      <c r="N1043" s="469"/>
      <c r="O1043" s="469"/>
      <c r="P1043" s="469"/>
      <c r="Q1043" s="469"/>
      <c r="R1043" s="469"/>
      <c r="S1043" s="469"/>
      <c r="T1043" s="469"/>
      <c r="U1043" s="469"/>
      <c r="V1043" s="469"/>
      <c r="W1043" s="469"/>
      <c r="X1043" s="469"/>
      <c r="Y1043" s="469"/>
      <c r="Z1043" s="469"/>
      <c r="AA1043" s="469"/>
      <c r="AB1043" s="469"/>
    </row>
    <row r="1044" ht="14.25" customHeight="1">
      <c r="A1044" s="464"/>
      <c r="B1044" s="481"/>
      <c r="C1044" s="466"/>
      <c r="D1044" s="484"/>
      <c r="E1044" s="466"/>
      <c r="F1044" s="485"/>
      <c r="G1044" s="485"/>
      <c r="H1044" s="485"/>
      <c r="I1044" s="331"/>
      <c r="J1044" s="469"/>
      <c r="K1044" s="469"/>
      <c r="L1044" s="469"/>
      <c r="M1044" s="469"/>
      <c r="N1044" s="469"/>
      <c r="O1044" s="469"/>
      <c r="P1044" s="469"/>
      <c r="Q1044" s="469"/>
      <c r="R1044" s="469"/>
      <c r="S1044" s="469"/>
      <c r="T1044" s="469"/>
      <c r="U1044" s="469"/>
      <c r="V1044" s="469"/>
      <c r="W1044" s="469"/>
      <c r="X1044" s="469"/>
      <c r="Y1044" s="469"/>
      <c r="Z1044" s="469"/>
      <c r="AA1044" s="469"/>
      <c r="AB1044" s="469"/>
    </row>
    <row r="1045" ht="14.25" customHeight="1">
      <c r="A1045" s="464"/>
      <c r="B1045" s="481"/>
      <c r="C1045" s="466"/>
      <c r="D1045" s="484"/>
      <c r="E1045" s="466"/>
      <c r="F1045" s="485"/>
      <c r="G1045" s="485"/>
      <c r="H1045" s="485"/>
      <c r="I1045" s="331"/>
      <c r="J1045" s="469"/>
      <c r="K1045" s="469"/>
      <c r="L1045" s="469"/>
      <c r="M1045" s="469"/>
      <c r="N1045" s="469"/>
      <c r="O1045" s="469"/>
      <c r="P1045" s="469"/>
      <c r="Q1045" s="469"/>
      <c r="R1045" s="469"/>
      <c r="S1045" s="469"/>
      <c r="T1045" s="469"/>
      <c r="U1045" s="469"/>
      <c r="V1045" s="469"/>
      <c r="W1045" s="469"/>
      <c r="X1045" s="469"/>
      <c r="Y1045" s="469"/>
      <c r="Z1045" s="469"/>
      <c r="AA1045" s="469"/>
      <c r="AB1045" s="469"/>
    </row>
    <row r="1046" ht="14.25" customHeight="1">
      <c r="A1046" s="464"/>
      <c r="B1046" s="481"/>
      <c r="C1046" s="466"/>
      <c r="D1046" s="484"/>
      <c r="E1046" s="466"/>
      <c r="F1046" s="485"/>
      <c r="G1046" s="485"/>
      <c r="H1046" s="485"/>
      <c r="I1046" s="331"/>
      <c r="J1046" s="469"/>
      <c r="K1046" s="469"/>
      <c r="L1046" s="469"/>
      <c r="M1046" s="469"/>
      <c r="N1046" s="469"/>
      <c r="O1046" s="469"/>
      <c r="P1046" s="469"/>
      <c r="Q1046" s="469"/>
      <c r="R1046" s="469"/>
      <c r="S1046" s="469"/>
      <c r="T1046" s="469"/>
      <c r="U1046" s="469"/>
      <c r="V1046" s="469"/>
      <c r="W1046" s="469"/>
      <c r="X1046" s="469"/>
      <c r="Y1046" s="469"/>
      <c r="Z1046" s="469"/>
      <c r="AA1046" s="469"/>
      <c r="AB1046" s="469"/>
    </row>
    <row r="1047" ht="14.25" customHeight="1">
      <c r="A1047" s="464"/>
      <c r="B1047" s="481"/>
      <c r="C1047" s="466"/>
      <c r="D1047" s="484"/>
      <c r="E1047" s="466"/>
      <c r="F1047" s="485"/>
      <c r="G1047" s="485"/>
      <c r="H1047" s="485"/>
      <c r="I1047" s="331"/>
      <c r="J1047" s="469"/>
      <c r="K1047" s="469"/>
      <c r="L1047" s="469"/>
      <c r="M1047" s="469"/>
      <c r="N1047" s="469"/>
      <c r="O1047" s="469"/>
      <c r="P1047" s="469"/>
      <c r="Q1047" s="469"/>
      <c r="R1047" s="469"/>
      <c r="S1047" s="469"/>
      <c r="T1047" s="469"/>
      <c r="U1047" s="469"/>
      <c r="V1047" s="469"/>
      <c r="W1047" s="469"/>
      <c r="X1047" s="469"/>
      <c r="Y1047" s="469"/>
      <c r="Z1047" s="469"/>
      <c r="AA1047" s="469"/>
      <c r="AB1047" s="469"/>
    </row>
    <row r="1048" ht="14.25" customHeight="1">
      <c r="A1048" s="464"/>
      <c r="B1048" s="481"/>
      <c r="C1048" s="466"/>
      <c r="D1048" s="484"/>
      <c r="E1048" s="466"/>
      <c r="F1048" s="485"/>
      <c r="G1048" s="485"/>
      <c r="H1048" s="485"/>
      <c r="I1048" s="331"/>
      <c r="J1048" s="469"/>
      <c r="K1048" s="469"/>
      <c r="L1048" s="469"/>
      <c r="M1048" s="469"/>
      <c r="N1048" s="469"/>
      <c r="O1048" s="469"/>
      <c r="P1048" s="469"/>
      <c r="Q1048" s="469"/>
      <c r="R1048" s="469"/>
      <c r="S1048" s="469"/>
      <c r="T1048" s="469"/>
      <c r="U1048" s="469"/>
      <c r="V1048" s="469"/>
      <c r="W1048" s="469"/>
      <c r="X1048" s="469"/>
      <c r="Y1048" s="469"/>
      <c r="Z1048" s="469"/>
      <c r="AA1048" s="469"/>
      <c r="AB1048" s="469"/>
    </row>
    <row r="1049" ht="14.25" customHeight="1">
      <c r="A1049" s="464"/>
      <c r="B1049" s="481"/>
      <c r="C1049" s="466"/>
      <c r="D1049" s="484"/>
      <c r="E1049" s="466"/>
      <c r="F1049" s="485"/>
      <c r="G1049" s="485"/>
      <c r="H1049" s="485"/>
      <c r="I1049" s="331"/>
      <c r="J1049" s="469"/>
      <c r="K1049" s="469"/>
      <c r="L1049" s="469"/>
      <c r="M1049" s="469"/>
      <c r="N1049" s="469"/>
      <c r="O1049" s="469"/>
      <c r="P1049" s="469"/>
      <c r="Q1049" s="469"/>
      <c r="R1049" s="469"/>
      <c r="S1049" s="469"/>
      <c r="T1049" s="469"/>
      <c r="U1049" s="469"/>
      <c r="V1049" s="469"/>
      <c r="W1049" s="469"/>
      <c r="X1049" s="469"/>
      <c r="Y1049" s="469"/>
      <c r="Z1049" s="469"/>
      <c r="AA1049" s="469"/>
      <c r="AB1049" s="469"/>
    </row>
    <row r="1050" ht="14.25" customHeight="1">
      <c r="A1050" s="464"/>
      <c r="B1050" s="481"/>
      <c r="C1050" s="466"/>
      <c r="D1050" s="484"/>
      <c r="E1050" s="466"/>
      <c r="F1050" s="485"/>
      <c r="G1050" s="485"/>
      <c r="H1050" s="485"/>
      <c r="I1050" s="331"/>
      <c r="J1050" s="469"/>
      <c r="K1050" s="469"/>
      <c r="L1050" s="469"/>
      <c r="M1050" s="469"/>
      <c r="N1050" s="469"/>
      <c r="O1050" s="469"/>
      <c r="P1050" s="469"/>
      <c r="Q1050" s="469"/>
      <c r="R1050" s="469"/>
      <c r="S1050" s="469"/>
      <c r="T1050" s="469"/>
      <c r="U1050" s="469"/>
      <c r="V1050" s="469"/>
      <c r="W1050" s="469"/>
      <c r="X1050" s="469"/>
      <c r="Y1050" s="469"/>
      <c r="Z1050" s="469"/>
      <c r="AA1050" s="469"/>
      <c r="AB1050" s="469"/>
    </row>
    <row r="1051" ht="14.25" customHeight="1">
      <c r="A1051" s="464"/>
      <c r="B1051" s="481"/>
      <c r="C1051" s="466"/>
      <c r="D1051" s="484"/>
      <c r="E1051" s="466"/>
      <c r="F1051" s="485"/>
      <c r="G1051" s="485"/>
      <c r="H1051" s="485"/>
      <c r="I1051" s="331"/>
      <c r="J1051" s="469"/>
      <c r="K1051" s="469"/>
      <c r="L1051" s="469"/>
      <c r="M1051" s="469"/>
      <c r="N1051" s="469"/>
      <c r="O1051" s="469"/>
      <c r="P1051" s="469"/>
      <c r="Q1051" s="469"/>
      <c r="R1051" s="469"/>
      <c r="S1051" s="469"/>
      <c r="T1051" s="469"/>
      <c r="U1051" s="469"/>
      <c r="V1051" s="469"/>
      <c r="W1051" s="469"/>
      <c r="X1051" s="469"/>
      <c r="Y1051" s="469"/>
      <c r="Z1051" s="469"/>
      <c r="AA1051" s="469"/>
      <c r="AB1051" s="469"/>
    </row>
    <row r="1052" ht="14.25" customHeight="1">
      <c r="A1052" s="464"/>
      <c r="B1052" s="481"/>
      <c r="C1052" s="466"/>
      <c r="D1052" s="484"/>
      <c r="E1052" s="466"/>
      <c r="F1052" s="485"/>
      <c r="G1052" s="485"/>
      <c r="H1052" s="485"/>
      <c r="I1052" s="331"/>
      <c r="J1052" s="469"/>
      <c r="K1052" s="469"/>
      <c r="L1052" s="469"/>
      <c r="M1052" s="469"/>
      <c r="N1052" s="469"/>
      <c r="O1052" s="469"/>
      <c r="P1052" s="469"/>
      <c r="Q1052" s="469"/>
      <c r="R1052" s="469"/>
      <c r="S1052" s="469"/>
      <c r="T1052" s="469"/>
      <c r="U1052" s="469"/>
      <c r="V1052" s="469"/>
      <c r="W1052" s="469"/>
      <c r="X1052" s="469"/>
      <c r="Y1052" s="469"/>
      <c r="Z1052" s="469"/>
      <c r="AA1052" s="469"/>
      <c r="AB1052" s="469"/>
    </row>
    <row r="1053" ht="14.25" customHeight="1">
      <c r="A1053" s="464"/>
      <c r="B1053" s="481"/>
      <c r="C1053" s="466"/>
      <c r="D1053" s="484"/>
      <c r="E1053" s="466"/>
      <c r="F1053" s="485"/>
      <c r="G1053" s="485"/>
      <c r="H1053" s="485"/>
      <c r="I1053" s="331"/>
      <c r="J1053" s="469"/>
      <c r="K1053" s="469"/>
      <c r="L1053" s="469"/>
      <c r="M1053" s="469"/>
      <c r="N1053" s="469"/>
      <c r="O1053" s="469"/>
      <c r="P1053" s="469"/>
      <c r="Q1053" s="469"/>
      <c r="R1053" s="469"/>
      <c r="S1053" s="469"/>
      <c r="T1053" s="469"/>
      <c r="U1053" s="469"/>
      <c r="V1053" s="469"/>
      <c r="W1053" s="469"/>
      <c r="X1053" s="469"/>
      <c r="Y1053" s="469"/>
      <c r="Z1053" s="469"/>
      <c r="AA1053" s="469"/>
      <c r="AB1053" s="469"/>
    </row>
    <row r="1054" ht="14.25" customHeight="1">
      <c r="A1054" s="464"/>
      <c r="B1054" s="481"/>
      <c r="C1054" s="466"/>
      <c r="D1054" s="484"/>
      <c r="E1054" s="466"/>
      <c r="F1054" s="485"/>
      <c r="G1054" s="485"/>
      <c r="H1054" s="485"/>
      <c r="I1054" s="331"/>
      <c r="J1054" s="469"/>
      <c r="K1054" s="469"/>
      <c r="L1054" s="469"/>
      <c r="M1054" s="469"/>
      <c r="N1054" s="469"/>
      <c r="O1054" s="469"/>
      <c r="P1054" s="469"/>
      <c r="Q1054" s="469"/>
      <c r="R1054" s="469"/>
      <c r="S1054" s="469"/>
      <c r="T1054" s="469"/>
      <c r="U1054" s="469"/>
      <c r="V1054" s="469"/>
      <c r="W1054" s="469"/>
      <c r="X1054" s="469"/>
      <c r="Y1054" s="469"/>
      <c r="Z1054" s="469"/>
      <c r="AA1054" s="469"/>
      <c r="AB1054" s="469"/>
    </row>
    <row r="1055" ht="14.25" customHeight="1">
      <c r="A1055" s="464"/>
      <c r="B1055" s="481"/>
      <c r="C1055" s="466"/>
      <c r="D1055" s="484"/>
      <c r="E1055" s="466"/>
      <c r="F1055" s="485"/>
      <c r="G1055" s="485"/>
      <c r="H1055" s="485"/>
      <c r="I1055" s="331"/>
      <c r="J1055" s="469"/>
      <c r="K1055" s="469"/>
      <c r="L1055" s="469"/>
      <c r="M1055" s="469"/>
      <c r="N1055" s="469"/>
      <c r="O1055" s="469"/>
      <c r="P1055" s="469"/>
      <c r="Q1055" s="469"/>
      <c r="R1055" s="469"/>
      <c r="S1055" s="469"/>
      <c r="T1055" s="469"/>
      <c r="U1055" s="469"/>
      <c r="V1055" s="469"/>
      <c r="W1055" s="469"/>
      <c r="X1055" s="469"/>
      <c r="Y1055" s="469"/>
      <c r="Z1055" s="469"/>
      <c r="AA1055" s="469"/>
      <c r="AB1055" s="469"/>
    </row>
    <row r="1056" ht="14.25" customHeight="1">
      <c r="A1056" s="464"/>
      <c r="B1056" s="481"/>
      <c r="C1056" s="466"/>
      <c r="D1056" s="484"/>
      <c r="E1056" s="466"/>
      <c r="F1056" s="485"/>
      <c r="G1056" s="485"/>
      <c r="H1056" s="485"/>
      <c r="I1056" s="331"/>
      <c r="J1056" s="469"/>
      <c r="K1056" s="469"/>
      <c r="L1056" s="469"/>
      <c r="M1056" s="469"/>
      <c r="N1056" s="469"/>
      <c r="O1056" s="469"/>
      <c r="P1056" s="469"/>
      <c r="Q1056" s="469"/>
      <c r="R1056" s="469"/>
      <c r="S1056" s="469"/>
      <c r="T1056" s="469"/>
      <c r="U1056" s="469"/>
      <c r="V1056" s="469"/>
      <c r="W1056" s="469"/>
      <c r="X1056" s="469"/>
      <c r="Y1056" s="469"/>
      <c r="Z1056" s="469"/>
      <c r="AA1056" s="469"/>
      <c r="AB1056" s="469"/>
    </row>
    <row r="1057" ht="14.25" customHeight="1">
      <c r="A1057" s="464"/>
      <c r="B1057" s="481"/>
      <c r="C1057" s="466"/>
      <c r="D1057" s="484"/>
      <c r="E1057" s="466"/>
      <c r="F1057" s="485"/>
      <c r="G1057" s="485"/>
      <c r="H1057" s="485"/>
      <c r="I1057" s="331"/>
      <c r="J1057" s="469"/>
      <c r="K1057" s="469"/>
      <c r="L1057" s="469"/>
      <c r="M1057" s="469"/>
      <c r="N1057" s="469"/>
      <c r="O1057" s="469"/>
      <c r="P1057" s="469"/>
      <c r="Q1057" s="469"/>
      <c r="R1057" s="469"/>
      <c r="S1057" s="469"/>
      <c r="T1057" s="469"/>
      <c r="U1057" s="469"/>
      <c r="V1057" s="469"/>
      <c r="W1057" s="469"/>
      <c r="X1057" s="469"/>
      <c r="Y1057" s="469"/>
      <c r="Z1057" s="469"/>
      <c r="AA1057" s="469"/>
      <c r="AB1057" s="469"/>
    </row>
    <row r="1058" ht="14.25" customHeight="1">
      <c r="A1058" s="464"/>
      <c r="B1058" s="481"/>
      <c r="C1058" s="466"/>
      <c r="D1058" s="484"/>
      <c r="E1058" s="466"/>
      <c r="F1058" s="485"/>
      <c r="G1058" s="485"/>
      <c r="H1058" s="485"/>
      <c r="I1058" s="331"/>
      <c r="J1058" s="469"/>
      <c r="K1058" s="469"/>
      <c r="L1058" s="469"/>
      <c r="M1058" s="469"/>
      <c r="N1058" s="469"/>
      <c r="O1058" s="469"/>
      <c r="P1058" s="469"/>
      <c r="Q1058" s="469"/>
      <c r="R1058" s="469"/>
      <c r="S1058" s="469"/>
      <c r="T1058" s="469"/>
      <c r="U1058" s="469"/>
      <c r="V1058" s="469"/>
      <c r="W1058" s="469"/>
      <c r="X1058" s="469"/>
      <c r="Y1058" s="469"/>
      <c r="Z1058" s="469"/>
      <c r="AA1058" s="469"/>
      <c r="AB1058" s="469"/>
    </row>
    <row r="1059" ht="14.25" customHeight="1">
      <c r="A1059" s="464"/>
      <c r="B1059" s="481"/>
      <c r="C1059" s="466"/>
      <c r="D1059" s="484"/>
      <c r="E1059" s="466"/>
      <c r="F1059" s="485"/>
      <c r="G1059" s="485"/>
      <c r="H1059" s="485"/>
      <c r="I1059" s="331"/>
      <c r="J1059" s="469"/>
      <c r="K1059" s="469"/>
      <c r="L1059" s="469"/>
      <c r="M1059" s="469"/>
      <c r="N1059" s="469"/>
      <c r="O1059" s="469"/>
      <c r="P1059" s="469"/>
      <c r="Q1059" s="469"/>
      <c r="R1059" s="469"/>
      <c r="S1059" s="469"/>
      <c r="T1059" s="469"/>
      <c r="U1059" s="469"/>
      <c r="V1059" s="469"/>
      <c r="W1059" s="469"/>
      <c r="X1059" s="469"/>
      <c r="Y1059" s="469"/>
      <c r="Z1059" s="469"/>
      <c r="AA1059" s="469"/>
      <c r="AB1059" s="469"/>
    </row>
    <row r="1060" ht="14.25" customHeight="1">
      <c r="A1060" s="464"/>
      <c r="B1060" s="481"/>
      <c r="C1060" s="466"/>
      <c r="D1060" s="484"/>
      <c r="E1060" s="466"/>
      <c r="F1060" s="485"/>
      <c r="G1060" s="485"/>
      <c r="H1060" s="485"/>
      <c r="I1060" s="331"/>
      <c r="J1060" s="469"/>
      <c r="K1060" s="469"/>
      <c r="L1060" s="469"/>
      <c r="M1060" s="469"/>
      <c r="N1060" s="469"/>
      <c r="O1060" s="469"/>
      <c r="P1060" s="469"/>
      <c r="Q1060" s="469"/>
      <c r="R1060" s="469"/>
      <c r="S1060" s="469"/>
      <c r="T1060" s="469"/>
      <c r="U1060" s="469"/>
      <c r="V1060" s="469"/>
      <c r="W1060" s="469"/>
      <c r="X1060" s="469"/>
      <c r="Y1060" s="469"/>
      <c r="Z1060" s="469"/>
      <c r="AA1060" s="469"/>
      <c r="AB1060" s="469"/>
    </row>
    <row r="1061" ht="14.25" customHeight="1">
      <c r="A1061" s="464"/>
      <c r="B1061" s="481"/>
      <c r="C1061" s="466"/>
      <c r="D1061" s="484"/>
      <c r="E1061" s="466"/>
      <c r="F1061" s="485"/>
      <c r="G1061" s="485"/>
      <c r="H1061" s="485"/>
      <c r="I1061" s="331"/>
      <c r="J1061" s="469"/>
      <c r="K1061" s="469"/>
      <c r="L1061" s="469"/>
      <c r="M1061" s="469"/>
      <c r="N1061" s="469"/>
      <c r="O1061" s="469"/>
      <c r="P1061" s="469"/>
      <c r="Q1061" s="469"/>
      <c r="R1061" s="469"/>
      <c r="S1061" s="469"/>
      <c r="T1061" s="469"/>
      <c r="U1061" s="469"/>
      <c r="V1061" s="469"/>
      <c r="W1061" s="469"/>
      <c r="X1061" s="469"/>
      <c r="Y1061" s="469"/>
      <c r="Z1061" s="469"/>
      <c r="AA1061" s="469"/>
      <c r="AB1061" s="469"/>
    </row>
    <row r="1062" ht="14.25" customHeight="1">
      <c r="A1062" s="464"/>
      <c r="B1062" s="481"/>
      <c r="C1062" s="466"/>
      <c r="D1062" s="484"/>
      <c r="E1062" s="466"/>
      <c r="F1062" s="485"/>
      <c r="G1062" s="485"/>
      <c r="H1062" s="485"/>
      <c r="I1062" s="331"/>
      <c r="J1062" s="469"/>
      <c r="K1062" s="469"/>
      <c r="L1062" s="469"/>
      <c r="M1062" s="469"/>
      <c r="N1062" s="469"/>
      <c r="O1062" s="469"/>
      <c r="P1062" s="469"/>
      <c r="Q1062" s="469"/>
      <c r="R1062" s="469"/>
      <c r="S1062" s="469"/>
      <c r="T1062" s="469"/>
      <c r="U1062" s="469"/>
      <c r="V1062" s="469"/>
      <c r="W1062" s="469"/>
      <c r="X1062" s="469"/>
      <c r="Y1062" s="469"/>
      <c r="Z1062" s="469"/>
      <c r="AA1062" s="469"/>
      <c r="AB1062" s="469"/>
    </row>
    <row r="1063" ht="14.25" customHeight="1">
      <c r="A1063" s="464"/>
      <c r="B1063" s="481"/>
      <c r="C1063" s="466"/>
      <c r="D1063" s="484"/>
      <c r="E1063" s="466"/>
      <c r="F1063" s="485"/>
      <c r="G1063" s="485"/>
      <c r="H1063" s="485"/>
      <c r="I1063" s="331"/>
      <c r="J1063" s="469"/>
      <c r="K1063" s="469"/>
      <c r="L1063" s="469"/>
      <c r="M1063" s="469"/>
      <c r="N1063" s="469"/>
      <c r="O1063" s="469"/>
      <c r="P1063" s="469"/>
      <c r="Q1063" s="469"/>
      <c r="R1063" s="469"/>
      <c r="S1063" s="469"/>
      <c r="T1063" s="469"/>
      <c r="U1063" s="469"/>
      <c r="V1063" s="469"/>
      <c r="W1063" s="469"/>
      <c r="X1063" s="469"/>
      <c r="Y1063" s="469"/>
      <c r="Z1063" s="469"/>
      <c r="AA1063" s="469"/>
      <c r="AB1063" s="469"/>
    </row>
    <row r="1064" ht="14.25" customHeight="1">
      <c r="A1064" s="464"/>
      <c r="B1064" s="481"/>
      <c r="C1064" s="466"/>
      <c r="D1064" s="484"/>
      <c r="E1064" s="466"/>
      <c r="F1064" s="485"/>
      <c r="G1064" s="485"/>
      <c r="H1064" s="485"/>
      <c r="I1064" s="331"/>
      <c r="J1064" s="469"/>
      <c r="K1064" s="469"/>
      <c r="L1064" s="469"/>
      <c r="M1064" s="469"/>
      <c r="N1064" s="469"/>
      <c r="O1064" s="469"/>
      <c r="P1064" s="469"/>
      <c r="Q1064" s="469"/>
      <c r="R1064" s="469"/>
      <c r="S1064" s="469"/>
      <c r="T1064" s="469"/>
      <c r="U1064" s="469"/>
      <c r="V1064" s="469"/>
      <c r="W1064" s="469"/>
      <c r="X1064" s="469"/>
      <c r="Y1064" s="469"/>
      <c r="Z1064" s="469"/>
      <c r="AA1064" s="469"/>
      <c r="AB1064" s="469"/>
    </row>
    <row r="1065" ht="14.25" customHeight="1">
      <c r="A1065" s="464"/>
      <c r="B1065" s="481"/>
      <c r="C1065" s="466"/>
      <c r="D1065" s="484"/>
      <c r="E1065" s="466"/>
      <c r="F1065" s="485"/>
      <c r="G1065" s="485"/>
      <c r="H1065" s="485"/>
      <c r="I1065" s="331"/>
      <c r="J1065" s="469"/>
      <c r="K1065" s="469"/>
      <c r="L1065" s="469"/>
      <c r="M1065" s="469"/>
      <c r="N1065" s="469"/>
      <c r="O1065" s="469"/>
      <c r="P1065" s="469"/>
      <c r="Q1065" s="469"/>
      <c r="R1065" s="469"/>
      <c r="S1065" s="469"/>
      <c r="T1065" s="469"/>
      <c r="U1065" s="469"/>
      <c r="V1065" s="469"/>
      <c r="W1065" s="469"/>
      <c r="X1065" s="469"/>
      <c r="Y1065" s="469"/>
      <c r="Z1065" s="469"/>
      <c r="AA1065" s="469"/>
      <c r="AB1065" s="469"/>
    </row>
    <row r="1066" ht="14.25" customHeight="1">
      <c r="A1066" s="464"/>
      <c r="B1066" s="481"/>
      <c r="C1066" s="466"/>
      <c r="D1066" s="484"/>
      <c r="E1066" s="466"/>
      <c r="F1066" s="485"/>
      <c r="G1066" s="485"/>
      <c r="H1066" s="485"/>
      <c r="I1066" s="331"/>
      <c r="J1066" s="469"/>
      <c r="K1066" s="469"/>
      <c r="L1066" s="469"/>
      <c r="M1066" s="469"/>
      <c r="N1066" s="469"/>
      <c r="O1066" s="469"/>
      <c r="P1066" s="469"/>
      <c r="Q1066" s="469"/>
      <c r="R1066" s="469"/>
      <c r="S1066" s="469"/>
      <c r="T1066" s="469"/>
      <c r="U1066" s="469"/>
      <c r="V1066" s="469"/>
      <c r="W1066" s="469"/>
      <c r="X1066" s="469"/>
      <c r="Y1066" s="469"/>
      <c r="Z1066" s="469"/>
      <c r="AA1066" s="469"/>
      <c r="AB1066" s="469"/>
    </row>
    <row r="1067" ht="14.25" customHeight="1">
      <c r="A1067" s="464"/>
      <c r="B1067" s="481"/>
      <c r="C1067" s="466"/>
      <c r="D1067" s="484"/>
      <c r="E1067" s="466"/>
      <c r="F1067" s="485"/>
      <c r="G1067" s="485"/>
      <c r="H1067" s="485"/>
      <c r="I1067" s="331"/>
      <c r="J1067" s="469"/>
      <c r="K1067" s="469"/>
      <c r="L1067" s="469"/>
      <c r="M1067" s="469"/>
      <c r="N1067" s="469"/>
      <c r="O1067" s="469"/>
      <c r="P1067" s="469"/>
      <c r="Q1067" s="469"/>
      <c r="R1067" s="469"/>
      <c r="S1067" s="469"/>
      <c r="T1067" s="469"/>
      <c r="U1067" s="469"/>
      <c r="V1067" s="469"/>
      <c r="W1067" s="469"/>
      <c r="X1067" s="469"/>
      <c r="Y1067" s="469"/>
      <c r="Z1067" s="469"/>
      <c r="AA1067" s="469"/>
      <c r="AB1067" s="469"/>
    </row>
    <row r="1068" ht="14.25" customHeight="1">
      <c r="A1068" s="464"/>
      <c r="B1068" s="481"/>
      <c r="C1068" s="466"/>
      <c r="D1068" s="484"/>
      <c r="E1068" s="466"/>
      <c r="F1068" s="485"/>
      <c r="G1068" s="485"/>
      <c r="H1068" s="485"/>
      <c r="I1068" s="331"/>
      <c r="J1068" s="469"/>
      <c r="K1068" s="469"/>
      <c r="L1068" s="469"/>
      <c r="M1068" s="469"/>
      <c r="N1068" s="469"/>
      <c r="O1068" s="469"/>
      <c r="P1068" s="469"/>
      <c r="Q1068" s="469"/>
      <c r="R1068" s="469"/>
      <c r="S1068" s="469"/>
      <c r="T1068" s="469"/>
      <c r="U1068" s="469"/>
      <c r="V1068" s="469"/>
      <c r="W1068" s="469"/>
      <c r="X1068" s="469"/>
      <c r="Y1068" s="469"/>
      <c r="Z1068" s="469"/>
      <c r="AA1068" s="469"/>
      <c r="AB1068" s="469"/>
    </row>
    <row r="1069" ht="14.25" customHeight="1">
      <c r="A1069" s="464"/>
      <c r="B1069" s="481"/>
      <c r="C1069" s="466"/>
      <c r="D1069" s="484"/>
      <c r="E1069" s="466"/>
      <c r="F1069" s="485"/>
      <c r="G1069" s="485"/>
      <c r="H1069" s="485"/>
      <c r="I1069" s="331"/>
      <c r="J1069" s="469"/>
      <c r="K1069" s="469"/>
      <c r="L1069" s="469"/>
      <c r="M1069" s="469"/>
      <c r="N1069" s="469"/>
      <c r="O1069" s="469"/>
      <c r="P1069" s="469"/>
      <c r="Q1069" s="469"/>
      <c r="R1069" s="469"/>
      <c r="S1069" s="469"/>
      <c r="T1069" s="469"/>
      <c r="U1069" s="469"/>
      <c r="V1069" s="469"/>
      <c r="W1069" s="469"/>
      <c r="X1069" s="469"/>
      <c r="Y1069" s="469"/>
      <c r="Z1069" s="469"/>
      <c r="AA1069" s="469"/>
      <c r="AB1069" s="469"/>
    </row>
    <row r="1070" ht="14.25" customHeight="1">
      <c r="A1070" s="464"/>
      <c r="B1070" s="481"/>
      <c r="C1070" s="466"/>
      <c r="D1070" s="484"/>
      <c r="E1070" s="466"/>
      <c r="F1070" s="485"/>
      <c r="G1070" s="485"/>
      <c r="H1070" s="485"/>
      <c r="I1070" s="331"/>
      <c r="J1070" s="469"/>
      <c r="K1070" s="469"/>
      <c r="L1070" s="469"/>
      <c r="M1070" s="469"/>
      <c r="N1070" s="469"/>
      <c r="O1070" s="469"/>
      <c r="P1070" s="469"/>
      <c r="Q1070" s="469"/>
      <c r="R1070" s="469"/>
      <c r="S1070" s="469"/>
      <c r="T1070" s="469"/>
      <c r="U1070" s="469"/>
      <c r="V1070" s="469"/>
      <c r="W1070" s="469"/>
      <c r="X1070" s="469"/>
      <c r="Y1070" s="469"/>
      <c r="Z1070" s="469"/>
      <c r="AA1070" s="469"/>
      <c r="AB1070" s="469"/>
    </row>
    <row r="1071" ht="14.25" customHeight="1">
      <c r="A1071" s="464"/>
      <c r="B1071" s="481"/>
      <c r="C1071" s="466"/>
      <c r="D1071" s="484"/>
      <c r="E1071" s="466"/>
      <c r="F1071" s="485"/>
      <c r="G1071" s="485"/>
      <c r="H1071" s="485"/>
      <c r="I1071" s="331"/>
      <c r="J1071" s="469"/>
      <c r="K1071" s="469"/>
      <c r="L1071" s="469"/>
      <c r="M1071" s="469"/>
      <c r="N1071" s="469"/>
      <c r="O1071" s="469"/>
      <c r="P1071" s="469"/>
      <c r="Q1071" s="469"/>
      <c r="R1071" s="469"/>
      <c r="S1071" s="469"/>
      <c r="T1071" s="469"/>
      <c r="U1071" s="469"/>
      <c r="V1071" s="469"/>
      <c r="W1071" s="469"/>
      <c r="X1071" s="469"/>
      <c r="Y1071" s="469"/>
      <c r="Z1071" s="469"/>
      <c r="AA1071" s="469"/>
      <c r="AB1071" s="469"/>
    </row>
    <row r="1072" ht="14.25" customHeight="1">
      <c r="A1072" s="464"/>
      <c r="B1072" s="481"/>
      <c r="C1072" s="466"/>
      <c r="D1072" s="484"/>
      <c r="E1072" s="466"/>
      <c r="F1072" s="485"/>
      <c r="G1072" s="485"/>
      <c r="H1072" s="485"/>
      <c r="I1072" s="331"/>
      <c r="J1072" s="469"/>
      <c r="K1072" s="469"/>
      <c r="L1072" s="469"/>
      <c r="M1072" s="469"/>
      <c r="N1072" s="469"/>
      <c r="O1072" s="469"/>
      <c r="P1072" s="469"/>
      <c r="Q1072" s="469"/>
      <c r="R1072" s="469"/>
      <c r="S1072" s="469"/>
      <c r="T1072" s="469"/>
      <c r="U1072" s="469"/>
      <c r="V1072" s="469"/>
      <c r="W1072" s="469"/>
      <c r="X1072" s="469"/>
      <c r="Y1072" s="469"/>
      <c r="Z1072" s="469"/>
      <c r="AA1072" s="469"/>
      <c r="AB1072" s="469"/>
    </row>
    <row r="1073" ht="14.25" customHeight="1">
      <c r="A1073" s="464"/>
      <c r="B1073" s="481"/>
      <c r="C1073" s="466"/>
      <c r="D1073" s="484"/>
      <c r="E1073" s="466"/>
      <c r="F1073" s="485"/>
      <c r="G1073" s="485"/>
      <c r="H1073" s="485"/>
      <c r="I1073" s="331"/>
      <c r="J1073" s="469"/>
      <c r="K1073" s="469"/>
      <c r="L1073" s="469"/>
      <c r="M1073" s="469"/>
      <c r="N1073" s="469"/>
      <c r="O1073" s="469"/>
      <c r="P1073" s="469"/>
      <c r="Q1073" s="469"/>
      <c r="R1073" s="469"/>
      <c r="S1073" s="469"/>
      <c r="T1073" s="469"/>
      <c r="U1073" s="469"/>
      <c r="V1073" s="469"/>
      <c r="W1073" s="469"/>
      <c r="X1073" s="469"/>
      <c r="Y1073" s="469"/>
      <c r="Z1073" s="469"/>
      <c r="AA1073" s="469"/>
      <c r="AB1073" s="469"/>
    </row>
    <row r="1074" ht="14.25" customHeight="1">
      <c r="A1074" s="464"/>
      <c r="B1074" s="481"/>
      <c r="C1074" s="466"/>
      <c r="D1074" s="484"/>
      <c r="E1074" s="466"/>
      <c r="F1074" s="485"/>
      <c r="G1074" s="485"/>
      <c r="H1074" s="485"/>
      <c r="I1074" s="331"/>
      <c r="J1074" s="469"/>
      <c r="K1074" s="469"/>
      <c r="L1074" s="469"/>
      <c r="M1074" s="469"/>
      <c r="N1074" s="469"/>
      <c r="O1074" s="469"/>
      <c r="P1074" s="469"/>
      <c r="Q1074" s="469"/>
      <c r="R1074" s="469"/>
      <c r="S1074" s="469"/>
      <c r="T1074" s="469"/>
      <c r="U1074" s="469"/>
      <c r="V1074" s="469"/>
      <c r="W1074" s="469"/>
      <c r="X1074" s="469"/>
      <c r="Y1074" s="469"/>
      <c r="Z1074" s="469"/>
      <c r="AA1074" s="469"/>
      <c r="AB1074" s="469"/>
    </row>
    <row r="1075" ht="14.25" customHeight="1">
      <c r="A1075" s="464"/>
      <c r="B1075" s="481"/>
      <c r="C1075" s="466"/>
      <c r="D1075" s="484"/>
      <c r="E1075" s="466"/>
      <c r="F1075" s="485"/>
      <c r="G1075" s="485"/>
      <c r="H1075" s="485"/>
      <c r="I1075" s="331"/>
      <c r="J1075" s="469"/>
      <c r="K1075" s="469"/>
      <c r="L1075" s="469"/>
      <c r="M1075" s="469"/>
      <c r="N1075" s="469"/>
      <c r="O1075" s="469"/>
      <c r="P1075" s="469"/>
      <c r="Q1075" s="469"/>
      <c r="R1075" s="469"/>
      <c r="S1075" s="469"/>
      <c r="T1075" s="469"/>
      <c r="U1075" s="469"/>
      <c r="V1075" s="469"/>
      <c r="W1075" s="469"/>
      <c r="X1075" s="469"/>
      <c r="Y1075" s="469"/>
      <c r="Z1075" s="469"/>
      <c r="AA1075" s="469"/>
      <c r="AB1075" s="469"/>
    </row>
    <row r="1076" ht="14.25" customHeight="1">
      <c r="A1076" s="464"/>
      <c r="B1076" s="481"/>
      <c r="C1076" s="466"/>
      <c r="D1076" s="484"/>
      <c r="E1076" s="466"/>
      <c r="F1076" s="485"/>
      <c r="G1076" s="485"/>
      <c r="H1076" s="485"/>
      <c r="I1076" s="331"/>
      <c r="J1076" s="469"/>
      <c r="K1076" s="469"/>
      <c r="L1076" s="469"/>
      <c r="M1076" s="469"/>
      <c r="N1076" s="469"/>
      <c r="O1076" s="469"/>
      <c r="P1076" s="469"/>
      <c r="Q1076" s="469"/>
      <c r="R1076" s="469"/>
      <c r="S1076" s="469"/>
      <c r="T1076" s="469"/>
      <c r="U1076" s="469"/>
      <c r="V1076" s="469"/>
      <c r="W1076" s="469"/>
      <c r="X1076" s="469"/>
      <c r="Y1076" s="469"/>
      <c r="Z1076" s="469"/>
      <c r="AA1076" s="469"/>
      <c r="AB1076" s="469"/>
    </row>
    <row r="1077" ht="14.25" customHeight="1">
      <c r="A1077" s="464"/>
      <c r="B1077" s="481"/>
      <c r="C1077" s="466"/>
      <c r="D1077" s="484"/>
      <c r="E1077" s="466"/>
      <c r="F1077" s="485"/>
      <c r="G1077" s="485"/>
      <c r="H1077" s="485"/>
      <c r="I1077" s="331"/>
      <c r="J1077" s="469"/>
      <c r="K1077" s="469"/>
      <c r="L1077" s="469"/>
      <c r="M1077" s="469"/>
      <c r="N1077" s="469"/>
      <c r="O1077" s="469"/>
      <c r="P1077" s="469"/>
      <c r="Q1077" s="469"/>
      <c r="R1077" s="469"/>
      <c r="S1077" s="469"/>
      <c r="T1077" s="469"/>
      <c r="U1077" s="469"/>
      <c r="V1077" s="469"/>
      <c r="W1077" s="469"/>
      <c r="X1077" s="469"/>
      <c r="Y1077" s="469"/>
      <c r="Z1077" s="469"/>
      <c r="AA1077" s="469"/>
      <c r="AB1077" s="469"/>
    </row>
    <row r="1078" ht="14.25" customHeight="1">
      <c r="A1078" s="464"/>
      <c r="B1078" s="481"/>
      <c r="C1078" s="466"/>
      <c r="D1078" s="484"/>
      <c r="E1078" s="466"/>
      <c r="F1078" s="485"/>
      <c r="G1078" s="485"/>
      <c r="H1078" s="485"/>
      <c r="I1078" s="331"/>
      <c r="J1078" s="469"/>
      <c r="K1078" s="469"/>
      <c r="L1078" s="469"/>
      <c r="M1078" s="469"/>
      <c r="N1078" s="469"/>
      <c r="O1078" s="469"/>
      <c r="P1078" s="469"/>
      <c r="Q1078" s="469"/>
      <c r="R1078" s="469"/>
      <c r="S1078" s="469"/>
      <c r="T1078" s="469"/>
      <c r="U1078" s="469"/>
      <c r="V1078" s="469"/>
      <c r="W1078" s="469"/>
      <c r="X1078" s="469"/>
      <c r="Y1078" s="469"/>
      <c r="Z1078" s="469"/>
      <c r="AA1078" s="469"/>
      <c r="AB1078" s="469"/>
    </row>
    <row r="1079" ht="14.25" customHeight="1">
      <c r="A1079" s="464"/>
      <c r="B1079" s="481"/>
      <c r="C1079" s="466"/>
      <c r="D1079" s="484"/>
      <c r="E1079" s="466"/>
      <c r="F1079" s="485"/>
      <c r="G1079" s="485"/>
      <c r="H1079" s="485"/>
      <c r="I1079" s="331"/>
      <c r="J1079" s="469"/>
      <c r="K1079" s="469"/>
      <c r="L1079" s="469"/>
      <c r="M1079" s="469"/>
      <c r="N1079" s="469"/>
      <c r="O1079" s="469"/>
      <c r="P1079" s="469"/>
      <c r="Q1079" s="469"/>
      <c r="R1079" s="469"/>
      <c r="S1079" s="469"/>
      <c r="T1079" s="469"/>
      <c r="U1079" s="469"/>
      <c r="V1079" s="469"/>
      <c r="W1079" s="469"/>
      <c r="X1079" s="469"/>
      <c r="Y1079" s="469"/>
      <c r="Z1079" s="469"/>
      <c r="AA1079" s="469"/>
      <c r="AB1079" s="469"/>
    </row>
    <row r="1080" ht="14.25" customHeight="1">
      <c r="A1080" s="464"/>
      <c r="B1080" s="481"/>
      <c r="C1080" s="466"/>
      <c r="D1080" s="484"/>
      <c r="E1080" s="466"/>
      <c r="F1080" s="485"/>
      <c r="G1080" s="485"/>
      <c r="H1080" s="485"/>
      <c r="I1080" s="331"/>
      <c r="J1080" s="469"/>
      <c r="K1080" s="469"/>
      <c r="L1080" s="469"/>
      <c r="M1080" s="469"/>
      <c r="N1080" s="469"/>
      <c r="O1080" s="469"/>
      <c r="P1080" s="469"/>
      <c r="Q1080" s="469"/>
      <c r="R1080" s="469"/>
      <c r="S1080" s="469"/>
      <c r="T1080" s="469"/>
      <c r="U1080" s="469"/>
      <c r="V1080" s="469"/>
      <c r="W1080" s="469"/>
      <c r="X1080" s="469"/>
      <c r="Y1080" s="469"/>
      <c r="Z1080" s="469"/>
      <c r="AA1080" s="469"/>
      <c r="AB1080" s="469"/>
    </row>
    <row r="1081" ht="14.25" customHeight="1">
      <c r="A1081" s="464"/>
      <c r="B1081" s="481"/>
      <c r="C1081" s="466"/>
      <c r="D1081" s="484"/>
      <c r="E1081" s="466"/>
      <c r="F1081" s="485"/>
      <c r="G1081" s="485"/>
      <c r="H1081" s="485"/>
      <c r="I1081" s="331"/>
      <c r="J1081" s="469"/>
      <c r="K1081" s="469"/>
      <c r="L1081" s="469"/>
      <c r="M1081" s="469"/>
      <c r="N1081" s="469"/>
      <c r="O1081" s="469"/>
      <c r="P1081" s="469"/>
      <c r="Q1081" s="469"/>
      <c r="R1081" s="469"/>
      <c r="S1081" s="469"/>
      <c r="T1081" s="469"/>
      <c r="U1081" s="469"/>
      <c r="V1081" s="469"/>
      <c r="W1081" s="469"/>
      <c r="X1081" s="469"/>
      <c r="Y1081" s="469"/>
      <c r="Z1081" s="469"/>
      <c r="AA1081" s="469"/>
      <c r="AB1081" s="469"/>
    </row>
    <row r="1082" ht="14.25" customHeight="1">
      <c r="A1082" s="464"/>
      <c r="B1082" s="481"/>
      <c r="C1082" s="466"/>
      <c r="D1082" s="484"/>
      <c r="E1082" s="466"/>
      <c r="F1082" s="485"/>
      <c r="G1082" s="485"/>
      <c r="H1082" s="485"/>
      <c r="I1082" s="331"/>
      <c r="J1082" s="469"/>
      <c r="K1082" s="469"/>
      <c r="L1082" s="469"/>
      <c r="M1082" s="469"/>
      <c r="N1082" s="469"/>
      <c r="O1082" s="469"/>
      <c r="P1082" s="469"/>
      <c r="Q1082" s="469"/>
      <c r="R1082" s="469"/>
      <c r="S1082" s="469"/>
      <c r="T1082" s="469"/>
      <c r="U1082" s="469"/>
      <c r="V1082" s="469"/>
      <c r="W1082" s="469"/>
      <c r="X1082" s="469"/>
      <c r="Y1082" s="469"/>
      <c r="Z1082" s="469"/>
      <c r="AA1082" s="469"/>
      <c r="AB1082" s="469"/>
    </row>
    <row r="1083" ht="14.25" customHeight="1">
      <c r="A1083" s="464"/>
      <c r="B1083" s="481"/>
      <c r="C1083" s="466"/>
      <c r="D1083" s="484"/>
      <c r="E1083" s="466"/>
      <c r="F1083" s="485"/>
      <c r="G1083" s="485"/>
      <c r="H1083" s="485"/>
      <c r="I1083" s="331"/>
      <c r="J1083" s="469"/>
      <c r="K1083" s="469"/>
      <c r="L1083" s="469"/>
      <c r="M1083" s="469"/>
      <c r="N1083" s="469"/>
      <c r="O1083" s="469"/>
      <c r="P1083" s="469"/>
      <c r="Q1083" s="469"/>
      <c r="R1083" s="469"/>
      <c r="S1083" s="469"/>
      <c r="T1083" s="469"/>
      <c r="U1083" s="469"/>
      <c r="V1083" s="469"/>
      <c r="W1083" s="469"/>
      <c r="X1083" s="469"/>
      <c r="Y1083" s="469"/>
      <c r="Z1083" s="469"/>
      <c r="AA1083" s="469"/>
      <c r="AB1083" s="469"/>
    </row>
    <row r="1084" ht="14.25" customHeight="1">
      <c r="A1084" s="464"/>
      <c r="B1084" s="481"/>
      <c r="C1084" s="466"/>
      <c r="D1084" s="484"/>
      <c r="E1084" s="466"/>
      <c r="F1084" s="485"/>
      <c r="G1084" s="485"/>
      <c r="H1084" s="485"/>
      <c r="I1084" s="331"/>
      <c r="J1084" s="469"/>
      <c r="K1084" s="469"/>
      <c r="L1084" s="469"/>
      <c r="M1084" s="469"/>
      <c r="N1084" s="469"/>
      <c r="O1084" s="469"/>
      <c r="P1084" s="469"/>
      <c r="Q1084" s="469"/>
      <c r="R1084" s="469"/>
      <c r="S1084" s="469"/>
      <c r="T1084" s="469"/>
      <c r="U1084" s="469"/>
      <c r="V1084" s="469"/>
      <c r="W1084" s="469"/>
      <c r="X1084" s="469"/>
      <c r="Y1084" s="469"/>
      <c r="Z1084" s="469"/>
      <c r="AA1084" s="469"/>
      <c r="AB1084" s="469"/>
    </row>
    <row r="1085" ht="14.25" customHeight="1">
      <c r="A1085" s="464"/>
      <c r="B1085" s="481"/>
      <c r="C1085" s="466"/>
      <c r="D1085" s="484"/>
      <c r="E1085" s="466"/>
      <c r="F1085" s="485"/>
      <c r="G1085" s="485"/>
      <c r="H1085" s="485"/>
      <c r="I1085" s="331"/>
      <c r="J1085" s="469"/>
      <c r="K1085" s="469"/>
      <c r="L1085" s="469"/>
      <c r="M1085" s="469"/>
      <c r="N1085" s="469"/>
      <c r="O1085" s="469"/>
      <c r="P1085" s="469"/>
      <c r="Q1085" s="469"/>
      <c r="R1085" s="469"/>
      <c r="S1085" s="469"/>
      <c r="T1085" s="469"/>
      <c r="U1085" s="469"/>
      <c r="V1085" s="469"/>
      <c r="W1085" s="469"/>
      <c r="X1085" s="469"/>
      <c r="Y1085" s="469"/>
      <c r="Z1085" s="469"/>
      <c r="AA1085" s="469"/>
      <c r="AB1085" s="469"/>
    </row>
    <row r="1086" ht="14.25" customHeight="1">
      <c r="A1086" s="464"/>
      <c r="B1086" s="481"/>
      <c r="C1086" s="466"/>
      <c r="D1086" s="484"/>
      <c r="E1086" s="466"/>
      <c r="F1086" s="485"/>
      <c r="G1086" s="485"/>
      <c r="H1086" s="485"/>
      <c r="I1086" s="331"/>
      <c r="J1086" s="469"/>
      <c r="K1086" s="469"/>
      <c r="L1086" s="469"/>
      <c r="M1086" s="469"/>
      <c r="N1086" s="469"/>
      <c r="O1086" s="469"/>
      <c r="P1086" s="469"/>
      <c r="Q1086" s="469"/>
      <c r="R1086" s="469"/>
      <c r="S1086" s="469"/>
      <c r="T1086" s="469"/>
      <c r="U1086" s="469"/>
      <c r="V1086" s="469"/>
      <c r="W1086" s="469"/>
      <c r="X1086" s="469"/>
      <c r="Y1086" s="469"/>
      <c r="Z1086" s="469"/>
      <c r="AA1086" s="469"/>
      <c r="AB1086" s="469"/>
    </row>
    <row r="1087" ht="14.25" customHeight="1">
      <c r="A1087" s="464"/>
      <c r="B1087" s="481"/>
      <c r="C1087" s="466"/>
      <c r="D1087" s="484"/>
      <c r="E1087" s="466"/>
      <c r="F1087" s="485"/>
      <c r="G1087" s="485"/>
      <c r="H1087" s="485"/>
      <c r="I1087" s="331"/>
      <c r="J1087" s="469"/>
      <c r="K1087" s="469"/>
      <c r="L1087" s="469"/>
      <c r="M1087" s="469"/>
      <c r="N1087" s="469"/>
      <c r="O1087" s="469"/>
      <c r="P1087" s="469"/>
      <c r="Q1087" s="469"/>
      <c r="R1087" s="469"/>
      <c r="S1087" s="469"/>
      <c r="T1087" s="469"/>
      <c r="U1087" s="469"/>
      <c r="V1087" s="469"/>
      <c r="W1087" s="469"/>
      <c r="X1087" s="469"/>
      <c r="Y1087" s="469"/>
      <c r="Z1087" s="469"/>
      <c r="AA1087" s="469"/>
      <c r="AB1087" s="469"/>
    </row>
    <row r="1088" ht="14.25" customHeight="1">
      <c r="A1088" s="464"/>
      <c r="B1088" s="481"/>
      <c r="C1088" s="466"/>
      <c r="D1088" s="484"/>
      <c r="E1088" s="466"/>
      <c r="F1088" s="485"/>
      <c r="G1088" s="485"/>
      <c r="H1088" s="485"/>
      <c r="I1088" s="331"/>
      <c r="J1088" s="469"/>
      <c r="K1088" s="469"/>
      <c r="L1088" s="469"/>
      <c r="M1088" s="469"/>
      <c r="N1088" s="469"/>
      <c r="O1088" s="469"/>
      <c r="P1088" s="469"/>
      <c r="Q1088" s="469"/>
      <c r="R1088" s="469"/>
      <c r="S1088" s="469"/>
      <c r="T1088" s="469"/>
      <c r="U1088" s="469"/>
      <c r="V1088" s="469"/>
      <c r="W1088" s="469"/>
      <c r="X1088" s="469"/>
      <c r="Y1088" s="469"/>
      <c r="Z1088" s="469"/>
      <c r="AA1088" s="469"/>
      <c r="AB1088" s="469"/>
    </row>
    <row r="1089" ht="14.25" customHeight="1">
      <c r="A1089" s="464"/>
      <c r="B1089" s="481"/>
      <c r="C1089" s="466"/>
      <c r="D1089" s="484"/>
      <c r="E1089" s="466"/>
      <c r="F1089" s="485"/>
      <c r="G1089" s="485"/>
      <c r="H1089" s="485"/>
      <c r="I1089" s="331"/>
      <c r="J1089" s="469"/>
      <c r="K1089" s="469"/>
      <c r="L1089" s="469"/>
      <c r="M1089" s="469"/>
      <c r="N1089" s="469"/>
      <c r="O1089" s="469"/>
      <c r="P1089" s="469"/>
      <c r="Q1089" s="469"/>
      <c r="R1089" s="469"/>
      <c r="S1089" s="469"/>
      <c r="T1089" s="469"/>
      <c r="U1089" s="469"/>
      <c r="V1089" s="469"/>
      <c r="W1089" s="469"/>
      <c r="X1089" s="469"/>
      <c r="Y1089" s="469"/>
      <c r="Z1089" s="469"/>
      <c r="AA1089" s="469"/>
      <c r="AB1089" s="469"/>
    </row>
    <row r="1090" ht="14.25" customHeight="1">
      <c r="A1090" s="464"/>
      <c r="B1090" s="481"/>
      <c r="C1090" s="466"/>
      <c r="D1090" s="484"/>
      <c r="E1090" s="466"/>
      <c r="F1090" s="485"/>
      <c r="G1090" s="485"/>
      <c r="H1090" s="485"/>
      <c r="I1090" s="331"/>
      <c r="J1090" s="469"/>
      <c r="K1090" s="469"/>
      <c r="L1090" s="469"/>
      <c r="M1090" s="469"/>
      <c r="N1090" s="469"/>
      <c r="O1090" s="469"/>
      <c r="P1090" s="469"/>
      <c r="Q1090" s="469"/>
      <c r="R1090" s="469"/>
      <c r="S1090" s="469"/>
      <c r="T1090" s="469"/>
      <c r="U1090" s="469"/>
      <c r="V1090" s="469"/>
      <c r="W1090" s="469"/>
      <c r="X1090" s="469"/>
      <c r="Y1090" s="469"/>
      <c r="Z1090" s="469"/>
      <c r="AA1090" s="469"/>
      <c r="AB1090" s="469"/>
    </row>
    <row r="1091" ht="14.25" customHeight="1">
      <c r="A1091" s="464"/>
      <c r="B1091" s="481"/>
      <c r="C1091" s="466"/>
      <c r="D1091" s="484"/>
      <c r="E1091" s="466"/>
      <c r="F1091" s="485"/>
      <c r="G1091" s="485"/>
      <c r="H1091" s="485"/>
      <c r="I1091" s="331"/>
      <c r="J1091" s="469"/>
      <c r="K1091" s="469"/>
      <c r="L1091" s="469"/>
      <c r="M1091" s="469"/>
      <c r="N1091" s="469"/>
      <c r="O1091" s="469"/>
      <c r="P1091" s="469"/>
      <c r="Q1091" s="469"/>
      <c r="R1091" s="469"/>
      <c r="S1091" s="469"/>
      <c r="T1091" s="469"/>
      <c r="U1091" s="469"/>
      <c r="V1091" s="469"/>
      <c r="W1091" s="469"/>
      <c r="X1091" s="469"/>
      <c r="Y1091" s="469"/>
      <c r="Z1091" s="469"/>
      <c r="AA1091" s="469"/>
      <c r="AB1091" s="469"/>
    </row>
    <row r="1092" ht="14.25" customHeight="1">
      <c r="A1092" s="464"/>
      <c r="B1092" s="481"/>
      <c r="C1092" s="466"/>
      <c r="D1092" s="484"/>
      <c r="E1092" s="466"/>
      <c r="F1092" s="485"/>
      <c r="G1092" s="485"/>
      <c r="H1092" s="485"/>
      <c r="I1092" s="331"/>
      <c r="J1092" s="469"/>
      <c r="K1092" s="469"/>
      <c r="L1092" s="469"/>
      <c r="M1092" s="469"/>
      <c r="N1092" s="469"/>
      <c r="O1092" s="469"/>
      <c r="P1092" s="469"/>
      <c r="Q1092" s="469"/>
      <c r="R1092" s="469"/>
      <c r="S1092" s="469"/>
      <c r="T1092" s="469"/>
      <c r="U1092" s="469"/>
      <c r="V1092" s="469"/>
      <c r="W1092" s="469"/>
      <c r="X1092" s="469"/>
      <c r="Y1092" s="469"/>
      <c r="Z1092" s="469"/>
      <c r="AA1092" s="469"/>
      <c r="AB1092" s="469"/>
    </row>
    <row r="1093" ht="14.25" customHeight="1">
      <c r="A1093" s="464"/>
      <c r="B1093" s="481"/>
      <c r="C1093" s="466"/>
      <c r="D1093" s="484"/>
      <c r="E1093" s="466"/>
      <c r="F1093" s="485"/>
      <c r="G1093" s="485"/>
      <c r="H1093" s="485"/>
      <c r="I1093" s="331"/>
      <c r="J1093" s="469"/>
      <c r="K1093" s="469"/>
      <c r="L1093" s="469"/>
      <c r="M1093" s="469"/>
      <c r="N1093" s="469"/>
      <c r="O1093" s="469"/>
      <c r="P1093" s="469"/>
      <c r="Q1093" s="469"/>
      <c r="R1093" s="469"/>
      <c r="S1093" s="469"/>
      <c r="T1093" s="469"/>
      <c r="U1093" s="469"/>
      <c r="V1093" s="469"/>
      <c r="W1093" s="469"/>
      <c r="X1093" s="469"/>
      <c r="Y1093" s="469"/>
      <c r="Z1093" s="469"/>
      <c r="AA1093" s="469"/>
      <c r="AB1093" s="469"/>
    </row>
    <row r="1094" ht="14.25" customHeight="1">
      <c r="A1094" s="464"/>
      <c r="B1094" s="481"/>
      <c r="C1094" s="466"/>
      <c r="D1094" s="484"/>
      <c r="E1094" s="466"/>
      <c r="F1094" s="485"/>
      <c r="G1094" s="485"/>
      <c r="H1094" s="485"/>
      <c r="I1094" s="331"/>
      <c r="J1094" s="469"/>
      <c r="K1094" s="469"/>
      <c r="L1094" s="469"/>
      <c r="M1094" s="469"/>
      <c r="N1094" s="469"/>
      <c r="O1094" s="469"/>
      <c r="P1094" s="469"/>
      <c r="Q1094" s="469"/>
      <c r="R1094" s="469"/>
      <c r="S1094" s="469"/>
      <c r="T1094" s="469"/>
      <c r="U1094" s="469"/>
      <c r="V1094" s="469"/>
      <c r="W1094" s="469"/>
      <c r="X1094" s="469"/>
      <c r="Y1094" s="469"/>
      <c r="Z1094" s="469"/>
      <c r="AA1094" s="469"/>
      <c r="AB1094" s="469"/>
    </row>
    <row r="1095" ht="14.25" customHeight="1">
      <c r="A1095" s="464"/>
      <c r="B1095" s="481"/>
      <c r="C1095" s="466"/>
      <c r="D1095" s="484"/>
      <c r="E1095" s="466"/>
      <c r="F1095" s="485"/>
      <c r="G1095" s="485"/>
      <c r="H1095" s="485"/>
      <c r="I1095" s="331"/>
      <c r="J1095" s="469"/>
      <c r="K1095" s="469"/>
      <c r="L1095" s="469"/>
      <c r="M1095" s="469"/>
      <c r="N1095" s="469"/>
      <c r="O1095" s="469"/>
      <c r="P1095" s="469"/>
      <c r="Q1095" s="469"/>
      <c r="R1095" s="469"/>
      <c r="S1095" s="469"/>
      <c r="T1095" s="469"/>
      <c r="U1095" s="469"/>
      <c r="V1095" s="469"/>
      <c r="W1095" s="469"/>
      <c r="X1095" s="469"/>
      <c r="Y1095" s="469"/>
      <c r="Z1095" s="469"/>
      <c r="AA1095" s="469"/>
      <c r="AB1095" s="469"/>
    </row>
    <row r="1096" ht="14.25" customHeight="1">
      <c r="A1096" s="464"/>
      <c r="B1096" s="481"/>
      <c r="C1096" s="466"/>
      <c r="D1096" s="484"/>
      <c r="E1096" s="466"/>
      <c r="F1096" s="485"/>
      <c r="G1096" s="485"/>
      <c r="H1096" s="485"/>
      <c r="I1096" s="331"/>
      <c r="J1096" s="469"/>
      <c r="K1096" s="469"/>
      <c r="L1096" s="469"/>
      <c r="M1096" s="469"/>
      <c r="N1096" s="469"/>
      <c r="O1096" s="469"/>
      <c r="P1096" s="469"/>
      <c r="Q1096" s="469"/>
      <c r="R1096" s="469"/>
      <c r="S1096" s="469"/>
      <c r="T1096" s="469"/>
      <c r="U1096" s="469"/>
      <c r="V1096" s="469"/>
      <c r="W1096" s="469"/>
      <c r="X1096" s="469"/>
      <c r="Y1096" s="469"/>
      <c r="Z1096" s="469"/>
      <c r="AA1096" s="469"/>
      <c r="AB1096" s="469"/>
    </row>
    <row r="1097" ht="14.25" customHeight="1">
      <c r="A1097" s="464"/>
      <c r="B1097" s="481"/>
      <c r="C1097" s="466"/>
      <c r="D1097" s="484"/>
      <c r="E1097" s="466"/>
      <c r="F1097" s="485"/>
      <c r="G1097" s="485"/>
      <c r="H1097" s="485"/>
      <c r="I1097" s="331"/>
      <c r="J1097" s="469"/>
      <c r="K1097" s="469"/>
      <c r="L1097" s="469"/>
      <c r="M1097" s="469"/>
      <c r="N1097" s="469"/>
      <c r="O1097" s="469"/>
      <c r="P1097" s="469"/>
      <c r="Q1097" s="469"/>
      <c r="R1097" s="469"/>
      <c r="S1097" s="469"/>
      <c r="T1097" s="469"/>
      <c r="U1097" s="469"/>
      <c r="V1097" s="469"/>
      <c r="W1097" s="469"/>
      <c r="X1097" s="469"/>
      <c r="Y1097" s="469"/>
      <c r="Z1097" s="469"/>
      <c r="AA1097" s="469"/>
      <c r="AB1097" s="469"/>
    </row>
    <row r="1098" ht="14.25" customHeight="1">
      <c r="A1098" s="464"/>
      <c r="B1098" s="481"/>
      <c r="C1098" s="466"/>
      <c r="D1098" s="484"/>
      <c r="E1098" s="466"/>
      <c r="F1098" s="485"/>
      <c r="G1098" s="485"/>
      <c r="H1098" s="485"/>
      <c r="I1098" s="331"/>
      <c r="J1098" s="469"/>
      <c r="K1098" s="469"/>
      <c r="L1098" s="469"/>
      <c r="M1098" s="469"/>
      <c r="N1098" s="469"/>
      <c r="O1098" s="469"/>
      <c r="P1098" s="469"/>
      <c r="Q1098" s="469"/>
      <c r="R1098" s="469"/>
      <c r="S1098" s="469"/>
      <c r="T1098" s="469"/>
      <c r="U1098" s="469"/>
      <c r="V1098" s="469"/>
      <c r="W1098" s="469"/>
      <c r="X1098" s="469"/>
      <c r="Y1098" s="469"/>
      <c r="Z1098" s="469"/>
      <c r="AA1098" s="469"/>
      <c r="AB1098" s="469"/>
    </row>
    <row r="1099" ht="14.25" customHeight="1">
      <c r="A1099" s="464"/>
      <c r="B1099" s="481"/>
      <c r="C1099" s="466"/>
      <c r="D1099" s="484"/>
      <c r="E1099" s="466"/>
      <c r="F1099" s="485"/>
      <c r="G1099" s="485"/>
      <c r="H1099" s="485"/>
      <c r="I1099" s="331"/>
      <c r="J1099" s="469"/>
      <c r="K1099" s="469"/>
      <c r="L1099" s="469"/>
      <c r="M1099" s="469"/>
      <c r="N1099" s="469"/>
      <c r="O1099" s="469"/>
      <c r="P1099" s="469"/>
      <c r="Q1099" s="469"/>
      <c r="R1099" s="469"/>
      <c r="S1099" s="469"/>
      <c r="T1099" s="469"/>
      <c r="U1099" s="469"/>
      <c r="V1099" s="469"/>
      <c r="W1099" s="469"/>
      <c r="X1099" s="469"/>
      <c r="Y1099" s="469"/>
      <c r="Z1099" s="469"/>
      <c r="AA1099" s="469"/>
      <c r="AB1099" s="469"/>
    </row>
    <row r="1100" ht="14.25" customHeight="1">
      <c r="A1100" s="464"/>
      <c r="B1100" s="481"/>
      <c r="C1100" s="466"/>
      <c r="D1100" s="484"/>
      <c r="E1100" s="466"/>
      <c r="F1100" s="485"/>
      <c r="G1100" s="485"/>
      <c r="H1100" s="485"/>
      <c r="I1100" s="331"/>
      <c r="J1100" s="469"/>
      <c r="K1100" s="469"/>
      <c r="L1100" s="469"/>
      <c r="M1100" s="469"/>
      <c r="N1100" s="469"/>
      <c r="O1100" s="469"/>
      <c r="P1100" s="469"/>
      <c r="Q1100" s="469"/>
      <c r="R1100" s="469"/>
      <c r="S1100" s="469"/>
      <c r="T1100" s="469"/>
      <c r="U1100" s="469"/>
      <c r="V1100" s="469"/>
      <c r="W1100" s="469"/>
      <c r="X1100" s="469"/>
      <c r="Y1100" s="469"/>
      <c r="Z1100" s="469"/>
      <c r="AA1100" s="469"/>
      <c r="AB1100" s="469"/>
    </row>
    <row r="1101" ht="14.25" customHeight="1">
      <c r="A1101" s="464"/>
      <c r="B1101" s="481"/>
      <c r="C1101" s="466"/>
      <c r="D1101" s="484"/>
      <c r="E1101" s="466"/>
      <c r="F1101" s="485"/>
      <c r="G1101" s="485"/>
      <c r="H1101" s="485"/>
      <c r="I1101" s="331"/>
      <c r="J1101" s="469"/>
      <c r="K1101" s="469"/>
      <c r="L1101" s="469"/>
      <c r="M1101" s="469"/>
      <c r="N1101" s="469"/>
      <c r="O1101" s="469"/>
      <c r="P1101" s="469"/>
      <c r="Q1101" s="469"/>
      <c r="R1101" s="469"/>
      <c r="S1101" s="469"/>
      <c r="T1101" s="469"/>
      <c r="U1101" s="469"/>
      <c r="V1101" s="469"/>
      <c r="W1101" s="469"/>
      <c r="X1101" s="469"/>
      <c r="Y1101" s="469"/>
      <c r="Z1101" s="469"/>
      <c r="AA1101" s="469"/>
      <c r="AB1101" s="469"/>
    </row>
    <row r="1102" ht="14.25" customHeight="1">
      <c r="A1102" s="464"/>
      <c r="B1102" s="481"/>
      <c r="C1102" s="466"/>
      <c r="D1102" s="484"/>
      <c r="E1102" s="466"/>
      <c r="F1102" s="485"/>
      <c r="G1102" s="485"/>
      <c r="H1102" s="485"/>
      <c r="I1102" s="331"/>
      <c r="J1102" s="469"/>
      <c r="K1102" s="469"/>
      <c r="L1102" s="469"/>
      <c r="M1102" s="469"/>
      <c r="N1102" s="469"/>
      <c r="O1102" s="469"/>
      <c r="P1102" s="469"/>
      <c r="Q1102" s="469"/>
      <c r="R1102" s="469"/>
      <c r="S1102" s="469"/>
      <c r="T1102" s="469"/>
      <c r="U1102" s="469"/>
      <c r="V1102" s="469"/>
      <c r="W1102" s="469"/>
      <c r="X1102" s="469"/>
      <c r="Y1102" s="469"/>
      <c r="Z1102" s="469"/>
      <c r="AA1102" s="469"/>
      <c r="AB1102" s="469"/>
    </row>
    <row r="1103" ht="14.25" customHeight="1">
      <c r="A1103" s="464"/>
      <c r="B1103" s="481"/>
      <c r="C1103" s="466"/>
      <c r="D1103" s="484"/>
      <c r="E1103" s="466"/>
      <c r="F1103" s="485"/>
      <c r="G1103" s="485"/>
      <c r="H1103" s="485"/>
      <c r="I1103" s="331"/>
      <c r="J1103" s="469"/>
      <c r="K1103" s="469"/>
      <c r="L1103" s="469"/>
      <c r="M1103" s="469"/>
      <c r="N1103" s="469"/>
      <c r="O1103" s="469"/>
      <c r="P1103" s="469"/>
      <c r="Q1103" s="469"/>
      <c r="R1103" s="469"/>
      <c r="S1103" s="469"/>
      <c r="T1103" s="469"/>
      <c r="U1103" s="469"/>
      <c r="V1103" s="469"/>
      <c r="W1103" s="469"/>
      <c r="X1103" s="469"/>
      <c r="Y1103" s="469"/>
      <c r="Z1103" s="469"/>
      <c r="AA1103" s="469"/>
      <c r="AB1103" s="469"/>
    </row>
    <row r="1104" ht="14.25" customHeight="1">
      <c r="A1104" s="464"/>
      <c r="B1104" s="481"/>
      <c r="C1104" s="466"/>
      <c r="D1104" s="484"/>
      <c r="E1104" s="466"/>
      <c r="F1104" s="485"/>
      <c r="G1104" s="485"/>
      <c r="H1104" s="485"/>
      <c r="I1104" s="331"/>
      <c r="J1104" s="469"/>
      <c r="K1104" s="469"/>
      <c r="L1104" s="469"/>
      <c r="M1104" s="469"/>
      <c r="N1104" s="469"/>
      <c r="O1104" s="469"/>
      <c r="P1104" s="469"/>
      <c r="Q1104" s="469"/>
      <c r="R1104" s="469"/>
      <c r="S1104" s="469"/>
      <c r="T1104" s="469"/>
      <c r="U1104" s="469"/>
      <c r="V1104" s="469"/>
      <c r="W1104" s="469"/>
      <c r="X1104" s="469"/>
      <c r="Y1104" s="469"/>
      <c r="Z1104" s="469"/>
      <c r="AA1104" s="469"/>
      <c r="AB1104" s="469"/>
    </row>
    <row r="1105" ht="14.25" customHeight="1">
      <c r="A1105" s="464"/>
      <c r="B1105" s="481"/>
      <c r="C1105" s="466"/>
      <c r="D1105" s="484"/>
      <c r="E1105" s="466"/>
      <c r="F1105" s="485"/>
      <c r="G1105" s="485"/>
      <c r="H1105" s="485"/>
      <c r="I1105" s="331"/>
      <c r="J1105" s="469"/>
      <c r="K1105" s="469"/>
      <c r="L1105" s="469"/>
      <c r="M1105" s="469"/>
      <c r="N1105" s="469"/>
      <c r="O1105" s="469"/>
      <c r="P1105" s="469"/>
      <c r="Q1105" s="469"/>
      <c r="R1105" s="469"/>
      <c r="S1105" s="469"/>
      <c r="T1105" s="469"/>
      <c r="U1105" s="469"/>
      <c r="V1105" s="469"/>
      <c r="W1105" s="469"/>
      <c r="X1105" s="469"/>
      <c r="Y1105" s="469"/>
      <c r="Z1105" s="469"/>
      <c r="AA1105" s="469"/>
      <c r="AB1105" s="469"/>
    </row>
    <row r="1106" ht="14.25" customHeight="1">
      <c r="A1106" s="464"/>
      <c r="B1106" s="481"/>
      <c r="C1106" s="466"/>
      <c r="D1106" s="484"/>
      <c r="E1106" s="466"/>
      <c r="F1106" s="485"/>
      <c r="G1106" s="485"/>
      <c r="H1106" s="485"/>
      <c r="I1106" s="331"/>
      <c r="J1106" s="469"/>
      <c r="K1106" s="469"/>
      <c r="L1106" s="469"/>
      <c r="M1106" s="469"/>
      <c r="N1106" s="469"/>
      <c r="O1106" s="469"/>
      <c r="P1106" s="469"/>
      <c r="Q1106" s="469"/>
      <c r="R1106" s="469"/>
      <c r="S1106" s="469"/>
      <c r="T1106" s="469"/>
      <c r="U1106" s="469"/>
      <c r="V1106" s="469"/>
      <c r="W1106" s="469"/>
      <c r="X1106" s="469"/>
      <c r="Y1106" s="469"/>
      <c r="Z1106" s="469"/>
      <c r="AA1106" s="469"/>
      <c r="AB1106" s="469"/>
    </row>
    <row r="1107" ht="14.25" customHeight="1">
      <c r="A1107" s="464"/>
      <c r="B1107" s="481"/>
      <c r="C1107" s="466"/>
      <c r="D1107" s="484"/>
      <c r="E1107" s="466"/>
      <c r="F1107" s="485"/>
      <c r="G1107" s="485"/>
      <c r="H1107" s="485"/>
      <c r="I1107" s="331"/>
      <c r="J1107" s="469"/>
      <c r="K1107" s="469"/>
      <c r="L1107" s="469"/>
      <c r="M1107" s="469"/>
      <c r="N1107" s="469"/>
      <c r="O1107" s="469"/>
      <c r="P1107" s="469"/>
      <c r="Q1107" s="469"/>
      <c r="R1107" s="469"/>
      <c r="S1107" s="469"/>
      <c r="T1107" s="469"/>
      <c r="U1107" s="469"/>
      <c r="V1107" s="469"/>
      <c r="W1107" s="469"/>
      <c r="X1107" s="469"/>
      <c r="Y1107" s="469"/>
      <c r="Z1107" s="469"/>
      <c r="AA1107" s="469"/>
      <c r="AB1107" s="469"/>
    </row>
    <row r="1108" ht="14.25" customHeight="1">
      <c r="A1108" s="464"/>
      <c r="B1108" s="481"/>
      <c r="C1108" s="466"/>
      <c r="D1108" s="484"/>
      <c r="E1108" s="466"/>
      <c r="F1108" s="485"/>
      <c r="G1108" s="485"/>
      <c r="H1108" s="485"/>
      <c r="I1108" s="331"/>
      <c r="J1108" s="469"/>
      <c r="K1108" s="469"/>
      <c r="L1108" s="469"/>
      <c r="M1108" s="469"/>
      <c r="N1108" s="469"/>
      <c r="O1108" s="469"/>
      <c r="P1108" s="469"/>
      <c r="Q1108" s="469"/>
      <c r="R1108" s="469"/>
      <c r="S1108" s="469"/>
      <c r="T1108" s="469"/>
      <c r="U1108" s="469"/>
      <c r="V1108" s="469"/>
      <c r="W1108" s="469"/>
      <c r="X1108" s="469"/>
      <c r="Y1108" s="469"/>
      <c r="Z1108" s="469"/>
      <c r="AA1108" s="469"/>
      <c r="AB1108" s="469"/>
    </row>
    <row r="1109" ht="14.25" customHeight="1">
      <c r="A1109" s="464"/>
      <c r="B1109" s="481"/>
      <c r="C1109" s="466"/>
      <c r="D1109" s="484"/>
      <c r="E1109" s="466"/>
      <c r="F1109" s="485"/>
      <c r="G1109" s="485"/>
      <c r="H1109" s="485"/>
      <c r="I1109" s="331"/>
      <c r="J1109" s="469"/>
      <c r="K1109" s="469"/>
      <c r="L1109" s="469"/>
      <c r="M1109" s="469"/>
      <c r="N1109" s="469"/>
      <c r="O1109" s="469"/>
      <c r="P1109" s="469"/>
      <c r="Q1109" s="469"/>
      <c r="R1109" s="469"/>
      <c r="S1109" s="469"/>
      <c r="T1109" s="469"/>
      <c r="U1109" s="469"/>
      <c r="V1109" s="469"/>
      <c r="W1109" s="469"/>
      <c r="X1109" s="469"/>
      <c r="Y1109" s="469"/>
      <c r="Z1109" s="469"/>
      <c r="AA1109" s="469"/>
      <c r="AB1109" s="469"/>
    </row>
    <row r="1110" ht="14.25" customHeight="1">
      <c r="A1110" s="464"/>
      <c r="B1110" s="481"/>
      <c r="C1110" s="466"/>
      <c r="D1110" s="484"/>
      <c r="E1110" s="466"/>
      <c r="F1110" s="485"/>
      <c r="G1110" s="485"/>
      <c r="H1110" s="485"/>
      <c r="I1110" s="331"/>
      <c r="J1110" s="469"/>
      <c r="K1110" s="469"/>
      <c r="L1110" s="469"/>
      <c r="M1110" s="469"/>
      <c r="N1110" s="469"/>
      <c r="O1110" s="469"/>
      <c r="P1110" s="469"/>
      <c r="Q1110" s="469"/>
      <c r="R1110" s="469"/>
      <c r="S1110" s="469"/>
      <c r="T1110" s="469"/>
      <c r="U1110" s="469"/>
      <c r="V1110" s="469"/>
      <c r="W1110" s="469"/>
      <c r="X1110" s="469"/>
      <c r="Y1110" s="469"/>
      <c r="Z1110" s="469"/>
      <c r="AA1110" s="469"/>
      <c r="AB1110" s="469"/>
    </row>
    <row r="1111" ht="14.25" customHeight="1">
      <c r="A1111" s="464"/>
      <c r="B1111" s="481"/>
      <c r="C1111" s="466"/>
      <c r="D1111" s="484"/>
      <c r="E1111" s="466"/>
      <c r="F1111" s="485"/>
      <c r="G1111" s="485"/>
      <c r="H1111" s="485"/>
      <c r="I1111" s="331"/>
      <c r="J1111" s="469"/>
      <c r="K1111" s="469"/>
      <c r="L1111" s="469"/>
      <c r="M1111" s="469"/>
      <c r="N1111" s="469"/>
      <c r="O1111" s="469"/>
      <c r="P1111" s="469"/>
      <c r="Q1111" s="469"/>
      <c r="R1111" s="469"/>
      <c r="S1111" s="469"/>
      <c r="T1111" s="469"/>
      <c r="U1111" s="469"/>
      <c r="V1111" s="469"/>
      <c r="W1111" s="469"/>
      <c r="X1111" s="469"/>
      <c r="Y1111" s="469"/>
      <c r="Z1111" s="469"/>
      <c r="AA1111" s="469"/>
      <c r="AB1111" s="469"/>
    </row>
    <row r="1112" ht="14.25" customHeight="1">
      <c r="A1112" s="464"/>
      <c r="B1112" s="481"/>
      <c r="C1112" s="466"/>
      <c r="D1112" s="484"/>
      <c r="E1112" s="466"/>
      <c r="F1112" s="485"/>
      <c r="G1112" s="485"/>
      <c r="H1112" s="485"/>
      <c r="I1112" s="331"/>
      <c r="J1112" s="469"/>
      <c r="K1112" s="469"/>
      <c r="L1112" s="469"/>
      <c r="M1112" s="469"/>
      <c r="N1112" s="469"/>
      <c r="O1112" s="469"/>
      <c r="P1112" s="469"/>
      <c r="Q1112" s="469"/>
      <c r="R1112" s="469"/>
      <c r="S1112" s="469"/>
      <c r="T1112" s="469"/>
      <c r="U1112" s="469"/>
      <c r="V1112" s="469"/>
      <c r="W1112" s="469"/>
      <c r="X1112" s="469"/>
      <c r="Y1112" s="469"/>
      <c r="Z1112" s="469"/>
      <c r="AA1112" s="469"/>
      <c r="AB1112" s="469"/>
    </row>
    <row r="1113" ht="14.25" customHeight="1">
      <c r="A1113" s="464"/>
      <c r="B1113" s="481"/>
      <c r="C1113" s="466"/>
      <c r="D1113" s="484"/>
      <c r="E1113" s="466"/>
      <c r="F1113" s="485"/>
      <c r="G1113" s="485"/>
      <c r="H1113" s="485"/>
      <c r="I1113" s="331"/>
      <c r="J1113" s="469"/>
      <c r="K1113" s="469"/>
      <c r="L1113" s="469"/>
      <c r="M1113" s="469"/>
      <c r="N1113" s="469"/>
      <c r="O1113" s="469"/>
      <c r="P1113" s="469"/>
      <c r="Q1113" s="469"/>
      <c r="R1113" s="469"/>
      <c r="S1113" s="469"/>
      <c r="T1113" s="469"/>
      <c r="U1113" s="469"/>
      <c r="V1113" s="469"/>
      <c r="W1113" s="469"/>
      <c r="X1113" s="469"/>
      <c r="Y1113" s="469"/>
      <c r="Z1113" s="469"/>
      <c r="AA1113" s="469"/>
      <c r="AB1113" s="469"/>
    </row>
    <row r="1114" ht="14.25" customHeight="1">
      <c r="A1114" s="464"/>
      <c r="B1114" s="481"/>
      <c r="C1114" s="466"/>
      <c r="D1114" s="484"/>
      <c r="E1114" s="466"/>
      <c r="F1114" s="485"/>
      <c r="G1114" s="485"/>
      <c r="H1114" s="485"/>
      <c r="I1114" s="331"/>
      <c r="J1114" s="469"/>
      <c r="K1114" s="469"/>
      <c r="L1114" s="469"/>
      <c r="M1114" s="469"/>
      <c r="N1114" s="469"/>
      <c r="O1114" s="469"/>
      <c r="P1114" s="469"/>
      <c r="Q1114" s="469"/>
      <c r="R1114" s="469"/>
      <c r="S1114" s="469"/>
      <c r="T1114" s="469"/>
      <c r="U1114" s="469"/>
      <c r="V1114" s="469"/>
      <c r="W1114" s="469"/>
      <c r="X1114" s="469"/>
      <c r="Y1114" s="469"/>
      <c r="Z1114" s="469"/>
      <c r="AA1114" s="469"/>
      <c r="AB1114" s="469"/>
    </row>
    <row r="1115" ht="14.25" customHeight="1">
      <c r="A1115" s="464"/>
      <c r="B1115" s="481"/>
      <c r="C1115" s="466"/>
      <c r="D1115" s="484"/>
      <c r="E1115" s="466"/>
      <c r="F1115" s="485"/>
      <c r="G1115" s="485"/>
      <c r="H1115" s="485"/>
      <c r="I1115" s="331"/>
      <c r="J1115" s="469"/>
      <c r="K1115" s="469"/>
      <c r="L1115" s="469"/>
      <c r="M1115" s="469"/>
      <c r="N1115" s="469"/>
      <c r="O1115" s="469"/>
      <c r="P1115" s="469"/>
      <c r="Q1115" s="469"/>
      <c r="R1115" s="469"/>
      <c r="S1115" s="469"/>
      <c r="T1115" s="469"/>
      <c r="U1115" s="469"/>
      <c r="V1115" s="469"/>
      <c r="W1115" s="469"/>
      <c r="X1115" s="469"/>
      <c r="Y1115" s="469"/>
      <c r="Z1115" s="469"/>
      <c r="AA1115" s="469"/>
      <c r="AB1115" s="469"/>
    </row>
    <row r="1116" ht="14.25" customHeight="1">
      <c r="A1116" s="464"/>
      <c r="B1116" s="481"/>
      <c r="C1116" s="466"/>
      <c r="D1116" s="484"/>
      <c r="E1116" s="466"/>
      <c r="F1116" s="485"/>
      <c r="G1116" s="485"/>
      <c r="H1116" s="485"/>
      <c r="I1116" s="331"/>
      <c r="J1116" s="469"/>
      <c r="K1116" s="469"/>
      <c r="L1116" s="469"/>
      <c r="M1116" s="469"/>
      <c r="N1116" s="469"/>
      <c r="O1116" s="469"/>
      <c r="P1116" s="469"/>
      <c r="Q1116" s="469"/>
      <c r="R1116" s="469"/>
      <c r="S1116" s="469"/>
      <c r="T1116" s="469"/>
      <c r="U1116" s="469"/>
      <c r="V1116" s="469"/>
      <c r="W1116" s="469"/>
      <c r="X1116" s="469"/>
      <c r="Y1116" s="469"/>
      <c r="Z1116" s="469"/>
      <c r="AA1116" s="469"/>
      <c r="AB1116" s="469"/>
    </row>
    <row r="1117" ht="14.25" customHeight="1">
      <c r="A1117" s="464"/>
      <c r="B1117" s="481"/>
      <c r="C1117" s="466"/>
      <c r="D1117" s="484"/>
      <c r="E1117" s="466"/>
      <c r="F1117" s="485"/>
      <c r="G1117" s="485"/>
      <c r="H1117" s="485"/>
      <c r="I1117" s="331"/>
      <c r="J1117" s="469"/>
      <c r="K1117" s="469"/>
      <c r="L1117" s="469"/>
      <c r="M1117" s="469"/>
      <c r="N1117" s="469"/>
      <c r="O1117" s="469"/>
      <c r="P1117" s="469"/>
      <c r="Q1117" s="469"/>
      <c r="R1117" s="469"/>
      <c r="S1117" s="469"/>
      <c r="T1117" s="469"/>
      <c r="U1117" s="469"/>
      <c r="V1117" s="469"/>
      <c r="W1117" s="469"/>
      <c r="X1117" s="469"/>
      <c r="Y1117" s="469"/>
      <c r="Z1117" s="469"/>
      <c r="AA1117" s="469"/>
      <c r="AB1117" s="469"/>
    </row>
    <row r="1118" ht="14.25" customHeight="1">
      <c r="A1118" s="464"/>
      <c r="B1118" s="481"/>
      <c r="C1118" s="466"/>
      <c r="D1118" s="484"/>
      <c r="E1118" s="466"/>
      <c r="F1118" s="485"/>
      <c r="G1118" s="485"/>
      <c r="H1118" s="485"/>
      <c r="I1118" s="331"/>
      <c r="J1118" s="469"/>
      <c r="K1118" s="469"/>
      <c r="L1118" s="469"/>
      <c r="M1118" s="469"/>
      <c r="N1118" s="469"/>
      <c r="O1118" s="469"/>
      <c r="P1118" s="469"/>
      <c r="Q1118" s="469"/>
      <c r="R1118" s="469"/>
      <c r="S1118" s="469"/>
      <c r="T1118" s="469"/>
      <c r="U1118" s="469"/>
      <c r="V1118" s="469"/>
      <c r="W1118" s="469"/>
      <c r="X1118" s="469"/>
      <c r="Y1118" s="469"/>
      <c r="Z1118" s="469"/>
      <c r="AA1118" s="469"/>
      <c r="AB1118" s="469"/>
    </row>
    <row r="1119" ht="14.25" customHeight="1">
      <c r="A1119" s="464"/>
      <c r="B1119" s="481"/>
      <c r="C1119" s="466"/>
      <c r="D1119" s="484"/>
      <c r="E1119" s="466"/>
      <c r="F1119" s="485"/>
      <c r="G1119" s="485"/>
      <c r="H1119" s="485"/>
      <c r="I1119" s="331"/>
      <c r="J1119" s="469"/>
      <c r="K1119" s="469"/>
      <c r="L1119" s="469"/>
      <c r="M1119" s="469"/>
      <c r="N1119" s="469"/>
      <c r="O1119" s="469"/>
      <c r="P1119" s="469"/>
      <c r="Q1119" s="469"/>
      <c r="R1119" s="469"/>
      <c r="S1119" s="469"/>
      <c r="T1119" s="469"/>
      <c r="U1119" s="469"/>
      <c r="V1119" s="469"/>
      <c r="W1119" s="469"/>
      <c r="X1119" s="469"/>
      <c r="Y1119" s="469"/>
      <c r="Z1119" s="469"/>
      <c r="AA1119" s="469"/>
      <c r="AB1119" s="469"/>
    </row>
    <row r="1120" ht="14.25" customHeight="1">
      <c r="A1120" s="464"/>
      <c r="B1120" s="481"/>
      <c r="C1120" s="466"/>
      <c r="D1120" s="484"/>
      <c r="E1120" s="466"/>
      <c r="F1120" s="485"/>
      <c r="G1120" s="485"/>
      <c r="H1120" s="485"/>
      <c r="I1120" s="331"/>
      <c r="J1120" s="469"/>
      <c r="K1120" s="469"/>
      <c r="L1120" s="469"/>
      <c r="M1120" s="469"/>
      <c r="N1120" s="469"/>
      <c r="O1120" s="469"/>
      <c r="P1120" s="469"/>
      <c r="Q1120" s="469"/>
      <c r="R1120" s="469"/>
      <c r="S1120" s="469"/>
      <c r="T1120" s="469"/>
      <c r="U1120" s="469"/>
      <c r="V1120" s="469"/>
      <c r="W1120" s="469"/>
      <c r="X1120" s="469"/>
      <c r="Y1120" s="469"/>
      <c r="Z1120" s="469"/>
      <c r="AA1120" s="469"/>
      <c r="AB1120" s="469"/>
    </row>
    <row r="1121" ht="14.25" customHeight="1">
      <c r="A1121" s="464"/>
      <c r="B1121" s="481"/>
      <c r="C1121" s="466"/>
      <c r="D1121" s="484"/>
      <c r="E1121" s="466"/>
      <c r="F1121" s="485"/>
      <c r="G1121" s="485"/>
      <c r="H1121" s="485"/>
      <c r="I1121" s="331"/>
      <c r="J1121" s="469"/>
      <c r="K1121" s="469"/>
      <c r="L1121" s="469"/>
      <c r="M1121" s="469"/>
      <c r="N1121" s="469"/>
      <c r="O1121" s="469"/>
      <c r="P1121" s="469"/>
      <c r="Q1121" s="469"/>
      <c r="R1121" s="469"/>
      <c r="S1121" s="469"/>
      <c r="T1121" s="469"/>
      <c r="U1121" s="469"/>
      <c r="V1121" s="469"/>
      <c r="W1121" s="469"/>
      <c r="X1121" s="469"/>
      <c r="Y1121" s="469"/>
      <c r="Z1121" s="469"/>
      <c r="AA1121" s="469"/>
      <c r="AB1121" s="469"/>
    </row>
    <row r="1122" ht="14.25" customHeight="1">
      <c r="A1122" s="464"/>
      <c r="B1122" s="481"/>
      <c r="C1122" s="466"/>
      <c r="D1122" s="484"/>
      <c r="E1122" s="466"/>
      <c r="F1122" s="485"/>
      <c r="G1122" s="485"/>
      <c r="H1122" s="485"/>
      <c r="I1122" s="331"/>
      <c r="J1122" s="469"/>
      <c r="K1122" s="469"/>
      <c r="L1122" s="469"/>
      <c r="M1122" s="469"/>
      <c r="N1122" s="469"/>
      <c r="O1122" s="469"/>
      <c r="P1122" s="469"/>
      <c r="Q1122" s="469"/>
      <c r="R1122" s="469"/>
      <c r="S1122" s="469"/>
      <c r="T1122" s="469"/>
      <c r="U1122" s="469"/>
      <c r="V1122" s="469"/>
      <c r="W1122" s="469"/>
      <c r="X1122" s="469"/>
      <c r="Y1122" s="469"/>
      <c r="Z1122" s="469"/>
      <c r="AA1122" s="469"/>
      <c r="AB1122" s="469"/>
    </row>
    <row r="1123" ht="14.25" customHeight="1">
      <c r="A1123" s="464"/>
      <c r="B1123" s="481"/>
      <c r="C1123" s="466"/>
      <c r="D1123" s="484"/>
      <c r="E1123" s="466"/>
      <c r="F1123" s="485"/>
      <c r="G1123" s="485"/>
      <c r="H1123" s="485"/>
      <c r="I1123" s="331"/>
      <c r="J1123" s="469"/>
      <c r="K1123" s="469"/>
      <c r="L1123" s="469"/>
      <c r="M1123" s="469"/>
      <c r="N1123" s="469"/>
      <c r="O1123" s="469"/>
      <c r="P1123" s="469"/>
      <c r="Q1123" s="469"/>
      <c r="R1123" s="469"/>
      <c r="S1123" s="469"/>
      <c r="T1123" s="469"/>
      <c r="U1123" s="469"/>
      <c r="V1123" s="469"/>
      <c r="W1123" s="469"/>
      <c r="X1123" s="469"/>
      <c r="Y1123" s="469"/>
      <c r="Z1123" s="469"/>
      <c r="AA1123" s="469"/>
      <c r="AB1123" s="469"/>
    </row>
    <row r="1124" ht="14.25" customHeight="1">
      <c r="A1124" s="464"/>
      <c r="B1124" s="481"/>
      <c r="C1124" s="466"/>
      <c r="D1124" s="484"/>
      <c r="E1124" s="466"/>
      <c r="F1124" s="485"/>
      <c r="G1124" s="485"/>
      <c r="H1124" s="485"/>
      <c r="I1124" s="331"/>
      <c r="J1124" s="469"/>
      <c r="K1124" s="469"/>
      <c r="L1124" s="469"/>
      <c r="M1124" s="469"/>
      <c r="N1124" s="469"/>
      <c r="O1124" s="469"/>
      <c r="P1124" s="469"/>
      <c r="Q1124" s="469"/>
      <c r="R1124" s="469"/>
      <c r="S1124" s="469"/>
      <c r="T1124" s="469"/>
      <c r="U1124" s="469"/>
      <c r="V1124" s="469"/>
      <c r="W1124" s="469"/>
      <c r="X1124" s="469"/>
      <c r="Y1124" s="469"/>
      <c r="Z1124" s="469"/>
      <c r="AA1124" s="469"/>
      <c r="AB1124" s="469"/>
    </row>
    <row r="1125" ht="14.25" customHeight="1">
      <c r="A1125" s="464"/>
      <c r="B1125" s="481"/>
      <c r="C1125" s="466"/>
      <c r="D1125" s="484"/>
      <c r="E1125" s="466"/>
      <c r="F1125" s="485"/>
      <c r="G1125" s="485"/>
      <c r="H1125" s="485"/>
      <c r="I1125" s="331"/>
      <c r="J1125" s="469"/>
      <c r="K1125" s="469"/>
      <c r="L1125" s="469"/>
      <c r="M1125" s="469"/>
      <c r="N1125" s="469"/>
      <c r="O1125" s="469"/>
      <c r="P1125" s="469"/>
      <c r="Q1125" s="469"/>
      <c r="R1125" s="469"/>
      <c r="S1125" s="469"/>
      <c r="T1125" s="469"/>
      <c r="U1125" s="469"/>
      <c r="V1125" s="469"/>
      <c r="W1125" s="469"/>
      <c r="X1125" s="469"/>
      <c r="Y1125" s="469"/>
      <c r="Z1125" s="469"/>
      <c r="AA1125" s="469"/>
      <c r="AB1125" s="469"/>
    </row>
    <row r="1126" ht="14.25" customHeight="1">
      <c r="A1126" s="464"/>
      <c r="B1126" s="481"/>
      <c r="C1126" s="466"/>
      <c r="D1126" s="484"/>
      <c r="E1126" s="466"/>
      <c r="F1126" s="485"/>
      <c r="G1126" s="485"/>
      <c r="H1126" s="485"/>
      <c r="I1126" s="331"/>
      <c r="J1126" s="469"/>
      <c r="K1126" s="469"/>
      <c r="L1126" s="469"/>
      <c r="M1126" s="469"/>
      <c r="N1126" s="469"/>
      <c r="O1126" s="469"/>
      <c r="P1126" s="469"/>
      <c r="Q1126" s="469"/>
      <c r="R1126" s="469"/>
      <c r="S1126" s="469"/>
      <c r="T1126" s="469"/>
      <c r="U1126" s="469"/>
      <c r="V1126" s="469"/>
      <c r="W1126" s="469"/>
      <c r="X1126" s="469"/>
      <c r="Y1126" s="469"/>
      <c r="Z1126" s="469"/>
      <c r="AA1126" s="469"/>
      <c r="AB1126" s="469"/>
    </row>
    <row r="1127" ht="14.25" customHeight="1">
      <c r="A1127" s="464"/>
      <c r="B1127" s="481"/>
      <c r="C1127" s="466"/>
      <c r="D1127" s="484"/>
      <c r="E1127" s="466"/>
      <c r="F1127" s="485"/>
      <c r="G1127" s="485"/>
      <c r="H1127" s="485"/>
      <c r="I1127" s="331"/>
      <c r="J1127" s="469"/>
      <c r="K1127" s="469"/>
      <c r="L1127" s="469"/>
      <c r="M1127" s="469"/>
      <c r="N1127" s="469"/>
      <c r="O1127" s="469"/>
      <c r="P1127" s="469"/>
      <c r="Q1127" s="469"/>
      <c r="R1127" s="469"/>
      <c r="S1127" s="469"/>
      <c r="T1127" s="469"/>
      <c r="U1127" s="469"/>
      <c r="V1127" s="469"/>
      <c r="W1127" s="469"/>
      <c r="X1127" s="469"/>
      <c r="Y1127" s="469"/>
      <c r="Z1127" s="469"/>
      <c r="AA1127" s="469"/>
      <c r="AB1127" s="469"/>
    </row>
    <row r="1128" ht="14.25" customHeight="1">
      <c r="A1128" s="464"/>
      <c r="B1128" s="481"/>
      <c r="C1128" s="466"/>
      <c r="D1128" s="484"/>
      <c r="E1128" s="466"/>
      <c r="F1128" s="485"/>
      <c r="G1128" s="485"/>
      <c r="H1128" s="485"/>
      <c r="I1128" s="331"/>
      <c r="J1128" s="469"/>
      <c r="K1128" s="469"/>
      <c r="L1128" s="469"/>
      <c r="M1128" s="469"/>
      <c r="N1128" s="469"/>
      <c r="O1128" s="469"/>
      <c r="P1128" s="469"/>
      <c r="Q1128" s="469"/>
      <c r="R1128" s="469"/>
      <c r="S1128" s="469"/>
      <c r="T1128" s="469"/>
      <c r="U1128" s="469"/>
      <c r="V1128" s="469"/>
      <c r="W1128" s="469"/>
      <c r="X1128" s="469"/>
      <c r="Y1128" s="469"/>
      <c r="Z1128" s="469"/>
      <c r="AA1128" s="469"/>
      <c r="AB1128" s="469"/>
    </row>
    <row r="1129" ht="14.25" customHeight="1">
      <c r="A1129" s="464"/>
      <c r="B1129" s="481"/>
      <c r="C1129" s="466"/>
      <c r="D1129" s="484"/>
      <c r="E1129" s="466"/>
      <c r="F1129" s="485"/>
      <c r="G1129" s="485"/>
      <c r="H1129" s="485"/>
      <c r="I1129" s="331"/>
      <c r="J1129" s="469"/>
      <c r="K1129" s="469"/>
      <c r="L1129" s="469"/>
      <c r="M1129" s="469"/>
      <c r="N1129" s="469"/>
      <c r="O1129" s="469"/>
      <c r="P1129" s="469"/>
      <c r="Q1129" s="469"/>
      <c r="R1129" s="469"/>
      <c r="S1129" s="469"/>
      <c r="T1129" s="469"/>
      <c r="U1129" s="469"/>
      <c r="V1129" s="469"/>
      <c r="W1129" s="469"/>
      <c r="X1129" s="469"/>
      <c r="Y1129" s="469"/>
      <c r="Z1129" s="469"/>
      <c r="AA1129" s="469"/>
      <c r="AB1129" s="469"/>
    </row>
    <row r="1130" ht="14.25" customHeight="1">
      <c r="A1130" s="464"/>
      <c r="B1130" s="481"/>
      <c r="C1130" s="466"/>
      <c r="D1130" s="484"/>
      <c r="E1130" s="466"/>
      <c r="F1130" s="485"/>
      <c r="G1130" s="485"/>
      <c r="H1130" s="485"/>
      <c r="I1130" s="331"/>
      <c r="J1130" s="469"/>
      <c r="K1130" s="469"/>
      <c r="L1130" s="469"/>
      <c r="M1130" s="469"/>
      <c r="N1130" s="469"/>
      <c r="O1130" s="469"/>
      <c r="P1130" s="469"/>
      <c r="Q1130" s="469"/>
      <c r="R1130" s="469"/>
      <c r="S1130" s="469"/>
      <c r="T1130" s="469"/>
      <c r="U1130" s="469"/>
      <c r="V1130" s="469"/>
      <c r="W1130" s="469"/>
      <c r="X1130" s="469"/>
      <c r="Y1130" s="469"/>
      <c r="Z1130" s="469"/>
      <c r="AA1130" s="469"/>
      <c r="AB1130" s="469"/>
    </row>
    <row r="1131" ht="14.25" customHeight="1">
      <c r="A1131" s="464"/>
      <c r="B1131" s="481"/>
      <c r="C1131" s="466"/>
      <c r="D1131" s="484"/>
      <c r="E1131" s="466"/>
      <c r="F1131" s="485"/>
      <c r="G1131" s="485"/>
      <c r="H1131" s="485"/>
      <c r="I1131" s="331"/>
      <c r="J1131" s="469"/>
      <c r="K1131" s="469"/>
      <c r="L1131" s="469"/>
      <c r="M1131" s="469"/>
      <c r="N1131" s="469"/>
      <c r="O1131" s="469"/>
      <c r="P1131" s="469"/>
      <c r="Q1131" s="469"/>
      <c r="R1131" s="469"/>
      <c r="S1131" s="469"/>
      <c r="T1131" s="469"/>
      <c r="U1131" s="469"/>
      <c r="V1131" s="469"/>
      <c r="W1131" s="469"/>
      <c r="X1131" s="469"/>
      <c r="Y1131" s="469"/>
      <c r="Z1131" s="469"/>
      <c r="AA1131" s="469"/>
      <c r="AB1131" s="469"/>
    </row>
    <row r="1132" ht="14.25" customHeight="1">
      <c r="A1132" s="464"/>
      <c r="B1132" s="481"/>
      <c r="C1132" s="466"/>
      <c r="D1132" s="484"/>
      <c r="E1132" s="466"/>
      <c r="F1132" s="485"/>
      <c r="G1132" s="485"/>
      <c r="H1132" s="485"/>
      <c r="I1132" s="331"/>
      <c r="J1132" s="469"/>
      <c r="K1132" s="469"/>
      <c r="L1132" s="469"/>
      <c r="M1132" s="469"/>
      <c r="N1132" s="469"/>
      <c r="O1132" s="469"/>
      <c r="P1132" s="469"/>
      <c r="Q1132" s="469"/>
      <c r="R1132" s="469"/>
      <c r="S1132" s="469"/>
      <c r="T1132" s="469"/>
      <c r="U1132" s="469"/>
      <c r="V1132" s="469"/>
      <c r="W1132" s="469"/>
      <c r="X1132" s="469"/>
      <c r="Y1132" s="469"/>
      <c r="Z1132" s="469"/>
      <c r="AA1132" s="469"/>
      <c r="AB1132" s="469"/>
    </row>
    <row r="1133" ht="14.25" customHeight="1">
      <c r="A1133" s="464"/>
      <c r="B1133" s="481"/>
      <c r="C1133" s="466"/>
      <c r="D1133" s="484"/>
      <c r="E1133" s="466"/>
      <c r="F1133" s="485"/>
      <c r="G1133" s="485"/>
      <c r="H1133" s="485"/>
      <c r="I1133" s="331"/>
      <c r="J1133" s="469"/>
      <c r="K1133" s="469"/>
      <c r="L1133" s="469"/>
      <c r="M1133" s="469"/>
      <c r="N1133" s="469"/>
      <c r="O1133" s="469"/>
      <c r="P1133" s="469"/>
      <c r="Q1133" s="469"/>
      <c r="R1133" s="469"/>
      <c r="S1133" s="469"/>
      <c r="T1133" s="469"/>
      <c r="U1133" s="469"/>
      <c r="V1133" s="469"/>
      <c r="W1133" s="469"/>
      <c r="X1133" s="469"/>
      <c r="Y1133" s="469"/>
      <c r="Z1133" s="469"/>
      <c r="AA1133" s="469"/>
      <c r="AB1133" s="469"/>
    </row>
    <row r="1134" ht="14.25" customHeight="1">
      <c r="A1134" s="464"/>
      <c r="B1134" s="481"/>
      <c r="C1134" s="466"/>
      <c r="D1134" s="484"/>
      <c r="E1134" s="466"/>
      <c r="F1134" s="485"/>
      <c r="G1134" s="485"/>
      <c r="H1134" s="485"/>
      <c r="I1134" s="331"/>
      <c r="J1134" s="469"/>
      <c r="K1134" s="469"/>
      <c r="L1134" s="469"/>
      <c r="M1134" s="469"/>
      <c r="N1134" s="469"/>
      <c r="O1134" s="469"/>
      <c r="P1134" s="469"/>
      <c r="Q1134" s="469"/>
      <c r="R1134" s="469"/>
      <c r="S1134" s="469"/>
      <c r="T1134" s="469"/>
      <c r="U1134" s="469"/>
      <c r="V1134" s="469"/>
      <c r="W1134" s="469"/>
      <c r="X1134" s="469"/>
      <c r="Y1134" s="469"/>
      <c r="Z1134" s="469"/>
      <c r="AA1134" s="469"/>
      <c r="AB1134" s="469"/>
    </row>
    <row r="1135" ht="14.25" customHeight="1">
      <c r="A1135" s="464"/>
      <c r="B1135" s="481"/>
      <c r="C1135" s="466"/>
      <c r="D1135" s="484"/>
      <c r="E1135" s="466"/>
      <c r="F1135" s="485"/>
      <c r="G1135" s="485"/>
      <c r="H1135" s="485"/>
      <c r="I1135" s="331"/>
      <c r="J1135" s="469"/>
      <c r="K1135" s="469"/>
      <c r="L1135" s="469"/>
      <c r="M1135" s="469"/>
      <c r="N1135" s="469"/>
      <c r="O1135" s="469"/>
      <c r="P1135" s="469"/>
      <c r="Q1135" s="469"/>
      <c r="R1135" s="469"/>
      <c r="S1135" s="469"/>
      <c r="T1135" s="469"/>
      <c r="U1135" s="469"/>
      <c r="V1135" s="469"/>
      <c r="W1135" s="469"/>
      <c r="X1135" s="469"/>
      <c r="Y1135" s="469"/>
      <c r="Z1135" s="469"/>
      <c r="AA1135" s="469"/>
      <c r="AB1135" s="469"/>
    </row>
    <row r="1136" ht="14.25" customHeight="1">
      <c r="A1136" s="464"/>
      <c r="B1136" s="481"/>
      <c r="C1136" s="466"/>
      <c r="D1136" s="484"/>
      <c r="E1136" s="466"/>
      <c r="F1136" s="485"/>
      <c r="G1136" s="485"/>
      <c r="H1136" s="485"/>
      <c r="I1136" s="331"/>
      <c r="J1136" s="469"/>
      <c r="K1136" s="469"/>
      <c r="L1136" s="469"/>
      <c r="M1136" s="469"/>
      <c r="N1136" s="469"/>
      <c r="O1136" s="469"/>
      <c r="P1136" s="469"/>
      <c r="Q1136" s="469"/>
      <c r="R1136" s="469"/>
      <c r="S1136" s="469"/>
      <c r="T1136" s="469"/>
      <c r="U1136" s="469"/>
      <c r="V1136" s="469"/>
      <c r="W1136" s="469"/>
      <c r="X1136" s="469"/>
      <c r="Y1136" s="469"/>
      <c r="Z1136" s="469"/>
      <c r="AA1136" s="469"/>
      <c r="AB1136" s="469"/>
    </row>
    <row r="1137" ht="14.25" customHeight="1">
      <c r="A1137" s="464"/>
      <c r="B1137" s="481"/>
      <c r="C1137" s="466"/>
      <c r="D1137" s="484"/>
      <c r="E1137" s="466"/>
      <c r="F1137" s="485"/>
      <c r="G1137" s="485"/>
      <c r="H1137" s="485"/>
      <c r="I1137" s="331"/>
      <c r="J1137" s="469"/>
      <c r="K1137" s="469"/>
      <c r="L1137" s="469"/>
      <c r="M1137" s="469"/>
      <c r="N1137" s="469"/>
      <c r="O1137" s="469"/>
      <c r="P1137" s="469"/>
      <c r="Q1137" s="469"/>
      <c r="R1137" s="469"/>
      <c r="S1137" s="469"/>
      <c r="T1137" s="469"/>
      <c r="U1137" s="469"/>
      <c r="V1137" s="469"/>
      <c r="W1137" s="469"/>
      <c r="X1137" s="469"/>
      <c r="Y1137" s="469"/>
      <c r="Z1137" s="469"/>
      <c r="AA1137" s="469"/>
      <c r="AB1137" s="469"/>
    </row>
    <row r="1138" ht="14.25" customHeight="1">
      <c r="A1138" s="464"/>
      <c r="B1138" s="481"/>
      <c r="C1138" s="466"/>
      <c r="D1138" s="484"/>
      <c r="E1138" s="466"/>
      <c r="F1138" s="485"/>
      <c r="G1138" s="485"/>
      <c r="H1138" s="485"/>
      <c r="I1138" s="331"/>
      <c r="J1138" s="469"/>
      <c r="K1138" s="469"/>
      <c r="L1138" s="469"/>
      <c r="M1138" s="469"/>
      <c r="N1138" s="469"/>
      <c r="O1138" s="469"/>
      <c r="P1138" s="469"/>
      <c r="Q1138" s="469"/>
      <c r="R1138" s="469"/>
      <c r="S1138" s="469"/>
      <c r="T1138" s="469"/>
      <c r="U1138" s="469"/>
      <c r="V1138" s="469"/>
      <c r="W1138" s="469"/>
      <c r="X1138" s="469"/>
      <c r="Y1138" s="469"/>
      <c r="Z1138" s="469"/>
      <c r="AA1138" s="469"/>
      <c r="AB1138" s="469"/>
    </row>
    <row r="1139" ht="14.25" customHeight="1">
      <c r="A1139" s="464"/>
      <c r="B1139" s="481"/>
      <c r="C1139" s="466"/>
      <c r="D1139" s="484"/>
      <c r="E1139" s="466"/>
      <c r="F1139" s="485"/>
      <c r="G1139" s="485"/>
      <c r="H1139" s="485"/>
      <c r="I1139" s="331"/>
      <c r="J1139" s="469"/>
      <c r="K1139" s="469"/>
      <c r="L1139" s="469"/>
      <c r="M1139" s="469"/>
      <c r="N1139" s="469"/>
      <c r="O1139" s="469"/>
      <c r="P1139" s="469"/>
      <c r="Q1139" s="469"/>
      <c r="R1139" s="469"/>
      <c r="S1139" s="469"/>
      <c r="T1139" s="469"/>
      <c r="U1139" s="469"/>
      <c r="V1139" s="469"/>
      <c r="W1139" s="469"/>
      <c r="X1139" s="469"/>
      <c r="Y1139" s="469"/>
      <c r="Z1139" s="469"/>
      <c r="AA1139" s="469"/>
      <c r="AB1139" s="469"/>
    </row>
    <row r="1140" ht="14.25" customHeight="1">
      <c r="A1140" s="464"/>
      <c r="B1140" s="481"/>
      <c r="C1140" s="466"/>
      <c r="D1140" s="484"/>
      <c r="E1140" s="466"/>
      <c r="F1140" s="485"/>
      <c r="G1140" s="485"/>
      <c r="H1140" s="485"/>
      <c r="I1140" s="331"/>
      <c r="J1140" s="469"/>
      <c r="K1140" s="469"/>
      <c r="L1140" s="469"/>
      <c r="M1140" s="469"/>
      <c r="N1140" s="469"/>
      <c r="O1140" s="469"/>
      <c r="P1140" s="469"/>
      <c r="Q1140" s="469"/>
      <c r="R1140" s="469"/>
      <c r="S1140" s="469"/>
      <c r="T1140" s="469"/>
      <c r="U1140" s="469"/>
      <c r="V1140" s="469"/>
      <c r="W1140" s="469"/>
      <c r="X1140" s="469"/>
      <c r="Y1140" s="469"/>
      <c r="Z1140" s="469"/>
      <c r="AA1140" s="469"/>
      <c r="AB1140" s="469"/>
    </row>
    <row r="1141" ht="14.25" customHeight="1">
      <c r="A1141" s="464"/>
      <c r="B1141" s="481"/>
      <c r="C1141" s="466"/>
      <c r="D1141" s="484"/>
      <c r="E1141" s="466"/>
      <c r="F1141" s="485"/>
      <c r="G1141" s="485"/>
      <c r="H1141" s="485"/>
      <c r="I1141" s="331"/>
      <c r="J1141" s="469"/>
      <c r="K1141" s="469"/>
      <c r="L1141" s="469"/>
      <c r="M1141" s="469"/>
      <c r="N1141" s="469"/>
      <c r="O1141" s="469"/>
      <c r="P1141" s="469"/>
      <c r="Q1141" s="469"/>
      <c r="R1141" s="469"/>
      <c r="S1141" s="469"/>
      <c r="T1141" s="469"/>
      <c r="U1141" s="469"/>
      <c r="V1141" s="469"/>
      <c r="W1141" s="469"/>
      <c r="X1141" s="469"/>
      <c r="Y1141" s="469"/>
      <c r="Z1141" s="469"/>
      <c r="AA1141" s="469"/>
      <c r="AB1141" s="469"/>
    </row>
    <row r="1142" ht="14.25" customHeight="1">
      <c r="A1142" s="464"/>
      <c r="B1142" s="481"/>
      <c r="C1142" s="466"/>
      <c r="D1142" s="484"/>
      <c r="E1142" s="466"/>
      <c r="F1142" s="485"/>
      <c r="G1142" s="485"/>
      <c r="H1142" s="485"/>
      <c r="I1142" s="331"/>
      <c r="J1142" s="469"/>
      <c r="K1142" s="469"/>
      <c r="L1142" s="469"/>
      <c r="M1142" s="469"/>
      <c r="N1142" s="469"/>
      <c r="O1142" s="469"/>
      <c r="P1142" s="469"/>
      <c r="Q1142" s="469"/>
      <c r="R1142" s="469"/>
      <c r="S1142" s="469"/>
      <c r="T1142" s="469"/>
      <c r="U1142" s="469"/>
      <c r="V1142" s="469"/>
      <c r="W1142" s="469"/>
      <c r="X1142" s="469"/>
      <c r="Y1142" s="469"/>
      <c r="Z1142" s="469"/>
      <c r="AA1142" s="469"/>
      <c r="AB1142" s="469"/>
    </row>
    <row r="1143" ht="14.25" customHeight="1">
      <c r="A1143" s="464"/>
      <c r="B1143" s="481"/>
      <c r="C1143" s="466"/>
      <c r="D1143" s="484"/>
      <c r="E1143" s="466"/>
      <c r="F1143" s="485"/>
      <c r="G1143" s="485"/>
      <c r="H1143" s="485"/>
      <c r="I1143" s="331"/>
      <c r="J1143" s="469"/>
      <c r="K1143" s="469"/>
      <c r="L1143" s="469"/>
      <c r="M1143" s="469"/>
      <c r="N1143" s="469"/>
      <c r="O1143" s="469"/>
      <c r="P1143" s="469"/>
      <c r="Q1143" s="469"/>
      <c r="R1143" s="469"/>
      <c r="S1143" s="469"/>
      <c r="T1143" s="469"/>
      <c r="U1143" s="469"/>
      <c r="V1143" s="469"/>
      <c r="W1143" s="469"/>
      <c r="X1143" s="469"/>
      <c r="Y1143" s="469"/>
      <c r="Z1143" s="469"/>
      <c r="AA1143" s="469"/>
      <c r="AB1143" s="469"/>
    </row>
    <row r="1144" ht="14.25" customHeight="1">
      <c r="A1144" s="464"/>
      <c r="B1144" s="481"/>
      <c r="C1144" s="466"/>
      <c r="D1144" s="484"/>
      <c r="E1144" s="466"/>
      <c r="F1144" s="485"/>
      <c r="G1144" s="485"/>
      <c r="H1144" s="485"/>
      <c r="I1144" s="331"/>
      <c r="J1144" s="469"/>
      <c r="K1144" s="469"/>
      <c r="L1144" s="469"/>
      <c r="M1144" s="469"/>
      <c r="N1144" s="469"/>
      <c r="O1144" s="469"/>
      <c r="P1144" s="469"/>
      <c r="Q1144" s="469"/>
      <c r="R1144" s="469"/>
      <c r="S1144" s="469"/>
      <c r="T1144" s="469"/>
      <c r="U1144" s="469"/>
      <c r="V1144" s="469"/>
      <c r="W1144" s="469"/>
      <c r="X1144" s="469"/>
      <c r="Y1144" s="469"/>
      <c r="Z1144" s="469"/>
      <c r="AA1144" s="469"/>
      <c r="AB1144" s="469"/>
    </row>
    <row r="1145" ht="14.25" customHeight="1">
      <c r="A1145" s="464"/>
      <c r="B1145" s="481"/>
      <c r="C1145" s="466"/>
      <c r="D1145" s="484"/>
      <c r="E1145" s="466"/>
      <c r="F1145" s="485"/>
      <c r="G1145" s="485"/>
      <c r="H1145" s="485"/>
      <c r="I1145" s="331"/>
      <c r="J1145" s="469"/>
      <c r="K1145" s="469"/>
      <c r="L1145" s="469"/>
      <c r="M1145" s="469"/>
      <c r="N1145" s="469"/>
      <c r="O1145" s="469"/>
      <c r="P1145" s="469"/>
      <c r="Q1145" s="469"/>
      <c r="R1145" s="469"/>
      <c r="S1145" s="469"/>
      <c r="T1145" s="469"/>
      <c r="U1145" s="469"/>
      <c r="V1145" s="469"/>
      <c r="W1145" s="469"/>
      <c r="X1145" s="469"/>
      <c r="Y1145" s="469"/>
      <c r="Z1145" s="469"/>
      <c r="AA1145" s="469"/>
      <c r="AB1145" s="469"/>
    </row>
    <row r="1146" ht="14.25" customHeight="1">
      <c r="A1146" s="464"/>
      <c r="B1146" s="481"/>
      <c r="C1146" s="466"/>
      <c r="D1146" s="484"/>
      <c r="E1146" s="466"/>
      <c r="F1146" s="485"/>
      <c r="G1146" s="485"/>
      <c r="H1146" s="485"/>
      <c r="I1146" s="331"/>
      <c r="J1146" s="469"/>
      <c r="K1146" s="469"/>
      <c r="L1146" s="469"/>
      <c r="M1146" s="469"/>
      <c r="N1146" s="469"/>
      <c r="O1146" s="469"/>
      <c r="P1146" s="469"/>
      <c r="Q1146" s="469"/>
      <c r="R1146" s="469"/>
      <c r="S1146" s="469"/>
      <c r="T1146" s="469"/>
      <c r="U1146" s="469"/>
      <c r="V1146" s="469"/>
      <c r="W1146" s="469"/>
      <c r="X1146" s="469"/>
      <c r="Y1146" s="469"/>
      <c r="Z1146" s="469"/>
      <c r="AA1146" s="469"/>
      <c r="AB1146" s="469"/>
    </row>
    <row r="1147" ht="14.25" customHeight="1">
      <c r="A1147" s="464"/>
      <c r="B1147" s="481"/>
      <c r="C1147" s="466"/>
      <c r="D1147" s="484"/>
      <c r="E1147" s="466"/>
      <c r="F1147" s="485"/>
      <c r="G1147" s="485"/>
      <c r="H1147" s="485"/>
      <c r="I1147" s="331"/>
      <c r="J1147" s="469"/>
      <c r="K1147" s="469"/>
      <c r="L1147" s="469"/>
      <c r="M1147" s="469"/>
      <c r="N1147" s="469"/>
      <c r="O1147" s="469"/>
      <c r="P1147" s="469"/>
      <c r="Q1147" s="469"/>
      <c r="R1147" s="469"/>
      <c r="S1147" s="469"/>
      <c r="T1147" s="469"/>
      <c r="U1147" s="469"/>
      <c r="V1147" s="469"/>
      <c r="W1147" s="469"/>
      <c r="X1147" s="469"/>
      <c r="Y1147" s="469"/>
      <c r="Z1147" s="469"/>
      <c r="AA1147" s="469"/>
      <c r="AB1147" s="469"/>
    </row>
    <row r="1148" ht="14.25" customHeight="1">
      <c r="A1148" s="464"/>
      <c r="B1148" s="481"/>
      <c r="C1148" s="466"/>
      <c r="D1148" s="484"/>
      <c r="E1148" s="466"/>
      <c r="F1148" s="485"/>
      <c r="G1148" s="485"/>
      <c r="H1148" s="485"/>
      <c r="I1148" s="331"/>
      <c r="J1148" s="469"/>
      <c r="K1148" s="469"/>
      <c r="L1148" s="469"/>
      <c r="M1148" s="469"/>
      <c r="N1148" s="469"/>
      <c r="O1148" s="469"/>
      <c r="P1148" s="469"/>
      <c r="Q1148" s="469"/>
      <c r="R1148" s="469"/>
      <c r="S1148" s="469"/>
      <c r="T1148" s="469"/>
      <c r="U1148" s="469"/>
      <c r="V1148" s="469"/>
      <c r="W1148" s="469"/>
      <c r="X1148" s="469"/>
      <c r="Y1148" s="469"/>
      <c r="Z1148" s="469"/>
      <c r="AA1148" s="469"/>
      <c r="AB1148" s="469"/>
    </row>
    <row r="1149" ht="14.25" customHeight="1">
      <c r="A1149" s="464"/>
      <c r="B1149" s="481"/>
      <c r="C1149" s="466"/>
      <c r="D1149" s="484"/>
      <c r="E1149" s="466"/>
      <c r="F1149" s="485"/>
      <c r="G1149" s="485"/>
      <c r="H1149" s="485"/>
      <c r="I1149" s="331"/>
      <c r="J1149" s="469"/>
      <c r="K1149" s="469"/>
      <c r="L1149" s="469"/>
      <c r="M1149" s="469"/>
      <c r="N1149" s="469"/>
      <c r="O1149" s="469"/>
      <c r="P1149" s="469"/>
      <c r="Q1149" s="469"/>
      <c r="R1149" s="469"/>
      <c r="S1149" s="469"/>
      <c r="T1149" s="469"/>
      <c r="U1149" s="469"/>
      <c r="V1149" s="469"/>
      <c r="W1149" s="469"/>
      <c r="X1149" s="469"/>
      <c r="Y1149" s="469"/>
      <c r="Z1149" s="469"/>
      <c r="AA1149" s="469"/>
      <c r="AB1149" s="469"/>
    </row>
    <row r="1150" ht="14.25" customHeight="1">
      <c r="A1150" s="464"/>
      <c r="B1150" s="481"/>
      <c r="C1150" s="466"/>
      <c r="D1150" s="484"/>
      <c r="E1150" s="466"/>
      <c r="F1150" s="485"/>
      <c r="G1150" s="485"/>
      <c r="H1150" s="485"/>
      <c r="I1150" s="331"/>
      <c r="J1150" s="469"/>
      <c r="K1150" s="469"/>
      <c r="L1150" s="469"/>
      <c r="M1150" s="469"/>
      <c r="N1150" s="469"/>
      <c r="O1150" s="469"/>
      <c r="P1150" s="469"/>
      <c r="Q1150" s="469"/>
      <c r="R1150" s="469"/>
      <c r="S1150" s="469"/>
      <c r="T1150" s="469"/>
      <c r="U1150" s="469"/>
      <c r="V1150" s="469"/>
      <c r="W1150" s="469"/>
      <c r="X1150" s="469"/>
      <c r="Y1150" s="469"/>
      <c r="Z1150" s="469"/>
      <c r="AA1150" s="469"/>
      <c r="AB1150" s="469"/>
    </row>
    <row r="1151" ht="14.25" customHeight="1">
      <c r="A1151" s="464"/>
      <c r="B1151" s="481"/>
      <c r="C1151" s="466"/>
      <c r="D1151" s="484"/>
      <c r="E1151" s="466"/>
      <c r="F1151" s="485"/>
      <c r="G1151" s="485"/>
      <c r="H1151" s="485"/>
      <c r="I1151" s="331"/>
      <c r="J1151" s="469"/>
      <c r="K1151" s="469"/>
      <c r="L1151" s="469"/>
      <c r="M1151" s="469"/>
      <c r="N1151" s="469"/>
      <c r="O1151" s="469"/>
      <c r="P1151" s="469"/>
      <c r="Q1151" s="469"/>
      <c r="R1151" s="469"/>
      <c r="S1151" s="469"/>
      <c r="T1151" s="469"/>
      <c r="U1151" s="469"/>
      <c r="V1151" s="469"/>
      <c r="W1151" s="469"/>
      <c r="X1151" s="469"/>
      <c r="Y1151" s="469"/>
      <c r="Z1151" s="469"/>
      <c r="AA1151" s="469"/>
      <c r="AB1151" s="469"/>
    </row>
    <row r="1152" ht="14.25" customHeight="1">
      <c r="A1152" s="464"/>
      <c r="B1152" s="481"/>
      <c r="C1152" s="466"/>
      <c r="D1152" s="484"/>
      <c r="E1152" s="466"/>
      <c r="F1152" s="485"/>
      <c r="G1152" s="485"/>
      <c r="H1152" s="485"/>
      <c r="I1152" s="331"/>
      <c r="J1152" s="469"/>
      <c r="K1152" s="469"/>
      <c r="L1152" s="469"/>
      <c r="M1152" s="469"/>
      <c r="N1152" s="469"/>
      <c r="O1152" s="469"/>
      <c r="P1152" s="469"/>
      <c r="Q1152" s="469"/>
      <c r="R1152" s="469"/>
      <c r="S1152" s="469"/>
      <c r="T1152" s="469"/>
      <c r="U1152" s="469"/>
      <c r="V1152" s="469"/>
      <c r="W1152" s="469"/>
      <c r="X1152" s="469"/>
      <c r="Y1152" s="469"/>
      <c r="Z1152" s="469"/>
      <c r="AA1152" s="469"/>
      <c r="AB1152" s="469"/>
    </row>
    <row r="1153" ht="14.25" customHeight="1">
      <c r="A1153" s="464"/>
      <c r="B1153" s="481"/>
      <c r="C1153" s="466"/>
      <c r="D1153" s="484"/>
      <c r="E1153" s="466"/>
      <c r="F1153" s="485"/>
      <c r="G1153" s="485"/>
      <c r="H1153" s="485"/>
      <c r="I1153" s="331"/>
      <c r="J1153" s="469"/>
      <c r="K1153" s="469"/>
      <c r="L1153" s="469"/>
      <c r="M1153" s="469"/>
      <c r="N1153" s="469"/>
      <c r="O1153" s="469"/>
      <c r="P1153" s="469"/>
      <c r="Q1153" s="469"/>
      <c r="R1153" s="469"/>
      <c r="S1153" s="469"/>
      <c r="T1153" s="469"/>
      <c r="U1153" s="469"/>
      <c r="V1153" s="469"/>
      <c r="W1153" s="469"/>
      <c r="X1153" s="469"/>
      <c r="Y1153" s="469"/>
      <c r="Z1153" s="469"/>
      <c r="AA1153" s="469"/>
      <c r="AB1153" s="469"/>
    </row>
    <row r="1154" ht="14.25" customHeight="1">
      <c r="A1154" s="464"/>
      <c r="B1154" s="481"/>
      <c r="C1154" s="466"/>
      <c r="D1154" s="484"/>
      <c r="E1154" s="466"/>
      <c r="F1154" s="485"/>
      <c r="G1154" s="485"/>
      <c r="H1154" s="485"/>
      <c r="I1154" s="331"/>
      <c r="J1154" s="469"/>
      <c r="K1154" s="469"/>
      <c r="L1154" s="469"/>
      <c r="M1154" s="469"/>
      <c r="N1154" s="469"/>
      <c r="O1154" s="469"/>
      <c r="P1154" s="469"/>
      <c r="Q1154" s="469"/>
      <c r="R1154" s="469"/>
      <c r="S1154" s="469"/>
      <c r="T1154" s="469"/>
      <c r="U1154" s="469"/>
      <c r="V1154" s="469"/>
      <c r="W1154" s="469"/>
      <c r="X1154" s="469"/>
      <c r="Y1154" s="469"/>
      <c r="Z1154" s="469"/>
      <c r="AA1154" s="469"/>
      <c r="AB1154" s="469"/>
    </row>
    <row r="1155" ht="14.25" customHeight="1">
      <c r="A1155" s="464"/>
      <c r="B1155" s="481"/>
      <c r="C1155" s="466"/>
      <c r="D1155" s="484"/>
      <c r="E1155" s="466"/>
      <c r="F1155" s="485"/>
      <c r="G1155" s="485"/>
      <c r="H1155" s="485"/>
      <c r="I1155" s="331"/>
      <c r="J1155" s="469"/>
      <c r="K1155" s="469"/>
      <c r="L1155" s="469"/>
      <c r="M1155" s="469"/>
      <c r="N1155" s="469"/>
      <c r="O1155" s="469"/>
      <c r="P1155" s="469"/>
      <c r="Q1155" s="469"/>
      <c r="R1155" s="469"/>
      <c r="S1155" s="469"/>
      <c r="T1155" s="469"/>
      <c r="U1155" s="469"/>
      <c r="V1155" s="469"/>
      <c r="W1155" s="469"/>
      <c r="X1155" s="469"/>
      <c r="Y1155" s="469"/>
      <c r="Z1155" s="469"/>
      <c r="AA1155" s="469"/>
      <c r="AB1155" s="469"/>
    </row>
    <row r="1156" ht="14.25" customHeight="1">
      <c r="A1156" s="464"/>
      <c r="B1156" s="481"/>
      <c r="C1156" s="466"/>
      <c r="D1156" s="484"/>
      <c r="E1156" s="466"/>
      <c r="F1156" s="485"/>
      <c r="G1156" s="485"/>
      <c r="H1156" s="485"/>
      <c r="I1156" s="331"/>
      <c r="J1156" s="469"/>
      <c r="K1156" s="469"/>
      <c r="L1156" s="469"/>
      <c r="M1156" s="469"/>
      <c r="N1156" s="469"/>
      <c r="O1156" s="469"/>
      <c r="P1156" s="469"/>
      <c r="Q1156" s="469"/>
      <c r="R1156" s="469"/>
      <c r="S1156" s="469"/>
      <c r="T1156" s="469"/>
      <c r="U1156" s="469"/>
      <c r="V1156" s="469"/>
      <c r="W1156" s="469"/>
      <c r="X1156" s="469"/>
      <c r="Y1156" s="469"/>
      <c r="Z1156" s="469"/>
      <c r="AA1156" s="469"/>
      <c r="AB1156" s="469"/>
    </row>
    <row r="1157" ht="14.25" customHeight="1">
      <c r="A1157" s="464"/>
      <c r="B1157" s="481"/>
      <c r="C1157" s="466"/>
      <c r="D1157" s="484"/>
      <c r="E1157" s="466"/>
      <c r="F1157" s="485"/>
      <c r="G1157" s="485"/>
      <c r="H1157" s="485"/>
      <c r="I1157" s="331"/>
      <c r="J1157" s="469"/>
      <c r="K1157" s="469"/>
      <c r="L1157" s="469"/>
      <c r="M1157" s="469"/>
      <c r="N1157" s="469"/>
      <c r="O1157" s="469"/>
      <c r="P1157" s="469"/>
      <c r="Q1157" s="469"/>
      <c r="R1157" s="469"/>
      <c r="S1157" s="469"/>
      <c r="T1157" s="469"/>
      <c r="U1157" s="469"/>
      <c r="V1157" s="469"/>
      <c r="W1157" s="469"/>
      <c r="X1157" s="469"/>
      <c r="Y1157" s="469"/>
      <c r="Z1157" s="469"/>
      <c r="AA1157" s="469"/>
      <c r="AB1157" s="469"/>
    </row>
    <row r="1158" ht="14.25" customHeight="1">
      <c r="A1158" s="464"/>
      <c r="B1158" s="481"/>
      <c r="C1158" s="466"/>
      <c r="D1158" s="484"/>
      <c r="E1158" s="466"/>
      <c r="F1158" s="485"/>
      <c r="G1158" s="485"/>
      <c r="H1158" s="485"/>
      <c r="I1158" s="331"/>
      <c r="J1158" s="469"/>
      <c r="K1158" s="469"/>
      <c r="L1158" s="469"/>
      <c r="M1158" s="469"/>
      <c r="N1158" s="469"/>
      <c r="O1158" s="469"/>
      <c r="P1158" s="469"/>
      <c r="Q1158" s="469"/>
      <c r="R1158" s="469"/>
      <c r="S1158" s="469"/>
      <c r="T1158" s="469"/>
      <c r="U1158" s="469"/>
      <c r="V1158" s="469"/>
      <c r="W1158" s="469"/>
      <c r="X1158" s="469"/>
      <c r="Y1158" s="469"/>
      <c r="Z1158" s="469"/>
      <c r="AA1158" s="469"/>
      <c r="AB1158" s="469"/>
    </row>
    <row r="1159" ht="14.25" customHeight="1">
      <c r="A1159" s="464"/>
      <c r="B1159" s="481"/>
      <c r="C1159" s="466"/>
      <c r="D1159" s="484"/>
      <c r="E1159" s="466"/>
      <c r="F1159" s="485"/>
      <c r="G1159" s="485"/>
      <c r="H1159" s="485"/>
      <c r="I1159" s="331"/>
      <c r="J1159" s="469"/>
      <c r="K1159" s="469"/>
      <c r="L1159" s="469"/>
      <c r="M1159" s="469"/>
      <c r="N1159" s="469"/>
      <c r="O1159" s="469"/>
      <c r="P1159" s="469"/>
      <c r="Q1159" s="469"/>
      <c r="R1159" s="469"/>
      <c r="S1159" s="469"/>
      <c r="T1159" s="469"/>
      <c r="U1159" s="469"/>
      <c r="V1159" s="469"/>
      <c r="W1159" s="469"/>
      <c r="X1159" s="469"/>
      <c r="Y1159" s="469"/>
      <c r="Z1159" s="469"/>
      <c r="AA1159" s="469"/>
      <c r="AB1159" s="469"/>
    </row>
    <row r="1160" ht="14.25" customHeight="1">
      <c r="A1160" s="464"/>
      <c r="B1160" s="481"/>
      <c r="C1160" s="466"/>
      <c r="D1160" s="484"/>
      <c r="E1160" s="466"/>
      <c r="F1160" s="485"/>
      <c r="G1160" s="485"/>
      <c r="H1160" s="485"/>
      <c r="I1160" s="331"/>
      <c r="J1160" s="469"/>
      <c r="K1160" s="469"/>
      <c r="L1160" s="469"/>
      <c r="M1160" s="469"/>
      <c r="N1160" s="469"/>
      <c r="O1160" s="469"/>
      <c r="P1160" s="469"/>
      <c r="Q1160" s="469"/>
      <c r="R1160" s="469"/>
      <c r="S1160" s="469"/>
      <c r="T1160" s="469"/>
      <c r="U1160" s="469"/>
      <c r="V1160" s="469"/>
      <c r="W1160" s="469"/>
      <c r="X1160" s="469"/>
      <c r="Y1160" s="469"/>
      <c r="Z1160" s="469"/>
      <c r="AA1160" s="469"/>
      <c r="AB1160" s="469"/>
    </row>
    <row r="1161" ht="14.25" customHeight="1">
      <c r="A1161" s="464"/>
      <c r="B1161" s="481"/>
      <c r="C1161" s="466"/>
      <c r="D1161" s="484"/>
      <c r="E1161" s="466"/>
      <c r="F1161" s="485"/>
      <c r="G1161" s="485"/>
      <c r="H1161" s="485"/>
      <c r="I1161" s="331"/>
      <c r="J1161" s="469"/>
      <c r="K1161" s="469"/>
      <c r="L1161" s="469"/>
      <c r="M1161" s="469"/>
      <c r="N1161" s="469"/>
      <c r="O1161" s="469"/>
      <c r="P1161" s="469"/>
      <c r="Q1161" s="469"/>
      <c r="R1161" s="469"/>
      <c r="S1161" s="469"/>
      <c r="T1161" s="469"/>
      <c r="U1161" s="469"/>
      <c r="V1161" s="469"/>
      <c r="W1161" s="469"/>
      <c r="X1161" s="469"/>
      <c r="Y1161" s="469"/>
      <c r="Z1161" s="469"/>
      <c r="AA1161" s="469"/>
      <c r="AB1161" s="469"/>
    </row>
    <row r="1162" ht="14.25" customHeight="1">
      <c r="A1162" s="464"/>
      <c r="B1162" s="481"/>
      <c r="C1162" s="466"/>
      <c r="D1162" s="484"/>
      <c r="E1162" s="466"/>
      <c r="F1162" s="485"/>
      <c r="G1162" s="485"/>
      <c r="H1162" s="485"/>
      <c r="I1162" s="331"/>
      <c r="J1162" s="469"/>
      <c r="K1162" s="469"/>
      <c r="L1162" s="469"/>
      <c r="M1162" s="469"/>
      <c r="N1162" s="469"/>
      <c r="O1162" s="469"/>
      <c r="P1162" s="469"/>
      <c r="Q1162" s="469"/>
      <c r="R1162" s="469"/>
      <c r="S1162" s="469"/>
      <c r="T1162" s="469"/>
      <c r="U1162" s="469"/>
      <c r="V1162" s="469"/>
      <c r="W1162" s="469"/>
      <c r="X1162" s="469"/>
      <c r="Y1162" s="469"/>
      <c r="Z1162" s="469"/>
      <c r="AA1162" s="469"/>
      <c r="AB1162" s="469"/>
    </row>
    <row r="1163" ht="14.25" customHeight="1">
      <c r="A1163" s="464"/>
      <c r="B1163" s="481"/>
      <c r="C1163" s="466"/>
      <c r="D1163" s="484"/>
      <c r="E1163" s="466"/>
      <c r="F1163" s="485"/>
      <c r="G1163" s="485"/>
      <c r="H1163" s="485"/>
      <c r="I1163" s="331"/>
      <c r="J1163" s="469"/>
      <c r="K1163" s="469"/>
      <c r="L1163" s="469"/>
      <c r="M1163" s="469"/>
      <c r="N1163" s="469"/>
      <c r="O1163" s="469"/>
      <c r="P1163" s="469"/>
      <c r="Q1163" s="469"/>
      <c r="R1163" s="469"/>
      <c r="S1163" s="469"/>
      <c r="T1163" s="469"/>
      <c r="U1163" s="469"/>
      <c r="V1163" s="469"/>
      <c r="W1163" s="469"/>
      <c r="X1163" s="469"/>
      <c r="Y1163" s="469"/>
      <c r="Z1163" s="469"/>
      <c r="AA1163" s="469"/>
      <c r="AB1163" s="469"/>
    </row>
    <row r="1164" ht="14.25" customHeight="1">
      <c r="A1164" s="464"/>
      <c r="B1164" s="481"/>
      <c r="C1164" s="466"/>
      <c r="D1164" s="484"/>
      <c r="E1164" s="466"/>
      <c r="F1164" s="485"/>
      <c r="G1164" s="485"/>
      <c r="H1164" s="485"/>
      <c r="I1164" s="331"/>
      <c r="J1164" s="469"/>
      <c r="K1164" s="469"/>
      <c r="L1164" s="469"/>
      <c r="M1164" s="469"/>
      <c r="N1164" s="469"/>
      <c r="O1164" s="469"/>
      <c r="P1164" s="469"/>
      <c r="Q1164" s="469"/>
      <c r="R1164" s="469"/>
      <c r="S1164" s="469"/>
      <c r="T1164" s="469"/>
      <c r="U1164" s="469"/>
      <c r="V1164" s="469"/>
      <c r="W1164" s="469"/>
      <c r="X1164" s="469"/>
      <c r="Y1164" s="469"/>
      <c r="Z1164" s="469"/>
      <c r="AA1164" s="469"/>
      <c r="AB1164" s="469"/>
    </row>
    <row r="1165" ht="14.25" customHeight="1">
      <c r="A1165" s="464"/>
      <c r="B1165" s="481"/>
      <c r="C1165" s="466"/>
      <c r="D1165" s="484"/>
      <c r="E1165" s="466"/>
      <c r="F1165" s="485"/>
      <c r="G1165" s="485"/>
      <c r="H1165" s="485"/>
      <c r="I1165" s="331"/>
      <c r="J1165" s="469"/>
      <c r="K1165" s="469"/>
      <c r="L1165" s="469"/>
      <c r="M1165" s="469"/>
      <c r="N1165" s="469"/>
      <c r="O1165" s="469"/>
      <c r="P1165" s="469"/>
      <c r="Q1165" s="469"/>
      <c r="R1165" s="469"/>
      <c r="S1165" s="469"/>
      <c r="T1165" s="469"/>
      <c r="U1165" s="469"/>
      <c r="V1165" s="469"/>
      <c r="W1165" s="469"/>
      <c r="X1165" s="469"/>
      <c r="Y1165" s="469"/>
      <c r="Z1165" s="469"/>
      <c r="AA1165" s="469"/>
      <c r="AB1165" s="469"/>
    </row>
    <row r="1166" ht="14.25" customHeight="1">
      <c r="A1166" s="464"/>
      <c r="B1166" s="481"/>
      <c r="C1166" s="466"/>
      <c r="D1166" s="484"/>
      <c r="E1166" s="466"/>
      <c r="F1166" s="485"/>
      <c r="G1166" s="485"/>
      <c r="H1166" s="485"/>
      <c r="I1166" s="331"/>
      <c r="J1166" s="469"/>
      <c r="K1166" s="469"/>
      <c r="L1166" s="469"/>
      <c r="M1166" s="469"/>
      <c r="N1166" s="469"/>
      <c r="O1166" s="469"/>
      <c r="P1166" s="469"/>
      <c r="Q1166" s="469"/>
      <c r="R1166" s="469"/>
      <c r="S1166" s="469"/>
      <c r="T1166" s="469"/>
      <c r="U1166" s="469"/>
      <c r="V1166" s="469"/>
      <c r="W1166" s="469"/>
      <c r="X1166" s="469"/>
      <c r="Y1166" s="469"/>
      <c r="Z1166" s="469"/>
      <c r="AA1166" s="469"/>
      <c r="AB1166" s="469"/>
    </row>
    <row r="1167" ht="14.25" customHeight="1">
      <c r="A1167" s="464"/>
      <c r="B1167" s="481"/>
      <c r="C1167" s="466"/>
      <c r="D1167" s="484"/>
      <c r="E1167" s="466"/>
      <c r="F1167" s="485"/>
      <c r="G1167" s="485"/>
      <c r="H1167" s="485"/>
      <c r="I1167" s="331"/>
      <c r="J1167" s="469"/>
      <c r="K1167" s="469"/>
      <c r="L1167" s="469"/>
      <c r="M1167" s="469"/>
      <c r="N1167" s="469"/>
      <c r="O1167" s="469"/>
      <c r="P1167" s="469"/>
      <c r="Q1167" s="469"/>
      <c r="R1167" s="469"/>
      <c r="S1167" s="469"/>
      <c r="T1167" s="469"/>
      <c r="U1167" s="469"/>
      <c r="V1167" s="469"/>
      <c r="W1167" s="469"/>
      <c r="X1167" s="469"/>
      <c r="Y1167" s="469"/>
      <c r="Z1167" s="469"/>
      <c r="AA1167" s="469"/>
      <c r="AB1167" s="469"/>
    </row>
    <row r="1168" ht="14.25" customHeight="1">
      <c r="A1168" s="464"/>
      <c r="B1168" s="481"/>
      <c r="C1168" s="466"/>
      <c r="D1168" s="484"/>
      <c r="E1168" s="466"/>
      <c r="F1168" s="485"/>
      <c r="G1168" s="485"/>
      <c r="H1168" s="485"/>
      <c r="I1168" s="331"/>
      <c r="J1168" s="469"/>
      <c r="K1168" s="469"/>
      <c r="L1168" s="469"/>
      <c r="M1168" s="469"/>
      <c r="N1168" s="469"/>
      <c r="O1168" s="469"/>
      <c r="P1168" s="469"/>
      <c r="Q1168" s="469"/>
      <c r="R1168" s="469"/>
      <c r="S1168" s="469"/>
      <c r="T1168" s="469"/>
      <c r="U1168" s="469"/>
      <c r="V1168" s="469"/>
      <c r="W1168" s="469"/>
      <c r="X1168" s="469"/>
      <c r="Y1168" s="469"/>
      <c r="Z1168" s="469"/>
      <c r="AA1168" s="469"/>
      <c r="AB1168" s="469"/>
    </row>
    <row r="1169" ht="14.25" customHeight="1">
      <c r="A1169" s="464"/>
      <c r="B1169" s="481"/>
      <c r="C1169" s="466"/>
      <c r="D1169" s="484"/>
      <c r="E1169" s="466"/>
      <c r="F1169" s="485"/>
      <c r="G1169" s="485"/>
      <c r="H1169" s="485"/>
      <c r="I1169" s="331"/>
      <c r="J1169" s="469"/>
      <c r="K1169" s="469"/>
      <c r="L1169" s="469"/>
      <c r="M1169" s="469"/>
      <c r="N1169" s="469"/>
      <c r="O1169" s="469"/>
      <c r="P1169" s="469"/>
      <c r="Q1169" s="469"/>
      <c r="R1169" s="469"/>
      <c r="S1169" s="469"/>
      <c r="T1169" s="469"/>
      <c r="U1169" s="469"/>
      <c r="V1169" s="469"/>
      <c r="W1169" s="469"/>
      <c r="X1169" s="469"/>
      <c r="Y1169" s="469"/>
      <c r="Z1169" s="469"/>
      <c r="AA1169" s="469"/>
      <c r="AB1169" s="469"/>
    </row>
    <row r="1170" ht="14.25" customHeight="1">
      <c r="A1170" s="464"/>
      <c r="B1170" s="481"/>
      <c r="C1170" s="466"/>
      <c r="D1170" s="484"/>
      <c r="E1170" s="466"/>
      <c r="F1170" s="485"/>
      <c r="G1170" s="485"/>
      <c r="H1170" s="485"/>
      <c r="I1170" s="331"/>
      <c r="J1170" s="469"/>
      <c r="K1170" s="469"/>
      <c r="L1170" s="469"/>
      <c r="M1170" s="469"/>
      <c r="N1170" s="469"/>
      <c r="O1170" s="469"/>
      <c r="P1170" s="469"/>
      <c r="Q1170" s="469"/>
      <c r="R1170" s="469"/>
      <c r="S1170" s="469"/>
      <c r="T1170" s="469"/>
      <c r="U1170" s="469"/>
      <c r="V1170" s="469"/>
      <c r="W1170" s="469"/>
      <c r="X1170" s="469"/>
      <c r="Y1170" s="469"/>
      <c r="Z1170" s="469"/>
      <c r="AA1170" s="469"/>
      <c r="AB1170" s="469"/>
    </row>
    <row r="1171" ht="14.25" customHeight="1">
      <c r="A1171" s="464"/>
      <c r="B1171" s="481"/>
      <c r="C1171" s="466"/>
      <c r="D1171" s="484"/>
      <c r="E1171" s="466"/>
      <c r="F1171" s="485"/>
      <c r="G1171" s="485"/>
      <c r="H1171" s="485"/>
      <c r="I1171" s="331"/>
      <c r="J1171" s="469"/>
      <c r="K1171" s="469"/>
      <c r="L1171" s="469"/>
      <c r="M1171" s="469"/>
      <c r="N1171" s="469"/>
      <c r="O1171" s="469"/>
      <c r="P1171" s="469"/>
      <c r="Q1171" s="469"/>
      <c r="R1171" s="469"/>
      <c r="S1171" s="469"/>
      <c r="T1171" s="469"/>
      <c r="U1171" s="469"/>
      <c r="V1171" s="469"/>
      <c r="W1171" s="469"/>
      <c r="X1171" s="469"/>
      <c r="Y1171" s="469"/>
      <c r="Z1171" s="469"/>
      <c r="AA1171" s="469"/>
      <c r="AB1171" s="469"/>
    </row>
    <row r="1172" ht="14.25" customHeight="1">
      <c r="A1172" s="464"/>
      <c r="B1172" s="481"/>
      <c r="C1172" s="466"/>
      <c r="D1172" s="484"/>
      <c r="E1172" s="466"/>
      <c r="F1172" s="485"/>
      <c r="G1172" s="485"/>
      <c r="H1172" s="485"/>
      <c r="I1172" s="331"/>
      <c r="J1172" s="469"/>
      <c r="K1172" s="469"/>
      <c r="L1172" s="469"/>
      <c r="M1172" s="469"/>
      <c r="N1172" s="469"/>
      <c r="O1172" s="469"/>
      <c r="P1172" s="469"/>
      <c r="Q1172" s="469"/>
      <c r="R1172" s="469"/>
      <c r="S1172" s="469"/>
      <c r="T1172" s="469"/>
      <c r="U1172" s="469"/>
      <c r="V1172" s="469"/>
      <c r="W1172" s="469"/>
      <c r="X1172" s="469"/>
      <c r="Y1172" s="469"/>
      <c r="Z1172" s="469"/>
      <c r="AA1172" s="469"/>
      <c r="AB1172" s="469"/>
    </row>
    <row r="1173" ht="14.25" customHeight="1">
      <c r="A1173" s="464"/>
      <c r="B1173" s="481"/>
      <c r="C1173" s="466"/>
      <c r="D1173" s="484"/>
      <c r="E1173" s="466"/>
      <c r="F1173" s="485"/>
      <c r="G1173" s="485"/>
      <c r="H1173" s="485"/>
      <c r="I1173" s="331"/>
      <c r="J1173" s="469"/>
      <c r="K1173" s="469"/>
      <c r="L1173" s="469"/>
      <c r="M1173" s="469"/>
      <c r="N1173" s="469"/>
      <c r="O1173" s="469"/>
      <c r="P1173" s="469"/>
      <c r="Q1173" s="469"/>
      <c r="R1173" s="469"/>
      <c r="S1173" s="469"/>
      <c r="T1173" s="469"/>
      <c r="U1173" s="469"/>
      <c r="V1173" s="469"/>
      <c r="W1173" s="469"/>
      <c r="X1173" s="469"/>
      <c r="Y1173" s="469"/>
      <c r="Z1173" s="469"/>
      <c r="AA1173" s="469"/>
      <c r="AB1173" s="469"/>
    </row>
    <row r="1174" ht="14.25" customHeight="1">
      <c r="A1174" s="464"/>
      <c r="B1174" s="481"/>
      <c r="C1174" s="466"/>
      <c r="D1174" s="484"/>
      <c r="E1174" s="466"/>
      <c r="F1174" s="485"/>
      <c r="G1174" s="485"/>
      <c r="H1174" s="485"/>
      <c r="I1174" s="331"/>
      <c r="J1174" s="469"/>
      <c r="K1174" s="469"/>
      <c r="L1174" s="469"/>
      <c r="M1174" s="469"/>
      <c r="N1174" s="469"/>
      <c r="O1174" s="469"/>
      <c r="P1174" s="469"/>
      <c r="Q1174" s="469"/>
      <c r="R1174" s="469"/>
      <c r="S1174" s="469"/>
      <c r="T1174" s="469"/>
      <c r="U1174" s="469"/>
      <c r="V1174" s="469"/>
      <c r="W1174" s="469"/>
      <c r="X1174" s="469"/>
      <c r="Y1174" s="469"/>
      <c r="Z1174" s="469"/>
      <c r="AA1174" s="469"/>
      <c r="AB1174" s="469"/>
    </row>
    <row r="1175" ht="14.25" customHeight="1">
      <c r="A1175" s="464"/>
      <c r="B1175" s="481"/>
      <c r="C1175" s="466"/>
      <c r="D1175" s="484"/>
      <c r="E1175" s="466"/>
      <c r="F1175" s="485"/>
      <c r="G1175" s="485"/>
      <c r="H1175" s="485"/>
      <c r="I1175" s="331"/>
      <c r="J1175" s="469"/>
      <c r="K1175" s="469"/>
      <c r="L1175" s="469"/>
      <c r="M1175" s="469"/>
      <c r="N1175" s="469"/>
      <c r="O1175" s="469"/>
      <c r="P1175" s="469"/>
      <c r="Q1175" s="469"/>
      <c r="R1175" s="469"/>
      <c r="S1175" s="469"/>
      <c r="T1175" s="469"/>
      <c r="U1175" s="469"/>
      <c r="V1175" s="469"/>
      <c r="W1175" s="469"/>
      <c r="X1175" s="469"/>
      <c r="Y1175" s="469"/>
      <c r="Z1175" s="469"/>
      <c r="AA1175" s="469"/>
      <c r="AB1175" s="469"/>
    </row>
    <row r="1176" ht="14.25" customHeight="1">
      <c r="A1176" s="464"/>
      <c r="B1176" s="481"/>
      <c r="C1176" s="466"/>
      <c r="D1176" s="484"/>
      <c r="E1176" s="466"/>
      <c r="F1176" s="485"/>
      <c r="G1176" s="485"/>
      <c r="H1176" s="485"/>
      <c r="I1176" s="331"/>
      <c r="J1176" s="469"/>
      <c r="K1176" s="469"/>
      <c r="L1176" s="469"/>
      <c r="M1176" s="469"/>
      <c r="N1176" s="469"/>
      <c r="O1176" s="469"/>
      <c r="P1176" s="469"/>
      <c r="Q1176" s="469"/>
      <c r="R1176" s="469"/>
      <c r="S1176" s="469"/>
      <c r="T1176" s="469"/>
      <c r="U1176" s="469"/>
      <c r="V1176" s="469"/>
      <c r="W1176" s="469"/>
      <c r="X1176" s="469"/>
      <c r="Y1176" s="469"/>
      <c r="Z1176" s="469"/>
      <c r="AA1176" s="469"/>
      <c r="AB1176" s="469"/>
    </row>
    <row r="1177" ht="14.25" customHeight="1">
      <c r="A1177" s="464"/>
      <c r="B1177" s="481"/>
      <c r="C1177" s="466"/>
      <c r="D1177" s="484"/>
      <c r="E1177" s="466"/>
      <c r="F1177" s="485"/>
      <c r="G1177" s="485"/>
      <c r="H1177" s="485"/>
      <c r="I1177" s="331"/>
      <c r="J1177" s="469"/>
      <c r="K1177" s="469"/>
      <c r="L1177" s="469"/>
      <c r="M1177" s="469"/>
      <c r="N1177" s="469"/>
      <c r="O1177" s="469"/>
      <c r="P1177" s="469"/>
      <c r="Q1177" s="469"/>
      <c r="R1177" s="469"/>
      <c r="S1177" s="469"/>
      <c r="T1177" s="469"/>
      <c r="U1177" s="469"/>
      <c r="V1177" s="469"/>
      <c r="W1177" s="469"/>
      <c r="X1177" s="469"/>
      <c r="Y1177" s="469"/>
      <c r="Z1177" s="469"/>
      <c r="AA1177" s="469"/>
      <c r="AB1177" s="469"/>
    </row>
    <row r="1178" ht="14.25" customHeight="1">
      <c r="A1178" s="464"/>
      <c r="B1178" s="481"/>
      <c r="C1178" s="466"/>
      <c r="D1178" s="484"/>
      <c r="E1178" s="466"/>
      <c r="F1178" s="485"/>
      <c r="G1178" s="485"/>
      <c r="H1178" s="485"/>
      <c r="I1178" s="331"/>
      <c r="J1178" s="469"/>
      <c r="K1178" s="469"/>
      <c r="L1178" s="469"/>
      <c r="M1178" s="469"/>
      <c r="N1178" s="469"/>
      <c r="O1178" s="469"/>
      <c r="P1178" s="469"/>
      <c r="Q1178" s="469"/>
      <c r="R1178" s="469"/>
      <c r="S1178" s="469"/>
      <c r="T1178" s="469"/>
      <c r="U1178" s="469"/>
      <c r="V1178" s="469"/>
      <c r="W1178" s="469"/>
      <c r="X1178" s="469"/>
      <c r="Y1178" s="469"/>
      <c r="Z1178" s="469"/>
      <c r="AA1178" s="469"/>
      <c r="AB1178" s="469"/>
    </row>
    <row r="1179" ht="14.25" customHeight="1">
      <c r="A1179" s="464"/>
      <c r="B1179" s="481"/>
      <c r="C1179" s="466"/>
      <c r="D1179" s="484"/>
      <c r="E1179" s="466"/>
      <c r="F1179" s="485"/>
      <c r="G1179" s="485"/>
      <c r="H1179" s="485"/>
      <c r="I1179" s="331"/>
      <c r="J1179" s="469"/>
      <c r="K1179" s="469"/>
      <c r="L1179" s="469"/>
      <c r="M1179" s="469"/>
      <c r="N1179" s="469"/>
      <c r="O1179" s="469"/>
      <c r="P1179" s="469"/>
      <c r="Q1179" s="469"/>
      <c r="R1179" s="469"/>
      <c r="S1179" s="469"/>
      <c r="T1179" s="469"/>
      <c r="U1179" s="469"/>
      <c r="V1179" s="469"/>
      <c r="W1179" s="469"/>
      <c r="X1179" s="469"/>
      <c r="Y1179" s="469"/>
      <c r="Z1179" s="469"/>
      <c r="AA1179" s="469"/>
      <c r="AB1179" s="469"/>
    </row>
    <row r="1180" ht="14.25" customHeight="1">
      <c r="A1180" s="464"/>
      <c r="B1180" s="481"/>
      <c r="C1180" s="466"/>
      <c r="D1180" s="484"/>
      <c r="E1180" s="466"/>
      <c r="F1180" s="485"/>
      <c r="G1180" s="485"/>
      <c r="H1180" s="485"/>
      <c r="I1180" s="331"/>
      <c r="J1180" s="469"/>
      <c r="K1180" s="469"/>
      <c r="L1180" s="469"/>
      <c r="M1180" s="469"/>
      <c r="N1180" s="469"/>
      <c r="O1180" s="469"/>
      <c r="P1180" s="469"/>
      <c r="Q1180" s="469"/>
      <c r="R1180" s="469"/>
      <c r="S1180" s="469"/>
      <c r="T1180" s="469"/>
      <c r="U1180" s="469"/>
      <c r="V1180" s="469"/>
      <c r="W1180" s="469"/>
      <c r="X1180" s="469"/>
      <c r="Y1180" s="469"/>
      <c r="Z1180" s="469"/>
      <c r="AA1180" s="469"/>
      <c r="AB1180" s="469"/>
    </row>
    <row r="1181" ht="14.25" customHeight="1">
      <c r="A1181" s="464"/>
      <c r="B1181" s="481"/>
      <c r="C1181" s="466"/>
      <c r="D1181" s="484"/>
      <c r="E1181" s="466"/>
      <c r="F1181" s="485"/>
      <c r="G1181" s="485"/>
      <c r="H1181" s="485"/>
      <c r="I1181" s="331"/>
      <c r="J1181" s="469"/>
      <c r="K1181" s="469"/>
      <c r="L1181" s="469"/>
      <c r="M1181" s="469"/>
      <c r="N1181" s="469"/>
      <c r="O1181" s="469"/>
      <c r="P1181" s="469"/>
      <c r="Q1181" s="469"/>
      <c r="R1181" s="469"/>
      <c r="S1181" s="469"/>
      <c r="T1181" s="469"/>
      <c r="U1181" s="469"/>
      <c r="V1181" s="469"/>
      <c r="W1181" s="469"/>
      <c r="X1181" s="469"/>
      <c r="Y1181" s="469"/>
      <c r="Z1181" s="469"/>
      <c r="AA1181" s="469"/>
      <c r="AB1181" s="469"/>
    </row>
    <row r="1182" ht="14.25" customHeight="1">
      <c r="A1182" s="464"/>
      <c r="B1182" s="481"/>
      <c r="C1182" s="466"/>
      <c r="D1182" s="484"/>
      <c r="E1182" s="466"/>
      <c r="F1182" s="485"/>
      <c r="G1182" s="485"/>
      <c r="H1182" s="485"/>
      <c r="I1182" s="331"/>
      <c r="J1182" s="469"/>
      <c r="K1182" s="469"/>
      <c r="L1182" s="469"/>
      <c r="M1182" s="469"/>
      <c r="N1182" s="469"/>
      <c r="O1182" s="469"/>
      <c r="P1182" s="469"/>
      <c r="Q1182" s="469"/>
      <c r="R1182" s="469"/>
      <c r="S1182" s="469"/>
      <c r="T1182" s="469"/>
      <c r="U1182" s="469"/>
      <c r="V1182" s="469"/>
      <c r="W1182" s="469"/>
      <c r="X1182" s="469"/>
      <c r="Y1182" s="469"/>
      <c r="Z1182" s="469"/>
      <c r="AA1182" s="469"/>
      <c r="AB1182" s="469"/>
    </row>
    <row r="1183" ht="14.25" customHeight="1">
      <c r="A1183" s="464"/>
      <c r="B1183" s="481"/>
      <c r="C1183" s="466"/>
      <c r="D1183" s="484"/>
      <c r="E1183" s="466"/>
      <c r="F1183" s="485"/>
      <c r="G1183" s="485"/>
      <c r="H1183" s="485"/>
      <c r="I1183" s="331"/>
      <c r="J1183" s="469"/>
      <c r="K1183" s="469"/>
      <c r="L1183" s="469"/>
      <c r="M1183" s="469"/>
      <c r="N1183" s="469"/>
      <c r="O1183" s="469"/>
      <c r="P1183" s="469"/>
      <c r="Q1183" s="469"/>
      <c r="R1183" s="469"/>
      <c r="S1183" s="469"/>
      <c r="T1183" s="469"/>
      <c r="U1183" s="469"/>
      <c r="V1183" s="469"/>
      <c r="W1183" s="469"/>
      <c r="X1183" s="469"/>
      <c r="Y1183" s="469"/>
      <c r="Z1183" s="469"/>
      <c r="AA1183" s="469"/>
      <c r="AB1183" s="469"/>
    </row>
    <row r="1184" ht="14.25" customHeight="1">
      <c r="A1184" s="464"/>
      <c r="B1184" s="481"/>
      <c r="C1184" s="466"/>
      <c r="D1184" s="484"/>
      <c r="E1184" s="466"/>
      <c r="F1184" s="485"/>
      <c r="G1184" s="485"/>
      <c r="H1184" s="485"/>
      <c r="I1184" s="331"/>
      <c r="J1184" s="469"/>
      <c r="K1184" s="469"/>
      <c r="L1184" s="469"/>
      <c r="M1184" s="469"/>
      <c r="N1184" s="469"/>
      <c r="O1184" s="469"/>
      <c r="P1184" s="469"/>
      <c r="Q1184" s="469"/>
      <c r="R1184" s="469"/>
      <c r="S1184" s="469"/>
      <c r="T1184" s="469"/>
      <c r="U1184" s="469"/>
      <c r="V1184" s="469"/>
      <c r="W1184" s="469"/>
      <c r="X1184" s="469"/>
      <c r="Y1184" s="469"/>
      <c r="Z1184" s="469"/>
      <c r="AA1184" s="469"/>
      <c r="AB1184" s="469"/>
    </row>
    <row r="1185" ht="14.25" customHeight="1">
      <c r="A1185" s="464"/>
      <c r="B1185" s="481"/>
      <c r="C1185" s="466"/>
      <c r="D1185" s="484"/>
      <c r="E1185" s="466"/>
      <c r="F1185" s="485"/>
      <c r="G1185" s="485"/>
      <c r="H1185" s="485"/>
      <c r="I1185" s="331"/>
      <c r="J1185" s="469"/>
      <c r="K1185" s="469"/>
      <c r="L1185" s="469"/>
      <c r="M1185" s="469"/>
      <c r="N1185" s="469"/>
      <c r="O1185" s="469"/>
      <c r="P1185" s="469"/>
      <c r="Q1185" s="469"/>
      <c r="R1185" s="469"/>
      <c r="S1185" s="469"/>
      <c r="T1185" s="469"/>
      <c r="U1185" s="469"/>
      <c r="V1185" s="469"/>
      <c r="W1185" s="469"/>
      <c r="X1185" s="469"/>
      <c r="Y1185" s="469"/>
      <c r="Z1185" s="469"/>
      <c r="AA1185" s="469"/>
      <c r="AB1185" s="469"/>
    </row>
    <row r="1186" ht="14.25" customHeight="1">
      <c r="A1186" s="464"/>
      <c r="B1186" s="481"/>
      <c r="C1186" s="466"/>
      <c r="D1186" s="484"/>
      <c r="E1186" s="466"/>
      <c r="F1186" s="485"/>
      <c r="G1186" s="485"/>
      <c r="H1186" s="485"/>
      <c r="I1186" s="331"/>
      <c r="J1186" s="469"/>
      <c r="K1186" s="469"/>
      <c r="L1186" s="469"/>
      <c r="M1186" s="469"/>
      <c r="N1186" s="469"/>
      <c r="O1186" s="469"/>
      <c r="P1186" s="469"/>
      <c r="Q1186" s="469"/>
      <c r="R1186" s="469"/>
      <c r="S1186" s="469"/>
      <c r="T1186" s="469"/>
      <c r="U1186" s="469"/>
      <c r="V1186" s="469"/>
      <c r="W1186" s="469"/>
      <c r="X1186" s="469"/>
      <c r="Y1186" s="469"/>
      <c r="Z1186" s="469"/>
      <c r="AA1186" s="469"/>
      <c r="AB1186" s="469"/>
    </row>
    <row r="1187" ht="14.25" customHeight="1">
      <c r="A1187" s="464"/>
      <c r="B1187" s="481"/>
      <c r="C1187" s="466"/>
      <c r="D1187" s="484"/>
      <c r="E1187" s="466"/>
      <c r="F1187" s="485"/>
      <c r="G1187" s="485"/>
      <c r="H1187" s="485"/>
      <c r="I1187" s="331"/>
      <c r="J1187" s="469"/>
      <c r="K1187" s="469"/>
      <c r="L1187" s="469"/>
      <c r="M1187" s="469"/>
      <c r="N1187" s="469"/>
      <c r="O1187" s="469"/>
      <c r="P1187" s="469"/>
      <c r="Q1187" s="469"/>
      <c r="R1187" s="469"/>
      <c r="S1187" s="469"/>
      <c r="T1187" s="469"/>
      <c r="U1187" s="469"/>
      <c r="V1187" s="469"/>
      <c r="W1187" s="469"/>
      <c r="X1187" s="469"/>
      <c r="Y1187" s="469"/>
      <c r="Z1187" s="469"/>
      <c r="AA1187" s="469"/>
      <c r="AB1187" s="469"/>
    </row>
    <row r="1188" ht="14.25" customHeight="1">
      <c r="A1188" s="464"/>
      <c r="B1188" s="481"/>
      <c r="C1188" s="466"/>
      <c r="D1188" s="484"/>
      <c r="E1188" s="466"/>
      <c r="F1188" s="485"/>
      <c r="G1188" s="485"/>
      <c r="H1188" s="485"/>
      <c r="I1188" s="331"/>
      <c r="J1188" s="469"/>
      <c r="K1188" s="469"/>
      <c r="L1188" s="469"/>
      <c r="M1188" s="469"/>
      <c r="N1188" s="469"/>
      <c r="O1188" s="469"/>
      <c r="P1188" s="469"/>
      <c r="Q1188" s="469"/>
      <c r="R1188" s="469"/>
      <c r="S1188" s="469"/>
      <c r="T1188" s="469"/>
      <c r="U1188" s="469"/>
      <c r="V1188" s="469"/>
      <c r="W1188" s="469"/>
      <c r="X1188" s="469"/>
      <c r="Y1188" s="469"/>
      <c r="Z1188" s="469"/>
      <c r="AA1188" s="469"/>
      <c r="AB1188" s="469"/>
    </row>
    <row r="1189" ht="14.25" customHeight="1">
      <c r="A1189" s="464"/>
      <c r="B1189" s="481"/>
      <c r="C1189" s="466"/>
      <c r="D1189" s="484"/>
      <c r="E1189" s="466"/>
      <c r="F1189" s="485"/>
      <c r="G1189" s="485"/>
      <c r="H1189" s="485"/>
      <c r="I1189" s="331"/>
      <c r="J1189" s="469"/>
      <c r="K1189" s="469"/>
      <c r="L1189" s="469"/>
      <c r="M1189" s="469"/>
      <c r="N1189" s="469"/>
      <c r="O1189" s="469"/>
      <c r="P1189" s="469"/>
      <c r="Q1189" s="469"/>
      <c r="R1189" s="469"/>
      <c r="S1189" s="469"/>
      <c r="T1189" s="469"/>
      <c r="U1189" s="469"/>
      <c r="V1189" s="469"/>
      <c r="W1189" s="469"/>
      <c r="X1189" s="469"/>
      <c r="Y1189" s="469"/>
      <c r="Z1189" s="469"/>
      <c r="AA1189" s="469"/>
      <c r="AB1189" s="469"/>
    </row>
    <row r="1190" ht="14.25" customHeight="1">
      <c r="A1190" s="464"/>
      <c r="B1190" s="481"/>
      <c r="C1190" s="466"/>
      <c r="D1190" s="484"/>
      <c r="E1190" s="466"/>
      <c r="F1190" s="485"/>
      <c r="G1190" s="485"/>
      <c r="H1190" s="485"/>
      <c r="I1190" s="331"/>
      <c r="J1190" s="469"/>
      <c r="K1190" s="469"/>
      <c r="L1190" s="469"/>
      <c r="M1190" s="469"/>
      <c r="N1190" s="469"/>
      <c r="O1190" s="469"/>
      <c r="P1190" s="469"/>
      <c r="Q1190" s="469"/>
      <c r="R1190" s="469"/>
      <c r="S1190" s="469"/>
      <c r="T1190" s="469"/>
      <c r="U1190" s="469"/>
      <c r="V1190" s="469"/>
      <c r="W1190" s="469"/>
      <c r="X1190" s="469"/>
      <c r="Y1190" s="469"/>
      <c r="Z1190" s="469"/>
      <c r="AA1190" s="469"/>
      <c r="AB1190" s="469"/>
    </row>
    <row r="1191" ht="14.25" customHeight="1">
      <c r="A1191" s="464"/>
      <c r="B1191" s="481"/>
      <c r="C1191" s="466"/>
      <c r="D1191" s="484"/>
      <c r="E1191" s="466"/>
      <c r="F1191" s="485"/>
      <c r="G1191" s="485"/>
      <c r="H1191" s="485"/>
      <c r="I1191" s="331"/>
      <c r="J1191" s="469"/>
      <c r="K1191" s="469"/>
      <c r="L1191" s="469"/>
      <c r="M1191" s="469"/>
      <c r="N1191" s="469"/>
      <c r="O1191" s="469"/>
      <c r="P1191" s="469"/>
      <c r="Q1191" s="469"/>
      <c r="R1191" s="469"/>
      <c r="S1191" s="469"/>
      <c r="T1191" s="469"/>
      <c r="U1191" s="469"/>
      <c r="V1191" s="469"/>
      <c r="W1191" s="469"/>
      <c r="X1191" s="469"/>
      <c r="Y1191" s="469"/>
      <c r="Z1191" s="469"/>
      <c r="AA1191" s="469"/>
      <c r="AB1191" s="469"/>
    </row>
    <row r="1192" ht="14.25" customHeight="1">
      <c r="A1192" s="464"/>
      <c r="B1192" s="481"/>
      <c r="C1192" s="466"/>
      <c r="D1192" s="484"/>
      <c r="E1192" s="466"/>
      <c r="F1192" s="485"/>
      <c r="G1192" s="485"/>
      <c r="H1192" s="485"/>
      <c r="I1192" s="331"/>
      <c r="J1192" s="469"/>
      <c r="K1192" s="469"/>
      <c r="L1192" s="469"/>
      <c r="M1192" s="469"/>
      <c r="N1192" s="469"/>
      <c r="O1192" s="469"/>
      <c r="P1192" s="469"/>
      <c r="Q1192" s="469"/>
      <c r="R1192" s="469"/>
      <c r="S1192" s="469"/>
      <c r="T1192" s="469"/>
      <c r="U1192" s="469"/>
      <c r="V1192" s="469"/>
      <c r="W1192" s="469"/>
      <c r="X1192" s="469"/>
      <c r="Y1192" s="469"/>
      <c r="Z1192" s="469"/>
      <c r="AA1192" s="469"/>
      <c r="AB1192" s="469"/>
    </row>
    <row r="1193" ht="14.25" customHeight="1">
      <c r="A1193" s="464"/>
      <c r="B1193" s="481"/>
      <c r="C1193" s="466"/>
      <c r="D1193" s="484"/>
      <c r="E1193" s="466"/>
      <c r="F1193" s="485"/>
      <c r="G1193" s="485"/>
      <c r="H1193" s="485"/>
      <c r="I1193" s="331"/>
      <c r="J1193" s="469"/>
      <c r="K1193" s="469"/>
      <c r="L1193" s="469"/>
      <c r="M1193" s="469"/>
      <c r="N1193" s="469"/>
      <c r="O1193" s="469"/>
      <c r="P1193" s="469"/>
      <c r="Q1193" s="469"/>
      <c r="R1193" s="469"/>
      <c r="S1193" s="469"/>
      <c r="T1193" s="469"/>
      <c r="U1193" s="469"/>
      <c r="V1193" s="469"/>
      <c r="W1193" s="469"/>
      <c r="X1193" s="469"/>
      <c r="Y1193" s="469"/>
      <c r="Z1193" s="469"/>
      <c r="AA1193" s="469"/>
      <c r="AB1193" s="469"/>
    </row>
    <row r="1194" ht="14.25" customHeight="1">
      <c r="A1194" s="464"/>
      <c r="B1194" s="481"/>
      <c r="C1194" s="466"/>
      <c r="D1194" s="484"/>
      <c r="E1194" s="466"/>
      <c r="F1194" s="485"/>
      <c r="G1194" s="485"/>
      <c r="H1194" s="485"/>
      <c r="I1194" s="331"/>
      <c r="J1194" s="469"/>
      <c r="K1194" s="469"/>
      <c r="L1194" s="469"/>
      <c r="M1194" s="469"/>
      <c r="N1194" s="469"/>
      <c r="O1194" s="469"/>
      <c r="P1194" s="469"/>
      <c r="Q1194" s="469"/>
      <c r="R1194" s="469"/>
      <c r="S1194" s="469"/>
      <c r="T1194" s="469"/>
      <c r="U1194" s="469"/>
      <c r="V1194" s="469"/>
      <c r="W1194" s="469"/>
      <c r="X1194" s="469"/>
      <c r="Y1194" s="469"/>
      <c r="Z1194" s="469"/>
      <c r="AA1194" s="469"/>
      <c r="AB1194" s="469"/>
    </row>
    <row r="1195" ht="14.25" customHeight="1">
      <c r="A1195" s="464"/>
      <c r="B1195" s="481"/>
      <c r="C1195" s="466"/>
      <c r="D1195" s="484"/>
      <c r="E1195" s="466"/>
      <c r="F1195" s="485"/>
      <c r="G1195" s="485"/>
      <c r="H1195" s="485"/>
      <c r="I1195" s="331"/>
      <c r="J1195" s="469"/>
      <c r="K1195" s="469"/>
      <c r="L1195" s="469"/>
      <c r="M1195" s="469"/>
      <c r="N1195" s="469"/>
      <c r="O1195" s="469"/>
      <c r="P1195" s="469"/>
      <c r="Q1195" s="469"/>
      <c r="R1195" s="469"/>
      <c r="S1195" s="469"/>
      <c r="T1195" s="469"/>
      <c r="U1195" s="469"/>
      <c r="V1195" s="469"/>
      <c r="W1195" s="469"/>
      <c r="X1195" s="469"/>
      <c r="Y1195" s="469"/>
      <c r="Z1195" s="469"/>
      <c r="AA1195" s="469"/>
      <c r="AB1195" s="469"/>
    </row>
    <row r="1196" ht="14.25" customHeight="1">
      <c r="A1196" s="464"/>
      <c r="B1196" s="481"/>
      <c r="C1196" s="466"/>
      <c r="D1196" s="484"/>
      <c r="E1196" s="466"/>
      <c r="F1196" s="485"/>
      <c r="G1196" s="485"/>
      <c r="H1196" s="485"/>
      <c r="I1196" s="331"/>
      <c r="J1196" s="469"/>
      <c r="K1196" s="469"/>
      <c r="L1196" s="469"/>
      <c r="M1196" s="469"/>
      <c r="N1196" s="469"/>
      <c r="O1196" s="469"/>
      <c r="P1196" s="469"/>
      <c r="Q1196" s="469"/>
      <c r="R1196" s="469"/>
      <c r="S1196" s="469"/>
      <c r="T1196" s="469"/>
      <c r="U1196" s="469"/>
      <c r="V1196" s="469"/>
      <c r="W1196" s="469"/>
      <c r="X1196" s="469"/>
      <c r="Y1196" s="469"/>
      <c r="Z1196" s="469"/>
      <c r="AA1196" s="469"/>
      <c r="AB1196" s="469"/>
    </row>
    <row r="1197" ht="14.25" customHeight="1">
      <c r="A1197" s="464"/>
      <c r="B1197" s="481"/>
      <c r="C1197" s="466"/>
      <c r="D1197" s="484"/>
      <c r="E1197" s="466"/>
      <c r="F1197" s="485"/>
      <c r="G1197" s="485"/>
      <c r="H1197" s="485"/>
      <c r="I1197" s="331"/>
      <c r="J1197" s="469"/>
      <c r="K1197" s="469"/>
      <c r="L1197" s="469"/>
      <c r="M1197" s="469"/>
      <c r="N1197" s="469"/>
      <c r="O1197" s="469"/>
      <c r="P1197" s="469"/>
      <c r="Q1197" s="469"/>
      <c r="R1197" s="469"/>
      <c r="S1197" s="469"/>
      <c r="T1197" s="469"/>
      <c r="U1197" s="469"/>
      <c r="V1197" s="469"/>
      <c r="W1197" s="469"/>
      <c r="X1197" s="469"/>
      <c r="Y1197" s="469"/>
      <c r="Z1197" s="469"/>
      <c r="AA1197" s="469"/>
      <c r="AB1197" s="469"/>
    </row>
    <row r="1198" ht="14.25" customHeight="1">
      <c r="A1198" s="464"/>
      <c r="B1198" s="481"/>
      <c r="C1198" s="466"/>
      <c r="D1198" s="484"/>
      <c r="E1198" s="466"/>
      <c r="F1198" s="485"/>
      <c r="G1198" s="485"/>
      <c r="H1198" s="485"/>
      <c r="I1198" s="331"/>
      <c r="J1198" s="469"/>
      <c r="K1198" s="469"/>
      <c r="L1198" s="469"/>
      <c r="M1198" s="469"/>
      <c r="N1198" s="469"/>
      <c r="O1198" s="469"/>
      <c r="P1198" s="469"/>
      <c r="Q1198" s="469"/>
      <c r="R1198" s="469"/>
      <c r="S1198" s="469"/>
      <c r="T1198" s="469"/>
      <c r="U1198" s="469"/>
      <c r="V1198" s="469"/>
      <c r="W1198" s="469"/>
      <c r="X1198" s="469"/>
      <c r="Y1198" s="469"/>
      <c r="Z1198" s="469"/>
      <c r="AA1198" s="469"/>
      <c r="AB1198" s="469"/>
    </row>
    <row r="1199" ht="14.25" customHeight="1">
      <c r="A1199" s="464"/>
      <c r="B1199" s="481"/>
      <c r="C1199" s="466"/>
      <c r="D1199" s="484"/>
      <c r="E1199" s="466"/>
      <c r="F1199" s="485"/>
      <c r="G1199" s="485"/>
      <c r="H1199" s="485"/>
      <c r="I1199" s="331"/>
      <c r="J1199" s="469"/>
      <c r="K1199" s="469"/>
      <c r="L1199" s="469"/>
      <c r="M1199" s="469"/>
      <c r="N1199" s="469"/>
      <c r="O1199" s="469"/>
      <c r="P1199" s="469"/>
      <c r="Q1199" s="469"/>
      <c r="R1199" s="469"/>
      <c r="S1199" s="469"/>
      <c r="T1199" s="469"/>
      <c r="U1199" s="469"/>
      <c r="V1199" s="469"/>
      <c r="W1199" s="469"/>
      <c r="X1199" s="469"/>
      <c r="Y1199" s="469"/>
      <c r="Z1199" s="469"/>
      <c r="AA1199" s="469"/>
      <c r="AB1199" s="469"/>
    </row>
    <row r="1200" ht="14.25" customHeight="1">
      <c r="A1200" s="464"/>
      <c r="B1200" s="481"/>
      <c r="C1200" s="466"/>
      <c r="D1200" s="484"/>
      <c r="E1200" s="466"/>
      <c r="F1200" s="485"/>
      <c r="G1200" s="485"/>
      <c r="H1200" s="485"/>
      <c r="I1200" s="331"/>
      <c r="J1200" s="469"/>
      <c r="K1200" s="469"/>
      <c r="L1200" s="469"/>
      <c r="M1200" s="469"/>
      <c r="N1200" s="469"/>
      <c r="O1200" s="469"/>
      <c r="P1200" s="469"/>
      <c r="Q1200" s="469"/>
      <c r="R1200" s="469"/>
      <c r="S1200" s="469"/>
      <c r="T1200" s="469"/>
      <c r="U1200" s="469"/>
      <c r="V1200" s="469"/>
      <c r="W1200" s="469"/>
      <c r="X1200" s="469"/>
      <c r="Y1200" s="469"/>
      <c r="Z1200" s="469"/>
      <c r="AA1200" s="469"/>
      <c r="AB1200" s="469"/>
    </row>
    <row r="1201" ht="14.25" customHeight="1">
      <c r="A1201" s="464"/>
      <c r="B1201" s="481"/>
      <c r="C1201" s="466"/>
      <c r="D1201" s="484"/>
      <c r="E1201" s="466"/>
      <c r="F1201" s="485"/>
      <c r="G1201" s="485"/>
      <c r="H1201" s="485"/>
      <c r="I1201" s="331"/>
      <c r="J1201" s="469"/>
      <c r="K1201" s="469"/>
      <c r="L1201" s="469"/>
      <c r="M1201" s="469"/>
      <c r="N1201" s="469"/>
      <c r="O1201" s="469"/>
      <c r="P1201" s="469"/>
      <c r="Q1201" s="469"/>
      <c r="R1201" s="469"/>
      <c r="S1201" s="469"/>
      <c r="T1201" s="469"/>
      <c r="U1201" s="469"/>
      <c r="V1201" s="469"/>
      <c r="W1201" s="469"/>
      <c r="X1201" s="469"/>
      <c r="Y1201" s="469"/>
      <c r="Z1201" s="469"/>
      <c r="AA1201" s="469"/>
      <c r="AB1201" s="469"/>
    </row>
    <row r="1202" ht="14.25" customHeight="1">
      <c r="A1202" s="464"/>
      <c r="B1202" s="481"/>
      <c r="C1202" s="466"/>
      <c r="D1202" s="484"/>
      <c r="E1202" s="466"/>
      <c r="F1202" s="485"/>
      <c r="G1202" s="485"/>
      <c r="H1202" s="485"/>
      <c r="I1202" s="331"/>
      <c r="J1202" s="469"/>
      <c r="K1202" s="469"/>
      <c r="L1202" s="469"/>
      <c r="M1202" s="469"/>
      <c r="N1202" s="469"/>
      <c r="O1202" s="469"/>
      <c r="P1202" s="469"/>
      <c r="Q1202" s="469"/>
      <c r="R1202" s="469"/>
      <c r="S1202" s="469"/>
      <c r="T1202" s="469"/>
      <c r="U1202" s="469"/>
      <c r="V1202" s="469"/>
      <c r="W1202" s="469"/>
      <c r="X1202" s="469"/>
      <c r="Y1202" s="469"/>
      <c r="Z1202" s="469"/>
      <c r="AA1202" s="469"/>
      <c r="AB1202" s="469"/>
    </row>
    <row r="1203" ht="14.25" customHeight="1">
      <c r="A1203" s="464"/>
      <c r="B1203" s="481"/>
      <c r="C1203" s="466"/>
      <c r="D1203" s="484"/>
      <c r="E1203" s="466"/>
      <c r="F1203" s="485"/>
      <c r="G1203" s="485"/>
      <c r="H1203" s="485"/>
      <c r="I1203" s="331"/>
      <c r="J1203" s="469"/>
      <c r="K1203" s="469"/>
      <c r="L1203" s="469"/>
      <c r="M1203" s="469"/>
      <c r="N1203" s="469"/>
      <c r="O1203" s="469"/>
      <c r="P1203" s="469"/>
      <c r="Q1203" s="469"/>
      <c r="R1203" s="469"/>
      <c r="S1203" s="469"/>
      <c r="T1203" s="469"/>
      <c r="U1203" s="469"/>
      <c r="V1203" s="469"/>
      <c r="W1203" s="469"/>
      <c r="X1203" s="469"/>
      <c r="Y1203" s="469"/>
      <c r="Z1203" s="469"/>
      <c r="AA1203" s="469"/>
      <c r="AB1203" s="469"/>
    </row>
    <row r="1204" ht="14.25" customHeight="1">
      <c r="A1204" s="464"/>
      <c r="B1204" s="481"/>
      <c r="C1204" s="466"/>
      <c r="D1204" s="484"/>
      <c r="E1204" s="466"/>
      <c r="F1204" s="485"/>
      <c r="G1204" s="485"/>
      <c r="H1204" s="485"/>
      <c r="I1204" s="331"/>
      <c r="J1204" s="469"/>
      <c r="K1204" s="469"/>
      <c r="L1204" s="469"/>
      <c r="M1204" s="469"/>
      <c r="N1204" s="469"/>
      <c r="O1204" s="469"/>
      <c r="P1204" s="469"/>
      <c r="Q1204" s="469"/>
      <c r="R1204" s="469"/>
      <c r="S1204" s="469"/>
      <c r="T1204" s="469"/>
      <c r="U1204" s="469"/>
      <c r="V1204" s="469"/>
      <c r="W1204" s="469"/>
      <c r="X1204" s="469"/>
      <c r="Y1204" s="469"/>
      <c r="Z1204" s="469"/>
      <c r="AA1204" s="469"/>
      <c r="AB1204" s="469"/>
    </row>
    <row r="1205" ht="14.25" customHeight="1">
      <c r="A1205" s="464"/>
      <c r="B1205" s="481"/>
      <c r="C1205" s="466"/>
      <c r="D1205" s="484"/>
      <c r="E1205" s="466"/>
      <c r="F1205" s="485"/>
      <c r="G1205" s="485"/>
      <c r="H1205" s="485"/>
      <c r="I1205" s="331"/>
      <c r="J1205" s="469"/>
      <c r="K1205" s="469"/>
      <c r="L1205" s="469"/>
      <c r="M1205" s="469"/>
      <c r="N1205" s="469"/>
      <c r="O1205" s="469"/>
      <c r="P1205" s="469"/>
      <c r="Q1205" s="469"/>
      <c r="R1205" s="469"/>
      <c r="S1205" s="469"/>
      <c r="T1205" s="469"/>
      <c r="U1205" s="469"/>
      <c r="V1205" s="469"/>
      <c r="W1205" s="469"/>
      <c r="X1205" s="469"/>
      <c r="Y1205" s="469"/>
      <c r="Z1205" s="469"/>
      <c r="AA1205" s="469"/>
      <c r="AB1205" s="469"/>
    </row>
    <row r="1206" ht="14.25" customHeight="1">
      <c r="A1206" s="464"/>
      <c r="B1206" s="481"/>
      <c r="C1206" s="466"/>
      <c r="D1206" s="484"/>
      <c r="E1206" s="466"/>
      <c r="F1206" s="485"/>
      <c r="G1206" s="485"/>
      <c r="H1206" s="485"/>
      <c r="I1206" s="331"/>
      <c r="J1206" s="469"/>
      <c r="K1206" s="469"/>
      <c r="L1206" s="469"/>
      <c r="M1206" s="469"/>
      <c r="N1206" s="469"/>
      <c r="O1206" s="469"/>
      <c r="P1206" s="469"/>
      <c r="Q1206" s="469"/>
      <c r="R1206" s="469"/>
      <c r="S1206" s="469"/>
      <c r="T1206" s="469"/>
      <c r="U1206" s="469"/>
      <c r="V1206" s="469"/>
      <c r="W1206" s="469"/>
      <c r="X1206" s="469"/>
      <c r="Y1206" s="469"/>
      <c r="Z1206" s="469"/>
      <c r="AA1206" s="469"/>
      <c r="AB1206" s="469"/>
    </row>
    <row r="1207" ht="14.25" customHeight="1">
      <c r="A1207" s="464"/>
      <c r="B1207" s="481"/>
      <c r="C1207" s="466"/>
      <c r="D1207" s="484"/>
      <c r="E1207" s="466"/>
      <c r="F1207" s="485"/>
      <c r="G1207" s="485"/>
      <c r="H1207" s="485"/>
      <c r="I1207" s="331"/>
      <c r="J1207" s="469"/>
      <c r="K1207" s="469"/>
      <c r="L1207" s="469"/>
      <c r="M1207" s="469"/>
      <c r="N1207" s="469"/>
      <c r="O1207" s="469"/>
      <c r="P1207" s="469"/>
      <c r="Q1207" s="469"/>
      <c r="R1207" s="469"/>
      <c r="S1207" s="469"/>
      <c r="T1207" s="469"/>
      <c r="U1207" s="469"/>
      <c r="V1207" s="469"/>
      <c r="W1207" s="469"/>
      <c r="X1207" s="469"/>
      <c r="Y1207" s="469"/>
      <c r="Z1207" s="469"/>
      <c r="AA1207" s="469"/>
      <c r="AB1207" s="469"/>
    </row>
    <row r="1208" ht="14.25" customHeight="1">
      <c r="A1208" s="464"/>
      <c r="B1208" s="481"/>
      <c r="C1208" s="466"/>
      <c r="D1208" s="484"/>
      <c r="E1208" s="466"/>
      <c r="F1208" s="485"/>
      <c r="G1208" s="485"/>
      <c r="H1208" s="485"/>
      <c r="I1208" s="331"/>
      <c r="J1208" s="469"/>
      <c r="K1208" s="469"/>
      <c r="L1208" s="469"/>
      <c r="M1208" s="469"/>
      <c r="N1208" s="469"/>
      <c r="O1208" s="469"/>
      <c r="P1208" s="469"/>
      <c r="Q1208" s="469"/>
      <c r="R1208" s="469"/>
      <c r="S1208" s="469"/>
      <c r="T1208" s="469"/>
      <c r="U1208" s="469"/>
      <c r="V1208" s="469"/>
      <c r="W1208" s="469"/>
      <c r="X1208" s="469"/>
      <c r="Y1208" s="469"/>
      <c r="Z1208" s="469"/>
      <c r="AA1208" s="469"/>
      <c r="AB1208" s="469"/>
    </row>
    <row r="1209" ht="14.25" customHeight="1">
      <c r="A1209" s="464"/>
      <c r="B1209" s="481"/>
      <c r="C1209" s="466"/>
      <c r="D1209" s="484"/>
      <c r="E1209" s="466"/>
      <c r="F1209" s="485"/>
      <c r="G1209" s="485"/>
      <c r="H1209" s="485"/>
      <c r="I1209" s="331"/>
      <c r="J1209" s="469"/>
      <c r="K1209" s="469"/>
      <c r="L1209" s="469"/>
      <c r="M1209" s="469"/>
      <c r="N1209" s="469"/>
      <c r="O1209" s="469"/>
      <c r="P1209" s="469"/>
      <c r="Q1209" s="469"/>
      <c r="R1209" s="469"/>
      <c r="S1209" s="469"/>
      <c r="T1209" s="469"/>
      <c r="U1209" s="469"/>
      <c r="V1209" s="469"/>
      <c r="W1209" s="469"/>
      <c r="X1209" s="469"/>
      <c r="Y1209" s="469"/>
      <c r="Z1209" s="469"/>
      <c r="AA1209" s="469"/>
      <c r="AB1209" s="469"/>
    </row>
    <row r="1210" ht="14.25" customHeight="1">
      <c r="A1210" s="464"/>
      <c r="B1210" s="481"/>
      <c r="C1210" s="466"/>
      <c r="D1210" s="484"/>
      <c r="E1210" s="466"/>
      <c r="F1210" s="485"/>
      <c r="G1210" s="485"/>
      <c r="H1210" s="485"/>
      <c r="I1210" s="331"/>
      <c r="J1210" s="469"/>
      <c r="K1210" s="469"/>
      <c r="L1210" s="469"/>
      <c r="M1210" s="469"/>
      <c r="N1210" s="469"/>
      <c r="O1210" s="469"/>
      <c r="P1210" s="469"/>
      <c r="Q1210" s="469"/>
      <c r="R1210" s="469"/>
      <c r="S1210" s="469"/>
      <c r="T1210" s="469"/>
      <c r="U1210" s="469"/>
      <c r="V1210" s="469"/>
      <c r="W1210" s="469"/>
      <c r="X1210" s="469"/>
      <c r="Y1210" s="469"/>
      <c r="Z1210" s="469"/>
      <c r="AA1210" s="469"/>
      <c r="AB1210" s="469"/>
    </row>
    <row r="1211" ht="14.25" customHeight="1">
      <c r="A1211" s="464"/>
      <c r="B1211" s="481"/>
      <c r="C1211" s="466"/>
      <c r="D1211" s="484"/>
      <c r="E1211" s="466"/>
      <c r="F1211" s="485"/>
      <c r="G1211" s="485"/>
      <c r="H1211" s="485"/>
      <c r="I1211" s="331"/>
      <c r="J1211" s="469"/>
      <c r="K1211" s="469"/>
      <c r="L1211" s="469"/>
      <c r="M1211" s="469"/>
      <c r="N1211" s="469"/>
      <c r="O1211" s="469"/>
      <c r="P1211" s="469"/>
      <c r="Q1211" s="469"/>
      <c r="R1211" s="469"/>
      <c r="S1211" s="469"/>
      <c r="T1211" s="469"/>
      <c r="U1211" s="469"/>
      <c r="V1211" s="469"/>
      <c r="W1211" s="469"/>
      <c r="X1211" s="469"/>
      <c r="Y1211" s="469"/>
      <c r="Z1211" s="469"/>
      <c r="AA1211" s="469"/>
      <c r="AB1211" s="469"/>
    </row>
    <row r="1212" ht="14.25" customHeight="1">
      <c r="A1212" s="464"/>
      <c r="B1212" s="481"/>
      <c r="C1212" s="466"/>
      <c r="D1212" s="484"/>
      <c r="E1212" s="466"/>
      <c r="F1212" s="485"/>
      <c r="G1212" s="485"/>
      <c r="H1212" s="485"/>
      <c r="I1212" s="331"/>
      <c r="J1212" s="469"/>
      <c r="K1212" s="469"/>
      <c r="L1212" s="469"/>
      <c r="M1212" s="469"/>
      <c r="N1212" s="469"/>
      <c r="O1212" s="469"/>
      <c r="P1212" s="469"/>
      <c r="Q1212" s="469"/>
      <c r="R1212" s="469"/>
      <c r="S1212" s="469"/>
      <c r="T1212" s="469"/>
      <c r="U1212" s="469"/>
      <c r="V1212" s="469"/>
      <c r="W1212" s="469"/>
      <c r="X1212" s="469"/>
      <c r="Y1212" s="469"/>
      <c r="Z1212" s="469"/>
      <c r="AA1212" s="469"/>
      <c r="AB1212" s="469"/>
    </row>
    <row r="1213" ht="14.25" customHeight="1">
      <c r="A1213" s="464"/>
      <c r="B1213" s="481"/>
      <c r="C1213" s="466"/>
      <c r="D1213" s="484"/>
      <c r="E1213" s="466"/>
      <c r="F1213" s="485"/>
      <c r="G1213" s="485"/>
      <c r="H1213" s="485"/>
      <c r="I1213" s="331"/>
      <c r="J1213" s="469"/>
      <c r="K1213" s="469"/>
      <c r="L1213" s="469"/>
      <c r="M1213" s="469"/>
      <c r="N1213" s="469"/>
      <c r="O1213" s="469"/>
      <c r="P1213" s="469"/>
      <c r="Q1213" s="469"/>
      <c r="R1213" s="469"/>
      <c r="S1213" s="469"/>
      <c r="T1213" s="469"/>
      <c r="U1213" s="469"/>
      <c r="V1213" s="469"/>
      <c r="W1213" s="469"/>
      <c r="X1213" s="469"/>
      <c r="Y1213" s="469"/>
      <c r="Z1213" s="469"/>
      <c r="AA1213" s="469"/>
      <c r="AB1213" s="469"/>
    </row>
    <row r="1214" ht="14.25" customHeight="1">
      <c r="A1214" s="464"/>
      <c r="B1214" s="481"/>
      <c r="C1214" s="466"/>
      <c r="D1214" s="484"/>
      <c r="E1214" s="466"/>
      <c r="F1214" s="485"/>
      <c r="G1214" s="485"/>
      <c r="H1214" s="485"/>
      <c r="I1214" s="331"/>
      <c r="J1214" s="469"/>
      <c r="K1214" s="469"/>
      <c r="L1214" s="469"/>
      <c r="M1214" s="469"/>
      <c r="N1214" s="469"/>
      <c r="O1214" s="469"/>
      <c r="P1214" s="469"/>
      <c r="Q1214" s="469"/>
      <c r="R1214" s="469"/>
      <c r="S1214" s="469"/>
      <c r="T1214" s="469"/>
      <c r="U1214" s="469"/>
      <c r="V1214" s="469"/>
      <c r="W1214" s="469"/>
      <c r="X1214" s="469"/>
      <c r="Y1214" s="469"/>
      <c r="Z1214" s="469"/>
      <c r="AA1214" s="469"/>
      <c r="AB1214" s="469"/>
    </row>
    <row r="1215" ht="14.25" customHeight="1">
      <c r="A1215" s="464"/>
      <c r="B1215" s="481"/>
      <c r="C1215" s="466"/>
      <c r="D1215" s="484"/>
      <c r="E1215" s="466"/>
      <c r="F1215" s="485"/>
      <c r="G1215" s="485"/>
      <c r="H1215" s="485"/>
      <c r="I1215" s="331"/>
      <c r="J1215" s="469"/>
      <c r="K1215" s="469"/>
      <c r="L1215" s="469"/>
      <c r="M1215" s="469"/>
      <c r="N1215" s="469"/>
      <c r="O1215" s="469"/>
      <c r="P1215" s="469"/>
      <c r="Q1215" s="469"/>
      <c r="R1215" s="469"/>
      <c r="S1215" s="469"/>
      <c r="T1215" s="469"/>
      <c r="U1215" s="469"/>
      <c r="V1215" s="469"/>
      <c r="W1215" s="469"/>
      <c r="X1215" s="469"/>
      <c r="Y1215" s="469"/>
      <c r="Z1215" s="469"/>
      <c r="AA1215" s="469"/>
      <c r="AB1215" s="469"/>
    </row>
    <row r="1216" ht="14.25" customHeight="1">
      <c r="A1216" s="464"/>
      <c r="B1216" s="481"/>
      <c r="C1216" s="466"/>
      <c r="D1216" s="484"/>
      <c r="E1216" s="466"/>
      <c r="F1216" s="485"/>
      <c r="G1216" s="485"/>
      <c r="H1216" s="485"/>
      <c r="I1216" s="331"/>
      <c r="J1216" s="469"/>
      <c r="K1216" s="469"/>
      <c r="L1216" s="469"/>
      <c r="M1216" s="469"/>
      <c r="N1216" s="469"/>
      <c r="O1216" s="469"/>
      <c r="P1216" s="469"/>
      <c r="Q1216" s="469"/>
      <c r="R1216" s="469"/>
      <c r="S1216" s="469"/>
      <c r="T1216" s="469"/>
      <c r="U1216" s="469"/>
      <c r="V1216" s="469"/>
      <c r="W1216" s="469"/>
      <c r="X1216" s="469"/>
      <c r="Y1216" s="469"/>
      <c r="Z1216" s="469"/>
      <c r="AA1216" s="469"/>
      <c r="AB1216" s="469"/>
    </row>
    <row r="1217" ht="14.25" customHeight="1">
      <c r="A1217" s="464"/>
      <c r="B1217" s="481"/>
      <c r="C1217" s="466"/>
      <c r="D1217" s="484"/>
      <c r="E1217" s="466"/>
      <c r="F1217" s="485"/>
      <c r="G1217" s="485"/>
      <c r="H1217" s="485"/>
      <c r="I1217" s="331"/>
      <c r="J1217" s="469"/>
      <c r="K1217" s="469"/>
      <c r="L1217" s="469"/>
      <c r="M1217" s="469"/>
      <c r="N1217" s="469"/>
      <c r="O1217" s="469"/>
      <c r="P1217" s="469"/>
      <c r="Q1217" s="469"/>
      <c r="R1217" s="469"/>
      <c r="S1217" s="469"/>
      <c r="T1217" s="469"/>
      <c r="U1217" s="469"/>
      <c r="V1217" s="469"/>
      <c r="W1217" s="469"/>
      <c r="X1217" s="469"/>
      <c r="Y1217" s="469"/>
      <c r="Z1217" s="469"/>
      <c r="AA1217" s="469"/>
      <c r="AB1217" s="469"/>
    </row>
    <row r="1218" ht="14.25" customHeight="1">
      <c r="A1218" s="464"/>
      <c r="B1218" s="481"/>
      <c r="C1218" s="466"/>
      <c r="D1218" s="484"/>
      <c r="E1218" s="466"/>
      <c r="F1218" s="485"/>
      <c r="G1218" s="485"/>
      <c r="H1218" s="485"/>
      <c r="I1218" s="331"/>
      <c r="J1218" s="469"/>
      <c r="K1218" s="469"/>
      <c r="L1218" s="469"/>
      <c r="M1218" s="469"/>
      <c r="N1218" s="469"/>
      <c r="O1218" s="469"/>
      <c r="P1218" s="469"/>
      <c r="Q1218" s="469"/>
      <c r="R1218" s="469"/>
      <c r="S1218" s="469"/>
      <c r="T1218" s="469"/>
      <c r="U1218" s="469"/>
      <c r="V1218" s="469"/>
      <c r="W1218" s="469"/>
      <c r="X1218" s="469"/>
      <c r="Y1218" s="469"/>
      <c r="Z1218" s="469"/>
      <c r="AA1218" s="469"/>
      <c r="AB1218" s="469"/>
    </row>
    <row r="1219" ht="14.25" customHeight="1">
      <c r="A1219" s="464"/>
      <c r="B1219" s="481"/>
      <c r="C1219" s="466"/>
      <c r="D1219" s="484"/>
      <c r="E1219" s="466"/>
      <c r="F1219" s="485"/>
      <c r="G1219" s="485"/>
      <c r="H1219" s="485"/>
      <c r="I1219" s="331"/>
      <c r="J1219" s="469"/>
      <c r="K1219" s="469"/>
      <c r="L1219" s="469"/>
      <c r="M1219" s="469"/>
      <c r="N1219" s="469"/>
      <c r="O1219" s="469"/>
      <c r="P1219" s="469"/>
      <c r="Q1219" s="469"/>
      <c r="R1219" s="469"/>
      <c r="S1219" s="469"/>
      <c r="T1219" s="469"/>
      <c r="U1219" s="469"/>
      <c r="V1219" s="469"/>
      <c r="W1219" s="469"/>
      <c r="X1219" s="469"/>
      <c r="Y1219" s="469"/>
      <c r="Z1219" s="469"/>
      <c r="AA1219" s="469"/>
      <c r="AB1219" s="469"/>
    </row>
    <row r="1220" ht="14.25" customHeight="1">
      <c r="A1220" s="464"/>
      <c r="B1220" s="481"/>
      <c r="C1220" s="466"/>
      <c r="D1220" s="484"/>
      <c r="E1220" s="466"/>
      <c r="F1220" s="485"/>
      <c r="G1220" s="485"/>
      <c r="H1220" s="485"/>
      <c r="I1220" s="331"/>
      <c r="J1220" s="469"/>
      <c r="K1220" s="469"/>
      <c r="L1220" s="469"/>
      <c r="M1220" s="469"/>
      <c r="N1220" s="469"/>
      <c r="O1220" s="469"/>
      <c r="P1220" s="469"/>
      <c r="Q1220" s="469"/>
      <c r="R1220" s="469"/>
      <c r="S1220" s="469"/>
      <c r="T1220" s="469"/>
      <c r="U1220" s="469"/>
      <c r="V1220" s="469"/>
      <c r="W1220" s="469"/>
      <c r="X1220" s="469"/>
      <c r="Y1220" s="469"/>
      <c r="Z1220" s="469"/>
      <c r="AA1220" s="469"/>
      <c r="AB1220" s="469"/>
    </row>
    <row r="1221" ht="14.25" customHeight="1">
      <c r="A1221" s="464"/>
      <c r="B1221" s="481"/>
      <c r="C1221" s="466"/>
      <c r="D1221" s="484"/>
      <c r="E1221" s="466"/>
      <c r="F1221" s="485"/>
      <c r="G1221" s="485"/>
      <c r="H1221" s="485"/>
      <c r="I1221" s="331"/>
      <c r="J1221" s="469"/>
      <c r="K1221" s="469"/>
      <c r="L1221" s="469"/>
      <c r="M1221" s="469"/>
      <c r="N1221" s="469"/>
      <c r="O1221" s="469"/>
      <c r="P1221" s="469"/>
      <c r="Q1221" s="469"/>
      <c r="R1221" s="469"/>
      <c r="S1221" s="469"/>
      <c r="T1221" s="469"/>
      <c r="U1221" s="469"/>
      <c r="V1221" s="469"/>
      <c r="W1221" s="469"/>
      <c r="X1221" s="469"/>
      <c r="Y1221" s="469"/>
      <c r="Z1221" s="469"/>
      <c r="AA1221" s="469"/>
      <c r="AB1221" s="469"/>
    </row>
    <row r="1222" ht="14.25" customHeight="1">
      <c r="A1222" s="464"/>
      <c r="B1222" s="481"/>
      <c r="C1222" s="466"/>
      <c r="D1222" s="484"/>
      <c r="E1222" s="466"/>
      <c r="F1222" s="485"/>
      <c r="G1222" s="485"/>
      <c r="H1222" s="485"/>
      <c r="I1222" s="331"/>
      <c r="J1222" s="469"/>
      <c r="K1222" s="469"/>
      <c r="L1222" s="469"/>
      <c r="M1222" s="469"/>
      <c r="N1222" s="469"/>
      <c r="O1222" s="469"/>
      <c r="P1222" s="469"/>
      <c r="Q1222" s="469"/>
      <c r="R1222" s="469"/>
      <c r="S1222" s="469"/>
      <c r="T1222" s="469"/>
      <c r="U1222" s="469"/>
      <c r="V1222" s="469"/>
      <c r="W1222" s="469"/>
      <c r="X1222" s="469"/>
      <c r="Y1222" s="469"/>
      <c r="Z1222" s="469"/>
      <c r="AA1222" s="469"/>
      <c r="AB1222" s="469"/>
    </row>
    <row r="1223" ht="14.25" customHeight="1">
      <c r="A1223" s="464"/>
      <c r="B1223" s="481"/>
      <c r="C1223" s="466"/>
      <c r="D1223" s="484"/>
      <c r="E1223" s="466"/>
      <c r="F1223" s="485"/>
      <c r="G1223" s="485"/>
      <c r="H1223" s="485"/>
      <c r="I1223" s="331"/>
      <c r="J1223" s="469"/>
      <c r="K1223" s="469"/>
      <c r="L1223" s="469"/>
      <c r="M1223" s="469"/>
      <c r="N1223" s="469"/>
      <c r="O1223" s="469"/>
      <c r="P1223" s="469"/>
      <c r="Q1223" s="469"/>
      <c r="R1223" s="469"/>
      <c r="S1223" s="469"/>
      <c r="T1223" s="469"/>
      <c r="U1223" s="469"/>
      <c r="V1223" s="469"/>
      <c r="W1223" s="469"/>
      <c r="X1223" s="469"/>
      <c r="Y1223" s="469"/>
      <c r="Z1223" s="469"/>
      <c r="AA1223" s="469"/>
      <c r="AB1223" s="469"/>
    </row>
    <row r="1224" ht="14.25" customHeight="1">
      <c r="A1224" s="464"/>
      <c r="B1224" s="481"/>
      <c r="C1224" s="466"/>
      <c r="D1224" s="484"/>
      <c r="E1224" s="466"/>
      <c r="F1224" s="485"/>
      <c r="G1224" s="485"/>
      <c r="H1224" s="485"/>
      <c r="I1224" s="331"/>
      <c r="J1224" s="469"/>
      <c r="K1224" s="469"/>
      <c r="L1224" s="469"/>
      <c r="M1224" s="469"/>
      <c r="N1224" s="469"/>
      <c r="O1224" s="469"/>
      <c r="P1224" s="469"/>
      <c r="Q1224" s="469"/>
      <c r="R1224" s="469"/>
      <c r="S1224" s="469"/>
      <c r="T1224" s="469"/>
      <c r="U1224" s="469"/>
      <c r="V1224" s="469"/>
      <c r="W1224" s="469"/>
      <c r="X1224" s="469"/>
      <c r="Y1224" s="469"/>
      <c r="Z1224" s="469"/>
      <c r="AA1224" s="469"/>
      <c r="AB1224" s="469"/>
    </row>
    <row r="1225" ht="14.25" customHeight="1">
      <c r="A1225" s="464"/>
      <c r="B1225" s="481"/>
      <c r="C1225" s="466"/>
      <c r="D1225" s="484"/>
      <c r="E1225" s="466"/>
      <c r="F1225" s="485"/>
      <c r="G1225" s="485"/>
      <c r="H1225" s="485"/>
      <c r="I1225" s="331"/>
      <c r="J1225" s="469"/>
      <c r="K1225" s="469"/>
      <c r="L1225" s="469"/>
      <c r="M1225" s="469"/>
      <c r="N1225" s="469"/>
      <c r="O1225" s="469"/>
      <c r="P1225" s="469"/>
      <c r="Q1225" s="469"/>
      <c r="R1225" s="469"/>
      <c r="S1225" s="469"/>
      <c r="T1225" s="469"/>
      <c r="U1225" s="469"/>
      <c r="V1225" s="469"/>
      <c r="W1225" s="469"/>
      <c r="X1225" s="469"/>
      <c r="Y1225" s="469"/>
      <c r="Z1225" s="469"/>
      <c r="AA1225" s="469"/>
      <c r="AB1225" s="469"/>
    </row>
    <row r="1226" ht="14.25" customHeight="1">
      <c r="A1226" s="464"/>
      <c r="B1226" s="481"/>
      <c r="C1226" s="466"/>
      <c r="D1226" s="484"/>
      <c r="E1226" s="466"/>
      <c r="F1226" s="485"/>
      <c r="G1226" s="485"/>
      <c r="H1226" s="485"/>
      <c r="I1226" s="331"/>
      <c r="J1226" s="469"/>
      <c r="K1226" s="469"/>
      <c r="L1226" s="469"/>
      <c r="M1226" s="469"/>
      <c r="N1226" s="469"/>
      <c r="O1226" s="469"/>
      <c r="P1226" s="469"/>
      <c r="Q1226" s="469"/>
      <c r="R1226" s="469"/>
      <c r="S1226" s="469"/>
      <c r="T1226" s="469"/>
      <c r="U1226" s="469"/>
      <c r="V1226" s="469"/>
      <c r="W1226" s="469"/>
      <c r="X1226" s="469"/>
      <c r="Y1226" s="469"/>
      <c r="Z1226" s="469"/>
      <c r="AA1226" s="469"/>
      <c r="AB1226" s="469"/>
    </row>
    <row r="1227" ht="14.25" customHeight="1">
      <c r="A1227" s="464"/>
      <c r="B1227" s="481"/>
      <c r="C1227" s="466"/>
      <c r="D1227" s="484"/>
      <c r="E1227" s="466"/>
      <c r="F1227" s="485"/>
      <c r="G1227" s="485"/>
      <c r="H1227" s="485"/>
      <c r="I1227" s="331"/>
      <c r="J1227" s="469"/>
      <c r="K1227" s="469"/>
      <c r="L1227" s="469"/>
      <c r="M1227" s="469"/>
      <c r="N1227" s="469"/>
      <c r="O1227" s="469"/>
      <c r="P1227" s="469"/>
      <c r="Q1227" s="469"/>
      <c r="R1227" s="469"/>
      <c r="S1227" s="469"/>
      <c r="T1227" s="469"/>
      <c r="U1227" s="469"/>
      <c r="V1227" s="469"/>
      <c r="W1227" s="469"/>
      <c r="X1227" s="469"/>
      <c r="Y1227" s="469"/>
      <c r="Z1227" s="469"/>
      <c r="AA1227" s="469"/>
      <c r="AB1227" s="469"/>
    </row>
    <row r="1228" ht="14.25" customHeight="1">
      <c r="A1228" s="464"/>
      <c r="B1228" s="481"/>
      <c r="C1228" s="466"/>
      <c r="D1228" s="484"/>
      <c r="E1228" s="466"/>
      <c r="F1228" s="485"/>
      <c r="G1228" s="485"/>
      <c r="H1228" s="485"/>
      <c r="I1228" s="331"/>
      <c r="J1228" s="469"/>
      <c r="K1228" s="469"/>
      <c r="L1228" s="469"/>
      <c r="M1228" s="469"/>
      <c r="N1228" s="469"/>
      <c r="O1228" s="469"/>
      <c r="P1228" s="469"/>
      <c r="Q1228" s="469"/>
      <c r="R1228" s="469"/>
      <c r="S1228" s="469"/>
      <c r="T1228" s="469"/>
      <c r="U1228" s="469"/>
      <c r="V1228" s="469"/>
      <c r="W1228" s="469"/>
      <c r="X1228" s="469"/>
      <c r="Y1228" s="469"/>
      <c r="Z1228" s="469"/>
      <c r="AA1228" s="469"/>
      <c r="AB1228" s="469"/>
    </row>
    <row r="1229" ht="14.25" customHeight="1">
      <c r="A1229" s="464"/>
      <c r="B1229" s="481"/>
      <c r="C1229" s="466"/>
      <c r="D1229" s="484"/>
      <c r="E1229" s="466"/>
      <c r="F1229" s="485"/>
      <c r="G1229" s="485"/>
      <c r="H1229" s="485"/>
      <c r="I1229" s="331"/>
      <c r="J1229" s="469"/>
      <c r="K1229" s="469"/>
      <c r="L1229" s="469"/>
      <c r="M1229" s="469"/>
      <c r="N1229" s="469"/>
      <c r="O1229" s="469"/>
      <c r="P1229" s="469"/>
      <c r="Q1229" s="469"/>
      <c r="R1229" s="469"/>
      <c r="S1229" s="469"/>
      <c r="T1229" s="469"/>
      <c r="U1229" s="469"/>
      <c r="V1229" s="469"/>
      <c r="W1229" s="469"/>
      <c r="X1229" s="469"/>
      <c r="Y1229" s="469"/>
      <c r="Z1229" s="469"/>
      <c r="AA1229" s="469"/>
      <c r="AB1229" s="469"/>
    </row>
    <row r="1230" ht="14.25" customHeight="1">
      <c r="A1230" s="464"/>
      <c r="B1230" s="481"/>
      <c r="C1230" s="466"/>
      <c r="D1230" s="484"/>
      <c r="E1230" s="466"/>
      <c r="F1230" s="485"/>
      <c r="G1230" s="485"/>
      <c r="H1230" s="485"/>
      <c r="I1230" s="331"/>
      <c r="J1230" s="469"/>
      <c r="K1230" s="469"/>
      <c r="L1230" s="469"/>
      <c r="M1230" s="469"/>
      <c r="N1230" s="469"/>
      <c r="O1230" s="469"/>
      <c r="P1230" s="469"/>
      <c r="Q1230" s="469"/>
      <c r="R1230" s="469"/>
      <c r="S1230" s="469"/>
      <c r="T1230" s="469"/>
      <c r="U1230" s="469"/>
      <c r="V1230" s="469"/>
      <c r="W1230" s="469"/>
      <c r="X1230" s="469"/>
      <c r="Y1230" s="469"/>
      <c r="Z1230" s="469"/>
      <c r="AA1230" s="469"/>
      <c r="AB1230" s="469"/>
    </row>
    <row r="1231" ht="14.25" customHeight="1">
      <c r="A1231" s="464"/>
      <c r="B1231" s="481"/>
      <c r="C1231" s="466"/>
      <c r="D1231" s="484"/>
      <c r="E1231" s="466"/>
      <c r="F1231" s="485"/>
      <c r="G1231" s="485"/>
      <c r="H1231" s="485"/>
      <c r="I1231" s="331"/>
      <c r="J1231" s="469"/>
      <c r="K1231" s="469"/>
      <c r="L1231" s="469"/>
      <c r="M1231" s="469"/>
      <c r="N1231" s="469"/>
      <c r="O1231" s="469"/>
      <c r="P1231" s="469"/>
      <c r="Q1231" s="469"/>
      <c r="R1231" s="469"/>
      <c r="S1231" s="469"/>
      <c r="T1231" s="469"/>
      <c r="U1231" s="469"/>
      <c r="V1231" s="469"/>
      <c r="W1231" s="469"/>
      <c r="X1231" s="469"/>
      <c r="Y1231" s="469"/>
      <c r="Z1231" s="469"/>
      <c r="AA1231" s="469"/>
      <c r="AB1231" s="469"/>
    </row>
    <row r="1232" ht="14.25" customHeight="1">
      <c r="A1232" s="464"/>
      <c r="B1232" s="481"/>
      <c r="C1232" s="466"/>
      <c r="D1232" s="484"/>
      <c r="E1232" s="466"/>
      <c r="F1232" s="485"/>
      <c r="G1232" s="485"/>
      <c r="H1232" s="485"/>
      <c r="I1232" s="331"/>
      <c r="J1232" s="469"/>
      <c r="K1232" s="469"/>
      <c r="L1232" s="469"/>
      <c r="M1232" s="469"/>
      <c r="N1232" s="469"/>
      <c r="O1232" s="469"/>
      <c r="P1232" s="469"/>
      <c r="Q1232" s="469"/>
      <c r="R1232" s="469"/>
      <c r="S1232" s="469"/>
      <c r="T1232" s="469"/>
      <c r="U1232" s="469"/>
      <c r="V1232" s="469"/>
      <c r="W1232" s="469"/>
      <c r="X1232" s="469"/>
      <c r="Y1232" s="469"/>
      <c r="Z1232" s="469"/>
      <c r="AA1232" s="469"/>
      <c r="AB1232" s="469"/>
    </row>
    <row r="1233" ht="14.25" customHeight="1">
      <c r="A1233" s="464"/>
      <c r="B1233" s="481"/>
      <c r="C1233" s="466"/>
      <c r="D1233" s="484"/>
      <c r="E1233" s="466"/>
      <c r="F1233" s="485"/>
      <c r="G1233" s="485"/>
      <c r="H1233" s="485"/>
      <c r="I1233" s="331"/>
      <c r="J1233" s="469"/>
      <c r="K1233" s="469"/>
      <c r="L1233" s="469"/>
      <c r="M1233" s="469"/>
      <c r="N1233" s="469"/>
      <c r="O1233" s="469"/>
      <c r="P1233" s="469"/>
      <c r="Q1233" s="469"/>
      <c r="R1233" s="469"/>
      <c r="S1233" s="469"/>
      <c r="T1233" s="469"/>
      <c r="U1233" s="469"/>
      <c r="V1233" s="469"/>
      <c r="W1233" s="469"/>
      <c r="X1233" s="469"/>
      <c r="Y1233" s="469"/>
      <c r="Z1233" s="469"/>
      <c r="AA1233" s="469"/>
      <c r="AB1233" s="469"/>
    </row>
    <row r="1234" ht="14.25" customHeight="1">
      <c r="A1234" s="464"/>
      <c r="B1234" s="481"/>
      <c r="C1234" s="466"/>
      <c r="D1234" s="484"/>
      <c r="E1234" s="466"/>
      <c r="F1234" s="485"/>
      <c r="G1234" s="485"/>
      <c r="H1234" s="485"/>
      <c r="I1234" s="331"/>
      <c r="J1234" s="469"/>
      <c r="K1234" s="469"/>
      <c r="L1234" s="469"/>
      <c r="M1234" s="469"/>
      <c r="N1234" s="469"/>
      <c r="O1234" s="469"/>
      <c r="P1234" s="469"/>
      <c r="Q1234" s="469"/>
      <c r="R1234" s="469"/>
      <c r="S1234" s="469"/>
      <c r="T1234" s="469"/>
      <c r="U1234" s="469"/>
      <c r="V1234" s="469"/>
      <c r="W1234" s="469"/>
      <c r="X1234" s="469"/>
      <c r="Y1234" s="469"/>
      <c r="Z1234" s="469"/>
      <c r="AA1234" s="469"/>
      <c r="AB1234" s="469"/>
    </row>
    <row r="1235" ht="14.25" customHeight="1">
      <c r="A1235" s="464"/>
      <c r="B1235" s="481"/>
      <c r="C1235" s="466"/>
      <c r="D1235" s="484"/>
      <c r="E1235" s="466"/>
      <c r="F1235" s="485"/>
      <c r="G1235" s="485"/>
      <c r="H1235" s="485"/>
      <c r="I1235" s="331"/>
      <c r="J1235" s="469"/>
      <c r="K1235" s="469"/>
      <c r="L1235" s="469"/>
      <c r="M1235" s="469"/>
      <c r="N1235" s="469"/>
      <c r="O1235" s="469"/>
      <c r="P1235" s="469"/>
      <c r="Q1235" s="469"/>
      <c r="R1235" s="469"/>
      <c r="S1235" s="469"/>
      <c r="T1235" s="469"/>
      <c r="U1235" s="469"/>
      <c r="V1235" s="469"/>
      <c r="W1235" s="469"/>
      <c r="X1235" s="469"/>
      <c r="Y1235" s="469"/>
      <c r="Z1235" s="469"/>
      <c r="AA1235" s="469"/>
      <c r="AB1235" s="469"/>
    </row>
    <row r="1236" ht="14.25" customHeight="1">
      <c r="A1236" s="464"/>
      <c r="B1236" s="481"/>
      <c r="C1236" s="466"/>
      <c r="D1236" s="484"/>
      <c r="E1236" s="466"/>
      <c r="F1236" s="485"/>
      <c r="G1236" s="485"/>
      <c r="H1236" s="485"/>
      <c r="I1236" s="331"/>
      <c r="J1236" s="469"/>
      <c r="K1236" s="469"/>
      <c r="L1236" s="469"/>
      <c r="M1236" s="469"/>
      <c r="N1236" s="469"/>
      <c r="O1236" s="469"/>
      <c r="P1236" s="469"/>
      <c r="Q1236" s="469"/>
      <c r="R1236" s="469"/>
      <c r="S1236" s="469"/>
      <c r="T1236" s="469"/>
      <c r="U1236" s="469"/>
      <c r="V1236" s="469"/>
      <c r="W1236" s="469"/>
      <c r="X1236" s="469"/>
      <c r="Y1236" s="469"/>
      <c r="Z1236" s="469"/>
      <c r="AA1236" s="469"/>
      <c r="AB1236" s="469"/>
    </row>
    <row r="1237" ht="14.25" customHeight="1">
      <c r="A1237" s="464"/>
      <c r="B1237" s="481"/>
      <c r="C1237" s="466"/>
      <c r="D1237" s="484"/>
      <c r="E1237" s="466"/>
      <c r="F1237" s="485"/>
      <c r="G1237" s="485"/>
      <c r="H1237" s="485"/>
      <c r="I1237" s="331"/>
      <c r="J1237" s="469"/>
      <c r="K1237" s="469"/>
      <c r="L1237" s="469"/>
      <c r="M1237" s="469"/>
      <c r="N1237" s="469"/>
      <c r="O1237" s="469"/>
      <c r="P1237" s="469"/>
      <c r="Q1237" s="469"/>
      <c r="R1237" s="469"/>
      <c r="S1237" s="469"/>
      <c r="T1237" s="469"/>
      <c r="U1237" s="469"/>
      <c r="V1237" s="469"/>
      <c r="W1237" s="469"/>
      <c r="X1237" s="469"/>
      <c r="Y1237" s="469"/>
      <c r="Z1237" s="469"/>
      <c r="AA1237" s="469"/>
      <c r="AB1237" s="469"/>
    </row>
    <row r="1238" ht="14.25" customHeight="1">
      <c r="A1238" s="464"/>
      <c r="B1238" s="481"/>
      <c r="C1238" s="466"/>
      <c r="D1238" s="484"/>
      <c r="E1238" s="466"/>
      <c r="F1238" s="485"/>
      <c r="G1238" s="485"/>
      <c r="H1238" s="485"/>
      <c r="I1238" s="331"/>
      <c r="J1238" s="469"/>
      <c r="K1238" s="469"/>
      <c r="L1238" s="469"/>
      <c r="M1238" s="469"/>
      <c r="N1238" s="469"/>
      <c r="O1238" s="469"/>
      <c r="P1238" s="469"/>
      <c r="Q1238" s="469"/>
      <c r="R1238" s="469"/>
      <c r="S1238" s="469"/>
      <c r="T1238" s="469"/>
      <c r="U1238" s="469"/>
      <c r="V1238" s="469"/>
      <c r="W1238" s="469"/>
      <c r="X1238" s="469"/>
      <c r="Y1238" s="469"/>
      <c r="Z1238" s="469"/>
      <c r="AA1238" s="469"/>
      <c r="AB1238" s="469"/>
    </row>
    <row r="1239" ht="14.25" customHeight="1">
      <c r="A1239" s="464"/>
      <c r="B1239" s="481"/>
      <c r="C1239" s="466"/>
      <c r="D1239" s="484"/>
      <c r="E1239" s="466"/>
      <c r="F1239" s="485"/>
      <c r="G1239" s="485"/>
      <c r="H1239" s="485"/>
      <c r="I1239" s="331"/>
      <c r="J1239" s="469"/>
      <c r="K1239" s="469"/>
      <c r="L1239" s="469"/>
      <c r="M1239" s="469"/>
      <c r="N1239" s="469"/>
      <c r="O1239" s="469"/>
      <c r="P1239" s="469"/>
      <c r="Q1239" s="469"/>
      <c r="R1239" s="469"/>
      <c r="S1239" s="469"/>
      <c r="T1239" s="469"/>
      <c r="U1239" s="469"/>
      <c r="V1239" s="469"/>
      <c r="W1239" s="469"/>
      <c r="X1239" s="469"/>
      <c r="Y1239" s="469"/>
      <c r="Z1239" s="469"/>
      <c r="AA1239" s="469"/>
      <c r="AB1239" s="469"/>
    </row>
    <row r="1240" ht="14.25" customHeight="1">
      <c r="A1240" s="464"/>
      <c r="B1240" s="481"/>
      <c r="C1240" s="466"/>
      <c r="D1240" s="484"/>
      <c r="E1240" s="466"/>
      <c r="F1240" s="485"/>
      <c r="G1240" s="485"/>
      <c r="H1240" s="485"/>
      <c r="I1240" s="331"/>
      <c r="J1240" s="469"/>
      <c r="K1240" s="469"/>
      <c r="L1240" s="469"/>
      <c r="M1240" s="469"/>
      <c r="N1240" s="469"/>
      <c r="O1240" s="469"/>
      <c r="P1240" s="469"/>
      <c r="Q1240" s="469"/>
      <c r="R1240" s="469"/>
      <c r="S1240" s="469"/>
      <c r="T1240" s="469"/>
      <c r="U1240" s="469"/>
      <c r="V1240" s="469"/>
      <c r="W1240" s="469"/>
      <c r="X1240" s="469"/>
      <c r="Y1240" s="469"/>
      <c r="Z1240" s="469"/>
      <c r="AA1240" s="469"/>
      <c r="AB1240" s="469"/>
    </row>
    <row r="1241" ht="14.25" customHeight="1">
      <c r="A1241" s="464"/>
      <c r="B1241" s="481"/>
      <c r="C1241" s="466"/>
      <c r="D1241" s="484"/>
      <c r="E1241" s="466"/>
      <c r="F1241" s="485"/>
      <c r="G1241" s="485"/>
      <c r="H1241" s="485"/>
      <c r="I1241" s="331"/>
      <c r="J1241" s="469"/>
      <c r="K1241" s="469"/>
      <c r="L1241" s="469"/>
      <c r="M1241" s="469"/>
      <c r="N1241" s="469"/>
      <c r="O1241" s="469"/>
      <c r="P1241" s="469"/>
      <c r="Q1241" s="469"/>
      <c r="R1241" s="469"/>
      <c r="S1241" s="469"/>
      <c r="T1241" s="469"/>
      <c r="U1241" s="469"/>
      <c r="V1241" s="469"/>
      <c r="W1241" s="469"/>
      <c r="X1241" s="469"/>
      <c r="Y1241" s="469"/>
      <c r="Z1241" s="469"/>
      <c r="AA1241" s="469"/>
      <c r="AB1241" s="469"/>
    </row>
    <row r="1242" ht="14.25" customHeight="1">
      <c r="A1242" s="464"/>
      <c r="B1242" s="481"/>
      <c r="C1242" s="466"/>
      <c r="D1242" s="484"/>
      <c r="E1242" s="466"/>
      <c r="F1242" s="485"/>
      <c r="G1242" s="485"/>
      <c r="H1242" s="485"/>
      <c r="I1242" s="331"/>
      <c r="J1242" s="469"/>
      <c r="K1242" s="469"/>
      <c r="L1242" s="469"/>
      <c r="M1242" s="469"/>
      <c r="N1242" s="469"/>
      <c r="O1242" s="469"/>
      <c r="P1242" s="469"/>
      <c r="Q1242" s="469"/>
      <c r="R1242" s="469"/>
      <c r="S1242" s="469"/>
      <c r="T1242" s="469"/>
      <c r="U1242" s="469"/>
      <c r="V1242" s="469"/>
      <c r="W1242" s="469"/>
      <c r="X1242" s="469"/>
      <c r="Y1242" s="469"/>
      <c r="Z1242" s="469"/>
      <c r="AA1242" s="469"/>
      <c r="AB1242" s="469"/>
    </row>
    <row r="1243" ht="14.25" customHeight="1">
      <c r="A1243" s="464"/>
      <c r="B1243" s="481"/>
      <c r="C1243" s="466"/>
      <c r="D1243" s="484"/>
      <c r="E1243" s="466"/>
      <c r="F1243" s="485"/>
      <c r="G1243" s="485"/>
      <c r="H1243" s="485"/>
      <c r="I1243" s="331"/>
      <c r="J1243" s="469"/>
      <c r="K1243" s="469"/>
      <c r="L1243" s="469"/>
      <c r="M1243" s="469"/>
      <c r="N1243" s="469"/>
      <c r="O1243" s="469"/>
      <c r="P1243" s="469"/>
      <c r="Q1243" s="469"/>
      <c r="R1243" s="469"/>
      <c r="S1243" s="469"/>
      <c r="T1243" s="469"/>
      <c r="U1243" s="469"/>
      <c r="V1243" s="469"/>
      <c r="W1243" s="469"/>
      <c r="X1243" s="469"/>
      <c r="Y1243" s="469"/>
      <c r="Z1243" s="469"/>
      <c r="AA1243" s="469"/>
      <c r="AB1243" s="469"/>
    </row>
    <row r="1244" ht="14.25" customHeight="1">
      <c r="A1244" s="464"/>
      <c r="B1244" s="481"/>
      <c r="C1244" s="466"/>
      <c r="D1244" s="484"/>
      <c r="E1244" s="466"/>
      <c r="F1244" s="485"/>
      <c r="G1244" s="485"/>
      <c r="H1244" s="485"/>
      <c r="I1244" s="331"/>
      <c r="J1244" s="469"/>
      <c r="K1244" s="469"/>
      <c r="L1244" s="469"/>
      <c r="M1244" s="469"/>
      <c r="N1244" s="469"/>
      <c r="O1244" s="469"/>
      <c r="P1244" s="469"/>
      <c r="Q1244" s="469"/>
      <c r="R1244" s="469"/>
      <c r="S1244" s="469"/>
      <c r="T1244" s="469"/>
      <c r="U1244" s="469"/>
      <c r="V1244" s="469"/>
      <c r="W1244" s="469"/>
      <c r="X1244" s="469"/>
      <c r="Y1244" s="469"/>
      <c r="Z1244" s="469"/>
      <c r="AA1244" s="469"/>
      <c r="AB1244" s="469"/>
    </row>
    <row r="1245" ht="14.25" customHeight="1">
      <c r="A1245" s="464"/>
      <c r="B1245" s="481"/>
      <c r="C1245" s="466"/>
      <c r="D1245" s="484"/>
      <c r="E1245" s="466"/>
      <c r="F1245" s="485"/>
      <c r="G1245" s="485"/>
      <c r="H1245" s="485"/>
      <c r="I1245" s="331"/>
      <c r="J1245" s="469"/>
      <c r="K1245" s="469"/>
      <c r="L1245" s="469"/>
      <c r="M1245" s="469"/>
      <c r="N1245" s="469"/>
      <c r="O1245" s="469"/>
      <c r="P1245" s="469"/>
      <c r="Q1245" s="469"/>
      <c r="R1245" s="469"/>
      <c r="S1245" s="469"/>
      <c r="T1245" s="469"/>
      <c r="U1245" s="469"/>
      <c r="V1245" s="469"/>
      <c r="W1245" s="469"/>
      <c r="X1245" s="469"/>
      <c r="Y1245" s="469"/>
      <c r="Z1245" s="469"/>
      <c r="AA1245" s="469"/>
      <c r="AB1245" s="469"/>
    </row>
    <row r="1246" ht="14.25" customHeight="1">
      <c r="A1246" s="464"/>
      <c r="B1246" s="481"/>
      <c r="C1246" s="466"/>
      <c r="D1246" s="484"/>
      <c r="E1246" s="466"/>
      <c r="F1246" s="485"/>
      <c r="G1246" s="485"/>
      <c r="H1246" s="485"/>
      <c r="I1246" s="331"/>
      <c r="J1246" s="469"/>
      <c r="K1246" s="469"/>
      <c r="L1246" s="469"/>
      <c r="M1246" s="469"/>
      <c r="N1246" s="469"/>
      <c r="O1246" s="469"/>
      <c r="P1246" s="469"/>
      <c r="Q1246" s="469"/>
      <c r="R1246" s="469"/>
      <c r="S1246" s="469"/>
      <c r="T1246" s="469"/>
      <c r="U1246" s="469"/>
      <c r="V1246" s="469"/>
      <c r="W1246" s="469"/>
      <c r="X1246" s="469"/>
      <c r="Y1246" s="469"/>
      <c r="Z1246" s="469"/>
      <c r="AA1246" s="469"/>
      <c r="AB1246" s="469"/>
    </row>
    <row r="1247" ht="14.25" customHeight="1">
      <c r="A1247" s="464"/>
      <c r="B1247" s="481"/>
      <c r="C1247" s="466"/>
      <c r="D1247" s="484"/>
      <c r="E1247" s="466"/>
      <c r="F1247" s="485"/>
      <c r="G1247" s="485"/>
      <c r="H1247" s="485"/>
      <c r="I1247" s="331"/>
      <c r="J1247" s="469"/>
      <c r="K1247" s="469"/>
      <c r="L1247" s="469"/>
      <c r="M1247" s="469"/>
      <c r="N1247" s="469"/>
      <c r="O1247" s="469"/>
      <c r="P1247" s="469"/>
      <c r="Q1247" s="469"/>
      <c r="R1247" s="469"/>
      <c r="S1247" s="469"/>
      <c r="T1247" s="469"/>
      <c r="U1247" s="469"/>
      <c r="V1247" s="469"/>
      <c r="W1247" s="469"/>
      <c r="X1247" s="469"/>
      <c r="Y1247" s="469"/>
      <c r="Z1247" s="469"/>
      <c r="AA1247" s="469"/>
      <c r="AB1247" s="469"/>
    </row>
    <row r="1248" ht="14.25" customHeight="1">
      <c r="A1248" s="464"/>
      <c r="B1248" s="481"/>
      <c r="C1248" s="466"/>
      <c r="D1248" s="484"/>
      <c r="E1248" s="466"/>
      <c r="F1248" s="485"/>
      <c r="G1248" s="485"/>
      <c r="H1248" s="485"/>
      <c r="I1248" s="331"/>
      <c r="J1248" s="469"/>
      <c r="K1248" s="469"/>
      <c r="L1248" s="469"/>
      <c r="M1248" s="469"/>
      <c r="N1248" s="469"/>
      <c r="O1248" s="469"/>
      <c r="P1248" s="469"/>
      <c r="Q1248" s="469"/>
      <c r="R1248" s="469"/>
      <c r="S1248" s="469"/>
      <c r="T1248" s="469"/>
      <c r="U1248" s="469"/>
      <c r="V1248" s="469"/>
      <c r="W1248" s="469"/>
      <c r="X1248" s="469"/>
      <c r="Y1248" s="469"/>
      <c r="Z1248" s="469"/>
      <c r="AA1248" s="469"/>
      <c r="AB1248" s="469"/>
    </row>
    <row r="1249" ht="14.25" customHeight="1">
      <c r="A1249" s="464"/>
      <c r="B1249" s="481"/>
      <c r="C1249" s="466"/>
      <c r="D1249" s="484"/>
      <c r="E1249" s="466"/>
      <c r="F1249" s="485"/>
      <c r="G1249" s="485"/>
      <c r="H1249" s="485"/>
      <c r="I1249" s="331"/>
      <c r="J1249" s="469"/>
      <c r="K1249" s="469"/>
      <c r="L1249" s="469"/>
      <c r="M1249" s="469"/>
      <c r="N1249" s="469"/>
      <c r="O1249" s="469"/>
      <c r="P1249" s="469"/>
      <c r="Q1249" s="469"/>
      <c r="R1249" s="469"/>
      <c r="S1249" s="469"/>
      <c r="T1249" s="469"/>
      <c r="U1249" s="469"/>
      <c r="V1249" s="469"/>
      <c r="W1249" s="469"/>
      <c r="X1249" s="469"/>
      <c r="Y1249" s="469"/>
      <c r="Z1249" s="469"/>
      <c r="AA1249" s="469"/>
      <c r="AB1249" s="469"/>
    </row>
    <row r="1250" ht="14.25" customHeight="1">
      <c r="A1250" s="464"/>
      <c r="B1250" s="481"/>
      <c r="C1250" s="466"/>
      <c r="D1250" s="484"/>
      <c r="E1250" s="466"/>
      <c r="F1250" s="485"/>
      <c r="G1250" s="485"/>
      <c r="H1250" s="485"/>
      <c r="I1250" s="331"/>
      <c r="J1250" s="469"/>
      <c r="K1250" s="469"/>
      <c r="L1250" s="469"/>
      <c r="M1250" s="469"/>
      <c r="N1250" s="469"/>
      <c r="O1250" s="469"/>
      <c r="P1250" s="469"/>
      <c r="Q1250" s="469"/>
      <c r="R1250" s="469"/>
      <c r="S1250" s="469"/>
      <c r="T1250" s="469"/>
      <c r="U1250" s="469"/>
      <c r="V1250" s="469"/>
      <c r="W1250" s="469"/>
      <c r="X1250" s="469"/>
      <c r="Y1250" s="469"/>
      <c r="Z1250" s="469"/>
      <c r="AA1250" s="469"/>
      <c r="AB1250" s="469"/>
    </row>
    <row r="1251" ht="14.25" customHeight="1">
      <c r="A1251" s="464"/>
      <c r="B1251" s="481"/>
      <c r="C1251" s="466"/>
      <c r="D1251" s="484"/>
      <c r="E1251" s="466"/>
      <c r="F1251" s="485"/>
      <c r="G1251" s="485"/>
      <c r="H1251" s="485"/>
      <c r="I1251" s="331"/>
      <c r="J1251" s="469"/>
      <c r="K1251" s="469"/>
      <c r="L1251" s="469"/>
      <c r="M1251" s="469"/>
      <c r="N1251" s="469"/>
      <c r="O1251" s="469"/>
      <c r="P1251" s="469"/>
      <c r="Q1251" s="469"/>
      <c r="R1251" s="469"/>
      <c r="S1251" s="469"/>
      <c r="T1251" s="469"/>
      <c r="U1251" s="469"/>
      <c r="V1251" s="469"/>
      <c r="W1251" s="469"/>
      <c r="X1251" s="469"/>
      <c r="Y1251" s="469"/>
      <c r="Z1251" s="469"/>
      <c r="AA1251" s="469"/>
      <c r="AB1251" s="469"/>
    </row>
    <row r="1252" ht="14.25" customHeight="1">
      <c r="A1252" s="464"/>
      <c r="B1252" s="481"/>
      <c r="C1252" s="466"/>
      <c r="D1252" s="484"/>
      <c r="E1252" s="466"/>
      <c r="F1252" s="485"/>
      <c r="G1252" s="485"/>
      <c r="H1252" s="485"/>
      <c r="I1252" s="331"/>
      <c r="J1252" s="469"/>
      <c r="K1252" s="469"/>
      <c r="L1252" s="469"/>
      <c r="M1252" s="469"/>
      <c r="N1252" s="469"/>
      <c r="O1252" s="469"/>
      <c r="P1252" s="469"/>
      <c r="Q1252" s="469"/>
      <c r="R1252" s="469"/>
      <c r="S1252" s="469"/>
      <c r="T1252" s="469"/>
      <c r="U1252" s="469"/>
      <c r="V1252" s="469"/>
      <c r="W1252" s="469"/>
      <c r="X1252" s="469"/>
      <c r="Y1252" s="469"/>
      <c r="Z1252" s="469"/>
      <c r="AA1252" s="469"/>
      <c r="AB1252" s="469"/>
    </row>
    <row r="1253" ht="14.25" customHeight="1">
      <c r="A1253" s="464"/>
      <c r="B1253" s="481"/>
      <c r="C1253" s="466"/>
      <c r="D1253" s="484"/>
      <c r="E1253" s="466"/>
      <c r="F1253" s="485"/>
      <c r="G1253" s="485"/>
      <c r="H1253" s="485"/>
      <c r="I1253" s="331"/>
      <c r="J1253" s="469"/>
      <c r="K1253" s="469"/>
      <c r="L1253" s="469"/>
      <c r="M1253" s="469"/>
      <c r="N1253" s="469"/>
      <c r="O1253" s="469"/>
      <c r="P1253" s="469"/>
      <c r="Q1253" s="469"/>
      <c r="R1253" s="469"/>
      <c r="S1253" s="469"/>
      <c r="T1253" s="469"/>
      <c r="U1253" s="469"/>
      <c r="V1253" s="469"/>
      <c r="W1253" s="469"/>
      <c r="X1253" s="469"/>
      <c r="Y1253" s="469"/>
      <c r="Z1253" s="469"/>
      <c r="AA1253" s="469"/>
      <c r="AB1253" s="469"/>
    </row>
    <row r="1254" ht="14.25" customHeight="1">
      <c r="A1254" s="464"/>
      <c r="B1254" s="481"/>
      <c r="C1254" s="466"/>
      <c r="D1254" s="484"/>
      <c r="E1254" s="466"/>
      <c r="F1254" s="485"/>
      <c r="G1254" s="485"/>
      <c r="H1254" s="485"/>
      <c r="I1254" s="331"/>
      <c r="J1254" s="469"/>
      <c r="K1254" s="469"/>
      <c r="L1254" s="469"/>
      <c r="M1254" s="469"/>
      <c r="N1254" s="469"/>
      <c r="O1254" s="469"/>
      <c r="P1254" s="469"/>
      <c r="Q1254" s="469"/>
      <c r="R1254" s="469"/>
      <c r="S1254" s="469"/>
      <c r="T1254" s="469"/>
      <c r="U1254" s="469"/>
      <c r="V1254" s="469"/>
      <c r="W1254" s="469"/>
      <c r="X1254" s="469"/>
      <c r="Y1254" s="469"/>
      <c r="Z1254" s="469"/>
      <c r="AA1254" s="469"/>
      <c r="AB1254" s="469"/>
    </row>
    <row r="1255" ht="14.25" customHeight="1">
      <c r="A1255" s="464"/>
      <c r="B1255" s="481"/>
      <c r="C1255" s="466"/>
      <c r="D1255" s="484"/>
      <c r="E1255" s="466"/>
      <c r="F1255" s="485"/>
      <c r="G1255" s="485"/>
      <c r="H1255" s="485"/>
      <c r="I1255" s="331"/>
      <c r="J1255" s="469"/>
      <c r="K1255" s="469"/>
      <c r="L1255" s="469"/>
      <c r="M1255" s="469"/>
      <c r="N1255" s="469"/>
      <c r="O1255" s="469"/>
      <c r="P1255" s="469"/>
      <c r="Q1255" s="469"/>
      <c r="R1255" s="469"/>
      <c r="S1255" s="469"/>
      <c r="T1255" s="469"/>
      <c r="U1255" s="469"/>
      <c r="V1255" s="469"/>
      <c r="W1255" s="469"/>
      <c r="X1255" s="469"/>
      <c r="Y1255" s="469"/>
      <c r="Z1255" s="469"/>
      <c r="AA1255" s="469"/>
      <c r="AB1255" s="469"/>
    </row>
    <row r="1256" ht="14.25" customHeight="1">
      <c r="A1256" s="464"/>
      <c r="B1256" s="481"/>
      <c r="C1256" s="466"/>
      <c r="D1256" s="484"/>
      <c r="E1256" s="466"/>
      <c r="F1256" s="485"/>
      <c r="G1256" s="485"/>
      <c r="H1256" s="485"/>
      <c r="I1256" s="331"/>
      <c r="J1256" s="469"/>
      <c r="K1256" s="469"/>
      <c r="L1256" s="469"/>
      <c r="M1256" s="469"/>
      <c r="N1256" s="469"/>
      <c r="O1256" s="469"/>
      <c r="P1256" s="469"/>
      <c r="Q1256" s="469"/>
      <c r="R1256" s="469"/>
      <c r="S1256" s="469"/>
      <c r="T1256" s="469"/>
      <c r="U1256" s="469"/>
      <c r="V1256" s="469"/>
      <c r="W1256" s="469"/>
      <c r="X1256" s="469"/>
      <c r="Y1256" s="469"/>
      <c r="Z1256" s="469"/>
      <c r="AA1256" s="469"/>
      <c r="AB1256" s="469"/>
    </row>
    <row r="1257" ht="14.25" customHeight="1">
      <c r="A1257" s="464"/>
      <c r="B1257" s="481"/>
      <c r="C1257" s="466"/>
      <c r="D1257" s="484"/>
      <c r="E1257" s="466"/>
      <c r="F1257" s="485"/>
      <c r="G1257" s="485"/>
      <c r="H1257" s="485"/>
      <c r="I1257" s="331"/>
      <c r="J1257" s="469"/>
      <c r="K1257" s="469"/>
      <c r="L1257" s="469"/>
      <c r="M1257" s="469"/>
      <c r="N1257" s="469"/>
      <c r="O1257" s="469"/>
      <c r="P1257" s="469"/>
      <c r="Q1257" s="469"/>
      <c r="R1257" s="469"/>
      <c r="S1257" s="469"/>
      <c r="T1257" s="469"/>
      <c r="U1257" s="469"/>
      <c r="V1257" s="469"/>
      <c r="W1257" s="469"/>
      <c r="X1257" s="469"/>
      <c r="Y1257" s="469"/>
      <c r="Z1257" s="469"/>
      <c r="AA1257" s="469"/>
      <c r="AB1257" s="469"/>
    </row>
    <row r="1258" ht="14.25" customHeight="1">
      <c r="A1258" s="464"/>
      <c r="B1258" s="481"/>
      <c r="C1258" s="466"/>
      <c r="D1258" s="484"/>
      <c r="E1258" s="466"/>
      <c r="F1258" s="485"/>
      <c r="G1258" s="485"/>
      <c r="H1258" s="485"/>
      <c r="I1258" s="331"/>
      <c r="J1258" s="469"/>
      <c r="K1258" s="469"/>
      <c r="L1258" s="469"/>
      <c r="M1258" s="469"/>
      <c r="N1258" s="469"/>
      <c r="O1258" s="469"/>
      <c r="P1258" s="469"/>
      <c r="Q1258" s="469"/>
      <c r="R1258" s="469"/>
      <c r="S1258" s="469"/>
      <c r="T1258" s="469"/>
      <c r="U1258" s="469"/>
      <c r="V1258" s="469"/>
      <c r="W1258" s="469"/>
      <c r="X1258" s="469"/>
      <c r="Y1258" s="469"/>
      <c r="Z1258" s="469"/>
      <c r="AA1258" s="469"/>
      <c r="AB1258" s="469"/>
    </row>
    <row r="1259" ht="14.25" customHeight="1">
      <c r="A1259" s="464"/>
      <c r="B1259" s="481"/>
      <c r="C1259" s="466"/>
      <c r="D1259" s="484"/>
      <c r="E1259" s="466"/>
      <c r="F1259" s="485"/>
      <c r="G1259" s="485"/>
      <c r="H1259" s="485"/>
      <c r="I1259" s="331"/>
      <c r="J1259" s="469"/>
      <c r="K1259" s="469"/>
      <c r="L1259" s="469"/>
      <c r="M1259" s="469"/>
      <c r="N1259" s="469"/>
      <c r="O1259" s="469"/>
      <c r="P1259" s="469"/>
      <c r="Q1259" s="469"/>
      <c r="R1259" s="469"/>
      <c r="S1259" s="469"/>
      <c r="T1259" s="469"/>
      <c r="U1259" s="469"/>
      <c r="V1259" s="469"/>
      <c r="W1259" s="469"/>
      <c r="X1259" s="469"/>
      <c r="Y1259" s="469"/>
      <c r="Z1259" s="469"/>
      <c r="AA1259" s="469"/>
      <c r="AB1259" s="469"/>
    </row>
    <row r="1260" ht="14.25" customHeight="1">
      <c r="A1260" s="464"/>
      <c r="B1260" s="481"/>
      <c r="C1260" s="466"/>
      <c r="D1260" s="484"/>
      <c r="E1260" s="466"/>
      <c r="F1260" s="485"/>
      <c r="G1260" s="485"/>
      <c r="H1260" s="485"/>
      <c r="I1260" s="331"/>
      <c r="J1260" s="469"/>
      <c r="K1260" s="469"/>
      <c r="L1260" s="469"/>
      <c r="M1260" s="469"/>
      <c r="N1260" s="469"/>
      <c r="O1260" s="469"/>
      <c r="P1260" s="469"/>
      <c r="Q1260" s="469"/>
      <c r="R1260" s="469"/>
      <c r="S1260" s="469"/>
      <c r="T1260" s="469"/>
      <c r="U1260" s="469"/>
      <c r="V1260" s="469"/>
      <c r="W1260" s="469"/>
      <c r="X1260" s="469"/>
      <c r="Y1260" s="469"/>
      <c r="Z1260" s="469"/>
      <c r="AA1260" s="469"/>
      <c r="AB1260" s="469"/>
    </row>
    <row r="1261" ht="14.25" customHeight="1">
      <c r="A1261" s="464"/>
      <c r="B1261" s="481"/>
      <c r="C1261" s="466"/>
      <c r="D1261" s="484"/>
      <c r="E1261" s="466"/>
      <c r="F1261" s="485"/>
      <c r="G1261" s="485"/>
      <c r="H1261" s="485"/>
      <c r="I1261" s="331"/>
      <c r="J1261" s="469"/>
      <c r="K1261" s="469"/>
      <c r="L1261" s="469"/>
      <c r="M1261" s="469"/>
      <c r="N1261" s="469"/>
      <c r="O1261" s="469"/>
      <c r="P1261" s="469"/>
      <c r="Q1261" s="469"/>
      <c r="R1261" s="469"/>
      <c r="S1261" s="469"/>
      <c r="T1261" s="469"/>
      <c r="U1261" s="469"/>
      <c r="V1261" s="469"/>
      <c r="W1261" s="469"/>
      <c r="X1261" s="469"/>
      <c r="Y1261" s="469"/>
      <c r="Z1261" s="469"/>
      <c r="AA1261" s="469"/>
      <c r="AB1261" s="469"/>
    </row>
    <row r="1262" ht="14.25" customHeight="1">
      <c r="A1262" s="464"/>
      <c r="B1262" s="481"/>
      <c r="C1262" s="466"/>
      <c r="D1262" s="484"/>
      <c r="E1262" s="466"/>
      <c r="F1262" s="485"/>
      <c r="G1262" s="485"/>
      <c r="H1262" s="485"/>
      <c r="I1262" s="331"/>
      <c r="J1262" s="469"/>
      <c r="K1262" s="469"/>
      <c r="L1262" s="469"/>
      <c r="M1262" s="469"/>
      <c r="N1262" s="469"/>
      <c r="O1262" s="469"/>
      <c r="P1262" s="469"/>
      <c r="Q1262" s="469"/>
      <c r="R1262" s="469"/>
      <c r="S1262" s="469"/>
      <c r="T1262" s="469"/>
      <c r="U1262" s="469"/>
      <c r="V1262" s="469"/>
      <c r="W1262" s="469"/>
      <c r="X1262" s="469"/>
      <c r="Y1262" s="469"/>
      <c r="Z1262" s="469"/>
      <c r="AA1262" s="469"/>
      <c r="AB1262" s="469"/>
    </row>
    <row r="1263" ht="14.25" customHeight="1">
      <c r="A1263" s="464"/>
      <c r="B1263" s="481"/>
      <c r="C1263" s="466"/>
      <c r="D1263" s="484"/>
      <c r="E1263" s="466"/>
      <c r="F1263" s="485"/>
      <c r="G1263" s="485"/>
      <c r="H1263" s="485"/>
      <c r="I1263" s="331"/>
      <c r="J1263" s="469"/>
      <c r="K1263" s="469"/>
      <c r="L1263" s="469"/>
      <c r="M1263" s="469"/>
      <c r="N1263" s="469"/>
      <c r="O1263" s="469"/>
      <c r="P1263" s="469"/>
      <c r="Q1263" s="469"/>
      <c r="R1263" s="469"/>
      <c r="S1263" s="469"/>
      <c r="T1263" s="469"/>
      <c r="U1263" s="469"/>
      <c r="V1263" s="469"/>
      <c r="W1263" s="469"/>
      <c r="X1263" s="469"/>
      <c r="Y1263" s="469"/>
      <c r="Z1263" s="469"/>
      <c r="AA1263" s="469"/>
      <c r="AB1263" s="469"/>
    </row>
    <row r="1264" ht="14.25" customHeight="1">
      <c r="A1264" s="464"/>
      <c r="B1264" s="481"/>
      <c r="C1264" s="466"/>
      <c r="D1264" s="484"/>
      <c r="E1264" s="466"/>
      <c r="F1264" s="485"/>
      <c r="G1264" s="485"/>
      <c r="H1264" s="485"/>
      <c r="I1264" s="331"/>
      <c r="J1264" s="469"/>
      <c r="K1264" s="469"/>
      <c r="L1264" s="469"/>
      <c r="M1264" s="469"/>
      <c r="N1264" s="469"/>
      <c r="O1264" s="469"/>
      <c r="P1264" s="469"/>
      <c r="Q1264" s="469"/>
      <c r="R1264" s="469"/>
      <c r="S1264" s="469"/>
      <c r="T1264" s="469"/>
      <c r="U1264" s="469"/>
      <c r="V1264" s="469"/>
      <c r="W1264" s="469"/>
      <c r="X1264" s="469"/>
      <c r="Y1264" s="469"/>
      <c r="Z1264" s="469"/>
      <c r="AA1264" s="469"/>
      <c r="AB1264" s="469"/>
    </row>
    <row r="1265" ht="14.25" customHeight="1">
      <c r="A1265" s="464"/>
      <c r="B1265" s="481"/>
      <c r="C1265" s="466"/>
      <c r="D1265" s="484"/>
      <c r="E1265" s="466"/>
      <c r="F1265" s="485"/>
      <c r="G1265" s="485"/>
      <c r="H1265" s="485"/>
      <c r="I1265" s="331"/>
      <c r="J1265" s="469"/>
      <c r="K1265" s="469"/>
      <c r="L1265" s="469"/>
      <c r="M1265" s="469"/>
      <c r="N1265" s="469"/>
      <c r="O1265" s="469"/>
      <c r="P1265" s="469"/>
      <c r="Q1265" s="469"/>
      <c r="R1265" s="469"/>
      <c r="S1265" s="469"/>
      <c r="T1265" s="469"/>
      <c r="U1265" s="469"/>
      <c r="V1265" s="469"/>
      <c r="W1265" s="469"/>
      <c r="X1265" s="469"/>
      <c r="Y1265" s="469"/>
      <c r="Z1265" s="469"/>
      <c r="AA1265" s="469"/>
      <c r="AB1265" s="469"/>
    </row>
    <row r="1266" ht="14.25" customHeight="1">
      <c r="A1266" s="464"/>
      <c r="B1266" s="481"/>
      <c r="C1266" s="466"/>
      <c r="D1266" s="484"/>
      <c r="E1266" s="466"/>
      <c r="F1266" s="485"/>
      <c r="G1266" s="485"/>
      <c r="H1266" s="485"/>
      <c r="I1266" s="331"/>
      <c r="J1266" s="469"/>
      <c r="K1266" s="469"/>
      <c r="L1266" s="469"/>
      <c r="M1266" s="469"/>
      <c r="N1266" s="469"/>
      <c r="O1266" s="469"/>
      <c r="P1266" s="469"/>
      <c r="Q1266" s="469"/>
      <c r="R1266" s="469"/>
      <c r="S1266" s="469"/>
      <c r="T1266" s="469"/>
      <c r="U1266" s="469"/>
      <c r="V1266" s="469"/>
      <c r="W1266" s="469"/>
      <c r="X1266" s="469"/>
      <c r="Y1266" s="469"/>
      <c r="Z1266" s="469"/>
      <c r="AA1266" s="469"/>
      <c r="AB1266" s="469"/>
    </row>
    <row r="1267" ht="14.25" customHeight="1">
      <c r="A1267" s="464"/>
      <c r="B1267" s="481"/>
      <c r="C1267" s="466"/>
      <c r="D1267" s="484"/>
      <c r="E1267" s="466"/>
      <c r="F1267" s="485"/>
      <c r="G1267" s="485"/>
      <c r="H1267" s="485"/>
      <c r="I1267" s="331"/>
      <c r="J1267" s="469"/>
      <c r="K1267" s="469"/>
      <c r="L1267" s="469"/>
      <c r="M1267" s="469"/>
      <c r="N1267" s="469"/>
      <c r="O1267" s="469"/>
      <c r="P1267" s="469"/>
      <c r="Q1267" s="469"/>
      <c r="R1267" s="469"/>
      <c r="S1267" s="469"/>
      <c r="T1267" s="469"/>
      <c r="U1267" s="469"/>
      <c r="V1267" s="469"/>
      <c r="W1267" s="469"/>
      <c r="X1267" s="469"/>
      <c r="Y1267" s="469"/>
      <c r="Z1267" s="469"/>
      <c r="AA1267" s="469"/>
      <c r="AB1267" s="469"/>
    </row>
    <row r="1268" ht="14.25" customHeight="1">
      <c r="A1268" s="464"/>
      <c r="B1268" s="481"/>
      <c r="C1268" s="466"/>
      <c r="D1268" s="484"/>
      <c r="E1268" s="466"/>
      <c r="F1268" s="485"/>
      <c r="G1268" s="485"/>
      <c r="H1268" s="485"/>
      <c r="I1268" s="331"/>
      <c r="J1268" s="469"/>
      <c r="K1268" s="469"/>
      <c r="L1268" s="469"/>
      <c r="M1268" s="469"/>
      <c r="N1268" s="469"/>
      <c r="O1268" s="469"/>
      <c r="P1268" s="469"/>
      <c r="Q1268" s="469"/>
      <c r="R1268" s="469"/>
      <c r="S1268" s="469"/>
      <c r="T1268" s="469"/>
      <c r="U1268" s="469"/>
      <c r="V1268" s="469"/>
      <c r="W1268" s="469"/>
      <c r="X1268" s="469"/>
      <c r="Y1268" s="469"/>
      <c r="Z1268" s="469"/>
      <c r="AA1268" s="469"/>
      <c r="AB1268" s="469"/>
    </row>
    <row r="1269" ht="14.25" customHeight="1">
      <c r="A1269" s="464"/>
      <c r="B1269" s="481"/>
      <c r="C1269" s="466"/>
      <c r="D1269" s="484"/>
      <c r="E1269" s="466"/>
      <c r="F1269" s="485"/>
      <c r="G1269" s="485"/>
      <c r="H1269" s="485"/>
      <c r="I1269" s="331"/>
      <c r="J1269" s="469"/>
      <c r="K1269" s="469"/>
      <c r="L1269" s="469"/>
      <c r="M1269" s="469"/>
      <c r="N1269" s="469"/>
      <c r="O1269" s="469"/>
      <c r="P1269" s="469"/>
      <c r="Q1269" s="469"/>
      <c r="R1269" s="469"/>
      <c r="S1269" s="469"/>
      <c r="T1269" s="469"/>
      <c r="U1269" s="469"/>
      <c r="V1269" s="469"/>
      <c r="W1269" s="469"/>
      <c r="X1269" s="469"/>
      <c r="Y1269" s="469"/>
      <c r="Z1269" s="469"/>
      <c r="AA1269" s="469"/>
      <c r="AB1269" s="469"/>
    </row>
    <row r="1270" ht="14.25" customHeight="1">
      <c r="A1270" s="464"/>
      <c r="B1270" s="481"/>
      <c r="C1270" s="466"/>
      <c r="D1270" s="484"/>
      <c r="E1270" s="466"/>
      <c r="F1270" s="485"/>
      <c r="G1270" s="485"/>
      <c r="H1270" s="485"/>
      <c r="I1270" s="331"/>
      <c r="J1270" s="469"/>
      <c r="K1270" s="469"/>
      <c r="L1270" s="469"/>
      <c r="M1270" s="469"/>
      <c r="N1270" s="469"/>
      <c r="O1270" s="469"/>
      <c r="P1270" s="469"/>
      <c r="Q1270" s="469"/>
      <c r="R1270" s="469"/>
      <c r="S1270" s="469"/>
      <c r="T1270" s="469"/>
      <c r="U1270" s="469"/>
      <c r="V1270" s="469"/>
      <c r="W1270" s="469"/>
      <c r="X1270" s="469"/>
      <c r="Y1270" s="469"/>
      <c r="Z1270" s="469"/>
      <c r="AA1270" s="469"/>
      <c r="AB1270" s="469"/>
    </row>
    <row r="1271" ht="14.25" customHeight="1">
      <c r="A1271" s="464"/>
      <c r="B1271" s="481"/>
      <c r="C1271" s="466"/>
      <c r="D1271" s="484"/>
      <c r="E1271" s="466"/>
      <c r="F1271" s="485"/>
      <c r="G1271" s="485"/>
      <c r="H1271" s="485"/>
      <c r="I1271" s="331"/>
      <c r="J1271" s="469"/>
      <c r="K1271" s="469"/>
      <c r="L1271" s="469"/>
      <c r="M1271" s="469"/>
      <c r="N1271" s="469"/>
      <c r="O1271" s="469"/>
      <c r="P1271" s="469"/>
      <c r="Q1271" s="469"/>
      <c r="R1271" s="469"/>
      <c r="S1271" s="469"/>
      <c r="T1271" s="469"/>
      <c r="U1271" s="469"/>
      <c r="V1271" s="469"/>
      <c r="W1271" s="469"/>
      <c r="X1271" s="469"/>
      <c r="Y1271" s="469"/>
      <c r="Z1271" s="469"/>
      <c r="AA1271" s="469"/>
      <c r="AB1271" s="469"/>
    </row>
    <row r="1272" ht="14.25" customHeight="1">
      <c r="A1272" s="464"/>
      <c r="B1272" s="481"/>
      <c r="C1272" s="466"/>
      <c r="D1272" s="484"/>
      <c r="E1272" s="466"/>
      <c r="F1272" s="485"/>
      <c r="G1272" s="485"/>
      <c r="H1272" s="485"/>
      <c r="I1272" s="331"/>
      <c r="J1272" s="469"/>
      <c r="K1272" s="469"/>
      <c r="L1272" s="469"/>
      <c r="M1272" s="469"/>
      <c r="N1272" s="469"/>
      <c r="O1272" s="469"/>
      <c r="P1272" s="469"/>
      <c r="Q1272" s="469"/>
      <c r="R1272" s="469"/>
      <c r="S1272" s="469"/>
      <c r="T1272" s="469"/>
      <c r="U1272" s="469"/>
      <c r="V1272" s="469"/>
      <c r="W1272" s="469"/>
      <c r="X1272" s="469"/>
      <c r="Y1272" s="469"/>
      <c r="Z1272" s="469"/>
      <c r="AA1272" s="469"/>
      <c r="AB1272" s="469"/>
    </row>
    <row r="1273" ht="14.25" customHeight="1">
      <c r="A1273" s="464"/>
      <c r="B1273" s="481"/>
      <c r="C1273" s="466"/>
      <c r="D1273" s="484"/>
      <c r="E1273" s="466"/>
      <c r="F1273" s="485"/>
      <c r="G1273" s="485"/>
      <c r="H1273" s="485"/>
      <c r="I1273" s="331"/>
      <c r="J1273" s="469"/>
      <c r="K1273" s="469"/>
      <c r="L1273" s="469"/>
      <c r="M1273" s="469"/>
      <c r="N1273" s="469"/>
      <c r="O1273" s="469"/>
      <c r="P1273" s="469"/>
      <c r="Q1273" s="469"/>
      <c r="R1273" s="469"/>
      <c r="S1273" s="469"/>
      <c r="T1273" s="469"/>
      <c r="U1273" s="469"/>
      <c r="V1273" s="469"/>
      <c r="W1273" s="469"/>
      <c r="X1273" s="469"/>
      <c r="Y1273" s="469"/>
      <c r="Z1273" s="469"/>
      <c r="AA1273" s="469"/>
      <c r="AB1273" s="469"/>
    </row>
    <row r="1274" ht="14.25" customHeight="1">
      <c r="A1274" s="464"/>
      <c r="B1274" s="481"/>
      <c r="C1274" s="466"/>
      <c r="D1274" s="484"/>
      <c r="E1274" s="466"/>
      <c r="F1274" s="485"/>
      <c r="G1274" s="485"/>
      <c r="H1274" s="485"/>
      <c r="I1274" s="331"/>
      <c r="J1274" s="469"/>
      <c r="K1274" s="469"/>
      <c r="L1274" s="469"/>
      <c r="M1274" s="469"/>
      <c r="N1274" s="469"/>
      <c r="O1274" s="469"/>
      <c r="P1274" s="469"/>
      <c r="Q1274" s="469"/>
      <c r="R1274" s="469"/>
      <c r="S1274" s="469"/>
      <c r="T1274" s="469"/>
      <c r="U1274" s="469"/>
      <c r="V1274" s="469"/>
      <c r="W1274" s="469"/>
      <c r="X1274" s="469"/>
      <c r="Y1274" s="469"/>
      <c r="Z1274" s="469"/>
      <c r="AA1274" s="469"/>
      <c r="AB1274" s="469"/>
    </row>
    <row r="1275" ht="14.25" customHeight="1">
      <c r="A1275" s="464"/>
      <c r="B1275" s="481"/>
      <c r="C1275" s="466"/>
      <c r="D1275" s="484"/>
      <c r="E1275" s="466"/>
      <c r="F1275" s="485"/>
      <c r="G1275" s="485"/>
      <c r="H1275" s="485"/>
      <c r="I1275" s="331"/>
      <c r="J1275" s="469"/>
      <c r="K1275" s="469"/>
      <c r="L1275" s="469"/>
      <c r="M1275" s="469"/>
      <c r="N1275" s="469"/>
      <c r="O1275" s="469"/>
      <c r="P1275" s="469"/>
      <c r="Q1275" s="469"/>
      <c r="R1275" s="469"/>
      <c r="S1275" s="469"/>
      <c r="T1275" s="469"/>
      <c r="U1275" s="469"/>
      <c r="V1275" s="469"/>
      <c r="W1275" s="469"/>
      <c r="X1275" s="469"/>
      <c r="Y1275" s="469"/>
      <c r="Z1275" s="469"/>
      <c r="AA1275" s="469"/>
      <c r="AB1275" s="469"/>
    </row>
    <row r="1276" ht="14.25" customHeight="1">
      <c r="A1276" s="464"/>
      <c r="B1276" s="481"/>
      <c r="C1276" s="466"/>
      <c r="D1276" s="484"/>
      <c r="E1276" s="466"/>
      <c r="F1276" s="485"/>
      <c r="G1276" s="485"/>
      <c r="H1276" s="485"/>
      <c r="I1276" s="331"/>
      <c r="J1276" s="469"/>
      <c r="K1276" s="469"/>
      <c r="L1276" s="469"/>
      <c r="M1276" s="469"/>
      <c r="N1276" s="469"/>
      <c r="O1276" s="469"/>
      <c r="P1276" s="469"/>
      <c r="Q1276" s="469"/>
      <c r="R1276" s="469"/>
      <c r="S1276" s="469"/>
      <c r="T1276" s="469"/>
      <c r="U1276" s="469"/>
      <c r="V1276" s="469"/>
      <c r="W1276" s="469"/>
      <c r="X1276" s="469"/>
      <c r="Y1276" s="469"/>
      <c r="Z1276" s="469"/>
      <c r="AA1276" s="469"/>
      <c r="AB1276" s="469"/>
    </row>
    <row r="1277" ht="14.25" customHeight="1">
      <c r="A1277" s="464"/>
      <c r="B1277" s="481"/>
      <c r="C1277" s="466"/>
      <c r="D1277" s="484"/>
      <c r="E1277" s="466"/>
      <c r="F1277" s="485"/>
      <c r="G1277" s="485"/>
      <c r="H1277" s="485"/>
      <c r="I1277" s="331"/>
      <c r="J1277" s="469"/>
      <c r="K1277" s="469"/>
      <c r="L1277" s="469"/>
      <c r="M1277" s="469"/>
      <c r="N1277" s="469"/>
      <c r="O1277" s="469"/>
      <c r="P1277" s="469"/>
      <c r="Q1277" s="469"/>
      <c r="R1277" s="469"/>
      <c r="S1277" s="469"/>
      <c r="T1277" s="469"/>
      <c r="U1277" s="469"/>
      <c r="V1277" s="469"/>
      <c r="W1277" s="469"/>
      <c r="X1277" s="469"/>
      <c r="Y1277" s="469"/>
      <c r="Z1277" s="469"/>
      <c r="AA1277" s="469"/>
      <c r="AB1277" s="469"/>
    </row>
    <row r="1278" ht="14.25" customHeight="1">
      <c r="A1278" s="464"/>
      <c r="B1278" s="481"/>
      <c r="C1278" s="466"/>
      <c r="D1278" s="484"/>
      <c r="E1278" s="466"/>
      <c r="F1278" s="485"/>
      <c r="G1278" s="485"/>
      <c r="H1278" s="485"/>
      <c r="I1278" s="331"/>
      <c r="J1278" s="469"/>
      <c r="K1278" s="469"/>
      <c r="L1278" s="469"/>
      <c r="M1278" s="469"/>
      <c r="N1278" s="469"/>
      <c r="O1278" s="469"/>
      <c r="P1278" s="469"/>
      <c r="Q1278" s="469"/>
      <c r="R1278" s="469"/>
      <c r="S1278" s="469"/>
      <c r="T1278" s="469"/>
      <c r="U1278" s="469"/>
      <c r="V1278" s="469"/>
      <c r="W1278" s="469"/>
      <c r="X1278" s="469"/>
      <c r="Y1278" s="469"/>
      <c r="Z1278" s="469"/>
      <c r="AA1278" s="469"/>
      <c r="AB1278" s="469"/>
    </row>
    <row r="1279" ht="14.25" customHeight="1">
      <c r="A1279" s="464"/>
      <c r="B1279" s="481"/>
      <c r="C1279" s="466"/>
      <c r="D1279" s="484"/>
      <c r="E1279" s="466"/>
      <c r="F1279" s="485"/>
      <c r="G1279" s="485"/>
      <c r="H1279" s="485"/>
      <c r="I1279" s="331"/>
      <c r="J1279" s="469"/>
      <c r="K1279" s="469"/>
      <c r="L1279" s="469"/>
      <c r="M1279" s="469"/>
      <c r="N1279" s="469"/>
      <c r="O1279" s="469"/>
      <c r="P1279" s="469"/>
      <c r="Q1279" s="469"/>
      <c r="R1279" s="469"/>
      <c r="S1279" s="469"/>
      <c r="T1279" s="469"/>
      <c r="U1279" s="469"/>
      <c r="V1279" s="469"/>
      <c r="W1279" s="469"/>
      <c r="X1279" s="469"/>
      <c r="Y1279" s="469"/>
      <c r="Z1279" s="469"/>
      <c r="AA1279" s="469"/>
      <c r="AB1279" s="469"/>
    </row>
    <row r="1280" ht="14.25" customHeight="1">
      <c r="A1280" s="464"/>
      <c r="B1280" s="481"/>
      <c r="C1280" s="466"/>
      <c r="D1280" s="484"/>
      <c r="E1280" s="466"/>
      <c r="F1280" s="485"/>
      <c r="G1280" s="485"/>
      <c r="H1280" s="485"/>
      <c r="I1280" s="331"/>
      <c r="J1280" s="469"/>
      <c r="K1280" s="469"/>
      <c r="L1280" s="469"/>
      <c r="M1280" s="469"/>
      <c r="N1280" s="469"/>
      <c r="O1280" s="469"/>
      <c r="P1280" s="469"/>
      <c r="Q1280" s="469"/>
      <c r="R1280" s="469"/>
      <c r="S1280" s="469"/>
      <c r="T1280" s="469"/>
      <c r="U1280" s="469"/>
      <c r="V1280" s="469"/>
      <c r="W1280" s="469"/>
      <c r="X1280" s="469"/>
      <c r="Y1280" s="469"/>
      <c r="Z1280" s="469"/>
      <c r="AA1280" s="469"/>
      <c r="AB1280" s="469"/>
    </row>
    <row r="1281" ht="14.25" customHeight="1">
      <c r="A1281" s="464"/>
      <c r="B1281" s="481"/>
      <c r="C1281" s="466"/>
      <c r="D1281" s="484"/>
      <c r="E1281" s="466"/>
      <c r="F1281" s="485"/>
      <c r="G1281" s="485"/>
      <c r="H1281" s="485"/>
      <c r="I1281" s="331"/>
      <c r="J1281" s="469"/>
      <c r="K1281" s="469"/>
      <c r="L1281" s="469"/>
      <c r="M1281" s="469"/>
      <c r="N1281" s="469"/>
      <c r="O1281" s="469"/>
      <c r="P1281" s="469"/>
      <c r="Q1281" s="469"/>
      <c r="R1281" s="469"/>
      <c r="S1281" s="469"/>
      <c r="T1281" s="469"/>
      <c r="U1281" s="469"/>
      <c r="V1281" s="469"/>
      <c r="W1281" s="469"/>
      <c r="X1281" s="469"/>
      <c r="Y1281" s="469"/>
      <c r="Z1281" s="469"/>
      <c r="AA1281" s="469"/>
      <c r="AB1281" s="469"/>
    </row>
    <row r="1282" ht="14.25" customHeight="1">
      <c r="A1282" s="464"/>
      <c r="B1282" s="481"/>
      <c r="C1282" s="466"/>
      <c r="D1282" s="484"/>
      <c r="E1282" s="466"/>
      <c r="F1282" s="485"/>
      <c r="G1282" s="485"/>
      <c r="H1282" s="485"/>
      <c r="I1282" s="331"/>
      <c r="J1282" s="469"/>
      <c r="K1282" s="469"/>
      <c r="L1282" s="469"/>
      <c r="M1282" s="469"/>
      <c r="N1282" s="469"/>
      <c r="O1282" s="469"/>
      <c r="P1282" s="469"/>
      <c r="Q1282" s="469"/>
      <c r="R1282" s="469"/>
      <c r="S1282" s="469"/>
      <c r="T1282" s="469"/>
      <c r="U1282" s="469"/>
      <c r="V1282" s="469"/>
      <c r="W1282" s="469"/>
      <c r="X1282" s="469"/>
      <c r="Y1282" s="469"/>
      <c r="Z1282" s="469"/>
      <c r="AA1282" s="469"/>
      <c r="AB1282" s="469"/>
    </row>
    <row r="1283" ht="14.25" customHeight="1">
      <c r="A1283" s="464"/>
      <c r="B1283" s="481"/>
      <c r="C1283" s="466"/>
      <c r="D1283" s="484"/>
      <c r="E1283" s="466"/>
      <c r="F1283" s="485"/>
      <c r="G1283" s="485"/>
      <c r="H1283" s="485"/>
      <c r="I1283" s="331"/>
      <c r="J1283" s="469"/>
      <c r="K1283" s="469"/>
      <c r="L1283" s="469"/>
      <c r="M1283" s="469"/>
      <c r="N1283" s="469"/>
      <c r="O1283" s="469"/>
      <c r="P1283" s="469"/>
      <c r="Q1283" s="469"/>
      <c r="R1283" s="469"/>
      <c r="S1283" s="469"/>
      <c r="T1283" s="469"/>
      <c r="U1283" s="469"/>
      <c r="V1283" s="469"/>
      <c r="W1283" s="469"/>
      <c r="X1283" s="469"/>
      <c r="Y1283" s="469"/>
      <c r="Z1283" s="469"/>
      <c r="AA1283" s="469"/>
      <c r="AB1283" s="469"/>
    </row>
    <row r="1284" ht="14.25" customHeight="1">
      <c r="A1284" s="464"/>
      <c r="B1284" s="481"/>
      <c r="C1284" s="466"/>
      <c r="D1284" s="484"/>
      <c r="E1284" s="466"/>
      <c r="F1284" s="485"/>
      <c r="G1284" s="485"/>
      <c r="H1284" s="485"/>
      <c r="I1284" s="331"/>
      <c r="J1284" s="469"/>
      <c r="K1284" s="469"/>
      <c r="L1284" s="469"/>
      <c r="M1284" s="469"/>
      <c r="N1284" s="469"/>
      <c r="O1284" s="469"/>
      <c r="P1284" s="469"/>
      <c r="Q1284" s="469"/>
      <c r="R1284" s="469"/>
      <c r="S1284" s="469"/>
      <c r="T1284" s="469"/>
      <c r="U1284" s="469"/>
      <c r="V1284" s="469"/>
      <c r="W1284" s="469"/>
      <c r="X1284" s="469"/>
      <c r="Y1284" s="469"/>
      <c r="Z1284" s="469"/>
      <c r="AA1284" s="469"/>
      <c r="AB1284" s="469"/>
    </row>
    <row r="1285" ht="14.25" customHeight="1">
      <c r="A1285" s="464"/>
      <c r="B1285" s="481"/>
      <c r="C1285" s="466"/>
      <c r="D1285" s="484"/>
      <c r="E1285" s="466"/>
      <c r="F1285" s="485"/>
      <c r="G1285" s="485"/>
      <c r="H1285" s="485"/>
      <c r="I1285" s="331"/>
      <c r="J1285" s="469"/>
      <c r="K1285" s="469"/>
      <c r="L1285" s="469"/>
      <c r="M1285" s="469"/>
      <c r="N1285" s="469"/>
      <c r="O1285" s="469"/>
      <c r="P1285" s="469"/>
      <c r="Q1285" s="469"/>
      <c r="R1285" s="469"/>
      <c r="S1285" s="469"/>
      <c r="T1285" s="469"/>
      <c r="U1285" s="469"/>
      <c r="V1285" s="469"/>
      <c r="W1285" s="469"/>
      <c r="X1285" s="469"/>
      <c r="Y1285" s="469"/>
      <c r="Z1285" s="469"/>
      <c r="AA1285" s="469"/>
      <c r="AB1285" s="469"/>
    </row>
    <row r="1286" ht="14.25" customHeight="1">
      <c r="A1286" s="464"/>
      <c r="B1286" s="481"/>
      <c r="C1286" s="466"/>
      <c r="D1286" s="484"/>
      <c r="E1286" s="466"/>
      <c r="F1286" s="485"/>
      <c r="G1286" s="485"/>
      <c r="H1286" s="485"/>
      <c r="I1286" s="331"/>
      <c r="J1286" s="469"/>
      <c r="K1286" s="469"/>
      <c r="L1286" s="469"/>
      <c r="M1286" s="469"/>
      <c r="N1286" s="469"/>
      <c r="O1286" s="469"/>
      <c r="P1286" s="469"/>
      <c r="Q1286" s="469"/>
      <c r="R1286" s="469"/>
      <c r="S1286" s="469"/>
      <c r="T1286" s="469"/>
      <c r="U1286" s="469"/>
      <c r="V1286" s="469"/>
      <c r="W1286" s="469"/>
      <c r="X1286" s="469"/>
      <c r="Y1286" s="469"/>
      <c r="Z1286" s="469"/>
      <c r="AA1286" s="469"/>
      <c r="AB1286" s="469"/>
    </row>
    <row r="1287" ht="14.25" customHeight="1">
      <c r="A1287" s="464"/>
      <c r="B1287" s="481"/>
      <c r="C1287" s="466"/>
      <c r="D1287" s="484"/>
      <c r="E1287" s="466"/>
      <c r="F1287" s="485"/>
      <c r="G1287" s="485"/>
      <c r="H1287" s="485"/>
      <c r="I1287" s="331"/>
      <c r="J1287" s="469"/>
      <c r="K1287" s="469"/>
      <c r="L1287" s="469"/>
      <c r="M1287" s="469"/>
      <c r="N1287" s="469"/>
      <c r="O1287" s="469"/>
      <c r="P1287" s="469"/>
      <c r="Q1287" s="469"/>
      <c r="R1287" s="469"/>
      <c r="S1287" s="469"/>
      <c r="T1287" s="469"/>
      <c r="U1287" s="469"/>
      <c r="V1287" s="469"/>
      <c r="W1287" s="469"/>
      <c r="X1287" s="469"/>
      <c r="Y1287" s="469"/>
      <c r="Z1287" s="469"/>
      <c r="AA1287" s="469"/>
      <c r="AB1287" s="469"/>
    </row>
    <row r="1288" ht="14.25" customHeight="1">
      <c r="A1288" s="464"/>
      <c r="B1288" s="481"/>
      <c r="C1288" s="466"/>
      <c r="D1288" s="484"/>
      <c r="E1288" s="466"/>
      <c r="F1288" s="485"/>
      <c r="G1288" s="485"/>
      <c r="H1288" s="485"/>
      <c r="I1288" s="331"/>
      <c r="J1288" s="469"/>
      <c r="K1288" s="469"/>
      <c r="L1288" s="469"/>
      <c r="M1288" s="469"/>
      <c r="N1288" s="469"/>
      <c r="O1288" s="469"/>
      <c r="P1288" s="469"/>
      <c r="Q1288" s="469"/>
      <c r="R1288" s="469"/>
      <c r="S1288" s="469"/>
      <c r="T1288" s="469"/>
      <c r="U1288" s="469"/>
      <c r="V1288" s="469"/>
      <c r="W1288" s="469"/>
      <c r="X1288" s="469"/>
      <c r="Y1288" s="469"/>
      <c r="Z1288" s="469"/>
      <c r="AA1288" s="469"/>
      <c r="AB1288" s="469"/>
    </row>
    <row r="1289" ht="14.25" customHeight="1">
      <c r="A1289" s="464"/>
      <c r="B1289" s="481"/>
      <c r="C1289" s="466"/>
      <c r="D1289" s="484"/>
      <c r="E1289" s="466"/>
      <c r="F1289" s="485"/>
      <c r="G1289" s="485"/>
      <c r="H1289" s="485"/>
      <c r="I1289" s="331"/>
      <c r="J1289" s="469"/>
      <c r="K1289" s="469"/>
      <c r="L1289" s="469"/>
      <c r="M1289" s="469"/>
      <c r="N1289" s="469"/>
      <c r="O1289" s="469"/>
      <c r="P1289" s="469"/>
      <c r="Q1289" s="469"/>
      <c r="R1289" s="469"/>
      <c r="S1289" s="469"/>
      <c r="T1289" s="469"/>
      <c r="U1289" s="469"/>
      <c r="V1289" s="469"/>
      <c r="W1289" s="469"/>
      <c r="X1289" s="469"/>
      <c r="Y1289" s="469"/>
      <c r="Z1289" s="469"/>
      <c r="AA1289" s="469"/>
      <c r="AB1289" s="469"/>
    </row>
    <row r="1290" ht="14.25" customHeight="1">
      <c r="A1290" s="464"/>
      <c r="B1290" s="481"/>
      <c r="C1290" s="466"/>
      <c r="D1290" s="484"/>
      <c r="E1290" s="466"/>
      <c r="F1290" s="485"/>
      <c r="G1290" s="485"/>
      <c r="H1290" s="485"/>
      <c r="I1290" s="331"/>
      <c r="J1290" s="469"/>
      <c r="K1290" s="469"/>
      <c r="L1290" s="469"/>
      <c r="M1290" s="469"/>
      <c r="N1290" s="469"/>
      <c r="O1290" s="469"/>
      <c r="P1290" s="469"/>
      <c r="Q1290" s="469"/>
      <c r="R1290" s="469"/>
      <c r="S1290" s="469"/>
      <c r="T1290" s="469"/>
      <c r="U1290" s="469"/>
      <c r="V1290" s="469"/>
      <c r="W1290" s="469"/>
      <c r="X1290" s="469"/>
      <c r="Y1290" s="469"/>
      <c r="Z1290" s="469"/>
      <c r="AA1290" s="469"/>
      <c r="AB1290" s="469"/>
    </row>
    <row r="1291" ht="14.25" customHeight="1">
      <c r="A1291" s="464"/>
      <c r="B1291" s="481"/>
      <c r="C1291" s="466"/>
      <c r="D1291" s="484"/>
      <c r="E1291" s="466"/>
      <c r="F1291" s="485"/>
      <c r="G1291" s="485"/>
      <c r="H1291" s="485"/>
      <c r="I1291" s="331"/>
      <c r="J1291" s="469"/>
      <c r="K1291" s="469"/>
      <c r="L1291" s="469"/>
      <c r="M1291" s="469"/>
      <c r="N1291" s="469"/>
      <c r="O1291" s="469"/>
      <c r="P1291" s="469"/>
      <c r="Q1291" s="469"/>
      <c r="R1291" s="469"/>
      <c r="S1291" s="469"/>
      <c r="T1291" s="469"/>
      <c r="U1291" s="469"/>
      <c r="V1291" s="469"/>
      <c r="W1291" s="469"/>
      <c r="X1291" s="469"/>
      <c r="Y1291" s="469"/>
      <c r="Z1291" s="469"/>
      <c r="AA1291" s="469"/>
      <c r="AB1291" s="469"/>
    </row>
    <row r="1292" ht="14.25" customHeight="1">
      <c r="A1292" s="464"/>
      <c r="B1292" s="481"/>
      <c r="C1292" s="466"/>
      <c r="D1292" s="484"/>
      <c r="E1292" s="466"/>
      <c r="F1292" s="485"/>
      <c r="G1292" s="485"/>
      <c r="H1292" s="485"/>
      <c r="I1292" s="331"/>
      <c r="J1292" s="469"/>
      <c r="K1292" s="469"/>
      <c r="L1292" s="469"/>
      <c r="M1292" s="469"/>
      <c r="N1292" s="469"/>
      <c r="O1292" s="469"/>
      <c r="P1292" s="469"/>
      <c r="Q1292" s="469"/>
      <c r="R1292" s="469"/>
      <c r="S1292" s="469"/>
      <c r="T1292" s="469"/>
      <c r="U1292" s="469"/>
      <c r="V1292" s="469"/>
      <c r="W1292" s="469"/>
      <c r="X1292" s="469"/>
      <c r="Y1292" s="469"/>
      <c r="Z1292" s="469"/>
      <c r="AA1292" s="469"/>
      <c r="AB1292" s="469"/>
    </row>
    <row r="1293" ht="14.25" customHeight="1">
      <c r="A1293" s="464"/>
      <c r="B1293" s="481"/>
      <c r="C1293" s="466"/>
      <c r="D1293" s="484"/>
      <c r="E1293" s="466"/>
      <c r="F1293" s="485"/>
      <c r="G1293" s="485"/>
      <c r="H1293" s="485"/>
      <c r="I1293" s="331"/>
      <c r="J1293" s="469"/>
      <c r="K1293" s="469"/>
      <c r="L1293" s="469"/>
      <c r="M1293" s="469"/>
      <c r="N1293" s="469"/>
      <c r="O1293" s="469"/>
      <c r="P1293" s="469"/>
      <c r="Q1293" s="469"/>
      <c r="R1293" s="469"/>
      <c r="S1293" s="469"/>
      <c r="T1293" s="469"/>
      <c r="U1293" s="469"/>
      <c r="V1293" s="469"/>
      <c r="W1293" s="469"/>
      <c r="X1293" s="469"/>
      <c r="Y1293" s="469"/>
      <c r="Z1293" s="469"/>
      <c r="AA1293" s="469"/>
      <c r="AB1293" s="469"/>
    </row>
    <row r="1294" ht="14.25" customHeight="1">
      <c r="A1294" s="464"/>
      <c r="B1294" s="481"/>
      <c r="C1294" s="466"/>
      <c r="D1294" s="484"/>
      <c r="E1294" s="466"/>
      <c r="F1294" s="485"/>
      <c r="G1294" s="485"/>
      <c r="H1294" s="485"/>
      <c r="I1294" s="331"/>
      <c r="J1294" s="469"/>
      <c r="K1294" s="469"/>
      <c r="L1294" s="469"/>
      <c r="M1294" s="469"/>
      <c r="N1294" s="469"/>
      <c r="O1294" s="469"/>
      <c r="P1294" s="469"/>
      <c r="Q1294" s="469"/>
      <c r="R1294" s="469"/>
      <c r="S1294" s="469"/>
      <c r="T1294" s="469"/>
      <c r="U1294" s="469"/>
      <c r="V1294" s="469"/>
      <c r="W1294" s="469"/>
      <c r="X1294" s="469"/>
      <c r="Y1294" s="469"/>
      <c r="Z1294" s="469"/>
      <c r="AA1294" s="469"/>
      <c r="AB1294" s="469"/>
    </row>
    <row r="1295" ht="14.25" customHeight="1">
      <c r="A1295" s="464"/>
      <c r="B1295" s="481"/>
      <c r="C1295" s="466"/>
      <c r="D1295" s="484"/>
      <c r="E1295" s="466"/>
      <c r="F1295" s="485"/>
      <c r="G1295" s="485"/>
      <c r="H1295" s="485"/>
      <c r="I1295" s="331"/>
      <c r="J1295" s="469"/>
      <c r="K1295" s="469"/>
      <c r="L1295" s="469"/>
      <c r="M1295" s="469"/>
      <c r="N1295" s="469"/>
      <c r="O1295" s="469"/>
      <c r="P1295" s="469"/>
      <c r="Q1295" s="469"/>
      <c r="R1295" s="469"/>
      <c r="S1295" s="469"/>
      <c r="T1295" s="469"/>
      <c r="U1295" s="469"/>
      <c r="V1295" s="469"/>
      <c r="W1295" s="469"/>
      <c r="X1295" s="469"/>
      <c r="Y1295" s="469"/>
      <c r="Z1295" s="469"/>
      <c r="AA1295" s="469"/>
      <c r="AB1295" s="469"/>
    </row>
    <row r="1296" ht="14.25" customHeight="1">
      <c r="A1296" s="464"/>
      <c r="B1296" s="481"/>
      <c r="C1296" s="466"/>
      <c r="D1296" s="484"/>
      <c r="E1296" s="466"/>
      <c r="F1296" s="485"/>
      <c r="G1296" s="485"/>
      <c r="H1296" s="485"/>
      <c r="I1296" s="331"/>
      <c r="J1296" s="469"/>
      <c r="K1296" s="469"/>
      <c r="L1296" s="469"/>
      <c r="M1296" s="469"/>
      <c r="N1296" s="469"/>
      <c r="O1296" s="469"/>
      <c r="P1296" s="469"/>
      <c r="Q1296" s="469"/>
      <c r="R1296" s="469"/>
      <c r="S1296" s="469"/>
      <c r="T1296" s="469"/>
      <c r="U1296" s="469"/>
      <c r="V1296" s="469"/>
      <c r="W1296" s="469"/>
      <c r="X1296" s="469"/>
      <c r="Y1296" s="469"/>
      <c r="Z1296" s="469"/>
      <c r="AA1296" s="469"/>
      <c r="AB1296" s="469"/>
    </row>
    <row r="1297" ht="14.25" customHeight="1">
      <c r="A1297" s="464"/>
      <c r="B1297" s="481"/>
      <c r="C1297" s="466"/>
      <c r="D1297" s="484"/>
      <c r="E1297" s="466"/>
      <c r="F1297" s="485"/>
      <c r="G1297" s="485"/>
      <c r="H1297" s="485"/>
      <c r="I1297" s="331"/>
      <c r="J1297" s="469"/>
      <c r="K1297" s="469"/>
      <c r="L1297" s="469"/>
      <c r="M1297" s="469"/>
      <c r="N1297" s="469"/>
      <c r="O1297" s="469"/>
      <c r="P1297" s="469"/>
      <c r="Q1297" s="469"/>
      <c r="R1297" s="469"/>
      <c r="S1297" s="469"/>
      <c r="T1297" s="469"/>
      <c r="U1297" s="469"/>
      <c r="V1297" s="469"/>
      <c r="W1297" s="469"/>
      <c r="X1297" s="469"/>
      <c r="Y1297" s="469"/>
      <c r="Z1297" s="469"/>
      <c r="AA1297" s="469"/>
      <c r="AB1297" s="469"/>
    </row>
    <row r="1298" ht="14.25" customHeight="1">
      <c r="A1298" s="464"/>
      <c r="B1298" s="481"/>
      <c r="C1298" s="466"/>
      <c r="D1298" s="484"/>
      <c r="E1298" s="466"/>
      <c r="F1298" s="485"/>
      <c r="G1298" s="485"/>
      <c r="H1298" s="485"/>
      <c r="I1298" s="331"/>
      <c r="J1298" s="469"/>
      <c r="K1298" s="469"/>
      <c r="L1298" s="469"/>
      <c r="M1298" s="469"/>
      <c r="N1298" s="469"/>
      <c r="O1298" s="469"/>
      <c r="P1298" s="469"/>
      <c r="Q1298" s="469"/>
      <c r="R1298" s="469"/>
      <c r="S1298" s="469"/>
      <c r="T1298" s="469"/>
      <c r="U1298" s="469"/>
      <c r="V1298" s="469"/>
      <c r="W1298" s="469"/>
      <c r="X1298" s="469"/>
      <c r="Y1298" s="469"/>
      <c r="Z1298" s="469"/>
      <c r="AA1298" s="469"/>
      <c r="AB1298" s="469"/>
    </row>
    <row r="1299" ht="14.25" customHeight="1">
      <c r="A1299" s="464"/>
      <c r="B1299" s="481"/>
      <c r="C1299" s="466"/>
      <c r="D1299" s="484"/>
      <c r="E1299" s="466"/>
      <c r="F1299" s="485"/>
      <c r="G1299" s="485"/>
      <c r="H1299" s="485"/>
      <c r="I1299" s="331"/>
      <c r="J1299" s="469"/>
      <c r="K1299" s="469"/>
      <c r="L1299" s="469"/>
      <c r="M1299" s="469"/>
      <c r="N1299" s="469"/>
      <c r="O1299" s="469"/>
      <c r="P1299" s="469"/>
      <c r="Q1299" s="469"/>
      <c r="R1299" s="469"/>
      <c r="S1299" s="469"/>
      <c r="T1299" s="469"/>
      <c r="U1299" s="469"/>
      <c r="V1299" s="469"/>
      <c r="W1299" s="469"/>
      <c r="X1299" s="469"/>
      <c r="Y1299" s="469"/>
      <c r="Z1299" s="469"/>
      <c r="AA1299" s="469"/>
      <c r="AB1299" s="469"/>
    </row>
    <row r="1300" ht="14.25" customHeight="1">
      <c r="A1300" s="464"/>
      <c r="B1300" s="481"/>
      <c r="C1300" s="466"/>
      <c r="D1300" s="484"/>
      <c r="E1300" s="466"/>
      <c r="F1300" s="485"/>
      <c r="G1300" s="485"/>
      <c r="H1300" s="485"/>
      <c r="I1300" s="331"/>
      <c r="J1300" s="469"/>
      <c r="K1300" s="469"/>
      <c r="L1300" s="469"/>
      <c r="M1300" s="469"/>
      <c r="N1300" s="469"/>
      <c r="O1300" s="469"/>
      <c r="P1300" s="469"/>
      <c r="Q1300" s="469"/>
      <c r="R1300" s="469"/>
      <c r="S1300" s="469"/>
      <c r="T1300" s="469"/>
      <c r="U1300" s="469"/>
      <c r="V1300" s="469"/>
      <c r="W1300" s="469"/>
      <c r="X1300" s="469"/>
      <c r="Y1300" s="469"/>
      <c r="Z1300" s="469"/>
      <c r="AA1300" s="469"/>
      <c r="AB1300" s="469"/>
    </row>
    <row r="1301" ht="14.25" customHeight="1">
      <c r="A1301" s="464"/>
      <c r="B1301" s="481"/>
      <c r="C1301" s="466"/>
      <c r="D1301" s="484"/>
      <c r="E1301" s="466"/>
      <c r="F1301" s="485"/>
      <c r="G1301" s="485"/>
      <c r="H1301" s="485"/>
      <c r="I1301" s="331"/>
      <c r="J1301" s="469"/>
      <c r="K1301" s="469"/>
      <c r="L1301" s="469"/>
      <c r="M1301" s="469"/>
      <c r="N1301" s="469"/>
      <c r="O1301" s="469"/>
      <c r="P1301" s="469"/>
      <c r="Q1301" s="469"/>
      <c r="R1301" s="469"/>
      <c r="S1301" s="469"/>
      <c r="T1301" s="469"/>
      <c r="U1301" s="469"/>
      <c r="V1301" s="469"/>
      <c r="W1301" s="469"/>
      <c r="X1301" s="469"/>
      <c r="Y1301" s="469"/>
      <c r="Z1301" s="469"/>
      <c r="AA1301" s="469"/>
      <c r="AB1301" s="469"/>
    </row>
    <row r="1302" ht="14.25" customHeight="1">
      <c r="A1302" s="464"/>
      <c r="B1302" s="481"/>
      <c r="C1302" s="466"/>
      <c r="D1302" s="484"/>
      <c r="E1302" s="466"/>
      <c r="F1302" s="485"/>
      <c r="G1302" s="485"/>
      <c r="H1302" s="485"/>
      <c r="I1302" s="331"/>
      <c r="J1302" s="469"/>
      <c r="K1302" s="469"/>
      <c r="L1302" s="469"/>
      <c r="M1302" s="469"/>
      <c r="N1302" s="469"/>
      <c r="O1302" s="469"/>
      <c r="P1302" s="469"/>
      <c r="Q1302" s="469"/>
      <c r="R1302" s="469"/>
      <c r="S1302" s="469"/>
      <c r="T1302" s="469"/>
      <c r="U1302" s="469"/>
      <c r="V1302" s="469"/>
      <c r="W1302" s="469"/>
      <c r="X1302" s="469"/>
      <c r="Y1302" s="469"/>
      <c r="Z1302" s="469"/>
      <c r="AA1302" s="469"/>
      <c r="AB1302" s="469"/>
    </row>
    <row r="1303" ht="14.25" customHeight="1">
      <c r="A1303" s="464"/>
      <c r="B1303" s="481"/>
      <c r="C1303" s="466"/>
      <c r="D1303" s="484"/>
      <c r="E1303" s="466"/>
      <c r="F1303" s="485"/>
      <c r="G1303" s="485"/>
      <c r="H1303" s="485"/>
      <c r="I1303" s="331"/>
      <c r="J1303" s="469"/>
      <c r="K1303" s="469"/>
      <c r="L1303" s="469"/>
      <c r="M1303" s="469"/>
      <c r="N1303" s="469"/>
      <c r="O1303" s="469"/>
      <c r="P1303" s="469"/>
      <c r="Q1303" s="469"/>
      <c r="R1303" s="469"/>
      <c r="S1303" s="469"/>
      <c r="T1303" s="469"/>
      <c r="U1303" s="469"/>
      <c r="V1303" s="469"/>
      <c r="W1303" s="469"/>
      <c r="X1303" s="469"/>
      <c r="Y1303" s="469"/>
      <c r="Z1303" s="469"/>
      <c r="AA1303" s="469"/>
      <c r="AB1303" s="469"/>
    </row>
    <row r="1304" ht="14.25" customHeight="1">
      <c r="A1304" s="464"/>
      <c r="B1304" s="481"/>
      <c r="C1304" s="466"/>
      <c r="D1304" s="484"/>
      <c r="E1304" s="466"/>
      <c r="F1304" s="485"/>
      <c r="G1304" s="485"/>
      <c r="H1304" s="485"/>
      <c r="I1304" s="331"/>
      <c r="J1304" s="469"/>
      <c r="K1304" s="469"/>
      <c r="L1304" s="469"/>
      <c r="M1304" s="469"/>
      <c r="N1304" s="469"/>
      <c r="O1304" s="469"/>
      <c r="P1304" s="469"/>
      <c r="Q1304" s="469"/>
      <c r="R1304" s="469"/>
      <c r="S1304" s="469"/>
      <c r="T1304" s="469"/>
      <c r="U1304" s="469"/>
      <c r="V1304" s="469"/>
      <c r="W1304" s="469"/>
      <c r="X1304" s="469"/>
      <c r="Y1304" s="469"/>
      <c r="Z1304" s="469"/>
      <c r="AA1304" s="469"/>
      <c r="AB1304" s="469"/>
    </row>
    <row r="1305" ht="14.25" customHeight="1">
      <c r="A1305" s="464"/>
      <c r="B1305" s="481"/>
      <c r="C1305" s="466"/>
      <c r="D1305" s="484"/>
      <c r="E1305" s="466"/>
      <c r="F1305" s="485"/>
      <c r="G1305" s="485"/>
      <c r="H1305" s="485"/>
      <c r="I1305" s="331"/>
      <c r="J1305" s="469"/>
      <c r="K1305" s="469"/>
      <c r="L1305" s="469"/>
      <c r="M1305" s="469"/>
      <c r="N1305" s="469"/>
      <c r="O1305" s="469"/>
      <c r="P1305" s="469"/>
      <c r="Q1305" s="469"/>
      <c r="R1305" s="469"/>
      <c r="S1305" s="469"/>
      <c r="T1305" s="469"/>
      <c r="U1305" s="469"/>
      <c r="V1305" s="469"/>
      <c r="W1305" s="469"/>
      <c r="X1305" s="469"/>
      <c r="Y1305" s="469"/>
      <c r="Z1305" s="469"/>
      <c r="AA1305" s="469"/>
      <c r="AB1305" s="469"/>
    </row>
    <row r="1306" ht="14.25" customHeight="1">
      <c r="A1306" s="464"/>
      <c r="B1306" s="481"/>
      <c r="C1306" s="466"/>
      <c r="D1306" s="484"/>
      <c r="E1306" s="466"/>
      <c r="F1306" s="485"/>
      <c r="G1306" s="485"/>
      <c r="H1306" s="485"/>
      <c r="I1306" s="331"/>
      <c r="J1306" s="469"/>
      <c r="K1306" s="469"/>
      <c r="L1306" s="469"/>
      <c r="M1306" s="469"/>
      <c r="N1306" s="469"/>
      <c r="O1306" s="469"/>
      <c r="P1306" s="469"/>
      <c r="Q1306" s="469"/>
      <c r="R1306" s="469"/>
      <c r="S1306" s="469"/>
      <c r="T1306" s="469"/>
      <c r="U1306" s="469"/>
      <c r="V1306" s="469"/>
      <c r="W1306" s="469"/>
      <c r="X1306" s="469"/>
      <c r="Y1306" s="469"/>
      <c r="Z1306" s="469"/>
      <c r="AA1306" s="469"/>
      <c r="AB1306" s="469"/>
    </row>
    <row r="1307" ht="14.25" customHeight="1">
      <c r="A1307" s="464"/>
      <c r="B1307" s="481"/>
      <c r="C1307" s="466"/>
      <c r="D1307" s="484"/>
      <c r="E1307" s="466"/>
      <c r="F1307" s="485"/>
      <c r="G1307" s="485"/>
      <c r="H1307" s="485"/>
      <c r="I1307" s="331"/>
      <c r="J1307" s="469"/>
      <c r="K1307" s="469"/>
      <c r="L1307" s="469"/>
      <c r="M1307" s="469"/>
      <c r="N1307" s="469"/>
      <c r="O1307" s="469"/>
      <c r="P1307" s="469"/>
      <c r="Q1307" s="469"/>
      <c r="R1307" s="469"/>
      <c r="S1307" s="469"/>
      <c r="T1307" s="469"/>
      <c r="U1307" s="469"/>
      <c r="V1307" s="469"/>
      <c r="W1307" s="469"/>
      <c r="X1307" s="469"/>
      <c r="Y1307" s="469"/>
      <c r="Z1307" s="469"/>
      <c r="AA1307" s="469"/>
      <c r="AB1307" s="469"/>
    </row>
    <row r="1308" ht="14.25" customHeight="1">
      <c r="A1308" s="464"/>
      <c r="B1308" s="481"/>
      <c r="C1308" s="466"/>
      <c r="D1308" s="484"/>
      <c r="E1308" s="466"/>
      <c r="F1308" s="485"/>
      <c r="G1308" s="485"/>
      <c r="H1308" s="485"/>
      <c r="I1308" s="331"/>
      <c r="J1308" s="469"/>
      <c r="K1308" s="469"/>
      <c r="L1308" s="469"/>
      <c r="M1308" s="469"/>
      <c r="N1308" s="469"/>
      <c r="O1308" s="469"/>
      <c r="P1308" s="469"/>
      <c r="Q1308" s="469"/>
      <c r="R1308" s="469"/>
      <c r="S1308" s="469"/>
      <c r="T1308" s="469"/>
      <c r="U1308" s="469"/>
      <c r="V1308" s="469"/>
      <c r="W1308" s="469"/>
      <c r="X1308" s="469"/>
      <c r="Y1308" s="469"/>
      <c r="Z1308" s="469"/>
      <c r="AA1308" s="469"/>
      <c r="AB1308" s="469"/>
    </row>
    <row r="1309" ht="14.25" customHeight="1">
      <c r="A1309" s="464"/>
      <c r="B1309" s="481"/>
      <c r="C1309" s="466"/>
      <c r="D1309" s="484"/>
      <c r="E1309" s="466"/>
      <c r="F1309" s="485"/>
      <c r="G1309" s="485"/>
      <c r="H1309" s="485"/>
      <c r="I1309" s="331"/>
      <c r="J1309" s="469"/>
      <c r="K1309" s="469"/>
      <c r="L1309" s="469"/>
      <c r="M1309" s="469"/>
      <c r="N1309" s="469"/>
      <c r="O1309" s="469"/>
      <c r="P1309" s="469"/>
      <c r="Q1309" s="469"/>
      <c r="R1309" s="469"/>
      <c r="S1309" s="469"/>
      <c r="T1309" s="469"/>
      <c r="U1309" s="469"/>
      <c r="V1309" s="469"/>
      <c r="W1309" s="469"/>
      <c r="X1309" s="469"/>
      <c r="Y1309" s="469"/>
      <c r="Z1309" s="469"/>
      <c r="AA1309" s="469"/>
      <c r="AB1309" s="469"/>
    </row>
    <row r="1310" ht="14.25" customHeight="1">
      <c r="A1310" s="464"/>
      <c r="B1310" s="481"/>
      <c r="C1310" s="466"/>
      <c r="D1310" s="484"/>
      <c r="E1310" s="466"/>
      <c r="F1310" s="485"/>
      <c r="G1310" s="485"/>
      <c r="H1310" s="485"/>
      <c r="I1310" s="331"/>
      <c r="J1310" s="469"/>
      <c r="K1310" s="469"/>
      <c r="L1310" s="469"/>
      <c r="M1310" s="469"/>
      <c r="N1310" s="469"/>
      <c r="O1310" s="469"/>
      <c r="P1310" s="469"/>
      <c r="Q1310" s="469"/>
      <c r="R1310" s="469"/>
      <c r="S1310" s="469"/>
      <c r="T1310" s="469"/>
      <c r="U1310" s="469"/>
      <c r="V1310" s="469"/>
      <c r="W1310" s="469"/>
      <c r="X1310" s="469"/>
      <c r="Y1310" s="469"/>
      <c r="Z1310" s="469"/>
      <c r="AA1310" s="469"/>
      <c r="AB1310" s="469"/>
    </row>
    <row r="1311" ht="14.25" customHeight="1">
      <c r="A1311" s="464"/>
      <c r="B1311" s="481"/>
      <c r="C1311" s="466"/>
      <c r="D1311" s="484"/>
      <c r="E1311" s="466"/>
      <c r="F1311" s="485"/>
      <c r="G1311" s="485"/>
      <c r="H1311" s="485"/>
      <c r="I1311" s="331"/>
      <c r="J1311" s="469"/>
      <c r="K1311" s="469"/>
      <c r="L1311" s="469"/>
      <c r="M1311" s="469"/>
      <c r="N1311" s="469"/>
      <c r="O1311" s="469"/>
      <c r="P1311" s="469"/>
      <c r="Q1311" s="469"/>
      <c r="R1311" s="469"/>
      <c r="S1311" s="469"/>
      <c r="T1311" s="469"/>
      <c r="U1311" s="469"/>
      <c r="V1311" s="469"/>
      <c r="W1311" s="469"/>
      <c r="X1311" s="469"/>
      <c r="Y1311" s="469"/>
      <c r="Z1311" s="469"/>
      <c r="AA1311" s="469"/>
      <c r="AB1311" s="469"/>
    </row>
    <row r="1312" ht="14.25" customHeight="1">
      <c r="A1312" s="464"/>
      <c r="B1312" s="481"/>
      <c r="C1312" s="466"/>
      <c r="D1312" s="484"/>
      <c r="E1312" s="466"/>
      <c r="F1312" s="485"/>
      <c r="G1312" s="485"/>
      <c r="H1312" s="485"/>
      <c r="I1312" s="331"/>
      <c r="J1312" s="469"/>
      <c r="K1312" s="469"/>
      <c r="L1312" s="469"/>
      <c r="M1312" s="469"/>
      <c r="N1312" s="469"/>
      <c r="O1312" s="469"/>
      <c r="P1312" s="469"/>
      <c r="Q1312" s="469"/>
      <c r="R1312" s="469"/>
      <c r="S1312" s="469"/>
      <c r="T1312" s="469"/>
      <c r="U1312" s="469"/>
      <c r="V1312" s="469"/>
      <c r="W1312" s="469"/>
      <c r="X1312" s="469"/>
      <c r="Y1312" s="469"/>
      <c r="Z1312" s="469"/>
      <c r="AA1312" s="469"/>
      <c r="AB1312" s="469"/>
    </row>
    <row r="1313" ht="14.25" customHeight="1">
      <c r="A1313" s="464"/>
      <c r="B1313" s="481"/>
      <c r="C1313" s="466"/>
      <c r="D1313" s="484"/>
      <c r="E1313" s="466"/>
      <c r="F1313" s="485"/>
      <c r="G1313" s="485"/>
      <c r="H1313" s="485"/>
      <c r="I1313" s="331"/>
      <c r="J1313" s="469"/>
      <c r="K1313" s="469"/>
      <c r="L1313" s="469"/>
      <c r="M1313" s="469"/>
      <c r="N1313" s="469"/>
      <c r="O1313" s="469"/>
      <c r="P1313" s="469"/>
      <c r="Q1313" s="469"/>
      <c r="R1313" s="469"/>
      <c r="S1313" s="469"/>
      <c r="T1313" s="469"/>
      <c r="U1313" s="469"/>
      <c r="V1313" s="469"/>
      <c r="W1313" s="469"/>
      <c r="X1313" s="469"/>
      <c r="Y1313" s="469"/>
      <c r="Z1313" s="469"/>
      <c r="AA1313" s="469"/>
      <c r="AB1313" s="469"/>
    </row>
    <row r="1314" ht="14.25" customHeight="1">
      <c r="A1314" s="464"/>
      <c r="B1314" s="481"/>
      <c r="C1314" s="466"/>
      <c r="D1314" s="484"/>
      <c r="E1314" s="466"/>
      <c r="F1314" s="485"/>
      <c r="G1314" s="485"/>
      <c r="H1314" s="485"/>
      <c r="I1314" s="331"/>
      <c r="J1314" s="469"/>
      <c r="K1314" s="469"/>
      <c r="L1314" s="469"/>
      <c r="M1314" s="469"/>
      <c r="N1314" s="469"/>
      <c r="O1314" s="469"/>
      <c r="P1314" s="469"/>
      <c r="Q1314" s="469"/>
      <c r="R1314" s="469"/>
      <c r="S1314" s="469"/>
      <c r="T1314" s="469"/>
      <c r="U1314" s="469"/>
      <c r="V1314" s="469"/>
      <c r="W1314" s="469"/>
      <c r="X1314" s="469"/>
      <c r="Y1314" s="469"/>
      <c r="Z1314" s="469"/>
      <c r="AA1314" s="469"/>
      <c r="AB1314" s="469"/>
    </row>
    <row r="1315" ht="14.25" customHeight="1">
      <c r="A1315" s="464"/>
      <c r="B1315" s="481"/>
      <c r="C1315" s="466"/>
      <c r="D1315" s="484"/>
      <c r="E1315" s="466"/>
      <c r="F1315" s="485"/>
      <c r="G1315" s="485"/>
      <c r="H1315" s="485"/>
      <c r="I1315" s="331"/>
      <c r="J1315" s="469"/>
      <c r="K1315" s="469"/>
      <c r="L1315" s="469"/>
      <c r="M1315" s="469"/>
      <c r="N1315" s="469"/>
      <c r="O1315" s="469"/>
      <c r="P1315" s="469"/>
      <c r="Q1315" s="469"/>
      <c r="R1315" s="469"/>
      <c r="S1315" s="469"/>
      <c r="T1315" s="469"/>
      <c r="U1315" s="469"/>
      <c r="V1315" s="469"/>
      <c r="W1315" s="469"/>
      <c r="X1315" s="469"/>
      <c r="Y1315" s="469"/>
      <c r="Z1315" s="469"/>
      <c r="AA1315" s="469"/>
      <c r="AB1315" s="469"/>
    </row>
    <row r="1316" ht="14.25" customHeight="1">
      <c r="A1316" s="464"/>
      <c r="B1316" s="481"/>
      <c r="C1316" s="466"/>
      <c r="D1316" s="484"/>
      <c r="E1316" s="466"/>
      <c r="F1316" s="485"/>
      <c r="G1316" s="485"/>
      <c r="H1316" s="485"/>
      <c r="I1316" s="331"/>
      <c r="J1316" s="469"/>
      <c r="K1316" s="469"/>
      <c r="L1316" s="469"/>
      <c r="M1316" s="469"/>
      <c r="N1316" s="469"/>
      <c r="O1316" s="469"/>
      <c r="P1316" s="469"/>
      <c r="Q1316" s="469"/>
      <c r="R1316" s="469"/>
      <c r="S1316" s="469"/>
      <c r="T1316" s="469"/>
      <c r="U1316" s="469"/>
      <c r="V1316" s="469"/>
      <c r="W1316" s="469"/>
      <c r="X1316" s="469"/>
      <c r="Y1316" s="469"/>
      <c r="Z1316" s="469"/>
      <c r="AA1316" s="469"/>
      <c r="AB1316" s="469"/>
    </row>
    <row r="1317" ht="14.25" customHeight="1">
      <c r="A1317" s="464"/>
      <c r="B1317" s="481"/>
      <c r="C1317" s="466"/>
      <c r="D1317" s="484"/>
      <c r="E1317" s="466"/>
      <c r="F1317" s="485"/>
      <c r="G1317" s="485"/>
      <c r="H1317" s="485"/>
      <c r="I1317" s="331"/>
      <c r="J1317" s="469"/>
      <c r="K1317" s="469"/>
      <c r="L1317" s="469"/>
      <c r="M1317" s="469"/>
      <c r="N1317" s="469"/>
      <c r="O1317" s="469"/>
      <c r="P1317" s="469"/>
      <c r="Q1317" s="469"/>
      <c r="R1317" s="469"/>
      <c r="S1317" s="469"/>
      <c r="T1317" s="469"/>
      <c r="U1317" s="469"/>
      <c r="V1317" s="469"/>
      <c r="W1317" s="469"/>
      <c r="X1317" s="469"/>
      <c r="Y1317" s="469"/>
      <c r="Z1317" s="469"/>
      <c r="AA1317" s="469"/>
      <c r="AB1317" s="469"/>
    </row>
    <row r="1318" ht="14.25" customHeight="1">
      <c r="A1318" s="464"/>
      <c r="B1318" s="481"/>
      <c r="C1318" s="466"/>
      <c r="D1318" s="484"/>
      <c r="E1318" s="466"/>
      <c r="F1318" s="485"/>
      <c r="G1318" s="485"/>
      <c r="H1318" s="485"/>
      <c r="I1318" s="331"/>
      <c r="J1318" s="469"/>
      <c r="K1318" s="469"/>
      <c r="L1318" s="469"/>
      <c r="M1318" s="469"/>
      <c r="N1318" s="469"/>
      <c r="O1318" s="469"/>
      <c r="P1318" s="469"/>
      <c r="Q1318" s="469"/>
      <c r="R1318" s="469"/>
      <c r="S1318" s="469"/>
      <c r="T1318" s="469"/>
      <c r="U1318" s="469"/>
      <c r="V1318" s="469"/>
      <c r="W1318" s="469"/>
      <c r="X1318" s="469"/>
      <c r="Y1318" s="469"/>
      <c r="Z1318" s="469"/>
      <c r="AA1318" s="469"/>
      <c r="AB1318" s="469"/>
    </row>
    <row r="1319" ht="14.25" customHeight="1">
      <c r="A1319" s="464"/>
      <c r="B1319" s="481"/>
      <c r="C1319" s="466"/>
      <c r="D1319" s="484"/>
      <c r="E1319" s="466"/>
      <c r="F1319" s="485"/>
      <c r="G1319" s="485"/>
      <c r="H1319" s="485"/>
      <c r="I1319" s="331"/>
      <c r="J1319" s="469"/>
      <c r="K1319" s="469"/>
      <c r="L1319" s="469"/>
      <c r="M1319" s="469"/>
      <c r="N1319" s="469"/>
      <c r="O1319" s="469"/>
      <c r="P1319" s="469"/>
      <c r="Q1319" s="469"/>
      <c r="R1319" s="469"/>
      <c r="S1319" s="469"/>
      <c r="T1319" s="469"/>
      <c r="U1319" s="469"/>
      <c r="V1319" s="469"/>
      <c r="W1319" s="469"/>
      <c r="X1319" s="469"/>
      <c r="Y1319" s="469"/>
      <c r="Z1319" s="469"/>
      <c r="AA1319" s="469"/>
      <c r="AB1319" s="469"/>
    </row>
    <row r="1320" ht="14.25" customHeight="1">
      <c r="A1320" s="464"/>
      <c r="B1320" s="481"/>
      <c r="C1320" s="466"/>
      <c r="D1320" s="484"/>
      <c r="E1320" s="466"/>
      <c r="F1320" s="485"/>
      <c r="G1320" s="485"/>
      <c r="H1320" s="485"/>
      <c r="I1320" s="331"/>
      <c r="J1320" s="469"/>
      <c r="K1320" s="469"/>
      <c r="L1320" s="469"/>
      <c r="M1320" s="469"/>
      <c r="N1320" s="469"/>
      <c r="O1320" s="469"/>
      <c r="P1320" s="469"/>
      <c r="Q1320" s="469"/>
      <c r="R1320" s="469"/>
      <c r="S1320" s="469"/>
      <c r="T1320" s="469"/>
      <c r="U1320" s="469"/>
      <c r="V1320" s="469"/>
      <c r="W1320" s="469"/>
      <c r="X1320" s="469"/>
      <c r="Y1320" s="469"/>
      <c r="Z1320" s="469"/>
      <c r="AA1320" s="469"/>
      <c r="AB1320" s="469"/>
    </row>
    <row r="1321" ht="14.25" customHeight="1">
      <c r="A1321" s="464"/>
      <c r="B1321" s="481"/>
      <c r="C1321" s="466"/>
      <c r="D1321" s="484"/>
      <c r="E1321" s="466"/>
      <c r="F1321" s="485"/>
      <c r="G1321" s="485"/>
      <c r="H1321" s="485"/>
      <c r="I1321" s="331"/>
      <c r="J1321" s="469"/>
      <c r="K1321" s="469"/>
      <c r="L1321" s="469"/>
      <c r="M1321" s="469"/>
      <c r="N1321" s="469"/>
      <c r="O1321" s="469"/>
      <c r="P1321" s="469"/>
      <c r="Q1321" s="469"/>
      <c r="R1321" s="469"/>
      <c r="S1321" s="469"/>
      <c r="T1321" s="469"/>
      <c r="U1321" s="469"/>
      <c r="V1321" s="469"/>
      <c r="W1321" s="469"/>
      <c r="X1321" s="469"/>
      <c r="Y1321" s="469"/>
      <c r="Z1321" s="469"/>
      <c r="AA1321" s="469"/>
      <c r="AB1321" s="469"/>
    </row>
    <row r="1322" ht="14.25" customHeight="1">
      <c r="A1322" s="464"/>
      <c r="B1322" s="481"/>
      <c r="C1322" s="466"/>
      <c r="D1322" s="484"/>
      <c r="E1322" s="466"/>
      <c r="F1322" s="485"/>
      <c r="G1322" s="485"/>
      <c r="H1322" s="485"/>
      <c r="I1322" s="331"/>
      <c r="J1322" s="469"/>
      <c r="K1322" s="469"/>
      <c r="L1322" s="469"/>
      <c r="M1322" s="469"/>
      <c r="N1322" s="469"/>
      <c r="O1322" s="469"/>
      <c r="P1322" s="469"/>
      <c r="Q1322" s="469"/>
      <c r="R1322" s="469"/>
      <c r="S1322" s="469"/>
      <c r="T1322" s="469"/>
      <c r="U1322" s="469"/>
      <c r="V1322" s="469"/>
      <c r="W1322" s="469"/>
      <c r="X1322" s="469"/>
      <c r="Y1322" s="469"/>
      <c r="Z1322" s="469"/>
      <c r="AA1322" s="469"/>
      <c r="AB1322" s="469"/>
    </row>
    <row r="1323" ht="14.25" customHeight="1">
      <c r="A1323" s="464"/>
      <c r="B1323" s="481"/>
      <c r="C1323" s="466"/>
      <c r="D1323" s="484"/>
      <c r="E1323" s="466"/>
      <c r="F1323" s="485"/>
      <c r="G1323" s="485"/>
      <c r="H1323" s="485"/>
      <c r="I1323" s="331"/>
      <c r="J1323" s="469"/>
      <c r="K1323" s="469"/>
      <c r="L1323" s="469"/>
      <c r="M1323" s="469"/>
      <c r="N1323" s="469"/>
      <c r="O1323" s="469"/>
      <c r="P1323" s="469"/>
      <c r="Q1323" s="469"/>
      <c r="R1323" s="469"/>
      <c r="S1323" s="469"/>
      <c r="T1323" s="469"/>
      <c r="U1323" s="469"/>
      <c r="V1323" s="469"/>
      <c r="W1323" s="469"/>
      <c r="X1323" s="469"/>
      <c r="Y1323" s="469"/>
      <c r="Z1323" s="469"/>
      <c r="AA1323" s="469"/>
      <c r="AB1323" s="469"/>
    </row>
    <row r="1324" ht="14.25" customHeight="1">
      <c r="A1324" s="464"/>
      <c r="B1324" s="481"/>
      <c r="C1324" s="466"/>
      <c r="D1324" s="484"/>
      <c r="E1324" s="466"/>
      <c r="F1324" s="485"/>
      <c r="G1324" s="485"/>
      <c r="H1324" s="485"/>
      <c r="I1324" s="331"/>
      <c r="J1324" s="469"/>
      <c r="K1324" s="469"/>
      <c r="L1324" s="469"/>
      <c r="M1324" s="469"/>
      <c r="N1324" s="469"/>
      <c r="O1324" s="469"/>
      <c r="P1324" s="469"/>
      <c r="Q1324" s="469"/>
      <c r="R1324" s="469"/>
      <c r="S1324" s="469"/>
      <c r="T1324" s="469"/>
      <c r="U1324" s="469"/>
      <c r="V1324" s="469"/>
      <c r="W1324" s="469"/>
      <c r="X1324" s="469"/>
      <c r="Y1324" s="469"/>
      <c r="Z1324" s="469"/>
      <c r="AA1324" s="469"/>
      <c r="AB1324" s="469"/>
    </row>
    <row r="1325" ht="14.25" customHeight="1">
      <c r="A1325" s="464"/>
      <c r="B1325" s="481"/>
      <c r="C1325" s="466"/>
      <c r="D1325" s="484"/>
      <c r="E1325" s="466"/>
      <c r="F1325" s="485"/>
      <c r="G1325" s="485"/>
      <c r="H1325" s="485"/>
      <c r="I1325" s="331"/>
      <c r="J1325" s="469"/>
      <c r="K1325" s="469"/>
      <c r="L1325" s="469"/>
      <c r="M1325" s="469"/>
      <c r="N1325" s="469"/>
      <c r="O1325" s="469"/>
      <c r="P1325" s="469"/>
      <c r="Q1325" s="469"/>
      <c r="R1325" s="469"/>
      <c r="S1325" s="469"/>
      <c r="T1325" s="469"/>
      <c r="U1325" s="469"/>
      <c r="V1325" s="469"/>
      <c r="W1325" s="469"/>
      <c r="X1325" s="469"/>
      <c r="Y1325" s="469"/>
      <c r="Z1325" s="469"/>
      <c r="AA1325" s="469"/>
      <c r="AB1325" s="469"/>
    </row>
    <row r="1326" ht="14.25" customHeight="1">
      <c r="A1326" s="464"/>
      <c r="B1326" s="481"/>
      <c r="C1326" s="466"/>
      <c r="D1326" s="484"/>
      <c r="E1326" s="466"/>
      <c r="F1326" s="485"/>
      <c r="G1326" s="485"/>
      <c r="H1326" s="485"/>
      <c r="I1326" s="331"/>
      <c r="J1326" s="469"/>
      <c r="K1326" s="469"/>
      <c r="L1326" s="469"/>
      <c r="M1326" s="469"/>
      <c r="N1326" s="469"/>
      <c r="O1326" s="469"/>
      <c r="P1326" s="469"/>
      <c r="Q1326" s="469"/>
      <c r="R1326" s="469"/>
      <c r="S1326" s="469"/>
      <c r="T1326" s="469"/>
      <c r="U1326" s="469"/>
      <c r="V1326" s="469"/>
      <c r="W1326" s="469"/>
      <c r="X1326" s="469"/>
      <c r="Y1326" s="469"/>
      <c r="Z1326" s="469"/>
      <c r="AA1326" s="469"/>
      <c r="AB1326" s="469"/>
    </row>
    <row r="1327" ht="14.25" customHeight="1">
      <c r="A1327" s="464"/>
      <c r="B1327" s="481"/>
      <c r="C1327" s="466"/>
      <c r="D1327" s="484"/>
      <c r="E1327" s="466"/>
      <c r="F1327" s="485"/>
      <c r="G1327" s="485"/>
      <c r="H1327" s="485"/>
      <c r="I1327" s="331"/>
      <c r="J1327" s="469"/>
      <c r="K1327" s="469"/>
      <c r="L1327" s="469"/>
      <c r="M1327" s="469"/>
      <c r="N1327" s="469"/>
      <c r="O1327" s="469"/>
      <c r="P1327" s="469"/>
      <c r="Q1327" s="469"/>
      <c r="R1327" s="469"/>
      <c r="S1327" s="469"/>
      <c r="T1327" s="469"/>
      <c r="U1327" s="469"/>
      <c r="V1327" s="469"/>
      <c r="W1327" s="469"/>
      <c r="X1327" s="469"/>
      <c r="Y1327" s="469"/>
      <c r="Z1327" s="469"/>
      <c r="AA1327" s="469"/>
      <c r="AB1327" s="469"/>
    </row>
    <row r="1328" ht="14.25" customHeight="1">
      <c r="A1328" s="464"/>
      <c r="B1328" s="481"/>
      <c r="C1328" s="466"/>
      <c r="D1328" s="484"/>
      <c r="E1328" s="466"/>
      <c r="F1328" s="485"/>
      <c r="G1328" s="485"/>
      <c r="H1328" s="485"/>
      <c r="I1328" s="331"/>
      <c r="J1328" s="469"/>
      <c r="K1328" s="469"/>
      <c r="L1328" s="469"/>
      <c r="M1328" s="469"/>
      <c r="N1328" s="469"/>
      <c r="O1328" s="469"/>
      <c r="P1328" s="469"/>
      <c r="Q1328" s="469"/>
      <c r="R1328" s="469"/>
      <c r="S1328" s="469"/>
      <c r="T1328" s="469"/>
      <c r="U1328" s="469"/>
      <c r="V1328" s="469"/>
      <c r="W1328" s="469"/>
      <c r="X1328" s="469"/>
      <c r="Y1328" s="469"/>
      <c r="Z1328" s="469"/>
      <c r="AA1328" s="469"/>
      <c r="AB1328" s="469"/>
    </row>
    <row r="1329" ht="14.25" customHeight="1">
      <c r="A1329" s="464"/>
      <c r="B1329" s="481"/>
      <c r="C1329" s="466"/>
      <c r="D1329" s="484"/>
      <c r="E1329" s="466"/>
      <c r="F1329" s="485"/>
      <c r="G1329" s="485"/>
      <c r="H1329" s="485"/>
      <c r="I1329" s="331"/>
      <c r="J1329" s="469"/>
      <c r="K1329" s="469"/>
      <c r="L1329" s="469"/>
      <c r="M1329" s="469"/>
      <c r="N1329" s="469"/>
      <c r="O1329" s="469"/>
      <c r="P1329" s="469"/>
      <c r="Q1329" s="469"/>
      <c r="R1329" s="469"/>
      <c r="S1329" s="469"/>
      <c r="T1329" s="469"/>
      <c r="U1329" s="469"/>
      <c r="V1329" s="469"/>
      <c r="W1329" s="469"/>
      <c r="X1329" s="469"/>
      <c r="Y1329" s="469"/>
      <c r="Z1329" s="469"/>
      <c r="AA1329" s="469"/>
      <c r="AB1329" s="469"/>
    </row>
    <row r="1330" ht="14.25" customHeight="1">
      <c r="A1330" s="464"/>
      <c r="B1330" s="481"/>
      <c r="C1330" s="466"/>
      <c r="D1330" s="484"/>
      <c r="E1330" s="466"/>
      <c r="F1330" s="485"/>
      <c r="G1330" s="485"/>
      <c r="H1330" s="485"/>
      <c r="I1330" s="331"/>
      <c r="J1330" s="469"/>
      <c r="K1330" s="469"/>
      <c r="L1330" s="469"/>
      <c r="M1330" s="469"/>
      <c r="N1330" s="469"/>
      <c r="O1330" s="469"/>
      <c r="P1330" s="469"/>
      <c r="Q1330" s="469"/>
      <c r="R1330" s="469"/>
      <c r="S1330" s="469"/>
      <c r="T1330" s="469"/>
      <c r="U1330" s="469"/>
      <c r="V1330" s="469"/>
      <c r="W1330" s="469"/>
      <c r="X1330" s="469"/>
      <c r="Y1330" s="469"/>
      <c r="Z1330" s="469"/>
      <c r="AA1330" s="469"/>
      <c r="AB1330" s="469"/>
    </row>
    <row r="1331" ht="14.25" customHeight="1">
      <c r="A1331" s="464"/>
      <c r="B1331" s="481"/>
      <c r="C1331" s="466"/>
      <c r="D1331" s="484"/>
      <c r="E1331" s="466"/>
      <c r="F1331" s="485"/>
      <c r="G1331" s="485"/>
      <c r="H1331" s="485"/>
      <c r="I1331" s="331"/>
      <c r="J1331" s="469"/>
      <c r="K1331" s="469"/>
      <c r="L1331" s="469"/>
      <c r="M1331" s="469"/>
      <c r="N1331" s="469"/>
      <c r="O1331" s="469"/>
      <c r="P1331" s="469"/>
      <c r="Q1331" s="469"/>
      <c r="R1331" s="469"/>
      <c r="S1331" s="469"/>
      <c r="T1331" s="469"/>
      <c r="U1331" s="469"/>
      <c r="V1331" s="469"/>
      <c r="W1331" s="469"/>
      <c r="X1331" s="469"/>
      <c r="Y1331" s="469"/>
      <c r="Z1331" s="469"/>
      <c r="AA1331" s="469"/>
      <c r="AB1331" s="469"/>
    </row>
    <row r="1332" ht="14.25" customHeight="1">
      <c r="A1332" s="464"/>
      <c r="B1332" s="481"/>
      <c r="C1332" s="466"/>
      <c r="D1332" s="484"/>
      <c r="E1332" s="466"/>
      <c r="F1332" s="485"/>
      <c r="G1332" s="485"/>
      <c r="H1332" s="485"/>
      <c r="I1332" s="331"/>
      <c r="J1332" s="469"/>
      <c r="K1332" s="469"/>
      <c r="L1332" s="469"/>
      <c r="M1332" s="469"/>
      <c r="N1332" s="469"/>
      <c r="O1332" s="469"/>
      <c r="P1332" s="469"/>
      <c r="Q1332" s="469"/>
      <c r="R1332" s="469"/>
      <c r="S1332" s="469"/>
      <c r="T1332" s="469"/>
      <c r="U1332" s="469"/>
      <c r="V1332" s="469"/>
      <c r="W1332" s="469"/>
      <c r="X1332" s="469"/>
      <c r="Y1332" s="469"/>
      <c r="Z1332" s="469"/>
      <c r="AA1332" s="469"/>
      <c r="AB1332" s="469"/>
    </row>
    <row r="1333" ht="14.25" customHeight="1">
      <c r="A1333" s="464"/>
      <c r="B1333" s="481"/>
      <c r="C1333" s="466"/>
      <c r="D1333" s="484"/>
      <c r="E1333" s="466"/>
      <c r="F1333" s="485"/>
      <c r="G1333" s="485"/>
      <c r="H1333" s="485"/>
      <c r="I1333" s="331"/>
      <c r="J1333" s="469"/>
      <c r="K1333" s="469"/>
      <c r="L1333" s="469"/>
      <c r="M1333" s="469"/>
      <c r="N1333" s="469"/>
      <c r="O1333" s="469"/>
      <c r="P1333" s="469"/>
      <c r="Q1333" s="469"/>
      <c r="R1333" s="469"/>
      <c r="S1333" s="469"/>
      <c r="T1333" s="469"/>
      <c r="U1333" s="469"/>
      <c r="V1333" s="469"/>
      <c r="W1333" s="469"/>
      <c r="X1333" s="469"/>
      <c r="Y1333" s="469"/>
      <c r="Z1333" s="469"/>
      <c r="AA1333" s="469"/>
      <c r="AB1333" s="469"/>
    </row>
    <row r="1334" ht="14.25" customHeight="1">
      <c r="A1334" s="464"/>
      <c r="B1334" s="481"/>
      <c r="C1334" s="466"/>
      <c r="D1334" s="484"/>
      <c r="E1334" s="466"/>
      <c r="F1334" s="485"/>
      <c r="G1334" s="485"/>
      <c r="H1334" s="485"/>
      <c r="I1334" s="331"/>
      <c r="J1334" s="469"/>
      <c r="K1334" s="469"/>
      <c r="L1334" s="469"/>
      <c r="M1334" s="469"/>
      <c r="N1334" s="469"/>
      <c r="O1334" s="469"/>
      <c r="P1334" s="469"/>
      <c r="Q1334" s="469"/>
      <c r="R1334" s="469"/>
      <c r="S1334" s="469"/>
      <c r="T1334" s="469"/>
      <c r="U1334" s="469"/>
      <c r="V1334" s="469"/>
      <c r="W1334" s="469"/>
      <c r="X1334" s="469"/>
      <c r="Y1334" s="469"/>
      <c r="Z1334" s="469"/>
      <c r="AA1334" s="469"/>
      <c r="AB1334" s="469"/>
    </row>
    <row r="1335" ht="14.25" customHeight="1">
      <c r="A1335" s="464"/>
      <c r="B1335" s="481"/>
      <c r="C1335" s="466"/>
      <c r="D1335" s="484"/>
      <c r="E1335" s="466"/>
      <c r="F1335" s="485"/>
      <c r="G1335" s="485"/>
      <c r="H1335" s="485"/>
      <c r="I1335" s="331"/>
      <c r="J1335" s="469"/>
      <c r="K1335" s="469"/>
      <c r="L1335" s="469"/>
      <c r="M1335" s="469"/>
      <c r="N1335" s="469"/>
      <c r="O1335" s="469"/>
      <c r="P1335" s="469"/>
      <c r="Q1335" s="469"/>
      <c r="R1335" s="469"/>
      <c r="S1335" s="469"/>
      <c r="T1335" s="469"/>
      <c r="U1335" s="469"/>
      <c r="V1335" s="469"/>
      <c r="W1335" s="469"/>
      <c r="X1335" s="469"/>
      <c r="Y1335" s="469"/>
      <c r="Z1335" s="469"/>
      <c r="AA1335" s="469"/>
      <c r="AB1335" s="469"/>
    </row>
    <row r="1336" ht="14.25" customHeight="1">
      <c r="A1336" s="464"/>
      <c r="B1336" s="481"/>
      <c r="C1336" s="466"/>
      <c r="D1336" s="484"/>
      <c r="E1336" s="466"/>
      <c r="F1336" s="485"/>
      <c r="G1336" s="485"/>
      <c r="H1336" s="485"/>
      <c r="I1336" s="331"/>
      <c r="J1336" s="469"/>
      <c r="K1336" s="469"/>
      <c r="L1336" s="469"/>
      <c r="M1336" s="469"/>
      <c r="N1336" s="469"/>
      <c r="O1336" s="469"/>
      <c r="P1336" s="469"/>
      <c r="Q1336" s="469"/>
      <c r="R1336" s="469"/>
      <c r="S1336" s="469"/>
      <c r="T1336" s="469"/>
      <c r="U1336" s="469"/>
      <c r="V1336" s="469"/>
      <c r="W1336" s="469"/>
      <c r="X1336" s="469"/>
      <c r="Y1336" s="469"/>
      <c r="Z1336" s="469"/>
      <c r="AA1336" s="469"/>
      <c r="AB1336" s="469"/>
    </row>
    <row r="1337" ht="14.25" customHeight="1">
      <c r="A1337" s="464"/>
      <c r="B1337" s="481"/>
      <c r="C1337" s="466"/>
      <c r="D1337" s="484"/>
      <c r="E1337" s="466"/>
      <c r="F1337" s="485"/>
      <c r="G1337" s="485"/>
      <c r="H1337" s="485"/>
      <c r="I1337" s="331"/>
      <c r="J1337" s="469"/>
      <c r="K1337" s="469"/>
      <c r="L1337" s="469"/>
      <c r="M1337" s="469"/>
      <c r="N1337" s="469"/>
      <c r="O1337" s="469"/>
      <c r="P1337" s="469"/>
      <c r="Q1337" s="469"/>
      <c r="R1337" s="469"/>
      <c r="S1337" s="469"/>
      <c r="T1337" s="469"/>
      <c r="U1337" s="469"/>
      <c r="V1337" s="469"/>
      <c r="W1337" s="469"/>
      <c r="X1337" s="469"/>
      <c r="Y1337" s="469"/>
      <c r="Z1337" s="469"/>
      <c r="AA1337" s="469"/>
      <c r="AB1337" s="469"/>
    </row>
    <row r="1338" ht="14.25" customHeight="1">
      <c r="A1338" s="464"/>
      <c r="B1338" s="481"/>
      <c r="C1338" s="466"/>
      <c r="D1338" s="484"/>
      <c r="E1338" s="466"/>
      <c r="F1338" s="485"/>
      <c r="G1338" s="485"/>
      <c r="H1338" s="485"/>
      <c r="I1338" s="331"/>
      <c r="J1338" s="469"/>
      <c r="K1338" s="469"/>
      <c r="L1338" s="469"/>
      <c r="M1338" s="469"/>
      <c r="N1338" s="469"/>
      <c r="O1338" s="469"/>
      <c r="P1338" s="469"/>
      <c r="Q1338" s="469"/>
      <c r="R1338" s="469"/>
      <c r="S1338" s="469"/>
      <c r="T1338" s="469"/>
      <c r="U1338" s="469"/>
      <c r="V1338" s="469"/>
      <c r="W1338" s="469"/>
      <c r="X1338" s="469"/>
      <c r="Y1338" s="469"/>
      <c r="Z1338" s="469"/>
      <c r="AA1338" s="469"/>
      <c r="AB1338" s="469"/>
    </row>
    <row r="1339" ht="14.25" customHeight="1">
      <c r="A1339" s="464"/>
      <c r="B1339" s="481"/>
      <c r="C1339" s="466"/>
      <c r="D1339" s="484"/>
      <c r="E1339" s="466"/>
      <c r="F1339" s="485"/>
      <c r="G1339" s="485"/>
      <c r="H1339" s="485"/>
      <c r="I1339" s="331"/>
      <c r="J1339" s="469"/>
      <c r="K1339" s="469"/>
      <c r="L1339" s="469"/>
      <c r="M1339" s="469"/>
      <c r="N1339" s="469"/>
      <c r="O1339" s="469"/>
      <c r="P1339" s="469"/>
      <c r="Q1339" s="469"/>
      <c r="R1339" s="469"/>
      <c r="S1339" s="469"/>
      <c r="T1339" s="469"/>
      <c r="U1339" s="469"/>
      <c r="V1339" s="469"/>
      <c r="W1339" s="469"/>
      <c r="X1339" s="469"/>
      <c r="Y1339" s="469"/>
      <c r="Z1339" s="469"/>
      <c r="AA1339" s="469"/>
      <c r="AB1339" s="469"/>
    </row>
    <row r="1340" ht="14.25" customHeight="1">
      <c r="A1340" s="464"/>
      <c r="B1340" s="481"/>
      <c r="C1340" s="466"/>
      <c r="D1340" s="484"/>
      <c r="E1340" s="466"/>
      <c r="F1340" s="485"/>
      <c r="G1340" s="485"/>
      <c r="H1340" s="485"/>
      <c r="I1340" s="331"/>
      <c r="J1340" s="469"/>
      <c r="K1340" s="469"/>
      <c r="L1340" s="469"/>
      <c r="M1340" s="469"/>
      <c r="N1340" s="469"/>
      <c r="O1340" s="469"/>
      <c r="P1340" s="469"/>
      <c r="Q1340" s="469"/>
      <c r="R1340" s="469"/>
      <c r="S1340" s="469"/>
      <c r="T1340" s="469"/>
      <c r="U1340" s="469"/>
      <c r="V1340" s="469"/>
      <c r="W1340" s="469"/>
      <c r="X1340" s="469"/>
      <c r="Y1340" s="469"/>
      <c r="Z1340" s="469"/>
      <c r="AA1340" s="469"/>
      <c r="AB1340" s="469"/>
    </row>
    <row r="1341" ht="14.25" customHeight="1">
      <c r="A1341" s="464"/>
      <c r="B1341" s="481"/>
      <c r="C1341" s="466"/>
      <c r="D1341" s="484"/>
      <c r="E1341" s="466"/>
      <c r="F1341" s="485"/>
      <c r="G1341" s="485"/>
      <c r="H1341" s="485"/>
      <c r="I1341" s="331"/>
      <c r="J1341" s="469"/>
      <c r="K1341" s="469"/>
      <c r="L1341" s="469"/>
      <c r="M1341" s="469"/>
      <c r="N1341" s="469"/>
      <c r="O1341" s="469"/>
      <c r="P1341" s="469"/>
      <c r="Q1341" s="469"/>
      <c r="R1341" s="469"/>
      <c r="S1341" s="469"/>
      <c r="T1341" s="469"/>
      <c r="U1341" s="469"/>
      <c r="V1341" s="469"/>
      <c r="W1341" s="469"/>
      <c r="X1341" s="469"/>
      <c r="Y1341" s="469"/>
      <c r="Z1341" s="469"/>
      <c r="AA1341" s="469"/>
      <c r="AB1341" s="469"/>
    </row>
    <row r="1342" ht="14.25" customHeight="1">
      <c r="A1342" s="464"/>
      <c r="B1342" s="481"/>
      <c r="C1342" s="466"/>
      <c r="D1342" s="484"/>
      <c r="E1342" s="466"/>
      <c r="F1342" s="485"/>
      <c r="G1342" s="485"/>
      <c r="H1342" s="485"/>
      <c r="I1342" s="331"/>
      <c r="J1342" s="469"/>
      <c r="K1342" s="469"/>
      <c r="L1342" s="469"/>
      <c r="M1342" s="469"/>
      <c r="N1342" s="469"/>
      <c r="O1342" s="469"/>
      <c r="P1342" s="469"/>
      <c r="Q1342" s="469"/>
      <c r="R1342" s="469"/>
      <c r="S1342" s="469"/>
      <c r="T1342" s="469"/>
      <c r="U1342" s="469"/>
      <c r="V1342" s="469"/>
      <c r="W1342" s="469"/>
      <c r="X1342" s="469"/>
      <c r="Y1342" s="469"/>
      <c r="Z1342" s="469"/>
      <c r="AA1342" s="469"/>
      <c r="AB1342" s="469"/>
    </row>
    <row r="1343" ht="14.25" customHeight="1">
      <c r="A1343" s="464"/>
      <c r="B1343" s="481"/>
      <c r="C1343" s="466"/>
      <c r="D1343" s="484"/>
      <c r="E1343" s="466"/>
      <c r="F1343" s="485"/>
      <c r="G1343" s="485"/>
      <c r="H1343" s="485"/>
      <c r="I1343" s="331"/>
      <c r="J1343" s="469"/>
      <c r="K1343" s="469"/>
      <c r="L1343" s="469"/>
      <c r="M1343" s="469"/>
      <c r="N1343" s="469"/>
      <c r="O1343" s="469"/>
      <c r="P1343" s="469"/>
      <c r="Q1343" s="469"/>
      <c r="R1343" s="469"/>
      <c r="S1343" s="469"/>
      <c r="T1343" s="469"/>
      <c r="U1343" s="469"/>
      <c r="V1343" s="469"/>
      <c r="W1343" s="469"/>
      <c r="X1343" s="469"/>
      <c r="Y1343" s="469"/>
      <c r="Z1343" s="469"/>
      <c r="AA1343" s="469"/>
      <c r="AB1343" s="469"/>
    </row>
    <row r="1344" ht="14.25" customHeight="1">
      <c r="A1344" s="464"/>
      <c r="B1344" s="481"/>
      <c r="C1344" s="466"/>
      <c r="D1344" s="484"/>
      <c r="E1344" s="466"/>
      <c r="F1344" s="485"/>
      <c r="G1344" s="485"/>
      <c r="H1344" s="485"/>
      <c r="I1344" s="331"/>
      <c r="J1344" s="469"/>
      <c r="K1344" s="469"/>
      <c r="L1344" s="469"/>
      <c r="M1344" s="469"/>
      <c r="N1344" s="469"/>
      <c r="O1344" s="469"/>
      <c r="P1344" s="469"/>
      <c r="Q1344" s="469"/>
      <c r="R1344" s="469"/>
      <c r="S1344" s="469"/>
      <c r="T1344" s="469"/>
      <c r="U1344" s="469"/>
      <c r="V1344" s="469"/>
      <c r="W1344" s="469"/>
      <c r="X1344" s="469"/>
      <c r="Y1344" s="469"/>
      <c r="Z1344" s="469"/>
      <c r="AA1344" s="469"/>
      <c r="AB1344" s="469"/>
    </row>
    <row r="1345" ht="14.25" customHeight="1">
      <c r="A1345" s="464"/>
      <c r="B1345" s="481"/>
      <c r="C1345" s="466"/>
      <c r="D1345" s="484"/>
      <c r="E1345" s="466"/>
      <c r="F1345" s="485"/>
      <c r="G1345" s="485"/>
      <c r="H1345" s="485"/>
      <c r="I1345" s="331"/>
      <c r="J1345" s="469"/>
      <c r="K1345" s="469"/>
      <c r="L1345" s="469"/>
      <c r="M1345" s="469"/>
      <c r="N1345" s="469"/>
      <c r="O1345" s="469"/>
      <c r="P1345" s="469"/>
      <c r="Q1345" s="469"/>
      <c r="R1345" s="469"/>
      <c r="S1345" s="469"/>
      <c r="T1345" s="469"/>
      <c r="U1345" s="469"/>
      <c r="V1345" s="469"/>
      <c r="W1345" s="469"/>
      <c r="X1345" s="469"/>
      <c r="Y1345" s="469"/>
      <c r="Z1345" s="469"/>
      <c r="AA1345" s="469"/>
      <c r="AB1345" s="469"/>
    </row>
    <row r="1346" ht="14.25" customHeight="1">
      <c r="A1346" s="464"/>
      <c r="B1346" s="481"/>
      <c r="C1346" s="466"/>
      <c r="D1346" s="484"/>
      <c r="E1346" s="466"/>
      <c r="F1346" s="485"/>
      <c r="G1346" s="485"/>
      <c r="H1346" s="485"/>
      <c r="I1346" s="331"/>
      <c r="J1346" s="469"/>
      <c r="K1346" s="469"/>
      <c r="L1346" s="469"/>
      <c r="M1346" s="469"/>
      <c r="N1346" s="469"/>
      <c r="O1346" s="469"/>
      <c r="P1346" s="469"/>
      <c r="Q1346" s="469"/>
      <c r="R1346" s="469"/>
      <c r="S1346" s="469"/>
      <c r="T1346" s="469"/>
      <c r="U1346" s="469"/>
      <c r="V1346" s="469"/>
      <c r="W1346" s="469"/>
      <c r="X1346" s="469"/>
      <c r="Y1346" s="469"/>
      <c r="Z1346" s="469"/>
      <c r="AA1346" s="469"/>
      <c r="AB1346" s="469"/>
    </row>
    <row r="1347" ht="14.25" customHeight="1">
      <c r="A1347" s="464"/>
      <c r="B1347" s="481"/>
      <c r="C1347" s="466"/>
      <c r="D1347" s="484"/>
      <c r="E1347" s="466"/>
      <c r="F1347" s="485"/>
      <c r="G1347" s="485"/>
      <c r="H1347" s="485"/>
      <c r="I1347" s="331"/>
      <c r="J1347" s="469"/>
      <c r="K1347" s="469"/>
      <c r="L1347" s="469"/>
      <c r="M1347" s="469"/>
      <c r="N1347" s="469"/>
      <c r="O1347" s="469"/>
      <c r="P1347" s="469"/>
      <c r="Q1347" s="469"/>
      <c r="R1347" s="469"/>
      <c r="S1347" s="469"/>
      <c r="T1347" s="469"/>
      <c r="U1347" s="469"/>
      <c r="V1347" s="469"/>
      <c r="W1347" s="469"/>
      <c r="X1347" s="469"/>
      <c r="Y1347" s="469"/>
      <c r="Z1347" s="469"/>
      <c r="AA1347" s="469"/>
      <c r="AB1347" s="469"/>
    </row>
    <row r="1348" ht="14.25" customHeight="1">
      <c r="A1348" s="464"/>
      <c r="B1348" s="481"/>
      <c r="C1348" s="466"/>
      <c r="D1348" s="484"/>
      <c r="E1348" s="466"/>
      <c r="F1348" s="485"/>
      <c r="G1348" s="485"/>
      <c r="H1348" s="485"/>
      <c r="I1348" s="331"/>
      <c r="J1348" s="469"/>
      <c r="K1348" s="469"/>
      <c r="L1348" s="469"/>
      <c r="M1348" s="469"/>
      <c r="N1348" s="469"/>
      <c r="O1348" s="469"/>
      <c r="P1348" s="469"/>
      <c r="Q1348" s="469"/>
      <c r="R1348" s="469"/>
      <c r="S1348" s="469"/>
      <c r="T1348" s="469"/>
      <c r="U1348" s="469"/>
      <c r="V1348" s="469"/>
      <c r="W1348" s="469"/>
      <c r="X1348" s="469"/>
      <c r="Y1348" s="469"/>
      <c r="Z1348" s="469"/>
      <c r="AA1348" s="469"/>
      <c r="AB1348" s="469"/>
    </row>
    <row r="1349" ht="14.25" customHeight="1">
      <c r="A1349" s="464"/>
      <c r="B1349" s="481"/>
      <c r="C1349" s="466"/>
      <c r="D1349" s="484"/>
      <c r="E1349" s="466"/>
      <c r="F1349" s="485"/>
      <c r="G1349" s="485"/>
      <c r="H1349" s="485"/>
      <c r="I1349" s="331"/>
      <c r="J1349" s="469"/>
      <c r="K1349" s="469"/>
      <c r="L1349" s="469"/>
      <c r="M1349" s="469"/>
      <c r="N1349" s="469"/>
      <c r="O1349" s="469"/>
      <c r="P1349" s="469"/>
      <c r="Q1349" s="469"/>
      <c r="R1349" s="469"/>
      <c r="S1349" s="469"/>
      <c r="T1349" s="469"/>
      <c r="U1349" s="469"/>
      <c r="V1349" s="469"/>
      <c r="W1349" s="469"/>
      <c r="X1349" s="469"/>
      <c r="Y1349" s="469"/>
      <c r="Z1349" s="469"/>
      <c r="AA1349" s="469"/>
      <c r="AB1349" s="469"/>
    </row>
    <row r="1350" ht="14.25" customHeight="1">
      <c r="A1350" s="464"/>
      <c r="B1350" s="481"/>
      <c r="C1350" s="466"/>
      <c r="D1350" s="484"/>
      <c r="E1350" s="466"/>
      <c r="F1350" s="485"/>
      <c r="G1350" s="485"/>
      <c r="H1350" s="485"/>
      <c r="I1350" s="331"/>
      <c r="J1350" s="469"/>
      <c r="K1350" s="469"/>
      <c r="L1350" s="469"/>
      <c r="M1350" s="469"/>
      <c r="N1350" s="469"/>
      <c r="O1350" s="469"/>
      <c r="P1350" s="469"/>
      <c r="Q1350" s="469"/>
      <c r="R1350" s="469"/>
      <c r="S1350" s="469"/>
      <c r="T1350" s="469"/>
      <c r="U1350" s="469"/>
      <c r="V1350" s="469"/>
      <c r="W1350" s="469"/>
      <c r="X1350" s="469"/>
      <c r="Y1350" s="469"/>
      <c r="Z1350" s="469"/>
      <c r="AA1350" s="469"/>
      <c r="AB1350" s="469"/>
    </row>
    <row r="1351" ht="14.25" customHeight="1">
      <c r="A1351" s="464"/>
      <c r="B1351" s="481"/>
      <c r="C1351" s="466"/>
      <c r="D1351" s="484"/>
      <c r="E1351" s="466"/>
      <c r="F1351" s="485"/>
      <c r="G1351" s="485"/>
      <c r="H1351" s="485"/>
      <c r="I1351" s="331"/>
      <c r="J1351" s="469"/>
      <c r="K1351" s="469"/>
      <c r="L1351" s="469"/>
      <c r="M1351" s="469"/>
      <c r="N1351" s="469"/>
      <c r="O1351" s="469"/>
      <c r="P1351" s="469"/>
      <c r="Q1351" s="469"/>
      <c r="R1351" s="469"/>
      <c r="S1351" s="469"/>
      <c r="T1351" s="469"/>
      <c r="U1351" s="469"/>
      <c r="V1351" s="469"/>
      <c r="W1351" s="469"/>
      <c r="X1351" s="469"/>
      <c r="Y1351" s="469"/>
      <c r="Z1351" s="469"/>
      <c r="AA1351" s="469"/>
      <c r="AB1351" s="469"/>
    </row>
    <row r="1352" ht="14.25" customHeight="1">
      <c r="A1352" s="464"/>
      <c r="B1352" s="481"/>
      <c r="C1352" s="466"/>
      <c r="D1352" s="484"/>
      <c r="E1352" s="466"/>
      <c r="F1352" s="485"/>
      <c r="G1352" s="485"/>
      <c r="H1352" s="485"/>
      <c r="I1352" s="331"/>
      <c r="J1352" s="469"/>
      <c r="K1352" s="469"/>
      <c r="L1352" s="469"/>
      <c r="M1352" s="469"/>
      <c r="N1352" s="469"/>
      <c r="O1352" s="469"/>
      <c r="P1352" s="469"/>
      <c r="Q1352" s="469"/>
      <c r="R1352" s="469"/>
      <c r="S1352" s="469"/>
      <c r="T1352" s="469"/>
      <c r="U1352" s="469"/>
      <c r="V1352" s="469"/>
      <c r="W1352" s="469"/>
      <c r="X1352" s="469"/>
      <c r="Y1352" s="469"/>
      <c r="Z1352" s="469"/>
      <c r="AA1352" s="469"/>
      <c r="AB1352" s="469"/>
    </row>
    <row r="1353" ht="14.25" customHeight="1">
      <c r="A1353" s="464"/>
      <c r="B1353" s="481"/>
      <c r="C1353" s="466"/>
      <c r="D1353" s="484"/>
      <c r="E1353" s="466"/>
      <c r="F1353" s="485"/>
      <c r="G1353" s="485"/>
      <c r="H1353" s="485"/>
      <c r="I1353" s="331"/>
      <c r="J1353" s="469"/>
      <c r="K1353" s="469"/>
      <c r="L1353" s="469"/>
      <c r="M1353" s="469"/>
      <c r="N1353" s="469"/>
      <c r="O1353" s="469"/>
      <c r="P1353" s="469"/>
      <c r="Q1353" s="469"/>
      <c r="R1353" s="469"/>
      <c r="S1353" s="469"/>
      <c r="T1353" s="469"/>
      <c r="U1353" s="469"/>
      <c r="V1353" s="469"/>
      <c r="W1353" s="469"/>
      <c r="X1353" s="469"/>
      <c r="Y1353" s="469"/>
      <c r="Z1353" s="469"/>
      <c r="AA1353" s="469"/>
      <c r="AB1353" s="469"/>
    </row>
    <row r="1354" ht="14.25" customHeight="1">
      <c r="A1354" s="464"/>
      <c r="B1354" s="481"/>
      <c r="C1354" s="466"/>
      <c r="D1354" s="484"/>
      <c r="E1354" s="466"/>
      <c r="F1354" s="485"/>
      <c r="G1354" s="485"/>
      <c r="H1354" s="485"/>
      <c r="I1354" s="331"/>
      <c r="J1354" s="469"/>
      <c r="K1354" s="469"/>
      <c r="L1354" s="469"/>
      <c r="M1354" s="469"/>
      <c r="N1354" s="469"/>
      <c r="O1354" s="469"/>
      <c r="P1354" s="469"/>
      <c r="Q1354" s="469"/>
      <c r="R1354" s="469"/>
      <c r="S1354" s="469"/>
      <c r="T1354" s="469"/>
      <c r="U1354" s="469"/>
      <c r="V1354" s="469"/>
      <c r="W1354" s="469"/>
      <c r="X1354" s="469"/>
      <c r="Y1354" s="469"/>
      <c r="Z1354" s="469"/>
      <c r="AA1354" s="469"/>
      <c r="AB1354" s="469"/>
    </row>
    <row r="1355" ht="14.25" customHeight="1">
      <c r="A1355" s="464"/>
      <c r="B1355" s="481"/>
      <c r="C1355" s="466"/>
      <c r="D1355" s="484"/>
      <c r="E1355" s="466"/>
      <c r="F1355" s="485"/>
      <c r="G1355" s="485"/>
      <c r="H1355" s="485"/>
      <c r="I1355" s="331"/>
      <c r="J1355" s="469"/>
      <c r="K1355" s="469"/>
      <c r="L1355" s="469"/>
      <c r="M1355" s="469"/>
      <c r="N1355" s="469"/>
      <c r="O1355" s="469"/>
      <c r="P1355" s="469"/>
      <c r="Q1355" s="469"/>
      <c r="R1355" s="469"/>
      <c r="S1355" s="469"/>
      <c r="T1355" s="469"/>
      <c r="U1355" s="469"/>
      <c r="V1355" s="469"/>
      <c r="W1355" s="469"/>
      <c r="X1355" s="469"/>
      <c r="Y1355" s="469"/>
      <c r="Z1355" s="469"/>
      <c r="AA1355" s="469"/>
      <c r="AB1355" s="469"/>
    </row>
    <row r="1356" ht="14.25" customHeight="1">
      <c r="A1356" s="464"/>
      <c r="B1356" s="481"/>
      <c r="C1356" s="466"/>
      <c r="D1356" s="484"/>
      <c r="E1356" s="466"/>
      <c r="F1356" s="485"/>
      <c r="G1356" s="485"/>
      <c r="H1356" s="485"/>
      <c r="I1356" s="331"/>
      <c r="J1356" s="469"/>
      <c r="K1356" s="469"/>
      <c r="L1356" s="469"/>
      <c r="M1356" s="469"/>
      <c r="N1356" s="469"/>
      <c r="O1356" s="469"/>
      <c r="P1356" s="469"/>
      <c r="Q1356" s="469"/>
      <c r="R1356" s="469"/>
      <c r="S1356" s="469"/>
      <c r="T1356" s="469"/>
      <c r="U1356" s="469"/>
      <c r="V1356" s="469"/>
      <c r="W1356" s="469"/>
      <c r="X1356" s="469"/>
      <c r="Y1356" s="469"/>
      <c r="Z1356" s="469"/>
      <c r="AA1356" s="469"/>
      <c r="AB1356" s="469"/>
    </row>
    <row r="1357" ht="14.25" customHeight="1">
      <c r="A1357" s="464"/>
      <c r="B1357" s="481"/>
      <c r="C1357" s="466"/>
      <c r="D1357" s="484"/>
      <c r="E1357" s="466"/>
      <c r="F1357" s="485"/>
      <c r="G1357" s="485"/>
      <c r="H1357" s="485"/>
      <c r="I1357" s="331"/>
      <c r="J1357" s="469"/>
      <c r="K1357" s="469"/>
      <c r="L1357" s="469"/>
      <c r="M1357" s="469"/>
      <c r="N1357" s="469"/>
      <c r="O1357" s="469"/>
      <c r="P1357" s="469"/>
      <c r="Q1357" s="469"/>
      <c r="R1357" s="469"/>
      <c r="S1357" s="469"/>
      <c r="T1357" s="469"/>
      <c r="U1357" s="469"/>
      <c r="V1357" s="469"/>
      <c r="W1357" s="469"/>
      <c r="X1357" s="469"/>
      <c r="Y1357" s="469"/>
      <c r="Z1357" s="469"/>
      <c r="AA1357" s="469"/>
      <c r="AB1357" s="469"/>
    </row>
    <row r="1358" ht="14.25" customHeight="1">
      <c r="A1358" s="464"/>
      <c r="B1358" s="481"/>
      <c r="C1358" s="466"/>
      <c r="D1358" s="484"/>
      <c r="E1358" s="466"/>
      <c r="F1358" s="485"/>
      <c r="G1358" s="485"/>
      <c r="H1358" s="485"/>
      <c r="I1358" s="331"/>
      <c r="J1358" s="469"/>
      <c r="K1358" s="469"/>
      <c r="L1358" s="469"/>
      <c r="M1358" s="469"/>
      <c r="N1358" s="469"/>
      <c r="O1358" s="469"/>
      <c r="P1358" s="469"/>
      <c r="Q1358" s="469"/>
      <c r="R1358" s="469"/>
      <c r="S1358" s="469"/>
      <c r="T1358" s="469"/>
      <c r="U1358" s="469"/>
      <c r="V1358" s="469"/>
      <c r="W1358" s="469"/>
      <c r="X1358" s="469"/>
      <c r="Y1358" s="469"/>
      <c r="Z1358" s="469"/>
      <c r="AA1358" s="469"/>
      <c r="AB1358" s="469"/>
    </row>
    <row r="1359" ht="14.25" customHeight="1">
      <c r="A1359" s="464"/>
      <c r="B1359" s="481"/>
      <c r="C1359" s="466"/>
      <c r="D1359" s="484"/>
      <c r="E1359" s="466"/>
      <c r="F1359" s="485"/>
      <c r="G1359" s="485"/>
      <c r="H1359" s="485"/>
      <c r="I1359" s="331"/>
      <c r="J1359" s="469"/>
      <c r="K1359" s="469"/>
      <c r="L1359" s="469"/>
      <c r="M1359" s="469"/>
      <c r="N1359" s="469"/>
      <c r="O1359" s="469"/>
      <c r="P1359" s="469"/>
      <c r="Q1359" s="469"/>
      <c r="R1359" s="469"/>
      <c r="S1359" s="469"/>
      <c r="T1359" s="469"/>
      <c r="U1359" s="469"/>
      <c r="V1359" s="469"/>
      <c r="W1359" s="469"/>
      <c r="X1359" s="469"/>
      <c r="Y1359" s="469"/>
      <c r="Z1359" s="469"/>
      <c r="AA1359" s="469"/>
      <c r="AB1359" s="469"/>
    </row>
    <row r="1360" ht="14.25" customHeight="1">
      <c r="A1360" s="464"/>
      <c r="B1360" s="481"/>
      <c r="C1360" s="466"/>
      <c r="D1360" s="484"/>
      <c r="E1360" s="466"/>
      <c r="F1360" s="485"/>
      <c r="G1360" s="485"/>
      <c r="H1360" s="485"/>
      <c r="I1360" s="331"/>
      <c r="J1360" s="469"/>
      <c r="K1360" s="469"/>
      <c r="L1360" s="469"/>
      <c r="M1360" s="469"/>
      <c r="N1360" s="469"/>
      <c r="O1360" s="469"/>
      <c r="P1360" s="469"/>
      <c r="Q1360" s="469"/>
      <c r="R1360" s="469"/>
      <c r="S1360" s="469"/>
      <c r="T1360" s="469"/>
      <c r="U1360" s="469"/>
      <c r="V1360" s="469"/>
      <c r="W1360" s="469"/>
      <c r="X1360" s="469"/>
      <c r="Y1360" s="469"/>
      <c r="Z1360" s="469"/>
      <c r="AA1360" s="469"/>
      <c r="AB1360" s="469"/>
    </row>
    <row r="1361" ht="14.25" customHeight="1">
      <c r="A1361" s="464"/>
      <c r="B1361" s="481"/>
      <c r="C1361" s="466"/>
      <c r="D1361" s="484"/>
      <c r="E1361" s="466"/>
      <c r="F1361" s="485"/>
      <c r="G1361" s="485"/>
      <c r="H1361" s="485"/>
      <c r="I1361" s="331"/>
      <c r="J1361" s="469"/>
      <c r="K1361" s="469"/>
      <c r="L1361" s="469"/>
      <c r="M1361" s="469"/>
      <c r="N1361" s="469"/>
      <c r="O1361" s="469"/>
      <c r="P1361" s="469"/>
      <c r="Q1361" s="469"/>
      <c r="R1361" s="469"/>
      <c r="S1361" s="469"/>
      <c r="T1361" s="469"/>
      <c r="U1361" s="469"/>
      <c r="V1361" s="469"/>
      <c r="W1361" s="469"/>
      <c r="X1361" s="469"/>
      <c r="Y1361" s="469"/>
      <c r="Z1361" s="469"/>
      <c r="AA1361" s="469"/>
      <c r="AB1361" s="469"/>
    </row>
    <row r="1362" ht="14.25" customHeight="1">
      <c r="A1362" s="464"/>
      <c r="B1362" s="481"/>
      <c r="C1362" s="466"/>
      <c r="D1362" s="484"/>
      <c r="E1362" s="466"/>
      <c r="F1362" s="485"/>
      <c r="G1362" s="485"/>
      <c r="H1362" s="485"/>
      <c r="I1362" s="331"/>
      <c r="J1362" s="469"/>
      <c r="K1362" s="469"/>
      <c r="L1362" s="469"/>
      <c r="M1362" s="469"/>
      <c r="N1362" s="469"/>
      <c r="O1362" s="469"/>
      <c r="P1362" s="469"/>
      <c r="Q1362" s="469"/>
      <c r="R1362" s="469"/>
      <c r="S1362" s="469"/>
      <c r="T1362" s="469"/>
      <c r="U1362" s="469"/>
      <c r="V1362" s="469"/>
      <c r="W1362" s="469"/>
      <c r="X1362" s="469"/>
      <c r="Y1362" s="469"/>
      <c r="Z1362" s="469"/>
      <c r="AA1362" s="469"/>
      <c r="AB1362" s="469"/>
    </row>
    <row r="1363" ht="14.25" customHeight="1">
      <c r="A1363" s="464"/>
      <c r="B1363" s="481"/>
      <c r="C1363" s="466"/>
      <c r="D1363" s="484"/>
      <c r="E1363" s="466"/>
      <c r="F1363" s="485"/>
      <c r="G1363" s="485"/>
      <c r="H1363" s="485"/>
      <c r="I1363" s="331"/>
      <c r="J1363" s="469"/>
      <c r="K1363" s="469"/>
      <c r="L1363" s="469"/>
      <c r="M1363" s="469"/>
      <c r="N1363" s="469"/>
      <c r="O1363" s="469"/>
      <c r="P1363" s="469"/>
      <c r="Q1363" s="469"/>
      <c r="R1363" s="469"/>
      <c r="S1363" s="469"/>
      <c r="T1363" s="469"/>
      <c r="U1363" s="469"/>
      <c r="V1363" s="469"/>
      <c r="W1363" s="469"/>
      <c r="X1363" s="469"/>
      <c r="Y1363" s="469"/>
      <c r="Z1363" s="469"/>
      <c r="AA1363" s="469"/>
      <c r="AB1363" s="469"/>
    </row>
    <row r="1364" ht="14.25" customHeight="1">
      <c r="A1364" s="464"/>
      <c r="B1364" s="481"/>
      <c r="C1364" s="466"/>
      <c r="D1364" s="484"/>
      <c r="E1364" s="466"/>
      <c r="F1364" s="485"/>
      <c r="G1364" s="485"/>
      <c r="H1364" s="485"/>
      <c r="I1364" s="331"/>
      <c r="J1364" s="469"/>
      <c r="K1364" s="469"/>
      <c r="L1364" s="469"/>
      <c r="M1364" s="469"/>
      <c r="N1364" s="469"/>
      <c r="O1364" s="469"/>
      <c r="P1364" s="469"/>
      <c r="Q1364" s="469"/>
      <c r="R1364" s="469"/>
      <c r="S1364" s="469"/>
      <c r="T1364" s="469"/>
      <c r="U1364" s="469"/>
      <c r="V1364" s="469"/>
      <c r="W1364" s="469"/>
      <c r="X1364" s="469"/>
      <c r="Y1364" s="469"/>
      <c r="Z1364" s="469"/>
      <c r="AA1364" s="469"/>
      <c r="AB1364" s="469"/>
    </row>
    <row r="1365" ht="14.25" customHeight="1">
      <c r="A1365" s="464"/>
      <c r="B1365" s="481"/>
      <c r="C1365" s="466"/>
      <c r="D1365" s="484"/>
      <c r="E1365" s="466"/>
      <c r="F1365" s="485"/>
      <c r="G1365" s="485"/>
      <c r="H1365" s="485"/>
      <c r="I1365" s="331"/>
      <c r="J1365" s="469"/>
      <c r="K1365" s="469"/>
      <c r="L1365" s="469"/>
      <c r="M1365" s="469"/>
      <c r="N1365" s="469"/>
      <c r="O1365" s="469"/>
      <c r="P1365" s="469"/>
      <c r="Q1365" s="469"/>
      <c r="R1365" s="469"/>
      <c r="S1365" s="469"/>
      <c r="T1365" s="469"/>
      <c r="U1365" s="469"/>
      <c r="V1365" s="469"/>
      <c r="W1365" s="469"/>
      <c r="X1365" s="469"/>
      <c r="Y1365" s="469"/>
      <c r="Z1365" s="469"/>
      <c r="AA1365" s="469"/>
      <c r="AB1365" s="469"/>
    </row>
    <row r="1366" ht="14.25" customHeight="1">
      <c r="A1366" s="464"/>
      <c r="B1366" s="481"/>
      <c r="C1366" s="466"/>
      <c r="D1366" s="484"/>
      <c r="E1366" s="466"/>
      <c r="F1366" s="485"/>
      <c r="G1366" s="485"/>
      <c r="H1366" s="485"/>
      <c r="I1366" s="331"/>
      <c r="J1366" s="469"/>
      <c r="K1366" s="469"/>
      <c r="L1366" s="469"/>
      <c r="M1366" s="469"/>
      <c r="N1366" s="469"/>
      <c r="O1366" s="469"/>
      <c r="P1366" s="469"/>
      <c r="Q1366" s="469"/>
      <c r="R1366" s="469"/>
      <c r="S1366" s="469"/>
      <c r="T1366" s="469"/>
      <c r="U1366" s="469"/>
      <c r="V1366" s="469"/>
      <c r="W1366" s="469"/>
      <c r="X1366" s="469"/>
      <c r="Y1366" s="469"/>
      <c r="Z1366" s="469"/>
      <c r="AA1366" s="469"/>
      <c r="AB1366" s="469"/>
    </row>
    <row r="1367" ht="14.25" customHeight="1">
      <c r="A1367" s="464"/>
      <c r="B1367" s="481"/>
      <c r="C1367" s="466"/>
      <c r="D1367" s="484"/>
      <c r="E1367" s="466"/>
      <c r="F1367" s="485"/>
      <c r="G1367" s="485"/>
      <c r="H1367" s="485"/>
      <c r="I1367" s="331"/>
      <c r="J1367" s="469"/>
      <c r="K1367" s="469"/>
      <c r="L1367" s="469"/>
      <c r="M1367" s="469"/>
      <c r="N1367" s="469"/>
      <c r="O1367" s="469"/>
      <c r="P1367" s="469"/>
      <c r="Q1367" s="469"/>
      <c r="R1367" s="469"/>
      <c r="S1367" s="469"/>
      <c r="T1367" s="469"/>
      <c r="U1367" s="469"/>
      <c r="V1367" s="469"/>
      <c r="W1367" s="469"/>
      <c r="X1367" s="469"/>
      <c r="Y1367" s="469"/>
      <c r="Z1367" s="469"/>
      <c r="AA1367" s="469"/>
      <c r="AB1367" s="469"/>
    </row>
    <row r="1368" ht="14.25" customHeight="1">
      <c r="A1368" s="464"/>
      <c r="B1368" s="481"/>
      <c r="C1368" s="466"/>
      <c r="D1368" s="484"/>
      <c r="E1368" s="466"/>
      <c r="F1368" s="485"/>
      <c r="G1368" s="485"/>
      <c r="H1368" s="485"/>
      <c r="I1368" s="331"/>
      <c r="J1368" s="469"/>
      <c r="K1368" s="469"/>
      <c r="L1368" s="469"/>
      <c r="M1368" s="469"/>
      <c r="N1368" s="469"/>
      <c r="O1368" s="469"/>
      <c r="P1368" s="469"/>
      <c r="Q1368" s="469"/>
      <c r="R1368" s="469"/>
      <c r="S1368" s="469"/>
      <c r="T1368" s="469"/>
      <c r="U1368" s="469"/>
      <c r="V1368" s="469"/>
      <c r="W1368" s="469"/>
      <c r="X1368" s="469"/>
      <c r="Y1368" s="469"/>
      <c r="Z1368" s="469"/>
      <c r="AA1368" s="469"/>
      <c r="AB1368" s="469"/>
    </row>
    <row r="1369" ht="14.25" customHeight="1">
      <c r="A1369" s="464"/>
      <c r="B1369" s="481"/>
      <c r="C1369" s="466"/>
      <c r="D1369" s="484"/>
      <c r="E1369" s="466"/>
      <c r="F1369" s="485"/>
      <c r="G1369" s="485"/>
      <c r="H1369" s="485"/>
      <c r="I1369" s="331"/>
      <c r="J1369" s="469"/>
      <c r="K1369" s="469"/>
      <c r="L1369" s="469"/>
      <c r="M1369" s="469"/>
      <c r="N1369" s="469"/>
      <c r="O1369" s="469"/>
      <c r="P1369" s="469"/>
      <c r="Q1369" s="469"/>
      <c r="R1369" s="469"/>
      <c r="S1369" s="469"/>
      <c r="T1369" s="469"/>
      <c r="U1369" s="469"/>
      <c r="V1369" s="469"/>
      <c r="W1369" s="469"/>
      <c r="X1369" s="469"/>
      <c r="Y1369" s="469"/>
      <c r="Z1369" s="469"/>
      <c r="AA1369" s="469"/>
      <c r="AB1369" s="469"/>
    </row>
    <row r="1370" ht="14.25" customHeight="1">
      <c r="A1370" s="464"/>
      <c r="B1370" s="481"/>
      <c r="C1370" s="466"/>
      <c r="D1370" s="484"/>
      <c r="E1370" s="466"/>
      <c r="F1370" s="485"/>
      <c r="G1370" s="485"/>
      <c r="H1370" s="485"/>
      <c r="I1370" s="331"/>
      <c r="J1370" s="469"/>
      <c r="K1370" s="469"/>
      <c r="L1370" s="469"/>
      <c r="M1370" s="469"/>
      <c r="N1370" s="469"/>
      <c r="O1370" s="469"/>
      <c r="P1370" s="469"/>
      <c r="Q1370" s="469"/>
      <c r="R1370" s="469"/>
      <c r="S1370" s="469"/>
      <c r="T1370" s="469"/>
      <c r="U1370" s="469"/>
      <c r="V1370" s="469"/>
      <c r="W1370" s="469"/>
      <c r="X1370" s="469"/>
      <c r="Y1370" s="469"/>
      <c r="Z1370" s="469"/>
      <c r="AA1370" s="469"/>
      <c r="AB1370" s="469"/>
    </row>
    <row r="1371" ht="14.25" customHeight="1">
      <c r="A1371" s="464"/>
      <c r="B1371" s="481"/>
      <c r="C1371" s="466"/>
      <c r="D1371" s="484"/>
      <c r="E1371" s="466"/>
      <c r="F1371" s="485"/>
      <c r="G1371" s="485"/>
      <c r="H1371" s="485"/>
      <c r="I1371" s="331"/>
      <c r="J1371" s="469"/>
      <c r="K1371" s="469"/>
      <c r="L1371" s="469"/>
      <c r="M1371" s="469"/>
      <c r="N1371" s="469"/>
      <c r="O1371" s="469"/>
      <c r="P1371" s="469"/>
      <c r="Q1371" s="469"/>
      <c r="R1371" s="469"/>
      <c r="S1371" s="469"/>
      <c r="T1371" s="469"/>
      <c r="U1371" s="469"/>
      <c r="V1371" s="469"/>
      <c r="W1371" s="469"/>
      <c r="X1371" s="469"/>
      <c r="Y1371" s="469"/>
      <c r="Z1371" s="469"/>
      <c r="AA1371" s="469"/>
      <c r="AB1371" s="469"/>
    </row>
    <row r="1372" ht="14.25" customHeight="1">
      <c r="A1372" s="464"/>
      <c r="B1372" s="481"/>
      <c r="C1372" s="466"/>
      <c r="D1372" s="484"/>
      <c r="E1372" s="466"/>
      <c r="F1372" s="485"/>
      <c r="G1372" s="485"/>
      <c r="H1372" s="485"/>
      <c r="I1372" s="331"/>
      <c r="J1372" s="469"/>
      <c r="K1372" s="469"/>
      <c r="L1372" s="469"/>
      <c r="M1372" s="469"/>
      <c r="N1372" s="469"/>
      <c r="O1372" s="469"/>
      <c r="P1372" s="469"/>
      <c r="Q1372" s="469"/>
      <c r="R1372" s="469"/>
      <c r="S1372" s="469"/>
      <c r="T1372" s="469"/>
      <c r="U1372" s="469"/>
      <c r="V1372" s="469"/>
      <c r="W1372" s="469"/>
      <c r="X1372" s="469"/>
      <c r="Y1372" s="469"/>
      <c r="Z1372" s="469"/>
      <c r="AA1372" s="469"/>
      <c r="AB1372" s="469"/>
    </row>
    <row r="1373" ht="14.25" customHeight="1">
      <c r="A1373" s="464"/>
      <c r="B1373" s="481"/>
      <c r="C1373" s="466"/>
      <c r="D1373" s="484"/>
      <c r="E1373" s="466"/>
      <c r="F1373" s="485"/>
      <c r="G1373" s="485"/>
      <c r="H1373" s="485"/>
      <c r="I1373" s="331"/>
      <c r="J1373" s="469"/>
      <c r="K1373" s="469"/>
      <c r="L1373" s="469"/>
      <c r="M1373" s="469"/>
      <c r="N1373" s="469"/>
      <c r="O1373" s="469"/>
      <c r="P1373" s="469"/>
      <c r="Q1373" s="469"/>
      <c r="R1373" s="469"/>
      <c r="S1373" s="469"/>
      <c r="T1373" s="469"/>
      <c r="U1373" s="469"/>
      <c r="V1373" s="469"/>
      <c r="W1373" s="469"/>
      <c r="X1373" s="469"/>
      <c r="Y1373" s="469"/>
      <c r="Z1373" s="469"/>
      <c r="AA1373" s="469"/>
      <c r="AB1373" s="469"/>
    </row>
    <row r="1374" ht="14.25" customHeight="1">
      <c r="A1374" s="464"/>
      <c r="B1374" s="481"/>
      <c r="C1374" s="466"/>
      <c r="D1374" s="484"/>
      <c r="E1374" s="466"/>
      <c r="F1374" s="485"/>
      <c r="G1374" s="485"/>
      <c r="H1374" s="485"/>
      <c r="I1374" s="331"/>
      <c r="J1374" s="469"/>
      <c r="K1374" s="469"/>
      <c r="L1374" s="469"/>
      <c r="M1374" s="469"/>
      <c r="N1374" s="469"/>
      <c r="O1374" s="469"/>
      <c r="P1374" s="469"/>
      <c r="Q1374" s="469"/>
      <c r="R1374" s="469"/>
      <c r="S1374" s="469"/>
      <c r="T1374" s="469"/>
      <c r="U1374" s="469"/>
      <c r="V1374" s="469"/>
      <c r="W1374" s="469"/>
      <c r="X1374" s="469"/>
      <c r="Y1374" s="469"/>
      <c r="Z1374" s="469"/>
      <c r="AA1374" s="469"/>
      <c r="AB1374" s="469"/>
    </row>
    <row r="1375" ht="14.25" customHeight="1">
      <c r="A1375" s="464"/>
      <c r="B1375" s="481"/>
      <c r="C1375" s="466"/>
      <c r="D1375" s="484"/>
      <c r="E1375" s="466"/>
      <c r="F1375" s="485"/>
      <c r="G1375" s="485"/>
      <c r="H1375" s="485"/>
      <c r="I1375" s="331"/>
      <c r="J1375" s="469"/>
      <c r="K1375" s="469"/>
      <c r="L1375" s="469"/>
      <c r="M1375" s="469"/>
      <c r="N1375" s="469"/>
      <c r="O1375" s="469"/>
      <c r="P1375" s="469"/>
      <c r="Q1375" s="469"/>
      <c r="R1375" s="469"/>
      <c r="S1375" s="469"/>
      <c r="T1375" s="469"/>
      <c r="U1375" s="469"/>
      <c r="V1375" s="469"/>
      <c r="W1375" s="469"/>
      <c r="X1375" s="469"/>
      <c r="Y1375" s="469"/>
      <c r="Z1375" s="469"/>
      <c r="AA1375" s="469"/>
      <c r="AB1375" s="469"/>
    </row>
    <row r="1376" ht="14.25" customHeight="1">
      <c r="A1376" s="464"/>
      <c r="B1376" s="481"/>
      <c r="C1376" s="466"/>
      <c r="D1376" s="484"/>
      <c r="E1376" s="466"/>
      <c r="F1376" s="485"/>
      <c r="G1376" s="485"/>
      <c r="H1376" s="485"/>
      <c r="I1376" s="331"/>
      <c r="J1376" s="469"/>
      <c r="K1376" s="469"/>
      <c r="L1376" s="469"/>
      <c r="M1376" s="469"/>
      <c r="N1376" s="469"/>
      <c r="O1376" s="469"/>
      <c r="P1376" s="469"/>
      <c r="Q1376" s="469"/>
      <c r="R1376" s="469"/>
      <c r="S1376" s="469"/>
      <c r="T1376" s="469"/>
      <c r="U1376" s="469"/>
      <c r="V1376" s="469"/>
      <c r="W1376" s="469"/>
      <c r="X1376" s="469"/>
      <c r="Y1376" s="469"/>
      <c r="Z1376" s="469"/>
      <c r="AA1376" s="469"/>
      <c r="AB1376" s="469"/>
    </row>
    <row r="1377" ht="14.25" customHeight="1">
      <c r="A1377" s="464"/>
      <c r="B1377" s="481"/>
      <c r="C1377" s="466"/>
      <c r="D1377" s="484"/>
      <c r="E1377" s="466"/>
      <c r="F1377" s="485"/>
      <c r="G1377" s="485"/>
      <c r="H1377" s="485"/>
      <c r="I1377" s="331"/>
      <c r="J1377" s="469"/>
      <c r="K1377" s="469"/>
      <c r="L1377" s="469"/>
      <c r="M1377" s="469"/>
      <c r="N1377" s="469"/>
      <c r="O1377" s="469"/>
      <c r="P1377" s="469"/>
      <c r="Q1377" s="469"/>
      <c r="R1377" s="469"/>
      <c r="S1377" s="469"/>
      <c r="T1377" s="469"/>
      <c r="U1377" s="469"/>
      <c r="V1377" s="469"/>
      <c r="W1377" s="469"/>
      <c r="X1377" s="469"/>
      <c r="Y1377" s="469"/>
      <c r="Z1377" s="469"/>
      <c r="AA1377" s="469"/>
      <c r="AB1377" s="469"/>
    </row>
    <row r="1378" ht="14.25" customHeight="1">
      <c r="A1378" s="464"/>
      <c r="B1378" s="481"/>
      <c r="C1378" s="466"/>
      <c r="D1378" s="484"/>
      <c r="E1378" s="466"/>
      <c r="F1378" s="485"/>
      <c r="G1378" s="485"/>
      <c r="H1378" s="485"/>
      <c r="I1378" s="331"/>
      <c r="J1378" s="469"/>
      <c r="K1378" s="469"/>
      <c r="L1378" s="469"/>
      <c r="M1378" s="469"/>
      <c r="N1378" s="469"/>
      <c r="O1378" s="469"/>
      <c r="P1378" s="469"/>
      <c r="Q1378" s="469"/>
      <c r="R1378" s="469"/>
      <c r="S1378" s="469"/>
      <c r="T1378" s="469"/>
      <c r="U1378" s="469"/>
      <c r="V1378" s="469"/>
      <c r="W1378" s="469"/>
      <c r="X1378" s="469"/>
      <c r="Y1378" s="469"/>
      <c r="Z1378" s="469"/>
      <c r="AA1378" s="469"/>
      <c r="AB1378" s="469"/>
    </row>
    <row r="1379" ht="14.25" customHeight="1">
      <c r="A1379" s="464"/>
      <c r="B1379" s="481"/>
      <c r="C1379" s="466"/>
      <c r="D1379" s="484"/>
      <c r="E1379" s="466"/>
      <c r="F1379" s="485"/>
      <c r="G1379" s="485"/>
      <c r="H1379" s="485"/>
      <c r="I1379" s="331"/>
      <c r="J1379" s="469"/>
      <c r="K1379" s="469"/>
      <c r="L1379" s="469"/>
      <c r="M1379" s="469"/>
      <c r="N1379" s="469"/>
      <c r="O1379" s="469"/>
      <c r="P1379" s="469"/>
      <c r="Q1379" s="469"/>
      <c r="R1379" s="469"/>
      <c r="S1379" s="469"/>
      <c r="T1379" s="469"/>
      <c r="U1379" s="469"/>
      <c r="V1379" s="469"/>
      <c r="W1379" s="469"/>
      <c r="X1379" s="469"/>
      <c r="Y1379" s="469"/>
      <c r="Z1379" s="469"/>
      <c r="AA1379" s="469"/>
      <c r="AB1379" s="469"/>
    </row>
    <row r="1380" ht="14.25" customHeight="1">
      <c r="A1380" s="464"/>
      <c r="B1380" s="481"/>
      <c r="C1380" s="466"/>
      <c r="D1380" s="484"/>
      <c r="E1380" s="466"/>
      <c r="F1380" s="485"/>
      <c r="G1380" s="485"/>
      <c r="H1380" s="485"/>
      <c r="I1380" s="331"/>
      <c r="J1380" s="469"/>
      <c r="K1380" s="469"/>
      <c r="L1380" s="469"/>
      <c r="M1380" s="469"/>
      <c r="N1380" s="469"/>
      <c r="O1380" s="469"/>
      <c r="P1380" s="469"/>
      <c r="Q1380" s="469"/>
      <c r="R1380" s="469"/>
      <c r="S1380" s="469"/>
      <c r="T1380" s="469"/>
      <c r="U1380" s="469"/>
      <c r="V1380" s="469"/>
      <c r="W1380" s="469"/>
      <c r="X1380" s="469"/>
      <c r="Y1380" s="469"/>
      <c r="Z1380" s="469"/>
      <c r="AA1380" s="469"/>
      <c r="AB1380" s="469"/>
    </row>
    <row r="1381" ht="14.25" customHeight="1">
      <c r="A1381" s="464"/>
      <c r="B1381" s="481"/>
      <c r="C1381" s="466"/>
      <c r="D1381" s="484"/>
      <c r="E1381" s="466"/>
      <c r="F1381" s="485"/>
      <c r="G1381" s="485"/>
      <c r="H1381" s="485"/>
      <c r="I1381" s="331"/>
      <c r="J1381" s="469"/>
      <c r="K1381" s="469"/>
      <c r="L1381" s="469"/>
      <c r="M1381" s="469"/>
      <c r="N1381" s="469"/>
      <c r="O1381" s="469"/>
      <c r="P1381" s="469"/>
      <c r="Q1381" s="469"/>
      <c r="R1381" s="469"/>
      <c r="S1381" s="469"/>
      <c r="T1381" s="469"/>
      <c r="U1381" s="469"/>
      <c r="V1381" s="469"/>
      <c r="W1381" s="469"/>
      <c r="X1381" s="469"/>
      <c r="Y1381" s="469"/>
      <c r="Z1381" s="469"/>
      <c r="AA1381" s="469"/>
      <c r="AB1381" s="469"/>
    </row>
    <row r="1382" ht="14.25" customHeight="1">
      <c r="A1382" s="464"/>
      <c r="B1382" s="481"/>
      <c r="C1382" s="466"/>
      <c r="D1382" s="484"/>
      <c r="E1382" s="466"/>
      <c r="F1382" s="485"/>
      <c r="G1382" s="485"/>
      <c r="H1382" s="485"/>
      <c r="I1382" s="331"/>
      <c r="J1382" s="469"/>
      <c r="K1382" s="469"/>
      <c r="L1382" s="469"/>
      <c r="M1382" s="469"/>
      <c r="N1382" s="469"/>
      <c r="O1382" s="469"/>
      <c r="P1382" s="469"/>
      <c r="Q1382" s="469"/>
      <c r="R1382" s="469"/>
      <c r="S1382" s="469"/>
      <c r="T1382" s="469"/>
      <c r="U1382" s="469"/>
      <c r="V1382" s="469"/>
      <c r="W1382" s="469"/>
      <c r="X1382" s="469"/>
      <c r="Y1382" s="469"/>
      <c r="Z1382" s="469"/>
      <c r="AA1382" s="469"/>
      <c r="AB1382" s="469"/>
    </row>
    <row r="1383" ht="14.25" customHeight="1">
      <c r="A1383" s="464"/>
      <c r="B1383" s="481"/>
      <c r="C1383" s="466"/>
      <c r="D1383" s="484"/>
      <c r="E1383" s="466"/>
      <c r="F1383" s="485"/>
      <c r="G1383" s="485"/>
      <c r="H1383" s="485"/>
      <c r="I1383" s="331"/>
      <c r="J1383" s="469"/>
      <c r="K1383" s="469"/>
      <c r="L1383" s="469"/>
      <c r="M1383" s="469"/>
      <c r="N1383" s="469"/>
      <c r="O1383" s="469"/>
      <c r="P1383" s="469"/>
      <c r="Q1383" s="469"/>
      <c r="R1383" s="469"/>
      <c r="S1383" s="469"/>
      <c r="T1383" s="469"/>
      <c r="U1383" s="469"/>
      <c r="V1383" s="469"/>
      <c r="W1383" s="469"/>
      <c r="X1383" s="469"/>
      <c r="Y1383" s="469"/>
      <c r="Z1383" s="469"/>
      <c r="AA1383" s="469"/>
      <c r="AB1383" s="469"/>
    </row>
    <row r="1384" ht="14.25" customHeight="1">
      <c r="A1384" s="464"/>
      <c r="B1384" s="481"/>
      <c r="C1384" s="466"/>
      <c r="D1384" s="484"/>
      <c r="E1384" s="466"/>
      <c r="F1384" s="485"/>
      <c r="G1384" s="485"/>
      <c r="H1384" s="485"/>
      <c r="I1384" s="331"/>
      <c r="J1384" s="469"/>
      <c r="K1384" s="469"/>
      <c r="L1384" s="469"/>
      <c r="M1384" s="469"/>
      <c r="N1384" s="469"/>
      <c r="O1384" s="469"/>
      <c r="P1384" s="469"/>
      <c r="Q1384" s="469"/>
      <c r="R1384" s="469"/>
      <c r="S1384" s="469"/>
      <c r="T1384" s="469"/>
      <c r="U1384" s="469"/>
      <c r="V1384" s="469"/>
      <c r="W1384" s="469"/>
      <c r="X1384" s="469"/>
      <c r="Y1384" s="469"/>
      <c r="Z1384" s="469"/>
      <c r="AA1384" s="469"/>
      <c r="AB1384" s="469"/>
    </row>
    <row r="1385" ht="14.25" customHeight="1">
      <c r="A1385" s="464"/>
      <c r="B1385" s="481"/>
      <c r="C1385" s="466"/>
      <c r="D1385" s="484"/>
      <c r="E1385" s="466"/>
      <c r="F1385" s="485"/>
      <c r="G1385" s="485"/>
      <c r="H1385" s="485"/>
      <c r="I1385" s="331"/>
      <c r="J1385" s="469"/>
      <c r="K1385" s="469"/>
      <c r="L1385" s="469"/>
      <c r="M1385" s="469"/>
      <c r="N1385" s="469"/>
      <c r="O1385" s="469"/>
      <c r="P1385" s="469"/>
      <c r="Q1385" s="469"/>
      <c r="R1385" s="469"/>
      <c r="S1385" s="469"/>
      <c r="T1385" s="469"/>
      <c r="U1385" s="469"/>
      <c r="V1385" s="469"/>
      <c r="W1385" s="469"/>
      <c r="X1385" s="469"/>
      <c r="Y1385" s="469"/>
      <c r="Z1385" s="469"/>
      <c r="AA1385" s="469"/>
      <c r="AB1385" s="469"/>
    </row>
    <row r="1386" ht="14.25" customHeight="1">
      <c r="A1386" s="464"/>
      <c r="B1386" s="481"/>
      <c r="C1386" s="466"/>
      <c r="D1386" s="484"/>
      <c r="E1386" s="466"/>
      <c r="F1386" s="485"/>
      <c r="G1386" s="485"/>
      <c r="H1386" s="485"/>
      <c r="I1386" s="331"/>
      <c r="J1386" s="469"/>
      <c r="K1386" s="469"/>
      <c r="L1386" s="469"/>
      <c r="M1386" s="469"/>
      <c r="N1386" s="469"/>
      <c r="O1386" s="469"/>
      <c r="P1386" s="469"/>
      <c r="Q1386" s="469"/>
      <c r="R1386" s="469"/>
      <c r="S1386" s="469"/>
      <c r="T1386" s="469"/>
      <c r="U1386" s="469"/>
      <c r="V1386" s="469"/>
      <c r="W1386" s="469"/>
      <c r="X1386" s="469"/>
      <c r="Y1386" s="469"/>
      <c r="Z1386" s="469"/>
      <c r="AA1386" s="469"/>
      <c r="AB1386" s="469"/>
    </row>
    <row r="1387" ht="14.25" customHeight="1">
      <c r="A1387" s="464"/>
      <c r="B1387" s="481"/>
      <c r="C1387" s="466"/>
      <c r="D1387" s="484"/>
      <c r="E1387" s="466"/>
      <c r="F1387" s="485"/>
      <c r="G1387" s="485"/>
      <c r="H1387" s="485"/>
      <c r="I1387" s="331"/>
      <c r="J1387" s="469"/>
      <c r="K1387" s="469"/>
      <c r="L1387" s="469"/>
      <c r="M1387" s="469"/>
      <c r="N1387" s="469"/>
      <c r="O1387" s="469"/>
      <c r="P1387" s="469"/>
      <c r="Q1387" s="469"/>
      <c r="R1387" s="469"/>
      <c r="S1387" s="469"/>
      <c r="T1387" s="469"/>
      <c r="U1387" s="469"/>
      <c r="V1387" s="469"/>
      <c r="W1387" s="469"/>
      <c r="X1387" s="469"/>
      <c r="Y1387" s="469"/>
      <c r="Z1387" s="469"/>
      <c r="AA1387" s="469"/>
      <c r="AB1387" s="469"/>
    </row>
    <row r="1388" ht="14.25" customHeight="1">
      <c r="A1388" s="464"/>
      <c r="B1388" s="481"/>
      <c r="C1388" s="466"/>
      <c r="D1388" s="484"/>
      <c r="E1388" s="466"/>
      <c r="F1388" s="485"/>
      <c r="G1388" s="485"/>
      <c r="H1388" s="485"/>
      <c r="I1388" s="331"/>
      <c r="J1388" s="469"/>
      <c r="K1388" s="469"/>
      <c r="L1388" s="469"/>
      <c r="M1388" s="469"/>
      <c r="N1388" s="469"/>
      <c r="O1388" s="469"/>
      <c r="P1388" s="469"/>
      <c r="Q1388" s="469"/>
      <c r="R1388" s="469"/>
      <c r="S1388" s="469"/>
      <c r="T1388" s="469"/>
      <c r="U1388" s="469"/>
      <c r="V1388" s="469"/>
      <c r="W1388" s="469"/>
      <c r="X1388" s="469"/>
      <c r="Y1388" s="469"/>
      <c r="Z1388" s="469"/>
      <c r="AA1388" s="469"/>
      <c r="AB1388" s="469"/>
    </row>
    <row r="1389" ht="14.25" customHeight="1">
      <c r="A1389" s="464"/>
      <c r="B1389" s="481"/>
      <c r="C1389" s="466"/>
      <c r="D1389" s="484"/>
      <c r="E1389" s="466"/>
      <c r="F1389" s="485"/>
      <c r="G1389" s="485"/>
      <c r="H1389" s="485"/>
      <c r="I1389" s="331"/>
      <c r="J1389" s="469"/>
      <c r="K1389" s="469"/>
      <c r="L1389" s="469"/>
      <c r="M1389" s="469"/>
      <c r="N1389" s="469"/>
      <c r="O1389" s="469"/>
      <c r="P1389" s="469"/>
      <c r="Q1389" s="469"/>
      <c r="R1389" s="469"/>
      <c r="S1389" s="469"/>
      <c r="T1389" s="469"/>
      <c r="U1389" s="469"/>
      <c r="V1389" s="469"/>
      <c r="W1389" s="469"/>
      <c r="X1389" s="469"/>
      <c r="Y1389" s="469"/>
      <c r="Z1389" s="469"/>
      <c r="AA1389" s="469"/>
      <c r="AB1389" s="469"/>
    </row>
    <row r="1390" ht="14.25" customHeight="1">
      <c r="A1390" s="464"/>
      <c r="B1390" s="481"/>
      <c r="C1390" s="466"/>
      <c r="D1390" s="484"/>
      <c r="E1390" s="466"/>
      <c r="F1390" s="485"/>
      <c r="G1390" s="485"/>
      <c r="H1390" s="485"/>
      <c r="I1390" s="331"/>
      <c r="J1390" s="469"/>
      <c r="K1390" s="469"/>
      <c r="L1390" s="469"/>
      <c r="M1390" s="469"/>
      <c r="N1390" s="469"/>
      <c r="O1390" s="469"/>
      <c r="P1390" s="469"/>
      <c r="Q1390" s="469"/>
      <c r="R1390" s="469"/>
      <c r="S1390" s="469"/>
      <c r="T1390" s="469"/>
      <c r="U1390" s="469"/>
      <c r="V1390" s="469"/>
      <c r="W1390" s="469"/>
      <c r="X1390" s="469"/>
      <c r="Y1390" s="469"/>
      <c r="Z1390" s="469"/>
      <c r="AA1390" s="469"/>
      <c r="AB1390" s="469"/>
    </row>
    <row r="1391" ht="14.25" customHeight="1">
      <c r="A1391" s="464"/>
      <c r="B1391" s="481"/>
      <c r="C1391" s="466"/>
      <c r="D1391" s="484"/>
      <c r="E1391" s="466"/>
      <c r="F1391" s="485"/>
      <c r="G1391" s="485"/>
      <c r="H1391" s="485"/>
      <c r="I1391" s="331"/>
      <c r="J1391" s="469"/>
      <c r="K1391" s="469"/>
      <c r="L1391" s="469"/>
      <c r="M1391" s="469"/>
      <c r="N1391" s="469"/>
      <c r="O1391" s="469"/>
      <c r="P1391" s="469"/>
      <c r="Q1391" s="469"/>
      <c r="R1391" s="469"/>
      <c r="S1391" s="469"/>
      <c r="T1391" s="469"/>
      <c r="U1391" s="469"/>
      <c r="V1391" s="469"/>
      <c r="W1391" s="469"/>
      <c r="X1391" s="469"/>
      <c r="Y1391" s="469"/>
      <c r="Z1391" s="469"/>
      <c r="AA1391" s="469"/>
      <c r="AB1391" s="469"/>
    </row>
    <row r="1392" ht="14.25" customHeight="1">
      <c r="A1392" s="464"/>
      <c r="B1392" s="481"/>
      <c r="C1392" s="466"/>
      <c r="D1392" s="484"/>
      <c r="E1392" s="466"/>
      <c r="F1392" s="485"/>
      <c r="G1392" s="485"/>
      <c r="H1392" s="485"/>
      <c r="I1392" s="331"/>
      <c r="J1392" s="469"/>
      <c r="K1392" s="469"/>
      <c r="L1392" s="469"/>
      <c r="M1392" s="469"/>
      <c r="N1392" s="469"/>
      <c r="O1392" s="469"/>
      <c r="P1392" s="469"/>
      <c r="Q1392" s="469"/>
      <c r="R1392" s="469"/>
      <c r="S1392" s="469"/>
      <c r="T1392" s="469"/>
      <c r="U1392" s="469"/>
      <c r="V1392" s="469"/>
      <c r="W1392" s="469"/>
      <c r="X1392" s="469"/>
      <c r="Y1392" s="469"/>
      <c r="Z1392" s="469"/>
      <c r="AA1392" s="469"/>
      <c r="AB1392" s="469"/>
    </row>
    <row r="1393" ht="14.25" customHeight="1">
      <c r="A1393" s="464"/>
      <c r="B1393" s="481"/>
      <c r="C1393" s="466"/>
      <c r="D1393" s="484"/>
      <c r="E1393" s="466"/>
      <c r="F1393" s="485"/>
      <c r="G1393" s="485"/>
      <c r="H1393" s="485"/>
      <c r="I1393" s="331"/>
      <c r="J1393" s="469"/>
      <c r="K1393" s="469"/>
      <c r="L1393" s="469"/>
      <c r="M1393" s="469"/>
      <c r="N1393" s="469"/>
      <c r="O1393" s="469"/>
      <c r="P1393" s="469"/>
      <c r="Q1393" s="469"/>
      <c r="R1393" s="469"/>
      <c r="S1393" s="469"/>
      <c r="T1393" s="469"/>
      <c r="U1393" s="469"/>
      <c r="V1393" s="469"/>
      <c r="W1393" s="469"/>
      <c r="X1393" s="469"/>
      <c r="Y1393" s="469"/>
      <c r="Z1393" s="469"/>
      <c r="AA1393" s="469"/>
      <c r="AB1393" s="469"/>
    </row>
    <row r="1394" ht="14.25" customHeight="1">
      <c r="A1394" s="464"/>
      <c r="B1394" s="481"/>
      <c r="C1394" s="466"/>
      <c r="D1394" s="484"/>
      <c r="E1394" s="466"/>
      <c r="F1394" s="485"/>
      <c r="G1394" s="485"/>
      <c r="H1394" s="485"/>
      <c r="I1394" s="331"/>
      <c r="J1394" s="469"/>
      <c r="K1394" s="469"/>
      <c r="L1394" s="469"/>
      <c r="M1394" s="469"/>
      <c r="N1394" s="469"/>
      <c r="O1394" s="469"/>
      <c r="P1394" s="469"/>
      <c r="Q1394" s="469"/>
      <c r="R1394" s="469"/>
      <c r="S1394" s="469"/>
      <c r="T1394" s="469"/>
      <c r="U1394" s="469"/>
      <c r="V1394" s="469"/>
      <c r="W1394" s="469"/>
      <c r="X1394" s="469"/>
      <c r="Y1394" s="469"/>
      <c r="Z1394" s="469"/>
      <c r="AA1394" s="469"/>
      <c r="AB1394" s="469"/>
    </row>
    <row r="1395" ht="14.25" customHeight="1">
      <c r="A1395" s="464"/>
      <c r="B1395" s="481"/>
      <c r="C1395" s="466"/>
      <c r="D1395" s="484"/>
      <c r="E1395" s="466"/>
      <c r="F1395" s="485"/>
      <c r="G1395" s="485"/>
      <c r="H1395" s="485"/>
      <c r="I1395" s="331"/>
      <c r="J1395" s="469"/>
      <c r="K1395" s="469"/>
      <c r="L1395" s="469"/>
      <c r="M1395" s="469"/>
      <c r="N1395" s="469"/>
      <c r="O1395" s="469"/>
      <c r="P1395" s="469"/>
      <c r="Q1395" s="469"/>
      <c r="R1395" s="469"/>
      <c r="S1395" s="469"/>
      <c r="T1395" s="469"/>
      <c r="U1395" s="469"/>
      <c r="V1395" s="469"/>
      <c r="W1395" s="469"/>
      <c r="X1395" s="469"/>
      <c r="Y1395" s="469"/>
      <c r="Z1395" s="469"/>
      <c r="AA1395" s="469"/>
      <c r="AB1395" s="469"/>
    </row>
    <row r="1396" ht="14.25" customHeight="1">
      <c r="A1396" s="464"/>
      <c r="B1396" s="481"/>
      <c r="C1396" s="466"/>
      <c r="D1396" s="484"/>
      <c r="E1396" s="466"/>
      <c r="F1396" s="485"/>
      <c r="G1396" s="485"/>
      <c r="H1396" s="485"/>
      <c r="I1396" s="331"/>
      <c r="J1396" s="469"/>
      <c r="K1396" s="469"/>
      <c r="L1396" s="469"/>
      <c r="M1396" s="469"/>
      <c r="N1396" s="469"/>
      <c r="O1396" s="469"/>
      <c r="P1396" s="469"/>
      <c r="Q1396" s="469"/>
      <c r="R1396" s="469"/>
      <c r="S1396" s="469"/>
      <c r="T1396" s="469"/>
      <c r="U1396" s="469"/>
      <c r="V1396" s="469"/>
      <c r="W1396" s="469"/>
      <c r="X1396" s="469"/>
      <c r="Y1396" s="469"/>
      <c r="Z1396" s="469"/>
      <c r="AA1396" s="469"/>
      <c r="AB1396" s="469"/>
    </row>
    <row r="1397" ht="14.25" customHeight="1">
      <c r="A1397" s="464"/>
      <c r="B1397" s="481"/>
      <c r="C1397" s="466"/>
      <c r="D1397" s="484"/>
      <c r="E1397" s="466"/>
      <c r="F1397" s="485"/>
      <c r="G1397" s="485"/>
      <c r="H1397" s="485"/>
      <c r="I1397" s="331"/>
      <c r="J1397" s="469"/>
      <c r="K1397" s="469"/>
      <c r="L1397" s="469"/>
      <c r="M1397" s="469"/>
      <c r="N1397" s="469"/>
      <c r="O1397" s="469"/>
      <c r="P1397" s="469"/>
      <c r="Q1397" s="469"/>
      <c r="R1397" s="469"/>
      <c r="S1397" s="469"/>
      <c r="T1397" s="469"/>
      <c r="U1397" s="469"/>
      <c r="V1397" s="469"/>
      <c r="W1397" s="469"/>
      <c r="X1397" s="469"/>
      <c r="Y1397" s="469"/>
      <c r="Z1397" s="469"/>
      <c r="AA1397" s="469"/>
      <c r="AB1397" s="469"/>
    </row>
    <row r="1398" ht="14.25" customHeight="1">
      <c r="A1398" s="464"/>
      <c r="B1398" s="481"/>
      <c r="C1398" s="466"/>
      <c r="D1398" s="484"/>
      <c r="E1398" s="466"/>
      <c r="F1398" s="485"/>
      <c r="G1398" s="485"/>
      <c r="H1398" s="485"/>
      <c r="I1398" s="331"/>
      <c r="J1398" s="469"/>
      <c r="K1398" s="469"/>
      <c r="L1398" s="469"/>
      <c r="M1398" s="469"/>
      <c r="N1398" s="469"/>
      <c r="O1398" s="469"/>
      <c r="P1398" s="469"/>
      <c r="Q1398" s="469"/>
      <c r="R1398" s="469"/>
      <c r="S1398" s="469"/>
      <c r="T1398" s="469"/>
      <c r="U1398" s="469"/>
      <c r="V1398" s="469"/>
      <c r="W1398" s="469"/>
      <c r="X1398" s="469"/>
      <c r="Y1398" s="469"/>
      <c r="Z1398" s="469"/>
      <c r="AA1398" s="469"/>
      <c r="AB1398" s="469"/>
    </row>
    <row r="1399" ht="14.25" customHeight="1">
      <c r="A1399" s="464"/>
      <c r="B1399" s="481"/>
      <c r="C1399" s="466"/>
      <c r="D1399" s="484"/>
      <c r="E1399" s="466"/>
      <c r="F1399" s="485"/>
      <c r="G1399" s="485"/>
      <c r="H1399" s="485"/>
      <c r="I1399" s="331"/>
      <c r="J1399" s="469"/>
      <c r="K1399" s="469"/>
      <c r="L1399" s="469"/>
      <c r="M1399" s="469"/>
      <c r="N1399" s="469"/>
      <c r="O1399" s="469"/>
      <c r="P1399" s="469"/>
      <c r="Q1399" s="469"/>
      <c r="R1399" s="469"/>
      <c r="S1399" s="469"/>
      <c r="T1399" s="469"/>
      <c r="U1399" s="469"/>
      <c r="V1399" s="469"/>
      <c r="W1399" s="469"/>
      <c r="X1399" s="469"/>
      <c r="Y1399" s="469"/>
      <c r="Z1399" s="469"/>
      <c r="AA1399" s="469"/>
      <c r="AB1399" s="469"/>
    </row>
    <row r="1400" ht="14.25" customHeight="1">
      <c r="A1400" s="464"/>
      <c r="B1400" s="481"/>
      <c r="C1400" s="466"/>
      <c r="D1400" s="484"/>
      <c r="E1400" s="466"/>
      <c r="F1400" s="485"/>
      <c r="G1400" s="485"/>
      <c r="H1400" s="485"/>
      <c r="I1400" s="331"/>
      <c r="J1400" s="469"/>
      <c r="K1400" s="469"/>
      <c r="L1400" s="469"/>
      <c r="M1400" s="469"/>
      <c r="N1400" s="469"/>
      <c r="O1400" s="469"/>
      <c r="P1400" s="469"/>
      <c r="Q1400" s="469"/>
      <c r="R1400" s="469"/>
      <c r="S1400" s="469"/>
      <c r="T1400" s="469"/>
      <c r="U1400" s="469"/>
      <c r="V1400" s="469"/>
      <c r="W1400" s="469"/>
      <c r="X1400" s="469"/>
      <c r="Y1400" s="469"/>
      <c r="Z1400" s="469"/>
      <c r="AA1400" s="469"/>
      <c r="AB1400" s="469"/>
    </row>
    <row r="1401" ht="14.25" customHeight="1">
      <c r="A1401" s="464"/>
      <c r="B1401" s="481"/>
      <c r="C1401" s="466"/>
      <c r="D1401" s="484"/>
      <c r="E1401" s="466"/>
      <c r="F1401" s="485"/>
      <c r="G1401" s="485"/>
      <c r="H1401" s="485"/>
      <c r="I1401" s="331"/>
      <c r="J1401" s="469"/>
      <c r="K1401" s="469"/>
      <c r="L1401" s="469"/>
      <c r="M1401" s="469"/>
      <c r="N1401" s="469"/>
      <c r="O1401" s="469"/>
      <c r="P1401" s="469"/>
      <c r="Q1401" s="469"/>
      <c r="R1401" s="469"/>
      <c r="S1401" s="469"/>
      <c r="T1401" s="469"/>
      <c r="U1401" s="469"/>
      <c r="V1401" s="469"/>
      <c r="W1401" s="469"/>
      <c r="X1401" s="469"/>
      <c r="Y1401" s="469"/>
      <c r="Z1401" s="469"/>
      <c r="AA1401" s="469"/>
      <c r="AB1401" s="469"/>
    </row>
    <row r="1402" ht="14.25" customHeight="1">
      <c r="A1402" s="464"/>
      <c r="B1402" s="481"/>
      <c r="C1402" s="466"/>
      <c r="D1402" s="484"/>
      <c r="E1402" s="466"/>
      <c r="F1402" s="485"/>
      <c r="G1402" s="485"/>
      <c r="H1402" s="485"/>
      <c r="I1402" s="331"/>
      <c r="J1402" s="469"/>
      <c r="K1402" s="469"/>
      <c r="L1402" s="469"/>
      <c r="M1402" s="469"/>
      <c r="N1402" s="469"/>
      <c r="O1402" s="469"/>
      <c r="P1402" s="469"/>
      <c r="Q1402" s="469"/>
      <c r="R1402" s="469"/>
      <c r="S1402" s="469"/>
      <c r="T1402" s="469"/>
      <c r="U1402" s="469"/>
      <c r="V1402" s="469"/>
      <c r="W1402" s="469"/>
      <c r="X1402" s="469"/>
      <c r="Y1402" s="469"/>
      <c r="Z1402" s="469"/>
      <c r="AA1402" s="469"/>
      <c r="AB1402" s="469"/>
    </row>
    <row r="1403" ht="14.25" customHeight="1">
      <c r="A1403" s="464"/>
      <c r="B1403" s="481"/>
      <c r="C1403" s="466"/>
      <c r="D1403" s="484"/>
      <c r="E1403" s="466"/>
      <c r="F1403" s="485"/>
      <c r="G1403" s="485"/>
      <c r="H1403" s="485"/>
      <c r="I1403" s="331"/>
      <c r="J1403" s="469"/>
      <c r="K1403" s="469"/>
      <c r="L1403" s="469"/>
      <c r="M1403" s="469"/>
      <c r="N1403" s="469"/>
      <c r="O1403" s="469"/>
      <c r="P1403" s="469"/>
      <c r="Q1403" s="469"/>
      <c r="R1403" s="469"/>
      <c r="S1403" s="469"/>
      <c r="T1403" s="469"/>
      <c r="U1403" s="469"/>
      <c r="V1403" s="469"/>
      <c r="W1403" s="469"/>
      <c r="X1403" s="469"/>
      <c r="Y1403" s="469"/>
      <c r="Z1403" s="469"/>
      <c r="AA1403" s="469"/>
      <c r="AB1403" s="469"/>
    </row>
    <row r="1404" ht="14.25" customHeight="1">
      <c r="A1404" s="464"/>
      <c r="B1404" s="481"/>
      <c r="C1404" s="466"/>
      <c r="D1404" s="484"/>
      <c r="E1404" s="466"/>
      <c r="F1404" s="485"/>
      <c r="G1404" s="485"/>
      <c r="H1404" s="485"/>
      <c r="I1404" s="331"/>
      <c r="J1404" s="469"/>
      <c r="K1404" s="469"/>
      <c r="L1404" s="469"/>
      <c r="M1404" s="469"/>
      <c r="N1404" s="469"/>
      <c r="O1404" s="469"/>
      <c r="P1404" s="469"/>
      <c r="Q1404" s="469"/>
      <c r="R1404" s="469"/>
      <c r="S1404" s="469"/>
      <c r="T1404" s="469"/>
      <c r="U1404" s="469"/>
      <c r="V1404" s="469"/>
      <c r="W1404" s="469"/>
      <c r="X1404" s="469"/>
      <c r="Y1404" s="469"/>
      <c r="Z1404" s="469"/>
      <c r="AA1404" s="469"/>
      <c r="AB1404" s="469"/>
    </row>
    <row r="1405" ht="14.25" customHeight="1">
      <c r="A1405" s="464"/>
      <c r="B1405" s="481"/>
      <c r="C1405" s="466"/>
      <c r="D1405" s="484"/>
      <c r="E1405" s="466"/>
      <c r="F1405" s="485"/>
      <c r="G1405" s="485"/>
      <c r="H1405" s="485"/>
      <c r="I1405" s="331"/>
      <c r="J1405" s="469"/>
      <c r="K1405" s="469"/>
      <c r="L1405" s="469"/>
      <c r="M1405" s="469"/>
      <c r="N1405" s="469"/>
      <c r="O1405" s="469"/>
      <c r="P1405" s="469"/>
      <c r="Q1405" s="469"/>
      <c r="R1405" s="469"/>
      <c r="S1405" s="469"/>
      <c r="T1405" s="469"/>
      <c r="U1405" s="469"/>
      <c r="V1405" s="469"/>
      <c r="W1405" s="469"/>
      <c r="X1405" s="469"/>
      <c r="Y1405" s="469"/>
      <c r="Z1405" s="469"/>
      <c r="AA1405" s="469"/>
      <c r="AB1405" s="469"/>
    </row>
    <row r="1406" ht="14.25" customHeight="1">
      <c r="A1406" s="464"/>
      <c r="B1406" s="481"/>
      <c r="C1406" s="466"/>
      <c r="D1406" s="484"/>
      <c r="E1406" s="466"/>
      <c r="F1406" s="485"/>
      <c r="G1406" s="485"/>
      <c r="H1406" s="485"/>
      <c r="I1406" s="331"/>
      <c r="J1406" s="469"/>
      <c r="K1406" s="469"/>
      <c r="L1406" s="469"/>
      <c r="M1406" s="469"/>
      <c r="N1406" s="469"/>
      <c r="O1406" s="469"/>
      <c r="P1406" s="469"/>
      <c r="Q1406" s="469"/>
      <c r="R1406" s="469"/>
      <c r="S1406" s="469"/>
      <c r="T1406" s="469"/>
      <c r="U1406" s="469"/>
      <c r="V1406" s="469"/>
      <c r="W1406" s="469"/>
      <c r="X1406" s="469"/>
      <c r="Y1406" s="469"/>
      <c r="Z1406" s="469"/>
      <c r="AA1406" s="469"/>
      <c r="AB1406" s="469"/>
    </row>
    <row r="1407" ht="14.25" customHeight="1">
      <c r="A1407" s="464"/>
      <c r="B1407" s="481"/>
      <c r="C1407" s="466"/>
      <c r="D1407" s="484"/>
      <c r="E1407" s="466"/>
      <c r="F1407" s="485"/>
      <c r="G1407" s="485"/>
      <c r="H1407" s="485"/>
      <c r="I1407" s="331"/>
      <c r="J1407" s="469"/>
      <c r="K1407" s="469"/>
      <c r="L1407" s="469"/>
      <c r="M1407" s="469"/>
      <c r="N1407" s="469"/>
      <c r="O1407" s="469"/>
      <c r="P1407" s="469"/>
      <c r="Q1407" s="469"/>
      <c r="R1407" s="469"/>
      <c r="S1407" s="469"/>
      <c r="T1407" s="469"/>
      <c r="U1407" s="469"/>
      <c r="V1407" s="469"/>
      <c r="W1407" s="469"/>
      <c r="X1407" s="469"/>
      <c r="Y1407" s="469"/>
      <c r="Z1407" s="469"/>
      <c r="AA1407" s="469"/>
      <c r="AB1407" s="469"/>
    </row>
    <row r="1408" ht="14.25" customHeight="1">
      <c r="A1408" s="464"/>
      <c r="B1408" s="481"/>
      <c r="C1408" s="466"/>
      <c r="D1408" s="484"/>
      <c r="E1408" s="466"/>
      <c r="F1408" s="485"/>
      <c r="G1408" s="485"/>
      <c r="H1408" s="485"/>
      <c r="I1408" s="331"/>
      <c r="J1408" s="469"/>
      <c r="K1408" s="469"/>
      <c r="L1408" s="469"/>
      <c r="M1408" s="469"/>
      <c r="N1408" s="469"/>
      <c r="O1408" s="469"/>
      <c r="P1408" s="469"/>
      <c r="Q1408" s="469"/>
      <c r="R1408" s="469"/>
      <c r="S1408" s="469"/>
      <c r="T1408" s="469"/>
      <c r="U1408" s="469"/>
      <c r="V1408" s="469"/>
      <c r="W1408" s="469"/>
      <c r="X1408" s="469"/>
      <c r="Y1408" s="469"/>
      <c r="Z1408" s="469"/>
      <c r="AA1408" s="469"/>
      <c r="AB1408" s="469"/>
    </row>
    <row r="1409" ht="14.25" customHeight="1">
      <c r="A1409" s="464"/>
      <c r="B1409" s="481"/>
      <c r="C1409" s="466"/>
      <c r="D1409" s="484"/>
      <c r="E1409" s="466"/>
      <c r="F1409" s="485"/>
      <c r="G1409" s="485"/>
      <c r="H1409" s="485"/>
      <c r="I1409" s="331"/>
      <c r="J1409" s="469"/>
      <c r="K1409" s="469"/>
      <c r="L1409" s="469"/>
      <c r="M1409" s="469"/>
      <c r="N1409" s="469"/>
      <c r="O1409" s="469"/>
      <c r="P1409" s="469"/>
      <c r="Q1409" s="469"/>
      <c r="R1409" s="469"/>
      <c r="S1409" s="469"/>
      <c r="T1409" s="469"/>
      <c r="U1409" s="469"/>
      <c r="V1409" s="469"/>
      <c r="W1409" s="469"/>
      <c r="X1409" s="469"/>
      <c r="Y1409" s="469"/>
      <c r="Z1409" s="469"/>
      <c r="AA1409" s="469"/>
      <c r="AB1409" s="469"/>
    </row>
    <row r="1410" ht="14.25" customHeight="1">
      <c r="A1410" s="464"/>
      <c r="B1410" s="481"/>
      <c r="C1410" s="466"/>
      <c r="D1410" s="484"/>
      <c r="E1410" s="466"/>
      <c r="F1410" s="485"/>
      <c r="G1410" s="485"/>
      <c r="H1410" s="485"/>
      <c r="I1410" s="331"/>
      <c r="J1410" s="469"/>
      <c r="K1410" s="469"/>
      <c r="L1410" s="469"/>
      <c r="M1410" s="469"/>
      <c r="N1410" s="469"/>
      <c r="O1410" s="469"/>
      <c r="P1410" s="469"/>
      <c r="Q1410" s="469"/>
      <c r="R1410" s="469"/>
      <c r="S1410" s="469"/>
      <c r="T1410" s="469"/>
      <c r="U1410" s="469"/>
      <c r="V1410" s="469"/>
      <c r="W1410" s="469"/>
      <c r="X1410" s="469"/>
      <c r="Y1410" s="469"/>
      <c r="Z1410" s="469"/>
      <c r="AA1410" s="469"/>
      <c r="AB1410" s="469"/>
    </row>
    <row r="1411" ht="14.25" customHeight="1">
      <c r="A1411" s="464"/>
      <c r="B1411" s="481"/>
      <c r="C1411" s="466"/>
      <c r="D1411" s="484"/>
      <c r="E1411" s="466"/>
      <c r="F1411" s="485"/>
      <c r="G1411" s="485"/>
      <c r="H1411" s="485"/>
      <c r="I1411" s="331"/>
      <c r="J1411" s="469"/>
      <c r="K1411" s="469"/>
      <c r="L1411" s="469"/>
      <c r="M1411" s="469"/>
      <c r="N1411" s="469"/>
      <c r="O1411" s="469"/>
      <c r="P1411" s="469"/>
      <c r="Q1411" s="469"/>
      <c r="R1411" s="469"/>
      <c r="S1411" s="469"/>
      <c r="T1411" s="469"/>
      <c r="U1411" s="469"/>
      <c r="V1411" s="469"/>
      <c r="W1411" s="469"/>
      <c r="X1411" s="469"/>
      <c r="Y1411" s="469"/>
      <c r="Z1411" s="469"/>
      <c r="AA1411" s="469"/>
      <c r="AB1411" s="469"/>
    </row>
    <row r="1412" ht="14.25" customHeight="1">
      <c r="A1412" s="464"/>
      <c r="B1412" s="481"/>
      <c r="C1412" s="466"/>
      <c r="D1412" s="484"/>
      <c r="E1412" s="466"/>
      <c r="F1412" s="485"/>
      <c r="G1412" s="485"/>
      <c r="H1412" s="485"/>
      <c r="I1412" s="331"/>
      <c r="J1412" s="469"/>
      <c r="K1412" s="469"/>
      <c r="L1412" s="469"/>
      <c r="M1412" s="469"/>
      <c r="N1412" s="469"/>
      <c r="O1412" s="469"/>
      <c r="P1412" s="469"/>
      <c r="Q1412" s="469"/>
      <c r="R1412" s="469"/>
      <c r="S1412" s="469"/>
      <c r="T1412" s="469"/>
      <c r="U1412" s="469"/>
      <c r="V1412" s="469"/>
      <c r="W1412" s="469"/>
      <c r="X1412" s="469"/>
      <c r="Y1412" s="469"/>
      <c r="Z1412" s="469"/>
      <c r="AA1412" s="469"/>
      <c r="AB1412" s="469"/>
    </row>
    <row r="1413" ht="14.25" customHeight="1">
      <c r="A1413" s="464"/>
      <c r="B1413" s="481"/>
      <c r="C1413" s="466"/>
      <c r="D1413" s="484"/>
      <c r="E1413" s="466"/>
      <c r="F1413" s="485"/>
      <c r="G1413" s="485"/>
      <c r="H1413" s="485"/>
      <c r="I1413" s="331"/>
      <c r="J1413" s="469"/>
      <c r="K1413" s="469"/>
      <c r="L1413" s="469"/>
      <c r="M1413" s="469"/>
      <c r="N1413" s="469"/>
      <c r="O1413" s="469"/>
      <c r="P1413" s="469"/>
      <c r="Q1413" s="469"/>
      <c r="R1413" s="469"/>
      <c r="S1413" s="469"/>
      <c r="T1413" s="469"/>
      <c r="U1413" s="469"/>
      <c r="V1413" s="469"/>
      <c r="W1413" s="469"/>
      <c r="X1413" s="469"/>
      <c r="Y1413" s="469"/>
      <c r="Z1413" s="469"/>
      <c r="AA1413" s="469"/>
      <c r="AB1413" s="469"/>
    </row>
    <row r="1414" ht="14.25" customHeight="1">
      <c r="A1414" s="464"/>
      <c r="B1414" s="481"/>
      <c r="C1414" s="466"/>
      <c r="D1414" s="484"/>
      <c r="E1414" s="466"/>
      <c r="F1414" s="485"/>
      <c r="G1414" s="485"/>
      <c r="H1414" s="485"/>
      <c r="I1414" s="331"/>
      <c r="J1414" s="469"/>
      <c r="K1414" s="469"/>
      <c r="L1414" s="469"/>
      <c r="M1414" s="469"/>
      <c r="N1414" s="469"/>
      <c r="O1414" s="469"/>
      <c r="P1414" s="469"/>
      <c r="Q1414" s="469"/>
      <c r="R1414" s="469"/>
      <c r="S1414" s="469"/>
      <c r="T1414" s="469"/>
      <c r="U1414" s="469"/>
      <c r="V1414" s="469"/>
      <c r="W1414" s="469"/>
      <c r="X1414" s="469"/>
      <c r="Y1414" s="469"/>
      <c r="Z1414" s="469"/>
      <c r="AA1414" s="469"/>
      <c r="AB1414" s="469"/>
    </row>
    <row r="1415" ht="14.25" customHeight="1">
      <c r="A1415" s="464"/>
      <c r="B1415" s="481"/>
      <c r="C1415" s="466"/>
      <c r="D1415" s="484"/>
      <c r="E1415" s="466"/>
      <c r="F1415" s="485"/>
      <c r="G1415" s="485"/>
      <c r="H1415" s="485"/>
      <c r="I1415" s="331"/>
      <c r="J1415" s="469"/>
      <c r="K1415" s="469"/>
      <c r="L1415" s="469"/>
      <c r="M1415" s="469"/>
      <c r="N1415" s="469"/>
      <c r="O1415" s="469"/>
      <c r="P1415" s="469"/>
      <c r="Q1415" s="469"/>
      <c r="R1415" s="469"/>
      <c r="S1415" s="469"/>
      <c r="T1415" s="469"/>
      <c r="U1415" s="469"/>
      <c r="V1415" s="469"/>
      <c r="W1415" s="469"/>
      <c r="X1415" s="469"/>
      <c r="Y1415" s="469"/>
      <c r="Z1415" s="469"/>
      <c r="AA1415" s="469"/>
      <c r="AB1415" s="469"/>
    </row>
    <row r="1416" ht="14.25" customHeight="1">
      <c r="A1416" s="464"/>
      <c r="B1416" s="481"/>
      <c r="C1416" s="466"/>
      <c r="D1416" s="484"/>
      <c r="E1416" s="466"/>
      <c r="F1416" s="485"/>
      <c r="G1416" s="485"/>
      <c r="H1416" s="485"/>
      <c r="I1416" s="331"/>
      <c r="J1416" s="469"/>
      <c r="K1416" s="469"/>
      <c r="L1416" s="469"/>
      <c r="M1416" s="469"/>
      <c r="N1416" s="469"/>
      <c r="O1416" s="469"/>
      <c r="P1416" s="469"/>
      <c r="Q1416" s="469"/>
      <c r="R1416" s="469"/>
      <c r="S1416" s="469"/>
      <c r="T1416" s="469"/>
      <c r="U1416" s="469"/>
      <c r="V1416" s="469"/>
      <c r="W1416" s="469"/>
      <c r="X1416" s="469"/>
      <c r="Y1416" s="469"/>
      <c r="Z1416" s="469"/>
      <c r="AA1416" s="469"/>
      <c r="AB1416" s="469"/>
    </row>
    <row r="1417" ht="14.25" customHeight="1">
      <c r="A1417" s="464"/>
      <c r="B1417" s="481"/>
      <c r="C1417" s="466"/>
      <c r="D1417" s="484"/>
      <c r="E1417" s="466"/>
      <c r="F1417" s="485"/>
      <c r="G1417" s="485"/>
      <c r="H1417" s="485"/>
      <c r="I1417" s="331"/>
      <c r="J1417" s="469"/>
      <c r="K1417" s="469"/>
      <c r="L1417" s="469"/>
      <c r="M1417" s="469"/>
      <c r="N1417" s="469"/>
      <c r="O1417" s="469"/>
      <c r="P1417" s="469"/>
      <c r="Q1417" s="469"/>
      <c r="R1417" s="469"/>
      <c r="S1417" s="469"/>
      <c r="T1417" s="469"/>
      <c r="U1417" s="469"/>
      <c r="V1417" s="469"/>
      <c r="W1417" s="469"/>
      <c r="X1417" s="469"/>
      <c r="Y1417" s="469"/>
      <c r="Z1417" s="469"/>
      <c r="AA1417" s="469"/>
      <c r="AB1417" s="469"/>
    </row>
    <row r="1418" ht="14.25" customHeight="1">
      <c r="A1418" s="464"/>
      <c r="B1418" s="481"/>
      <c r="C1418" s="466"/>
      <c r="D1418" s="484"/>
      <c r="E1418" s="466"/>
      <c r="F1418" s="485"/>
      <c r="G1418" s="485"/>
      <c r="H1418" s="485"/>
      <c r="I1418" s="331"/>
      <c r="J1418" s="469"/>
      <c r="K1418" s="469"/>
      <c r="L1418" s="469"/>
      <c r="M1418" s="469"/>
      <c r="N1418" s="469"/>
      <c r="O1418" s="469"/>
      <c r="P1418" s="469"/>
      <c r="Q1418" s="469"/>
      <c r="R1418" s="469"/>
      <c r="S1418" s="469"/>
      <c r="T1418" s="469"/>
      <c r="U1418" s="469"/>
      <c r="V1418" s="469"/>
      <c r="W1418" s="469"/>
      <c r="X1418" s="469"/>
      <c r="Y1418" s="469"/>
      <c r="Z1418" s="469"/>
      <c r="AA1418" s="469"/>
      <c r="AB1418" s="469"/>
    </row>
    <row r="1419" ht="14.25" customHeight="1">
      <c r="A1419" s="464"/>
      <c r="B1419" s="481"/>
      <c r="C1419" s="466"/>
      <c r="D1419" s="484"/>
      <c r="E1419" s="466"/>
      <c r="F1419" s="485"/>
      <c r="G1419" s="485"/>
      <c r="H1419" s="485"/>
      <c r="I1419" s="331"/>
      <c r="J1419" s="469"/>
      <c r="K1419" s="469"/>
      <c r="L1419" s="469"/>
      <c r="M1419" s="469"/>
      <c r="N1419" s="469"/>
      <c r="O1419" s="469"/>
      <c r="P1419" s="469"/>
      <c r="Q1419" s="469"/>
      <c r="R1419" s="469"/>
      <c r="S1419" s="469"/>
      <c r="T1419" s="469"/>
      <c r="U1419" s="469"/>
      <c r="V1419" s="469"/>
      <c r="W1419" s="469"/>
      <c r="X1419" s="469"/>
      <c r="Y1419" s="469"/>
      <c r="Z1419" s="469"/>
      <c r="AA1419" s="469"/>
      <c r="AB1419" s="469"/>
    </row>
    <row r="1420" ht="14.25" customHeight="1">
      <c r="A1420" s="464"/>
      <c r="B1420" s="481"/>
      <c r="C1420" s="466"/>
      <c r="D1420" s="484"/>
      <c r="E1420" s="466"/>
      <c r="F1420" s="485"/>
      <c r="G1420" s="485"/>
      <c r="H1420" s="485"/>
      <c r="I1420" s="331"/>
      <c r="J1420" s="469"/>
      <c r="K1420" s="469"/>
      <c r="L1420" s="469"/>
      <c r="M1420" s="469"/>
      <c r="N1420" s="469"/>
      <c r="O1420" s="469"/>
      <c r="P1420" s="469"/>
      <c r="Q1420" s="469"/>
      <c r="R1420" s="469"/>
      <c r="S1420" s="469"/>
      <c r="T1420" s="469"/>
      <c r="U1420" s="469"/>
      <c r="V1420" s="469"/>
      <c r="W1420" s="469"/>
      <c r="X1420" s="469"/>
      <c r="Y1420" s="469"/>
      <c r="Z1420" s="469"/>
      <c r="AA1420" s="469"/>
      <c r="AB1420" s="469"/>
    </row>
    <row r="1421" ht="14.25" customHeight="1">
      <c r="A1421" s="464"/>
      <c r="B1421" s="481"/>
      <c r="C1421" s="466"/>
      <c r="D1421" s="484"/>
      <c r="E1421" s="466"/>
      <c r="F1421" s="485"/>
      <c r="G1421" s="485"/>
      <c r="H1421" s="485"/>
      <c r="I1421" s="331"/>
      <c r="J1421" s="469"/>
      <c r="K1421" s="469"/>
      <c r="L1421" s="469"/>
      <c r="M1421" s="469"/>
      <c r="N1421" s="469"/>
      <c r="O1421" s="469"/>
      <c r="P1421" s="469"/>
      <c r="Q1421" s="469"/>
      <c r="R1421" s="469"/>
      <c r="S1421" s="469"/>
      <c r="T1421" s="469"/>
      <c r="U1421" s="469"/>
      <c r="V1421" s="469"/>
      <c r="W1421" s="469"/>
      <c r="X1421" s="469"/>
      <c r="Y1421" s="469"/>
      <c r="Z1421" s="469"/>
      <c r="AA1421" s="469"/>
      <c r="AB1421" s="469"/>
    </row>
    <row r="1422" ht="14.25" customHeight="1">
      <c r="A1422" s="464"/>
      <c r="B1422" s="481"/>
      <c r="C1422" s="466"/>
      <c r="D1422" s="484"/>
      <c r="E1422" s="466"/>
      <c r="F1422" s="485"/>
      <c r="G1422" s="485"/>
      <c r="H1422" s="485"/>
      <c r="I1422" s="331"/>
      <c r="J1422" s="469"/>
      <c r="K1422" s="469"/>
      <c r="L1422" s="469"/>
      <c r="M1422" s="469"/>
      <c r="N1422" s="469"/>
      <c r="O1422" s="469"/>
      <c r="P1422" s="469"/>
      <c r="Q1422" s="469"/>
      <c r="R1422" s="469"/>
      <c r="S1422" s="469"/>
      <c r="T1422" s="469"/>
      <c r="U1422" s="469"/>
      <c r="V1422" s="469"/>
      <c r="W1422" s="469"/>
      <c r="X1422" s="469"/>
      <c r="Y1422" s="469"/>
      <c r="Z1422" s="469"/>
      <c r="AA1422" s="469"/>
      <c r="AB1422" s="469"/>
    </row>
    <row r="1423" ht="14.25" customHeight="1">
      <c r="A1423" s="464"/>
      <c r="B1423" s="481"/>
      <c r="C1423" s="466"/>
      <c r="D1423" s="484"/>
      <c r="E1423" s="466"/>
      <c r="F1423" s="485"/>
      <c r="G1423" s="485"/>
      <c r="H1423" s="485"/>
      <c r="I1423" s="331"/>
      <c r="J1423" s="469"/>
      <c r="K1423" s="469"/>
      <c r="L1423" s="469"/>
      <c r="M1423" s="469"/>
      <c r="N1423" s="469"/>
      <c r="O1423" s="469"/>
      <c r="P1423" s="469"/>
      <c r="Q1423" s="469"/>
      <c r="R1423" s="469"/>
      <c r="S1423" s="469"/>
      <c r="T1423" s="469"/>
      <c r="U1423" s="469"/>
      <c r="V1423" s="469"/>
      <c r="W1423" s="469"/>
      <c r="X1423" s="469"/>
      <c r="Y1423" s="469"/>
      <c r="Z1423" s="469"/>
      <c r="AA1423" s="469"/>
      <c r="AB1423" s="469"/>
    </row>
    <row r="1424" ht="14.25" customHeight="1">
      <c r="A1424" s="464"/>
      <c r="B1424" s="481"/>
      <c r="C1424" s="466"/>
      <c r="D1424" s="484"/>
      <c r="E1424" s="466"/>
      <c r="F1424" s="485"/>
      <c r="G1424" s="485"/>
      <c r="H1424" s="485"/>
      <c r="I1424" s="331"/>
      <c r="J1424" s="469"/>
      <c r="K1424" s="469"/>
      <c r="L1424" s="469"/>
      <c r="M1424" s="469"/>
      <c r="N1424" s="469"/>
      <c r="O1424" s="469"/>
      <c r="P1424" s="469"/>
      <c r="Q1424" s="469"/>
      <c r="R1424" s="469"/>
      <c r="S1424" s="469"/>
      <c r="T1424" s="469"/>
      <c r="U1424" s="469"/>
      <c r="V1424" s="469"/>
      <c r="W1424" s="469"/>
      <c r="X1424" s="469"/>
      <c r="Y1424" s="469"/>
      <c r="Z1424" s="469"/>
      <c r="AA1424" s="469"/>
      <c r="AB1424" s="469"/>
    </row>
    <row r="1425" ht="14.25" customHeight="1">
      <c r="A1425" s="464"/>
      <c r="B1425" s="481"/>
      <c r="C1425" s="466"/>
      <c r="D1425" s="484"/>
      <c r="E1425" s="466"/>
      <c r="F1425" s="485"/>
      <c r="G1425" s="485"/>
      <c r="H1425" s="485"/>
      <c r="I1425" s="331"/>
      <c r="J1425" s="469"/>
      <c r="K1425" s="469"/>
      <c r="L1425" s="469"/>
      <c r="M1425" s="469"/>
      <c r="N1425" s="469"/>
      <c r="O1425" s="469"/>
      <c r="P1425" s="469"/>
      <c r="Q1425" s="469"/>
      <c r="R1425" s="469"/>
      <c r="S1425" s="469"/>
      <c r="T1425" s="469"/>
      <c r="U1425" s="469"/>
      <c r="V1425" s="469"/>
      <c r="W1425" s="469"/>
      <c r="X1425" s="469"/>
      <c r="Y1425" s="469"/>
      <c r="Z1425" s="469"/>
      <c r="AA1425" s="469"/>
      <c r="AB1425" s="469"/>
    </row>
    <row r="1426" ht="14.25" customHeight="1">
      <c r="A1426" s="464"/>
      <c r="B1426" s="481"/>
      <c r="C1426" s="466"/>
      <c r="D1426" s="484"/>
      <c r="E1426" s="466"/>
      <c r="F1426" s="485"/>
      <c r="G1426" s="485"/>
      <c r="H1426" s="485"/>
      <c r="I1426" s="331"/>
      <c r="J1426" s="469"/>
      <c r="K1426" s="469"/>
      <c r="L1426" s="469"/>
      <c r="M1426" s="469"/>
      <c r="N1426" s="469"/>
      <c r="O1426" s="469"/>
      <c r="P1426" s="469"/>
      <c r="Q1426" s="469"/>
      <c r="R1426" s="469"/>
      <c r="S1426" s="469"/>
      <c r="T1426" s="469"/>
      <c r="U1426" s="469"/>
      <c r="V1426" s="469"/>
      <c r="W1426" s="469"/>
      <c r="X1426" s="469"/>
      <c r="Y1426" s="469"/>
      <c r="Z1426" s="469"/>
      <c r="AA1426" s="469"/>
      <c r="AB1426" s="469"/>
    </row>
    <row r="1427" ht="14.25" customHeight="1">
      <c r="A1427" s="464"/>
      <c r="B1427" s="481"/>
      <c r="C1427" s="466"/>
      <c r="D1427" s="484"/>
      <c r="E1427" s="466"/>
      <c r="F1427" s="485"/>
      <c r="G1427" s="485"/>
      <c r="H1427" s="485"/>
      <c r="I1427" s="331"/>
      <c r="J1427" s="469"/>
      <c r="K1427" s="469"/>
      <c r="L1427" s="469"/>
      <c r="M1427" s="469"/>
      <c r="N1427" s="469"/>
      <c r="O1427" s="469"/>
      <c r="P1427" s="469"/>
      <c r="Q1427" s="469"/>
      <c r="R1427" s="469"/>
      <c r="S1427" s="469"/>
      <c r="T1427" s="469"/>
      <c r="U1427" s="469"/>
      <c r="V1427" s="469"/>
      <c r="W1427" s="469"/>
      <c r="X1427" s="469"/>
      <c r="Y1427" s="469"/>
      <c r="Z1427" s="469"/>
      <c r="AA1427" s="469"/>
      <c r="AB1427" s="469"/>
    </row>
    <row r="1428" ht="14.25" customHeight="1">
      <c r="A1428" s="464"/>
      <c r="B1428" s="481"/>
      <c r="C1428" s="466"/>
      <c r="D1428" s="484"/>
      <c r="E1428" s="466"/>
      <c r="F1428" s="485"/>
      <c r="G1428" s="485"/>
      <c r="H1428" s="485"/>
      <c r="I1428" s="331"/>
      <c r="J1428" s="469"/>
      <c r="K1428" s="469"/>
      <c r="L1428" s="469"/>
      <c r="M1428" s="469"/>
      <c r="N1428" s="469"/>
      <c r="O1428" s="469"/>
      <c r="P1428" s="469"/>
      <c r="Q1428" s="469"/>
      <c r="R1428" s="469"/>
      <c r="S1428" s="469"/>
      <c r="T1428" s="469"/>
      <c r="U1428" s="469"/>
      <c r="V1428" s="469"/>
      <c r="W1428" s="469"/>
      <c r="X1428" s="469"/>
      <c r="Y1428" s="469"/>
      <c r="Z1428" s="469"/>
      <c r="AA1428" s="469"/>
      <c r="AB1428" s="469"/>
    </row>
    <row r="1429" ht="14.25" customHeight="1">
      <c r="A1429" s="464"/>
      <c r="B1429" s="481"/>
      <c r="C1429" s="466"/>
      <c r="D1429" s="484"/>
      <c r="E1429" s="466"/>
      <c r="F1429" s="485"/>
      <c r="G1429" s="485"/>
      <c r="H1429" s="485"/>
      <c r="I1429" s="331"/>
      <c r="J1429" s="469"/>
      <c r="K1429" s="469"/>
      <c r="L1429" s="469"/>
      <c r="M1429" s="469"/>
      <c r="N1429" s="469"/>
      <c r="O1429" s="469"/>
      <c r="P1429" s="469"/>
      <c r="Q1429" s="469"/>
      <c r="R1429" s="469"/>
      <c r="S1429" s="469"/>
      <c r="T1429" s="469"/>
      <c r="U1429" s="469"/>
      <c r="V1429" s="469"/>
      <c r="W1429" s="469"/>
      <c r="X1429" s="469"/>
      <c r="Y1429" s="469"/>
      <c r="Z1429" s="469"/>
      <c r="AA1429" s="469"/>
      <c r="AB1429" s="469"/>
    </row>
    <row r="1430" ht="14.25" customHeight="1">
      <c r="A1430" s="464"/>
      <c r="B1430" s="481"/>
      <c r="C1430" s="466"/>
      <c r="D1430" s="484"/>
      <c r="E1430" s="466"/>
      <c r="F1430" s="485"/>
      <c r="G1430" s="485"/>
      <c r="H1430" s="485"/>
      <c r="I1430" s="331"/>
      <c r="J1430" s="469"/>
      <c r="K1430" s="469"/>
      <c r="L1430" s="469"/>
      <c r="M1430" s="469"/>
      <c r="N1430" s="469"/>
      <c r="O1430" s="469"/>
      <c r="P1430" s="469"/>
      <c r="Q1430" s="469"/>
      <c r="R1430" s="469"/>
      <c r="S1430" s="469"/>
      <c r="T1430" s="469"/>
      <c r="U1430" s="469"/>
      <c r="V1430" s="469"/>
      <c r="W1430" s="469"/>
      <c r="X1430" s="469"/>
      <c r="Y1430" s="469"/>
      <c r="Z1430" s="469"/>
      <c r="AA1430" s="469"/>
      <c r="AB1430" s="469"/>
    </row>
    <row r="1431" ht="14.25" customHeight="1">
      <c r="A1431" s="464"/>
      <c r="B1431" s="481"/>
      <c r="C1431" s="466"/>
      <c r="D1431" s="484"/>
      <c r="E1431" s="466"/>
      <c r="F1431" s="485"/>
      <c r="G1431" s="485"/>
      <c r="H1431" s="485"/>
      <c r="I1431" s="331"/>
      <c r="J1431" s="469"/>
      <c r="K1431" s="469"/>
      <c r="L1431" s="469"/>
      <c r="M1431" s="469"/>
      <c r="N1431" s="469"/>
      <c r="O1431" s="469"/>
      <c r="P1431" s="469"/>
      <c r="Q1431" s="469"/>
      <c r="R1431" s="469"/>
      <c r="S1431" s="469"/>
      <c r="T1431" s="469"/>
      <c r="U1431" s="469"/>
      <c r="V1431" s="469"/>
      <c r="W1431" s="469"/>
      <c r="X1431" s="469"/>
      <c r="Y1431" s="469"/>
      <c r="Z1431" s="469"/>
      <c r="AA1431" s="469"/>
      <c r="AB1431" s="469"/>
    </row>
    <row r="1432" ht="14.25" customHeight="1">
      <c r="A1432" s="464"/>
      <c r="B1432" s="481"/>
      <c r="C1432" s="466"/>
      <c r="D1432" s="484"/>
      <c r="E1432" s="466"/>
      <c r="F1432" s="485"/>
      <c r="G1432" s="485"/>
      <c r="H1432" s="485"/>
      <c r="I1432" s="331"/>
      <c r="J1432" s="469"/>
      <c r="K1432" s="469"/>
      <c r="L1432" s="469"/>
      <c r="M1432" s="469"/>
      <c r="N1432" s="469"/>
      <c r="O1432" s="469"/>
      <c r="P1432" s="469"/>
      <c r="Q1432" s="469"/>
      <c r="R1432" s="469"/>
      <c r="S1432" s="469"/>
      <c r="T1432" s="469"/>
      <c r="U1432" s="469"/>
      <c r="V1432" s="469"/>
      <c r="W1432" s="469"/>
      <c r="X1432" s="469"/>
      <c r="Y1432" s="469"/>
      <c r="Z1432" s="469"/>
      <c r="AA1432" s="469"/>
      <c r="AB1432" s="469"/>
    </row>
    <row r="1433" ht="14.25" customHeight="1">
      <c r="A1433" s="464"/>
      <c r="B1433" s="481"/>
      <c r="C1433" s="466"/>
      <c r="D1433" s="484"/>
      <c r="E1433" s="466"/>
      <c r="F1433" s="485"/>
      <c r="G1433" s="485"/>
      <c r="H1433" s="485"/>
      <c r="I1433" s="331"/>
      <c r="J1433" s="469"/>
      <c r="K1433" s="469"/>
      <c r="L1433" s="469"/>
      <c r="M1433" s="469"/>
      <c r="N1433" s="469"/>
      <c r="O1433" s="469"/>
      <c r="P1433" s="469"/>
      <c r="Q1433" s="469"/>
      <c r="R1433" s="469"/>
      <c r="S1433" s="469"/>
      <c r="T1433" s="469"/>
      <c r="U1433" s="469"/>
      <c r="V1433" s="469"/>
      <c r="W1433" s="469"/>
      <c r="X1433" s="469"/>
      <c r="Y1433" s="469"/>
      <c r="Z1433" s="469"/>
      <c r="AA1433" s="469"/>
      <c r="AB1433" s="469"/>
    </row>
    <row r="1434" ht="14.25" customHeight="1">
      <c r="A1434" s="464"/>
      <c r="B1434" s="481"/>
      <c r="C1434" s="466"/>
      <c r="D1434" s="484"/>
      <c r="E1434" s="466"/>
      <c r="F1434" s="485"/>
      <c r="G1434" s="485"/>
      <c r="H1434" s="485"/>
      <c r="I1434" s="331"/>
      <c r="J1434" s="469"/>
      <c r="K1434" s="469"/>
      <c r="L1434" s="469"/>
      <c r="M1434" s="469"/>
      <c r="N1434" s="469"/>
      <c r="O1434" s="469"/>
      <c r="P1434" s="469"/>
      <c r="Q1434" s="469"/>
      <c r="R1434" s="469"/>
      <c r="S1434" s="469"/>
      <c r="T1434" s="469"/>
      <c r="U1434" s="469"/>
      <c r="V1434" s="469"/>
      <c r="W1434" s="469"/>
      <c r="X1434" s="469"/>
      <c r="Y1434" s="469"/>
      <c r="Z1434" s="469"/>
      <c r="AA1434" s="469"/>
      <c r="AB1434" s="469"/>
    </row>
    <row r="1435" ht="14.25" customHeight="1">
      <c r="A1435" s="464"/>
      <c r="B1435" s="481"/>
      <c r="C1435" s="466"/>
      <c r="D1435" s="484"/>
      <c r="E1435" s="466"/>
      <c r="F1435" s="485"/>
      <c r="G1435" s="485"/>
      <c r="H1435" s="485"/>
      <c r="I1435" s="331"/>
      <c r="J1435" s="469"/>
      <c r="K1435" s="469"/>
      <c r="L1435" s="469"/>
      <c r="M1435" s="469"/>
      <c r="N1435" s="469"/>
      <c r="O1435" s="469"/>
      <c r="P1435" s="469"/>
      <c r="Q1435" s="469"/>
      <c r="R1435" s="469"/>
      <c r="S1435" s="469"/>
      <c r="T1435" s="469"/>
      <c r="U1435" s="469"/>
      <c r="V1435" s="469"/>
      <c r="W1435" s="469"/>
      <c r="X1435" s="469"/>
      <c r="Y1435" s="469"/>
      <c r="Z1435" s="469"/>
      <c r="AA1435" s="469"/>
      <c r="AB1435" s="469"/>
    </row>
    <row r="1436" ht="14.25" customHeight="1">
      <c r="A1436" s="464"/>
      <c r="B1436" s="481"/>
      <c r="C1436" s="466"/>
      <c r="D1436" s="484"/>
      <c r="E1436" s="466"/>
      <c r="F1436" s="485"/>
      <c r="G1436" s="485"/>
      <c r="H1436" s="485"/>
      <c r="I1436" s="331"/>
      <c r="J1436" s="469"/>
      <c r="K1436" s="469"/>
      <c r="L1436" s="469"/>
      <c r="M1436" s="469"/>
      <c r="N1436" s="469"/>
      <c r="O1436" s="469"/>
      <c r="P1436" s="469"/>
      <c r="Q1436" s="469"/>
      <c r="R1436" s="469"/>
      <c r="S1436" s="469"/>
      <c r="T1436" s="469"/>
      <c r="U1436" s="469"/>
      <c r="V1436" s="469"/>
      <c r="W1436" s="469"/>
      <c r="X1436" s="469"/>
      <c r="Y1436" s="469"/>
      <c r="Z1436" s="469"/>
      <c r="AA1436" s="469"/>
      <c r="AB1436" s="469"/>
    </row>
    <row r="1437" ht="14.25" customHeight="1">
      <c r="A1437" s="464"/>
      <c r="B1437" s="481"/>
      <c r="C1437" s="466"/>
      <c r="D1437" s="484"/>
      <c r="E1437" s="466"/>
      <c r="F1437" s="485"/>
      <c r="G1437" s="485"/>
      <c r="H1437" s="485"/>
      <c r="I1437" s="331"/>
      <c r="J1437" s="469"/>
      <c r="K1437" s="469"/>
      <c r="L1437" s="469"/>
      <c r="M1437" s="469"/>
      <c r="N1437" s="469"/>
      <c r="O1437" s="469"/>
      <c r="P1437" s="469"/>
      <c r="Q1437" s="469"/>
      <c r="R1437" s="469"/>
      <c r="S1437" s="469"/>
      <c r="T1437" s="469"/>
      <c r="U1437" s="469"/>
      <c r="V1437" s="469"/>
      <c r="W1437" s="469"/>
      <c r="X1437" s="469"/>
      <c r="Y1437" s="469"/>
      <c r="Z1437" s="469"/>
      <c r="AA1437" s="469"/>
      <c r="AB1437" s="469"/>
    </row>
    <row r="1438" ht="14.25" customHeight="1">
      <c r="A1438" s="464"/>
      <c r="B1438" s="481"/>
      <c r="C1438" s="466"/>
      <c r="D1438" s="484"/>
      <c r="E1438" s="466"/>
      <c r="F1438" s="485"/>
      <c r="G1438" s="485"/>
      <c r="H1438" s="485"/>
      <c r="I1438" s="331"/>
      <c r="J1438" s="469"/>
      <c r="K1438" s="469"/>
      <c r="L1438" s="469"/>
      <c r="M1438" s="469"/>
      <c r="N1438" s="469"/>
      <c r="O1438" s="469"/>
      <c r="P1438" s="469"/>
      <c r="Q1438" s="469"/>
      <c r="R1438" s="469"/>
      <c r="S1438" s="469"/>
      <c r="T1438" s="469"/>
      <c r="U1438" s="469"/>
      <c r="V1438" s="469"/>
      <c r="W1438" s="469"/>
      <c r="X1438" s="469"/>
      <c r="Y1438" s="469"/>
      <c r="Z1438" s="469"/>
      <c r="AA1438" s="469"/>
      <c r="AB1438" s="469"/>
    </row>
    <row r="1439" ht="14.25" customHeight="1">
      <c r="A1439" s="464"/>
      <c r="B1439" s="481"/>
      <c r="C1439" s="466"/>
      <c r="D1439" s="484"/>
      <c r="E1439" s="466"/>
      <c r="F1439" s="485"/>
      <c r="G1439" s="485"/>
      <c r="H1439" s="485"/>
      <c r="I1439" s="331"/>
      <c r="J1439" s="469"/>
      <c r="K1439" s="469"/>
      <c r="L1439" s="469"/>
      <c r="M1439" s="469"/>
      <c r="N1439" s="469"/>
      <c r="O1439" s="469"/>
      <c r="P1439" s="469"/>
      <c r="Q1439" s="469"/>
      <c r="R1439" s="469"/>
      <c r="S1439" s="469"/>
      <c r="T1439" s="469"/>
      <c r="U1439" s="469"/>
      <c r="V1439" s="469"/>
      <c r="W1439" s="469"/>
      <c r="X1439" s="469"/>
      <c r="Y1439" s="469"/>
      <c r="Z1439" s="469"/>
      <c r="AA1439" s="469"/>
      <c r="AB1439" s="469"/>
    </row>
    <row r="1440" ht="14.25" customHeight="1">
      <c r="A1440" s="464"/>
      <c r="B1440" s="481"/>
      <c r="C1440" s="466"/>
      <c r="D1440" s="484"/>
      <c r="E1440" s="466"/>
      <c r="F1440" s="485"/>
      <c r="G1440" s="485"/>
      <c r="H1440" s="485"/>
      <c r="I1440" s="331"/>
      <c r="J1440" s="469"/>
      <c r="K1440" s="469"/>
      <c r="L1440" s="469"/>
      <c r="M1440" s="469"/>
      <c r="N1440" s="469"/>
      <c r="O1440" s="469"/>
      <c r="P1440" s="469"/>
      <c r="Q1440" s="469"/>
      <c r="R1440" s="469"/>
      <c r="S1440" s="469"/>
      <c r="T1440" s="469"/>
      <c r="U1440" s="469"/>
      <c r="V1440" s="469"/>
      <c r="W1440" s="469"/>
      <c r="X1440" s="469"/>
      <c r="Y1440" s="469"/>
      <c r="Z1440" s="469"/>
      <c r="AA1440" s="469"/>
      <c r="AB1440" s="469"/>
    </row>
    <row r="1441" ht="14.25" customHeight="1">
      <c r="A1441" s="464"/>
      <c r="B1441" s="481"/>
      <c r="C1441" s="466"/>
      <c r="D1441" s="484"/>
      <c r="E1441" s="466"/>
      <c r="F1441" s="485"/>
      <c r="G1441" s="485"/>
      <c r="H1441" s="485"/>
      <c r="I1441" s="331"/>
      <c r="J1441" s="469"/>
      <c r="K1441" s="469"/>
      <c r="L1441" s="469"/>
      <c r="M1441" s="469"/>
      <c r="N1441" s="469"/>
      <c r="O1441" s="469"/>
      <c r="P1441" s="469"/>
      <c r="Q1441" s="469"/>
      <c r="R1441" s="469"/>
      <c r="S1441" s="469"/>
      <c r="T1441" s="469"/>
      <c r="U1441" s="469"/>
      <c r="V1441" s="469"/>
      <c r="W1441" s="469"/>
      <c r="X1441" s="469"/>
      <c r="Y1441" s="469"/>
      <c r="Z1441" s="469"/>
      <c r="AA1441" s="469"/>
      <c r="AB1441" s="469"/>
    </row>
    <row r="1442" ht="14.25" customHeight="1">
      <c r="A1442" s="464"/>
      <c r="B1442" s="481"/>
      <c r="C1442" s="466"/>
      <c r="D1442" s="484"/>
      <c r="E1442" s="466"/>
      <c r="F1442" s="485"/>
      <c r="G1442" s="485"/>
      <c r="H1442" s="485"/>
      <c r="I1442" s="331"/>
      <c r="J1442" s="469"/>
      <c r="K1442" s="469"/>
      <c r="L1442" s="469"/>
      <c r="M1442" s="469"/>
      <c r="N1442" s="469"/>
      <c r="O1442" s="469"/>
      <c r="P1442" s="469"/>
      <c r="Q1442" s="469"/>
      <c r="R1442" s="469"/>
      <c r="S1442" s="469"/>
      <c r="T1442" s="469"/>
      <c r="U1442" s="469"/>
      <c r="V1442" s="469"/>
      <c r="W1442" s="469"/>
      <c r="X1442" s="469"/>
      <c r="Y1442" s="469"/>
      <c r="Z1442" s="469"/>
      <c r="AA1442" s="469"/>
      <c r="AB1442" s="469"/>
    </row>
    <row r="1443" ht="14.25" customHeight="1">
      <c r="A1443" s="464"/>
      <c r="B1443" s="481"/>
      <c r="C1443" s="466"/>
      <c r="D1443" s="484"/>
      <c r="E1443" s="466"/>
      <c r="F1443" s="485"/>
      <c r="G1443" s="485"/>
      <c r="H1443" s="485"/>
      <c r="I1443" s="331"/>
      <c r="J1443" s="469"/>
      <c r="K1443" s="469"/>
      <c r="L1443" s="469"/>
      <c r="M1443" s="469"/>
      <c r="N1443" s="469"/>
      <c r="O1443" s="469"/>
      <c r="P1443" s="469"/>
      <c r="Q1443" s="469"/>
      <c r="R1443" s="469"/>
      <c r="S1443" s="469"/>
      <c r="T1443" s="469"/>
      <c r="U1443" s="469"/>
      <c r="V1443" s="469"/>
      <c r="W1443" s="469"/>
      <c r="X1443" s="469"/>
      <c r="Y1443" s="469"/>
      <c r="Z1443" s="469"/>
      <c r="AA1443" s="469"/>
      <c r="AB1443" s="469"/>
    </row>
    <row r="1444" ht="14.25" customHeight="1">
      <c r="A1444" s="464"/>
      <c r="B1444" s="481"/>
      <c r="C1444" s="466"/>
      <c r="D1444" s="484"/>
      <c r="E1444" s="466"/>
      <c r="F1444" s="485"/>
      <c r="G1444" s="485"/>
      <c r="H1444" s="485"/>
      <c r="I1444" s="331"/>
      <c r="J1444" s="469"/>
      <c r="K1444" s="469"/>
      <c r="L1444" s="469"/>
      <c r="M1444" s="469"/>
      <c r="N1444" s="469"/>
      <c r="O1444" s="469"/>
      <c r="P1444" s="469"/>
      <c r="Q1444" s="469"/>
      <c r="R1444" s="469"/>
      <c r="S1444" s="469"/>
      <c r="T1444" s="469"/>
      <c r="U1444" s="469"/>
      <c r="V1444" s="469"/>
      <c r="W1444" s="469"/>
      <c r="X1444" s="469"/>
      <c r="Y1444" s="469"/>
      <c r="Z1444" s="469"/>
      <c r="AA1444" s="469"/>
      <c r="AB1444" s="469"/>
    </row>
    <row r="1445" ht="14.25" customHeight="1">
      <c r="A1445" s="464"/>
      <c r="B1445" s="481"/>
      <c r="C1445" s="466"/>
      <c r="D1445" s="484"/>
      <c r="E1445" s="466"/>
      <c r="F1445" s="485"/>
      <c r="G1445" s="485"/>
      <c r="H1445" s="485"/>
      <c r="I1445" s="331"/>
      <c r="J1445" s="469"/>
      <c r="K1445" s="469"/>
      <c r="L1445" s="469"/>
      <c r="M1445" s="469"/>
      <c r="N1445" s="469"/>
      <c r="O1445" s="469"/>
      <c r="P1445" s="469"/>
      <c r="Q1445" s="469"/>
      <c r="R1445" s="469"/>
      <c r="S1445" s="469"/>
      <c r="T1445" s="469"/>
      <c r="U1445" s="469"/>
      <c r="V1445" s="469"/>
      <c r="W1445" s="469"/>
      <c r="X1445" s="469"/>
      <c r="Y1445" s="469"/>
      <c r="Z1445" s="469"/>
      <c r="AA1445" s="469"/>
      <c r="AB1445" s="469"/>
    </row>
    <row r="1446" ht="14.25" customHeight="1">
      <c r="A1446" s="464"/>
      <c r="B1446" s="481"/>
      <c r="C1446" s="466"/>
      <c r="D1446" s="484"/>
      <c r="E1446" s="466"/>
      <c r="F1446" s="485"/>
      <c r="G1446" s="485"/>
      <c r="H1446" s="485"/>
      <c r="I1446" s="331"/>
      <c r="J1446" s="469"/>
      <c r="K1446" s="469"/>
      <c r="L1446" s="469"/>
      <c r="M1446" s="469"/>
      <c r="N1446" s="469"/>
      <c r="O1446" s="469"/>
      <c r="P1446" s="469"/>
      <c r="Q1446" s="469"/>
      <c r="R1446" s="469"/>
      <c r="S1446" s="469"/>
      <c r="T1446" s="469"/>
      <c r="U1446" s="469"/>
      <c r="V1446" s="469"/>
      <c r="W1446" s="469"/>
      <c r="X1446" s="469"/>
      <c r="Y1446" s="469"/>
      <c r="Z1446" s="469"/>
      <c r="AA1446" s="469"/>
      <c r="AB1446" s="469"/>
    </row>
    <row r="1447" ht="14.25" customHeight="1">
      <c r="A1447" s="464"/>
      <c r="B1447" s="481"/>
      <c r="C1447" s="466"/>
      <c r="D1447" s="484"/>
      <c r="E1447" s="466"/>
      <c r="F1447" s="485"/>
      <c r="G1447" s="485"/>
      <c r="H1447" s="485"/>
      <c r="I1447" s="331"/>
      <c r="J1447" s="469"/>
      <c r="K1447" s="469"/>
      <c r="L1447" s="469"/>
      <c r="M1447" s="469"/>
      <c r="N1447" s="469"/>
      <c r="O1447" s="469"/>
      <c r="P1447" s="469"/>
      <c r="Q1447" s="469"/>
      <c r="R1447" s="469"/>
      <c r="S1447" s="469"/>
      <c r="T1447" s="469"/>
      <c r="U1447" s="469"/>
      <c r="V1447" s="469"/>
      <c r="W1447" s="469"/>
      <c r="X1447" s="469"/>
      <c r="Y1447" s="469"/>
      <c r="Z1447" s="469"/>
      <c r="AA1447" s="469"/>
      <c r="AB1447" s="469"/>
    </row>
    <row r="1448" ht="14.25" customHeight="1">
      <c r="A1448" s="464"/>
      <c r="B1448" s="481"/>
      <c r="C1448" s="466"/>
      <c r="D1448" s="484"/>
      <c r="E1448" s="466"/>
      <c r="F1448" s="485"/>
      <c r="G1448" s="485"/>
      <c r="H1448" s="485"/>
      <c r="I1448" s="331"/>
      <c r="J1448" s="469"/>
      <c r="K1448" s="469"/>
      <c r="L1448" s="469"/>
      <c r="M1448" s="469"/>
      <c r="N1448" s="469"/>
      <c r="O1448" s="469"/>
      <c r="P1448" s="469"/>
      <c r="Q1448" s="469"/>
      <c r="R1448" s="469"/>
      <c r="S1448" s="469"/>
      <c r="T1448" s="469"/>
      <c r="U1448" s="469"/>
      <c r="V1448" s="469"/>
      <c r="W1448" s="469"/>
      <c r="X1448" s="469"/>
      <c r="Y1448" s="469"/>
      <c r="Z1448" s="469"/>
      <c r="AA1448" s="469"/>
      <c r="AB1448" s="469"/>
    </row>
    <row r="1449" ht="14.25" customHeight="1">
      <c r="A1449" s="464"/>
      <c r="B1449" s="481"/>
      <c r="C1449" s="466"/>
      <c r="D1449" s="484"/>
      <c r="E1449" s="466"/>
      <c r="F1449" s="485"/>
      <c r="G1449" s="485"/>
      <c r="H1449" s="485"/>
      <c r="I1449" s="331"/>
      <c r="J1449" s="469"/>
      <c r="K1449" s="469"/>
      <c r="L1449" s="469"/>
      <c r="M1449" s="469"/>
      <c r="N1449" s="469"/>
      <c r="O1449" s="469"/>
      <c r="P1449" s="469"/>
      <c r="Q1449" s="469"/>
      <c r="R1449" s="469"/>
      <c r="S1449" s="469"/>
      <c r="T1449" s="469"/>
      <c r="U1449" s="469"/>
      <c r="V1449" s="469"/>
      <c r="W1449" s="469"/>
      <c r="X1449" s="469"/>
      <c r="Y1449" s="469"/>
      <c r="Z1449" s="469"/>
      <c r="AA1449" s="469"/>
      <c r="AB1449" s="469"/>
    </row>
    <row r="1450" ht="14.25" customHeight="1">
      <c r="A1450" s="464"/>
      <c r="B1450" s="481"/>
      <c r="C1450" s="466"/>
      <c r="D1450" s="484"/>
      <c r="E1450" s="466"/>
      <c r="F1450" s="485"/>
      <c r="G1450" s="485"/>
      <c r="H1450" s="485"/>
      <c r="I1450" s="331"/>
      <c r="J1450" s="469"/>
      <c r="K1450" s="469"/>
      <c r="L1450" s="469"/>
      <c r="M1450" s="469"/>
      <c r="N1450" s="469"/>
      <c r="O1450" s="469"/>
      <c r="P1450" s="469"/>
      <c r="Q1450" s="469"/>
      <c r="R1450" s="469"/>
      <c r="S1450" s="469"/>
      <c r="T1450" s="469"/>
      <c r="U1450" s="469"/>
      <c r="V1450" s="469"/>
      <c r="W1450" s="469"/>
      <c r="X1450" s="469"/>
      <c r="Y1450" s="469"/>
      <c r="Z1450" s="469"/>
      <c r="AA1450" s="469"/>
      <c r="AB1450" s="469"/>
    </row>
    <row r="1451" ht="14.25" customHeight="1">
      <c r="A1451" s="464"/>
      <c r="B1451" s="481"/>
      <c r="C1451" s="466"/>
      <c r="D1451" s="484"/>
      <c r="E1451" s="466"/>
      <c r="F1451" s="485"/>
      <c r="G1451" s="485"/>
      <c r="H1451" s="485"/>
      <c r="I1451" s="331"/>
      <c r="J1451" s="469"/>
      <c r="K1451" s="469"/>
      <c r="L1451" s="469"/>
      <c r="M1451" s="469"/>
      <c r="N1451" s="469"/>
      <c r="O1451" s="469"/>
      <c r="P1451" s="469"/>
      <c r="Q1451" s="469"/>
      <c r="R1451" s="469"/>
      <c r="S1451" s="469"/>
      <c r="T1451" s="469"/>
      <c r="U1451" s="469"/>
      <c r="V1451" s="469"/>
      <c r="W1451" s="469"/>
      <c r="X1451" s="469"/>
      <c r="Y1451" s="469"/>
      <c r="Z1451" s="469"/>
      <c r="AA1451" s="469"/>
      <c r="AB1451" s="469"/>
    </row>
    <row r="1452" ht="14.25" customHeight="1">
      <c r="A1452" s="464"/>
      <c r="B1452" s="481"/>
      <c r="C1452" s="466"/>
      <c r="D1452" s="484"/>
      <c r="E1452" s="466"/>
      <c r="F1452" s="485"/>
      <c r="G1452" s="485"/>
      <c r="H1452" s="485"/>
      <c r="I1452" s="331"/>
      <c r="J1452" s="469"/>
      <c r="K1452" s="469"/>
      <c r="L1452" s="469"/>
      <c r="M1452" s="469"/>
      <c r="N1452" s="469"/>
      <c r="O1452" s="469"/>
      <c r="P1452" s="469"/>
      <c r="Q1452" s="469"/>
      <c r="R1452" s="469"/>
      <c r="S1452" s="469"/>
      <c r="T1452" s="469"/>
      <c r="U1452" s="469"/>
      <c r="V1452" s="469"/>
      <c r="W1452" s="469"/>
      <c r="X1452" s="469"/>
      <c r="Y1452" s="469"/>
      <c r="Z1452" s="469"/>
      <c r="AA1452" s="469"/>
      <c r="AB1452" s="469"/>
    </row>
    <row r="1453" ht="14.25" customHeight="1">
      <c r="A1453" s="464"/>
      <c r="B1453" s="481"/>
      <c r="C1453" s="466"/>
      <c r="D1453" s="484"/>
      <c r="E1453" s="466"/>
      <c r="F1453" s="485"/>
      <c r="G1453" s="485"/>
      <c r="H1453" s="485"/>
      <c r="I1453" s="331"/>
      <c r="J1453" s="469"/>
      <c r="K1453" s="469"/>
      <c r="L1453" s="469"/>
      <c r="M1453" s="469"/>
      <c r="N1453" s="469"/>
      <c r="O1453" s="469"/>
      <c r="P1453" s="469"/>
      <c r="Q1453" s="469"/>
      <c r="R1453" s="469"/>
      <c r="S1453" s="469"/>
      <c r="T1453" s="469"/>
      <c r="U1453" s="469"/>
      <c r="V1453" s="469"/>
      <c r="W1453" s="469"/>
      <c r="X1453" s="469"/>
      <c r="Y1453" s="469"/>
      <c r="Z1453" s="469"/>
      <c r="AA1453" s="469"/>
      <c r="AB1453" s="469"/>
    </row>
    <row r="1454" ht="14.25" customHeight="1">
      <c r="A1454" s="464"/>
      <c r="B1454" s="481"/>
      <c r="C1454" s="466"/>
      <c r="D1454" s="484"/>
      <c r="E1454" s="466"/>
      <c r="F1454" s="485"/>
      <c r="G1454" s="485"/>
      <c r="H1454" s="485"/>
      <c r="I1454" s="331"/>
      <c r="J1454" s="469"/>
      <c r="K1454" s="469"/>
      <c r="L1454" s="469"/>
      <c r="M1454" s="469"/>
      <c r="N1454" s="469"/>
      <c r="O1454" s="469"/>
      <c r="P1454" s="469"/>
      <c r="Q1454" s="469"/>
      <c r="R1454" s="469"/>
      <c r="S1454" s="469"/>
      <c r="T1454" s="469"/>
      <c r="U1454" s="469"/>
      <c r="V1454" s="469"/>
      <c r="W1454" s="469"/>
      <c r="X1454" s="469"/>
      <c r="Y1454" s="469"/>
      <c r="Z1454" s="469"/>
      <c r="AA1454" s="469"/>
      <c r="AB1454" s="469"/>
    </row>
    <row r="1455" ht="14.25" customHeight="1">
      <c r="A1455" s="464"/>
      <c r="B1455" s="481"/>
      <c r="C1455" s="466"/>
      <c r="D1455" s="484"/>
      <c r="E1455" s="466"/>
      <c r="F1455" s="485"/>
      <c r="G1455" s="485"/>
      <c r="H1455" s="485"/>
      <c r="I1455" s="331"/>
      <c r="J1455" s="469"/>
      <c r="K1455" s="469"/>
      <c r="L1455" s="469"/>
      <c r="M1455" s="469"/>
      <c r="N1455" s="469"/>
      <c r="O1455" s="469"/>
      <c r="P1455" s="469"/>
      <c r="Q1455" s="469"/>
      <c r="R1455" s="469"/>
      <c r="S1455" s="469"/>
      <c r="T1455" s="469"/>
      <c r="U1455" s="469"/>
      <c r="V1455" s="469"/>
      <c r="W1455" s="469"/>
      <c r="X1455" s="469"/>
      <c r="Y1455" s="469"/>
      <c r="Z1455" s="469"/>
      <c r="AA1455" s="469"/>
      <c r="AB1455" s="469"/>
    </row>
    <row r="1456" ht="14.25" customHeight="1">
      <c r="A1456" s="464"/>
      <c r="B1456" s="481"/>
      <c r="C1456" s="466"/>
      <c r="D1456" s="484"/>
      <c r="E1456" s="466"/>
      <c r="F1456" s="485"/>
      <c r="G1456" s="485"/>
      <c r="H1456" s="485"/>
      <c r="I1456" s="331"/>
      <c r="J1456" s="469"/>
      <c r="K1456" s="469"/>
      <c r="L1456" s="469"/>
      <c r="M1456" s="469"/>
      <c r="N1456" s="469"/>
      <c r="O1456" s="469"/>
      <c r="P1456" s="469"/>
      <c r="Q1456" s="469"/>
      <c r="R1456" s="469"/>
      <c r="S1456" s="469"/>
      <c r="T1456" s="469"/>
      <c r="U1456" s="469"/>
      <c r="V1456" s="469"/>
      <c r="W1456" s="469"/>
      <c r="X1456" s="469"/>
      <c r="Y1456" s="469"/>
      <c r="Z1456" s="469"/>
      <c r="AA1456" s="469"/>
      <c r="AB1456" s="469"/>
    </row>
    <row r="1457" ht="14.25" customHeight="1">
      <c r="A1457" s="464"/>
      <c r="B1457" s="481"/>
      <c r="C1457" s="466"/>
      <c r="D1457" s="484"/>
      <c r="E1457" s="466"/>
      <c r="F1457" s="485"/>
      <c r="G1457" s="485"/>
      <c r="H1457" s="485"/>
      <c r="I1457" s="331"/>
      <c r="J1457" s="469"/>
      <c r="K1457" s="469"/>
      <c r="L1457" s="469"/>
      <c r="M1457" s="469"/>
      <c r="N1457" s="469"/>
      <c r="O1457" s="469"/>
      <c r="P1457" s="469"/>
      <c r="Q1457" s="469"/>
      <c r="R1457" s="469"/>
      <c r="S1457" s="469"/>
      <c r="T1457" s="469"/>
      <c r="U1457" s="469"/>
      <c r="V1457" s="469"/>
      <c r="W1457" s="469"/>
      <c r="X1457" s="469"/>
      <c r="Y1457" s="469"/>
      <c r="Z1457" s="469"/>
      <c r="AA1457" s="469"/>
      <c r="AB1457" s="469"/>
    </row>
    <row r="1458" ht="14.25" customHeight="1">
      <c r="A1458" s="464"/>
      <c r="B1458" s="481"/>
      <c r="C1458" s="466"/>
      <c r="D1458" s="484"/>
      <c r="E1458" s="466"/>
      <c r="F1458" s="485"/>
      <c r="G1458" s="485"/>
      <c r="H1458" s="485"/>
      <c r="I1458" s="331"/>
      <c r="J1458" s="469"/>
      <c r="K1458" s="469"/>
      <c r="L1458" s="469"/>
      <c r="M1458" s="469"/>
      <c r="N1458" s="469"/>
      <c r="O1458" s="469"/>
      <c r="P1458" s="469"/>
      <c r="Q1458" s="469"/>
      <c r="R1458" s="469"/>
      <c r="S1458" s="469"/>
      <c r="T1458" s="469"/>
      <c r="U1458" s="469"/>
      <c r="V1458" s="469"/>
      <c r="W1458" s="469"/>
      <c r="X1458" s="469"/>
      <c r="Y1458" s="469"/>
      <c r="Z1458" s="469"/>
      <c r="AA1458" s="469"/>
      <c r="AB1458" s="469"/>
    </row>
    <row r="1459" ht="14.25" customHeight="1">
      <c r="A1459" s="464"/>
      <c r="B1459" s="481"/>
      <c r="C1459" s="466"/>
      <c r="D1459" s="484"/>
      <c r="E1459" s="466"/>
      <c r="F1459" s="485"/>
      <c r="G1459" s="485"/>
      <c r="H1459" s="485"/>
      <c r="I1459" s="331"/>
      <c r="J1459" s="469"/>
      <c r="K1459" s="469"/>
      <c r="L1459" s="469"/>
      <c r="M1459" s="469"/>
      <c r="N1459" s="469"/>
      <c r="O1459" s="469"/>
      <c r="P1459" s="469"/>
      <c r="Q1459" s="469"/>
      <c r="R1459" s="469"/>
      <c r="S1459" s="469"/>
      <c r="T1459" s="469"/>
      <c r="U1459" s="469"/>
      <c r="V1459" s="469"/>
      <c r="W1459" s="469"/>
      <c r="X1459" s="469"/>
      <c r="Y1459" s="469"/>
      <c r="Z1459" s="469"/>
      <c r="AA1459" s="469"/>
      <c r="AB1459" s="469"/>
    </row>
    <row r="1460" ht="14.25" customHeight="1">
      <c r="A1460" s="464"/>
      <c r="B1460" s="481"/>
      <c r="C1460" s="466"/>
      <c r="D1460" s="484"/>
      <c r="E1460" s="466"/>
      <c r="F1460" s="485"/>
      <c r="G1460" s="485"/>
      <c r="H1460" s="485"/>
      <c r="I1460" s="331"/>
      <c r="J1460" s="469"/>
      <c r="K1460" s="469"/>
      <c r="L1460" s="469"/>
      <c r="M1460" s="469"/>
      <c r="N1460" s="469"/>
      <c r="O1460" s="469"/>
      <c r="P1460" s="469"/>
      <c r="Q1460" s="469"/>
      <c r="R1460" s="469"/>
      <c r="S1460" s="469"/>
      <c r="T1460" s="469"/>
      <c r="U1460" s="469"/>
      <c r="V1460" s="469"/>
      <c r="W1460" s="469"/>
      <c r="X1460" s="469"/>
      <c r="Y1460" s="469"/>
      <c r="Z1460" s="469"/>
      <c r="AA1460" s="469"/>
      <c r="AB1460" s="469"/>
    </row>
    <row r="1461" ht="14.25" customHeight="1">
      <c r="A1461" s="464"/>
      <c r="B1461" s="481"/>
      <c r="C1461" s="466"/>
      <c r="D1461" s="484"/>
      <c r="E1461" s="466"/>
      <c r="F1461" s="485"/>
      <c r="G1461" s="485"/>
      <c r="H1461" s="485"/>
      <c r="I1461" s="331"/>
      <c r="J1461" s="469"/>
      <c r="K1461" s="469"/>
      <c r="L1461" s="469"/>
      <c r="M1461" s="469"/>
      <c r="N1461" s="469"/>
      <c r="O1461" s="469"/>
      <c r="P1461" s="469"/>
      <c r="Q1461" s="469"/>
      <c r="R1461" s="469"/>
      <c r="S1461" s="469"/>
      <c r="T1461" s="469"/>
      <c r="U1461" s="469"/>
      <c r="V1461" s="469"/>
      <c r="W1461" s="469"/>
      <c r="X1461" s="469"/>
      <c r="Y1461" s="469"/>
      <c r="Z1461" s="469"/>
      <c r="AA1461" s="469"/>
      <c r="AB1461" s="469"/>
    </row>
    <row r="1462" ht="14.25" customHeight="1">
      <c r="A1462" s="464"/>
      <c r="B1462" s="481"/>
      <c r="C1462" s="466"/>
      <c r="D1462" s="484"/>
      <c r="E1462" s="466"/>
      <c r="F1462" s="485"/>
      <c r="G1462" s="485"/>
      <c r="H1462" s="485"/>
      <c r="I1462" s="331"/>
      <c r="J1462" s="469"/>
      <c r="K1462" s="469"/>
      <c r="L1462" s="469"/>
      <c r="M1462" s="469"/>
      <c r="N1462" s="469"/>
      <c r="O1462" s="469"/>
      <c r="P1462" s="469"/>
      <c r="Q1462" s="469"/>
      <c r="R1462" s="469"/>
      <c r="S1462" s="469"/>
      <c r="T1462" s="469"/>
      <c r="U1462" s="469"/>
      <c r="V1462" s="469"/>
      <c r="W1462" s="469"/>
      <c r="X1462" s="469"/>
      <c r="Y1462" s="469"/>
      <c r="Z1462" s="469"/>
      <c r="AA1462" s="469"/>
      <c r="AB1462" s="469"/>
    </row>
    <row r="1463" ht="14.25" customHeight="1">
      <c r="A1463" s="464"/>
      <c r="B1463" s="481"/>
      <c r="C1463" s="466"/>
      <c r="D1463" s="484"/>
      <c r="E1463" s="466"/>
      <c r="F1463" s="485"/>
      <c r="G1463" s="485"/>
      <c r="H1463" s="485"/>
      <c r="I1463" s="331"/>
      <c r="J1463" s="469"/>
      <c r="K1463" s="469"/>
      <c r="L1463" s="469"/>
      <c r="M1463" s="469"/>
      <c r="N1463" s="469"/>
      <c r="O1463" s="469"/>
      <c r="P1463" s="469"/>
      <c r="Q1463" s="469"/>
      <c r="R1463" s="469"/>
      <c r="S1463" s="469"/>
      <c r="T1463" s="469"/>
      <c r="U1463" s="469"/>
      <c r="V1463" s="469"/>
      <c r="W1463" s="469"/>
      <c r="X1463" s="469"/>
      <c r="Y1463" s="469"/>
      <c r="Z1463" s="469"/>
      <c r="AA1463" s="469"/>
      <c r="AB1463" s="469"/>
    </row>
    <row r="1464" ht="14.25" customHeight="1">
      <c r="A1464" s="464"/>
      <c r="B1464" s="481"/>
      <c r="C1464" s="466"/>
      <c r="D1464" s="484"/>
      <c r="E1464" s="466"/>
      <c r="F1464" s="485"/>
      <c r="G1464" s="485"/>
      <c r="H1464" s="485"/>
      <c r="I1464" s="331"/>
      <c r="J1464" s="469"/>
      <c r="K1464" s="469"/>
      <c r="L1464" s="469"/>
      <c r="M1464" s="469"/>
      <c r="N1464" s="469"/>
      <c r="O1464" s="469"/>
      <c r="P1464" s="469"/>
      <c r="Q1464" s="469"/>
      <c r="R1464" s="469"/>
      <c r="S1464" s="469"/>
      <c r="T1464" s="469"/>
      <c r="U1464" s="469"/>
      <c r="V1464" s="469"/>
      <c r="W1464" s="469"/>
      <c r="X1464" s="469"/>
      <c r="Y1464" s="469"/>
      <c r="Z1464" s="469"/>
      <c r="AA1464" s="469"/>
      <c r="AB1464" s="469"/>
    </row>
    <row r="1465" ht="14.25" customHeight="1">
      <c r="A1465" s="464"/>
      <c r="B1465" s="481"/>
      <c r="C1465" s="466"/>
      <c r="D1465" s="484"/>
      <c r="E1465" s="466"/>
      <c r="F1465" s="485"/>
      <c r="G1465" s="485"/>
      <c r="H1465" s="485"/>
      <c r="I1465" s="331"/>
      <c r="J1465" s="469"/>
      <c r="K1465" s="469"/>
      <c r="L1465" s="469"/>
      <c r="M1465" s="469"/>
      <c r="N1465" s="469"/>
      <c r="O1465" s="469"/>
      <c r="P1465" s="469"/>
      <c r="Q1465" s="469"/>
      <c r="R1465" s="469"/>
      <c r="S1465" s="469"/>
      <c r="T1465" s="469"/>
      <c r="U1465" s="469"/>
      <c r="V1465" s="469"/>
      <c r="W1465" s="469"/>
      <c r="X1465" s="469"/>
      <c r="Y1465" s="469"/>
      <c r="Z1465" s="469"/>
      <c r="AA1465" s="469"/>
      <c r="AB1465" s="469"/>
    </row>
    <row r="1466" ht="14.25" customHeight="1">
      <c r="A1466" s="464"/>
      <c r="B1466" s="481"/>
      <c r="C1466" s="466"/>
      <c r="D1466" s="484"/>
      <c r="E1466" s="466"/>
      <c r="F1466" s="485"/>
      <c r="G1466" s="485"/>
      <c r="H1466" s="485"/>
      <c r="I1466" s="331"/>
      <c r="J1466" s="469"/>
      <c r="K1466" s="469"/>
      <c r="L1466" s="469"/>
      <c r="M1466" s="469"/>
      <c r="N1466" s="469"/>
      <c r="O1466" s="469"/>
      <c r="P1466" s="469"/>
      <c r="Q1466" s="469"/>
      <c r="R1466" s="469"/>
      <c r="S1466" s="469"/>
      <c r="T1466" s="469"/>
      <c r="U1466" s="469"/>
      <c r="V1466" s="469"/>
      <c r="W1466" s="469"/>
      <c r="X1466" s="469"/>
      <c r="Y1466" s="469"/>
      <c r="Z1466" s="469"/>
      <c r="AA1466" s="469"/>
      <c r="AB1466" s="469"/>
    </row>
    <row r="1467" ht="14.25" customHeight="1">
      <c r="A1467" s="464"/>
      <c r="B1467" s="481"/>
      <c r="C1467" s="466"/>
      <c r="D1467" s="484"/>
      <c r="E1467" s="466"/>
      <c r="F1467" s="485"/>
      <c r="G1467" s="485"/>
      <c r="H1467" s="485"/>
      <c r="I1467" s="331"/>
      <c r="J1467" s="469"/>
      <c r="K1467" s="469"/>
      <c r="L1467" s="469"/>
      <c r="M1467" s="469"/>
      <c r="N1467" s="469"/>
      <c r="O1467" s="469"/>
      <c r="P1467" s="469"/>
      <c r="Q1467" s="469"/>
      <c r="R1467" s="469"/>
      <c r="S1467" s="469"/>
      <c r="T1467" s="469"/>
      <c r="U1467" s="469"/>
      <c r="V1467" s="469"/>
      <c r="W1467" s="469"/>
      <c r="X1467" s="469"/>
      <c r="Y1467" s="469"/>
      <c r="Z1467" s="469"/>
      <c r="AA1467" s="469"/>
      <c r="AB1467" s="469"/>
    </row>
    <row r="1468" ht="14.25" customHeight="1">
      <c r="A1468" s="464"/>
      <c r="B1468" s="481"/>
      <c r="C1468" s="466"/>
      <c r="D1468" s="484"/>
      <c r="E1468" s="466"/>
      <c r="F1468" s="485"/>
      <c r="G1468" s="485"/>
      <c r="H1468" s="485"/>
      <c r="I1468" s="331"/>
      <c r="J1468" s="469"/>
      <c r="K1468" s="469"/>
      <c r="L1468" s="469"/>
      <c r="M1468" s="469"/>
      <c r="N1468" s="469"/>
      <c r="O1468" s="469"/>
      <c r="P1468" s="469"/>
      <c r="Q1468" s="469"/>
      <c r="R1468" s="469"/>
      <c r="S1468" s="469"/>
      <c r="T1468" s="469"/>
      <c r="U1468" s="469"/>
      <c r="V1468" s="469"/>
      <c r="W1468" s="469"/>
      <c r="X1468" s="469"/>
      <c r="Y1468" s="469"/>
      <c r="Z1468" s="469"/>
      <c r="AA1468" s="469"/>
      <c r="AB1468" s="469"/>
    </row>
    <row r="1469" ht="14.25" customHeight="1">
      <c r="A1469" s="464"/>
      <c r="B1469" s="481"/>
      <c r="C1469" s="466"/>
      <c r="D1469" s="484"/>
      <c r="E1469" s="466"/>
      <c r="F1469" s="485"/>
      <c r="G1469" s="485"/>
      <c r="H1469" s="485"/>
      <c r="I1469" s="331"/>
      <c r="J1469" s="469"/>
      <c r="K1469" s="469"/>
      <c r="L1469" s="469"/>
      <c r="M1469" s="469"/>
      <c r="N1469" s="469"/>
      <c r="O1469" s="469"/>
      <c r="P1469" s="469"/>
      <c r="Q1469" s="469"/>
      <c r="R1469" s="469"/>
      <c r="S1469" s="469"/>
      <c r="T1469" s="469"/>
      <c r="U1469" s="469"/>
      <c r="V1469" s="469"/>
      <c r="W1469" s="469"/>
      <c r="X1469" s="469"/>
      <c r="Y1469" s="469"/>
      <c r="Z1469" s="469"/>
      <c r="AA1469" s="469"/>
      <c r="AB1469" s="469"/>
    </row>
    <row r="1470" ht="14.25" customHeight="1">
      <c r="A1470" s="464"/>
      <c r="B1470" s="481"/>
      <c r="C1470" s="466"/>
      <c r="D1470" s="484"/>
      <c r="E1470" s="466"/>
      <c r="F1470" s="485"/>
      <c r="G1470" s="485"/>
      <c r="H1470" s="485"/>
      <c r="I1470" s="331"/>
      <c r="J1470" s="469"/>
      <c r="K1470" s="469"/>
      <c r="L1470" s="469"/>
      <c r="M1470" s="469"/>
      <c r="N1470" s="469"/>
      <c r="O1470" s="469"/>
      <c r="P1470" s="469"/>
      <c r="Q1470" s="469"/>
      <c r="R1470" s="469"/>
      <c r="S1470" s="469"/>
      <c r="T1470" s="469"/>
      <c r="U1470" s="469"/>
      <c r="V1470" s="469"/>
      <c r="W1470" s="469"/>
      <c r="X1470" s="469"/>
      <c r="Y1470" s="469"/>
      <c r="Z1470" s="469"/>
      <c r="AA1470" s="469"/>
      <c r="AB1470" s="469"/>
    </row>
    <row r="1471" ht="14.25" customHeight="1">
      <c r="A1471" s="464"/>
      <c r="B1471" s="481"/>
      <c r="C1471" s="466"/>
      <c r="D1471" s="484"/>
      <c r="E1471" s="466"/>
      <c r="F1471" s="485"/>
      <c r="G1471" s="485"/>
      <c r="H1471" s="485"/>
      <c r="I1471" s="331"/>
      <c r="J1471" s="469"/>
      <c r="K1471" s="469"/>
      <c r="L1471" s="469"/>
      <c r="M1471" s="469"/>
      <c r="N1471" s="469"/>
      <c r="O1471" s="469"/>
      <c r="P1471" s="469"/>
      <c r="Q1471" s="469"/>
      <c r="R1471" s="469"/>
      <c r="S1471" s="469"/>
      <c r="T1471" s="469"/>
      <c r="U1471" s="469"/>
      <c r="V1471" s="469"/>
      <c r="W1471" s="469"/>
      <c r="X1471" s="469"/>
      <c r="Y1471" s="469"/>
      <c r="Z1471" s="469"/>
      <c r="AA1471" s="469"/>
      <c r="AB1471" s="469"/>
    </row>
    <row r="1472" ht="14.25" customHeight="1">
      <c r="A1472" s="464"/>
      <c r="B1472" s="481"/>
      <c r="C1472" s="466"/>
      <c r="D1472" s="484"/>
      <c r="E1472" s="466"/>
      <c r="F1472" s="485"/>
      <c r="G1472" s="485"/>
      <c r="H1472" s="485"/>
      <c r="I1472" s="331"/>
      <c r="J1472" s="469"/>
      <c r="K1472" s="469"/>
      <c r="L1472" s="469"/>
      <c r="M1472" s="469"/>
      <c r="N1472" s="469"/>
      <c r="O1472" s="469"/>
      <c r="P1472" s="469"/>
      <c r="Q1472" s="469"/>
      <c r="R1472" s="469"/>
      <c r="S1472" s="469"/>
      <c r="T1472" s="469"/>
      <c r="U1472" s="469"/>
      <c r="V1472" s="469"/>
      <c r="W1472" s="469"/>
      <c r="X1472" s="469"/>
      <c r="Y1472" s="469"/>
      <c r="Z1472" s="469"/>
      <c r="AA1472" s="469"/>
      <c r="AB1472" s="469"/>
    </row>
    <row r="1473" ht="14.25" customHeight="1">
      <c r="A1473" s="464"/>
      <c r="B1473" s="481"/>
      <c r="C1473" s="466"/>
      <c r="D1473" s="484"/>
      <c r="E1473" s="466"/>
      <c r="F1473" s="485"/>
      <c r="G1473" s="485"/>
      <c r="H1473" s="485"/>
      <c r="I1473" s="331"/>
      <c r="J1473" s="469"/>
      <c r="K1473" s="469"/>
      <c r="L1473" s="469"/>
      <c r="M1473" s="469"/>
      <c r="N1473" s="469"/>
      <c r="O1473" s="469"/>
      <c r="P1473" s="469"/>
      <c r="Q1473" s="469"/>
      <c r="R1473" s="469"/>
      <c r="S1473" s="469"/>
      <c r="T1473" s="469"/>
      <c r="U1473" s="469"/>
      <c r="V1473" s="469"/>
      <c r="W1473" s="469"/>
      <c r="X1473" s="469"/>
      <c r="Y1473" s="469"/>
      <c r="Z1473" s="469"/>
      <c r="AA1473" s="469"/>
      <c r="AB1473" s="469"/>
    </row>
    <row r="1474" ht="14.25" customHeight="1">
      <c r="A1474" s="464"/>
      <c r="B1474" s="481"/>
      <c r="C1474" s="466"/>
      <c r="D1474" s="484"/>
      <c r="E1474" s="466"/>
      <c r="F1474" s="485"/>
      <c r="G1474" s="485"/>
      <c r="H1474" s="485"/>
      <c r="I1474" s="331"/>
      <c r="J1474" s="469"/>
      <c r="K1474" s="469"/>
      <c r="L1474" s="469"/>
      <c r="M1474" s="469"/>
      <c r="N1474" s="469"/>
      <c r="O1474" s="469"/>
      <c r="P1474" s="469"/>
      <c r="Q1474" s="469"/>
      <c r="R1474" s="469"/>
      <c r="S1474" s="469"/>
      <c r="T1474" s="469"/>
      <c r="U1474" s="469"/>
      <c r="V1474" s="469"/>
      <c r="W1474" s="469"/>
      <c r="X1474" s="469"/>
      <c r="Y1474" s="469"/>
      <c r="Z1474" s="469"/>
      <c r="AA1474" s="469"/>
      <c r="AB1474" s="469"/>
    </row>
    <row r="1475" ht="14.25" customHeight="1">
      <c r="A1475" s="464"/>
      <c r="B1475" s="481"/>
      <c r="C1475" s="466"/>
      <c r="D1475" s="484"/>
      <c r="E1475" s="466"/>
      <c r="F1475" s="485"/>
      <c r="G1475" s="485"/>
      <c r="H1475" s="485"/>
      <c r="I1475" s="331"/>
      <c r="J1475" s="469"/>
      <c r="K1475" s="469"/>
      <c r="L1475" s="469"/>
      <c r="M1475" s="469"/>
      <c r="N1475" s="469"/>
      <c r="O1475" s="469"/>
      <c r="P1475" s="469"/>
      <c r="Q1475" s="469"/>
      <c r="R1475" s="469"/>
      <c r="S1475" s="469"/>
      <c r="T1475" s="469"/>
      <c r="U1475" s="469"/>
      <c r="V1475" s="469"/>
      <c r="W1475" s="469"/>
      <c r="X1475" s="469"/>
      <c r="Y1475" s="469"/>
      <c r="Z1475" s="469"/>
      <c r="AA1475" s="469"/>
      <c r="AB1475" s="469"/>
    </row>
    <row r="1476" ht="14.25" customHeight="1">
      <c r="A1476" s="464"/>
      <c r="B1476" s="481"/>
      <c r="C1476" s="466"/>
      <c r="D1476" s="484"/>
      <c r="E1476" s="466"/>
      <c r="F1476" s="485"/>
      <c r="G1476" s="485"/>
      <c r="H1476" s="485"/>
      <c r="I1476" s="331"/>
      <c r="J1476" s="469"/>
      <c r="K1476" s="469"/>
      <c r="L1476" s="469"/>
      <c r="M1476" s="469"/>
      <c r="N1476" s="469"/>
      <c r="O1476" s="469"/>
      <c r="P1476" s="469"/>
      <c r="Q1476" s="469"/>
      <c r="R1476" s="469"/>
      <c r="S1476" s="469"/>
      <c r="T1476" s="469"/>
      <c r="U1476" s="469"/>
      <c r="V1476" s="469"/>
      <c r="W1476" s="469"/>
      <c r="X1476" s="469"/>
      <c r="Y1476" s="469"/>
      <c r="Z1476" s="469"/>
      <c r="AA1476" s="469"/>
      <c r="AB1476" s="469"/>
    </row>
    <row r="1477" ht="14.25" customHeight="1">
      <c r="A1477" s="464"/>
      <c r="B1477" s="481"/>
      <c r="C1477" s="466"/>
      <c r="D1477" s="484"/>
      <c r="E1477" s="466"/>
      <c r="F1477" s="485"/>
      <c r="G1477" s="485"/>
      <c r="H1477" s="485"/>
      <c r="I1477" s="331"/>
      <c r="J1477" s="469"/>
      <c r="K1477" s="469"/>
      <c r="L1477" s="469"/>
      <c r="M1477" s="469"/>
      <c r="N1477" s="469"/>
      <c r="O1477" s="469"/>
      <c r="P1477" s="469"/>
      <c r="Q1477" s="469"/>
      <c r="R1477" s="469"/>
      <c r="S1477" s="469"/>
      <c r="T1477" s="469"/>
      <c r="U1477" s="469"/>
      <c r="V1477" s="469"/>
      <c r="W1477" s="469"/>
      <c r="X1477" s="469"/>
      <c r="Y1477" s="469"/>
      <c r="Z1477" s="469"/>
      <c r="AA1477" s="469"/>
      <c r="AB1477" s="469"/>
    </row>
    <row r="1478" ht="14.25" customHeight="1">
      <c r="A1478" s="464"/>
      <c r="B1478" s="481"/>
      <c r="C1478" s="466"/>
      <c r="D1478" s="484"/>
      <c r="E1478" s="466"/>
      <c r="F1478" s="485"/>
      <c r="G1478" s="485"/>
      <c r="H1478" s="485"/>
      <c r="I1478" s="331"/>
      <c r="J1478" s="469"/>
      <c r="K1478" s="469"/>
      <c r="L1478" s="469"/>
      <c r="M1478" s="469"/>
      <c r="N1478" s="469"/>
      <c r="O1478" s="469"/>
      <c r="P1478" s="469"/>
      <c r="Q1478" s="469"/>
      <c r="R1478" s="469"/>
      <c r="S1478" s="469"/>
      <c r="T1478" s="469"/>
      <c r="U1478" s="469"/>
      <c r="V1478" s="469"/>
      <c r="W1478" s="469"/>
      <c r="X1478" s="469"/>
      <c r="Y1478" s="469"/>
      <c r="Z1478" s="469"/>
      <c r="AA1478" s="469"/>
      <c r="AB1478" s="469"/>
    </row>
    <row r="1479" ht="14.25" customHeight="1">
      <c r="A1479" s="464"/>
      <c r="B1479" s="481"/>
      <c r="C1479" s="466"/>
      <c r="D1479" s="484"/>
      <c r="E1479" s="466"/>
      <c r="F1479" s="485"/>
      <c r="G1479" s="485"/>
      <c r="H1479" s="485"/>
      <c r="I1479" s="331"/>
      <c r="J1479" s="469"/>
      <c r="K1479" s="469"/>
      <c r="L1479" s="469"/>
      <c r="M1479" s="469"/>
      <c r="N1479" s="469"/>
      <c r="O1479" s="469"/>
      <c r="P1479" s="469"/>
      <c r="Q1479" s="469"/>
      <c r="R1479" s="469"/>
      <c r="S1479" s="469"/>
      <c r="T1479" s="469"/>
      <c r="U1479" s="469"/>
      <c r="V1479" s="469"/>
      <c r="W1479" s="469"/>
      <c r="X1479" s="469"/>
      <c r="Y1479" s="469"/>
      <c r="Z1479" s="469"/>
      <c r="AA1479" s="469"/>
      <c r="AB1479" s="469"/>
    </row>
    <row r="1480" ht="14.25" customHeight="1">
      <c r="A1480" s="464"/>
      <c r="B1480" s="481"/>
      <c r="C1480" s="466"/>
      <c r="D1480" s="484"/>
      <c r="E1480" s="466"/>
      <c r="F1480" s="485"/>
      <c r="G1480" s="485"/>
      <c r="H1480" s="485"/>
      <c r="I1480" s="331"/>
      <c r="J1480" s="469"/>
      <c r="K1480" s="469"/>
      <c r="L1480" s="469"/>
      <c r="M1480" s="469"/>
      <c r="N1480" s="469"/>
      <c r="O1480" s="469"/>
      <c r="P1480" s="469"/>
      <c r="Q1480" s="469"/>
      <c r="R1480" s="469"/>
      <c r="S1480" s="469"/>
      <c r="T1480" s="469"/>
      <c r="U1480" s="469"/>
      <c r="V1480" s="469"/>
      <c r="W1480" s="469"/>
      <c r="X1480" s="469"/>
      <c r="Y1480" s="469"/>
      <c r="Z1480" s="469"/>
      <c r="AA1480" s="469"/>
      <c r="AB1480" s="469"/>
    </row>
    <row r="1481" ht="14.25" customHeight="1">
      <c r="A1481" s="464"/>
      <c r="B1481" s="481"/>
      <c r="C1481" s="466"/>
      <c r="D1481" s="484"/>
      <c r="E1481" s="466"/>
      <c r="F1481" s="485"/>
      <c r="G1481" s="485"/>
      <c r="H1481" s="485"/>
      <c r="I1481" s="331"/>
      <c r="J1481" s="469"/>
      <c r="K1481" s="469"/>
      <c r="L1481" s="469"/>
      <c r="M1481" s="469"/>
      <c r="N1481" s="469"/>
      <c r="O1481" s="469"/>
      <c r="P1481" s="469"/>
      <c r="Q1481" s="469"/>
      <c r="R1481" s="469"/>
      <c r="S1481" s="469"/>
      <c r="T1481" s="469"/>
      <c r="U1481" s="469"/>
      <c r="V1481" s="469"/>
      <c r="W1481" s="469"/>
      <c r="X1481" s="469"/>
      <c r="Y1481" s="469"/>
      <c r="Z1481" s="469"/>
      <c r="AA1481" s="469"/>
      <c r="AB1481" s="469"/>
    </row>
    <row r="1482" ht="14.25" customHeight="1">
      <c r="A1482" s="464"/>
      <c r="B1482" s="481"/>
      <c r="C1482" s="466"/>
      <c r="D1482" s="484"/>
      <c r="E1482" s="466"/>
      <c r="F1482" s="485"/>
      <c r="G1482" s="485"/>
      <c r="H1482" s="485"/>
      <c r="I1482" s="331"/>
      <c r="J1482" s="469"/>
      <c r="K1482" s="469"/>
      <c r="L1482" s="469"/>
      <c r="M1482" s="469"/>
      <c r="N1482" s="469"/>
      <c r="O1482" s="469"/>
      <c r="P1482" s="469"/>
      <c r="Q1482" s="469"/>
      <c r="R1482" s="469"/>
      <c r="S1482" s="469"/>
      <c r="T1482" s="469"/>
      <c r="U1482" s="469"/>
      <c r="V1482" s="469"/>
      <c r="W1482" s="469"/>
      <c r="X1482" s="469"/>
      <c r="Y1482" s="469"/>
      <c r="Z1482" s="469"/>
      <c r="AA1482" s="469"/>
      <c r="AB1482" s="469"/>
    </row>
    <row r="1483" ht="14.25" customHeight="1">
      <c r="A1483" s="464"/>
      <c r="B1483" s="481"/>
      <c r="C1483" s="466"/>
      <c r="D1483" s="484"/>
      <c r="E1483" s="466"/>
      <c r="F1483" s="485"/>
      <c r="G1483" s="485"/>
      <c r="H1483" s="485"/>
      <c r="I1483" s="331"/>
      <c r="J1483" s="469"/>
      <c r="K1483" s="469"/>
      <c r="L1483" s="469"/>
      <c r="M1483" s="469"/>
      <c r="N1483" s="469"/>
      <c r="O1483" s="469"/>
      <c r="P1483" s="469"/>
      <c r="Q1483" s="469"/>
      <c r="R1483" s="469"/>
      <c r="S1483" s="469"/>
      <c r="T1483" s="469"/>
      <c r="U1483" s="469"/>
      <c r="V1483" s="469"/>
      <c r="W1483" s="469"/>
      <c r="X1483" s="469"/>
      <c r="Y1483" s="469"/>
      <c r="Z1483" s="469"/>
      <c r="AA1483" s="469"/>
      <c r="AB1483" s="469"/>
    </row>
    <row r="1484" ht="14.25" customHeight="1">
      <c r="A1484" s="464"/>
      <c r="B1484" s="481"/>
      <c r="C1484" s="466"/>
      <c r="D1484" s="484"/>
      <c r="E1484" s="466"/>
      <c r="F1484" s="485"/>
      <c r="G1484" s="485"/>
      <c r="H1484" s="485"/>
      <c r="I1484" s="331"/>
      <c r="J1484" s="469"/>
      <c r="K1484" s="469"/>
      <c r="L1484" s="469"/>
      <c r="M1484" s="469"/>
      <c r="N1484" s="469"/>
      <c r="O1484" s="469"/>
      <c r="P1484" s="469"/>
      <c r="Q1484" s="469"/>
      <c r="R1484" s="469"/>
      <c r="S1484" s="469"/>
      <c r="T1484" s="469"/>
      <c r="U1484" s="469"/>
      <c r="V1484" s="469"/>
      <c r="W1484" s="469"/>
      <c r="X1484" s="469"/>
      <c r="Y1484" s="469"/>
      <c r="Z1484" s="469"/>
      <c r="AA1484" s="469"/>
      <c r="AB1484" s="469"/>
    </row>
    <row r="1485" ht="14.25" customHeight="1">
      <c r="A1485" s="464"/>
      <c r="B1485" s="481"/>
      <c r="C1485" s="466"/>
      <c r="D1485" s="484"/>
      <c r="E1485" s="466"/>
      <c r="F1485" s="485"/>
      <c r="G1485" s="485"/>
      <c r="H1485" s="485"/>
      <c r="I1485" s="331"/>
      <c r="J1485" s="469"/>
      <c r="K1485" s="469"/>
      <c r="L1485" s="469"/>
      <c r="M1485" s="469"/>
      <c r="N1485" s="469"/>
      <c r="O1485" s="469"/>
      <c r="P1485" s="469"/>
      <c r="Q1485" s="469"/>
      <c r="R1485" s="469"/>
      <c r="S1485" s="469"/>
      <c r="T1485" s="469"/>
      <c r="U1485" s="469"/>
      <c r="V1485" s="469"/>
      <c r="W1485" s="469"/>
      <c r="X1485" s="469"/>
      <c r="Y1485" s="469"/>
      <c r="Z1485" s="469"/>
      <c r="AA1485" s="469"/>
      <c r="AB1485" s="469"/>
    </row>
    <row r="1486" ht="14.25" customHeight="1">
      <c r="A1486" s="464"/>
      <c r="B1486" s="481"/>
      <c r="C1486" s="466"/>
      <c r="D1486" s="484"/>
      <c r="E1486" s="466"/>
      <c r="F1486" s="485"/>
      <c r="G1486" s="485"/>
      <c r="H1486" s="485"/>
      <c r="I1486" s="331"/>
      <c r="J1486" s="469"/>
      <c r="K1486" s="469"/>
      <c r="L1486" s="469"/>
      <c r="M1486" s="469"/>
      <c r="N1486" s="469"/>
      <c r="O1486" s="469"/>
      <c r="P1486" s="469"/>
      <c r="Q1486" s="469"/>
      <c r="R1486" s="469"/>
      <c r="S1486" s="469"/>
      <c r="T1486" s="469"/>
      <c r="U1486" s="469"/>
      <c r="V1486" s="469"/>
      <c r="W1486" s="469"/>
      <c r="X1486" s="469"/>
      <c r="Y1486" s="469"/>
      <c r="Z1486" s="469"/>
      <c r="AA1486" s="469"/>
      <c r="AB1486" s="469"/>
    </row>
    <row r="1487" ht="14.25" customHeight="1">
      <c r="A1487" s="464"/>
      <c r="B1487" s="481"/>
      <c r="C1487" s="466"/>
      <c r="D1487" s="484"/>
      <c r="E1487" s="466"/>
      <c r="F1487" s="485"/>
      <c r="G1487" s="485"/>
      <c r="H1487" s="485"/>
      <c r="I1487" s="331"/>
      <c r="J1487" s="469"/>
      <c r="K1487" s="469"/>
      <c r="L1487" s="469"/>
      <c r="M1487" s="469"/>
      <c r="N1487" s="469"/>
      <c r="O1487" s="469"/>
      <c r="P1487" s="469"/>
      <c r="Q1487" s="469"/>
      <c r="R1487" s="469"/>
      <c r="S1487" s="469"/>
      <c r="T1487" s="469"/>
      <c r="U1487" s="469"/>
      <c r="V1487" s="469"/>
      <c r="W1487" s="469"/>
      <c r="X1487" s="469"/>
      <c r="Y1487" s="469"/>
      <c r="Z1487" s="469"/>
      <c r="AA1487" s="469"/>
      <c r="AB1487" s="469"/>
    </row>
    <row r="1488" ht="14.25" customHeight="1">
      <c r="A1488" s="464"/>
      <c r="B1488" s="481"/>
      <c r="C1488" s="466"/>
      <c r="D1488" s="484"/>
      <c r="E1488" s="466"/>
      <c r="F1488" s="485"/>
      <c r="G1488" s="485"/>
      <c r="H1488" s="485"/>
      <c r="I1488" s="331"/>
      <c r="J1488" s="469"/>
      <c r="K1488" s="469"/>
      <c r="L1488" s="469"/>
      <c r="M1488" s="469"/>
      <c r="N1488" s="469"/>
      <c r="O1488" s="469"/>
      <c r="P1488" s="469"/>
      <c r="Q1488" s="469"/>
      <c r="R1488" s="469"/>
      <c r="S1488" s="469"/>
      <c r="T1488" s="469"/>
      <c r="U1488" s="469"/>
      <c r="V1488" s="469"/>
      <c r="W1488" s="469"/>
      <c r="X1488" s="469"/>
      <c r="Y1488" s="469"/>
      <c r="Z1488" s="469"/>
      <c r="AA1488" s="469"/>
      <c r="AB1488" s="469"/>
    </row>
    <row r="1489" ht="14.25" customHeight="1">
      <c r="A1489" s="464"/>
      <c r="B1489" s="481"/>
      <c r="C1489" s="466"/>
      <c r="D1489" s="484"/>
      <c r="E1489" s="466"/>
      <c r="F1489" s="485"/>
      <c r="G1489" s="485"/>
      <c r="H1489" s="485"/>
      <c r="I1489" s="331"/>
      <c r="J1489" s="469"/>
      <c r="K1489" s="469"/>
      <c r="L1489" s="469"/>
      <c r="M1489" s="469"/>
      <c r="N1489" s="469"/>
      <c r="O1489" s="469"/>
      <c r="P1489" s="469"/>
      <c r="Q1489" s="469"/>
      <c r="R1489" s="469"/>
      <c r="S1489" s="469"/>
      <c r="T1489" s="469"/>
      <c r="U1489" s="469"/>
      <c r="V1489" s="469"/>
      <c r="W1489" s="469"/>
      <c r="X1489" s="469"/>
      <c r="Y1489" s="469"/>
      <c r="Z1489" s="469"/>
      <c r="AA1489" s="469"/>
      <c r="AB1489" s="469"/>
    </row>
    <row r="1490" ht="14.25" customHeight="1">
      <c r="A1490" s="464"/>
      <c r="B1490" s="481"/>
      <c r="C1490" s="466"/>
      <c r="D1490" s="484"/>
      <c r="E1490" s="466"/>
      <c r="F1490" s="485"/>
      <c r="G1490" s="485"/>
      <c r="H1490" s="485"/>
      <c r="I1490" s="331"/>
      <c r="J1490" s="469"/>
      <c r="K1490" s="469"/>
      <c r="L1490" s="469"/>
      <c r="M1490" s="469"/>
      <c r="N1490" s="469"/>
      <c r="O1490" s="469"/>
      <c r="P1490" s="469"/>
      <c r="Q1490" s="469"/>
      <c r="R1490" s="469"/>
      <c r="S1490" s="469"/>
      <c r="T1490" s="469"/>
      <c r="U1490" s="469"/>
      <c r="V1490" s="469"/>
      <c r="W1490" s="469"/>
      <c r="X1490" s="469"/>
      <c r="Y1490" s="469"/>
      <c r="Z1490" s="469"/>
      <c r="AA1490" s="469"/>
      <c r="AB1490" s="469"/>
    </row>
    <row r="1491" ht="14.25" customHeight="1">
      <c r="A1491" s="464"/>
      <c r="B1491" s="481"/>
      <c r="C1491" s="466"/>
      <c r="D1491" s="484"/>
      <c r="E1491" s="466"/>
      <c r="F1491" s="485"/>
      <c r="G1491" s="485"/>
      <c r="H1491" s="485"/>
      <c r="I1491" s="331"/>
      <c r="J1491" s="469"/>
      <c r="K1491" s="469"/>
      <c r="L1491" s="469"/>
      <c r="M1491" s="469"/>
      <c r="N1491" s="469"/>
      <c r="O1491" s="469"/>
      <c r="P1491" s="469"/>
      <c r="Q1491" s="469"/>
      <c r="R1491" s="469"/>
      <c r="S1491" s="469"/>
      <c r="T1491" s="469"/>
      <c r="U1491" s="469"/>
      <c r="V1491" s="469"/>
      <c r="W1491" s="469"/>
      <c r="X1491" s="469"/>
      <c r="Y1491" s="469"/>
      <c r="Z1491" s="469"/>
      <c r="AA1491" s="469"/>
      <c r="AB1491" s="469"/>
    </row>
    <row r="1492" ht="14.25" customHeight="1">
      <c r="A1492" s="464"/>
      <c r="B1492" s="481"/>
      <c r="C1492" s="466"/>
      <c r="D1492" s="484"/>
      <c r="E1492" s="466"/>
      <c r="F1492" s="485"/>
      <c r="G1492" s="485"/>
      <c r="H1492" s="485"/>
      <c r="I1492" s="331"/>
      <c r="J1492" s="469"/>
      <c r="K1492" s="469"/>
      <c r="L1492" s="469"/>
      <c r="M1492" s="469"/>
      <c r="N1492" s="469"/>
      <c r="O1492" s="469"/>
      <c r="P1492" s="469"/>
      <c r="Q1492" s="469"/>
      <c r="R1492" s="469"/>
      <c r="S1492" s="469"/>
      <c r="T1492" s="469"/>
      <c r="U1492" s="469"/>
      <c r="V1492" s="469"/>
      <c r="W1492" s="469"/>
      <c r="X1492" s="469"/>
      <c r="Y1492" s="469"/>
      <c r="Z1492" s="469"/>
      <c r="AA1492" s="469"/>
      <c r="AB1492" s="469"/>
    </row>
    <row r="1493" ht="14.25" customHeight="1">
      <c r="A1493" s="464"/>
      <c r="B1493" s="481"/>
      <c r="C1493" s="466"/>
      <c r="D1493" s="484"/>
      <c r="E1493" s="466"/>
      <c r="F1493" s="485"/>
      <c r="G1493" s="485"/>
      <c r="H1493" s="485"/>
      <c r="I1493" s="331"/>
      <c r="J1493" s="469"/>
      <c r="K1493" s="469"/>
      <c r="L1493" s="469"/>
      <c r="M1493" s="469"/>
      <c r="N1493" s="469"/>
      <c r="O1493" s="469"/>
      <c r="P1493" s="469"/>
      <c r="Q1493" s="469"/>
      <c r="R1493" s="469"/>
      <c r="S1493" s="469"/>
      <c r="T1493" s="469"/>
      <c r="U1493" s="469"/>
      <c r="V1493" s="469"/>
      <c r="W1493" s="469"/>
      <c r="X1493" s="469"/>
      <c r="Y1493" s="469"/>
      <c r="Z1493" s="469"/>
      <c r="AA1493" s="469"/>
      <c r="AB1493" s="469"/>
    </row>
    <row r="1494" ht="14.25" customHeight="1">
      <c r="A1494" s="464"/>
      <c r="B1494" s="481"/>
      <c r="C1494" s="466"/>
      <c r="D1494" s="484"/>
      <c r="E1494" s="466"/>
      <c r="F1494" s="485"/>
      <c r="G1494" s="485"/>
      <c r="H1494" s="485"/>
      <c r="I1494" s="331"/>
      <c r="J1494" s="469"/>
      <c r="K1494" s="469"/>
      <c r="L1494" s="469"/>
      <c r="M1494" s="469"/>
      <c r="N1494" s="469"/>
      <c r="O1494" s="469"/>
      <c r="P1494" s="469"/>
      <c r="Q1494" s="469"/>
      <c r="R1494" s="469"/>
      <c r="S1494" s="469"/>
      <c r="T1494" s="469"/>
      <c r="U1494" s="469"/>
      <c r="V1494" s="469"/>
      <c r="W1494" s="469"/>
      <c r="X1494" s="469"/>
      <c r="Y1494" s="469"/>
      <c r="Z1494" s="469"/>
      <c r="AA1494" s="469"/>
      <c r="AB1494" s="469"/>
    </row>
    <row r="1495" ht="14.25" customHeight="1">
      <c r="A1495" s="464"/>
      <c r="B1495" s="481"/>
      <c r="C1495" s="466"/>
      <c r="D1495" s="484"/>
      <c r="E1495" s="466"/>
      <c r="F1495" s="485"/>
      <c r="G1495" s="485"/>
      <c r="H1495" s="485"/>
      <c r="I1495" s="331"/>
      <c r="J1495" s="469"/>
      <c r="K1495" s="469"/>
      <c r="L1495" s="469"/>
      <c r="M1495" s="469"/>
      <c r="N1495" s="469"/>
      <c r="O1495" s="469"/>
      <c r="P1495" s="469"/>
      <c r="Q1495" s="469"/>
      <c r="R1495" s="469"/>
      <c r="S1495" s="469"/>
      <c r="T1495" s="469"/>
      <c r="U1495" s="469"/>
      <c r="V1495" s="469"/>
      <c r="W1495" s="469"/>
      <c r="X1495" s="469"/>
      <c r="Y1495" s="469"/>
      <c r="Z1495" s="469"/>
      <c r="AA1495" s="469"/>
      <c r="AB1495" s="469"/>
    </row>
    <row r="1496" ht="14.25" customHeight="1">
      <c r="A1496" s="464"/>
      <c r="B1496" s="481"/>
      <c r="C1496" s="466"/>
      <c r="D1496" s="484"/>
      <c r="E1496" s="466"/>
      <c r="F1496" s="485"/>
      <c r="G1496" s="485"/>
      <c r="H1496" s="485"/>
      <c r="I1496" s="331"/>
      <c r="J1496" s="469"/>
      <c r="K1496" s="469"/>
      <c r="L1496" s="469"/>
      <c r="M1496" s="469"/>
      <c r="N1496" s="469"/>
      <c r="O1496" s="469"/>
      <c r="P1496" s="469"/>
      <c r="Q1496" s="469"/>
      <c r="R1496" s="469"/>
      <c r="S1496" s="469"/>
      <c r="T1496" s="469"/>
      <c r="U1496" s="469"/>
      <c r="V1496" s="469"/>
      <c r="W1496" s="469"/>
      <c r="X1496" s="469"/>
      <c r="Y1496" s="469"/>
      <c r="Z1496" s="469"/>
      <c r="AA1496" s="469"/>
      <c r="AB1496" s="469"/>
    </row>
    <row r="1497" ht="14.25" customHeight="1">
      <c r="A1497" s="464"/>
      <c r="B1497" s="481"/>
      <c r="C1497" s="466"/>
      <c r="D1497" s="484"/>
      <c r="E1497" s="466"/>
      <c r="F1497" s="485"/>
      <c r="G1497" s="485"/>
      <c r="H1497" s="485"/>
      <c r="I1497" s="331"/>
      <c r="J1497" s="469"/>
      <c r="K1497" s="469"/>
      <c r="L1497" s="469"/>
      <c r="M1497" s="469"/>
      <c r="N1497" s="469"/>
      <c r="O1497" s="469"/>
      <c r="P1497" s="469"/>
      <c r="Q1497" s="469"/>
      <c r="R1497" s="469"/>
      <c r="S1497" s="469"/>
      <c r="T1497" s="469"/>
      <c r="U1497" s="469"/>
      <c r="V1497" s="469"/>
      <c r="W1497" s="469"/>
      <c r="X1497" s="469"/>
      <c r="Y1497" s="469"/>
      <c r="Z1497" s="469"/>
      <c r="AA1497" s="469"/>
      <c r="AB1497" s="469"/>
    </row>
    <row r="1498" ht="14.25" customHeight="1">
      <c r="A1498" s="464"/>
      <c r="B1498" s="481"/>
      <c r="C1498" s="466"/>
      <c r="D1498" s="484"/>
      <c r="E1498" s="466"/>
      <c r="F1498" s="485"/>
      <c r="G1498" s="485"/>
      <c r="H1498" s="485"/>
      <c r="I1498" s="331"/>
      <c r="J1498" s="469"/>
      <c r="K1498" s="469"/>
      <c r="L1498" s="469"/>
      <c r="M1498" s="469"/>
      <c r="N1498" s="469"/>
      <c r="O1498" s="469"/>
      <c r="P1498" s="469"/>
      <c r="Q1498" s="469"/>
      <c r="R1498" s="469"/>
      <c r="S1498" s="469"/>
      <c r="T1498" s="469"/>
      <c r="U1498" s="469"/>
      <c r="V1498" s="469"/>
      <c r="W1498" s="469"/>
      <c r="X1498" s="469"/>
      <c r="Y1498" s="469"/>
      <c r="Z1498" s="469"/>
      <c r="AA1498" s="469"/>
      <c r="AB1498" s="469"/>
    </row>
    <row r="1499" ht="14.25" customHeight="1">
      <c r="A1499" s="464"/>
      <c r="B1499" s="481"/>
      <c r="C1499" s="466"/>
      <c r="D1499" s="484"/>
      <c r="E1499" s="466"/>
      <c r="F1499" s="485"/>
      <c r="G1499" s="485"/>
      <c r="H1499" s="485"/>
      <c r="I1499" s="331"/>
      <c r="J1499" s="469"/>
      <c r="K1499" s="469"/>
      <c r="L1499" s="469"/>
      <c r="M1499" s="469"/>
      <c r="N1499" s="469"/>
      <c r="O1499" s="469"/>
      <c r="P1499" s="469"/>
      <c r="Q1499" s="469"/>
      <c r="R1499" s="469"/>
      <c r="S1499" s="469"/>
      <c r="T1499" s="469"/>
      <c r="U1499" s="469"/>
      <c r="V1499" s="469"/>
      <c r="W1499" s="469"/>
      <c r="X1499" s="469"/>
      <c r="Y1499" s="469"/>
      <c r="Z1499" s="469"/>
      <c r="AA1499" s="469"/>
      <c r="AB1499" s="469"/>
    </row>
    <row r="1500" ht="14.25" customHeight="1">
      <c r="A1500" s="464"/>
      <c r="B1500" s="481"/>
      <c r="C1500" s="466"/>
      <c r="D1500" s="484"/>
      <c r="E1500" s="466"/>
      <c r="F1500" s="485"/>
      <c r="G1500" s="485"/>
      <c r="H1500" s="485"/>
      <c r="I1500" s="331"/>
      <c r="J1500" s="469"/>
      <c r="K1500" s="469"/>
      <c r="L1500" s="469"/>
      <c r="M1500" s="469"/>
      <c r="N1500" s="469"/>
      <c r="O1500" s="469"/>
      <c r="P1500" s="469"/>
      <c r="Q1500" s="469"/>
      <c r="R1500" s="469"/>
      <c r="S1500" s="469"/>
      <c r="T1500" s="469"/>
      <c r="U1500" s="469"/>
      <c r="V1500" s="469"/>
      <c r="W1500" s="469"/>
      <c r="X1500" s="469"/>
      <c r="Y1500" s="469"/>
      <c r="Z1500" s="469"/>
      <c r="AA1500" s="469"/>
      <c r="AB1500" s="469"/>
    </row>
    <row r="1501" ht="14.25" customHeight="1">
      <c r="A1501" s="464"/>
      <c r="B1501" s="481"/>
      <c r="C1501" s="466"/>
      <c r="D1501" s="484"/>
      <c r="E1501" s="466"/>
      <c r="F1501" s="485"/>
      <c r="G1501" s="485"/>
      <c r="H1501" s="485"/>
      <c r="I1501" s="331"/>
      <c r="J1501" s="469"/>
      <c r="K1501" s="469"/>
      <c r="L1501" s="469"/>
      <c r="M1501" s="469"/>
      <c r="N1501" s="469"/>
      <c r="O1501" s="469"/>
      <c r="P1501" s="469"/>
      <c r="Q1501" s="469"/>
      <c r="R1501" s="469"/>
      <c r="S1501" s="469"/>
      <c r="T1501" s="469"/>
      <c r="U1501" s="469"/>
      <c r="V1501" s="469"/>
      <c r="W1501" s="469"/>
      <c r="X1501" s="469"/>
      <c r="Y1501" s="469"/>
      <c r="Z1501" s="469"/>
      <c r="AA1501" s="469"/>
      <c r="AB1501" s="469"/>
    </row>
    <row r="1502" ht="14.25" customHeight="1">
      <c r="A1502" s="464"/>
      <c r="B1502" s="481"/>
      <c r="C1502" s="466"/>
      <c r="D1502" s="484"/>
      <c r="E1502" s="466"/>
      <c r="F1502" s="485"/>
      <c r="G1502" s="485"/>
      <c r="H1502" s="485"/>
      <c r="I1502" s="331"/>
      <c r="J1502" s="469"/>
      <c r="K1502" s="469"/>
      <c r="L1502" s="469"/>
      <c r="M1502" s="469"/>
      <c r="N1502" s="469"/>
      <c r="O1502" s="469"/>
      <c r="P1502" s="469"/>
      <c r="Q1502" s="469"/>
      <c r="R1502" s="469"/>
      <c r="S1502" s="469"/>
      <c r="T1502" s="469"/>
      <c r="U1502" s="469"/>
      <c r="V1502" s="469"/>
      <c r="W1502" s="469"/>
      <c r="X1502" s="469"/>
      <c r="Y1502" s="469"/>
      <c r="Z1502" s="469"/>
      <c r="AA1502" s="469"/>
      <c r="AB1502" s="469"/>
    </row>
    <row r="1503" ht="14.25" customHeight="1">
      <c r="A1503" s="464"/>
      <c r="B1503" s="481"/>
      <c r="C1503" s="466"/>
      <c r="D1503" s="484"/>
      <c r="E1503" s="466"/>
      <c r="F1503" s="485"/>
      <c r="G1503" s="485"/>
      <c r="H1503" s="485"/>
      <c r="I1503" s="331"/>
      <c r="J1503" s="469"/>
      <c r="K1503" s="469"/>
      <c r="L1503" s="469"/>
      <c r="M1503" s="469"/>
      <c r="N1503" s="469"/>
      <c r="O1503" s="469"/>
      <c r="P1503" s="469"/>
      <c r="Q1503" s="469"/>
      <c r="R1503" s="469"/>
      <c r="S1503" s="469"/>
      <c r="T1503" s="469"/>
      <c r="U1503" s="469"/>
      <c r="V1503" s="469"/>
      <c r="W1503" s="469"/>
      <c r="X1503" s="469"/>
      <c r="Y1503" s="469"/>
      <c r="Z1503" s="469"/>
      <c r="AA1503" s="469"/>
      <c r="AB1503" s="469"/>
    </row>
    <row r="1504" ht="14.25" customHeight="1">
      <c r="A1504" s="464"/>
      <c r="B1504" s="481"/>
      <c r="C1504" s="466"/>
      <c r="D1504" s="484"/>
      <c r="E1504" s="466"/>
      <c r="F1504" s="485"/>
      <c r="G1504" s="485"/>
      <c r="H1504" s="485"/>
      <c r="I1504" s="331"/>
      <c r="J1504" s="469"/>
      <c r="K1504" s="469"/>
      <c r="L1504" s="469"/>
      <c r="M1504" s="469"/>
      <c r="N1504" s="469"/>
      <c r="O1504" s="469"/>
      <c r="P1504" s="469"/>
      <c r="Q1504" s="469"/>
      <c r="R1504" s="469"/>
      <c r="S1504" s="469"/>
      <c r="T1504" s="469"/>
      <c r="U1504" s="469"/>
      <c r="V1504" s="469"/>
      <c r="W1504" s="469"/>
      <c r="X1504" s="469"/>
      <c r="Y1504" s="469"/>
      <c r="Z1504" s="469"/>
      <c r="AA1504" s="469"/>
      <c r="AB1504" s="469"/>
    </row>
    <row r="1505" ht="14.25" customHeight="1">
      <c r="A1505" s="464"/>
      <c r="B1505" s="481"/>
      <c r="C1505" s="466"/>
      <c r="D1505" s="484"/>
      <c r="E1505" s="466"/>
      <c r="F1505" s="485"/>
      <c r="G1505" s="485"/>
      <c r="H1505" s="485"/>
      <c r="I1505" s="331"/>
      <c r="J1505" s="469"/>
      <c r="K1505" s="469"/>
      <c r="L1505" s="469"/>
      <c r="M1505" s="469"/>
      <c r="N1505" s="469"/>
      <c r="O1505" s="469"/>
      <c r="P1505" s="469"/>
      <c r="Q1505" s="469"/>
      <c r="R1505" s="469"/>
      <c r="S1505" s="469"/>
      <c r="T1505" s="469"/>
      <c r="U1505" s="469"/>
      <c r="V1505" s="469"/>
      <c r="W1505" s="469"/>
      <c r="X1505" s="469"/>
      <c r="Y1505" s="469"/>
      <c r="Z1505" s="469"/>
      <c r="AA1505" s="469"/>
      <c r="AB1505" s="469"/>
    </row>
    <row r="1506" ht="14.25" customHeight="1">
      <c r="A1506" s="464"/>
      <c r="B1506" s="481"/>
      <c r="C1506" s="466"/>
      <c r="D1506" s="484"/>
      <c r="E1506" s="466"/>
      <c r="F1506" s="485"/>
      <c r="G1506" s="485"/>
      <c r="H1506" s="485"/>
      <c r="I1506" s="331"/>
      <c r="J1506" s="469"/>
      <c r="K1506" s="469"/>
      <c r="L1506" s="469"/>
      <c r="M1506" s="469"/>
      <c r="N1506" s="469"/>
      <c r="O1506" s="469"/>
      <c r="P1506" s="469"/>
      <c r="Q1506" s="469"/>
      <c r="R1506" s="469"/>
      <c r="S1506" s="469"/>
      <c r="T1506" s="469"/>
      <c r="U1506" s="469"/>
      <c r="V1506" s="469"/>
      <c r="W1506" s="469"/>
      <c r="X1506" s="469"/>
      <c r="Y1506" s="469"/>
      <c r="Z1506" s="469"/>
      <c r="AA1506" s="469"/>
      <c r="AB1506" s="469"/>
    </row>
    <row r="1507" ht="14.25" customHeight="1">
      <c r="A1507" s="464"/>
      <c r="B1507" s="481"/>
      <c r="C1507" s="466"/>
      <c r="D1507" s="484"/>
      <c r="E1507" s="466"/>
      <c r="F1507" s="485"/>
      <c r="G1507" s="485"/>
      <c r="H1507" s="485"/>
      <c r="I1507" s="331"/>
      <c r="J1507" s="469"/>
      <c r="K1507" s="469"/>
      <c r="L1507" s="469"/>
      <c r="M1507" s="469"/>
      <c r="N1507" s="469"/>
      <c r="O1507" s="469"/>
      <c r="P1507" s="469"/>
      <c r="Q1507" s="469"/>
      <c r="R1507" s="469"/>
      <c r="S1507" s="469"/>
      <c r="T1507" s="469"/>
      <c r="U1507" s="469"/>
      <c r="V1507" s="469"/>
      <c r="W1507" s="469"/>
      <c r="X1507" s="469"/>
      <c r="Y1507" s="469"/>
      <c r="Z1507" s="469"/>
      <c r="AA1507" s="469"/>
      <c r="AB1507" s="469"/>
    </row>
    <row r="1508" ht="14.25" customHeight="1">
      <c r="A1508" s="464"/>
      <c r="B1508" s="481"/>
      <c r="C1508" s="466"/>
      <c r="D1508" s="484"/>
      <c r="E1508" s="466"/>
      <c r="F1508" s="485"/>
      <c r="G1508" s="485"/>
      <c r="H1508" s="485"/>
      <c r="I1508" s="331"/>
      <c r="J1508" s="469"/>
      <c r="K1508" s="469"/>
      <c r="L1508" s="469"/>
      <c r="M1508" s="469"/>
      <c r="N1508" s="469"/>
      <c r="O1508" s="469"/>
      <c r="P1508" s="469"/>
      <c r="Q1508" s="469"/>
      <c r="R1508" s="469"/>
      <c r="S1508" s="469"/>
      <c r="T1508" s="469"/>
      <c r="U1508" s="469"/>
      <c r="V1508" s="469"/>
      <c r="W1508" s="469"/>
      <c r="X1508" s="469"/>
      <c r="Y1508" s="469"/>
      <c r="Z1508" s="469"/>
      <c r="AA1508" s="469"/>
      <c r="AB1508" s="469"/>
    </row>
    <row r="1509" ht="14.25" customHeight="1">
      <c r="A1509" s="464"/>
      <c r="B1509" s="481"/>
      <c r="C1509" s="466"/>
      <c r="D1509" s="484"/>
      <c r="E1509" s="466"/>
      <c r="F1509" s="485"/>
      <c r="G1509" s="485"/>
      <c r="H1509" s="485"/>
      <c r="I1509" s="331"/>
      <c r="J1509" s="469"/>
      <c r="K1509" s="469"/>
      <c r="L1509" s="469"/>
      <c r="M1509" s="469"/>
      <c r="N1509" s="469"/>
      <c r="O1509" s="469"/>
      <c r="P1509" s="469"/>
      <c r="Q1509" s="469"/>
      <c r="R1509" s="469"/>
      <c r="S1509" s="469"/>
      <c r="T1509" s="469"/>
      <c r="U1509" s="469"/>
      <c r="V1509" s="469"/>
      <c r="W1509" s="469"/>
      <c r="X1509" s="469"/>
      <c r="Y1509" s="469"/>
      <c r="Z1509" s="469"/>
      <c r="AA1509" s="469"/>
      <c r="AB1509" s="469"/>
    </row>
    <row r="1510" ht="14.25" customHeight="1">
      <c r="A1510" s="464"/>
      <c r="B1510" s="481"/>
      <c r="C1510" s="466"/>
      <c r="D1510" s="484"/>
      <c r="E1510" s="466"/>
      <c r="F1510" s="485"/>
      <c r="G1510" s="485"/>
      <c r="H1510" s="485"/>
      <c r="I1510" s="331"/>
      <c r="J1510" s="469"/>
      <c r="K1510" s="469"/>
      <c r="L1510" s="469"/>
      <c r="M1510" s="469"/>
      <c r="N1510" s="469"/>
      <c r="O1510" s="469"/>
      <c r="P1510" s="469"/>
      <c r="Q1510" s="469"/>
      <c r="R1510" s="469"/>
      <c r="S1510" s="469"/>
      <c r="T1510" s="469"/>
      <c r="U1510" s="469"/>
      <c r="V1510" s="469"/>
      <c r="W1510" s="469"/>
      <c r="X1510" s="469"/>
      <c r="Y1510" s="469"/>
      <c r="Z1510" s="469"/>
      <c r="AA1510" s="469"/>
      <c r="AB1510" s="469"/>
    </row>
    <row r="1511" ht="14.25" customHeight="1">
      <c r="A1511" s="464"/>
      <c r="B1511" s="481"/>
      <c r="C1511" s="466"/>
      <c r="D1511" s="484"/>
      <c r="E1511" s="466"/>
      <c r="F1511" s="485"/>
      <c r="G1511" s="485"/>
      <c r="H1511" s="485"/>
      <c r="I1511" s="331"/>
      <c r="J1511" s="469"/>
      <c r="K1511" s="469"/>
      <c r="L1511" s="469"/>
      <c r="M1511" s="469"/>
      <c r="N1511" s="469"/>
      <c r="O1511" s="469"/>
      <c r="P1511" s="469"/>
      <c r="Q1511" s="469"/>
      <c r="R1511" s="469"/>
      <c r="S1511" s="469"/>
      <c r="T1511" s="469"/>
      <c r="U1511" s="469"/>
      <c r="V1511" s="469"/>
      <c r="W1511" s="469"/>
      <c r="X1511" s="469"/>
      <c r="Y1511" s="469"/>
      <c r="Z1511" s="469"/>
      <c r="AA1511" s="469"/>
      <c r="AB1511" s="469"/>
    </row>
    <row r="1512" ht="14.25" customHeight="1">
      <c r="A1512" s="464"/>
      <c r="B1512" s="481"/>
      <c r="C1512" s="466"/>
      <c r="D1512" s="484"/>
      <c r="E1512" s="466"/>
      <c r="F1512" s="485"/>
      <c r="G1512" s="485"/>
      <c r="H1512" s="485"/>
      <c r="I1512" s="331"/>
      <c r="J1512" s="469"/>
      <c r="K1512" s="469"/>
      <c r="L1512" s="469"/>
      <c r="M1512" s="469"/>
      <c r="N1512" s="469"/>
      <c r="O1512" s="469"/>
      <c r="P1512" s="469"/>
      <c r="Q1512" s="469"/>
      <c r="R1512" s="469"/>
      <c r="S1512" s="469"/>
      <c r="T1512" s="469"/>
      <c r="U1512" s="469"/>
      <c r="V1512" s="469"/>
      <c r="W1512" s="469"/>
      <c r="X1512" s="469"/>
      <c r="Y1512" s="469"/>
      <c r="Z1512" s="469"/>
      <c r="AA1512" s="469"/>
      <c r="AB1512" s="469"/>
    </row>
    <row r="1513" ht="14.25" customHeight="1">
      <c r="A1513" s="464"/>
      <c r="B1513" s="481"/>
      <c r="C1513" s="466"/>
      <c r="D1513" s="484"/>
      <c r="E1513" s="466"/>
      <c r="F1513" s="485"/>
      <c r="G1513" s="485"/>
      <c r="H1513" s="485"/>
      <c r="I1513" s="331"/>
      <c r="J1513" s="469"/>
      <c r="K1513" s="469"/>
      <c r="L1513" s="469"/>
      <c r="M1513" s="469"/>
      <c r="N1513" s="469"/>
      <c r="O1513" s="469"/>
      <c r="P1513" s="469"/>
      <c r="Q1513" s="469"/>
      <c r="R1513" s="469"/>
      <c r="S1513" s="469"/>
      <c r="T1513" s="469"/>
      <c r="U1513" s="469"/>
      <c r="V1513" s="469"/>
      <c r="W1513" s="469"/>
      <c r="X1513" s="469"/>
      <c r="Y1513" s="469"/>
      <c r="Z1513" s="469"/>
      <c r="AA1513" s="469"/>
      <c r="AB1513" s="469"/>
    </row>
    <row r="1514" ht="14.25" customHeight="1">
      <c r="A1514" s="464"/>
      <c r="B1514" s="481"/>
      <c r="C1514" s="466"/>
      <c r="D1514" s="484"/>
      <c r="E1514" s="466"/>
      <c r="F1514" s="485"/>
      <c r="G1514" s="485"/>
      <c r="H1514" s="485"/>
      <c r="I1514" s="331"/>
      <c r="J1514" s="469"/>
      <c r="K1514" s="469"/>
      <c r="L1514" s="469"/>
      <c r="M1514" s="469"/>
      <c r="N1514" s="469"/>
      <c r="O1514" s="469"/>
      <c r="P1514" s="469"/>
      <c r="Q1514" s="469"/>
      <c r="R1514" s="469"/>
      <c r="S1514" s="469"/>
      <c r="T1514" s="469"/>
      <c r="U1514" s="469"/>
      <c r="V1514" s="469"/>
      <c r="W1514" s="469"/>
      <c r="X1514" s="469"/>
      <c r="Y1514" s="469"/>
      <c r="Z1514" s="469"/>
      <c r="AA1514" s="469"/>
      <c r="AB1514" s="469"/>
    </row>
    <row r="1515" ht="14.25" customHeight="1">
      <c r="A1515" s="464"/>
      <c r="B1515" s="481"/>
      <c r="C1515" s="466"/>
      <c r="D1515" s="484"/>
      <c r="E1515" s="466"/>
      <c r="F1515" s="485"/>
      <c r="G1515" s="485"/>
      <c r="H1515" s="485"/>
      <c r="I1515" s="331"/>
      <c r="J1515" s="469"/>
      <c r="K1515" s="469"/>
      <c r="L1515" s="469"/>
      <c r="M1515" s="469"/>
      <c r="N1515" s="469"/>
      <c r="O1515" s="469"/>
      <c r="P1515" s="469"/>
      <c r="Q1515" s="469"/>
      <c r="R1515" s="469"/>
      <c r="S1515" s="469"/>
      <c r="T1515" s="469"/>
      <c r="U1515" s="469"/>
      <c r="V1515" s="469"/>
      <c r="W1515" s="469"/>
      <c r="X1515" s="469"/>
      <c r="Y1515" s="469"/>
      <c r="Z1515" s="469"/>
      <c r="AA1515" s="469"/>
      <c r="AB1515" s="469"/>
    </row>
    <row r="1516" ht="14.25" customHeight="1">
      <c r="A1516" s="464"/>
      <c r="B1516" s="481"/>
      <c r="C1516" s="466"/>
      <c r="D1516" s="484"/>
      <c r="E1516" s="466"/>
      <c r="F1516" s="485"/>
      <c r="G1516" s="485"/>
      <c r="H1516" s="485"/>
      <c r="I1516" s="331"/>
      <c r="J1516" s="469"/>
      <c r="K1516" s="469"/>
      <c r="L1516" s="469"/>
      <c r="M1516" s="469"/>
      <c r="N1516" s="469"/>
      <c r="O1516" s="469"/>
      <c r="P1516" s="469"/>
      <c r="Q1516" s="469"/>
      <c r="R1516" s="469"/>
      <c r="S1516" s="469"/>
      <c r="T1516" s="469"/>
      <c r="U1516" s="469"/>
      <c r="V1516" s="469"/>
      <c r="W1516" s="469"/>
      <c r="X1516" s="469"/>
      <c r="Y1516" s="469"/>
      <c r="Z1516" s="469"/>
      <c r="AA1516" s="469"/>
      <c r="AB1516" s="469"/>
    </row>
    <row r="1517" ht="14.25" customHeight="1">
      <c r="A1517" s="464"/>
      <c r="B1517" s="481"/>
      <c r="C1517" s="466"/>
      <c r="D1517" s="484"/>
      <c r="E1517" s="466"/>
      <c r="F1517" s="485"/>
      <c r="G1517" s="485"/>
      <c r="H1517" s="485"/>
      <c r="I1517" s="331"/>
      <c r="J1517" s="469"/>
      <c r="K1517" s="469"/>
      <c r="L1517" s="469"/>
      <c r="M1517" s="469"/>
      <c r="N1517" s="469"/>
      <c r="O1517" s="469"/>
      <c r="P1517" s="469"/>
      <c r="Q1517" s="469"/>
      <c r="R1517" s="469"/>
      <c r="S1517" s="469"/>
      <c r="T1517" s="469"/>
      <c r="U1517" s="469"/>
      <c r="V1517" s="469"/>
      <c r="W1517" s="469"/>
      <c r="X1517" s="469"/>
      <c r="Y1517" s="469"/>
      <c r="Z1517" s="469"/>
      <c r="AA1517" s="469"/>
      <c r="AB1517" s="469"/>
    </row>
    <row r="1518" ht="14.25" customHeight="1">
      <c r="A1518" s="464"/>
      <c r="B1518" s="481"/>
      <c r="C1518" s="466"/>
      <c r="D1518" s="484"/>
      <c r="E1518" s="466"/>
      <c r="F1518" s="485"/>
      <c r="G1518" s="485"/>
      <c r="H1518" s="485"/>
      <c r="I1518" s="331"/>
      <c r="J1518" s="469"/>
      <c r="K1518" s="469"/>
      <c r="L1518" s="469"/>
      <c r="M1518" s="469"/>
      <c r="N1518" s="469"/>
      <c r="O1518" s="469"/>
      <c r="P1518" s="469"/>
      <c r="Q1518" s="469"/>
      <c r="R1518" s="469"/>
      <c r="S1518" s="469"/>
      <c r="T1518" s="469"/>
      <c r="U1518" s="469"/>
      <c r="V1518" s="469"/>
      <c r="W1518" s="469"/>
      <c r="X1518" s="469"/>
      <c r="Y1518" s="469"/>
      <c r="Z1518" s="469"/>
      <c r="AA1518" s="469"/>
      <c r="AB1518" s="469"/>
    </row>
    <row r="1519" ht="14.25" customHeight="1">
      <c r="A1519" s="464"/>
      <c r="B1519" s="481"/>
      <c r="C1519" s="466"/>
      <c r="D1519" s="484"/>
      <c r="E1519" s="466"/>
      <c r="F1519" s="485"/>
      <c r="G1519" s="485"/>
      <c r="H1519" s="485"/>
      <c r="I1519" s="331"/>
      <c r="J1519" s="469"/>
      <c r="K1519" s="469"/>
      <c r="L1519" s="469"/>
      <c r="M1519" s="469"/>
      <c r="N1519" s="469"/>
      <c r="O1519" s="469"/>
      <c r="P1519" s="469"/>
      <c r="Q1519" s="469"/>
      <c r="R1519" s="469"/>
      <c r="S1519" s="469"/>
      <c r="T1519" s="469"/>
      <c r="U1519" s="469"/>
      <c r="V1519" s="469"/>
      <c r="W1519" s="469"/>
      <c r="X1519" s="469"/>
      <c r="Y1519" s="469"/>
      <c r="Z1519" s="469"/>
      <c r="AA1519" s="469"/>
      <c r="AB1519" s="469"/>
    </row>
    <row r="1520" ht="14.25" customHeight="1">
      <c r="A1520" s="464"/>
      <c r="B1520" s="481"/>
      <c r="C1520" s="466"/>
      <c r="D1520" s="484"/>
      <c r="E1520" s="466"/>
      <c r="F1520" s="485"/>
      <c r="G1520" s="485"/>
      <c r="H1520" s="485"/>
      <c r="I1520" s="331"/>
      <c r="J1520" s="469"/>
      <c r="K1520" s="469"/>
      <c r="L1520" s="469"/>
      <c r="M1520" s="469"/>
      <c r="N1520" s="469"/>
      <c r="O1520" s="469"/>
      <c r="P1520" s="469"/>
      <c r="Q1520" s="469"/>
      <c r="R1520" s="469"/>
      <c r="S1520" s="469"/>
      <c r="T1520" s="469"/>
      <c r="U1520" s="469"/>
      <c r="V1520" s="469"/>
      <c r="W1520" s="469"/>
      <c r="X1520" s="469"/>
      <c r="Y1520" s="469"/>
      <c r="Z1520" s="469"/>
      <c r="AA1520" s="469"/>
      <c r="AB1520" s="469"/>
    </row>
    <row r="1521" ht="14.25" customHeight="1">
      <c r="A1521" s="464"/>
      <c r="B1521" s="481"/>
      <c r="C1521" s="466"/>
      <c r="D1521" s="484"/>
      <c r="E1521" s="466"/>
      <c r="F1521" s="485"/>
      <c r="G1521" s="485"/>
      <c r="H1521" s="485"/>
      <c r="I1521" s="331"/>
      <c r="J1521" s="469"/>
      <c r="K1521" s="469"/>
      <c r="L1521" s="469"/>
      <c r="M1521" s="469"/>
      <c r="N1521" s="469"/>
      <c r="O1521" s="469"/>
      <c r="P1521" s="469"/>
      <c r="Q1521" s="469"/>
      <c r="R1521" s="469"/>
      <c r="S1521" s="469"/>
      <c r="T1521" s="469"/>
      <c r="U1521" s="469"/>
      <c r="V1521" s="469"/>
      <c r="W1521" s="469"/>
      <c r="X1521" s="469"/>
      <c r="Y1521" s="469"/>
      <c r="Z1521" s="469"/>
      <c r="AA1521" s="469"/>
      <c r="AB1521" s="469"/>
    </row>
    <row r="1522" ht="14.25" customHeight="1">
      <c r="A1522" s="464"/>
      <c r="B1522" s="481"/>
      <c r="C1522" s="466"/>
      <c r="D1522" s="484"/>
      <c r="E1522" s="466"/>
      <c r="F1522" s="485"/>
      <c r="G1522" s="485"/>
      <c r="H1522" s="485"/>
      <c r="I1522" s="331"/>
      <c r="J1522" s="469"/>
      <c r="K1522" s="469"/>
      <c r="L1522" s="469"/>
      <c r="M1522" s="469"/>
      <c r="N1522" s="469"/>
      <c r="O1522" s="469"/>
      <c r="P1522" s="469"/>
      <c r="Q1522" s="469"/>
      <c r="R1522" s="469"/>
      <c r="S1522" s="469"/>
      <c r="T1522" s="469"/>
      <c r="U1522" s="469"/>
      <c r="V1522" s="469"/>
      <c r="W1522" s="469"/>
      <c r="X1522" s="469"/>
      <c r="Y1522" s="469"/>
      <c r="Z1522" s="469"/>
      <c r="AA1522" s="469"/>
      <c r="AB1522" s="469"/>
    </row>
    <row r="1523" ht="14.25" customHeight="1">
      <c r="A1523" s="464"/>
      <c r="B1523" s="481"/>
      <c r="C1523" s="466"/>
      <c r="D1523" s="484"/>
      <c r="E1523" s="466"/>
      <c r="F1523" s="485"/>
      <c r="G1523" s="485"/>
      <c r="H1523" s="485"/>
      <c r="I1523" s="331"/>
      <c r="J1523" s="469"/>
      <c r="K1523" s="469"/>
      <c r="L1523" s="469"/>
      <c r="M1523" s="469"/>
      <c r="N1523" s="469"/>
      <c r="O1523" s="469"/>
      <c r="P1523" s="469"/>
      <c r="Q1523" s="469"/>
      <c r="R1523" s="469"/>
      <c r="S1523" s="469"/>
      <c r="T1523" s="469"/>
      <c r="U1523" s="469"/>
      <c r="V1523" s="469"/>
      <c r="W1523" s="469"/>
      <c r="X1523" s="469"/>
      <c r="Y1523" s="469"/>
      <c r="Z1523" s="469"/>
      <c r="AA1523" s="469"/>
      <c r="AB1523" s="469"/>
    </row>
    <row r="1524" ht="14.25" customHeight="1">
      <c r="A1524" s="464"/>
      <c r="B1524" s="481"/>
      <c r="C1524" s="466"/>
      <c r="D1524" s="484"/>
      <c r="E1524" s="466"/>
      <c r="F1524" s="485"/>
      <c r="G1524" s="485"/>
      <c r="H1524" s="485"/>
      <c r="I1524" s="331"/>
      <c r="J1524" s="469"/>
      <c r="K1524" s="469"/>
      <c r="L1524" s="469"/>
      <c r="M1524" s="469"/>
      <c r="N1524" s="469"/>
      <c r="O1524" s="469"/>
      <c r="P1524" s="469"/>
      <c r="Q1524" s="469"/>
      <c r="R1524" s="469"/>
      <c r="S1524" s="469"/>
      <c r="T1524" s="469"/>
      <c r="U1524" s="469"/>
      <c r="V1524" s="469"/>
      <c r="W1524" s="469"/>
      <c r="X1524" s="469"/>
      <c r="Y1524" s="469"/>
      <c r="Z1524" s="469"/>
      <c r="AA1524" s="469"/>
      <c r="AB1524" s="469"/>
    </row>
    <row r="1525" ht="14.25" customHeight="1">
      <c r="A1525" s="464"/>
      <c r="B1525" s="481"/>
      <c r="C1525" s="466"/>
      <c r="D1525" s="484"/>
      <c r="E1525" s="466"/>
      <c r="F1525" s="485"/>
      <c r="G1525" s="485"/>
      <c r="H1525" s="485"/>
      <c r="I1525" s="331"/>
      <c r="J1525" s="469"/>
      <c r="K1525" s="469"/>
      <c r="L1525" s="469"/>
      <c r="M1525" s="469"/>
      <c r="N1525" s="469"/>
      <c r="O1525" s="469"/>
      <c r="P1525" s="469"/>
      <c r="Q1525" s="469"/>
      <c r="R1525" s="469"/>
      <c r="S1525" s="469"/>
      <c r="T1525" s="469"/>
      <c r="U1525" s="469"/>
      <c r="V1525" s="469"/>
      <c r="W1525" s="469"/>
      <c r="X1525" s="469"/>
      <c r="Y1525" s="469"/>
      <c r="Z1525" s="469"/>
      <c r="AA1525" s="469"/>
      <c r="AB1525" s="469"/>
    </row>
    <row r="1526" ht="14.25" customHeight="1">
      <c r="A1526" s="464"/>
      <c r="B1526" s="481"/>
      <c r="C1526" s="466"/>
      <c r="D1526" s="484"/>
      <c r="E1526" s="466"/>
      <c r="F1526" s="485"/>
      <c r="G1526" s="485"/>
      <c r="H1526" s="485"/>
      <c r="I1526" s="331"/>
      <c r="J1526" s="469"/>
      <c r="K1526" s="469"/>
      <c r="L1526" s="469"/>
      <c r="M1526" s="469"/>
      <c r="N1526" s="469"/>
      <c r="O1526" s="469"/>
      <c r="P1526" s="469"/>
      <c r="Q1526" s="469"/>
      <c r="R1526" s="469"/>
      <c r="S1526" s="469"/>
      <c r="T1526" s="469"/>
      <c r="U1526" s="469"/>
      <c r="V1526" s="469"/>
      <c r="W1526" s="469"/>
      <c r="X1526" s="469"/>
      <c r="Y1526" s="469"/>
      <c r="Z1526" s="469"/>
      <c r="AA1526" s="469"/>
      <c r="AB1526" s="469"/>
    </row>
    <row r="1527" ht="14.25" customHeight="1">
      <c r="A1527" s="464"/>
      <c r="B1527" s="481"/>
      <c r="C1527" s="466"/>
      <c r="D1527" s="484"/>
      <c r="E1527" s="466"/>
      <c r="F1527" s="485"/>
      <c r="G1527" s="485"/>
      <c r="H1527" s="485"/>
      <c r="I1527" s="331"/>
      <c r="J1527" s="469"/>
      <c r="K1527" s="469"/>
      <c r="L1527" s="469"/>
      <c r="M1527" s="469"/>
      <c r="N1527" s="469"/>
      <c r="O1527" s="469"/>
      <c r="P1527" s="469"/>
      <c r="Q1527" s="469"/>
      <c r="R1527" s="469"/>
      <c r="S1527" s="469"/>
      <c r="T1527" s="469"/>
      <c r="U1527" s="469"/>
      <c r="V1527" s="469"/>
      <c r="W1527" s="469"/>
      <c r="X1527" s="469"/>
      <c r="Y1527" s="469"/>
      <c r="Z1527" s="469"/>
      <c r="AA1527" s="469"/>
      <c r="AB1527" s="469"/>
    </row>
    <row r="1528" ht="14.25" customHeight="1">
      <c r="A1528" s="464"/>
      <c r="B1528" s="481"/>
      <c r="C1528" s="466"/>
      <c r="D1528" s="484"/>
      <c r="E1528" s="466"/>
      <c r="F1528" s="485"/>
      <c r="G1528" s="485"/>
      <c r="H1528" s="485"/>
      <c r="I1528" s="331"/>
      <c r="J1528" s="469"/>
      <c r="K1528" s="469"/>
      <c r="L1528" s="469"/>
      <c r="M1528" s="469"/>
      <c r="N1528" s="469"/>
      <c r="O1528" s="469"/>
      <c r="P1528" s="469"/>
      <c r="Q1528" s="469"/>
      <c r="R1528" s="469"/>
      <c r="S1528" s="469"/>
      <c r="T1528" s="469"/>
      <c r="U1528" s="469"/>
      <c r="V1528" s="469"/>
      <c r="W1528" s="469"/>
      <c r="X1528" s="469"/>
      <c r="Y1528" s="469"/>
      <c r="Z1528" s="469"/>
      <c r="AA1528" s="469"/>
      <c r="AB1528" s="469"/>
    </row>
    <row r="1529" ht="14.25" customHeight="1">
      <c r="A1529" s="464"/>
      <c r="B1529" s="481"/>
      <c r="C1529" s="466"/>
      <c r="D1529" s="484"/>
      <c r="E1529" s="466"/>
      <c r="F1529" s="485"/>
      <c r="G1529" s="485"/>
      <c r="H1529" s="485"/>
      <c r="I1529" s="331"/>
      <c r="J1529" s="469"/>
      <c r="K1529" s="469"/>
      <c r="L1529" s="469"/>
      <c r="M1529" s="469"/>
      <c r="N1529" s="469"/>
      <c r="O1529" s="469"/>
      <c r="P1529" s="469"/>
      <c r="Q1529" s="469"/>
      <c r="R1529" s="469"/>
      <c r="S1529" s="469"/>
      <c r="T1529" s="469"/>
      <c r="U1529" s="469"/>
      <c r="V1529" s="469"/>
      <c r="W1529" s="469"/>
      <c r="X1529" s="469"/>
      <c r="Y1529" s="469"/>
      <c r="Z1529" s="469"/>
      <c r="AA1529" s="469"/>
      <c r="AB1529" s="469"/>
    </row>
    <row r="1530" ht="14.25" customHeight="1">
      <c r="A1530" s="464"/>
      <c r="B1530" s="481"/>
      <c r="C1530" s="466"/>
      <c r="D1530" s="484"/>
      <c r="E1530" s="466"/>
      <c r="F1530" s="485"/>
      <c r="G1530" s="485"/>
      <c r="H1530" s="485"/>
      <c r="I1530" s="331"/>
      <c r="J1530" s="469"/>
      <c r="K1530" s="469"/>
      <c r="L1530" s="469"/>
      <c r="M1530" s="469"/>
      <c r="N1530" s="469"/>
      <c r="O1530" s="469"/>
      <c r="P1530" s="469"/>
      <c r="Q1530" s="469"/>
      <c r="R1530" s="469"/>
      <c r="S1530" s="469"/>
      <c r="T1530" s="469"/>
      <c r="U1530" s="469"/>
      <c r="V1530" s="469"/>
      <c r="W1530" s="469"/>
      <c r="X1530" s="469"/>
      <c r="Y1530" s="469"/>
      <c r="Z1530" s="469"/>
      <c r="AA1530" s="469"/>
      <c r="AB1530" s="469"/>
    </row>
    <row r="1531" ht="14.25" customHeight="1">
      <c r="A1531" s="464"/>
      <c r="B1531" s="481"/>
      <c r="C1531" s="466"/>
      <c r="D1531" s="484"/>
      <c r="E1531" s="466"/>
      <c r="F1531" s="485"/>
      <c r="G1531" s="485"/>
      <c r="H1531" s="485"/>
      <c r="I1531" s="331"/>
      <c r="J1531" s="469"/>
      <c r="K1531" s="469"/>
      <c r="L1531" s="469"/>
      <c r="M1531" s="469"/>
      <c r="N1531" s="469"/>
      <c r="O1531" s="469"/>
      <c r="P1531" s="469"/>
      <c r="Q1531" s="469"/>
      <c r="R1531" s="469"/>
      <c r="S1531" s="469"/>
      <c r="T1531" s="469"/>
      <c r="U1531" s="469"/>
      <c r="V1531" s="469"/>
      <c r="W1531" s="469"/>
      <c r="X1531" s="469"/>
      <c r="Y1531" s="469"/>
      <c r="Z1531" s="469"/>
      <c r="AA1531" s="469"/>
      <c r="AB1531" s="469"/>
    </row>
    <row r="1532" ht="14.25" customHeight="1">
      <c r="A1532" s="464"/>
      <c r="B1532" s="481"/>
      <c r="C1532" s="466"/>
      <c r="D1532" s="484"/>
      <c r="E1532" s="466"/>
      <c r="F1532" s="485"/>
      <c r="G1532" s="485"/>
      <c r="H1532" s="485"/>
      <c r="I1532" s="331"/>
      <c r="J1532" s="469"/>
      <c r="K1532" s="469"/>
      <c r="L1532" s="469"/>
      <c r="M1532" s="469"/>
      <c r="N1532" s="469"/>
      <c r="O1532" s="469"/>
      <c r="P1532" s="469"/>
      <c r="Q1532" s="469"/>
      <c r="R1532" s="469"/>
      <c r="S1532" s="469"/>
      <c r="T1532" s="469"/>
      <c r="U1532" s="469"/>
      <c r="V1532" s="469"/>
      <c r="W1532" s="469"/>
      <c r="X1532" s="469"/>
      <c r="Y1532" s="469"/>
      <c r="Z1532" s="469"/>
      <c r="AA1532" s="469"/>
      <c r="AB1532" s="469"/>
    </row>
    <row r="1533" ht="14.25" customHeight="1">
      <c r="A1533" s="464"/>
      <c r="B1533" s="481"/>
      <c r="C1533" s="466"/>
      <c r="D1533" s="484"/>
      <c r="E1533" s="466"/>
      <c r="F1533" s="485"/>
      <c r="G1533" s="485"/>
      <c r="H1533" s="485"/>
      <c r="I1533" s="331"/>
      <c r="J1533" s="469"/>
      <c r="K1533" s="469"/>
      <c r="L1533" s="469"/>
      <c r="M1533" s="469"/>
      <c r="N1533" s="469"/>
      <c r="O1533" s="469"/>
      <c r="P1533" s="469"/>
      <c r="Q1533" s="469"/>
      <c r="R1533" s="469"/>
      <c r="S1533" s="469"/>
      <c r="T1533" s="469"/>
      <c r="U1533" s="469"/>
      <c r="V1533" s="469"/>
      <c r="W1533" s="469"/>
      <c r="X1533" s="469"/>
      <c r="Y1533" s="469"/>
      <c r="Z1533" s="469"/>
      <c r="AA1533" s="469"/>
      <c r="AB1533" s="469"/>
    </row>
    <row r="1534" ht="14.25" customHeight="1">
      <c r="A1534" s="464"/>
      <c r="B1534" s="481"/>
      <c r="C1534" s="466"/>
      <c r="D1534" s="484"/>
      <c r="E1534" s="466"/>
      <c r="F1534" s="485"/>
      <c r="G1534" s="485"/>
      <c r="H1534" s="485"/>
      <c r="I1534" s="331"/>
      <c r="J1534" s="469"/>
      <c r="K1534" s="469"/>
      <c r="L1534" s="469"/>
      <c r="M1534" s="469"/>
      <c r="N1534" s="469"/>
      <c r="O1534" s="469"/>
      <c r="P1534" s="469"/>
      <c r="Q1534" s="469"/>
      <c r="R1534" s="469"/>
      <c r="S1534" s="469"/>
      <c r="T1534" s="469"/>
      <c r="U1534" s="469"/>
      <c r="V1534" s="469"/>
      <c r="W1534" s="469"/>
      <c r="X1534" s="469"/>
      <c r="Y1534" s="469"/>
      <c r="Z1534" s="469"/>
      <c r="AA1534" s="469"/>
      <c r="AB1534" s="469"/>
    </row>
    <row r="1535" ht="14.25" customHeight="1">
      <c r="A1535" s="464"/>
      <c r="B1535" s="481"/>
      <c r="C1535" s="466"/>
      <c r="D1535" s="484"/>
      <c r="E1535" s="466"/>
      <c r="F1535" s="485"/>
      <c r="G1535" s="485"/>
      <c r="H1535" s="485"/>
      <c r="I1535" s="331"/>
      <c r="J1535" s="469"/>
      <c r="K1535" s="469"/>
      <c r="L1535" s="469"/>
      <c r="M1535" s="469"/>
      <c r="N1535" s="469"/>
      <c r="O1535" s="469"/>
      <c r="P1535" s="469"/>
      <c r="Q1535" s="469"/>
      <c r="R1535" s="469"/>
      <c r="S1535" s="469"/>
      <c r="T1535" s="469"/>
      <c r="U1535" s="469"/>
      <c r="V1535" s="469"/>
      <c r="W1535" s="469"/>
      <c r="X1535" s="469"/>
      <c r="Y1535" s="469"/>
      <c r="Z1535" s="469"/>
      <c r="AA1535" s="469"/>
      <c r="AB1535" s="469"/>
    </row>
    <row r="1536" ht="14.25" customHeight="1">
      <c r="A1536" s="464"/>
      <c r="B1536" s="481"/>
      <c r="C1536" s="466"/>
      <c r="D1536" s="484"/>
      <c r="E1536" s="466"/>
      <c r="F1536" s="485"/>
      <c r="G1536" s="485"/>
      <c r="H1536" s="485"/>
      <c r="I1536" s="331"/>
      <c r="J1536" s="469"/>
      <c r="K1536" s="469"/>
      <c r="L1536" s="469"/>
      <c r="M1536" s="469"/>
      <c r="N1536" s="469"/>
      <c r="O1536" s="469"/>
      <c r="P1536" s="469"/>
      <c r="Q1536" s="469"/>
      <c r="R1536" s="469"/>
      <c r="S1536" s="469"/>
      <c r="T1536" s="469"/>
      <c r="U1536" s="469"/>
      <c r="V1536" s="469"/>
      <c r="W1536" s="469"/>
      <c r="X1536" s="469"/>
      <c r="Y1536" s="469"/>
      <c r="Z1536" s="469"/>
      <c r="AA1536" s="469"/>
      <c r="AB1536" s="469"/>
    </row>
    <row r="1537" ht="14.25" customHeight="1">
      <c r="A1537" s="464"/>
      <c r="B1537" s="481"/>
      <c r="C1537" s="466"/>
      <c r="D1537" s="484"/>
      <c r="E1537" s="466"/>
      <c r="F1537" s="485"/>
      <c r="G1537" s="485"/>
      <c r="H1537" s="485"/>
      <c r="I1537" s="331"/>
      <c r="J1537" s="469"/>
      <c r="K1537" s="469"/>
      <c r="L1537" s="469"/>
      <c r="M1537" s="469"/>
      <c r="N1537" s="469"/>
      <c r="O1537" s="469"/>
      <c r="P1537" s="469"/>
      <c r="Q1537" s="469"/>
      <c r="R1537" s="469"/>
      <c r="S1537" s="469"/>
      <c r="T1537" s="469"/>
      <c r="U1537" s="469"/>
      <c r="V1537" s="469"/>
      <c r="W1537" s="469"/>
      <c r="X1537" s="469"/>
      <c r="Y1537" s="469"/>
      <c r="Z1537" s="469"/>
      <c r="AA1537" s="469"/>
      <c r="AB1537" s="469"/>
    </row>
    <row r="1538" ht="14.25" customHeight="1">
      <c r="A1538" s="464"/>
      <c r="B1538" s="481"/>
      <c r="C1538" s="466"/>
      <c r="D1538" s="484"/>
      <c r="E1538" s="466"/>
      <c r="F1538" s="485"/>
      <c r="G1538" s="485"/>
      <c r="H1538" s="485"/>
      <c r="I1538" s="331"/>
      <c r="J1538" s="469"/>
      <c r="K1538" s="469"/>
      <c r="L1538" s="469"/>
      <c r="M1538" s="469"/>
      <c r="N1538" s="469"/>
      <c r="O1538" s="469"/>
      <c r="P1538" s="469"/>
      <c r="Q1538" s="469"/>
      <c r="R1538" s="469"/>
      <c r="S1538" s="469"/>
      <c r="T1538" s="469"/>
      <c r="U1538" s="469"/>
      <c r="V1538" s="469"/>
      <c r="W1538" s="469"/>
      <c r="X1538" s="469"/>
      <c r="Y1538" s="469"/>
      <c r="Z1538" s="469"/>
      <c r="AA1538" s="469"/>
      <c r="AB1538" s="469"/>
    </row>
    <row r="1539" ht="14.25" customHeight="1">
      <c r="A1539" s="464"/>
      <c r="B1539" s="481"/>
      <c r="C1539" s="466"/>
      <c r="D1539" s="484"/>
      <c r="E1539" s="466"/>
      <c r="F1539" s="485"/>
      <c r="G1539" s="485"/>
      <c r="H1539" s="485"/>
      <c r="I1539" s="331"/>
      <c r="J1539" s="469"/>
      <c r="K1539" s="469"/>
      <c r="L1539" s="469"/>
      <c r="M1539" s="469"/>
      <c r="N1539" s="469"/>
      <c r="O1539" s="469"/>
      <c r="P1539" s="469"/>
      <c r="Q1539" s="469"/>
      <c r="R1539" s="469"/>
      <c r="S1539" s="469"/>
      <c r="T1539" s="469"/>
      <c r="U1539" s="469"/>
      <c r="V1539" s="469"/>
      <c r="W1539" s="469"/>
      <c r="X1539" s="469"/>
      <c r="Y1539" s="469"/>
      <c r="Z1539" s="469"/>
      <c r="AA1539" s="469"/>
      <c r="AB1539" s="469"/>
    </row>
    <row r="1540" ht="14.25" customHeight="1">
      <c r="A1540" s="464"/>
      <c r="B1540" s="481"/>
      <c r="C1540" s="466"/>
      <c r="D1540" s="484"/>
      <c r="E1540" s="466"/>
      <c r="F1540" s="485"/>
      <c r="G1540" s="485"/>
      <c r="H1540" s="485"/>
      <c r="I1540" s="331"/>
      <c r="J1540" s="469"/>
      <c r="K1540" s="469"/>
      <c r="L1540" s="469"/>
      <c r="M1540" s="469"/>
      <c r="N1540" s="469"/>
      <c r="O1540" s="469"/>
      <c r="P1540" s="469"/>
      <c r="Q1540" s="469"/>
      <c r="R1540" s="469"/>
      <c r="S1540" s="469"/>
      <c r="T1540" s="469"/>
      <c r="U1540" s="469"/>
      <c r="V1540" s="469"/>
      <c r="W1540" s="469"/>
      <c r="X1540" s="469"/>
      <c r="Y1540" s="469"/>
      <c r="Z1540" s="469"/>
      <c r="AA1540" s="469"/>
      <c r="AB1540" s="469"/>
    </row>
    <row r="1541" ht="14.25" customHeight="1">
      <c r="A1541" s="464"/>
      <c r="B1541" s="481"/>
      <c r="C1541" s="466"/>
      <c r="D1541" s="484"/>
      <c r="E1541" s="466"/>
      <c r="F1541" s="485"/>
      <c r="G1541" s="485"/>
      <c r="H1541" s="485"/>
      <c r="I1541" s="331"/>
      <c r="J1541" s="469"/>
      <c r="K1541" s="469"/>
      <c r="L1541" s="469"/>
      <c r="M1541" s="469"/>
      <c r="N1541" s="469"/>
      <c r="O1541" s="469"/>
      <c r="P1541" s="469"/>
      <c r="Q1541" s="469"/>
      <c r="R1541" s="469"/>
      <c r="S1541" s="469"/>
      <c r="T1541" s="469"/>
      <c r="U1541" s="469"/>
      <c r="V1541" s="469"/>
      <c r="W1541" s="469"/>
      <c r="X1541" s="469"/>
      <c r="Y1541" s="469"/>
      <c r="Z1541" s="469"/>
      <c r="AA1541" s="469"/>
      <c r="AB1541" s="469"/>
    </row>
    <row r="1542" ht="14.25" customHeight="1">
      <c r="A1542" s="464"/>
      <c r="B1542" s="481"/>
      <c r="C1542" s="466"/>
      <c r="D1542" s="484"/>
      <c r="E1542" s="466"/>
      <c r="F1542" s="485"/>
      <c r="G1542" s="485"/>
      <c r="H1542" s="485"/>
      <c r="I1542" s="331"/>
      <c r="J1542" s="469"/>
      <c r="K1542" s="469"/>
      <c r="L1542" s="469"/>
      <c r="M1542" s="469"/>
      <c r="N1542" s="469"/>
      <c r="O1542" s="469"/>
      <c r="P1542" s="469"/>
      <c r="Q1542" s="469"/>
      <c r="R1542" s="469"/>
      <c r="S1542" s="469"/>
      <c r="T1542" s="469"/>
      <c r="U1542" s="469"/>
      <c r="V1542" s="469"/>
      <c r="W1542" s="469"/>
      <c r="X1542" s="469"/>
      <c r="Y1542" s="469"/>
      <c r="Z1542" s="469"/>
      <c r="AA1542" s="469"/>
      <c r="AB1542" s="469"/>
    </row>
    <row r="1543" ht="14.25" customHeight="1">
      <c r="A1543" s="464"/>
      <c r="B1543" s="481"/>
      <c r="C1543" s="466"/>
      <c r="D1543" s="484"/>
      <c r="E1543" s="466"/>
      <c r="F1543" s="485"/>
      <c r="G1543" s="485"/>
      <c r="H1543" s="485"/>
      <c r="I1543" s="331"/>
      <c r="J1543" s="469"/>
      <c r="K1543" s="469"/>
      <c r="L1543" s="469"/>
      <c r="M1543" s="469"/>
      <c r="N1543" s="469"/>
      <c r="O1543" s="469"/>
      <c r="P1543" s="469"/>
      <c r="Q1543" s="469"/>
      <c r="R1543" s="469"/>
      <c r="S1543" s="469"/>
      <c r="T1543" s="469"/>
      <c r="U1543" s="469"/>
      <c r="V1543" s="469"/>
      <c r="W1543" s="469"/>
      <c r="X1543" s="469"/>
      <c r="Y1543" s="469"/>
      <c r="Z1543" s="469"/>
      <c r="AA1543" s="469"/>
      <c r="AB1543" s="469"/>
    </row>
    <row r="1544" ht="14.25" customHeight="1">
      <c r="A1544" s="464"/>
      <c r="B1544" s="481"/>
      <c r="C1544" s="466"/>
      <c r="D1544" s="484"/>
      <c r="E1544" s="466"/>
      <c r="F1544" s="485"/>
      <c r="G1544" s="485"/>
      <c r="H1544" s="485"/>
      <c r="I1544" s="331"/>
      <c r="J1544" s="469"/>
      <c r="K1544" s="469"/>
      <c r="L1544" s="469"/>
      <c r="M1544" s="469"/>
      <c r="N1544" s="469"/>
      <c r="O1544" s="469"/>
      <c r="P1544" s="469"/>
      <c r="Q1544" s="469"/>
      <c r="R1544" s="469"/>
      <c r="S1544" s="469"/>
      <c r="T1544" s="469"/>
      <c r="U1544" s="469"/>
      <c r="V1544" s="469"/>
      <c r="W1544" s="469"/>
      <c r="X1544" s="469"/>
      <c r="Y1544" s="469"/>
      <c r="Z1544" s="469"/>
      <c r="AA1544" s="469"/>
      <c r="AB1544" s="469"/>
    </row>
    <row r="1545" ht="14.25" customHeight="1">
      <c r="A1545" s="464"/>
      <c r="B1545" s="481"/>
      <c r="C1545" s="466"/>
      <c r="D1545" s="484"/>
      <c r="E1545" s="466"/>
      <c r="F1545" s="485"/>
      <c r="G1545" s="485"/>
      <c r="H1545" s="485"/>
      <c r="I1545" s="331"/>
      <c r="J1545" s="469"/>
      <c r="K1545" s="469"/>
      <c r="L1545" s="469"/>
      <c r="M1545" s="469"/>
      <c r="N1545" s="469"/>
      <c r="O1545" s="469"/>
      <c r="P1545" s="469"/>
      <c r="Q1545" s="469"/>
      <c r="R1545" s="469"/>
      <c r="S1545" s="469"/>
      <c r="T1545" s="469"/>
      <c r="U1545" s="469"/>
      <c r="V1545" s="469"/>
      <c r="W1545" s="469"/>
      <c r="X1545" s="469"/>
      <c r="Y1545" s="469"/>
      <c r="Z1545" s="469"/>
      <c r="AA1545" s="469"/>
      <c r="AB1545" s="469"/>
    </row>
    <row r="1546" ht="14.25" customHeight="1">
      <c r="A1546" s="464"/>
      <c r="B1546" s="481"/>
      <c r="C1546" s="466"/>
      <c r="D1546" s="484"/>
      <c r="E1546" s="466"/>
      <c r="F1546" s="485"/>
      <c r="G1546" s="485"/>
      <c r="H1546" s="485"/>
      <c r="I1546" s="331"/>
      <c r="J1546" s="469"/>
      <c r="K1546" s="469"/>
      <c r="L1546" s="469"/>
      <c r="M1546" s="469"/>
      <c r="N1546" s="469"/>
      <c r="O1546" s="469"/>
      <c r="P1546" s="469"/>
      <c r="Q1546" s="469"/>
      <c r="R1546" s="469"/>
      <c r="S1546" s="469"/>
      <c r="T1546" s="469"/>
      <c r="U1546" s="469"/>
      <c r="V1546" s="469"/>
      <c r="W1546" s="469"/>
      <c r="X1546" s="469"/>
      <c r="Y1546" s="469"/>
      <c r="Z1546" s="469"/>
      <c r="AA1546" s="469"/>
      <c r="AB1546" s="469"/>
    </row>
    <row r="1547" ht="14.25" customHeight="1">
      <c r="A1547" s="464"/>
      <c r="B1547" s="481"/>
      <c r="C1547" s="466"/>
      <c r="D1547" s="484"/>
      <c r="E1547" s="466"/>
      <c r="F1547" s="485"/>
      <c r="G1547" s="485"/>
      <c r="H1547" s="485"/>
      <c r="I1547" s="331"/>
      <c r="J1547" s="469"/>
      <c r="K1547" s="469"/>
      <c r="L1547" s="469"/>
      <c r="M1547" s="469"/>
      <c r="N1547" s="469"/>
      <c r="O1547" s="469"/>
      <c r="P1547" s="469"/>
      <c r="Q1547" s="469"/>
      <c r="R1547" s="469"/>
      <c r="S1547" s="469"/>
      <c r="T1547" s="469"/>
      <c r="U1547" s="469"/>
      <c r="V1547" s="469"/>
      <c r="W1547" s="469"/>
      <c r="X1547" s="469"/>
      <c r="Y1547" s="469"/>
      <c r="Z1547" s="469"/>
      <c r="AA1547" s="469"/>
      <c r="AB1547" s="469"/>
    </row>
    <row r="1548" ht="14.25" customHeight="1">
      <c r="A1548" s="464"/>
      <c r="B1548" s="481"/>
      <c r="C1548" s="466"/>
      <c r="D1548" s="484"/>
      <c r="E1548" s="466"/>
      <c r="F1548" s="485"/>
      <c r="G1548" s="485"/>
      <c r="H1548" s="485"/>
      <c r="I1548" s="331"/>
      <c r="J1548" s="469"/>
      <c r="K1548" s="469"/>
      <c r="L1548" s="469"/>
      <c r="M1548" s="469"/>
      <c r="N1548" s="469"/>
      <c r="O1548" s="469"/>
      <c r="P1548" s="469"/>
      <c r="Q1548" s="469"/>
      <c r="R1548" s="469"/>
      <c r="S1548" s="469"/>
      <c r="T1548" s="469"/>
      <c r="U1548" s="469"/>
      <c r="V1548" s="469"/>
      <c r="W1548" s="469"/>
      <c r="X1548" s="469"/>
      <c r="Y1548" s="469"/>
      <c r="Z1548" s="469"/>
      <c r="AA1548" s="469"/>
      <c r="AB1548" s="469"/>
    </row>
    <row r="1549" ht="14.25" customHeight="1">
      <c r="A1549" s="464"/>
      <c r="B1549" s="481"/>
      <c r="C1549" s="466"/>
      <c r="D1549" s="484"/>
      <c r="E1549" s="466"/>
      <c r="F1549" s="485"/>
      <c r="G1549" s="485"/>
      <c r="H1549" s="485"/>
      <c r="I1549" s="331"/>
      <c r="J1549" s="469"/>
      <c r="K1549" s="469"/>
      <c r="L1549" s="469"/>
      <c r="M1549" s="469"/>
      <c r="N1549" s="469"/>
      <c r="O1549" s="469"/>
      <c r="P1549" s="469"/>
      <c r="Q1549" s="469"/>
      <c r="R1549" s="469"/>
      <c r="S1549" s="469"/>
      <c r="T1549" s="469"/>
      <c r="U1549" s="469"/>
      <c r="V1549" s="469"/>
      <c r="W1549" s="469"/>
      <c r="X1549" s="469"/>
      <c r="Y1549" s="469"/>
      <c r="Z1549" s="469"/>
      <c r="AA1549" s="469"/>
      <c r="AB1549" s="469"/>
    </row>
    <row r="1550" ht="14.25" customHeight="1">
      <c r="A1550" s="464"/>
      <c r="B1550" s="481"/>
      <c r="C1550" s="466"/>
      <c r="D1550" s="484"/>
      <c r="E1550" s="466"/>
      <c r="F1550" s="485"/>
      <c r="G1550" s="485"/>
      <c r="H1550" s="485"/>
      <c r="I1550" s="331"/>
      <c r="J1550" s="469"/>
      <c r="K1550" s="469"/>
      <c r="L1550" s="469"/>
      <c r="M1550" s="469"/>
      <c r="N1550" s="469"/>
      <c r="O1550" s="469"/>
      <c r="P1550" s="469"/>
      <c r="Q1550" s="469"/>
      <c r="R1550" s="469"/>
      <c r="S1550" s="469"/>
      <c r="T1550" s="469"/>
      <c r="U1550" s="469"/>
      <c r="V1550" s="469"/>
      <c r="W1550" s="469"/>
      <c r="X1550" s="469"/>
      <c r="Y1550" s="469"/>
      <c r="Z1550" s="469"/>
      <c r="AA1550" s="469"/>
      <c r="AB1550" s="469"/>
    </row>
    <row r="1551" ht="14.25" customHeight="1">
      <c r="A1551" s="464"/>
      <c r="B1551" s="481"/>
      <c r="C1551" s="466"/>
      <c r="D1551" s="484"/>
      <c r="E1551" s="466"/>
      <c r="F1551" s="485"/>
      <c r="G1551" s="485"/>
      <c r="H1551" s="485"/>
      <c r="I1551" s="331"/>
      <c r="J1551" s="469"/>
      <c r="K1551" s="469"/>
      <c r="L1551" s="469"/>
      <c r="M1551" s="469"/>
      <c r="N1551" s="469"/>
      <c r="O1551" s="469"/>
      <c r="P1551" s="469"/>
      <c r="Q1551" s="469"/>
      <c r="R1551" s="469"/>
      <c r="S1551" s="469"/>
      <c r="T1551" s="469"/>
      <c r="U1551" s="469"/>
      <c r="V1551" s="469"/>
      <c r="W1551" s="469"/>
      <c r="X1551" s="469"/>
      <c r="Y1551" s="469"/>
      <c r="Z1551" s="469"/>
      <c r="AA1551" s="469"/>
      <c r="AB1551" s="469"/>
    </row>
    <row r="1552" ht="14.25" customHeight="1">
      <c r="A1552" s="464"/>
      <c r="B1552" s="481"/>
      <c r="C1552" s="466"/>
      <c r="D1552" s="484"/>
      <c r="E1552" s="466"/>
      <c r="F1552" s="485"/>
      <c r="G1552" s="485"/>
      <c r="H1552" s="485"/>
      <c r="I1552" s="331"/>
      <c r="J1552" s="469"/>
      <c r="K1552" s="469"/>
      <c r="L1552" s="469"/>
      <c r="M1552" s="469"/>
      <c r="N1552" s="469"/>
      <c r="O1552" s="469"/>
      <c r="P1552" s="469"/>
      <c r="Q1552" s="469"/>
      <c r="R1552" s="469"/>
      <c r="S1552" s="469"/>
      <c r="T1552" s="469"/>
      <c r="U1552" s="469"/>
      <c r="V1552" s="469"/>
      <c r="W1552" s="469"/>
      <c r="X1552" s="469"/>
      <c r="Y1552" s="469"/>
      <c r="Z1552" s="469"/>
      <c r="AA1552" s="469"/>
      <c r="AB1552" s="469"/>
    </row>
    <row r="1553" ht="14.25" customHeight="1">
      <c r="A1553" s="464"/>
      <c r="B1553" s="481"/>
      <c r="C1553" s="466"/>
      <c r="D1553" s="484"/>
      <c r="E1553" s="466"/>
      <c r="F1553" s="485"/>
      <c r="G1553" s="485"/>
      <c r="H1553" s="485"/>
      <c r="I1553" s="331"/>
      <c r="J1553" s="469"/>
      <c r="K1553" s="469"/>
      <c r="L1553" s="469"/>
      <c r="M1553" s="469"/>
      <c r="N1553" s="469"/>
      <c r="O1553" s="469"/>
      <c r="P1553" s="469"/>
      <c r="Q1553" s="469"/>
      <c r="R1553" s="469"/>
      <c r="S1553" s="469"/>
      <c r="T1553" s="469"/>
      <c r="U1553" s="469"/>
      <c r="V1553" s="469"/>
      <c r="W1553" s="469"/>
      <c r="X1553" s="469"/>
      <c r="Y1553" s="469"/>
      <c r="Z1553" s="469"/>
      <c r="AA1553" s="469"/>
      <c r="AB1553" s="469"/>
    </row>
    <row r="1554" ht="14.25" customHeight="1">
      <c r="A1554" s="464"/>
      <c r="B1554" s="481"/>
      <c r="C1554" s="466"/>
      <c r="D1554" s="484"/>
      <c r="E1554" s="466"/>
      <c r="F1554" s="485"/>
      <c r="G1554" s="485"/>
      <c r="H1554" s="485"/>
      <c r="I1554" s="331"/>
      <c r="J1554" s="469"/>
      <c r="K1554" s="469"/>
      <c r="L1554" s="469"/>
      <c r="M1554" s="469"/>
      <c r="N1554" s="469"/>
      <c r="O1554" s="469"/>
      <c r="P1554" s="469"/>
      <c r="Q1554" s="469"/>
      <c r="R1554" s="469"/>
      <c r="S1554" s="469"/>
      <c r="T1554" s="469"/>
      <c r="U1554" s="469"/>
      <c r="V1554" s="469"/>
      <c r="W1554" s="469"/>
      <c r="X1554" s="469"/>
      <c r="Y1554" s="469"/>
      <c r="Z1554" s="469"/>
      <c r="AA1554" s="469"/>
      <c r="AB1554" s="469"/>
    </row>
    <row r="1555" ht="14.25" customHeight="1">
      <c r="A1555" s="464"/>
      <c r="B1555" s="481"/>
      <c r="C1555" s="466"/>
      <c r="D1555" s="484"/>
      <c r="E1555" s="466"/>
      <c r="F1555" s="485"/>
      <c r="G1555" s="485"/>
      <c r="H1555" s="485"/>
      <c r="I1555" s="331"/>
      <c r="J1555" s="469"/>
      <c r="K1555" s="469"/>
      <c r="L1555" s="469"/>
      <c r="M1555" s="469"/>
      <c r="N1555" s="469"/>
      <c r="O1555" s="469"/>
      <c r="P1555" s="469"/>
      <c r="Q1555" s="469"/>
      <c r="R1555" s="469"/>
      <c r="S1555" s="469"/>
      <c r="T1555" s="469"/>
      <c r="U1555" s="469"/>
      <c r="V1555" s="469"/>
      <c r="W1555" s="469"/>
      <c r="X1555" s="469"/>
      <c r="Y1555" s="469"/>
      <c r="Z1555" s="469"/>
      <c r="AA1555" s="469"/>
      <c r="AB1555" s="469"/>
    </row>
    <row r="1556" ht="14.25" customHeight="1">
      <c r="A1556" s="464"/>
      <c r="B1556" s="481"/>
      <c r="C1556" s="466"/>
      <c r="D1556" s="484"/>
      <c r="E1556" s="466"/>
      <c r="F1556" s="485"/>
      <c r="G1556" s="485"/>
      <c r="H1556" s="485"/>
      <c r="I1556" s="331"/>
      <c r="J1556" s="469"/>
      <c r="K1556" s="469"/>
      <c r="L1556" s="469"/>
      <c r="M1556" s="469"/>
      <c r="N1556" s="469"/>
      <c r="O1556" s="469"/>
      <c r="P1556" s="469"/>
      <c r="Q1556" s="469"/>
      <c r="R1556" s="469"/>
      <c r="S1556" s="469"/>
      <c r="T1556" s="469"/>
      <c r="U1556" s="469"/>
      <c r="V1556" s="469"/>
      <c r="W1556" s="469"/>
      <c r="X1556" s="469"/>
      <c r="Y1556" s="469"/>
      <c r="Z1556" s="469"/>
      <c r="AA1556" s="469"/>
      <c r="AB1556" s="469"/>
    </row>
    <row r="1557" ht="14.25" customHeight="1">
      <c r="A1557" s="464"/>
      <c r="B1557" s="481"/>
      <c r="C1557" s="466"/>
      <c r="D1557" s="484"/>
      <c r="E1557" s="466"/>
      <c r="F1557" s="485"/>
      <c r="G1557" s="485"/>
      <c r="H1557" s="485"/>
      <c r="I1557" s="331"/>
      <c r="J1557" s="469"/>
      <c r="K1557" s="469"/>
      <c r="L1557" s="469"/>
      <c r="M1557" s="469"/>
      <c r="N1557" s="469"/>
      <c r="O1557" s="469"/>
      <c r="P1557" s="469"/>
      <c r="Q1557" s="469"/>
      <c r="R1557" s="469"/>
      <c r="S1557" s="469"/>
      <c r="T1557" s="469"/>
      <c r="U1557" s="469"/>
      <c r="V1557" s="469"/>
      <c r="W1557" s="469"/>
      <c r="X1557" s="469"/>
      <c r="Y1557" s="469"/>
      <c r="Z1557" s="469"/>
      <c r="AA1557" s="469"/>
      <c r="AB1557" s="469"/>
    </row>
    <row r="1558" ht="14.25" customHeight="1">
      <c r="A1558" s="464"/>
      <c r="B1558" s="481"/>
      <c r="C1558" s="466"/>
      <c r="D1558" s="484"/>
      <c r="E1558" s="466"/>
      <c r="F1558" s="485"/>
      <c r="G1558" s="485"/>
      <c r="H1558" s="485"/>
      <c r="I1558" s="331"/>
      <c r="J1558" s="469"/>
      <c r="K1558" s="469"/>
      <c r="L1558" s="469"/>
      <c r="M1558" s="469"/>
      <c r="N1558" s="469"/>
      <c r="O1558" s="469"/>
      <c r="P1558" s="469"/>
      <c r="Q1558" s="469"/>
      <c r="R1558" s="469"/>
      <c r="S1558" s="469"/>
      <c r="T1558" s="469"/>
      <c r="U1558" s="469"/>
      <c r="V1558" s="469"/>
      <c r="W1558" s="469"/>
      <c r="X1558" s="469"/>
      <c r="Y1558" s="469"/>
      <c r="Z1558" s="469"/>
      <c r="AA1558" s="469"/>
      <c r="AB1558" s="469"/>
    </row>
    <row r="1559" ht="14.25" customHeight="1">
      <c r="A1559" s="464"/>
      <c r="B1559" s="481"/>
      <c r="C1559" s="466"/>
      <c r="D1559" s="484"/>
      <c r="E1559" s="466"/>
      <c r="F1559" s="485"/>
      <c r="G1559" s="485"/>
      <c r="H1559" s="485"/>
      <c r="I1559" s="331"/>
      <c r="J1559" s="469"/>
      <c r="K1559" s="469"/>
      <c r="L1559" s="469"/>
      <c r="M1559" s="469"/>
      <c r="N1559" s="469"/>
      <c r="O1559" s="469"/>
      <c r="P1559" s="469"/>
      <c r="Q1559" s="469"/>
      <c r="R1559" s="469"/>
      <c r="S1559" s="469"/>
      <c r="T1559" s="469"/>
      <c r="U1559" s="469"/>
      <c r="V1559" s="469"/>
      <c r="W1559" s="469"/>
      <c r="X1559" s="469"/>
      <c r="Y1559" s="469"/>
      <c r="Z1559" s="469"/>
      <c r="AA1559" s="469"/>
      <c r="AB1559" s="469"/>
    </row>
    <row r="1560" ht="14.25" customHeight="1">
      <c r="A1560" s="464"/>
      <c r="B1560" s="481"/>
      <c r="C1560" s="466"/>
      <c r="D1560" s="484"/>
      <c r="E1560" s="466"/>
      <c r="F1560" s="485"/>
      <c r="G1560" s="485"/>
      <c r="H1560" s="485"/>
      <c r="I1560" s="331"/>
      <c r="J1560" s="469"/>
      <c r="K1560" s="469"/>
      <c r="L1560" s="469"/>
      <c r="M1560" s="469"/>
      <c r="N1560" s="469"/>
      <c r="O1560" s="469"/>
      <c r="P1560" s="469"/>
      <c r="Q1560" s="469"/>
      <c r="R1560" s="469"/>
      <c r="S1560" s="469"/>
      <c r="T1560" s="469"/>
      <c r="U1560" s="469"/>
      <c r="V1560" s="469"/>
      <c r="W1560" s="469"/>
      <c r="X1560" s="469"/>
      <c r="Y1560" s="469"/>
      <c r="Z1560" s="469"/>
      <c r="AA1560" s="469"/>
      <c r="AB1560" s="469"/>
    </row>
    <row r="1561" ht="14.25" customHeight="1">
      <c r="A1561" s="464"/>
      <c r="B1561" s="481"/>
      <c r="C1561" s="466"/>
      <c r="D1561" s="484"/>
      <c r="E1561" s="466"/>
      <c r="F1561" s="485"/>
      <c r="G1561" s="485"/>
      <c r="H1561" s="485"/>
      <c r="I1561" s="331"/>
      <c r="J1561" s="469"/>
      <c r="K1561" s="469"/>
      <c r="L1561" s="469"/>
      <c r="M1561" s="469"/>
      <c r="N1561" s="469"/>
      <c r="O1561" s="469"/>
      <c r="P1561" s="469"/>
      <c r="Q1561" s="469"/>
      <c r="R1561" s="469"/>
      <c r="S1561" s="469"/>
      <c r="T1561" s="469"/>
      <c r="U1561" s="469"/>
      <c r="V1561" s="469"/>
      <c r="W1561" s="469"/>
      <c r="X1561" s="469"/>
      <c r="Y1561" s="469"/>
      <c r="Z1561" s="469"/>
      <c r="AA1561" s="469"/>
      <c r="AB1561" s="469"/>
    </row>
    <row r="1562" ht="14.25" customHeight="1">
      <c r="A1562" s="464"/>
      <c r="B1562" s="481"/>
      <c r="C1562" s="466"/>
      <c r="D1562" s="484"/>
      <c r="E1562" s="466"/>
      <c r="F1562" s="485"/>
      <c r="G1562" s="485"/>
      <c r="H1562" s="485"/>
      <c r="I1562" s="331"/>
      <c r="J1562" s="469"/>
      <c r="K1562" s="469"/>
      <c r="L1562" s="469"/>
      <c r="M1562" s="469"/>
      <c r="N1562" s="469"/>
      <c r="O1562" s="469"/>
      <c r="P1562" s="469"/>
      <c r="Q1562" s="469"/>
      <c r="R1562" s="469"/>
      <c r="S1562" s="469"/>
      <c r="T1562" s="469"/>
      <c r="U1562" s="469"/>
      <c r="V1562" s="469"/>
      <c r="W1562" s="469"/>
      <c r="X1562" s="469"/>
      <c r="Y1562" s="469"/>
      <c r="Z1562" s="469"/>
      <c r="AA1562" s="469"/>
      <c r="AB1562" s="469"/>
    </row>
    <row r="1563" ht="14.25" customHeight="1">
      <c r="A1563" s="464"/>
      <c r="B1563" s="481"/>
      <c r="C1563" s="466"/>
      <c r="D1563" s="484"/>
      <c r="E1563" s="466"/>
      <c r="F1563" s="485"/>
      <c r="G1563" s="485"/>
      <c r="H1563" s="485"/>
      <c r="I1563" s="331"/>
      <c r="J1563" s="469"/>
      <c r="K1563" s="469"/>
      <c r="L1563" s="469"/>
      <c r="M1563" s="469"/>
      <c r="N1563" s="469"/>
      <c r="O1563" s="469"/>
      <c r="P1563" s="469"/>
      <c r="Q1563" s="469"/>
      <c r="R1563" s="469"/>
      <c r="S1563" s="469"/>
      <c r="T1563" s="469"/>
      <c r="U1563" s="469"/>
      <c r="V1563" s="469"/>
      <c r="W1563" s="469"/>
      <c r="X1563" s="469"/>
      <c r="Y1563" s="469"/>
      <c r="Z1563" s="469"/>
      <c r="AA1563" s="469"/>
      <c r="AB1563" s="469"/>
    </row>
    <row r="1564" ht="14.25" customHeight="1">
      <c r="A1564" s="464"/>
      <c r="B1564" s="481"/>
      <c r="C1564" s="466"/>
      <c r="D1564" s="484"/>
      <c r="E1564" s="466"/>
      <c r="F1564" s="485"/>
      <c r="G1564" s="485"/>
      <c r="H1564" s="485"/>
      <c r="I1564" s="331"/>
      <c r="J1564" s="469"/>
      <c r="K1564" s="469"/>
      <c r="L1564" s="469"/>
      <c r="M1564" s="469"/>
      <c r="N1564" s="469"/>
      <c r="O1564" s="469"/>
      <c r="P1564" s="469"/>
      <c r="Q1564" s="469"/>
      <c r="R1564" s="469"/>
      <c r="S1564" s="469"/>
      <c r="T1564" s="469"/>
      <c r="U1564" s="469"/>
      <c r="V1564" s="469"/>
      <c r="W1564" s="469"/>
      <c r="X1564" s="469"/>
      <c r="Y1564" s="469"/>
      <c r="Z1564" s="469"/>
      <c r="AA1564" s="469"/>
      <c r="AB1564" s="469"/>
    </row>
    <row r="1565" ht="14.25" customHeight="1">
      <c r="A1565" s="464"/>
      <c r="B1565" s="481"/>
      <c r="C1565" s="466"/>
      <c r="D1565" s="484"/>
      <c r="E1565" s="466"/>
      <c r="F1565" s="485"/>
      <c r="G1565" s="485"/>
      <c r="H1565" s="485"/>
      <c r="I1565" s="331"/>
      <c r="J1565" s="469"/>
      <c r="K1565" s="469"/>
      <c r="L1565" s="469"/>
      <c r="M1565" s="469"/>
      <c r="N1565" s="469"/>
      <c r="O1565" s="469"/>
      <c r="P1565" s="469"/>
      <c r="Q1565" s="469"/>
      <c r="R1565" s="469"/>
      <c r="S1565" s="469"/>
      <c r="T1565" s="469"/>
      <c r="U1565" s="469"/>
      <c r="V1565" s="469"/>
      <c r="W1565" s="469"/>
      <c r="X1565" s="469"/>
      <c r="Y1565" s="469"/>
      <c r="Z1565" s="469"/>
      <c r="AA1565" s="469"/>
      <c r="AB1565" s="469"/>
    </row>
    <row r="1566" ht="14.25" customHeight="1">
      <c r="A1566" s="464"/>
      <c r="B1566" s="481"/>
      <c r="C1566" s="466"/>
      <c r="D1566" s="484"/>
      <c r="E1566" s="466"/>
      <c r="F1566" s="485"/>
      <c r="G1566" s="485"/>
      <c r="H1566" s="485"/>
      <c r="I1566" s="331"/>
      <c r="J1566" s="469"/>
      <c r="K1566" s="469"/>
      <c r="L1566" s="469"/>
      <c r="M1566" s="469"/>
      <c r="N1566" s="469"/>
      <c r="O1566" s="469"/>
      <c r="P1566" s="469"/>
      <c r="Q1566" s="469"/>
      <c r="R1566" s="469"/>
      <c r="S1566" s="469"/>
      <c r="T1566" s="469"/>
      <c r="U1566" s="469"/>
      <c r="V1566" s="469"/>
      <c r="W1566" s="469"/>
      <c r="X1566" s="469"/>
      <c r="Y1566" s="469"/>
      <c r="Z1566" s="469"/>
      <c r="AA1566" s="469"/>
      <c r="AB1566" s="469"/>
    </row>
    <row r="1567" ht="14.25" customHeight="1">
      <c r="A1567" s="464"/>
      <c r="B1567" s="481"/>
      <c r="C1567" s="466"/>
      <c r="D1567" s="484"/>
      <c r="E1567" s="466"/>
      <c r="F1567" s="485"/>
      <c r="G1567" s="485"/>
      <c r="H1567" s="485"/>
      <c r="I1567" s="331"/>
      <c r="J1567" s="469"/>
      <c r="K1567" s="469"/>
      <c r="L1567" s="469"/>
      <c r="M1567" s="469"/>
      <c r="N1567" s="469"/>
      <c r="O1567" s="469"/>
      <c r="P1567" s="469"/>
      <c r="Q1567" s="469"/>
      <c r="R1567" s="469"/>
      <c r="S1567" s="469"/>
      <c r="T1567" s="469"/>
      <c r="U1567" s="469"/>
      <c r="V1567" s="469"/>
      <c r="W1567" s="469"/>
      <c r="X1567" s="469"/>
      <c r="Y1567" s="469"/>
      <c r="Z1567" s="469"/>
      <c r="AA1567" s="469"/>
      <c r="AB1567" s="469"/>
    </row>
    <row r="1568" ht="14.25" customHeight="1">
      <c r="A1568" s="464"/>
      <c r="B1568" s="481"/>
      <c r="C1568" s="466"/>
      <c r="D1568" s="484"/>
      <c r="E1568" s="466"/>
      <c r="F1568" s="485"/>
      <c r="G1568" s="485"/>
      <c r="H1568" s="485"/>
      <c r="I1568" s="331"/>
      <c r="J1568" s="469"/>
      <c r="K1568" s="469"/>
      <c r="L1568" s="469"/>
      <c r="M1568" s="469"/>
      <c r="N1568" s="469"/>
      <c r="O1568" s="469"/>
      <c r="P1568" s="469"/>
      <c r="Q1568" s="469"/>
      <c r="R1568" s="469"/>
      <c r="S1568" s="469"/>
      <c r="T1568" s="469"/>
      <c r="U1568" s="469"/>
      <c r="V1568" s="469"/>
      <c r="W1568" s="469"/>
      <c r="X1568" s="469"/>
      <c r="Y1568" s="469"/>
      <c r="Z1568" s="469"/>
      <c r="AA1568" s="469"/>
      <c r="AB1568" s="469"/>
    </row>
    <row r="1569" ht="14.25" customHeight="1">
      <c r="A1569" s="464"/>
      <c r="B1569" s="481"/>
      <c r="C1569" s="466"/>
      <c r="D1569" s="484"/>
      <c r="E1569" s="466"/>
      <c r="F1569" s="485"/>
      <c r="G1569" s="485"/>
      <c r="H1569" s="485"/>
      <c r="I1569" s="331"/>
      <c r="J1569" s="469"/>
      <c r="K1569" s="469"/>
      <c r="L1569" s="469"/>
      <c r="M1569" s="469"/>
      <c r="N1569" s="469"/>
      <c r="O1569" s="469"/>
      <c r="P1569" s="469"/>
      <c r="Q1569" s="469"/>
      <c r="R1569" s="469"/>
      <c r="S1569" s="469"/>
      <c r="T1569" s="469"/>
      <c r="U1569" s="469"/>
      <c r="V1569" s="469"/>
      <c r="W1569" s="469"/>
      <c r="X1569" s="469"/>
      <c r="Y1569" s="469"/>
      <c r="Z1569" s="469"/>
      <c r="AA1569" s="469"/>
      <c r="AB1569" s="469"/>
    </row>
    <row r="1570" ht="14.25" customHeight="1">
      <c r="A1570" s="464"/>
      <c r="B1570" s="481"/>
      <c r="C1570" s="466"/>
      <c r="D1570" s="484"/>
      <c r="E1570" s="466"/>
      <c r="F1570" s="485"/>
      <c r="G1570" s="485"/>
      <c r="H1570" s="485"/>
      <c r="I1570" s="331"/>
      <c r="J1570" s="469"/>
      <c r="K1570" s="469"/>
      <c r="L1570" s="469"/>
      <c r="M1570" s="469"/>
      <c r="N1570" s="469"/>
      <c r="O1570" s="469"/>
      <c r="P1570" s="469"/>
      <c r="Q1570" s="469"/>
      <c r="R1570" s="469"/>
      <c r="S1570" s="469"/>
      <c r="T1570" s="469"/>
      <c r="U1570" s="469"/>
      <c r="V1570" s="469"/>
      <c r="W1570" s="469"/>
      <c r="X1570" s="469"/>
      <c r="Y1570" s="469"/>
      <c r="Z1570" s="469"/>
      <c r="AA1570" s="469"/>
      <c r="AB1570" s="469"/>
    </row>
    <row r="1571" ht="14.25" customHeight="1">
      <c r="A1571" s="464"/>
      <c r="B1571" s="481"/>
      <c r="C1571" s="466"/>
      <c r="D1571" s="484"/>
      <c r="E1571" s="466"/>
      <c r="F1571" s="485"/>
      <c r="G1571" s="485"/>
      <c r="H1571" s="485"/>
      <c r="I1571" s="331"/>
      <c r="J1571" s="469"/>
      <c r="K1571" s="469"/>
      <c r="L1571" s="469"/>
      <c r="M1571" s="469"/>
      <c r="N1571" s="469"/>
      <c r="O1571" s="469"/>
      <c r="P1571" s="469"/>
      <c r="Q1571" s="469"/>
      <c r="R1571" s="469"/>
      <c r="S1571" s="469"/>
      <c r="T1571" s="469"/>
      <c r="U1571" s="469"/>
      <c r="V1571" s="469"/>
      <c r="W1571" s="469"/>
      <c r="X1571" s="469"/>
      <c r="Y1571" s="469"/>
      <c r="Z1571" s="469"/>
      <c r="AA1571" s="469"/>
      <c r="AB1571" s="469"/>
    </row>
    <row r="1572" ht="14.25" customHeight="1">
      <c r="A1572" s="464"/>
      <c r="B1572" s="481"/>
      <c r="C1572" s="466"/>
      <c r="D1572" s="484"/>
      <c r="E1572" s="466"/>
      <c r="F1572" s="485"/>
      <c r="G1572" s="485"/>
      <c r="H1572" s="485"/>
      <c r="I1572" s="331"/>
      <c r="J1572" s="469"/>
      <c r="K1572" s="469"/>
      <c r="L1572" s="469"/>
      <c r="M1572" s="469"/>
      <c r="N1572" s="469"/>
      <c r="O1572" s="469"/>
      <c r="P1572" s="469"/>
      <c r="Q1572" s="469"/>
      <c r="R1572" s="469"/>
      <c r="S1572" s="469"/>
      <c r="T1572" s="469"/>
      <c r="U1572" s="469"/>
      <c r="V1572" s="469"/>
      <c r="W1572" s="469"/>
      <c r="X1572" s="469"/>
      <c r="Y1572" s="469"/>
      <c r="Z1572" s="469"/>
      <c r="AA1572" s="469"/>
      <c r="AB1572" s="469"/>
    </row>
    <row r="1573" ht="14.25" customHeight="1">
      <c r="A1573" s="464"/>
      <c r="B1573" s="481"/>
      <c r="C1573" s="466"/>
      <c r="D1573" s="484"/>
      <c r="E1573" s="466"/>
      <c r="F1573" s="485"/>
      <c r="G1573" s="485"/>
      <c r="H1573" s="485"/>
      <c r="I1573" s="331"/>
      <c r="J1573" s="469"/>
      <c r="K1573" s="469"/>
      <c r="L1573" s="469"/>
      <c r="M1573" s="469"/>
      <c r="N1573" s="469"/>
      <c r="O1573" s="469"/>
      <c r="P1573" s="469"/>
      <c r="Q1573" s="469"/>
      <c r="R1573" s="469"/>
      <c r="S1573" s="469"/>
      <c r="T1573" s="469"/>
      <c r="U1573" s="469"/>
      <c r="V1573" s="469"/>
      <c r="W1573" s="469"/>
      <c r="X1573" s="469"/>
      <c r="Y1573" s="469"/>
      <c r="Z1573" s="469"/>
      <c r="AA1573" s="469"/>
      <c r="AB1573" s="469"/>
    </row>
    <row r="1574" ht="14.25" customHeight="1">
      <c r="A1574" s="464"/>
      <c r="B1574" s="481"/>
      <c r="C1574" s="466"/>
      <c r="D1574" s="484"/>
      <c r="E1574" s="466"/>
      <c r="F1574" s="485"/>
      <c r="G1574" s="485"/>
      <c r="H1574" s="485"/>
      <c r="I1574" s="331"/>
      <c r="J1574" s="469"/>
      <c r="K1574" s="469"/>
      <c r="L1574" s="469"/>
      <c r="M1574" s="469"/>
      <c r="N1574" s="469"/>
      <c r="O1574" s="469"/>
      <c r="P1574" s="469"/>
      <c r="Q1574" s="469"/>
      <c r="R1574" s="469"/>
      <c r="S1574" s="469"/>
      <c r="T1574" s="469"/>
      <c r="U1574" s="469"/>
      <c r="V1574" s="469"/>
      <c r="W1574" s="469"/>
      <c r="X1574" s="469"/>
      <c r="Y1574" s="469"/>
      <c r="Z1574" s="469"/>
      <c r="AA1574" s="469"/>
      <c r="AB1574" s="469"/>
    </row>
    <row r="1575" ht="14.25" customHeight="1">
      <c r="A1575" s="464"/>
      <c r="B1575" s="481"/>
      <c r="C1575" s="466"/>
      <c r="D1575" s="484"/>
      <c r="E1575" s="466"/>
      <c r="F1575" s="485"/>
      <c r="G1575" s="485"/>
      <c r="H1575" s="485"/>
      <c r="I1575" s="331"/>
      <c r="J1575" s="469"/>
      <c r="K1575" s="469"/>
      <c r="L1575" s="469"/>
      <c r="M1575" s="469"/>
      <c r="N1575" s="469"/>
      <c r="O1575" s="469"/>
      <c r="P1575" s="469"/>
      <c r="Q1575" s="469"/>
      <c r="R1575" s="469"/>
      <c r="S1575" s="469"/>
      <c r="T1575" s="469"/>
      <c r="U1575" s="469"/>
      <c r="V1575" s="469"/>
      <c r="W1575" s="469"/>
      <c r="X1575" s="469"/>
      <c r="Y1575" s="469"/>
      <c r="Z1575" s="469"/>
      <c r="AA1575" s="469"/>
      <c r="AB1575" s="469"/>
    </row>
    <row r="1576" ht="14.25" customHeight="1">
      <c r="A1576" s="464"/>
      <c r="B1576" s="481"/>
      <c r="C1576" s="466"/>
      <c r="D1576" s="484"/>
      <c r="E1576" s="466"/>
      <c r="F1576" s="485"/>
      <c r="G1576" s="485"/>
      <c r="H1576" s="485"/>
      <c r="I1576" s="331"/>
      <c r="J1576" s="469"/>
      <c r="K1576" s="469"/>
      <c r="L1576" s="469"/>
      <c r="M1576" s="469"/>
      <c r="N1576" s="469"/>
      <c r="O1576" s="469"/>
      <c r="P1576" s="469"/>
      <c r="Q1576" s="469"/>
      <c r="R1576" s="469"/>
      <c r="S1576" s="469"/>
      <c r="T1576" s="469"/>
      <c r="U1576" s="469"/>
      <c r="V1576" s="469"/>
      <c r="W1576" s="469"/>
      <c r="X1576" s="469"/>
      <c r="Y1576" s="469"/>
      <c r="Z1576" s="469"/>
      <c r="AA1576" s="469"/>
      <c r="AB1576" s="469"/>
    </row>
    <row r="1577" ht="14.25" customHeight="1">
      <c r="A1577" s="464"/>
      <c r="B1577" s="481"/>
      <c r="C1577" s="466"/>
      <c r="D1577" s="484"/>
      <c r="E1577" s="466"/>
      <c r="F1577" s="485"/>
      <c r="G1577" s="485"/>
      <c r="H1577" s="485"/>
      <c r="I1577" s="331"/>
      <c r="J1577" s="469"/>
      <c r="K1577" s="469"/>
      <c r="L1577" s="469"/>
      <c r="M1577" s="469"/>
      <c r="N1577" s="469"/>
      <c r="O1577" s="469"/>
      <c r="P1577" s="469"/>
      <c r="Q1577" s="469"/>
      <c r="R1577" s="469"/>
      <c r="S1577" s="469"/>
      <c r="T1577" s="469"/>
      <c r="U1577" s="469"/>
      <c r="V1577" s="469"/>
      <c r="W1577" s="469"/>
      <c r="X1577" s="469"/>
      <c r="Y1577" s="469"/>
      <c r="Z1577" s="469"/>
      <c r="AA1577" s="469"/>
      <c r="AB1577" s="469"/>
    </row>
    <row r="1578" ht="14.25" customHeight="1">
      <c r="A1578" s="464"/>
      <c r="B1578" s="481"/>
      <c r="C1578" s="466"/>
      <c r="D1578" s="484"/>
      <c r="E1578" s="466"/>
      <c r="F1578" s="485"/>
      <c r="G1578" s="485"/>
      <c r="H1578" s="485"/>
      <c r="I1578" s="331"/>
      <c r="J1578" s="469"/>
      <c r="K1578" s="469"/>
      <c r="L1578" s="469"/>
      <c r="M1578" s="469"/>
      <c r="N1578" s="469"/>
      <c r="O1578" s="469"/>
      <c r="P1578" s="469"/>
      <c r="Q1578" s="469"/>
      <c r="R1578" s="469"/>
      <c r="S1578" s="469"/>
      <c r="T1578" s="469"/>
      <c r="U1578" s="469"/>
      <c r="V1578" s="469"/>
      <c r="W1578" s="469"/>
      <c r="X1578" s="469"/>
      <c r="Y1578" s="469"/>
      <c r="Z1578" s="469"/>
      <c r="AA1578" s="469"/>
      <c r="AB1578" s="469"/>
    </row>
    <row r="1579" ht="14.25" customHeight="1">
      <c r="A1579" s="464"/>
      <c r="B1579" s="481"/>
      <c r="C1579" s="466"/>
      <c r="D1579" s="484"/>
      <c r="E1579" s="466"/>
      <c r="F1579" s="485"/>
      <c r="G1579" s="485"/>
      <c r="H1579" s="485"/>
      <c r="I1579" s="331"/>
      <c r="J1579" s="469"/>
      <c r="K1579" s="469"/>
      <c r="L1579" s="469"/>
      <c r="M1579" s="469"/>
      <c r="N1579" s="469"/>
      <c r="O1579" s="469"/>
      <c r="P1579" s="469"/>
      <c r="Q1579" s="469"/>
      <c r="R1579" s="469"/>
      <c r="S1579" s="469"/>
      <c r="T1579" s="469"/>
      <c r="U1579" s="469"/>
      <c r="V1579" s="469"/>
      <c r="W1579" s="469"/>
      <c r="X1579" s="469"/>
      <c r="Y1579" s="469"/>
      <c r="Z1579" s="469"/>
      <c r="AA1579" s="469"/>
      <c r="AB1579" s="469"/>
    </row>
    <row r="1580" ht="14.25" customHeight="1">
      <c r="A1580" s="464"/>
      <c r="B1580" s="481"/>
      <c r="C1580" s="466"/>
      <c r="D1580" s="484"/>
      <c r="E1580" s="466"/>
      <c r="F1580" s="485"/>
      <c r="G1580" s="485"/>
      <c r="H1580" s="485"/>
      <c r="I1580" s="331"/>
      <c r="J1580" s="469"/>
      <c r="K1580" s="469"/>
      <c r="L1580" s="469"/>
      <c r="M1580" s="469"/>
      <c r="N1580" s="469"/>
      <c r="O1580" s="469"/>
      <c r="P1580" s="469"/>
      <c r="Q1580" s="469"/>
      <c r="R1580" s="469"/>
      <c r="S1580" s="469"/>
      <c r="T1580" s="469"/>
      <c r="U1580" s="469"/>
      <c r="V1580" s="469"/>
      <c r="W1580" s="469"/>
      <c r="X1580" s="469"/>
      <c r="Y1580" s="469"/>
      <c r="Z1580" s="469"/>
      <c r="AA1580" s="469"/>
      <c r="AB1580" s="469"/>
    </row>
    <row r="1581" ht="14.25" customHeight="1">
      <c r="A1581" s="464"/>
      <c r="B1581" s="481"/>
      <c r="C1581" s="466"/>
      <c r="D1581" s="484"/>
      <c r="E1581" s="466"/>
      <c r="F1581" s="485"/>
      <c r="G1581" s="485"/>
      <c r="H1581" s="485"/>
      <c r="I1581" s="331"/>
      <c r="J1581" s="469"/>
      <c r="K1581" s="469"/>
      <c r="L1581" s="469"/>
      <c r="M1581" s="469"/>
      <c r="N1581" s="469"/>
      <c r="O1581" s="469"/>
      <c r="P1581" s="469"/>
      <c r="Q1581" s="469"/>
      <c r="R1581" s="469"/>
      <c r="S1581" s="469"/>
      <c r="T1581" s="469"/>
      <c r="U1581" s="469"/>
      <c r="V1581" s="469"/>
      <c r="W1581" s="469"/>
      <c r="X1581" s="469"/>
      <c r="Y1581" s="469"/>
      <c r="Z1581" s="469"/>
      <c r="AA1581" s="469"/>
      <c r="AB1581" s="469"/>
    </row>
    <row r="1582" ht="14.25" customHeight="1">
      <c r="A1582" s="464"/>
      <c r="B1582" s="481"/>
      <c r="C1582" s="466"/>
      <c r="D1582" s="484"/>
      <c r="E1582" s="466"/>
      <c r="F1582" s="485"/>
      <c r="G1582" s="485"/>
      <c r="H1582" s="485"/>
      <c r="I1582" s="331"/>
      <c r="J1582" s="469"/>
      <c r="K1582" s="469"/>
      <c r="L1582" s="469"/>
      <c r="M1582" s="469"/>
      <c r="N1582" s="469"/>
      <c r="O1582" s="469"/>
      <c r="P1582" s="469"/>
      <c r="Q1582" s="469"/>
      <c r="R1582" s="469"/>
      <c r="S1582" s="469"/>
      <c r="T1582" s="469"/>
      <c r="U1582" s="469"/>
      <c r="V1582" s="469"/>
      <c r="W1582" s="469"/>
      <c r="X1582" s="469"/>
      <c r="Y1582" s="469"/>
      <c r="Z1582" s="469"/>
      <c r="AA1582" s="469"/>
      <c r="AB1582" s="469"/>
    </row>
    <row r="1583" ht="14.25" customHeight="1">
      <c r="A1583" s="464"/>
      <c r="B1583" s="481"/>
      <c r="C1583" s="466"/>
      <c r="D1583" s="484"/>
      <c r="E1583" s="466"/>
      <c r="F1583" s="485"/>
      <c r="G1583" s="485"/>
      <c r="H1583" s="485"/>
      <c r="I1583" s="331"/>
      <c r="J1583" s="469"/>
      <c r="K1583" s="469"/>
      <c r="L1583" s="469"/>
      <c r="M1583" s="469"/>
      <c r="N1583" s="469"/>
      <c r="O1583" s="469"/>
      <c r="P1583" s="469"/>
      <c r="Q1583" s="469"/>
      <c r="R1583" s="469"/>
      <c r="S1583" s="469"/>
      <c r="T1583" s="469"/>
      <c r="U1583" s="469"/>
      <c r="V1583" s="469"/>
      <c r="W1583" s="469"/>
      <c r="X1583" s="469"/>
      <c r="Y1583" s="469"/>
      <c r="Z1583" s="469"/>
      <c r="AA1583" s="469"/>
      <c r="AB1583" s="469"/>
    </row>
    <row r="1584" ht="14.25" customHeight="1">
      <c r="A1584" s="464"/>
      <c r="B1584" s="481"/>
      <c r="C1584" s="466"/>
      <c r="D1584" s="484"/>
      <c r="E1584" s="466"/>
      <c r="F1584" s="485"/>
      <c r="G1584" s="485"/>
      <c r="H1584" s="485"/>
      <c r="I1584" s="331"/>
      <c r="J1584" s="469"/>
      <c r="K1584" s="469"/>
      <c r="L1584" s="469"/>
      <c r="M1584" s="469"/>
      <c r="N1584" s="469"/>
      <c r="O1584" s="469"/>
      <c r="P1584" s="469"/>
      <c r="Q1584" s="469"/>
      <c r="R1584" s="469"/>
      <c r="S1584" s="469"/>
      <c r="T1584" s="469"/>
      <c r="U1584" s="469"/>
      <c r="V1584" s="469"/>
      <c r="W1584" s="469"/>
      <c r="X1584" s="469"/>
      <c r="Y1584" s="469"/>
      <c r="Z1584" s="469"/>
      <c r="AA1584" s="469"/>
      <c r="AB1584" s="469"/>
    </row>
    <row r="1585" ht="14.25" customHeight="1">
      <c r="A1585" s="464"/>
      <c r="B1585" s="481"/>
      <c r="C1585" s="466"/>
      <c r="D1585" s="484"/>
      <c r="E1585" s="466"/>
      <c r="F1585" s="485"/>
      <c r="G1585" s="485"/>
      <c r="H1585" s="485"/>
      <c r="I1585" s="331"/>
      <c r="J1585" s="469"/>
      <c r="K1585" s="469"/>
      <c r="L1585" s="469"/>
      <c r="M1585" s="469"/>
      <c r="N1585" s="469"/>
      <c r="O1585" s="469"/>
      <c r="P1585" s="469"/>
      <c r="Q1585" s="469"/>
      <c r="R1585" s="469"/>
      <c r="S1585" s="469"/>
      <c r="T1585" s="469"/>
      <c r="U1585" s="469"/>
      <c r="V1585" s="469"/>
      <c r="W1585" s="469"/>
      <c r="X1585" s="469"/>
      <c r="Y1585" s="469"/>
      <c r="Z1585" s="469"/>
      <c r="AA1585" s="469"/>
      <c r="AB1585" s="469"/>
    </row>
    <row r="1586" ht="14.25" customHeight="1">
      <c r="A1586" s="464"/>
      <c r="B1586" s="481"/>
      <c r="C1586" s="466"/>
      <c r="D1586" s="484"/>
      <c r="E1586" s="466"/>
      <c r="F1586" s="485"/>
      <c r="G1586" s="485"/>
      <c r="H1586" s="485"/>
      <c r="I1586" s="331"/>
      <c r="J1586" s="469"/>
      <c r="K1586" s="469"/>
      <c r="L1586" s="469"/>
      <c r="M1586" s="469"/>
      <c r="N1586" s="469"/>
      <c r="O1586" s="469"/>
      <c r="P1586" s="469"/>
      <c r="Q1586" s="469"/>
      <c r="R1586" s="469"/>
      <c r="S1586" s="469"/>
      <c r="T1586" s="469"/>
      <c r="U1586" s="469"/>
      <c r="V1586" s="469"/>
      <c r="W1586" s="469"/>
      <c r="X1586" s="469"/>
      <c r="Y1586" s="469"/>
      <c r="Z1586" s="469"/>
      <c r="AA1586" s="469"/>
      <c r="AB1586" s="469"/>
    </row>
    <row r="1587" ht="14.25" customHeight="1">
      <c r="A1587" s="464"/>
      <c r="B1587" s="481"/>
      <c r="C1587" s="466"/>
      <c r="D1587" s="484"/>
      <c r="E1587" s="466"/>
      <c r="F1587" s="485"/>
      <c r="G1587" s="485"/>
      <c r="H1587" s="485"/>
      <c r="I1587" s="331"/>
      <c r="J1587" s="469"/>
      <c r="K1587" s="469"/>
      <c r="L1587" s="469"/>
      <c r="M1587" s="469"/>
      <c r="N1587" s="469"/>
      <c r="O1587" s="469"/>
      <c r="P1587" s="469"/>
      <c r="Q1587" s="469"/>
      <c r="R1587" s="469"/>
      <c r="S1587" s="469"/>
      <c r="T1587" s="469"/>
      <c r="U1587" s="469"/>
      <c r="V1587" s="469"/>
      <c r="W1587" s="469"/>
      <c r="X1587" s="469"/>
      <c r="Y1587" s="469"/>
      <c r="Z1587" s="469"/>
      <c r="AA1587" s="469"/>
      <c r="AB1587" s="469"/>
    </row>
    <row r="1588" ht="14.25" customHeight="1">
      <c r="A1588" s="464"/>
      <c r="B1588" s="481"/>
      <c r="C1588" s="466"/>
      <c r="D1588" s="484"/>
      <c r="E1588" s="466"/>
      <c r="F1588" s="485"/>
      <c r="G1588" s="485"/>
      <c r="H1588" s="485"/>
      <c r="I1588" s="331"/>
      <c r="J1588" s="469"/>
      <c r="K1588" s="469"/>
      <c r="L1588" s="469"/>
      <c r="M1588" s="469"/>
      <c r="N1588" s="469"/>
      <c r="O1588" s="469"/>
      <c r="P1588" s="469"/>
      <c r="Q1588" s="469"/>
      <c r="R1588" s="469"/>
      <c r="S1588" s="469"/>
      <c r="T1588" s="469"/>
      <c r="U1588" s="469"/>
      <c r="V1588" s="469"/>
      <c r="W1588" s="469"/>
      <c r="X1588" s="469"/>
      <c r="Y1588" s="469"/>
      <c r="Z1588" s="469"/>
      <c r="AA1588" s="469"/>
      <c r="AB1588" s="469"/>
    </row>
    <row r="1589" ht="14.25" customHeight="1">
      <c r="A1589" s="464"/>
      <c r="B1589" s="481"/>
      <c r="C1589" s="466"/>
      <c r="D1589" s="484"/>
      <c r="E1589" s="466"/>
      <c r="F1589" s="485"/>
      <c r="G1589" s="485"/>
      <c r="H1589" s="485"/>
      <c r="I1589" s="331"/>
      <c r="J1589" s="469"/>
      <c r="K1589" s="469"/>
      <c r="L1589" s="469"/>
      <c r="M1589" s="469"/>
      <c r="N1589" s="469"/>
      <c r="O1589" s="469"/>
      <c r="P1589" s="469"/>
      <c r="Q1589" s="469"/>
      <c r="R1589" s="469"/>
      <c r="S1589" s="469"/>
      <c r="T1589" s="469"/>
      <c r="U1589" s="469"/>
      <c r="V1589" s="469"/>
      <c r="W1589" s="469"/>
      <c r="X1589" s="469"/>
      <c r="Y1589" s="469"/>
      <c r="Z1589" s="469"/>
      <c r="AA1589" s="469"/>
      <c r="AB1589" s="469"/>
    </row>
    <row r="1590" ht="14.25" customHeight="1">
      <c r="A1590" s="464"/>
      <c r="B1590" s="481"/>
      <c r="C1590" s="466"/>
      <c r="D1590" s="484"/>
      <c r="E1590" s="466"/>
      <c r="F1590" s="485"/>
      <c r="G1590" s="485"/>
      <c r="H1590" s="485"/>
      <c r="I1590" s="331"/>
      <c r="J1590" s="469"/>
      <c r="K1590" s="469"/>
      <c r="L1590" s="469"/>
      <c r="M1590" s="469"/>
      <c r="N1590" s="469"/>
      <c r="O1590" s="469"/>
      <c r="P1590" s="469"/>
      <c r="Q1590" s="469"/>
      <c r="R1590" s="469"/>
      <c r="S1590" s="469"/>
      <c r="T1590" s="469"/>
      <c r="U1590" s="469"/>
      <c r="V1590" s="469"/>
      <c r="W1590" s="469"/>
      <c r="X1590" s="469"/>
      <c r="Y1590" s="469"/>
      <c r="Z1590" s="469"/>
      <c r="AA1590" s="469"/>
      <c r="AB1590" s="469"/>
    </row>
    <row r="1591" ht="14.25" customHeight="1">
      <c r="A1591" s="464"/>
      <c r="B1591" s="481"/>
      <c r="C1591" s="466"/>
      <c r="D1591" s="484"/>
      <c r="E1591" s="466"/>
      <c r="F1591" s="485"/>
      <c r="G1591" s="485"/>
      <c r="H1591" s="485"/>
      <c r="I1591" s="331"/>
      <c r="J1591" s="469"/>
      <c r="K1591" s="469"/>
      <c r="L1591" s="469"/>
      <c r="M1591" s="469"/>
      <c r="N1591" s="469"/>
      <c r="O1591" s="469"/>
      <c r="P1591" s="469"/>
      <c r="Q1591" s="469"/>
      <c r="R1591" s="469"/>
      <c r="S1591" s="469"/>
      <c r="T1591" s="469"/>
      <c r="U1591" s="469"/>
      <c r="V1591" s="469"/>
      <c r="W1591" s="469"/>
      <c r="X1591" s="469"/>
      <c r="Y1591" s="469"/>
      <c r="Z1591" s="469"/>
      <c r="AA1591" s="469"/>
      <c r="AB1591" s="469"/>
    </row>
    <row r="1592" ht="14.25" customHeight="1">
      <c r="A1592" s="464"/>
      <c r="B1592" s="481"/>
      <c r="C1592" s="466"/>
      <c r="D1592" s="484"/>
      <c r="E1592" s="466"/>
      <c r="F1592" s="485"/>
      <c r="G1592" s="485"/>
      <c r="H1592" s="485"/>
      <c r="I1592" s="331"/>
      <c r="J1592" s="469"/>
      <c r="K1592" s="469"/>
      <c r="L1592" s="469"/>
      <c r="M1592" s="469"/>
      <c r="N1592" s="469"/>
      <c r="O1592" s="469"/>
      <c r="P1592" s="469"/>
      <c r="Q1592" s="469"/>
      <c r="R1592" s="469"/>
      <c r="S1592" s="469"/>
      <c r="T1592" s="469"/>
      <c r="U1592" s="469"/>
      <c r="V1592" s="469"/>
      <c r="W1592" s="469"/>
      <c r="X1592" s="469"/>
      <c r="Y1592" s="469"/>
      <c r="Z1592" s="469"/>
      <c r="AA1592" s="469"/>
      <c r="AB1592" s="469"/>
    </row>
    <row r="1593" ht="14.25" customHeight="1">
      <c r="A1593" s="464"/>
      <c r="B1593" s="481"/>
      <c r="C1593" s="466"/>
      <c r="D1593" s="484"/>
      <c r="E1593" s="466"/>
      <c r="F1593" s="485"/>
      <c r="G1593" s="485"/>
      <c r="H1593" s="485"/>
      <c r="I1593" s="331"/>
      <c r="J1593" s="469"/>
      <c r="K1593" s="469"/>
      <c r="L1593" s="469"/>
      <c r="M1593" s="469"/>
      <c r="N1593" s="469"/>
      <c r="O1593" s="469"/>
      <c r="P1593" s="469"/>
      <c r="Q1593" s="469"/>
      <c r="R1593" s="469"/>
      <c r="S1593" s="469"/>
      <c r="T1593" s="469"/>
      <c r="U1593" s="469"/>
      <c r="V1593" s="469"/>
      <c r="W1593" s="469"/>
      <c r="X1593" s="469"/>
      <c r="Y1593" s="469"/>
      <c r="Z1593" s="469"/>
      <c r="AA1593" s="469"/>
      <c r="AB1593" s="469"/>
    </row>
    <row r="1594" ht="14.25" customHeight="1">
      <c r="A1594" s="464"/>
      <c r="B1594" s="481"/>
      <c r="C1594" s="466"/>
      <c r="D1594" s="484"/>
      <c r="E1594" s="466"/>
      <c r="F1594" s="485"/>
      <c r="G1594" s="485"/>
      <c r="H1594" s="485"/>
      <c r="I1594" s="331"/>
      <c r="J1594" s="469"/>
      <c r="K1594" s="469"/>
      <c r="L1594" s="469"/>
      <c r="M1594" s="469"/>
      <c r="N1594" s="469"/>
      <c r="O1594" s="469"/>
      <c r="P1594" s="469"/>
      <c r="Q1594" s="469"/>
      <c r="R1594" s="469"/>
      <c r="S1594" s="469"/>
      <c r="T1594" s="469"/>
      <c r="U1594" s="469"/>
      <c r="V1594" s="469"/>
      <c r="W1594" s="469"/>
      <c r="X1594" s="469"/>
      <c r="Y1594" s="469"/>
      <c r="Z1594" s="469"/>
      <c r="AA1594" s="469"/>
      <c r="AB1594" s="469"/>
    </row>
    <row r="1595" ht="14.25" customHeight="1">
      <c r="A1595" s="464"/>
      <c r="B1595" s="481"/>
      <c r="C1595" s="466"/>
      <c r="D1595" s="484"/>
      <c r="E1595" s="466"/>
      <c r="F1595" s="485"/>
      <c r="G1595" s="485"/>
      <c r="H1595" s="485"/>
      <c r="I1595" s="331"/>
      <c r="J1595" s="469"/>
      <c r="K1595" s="469"/>
      <c r="L1595" s="469"/>
      <c r="M1595" s="469"/>
      <c r="N1595" s="469"/>
      <c r="O1595" s="469"/>
      <c r="P1595" s="469"/>
      <c r="Q1595" s="469"/>
      <c r="R1595" s="469"/>
      <c r="S1595" s="469"/>
      <c r="T1595" s="469"/>
      <c r="U1595" s="469"/>
      <c r="V1595" s="469"/>
      <c r="W1595" s="469"/>
      <c r="X1595" s="469"/>
      <c r="Y1595" s="469"/>
      <c r="Z1595" s="469"/>
      <c r="AA1595" s="469"/>
      <c r="AB1595" s="469"/>
    </row>
    <row r="1596" ht="14.25" customHeight="1">
      <c r="A1596" s="464"/>
      <c r="B1596" s="481"/>
      <c r="C1596" s="466"/>
      <c r="D1596" s="484"/>
      <c r="E1596" s="466"/>
      <c r="F1596" s="485"/>
      <c r="G1596" s="485"/>
      <c r="H1596" s="485"/>
      <c r="I1596" s="331"/>
      <c r="J1596" s="469"/>
      <c r="K1596" s="469"/>
      <c r="L1596" s="469"/>
      <c r="M1596" s="469"/>
      <c r="N1596" s="469"/>
      <c r="O1596" s="469"/>
      <c r="P1596" s="469"/>
      <c r="Q1596" s="469"/>
      <c r="R1596" s="469"/>
      <c r="S1596" s="469"/>
      <c r="T1596" s="469"/>
      <c r="U1596" s="469"/>
      <c r="V1596" s="469"/>
      <c r="W1596" s="469"/>
      <c r="X1596" s="469"/>
      <c r="Y1596" s="469"/>
      <c r="Z1596" s="469"/>
      <c r="AA1596" s="469"/>
      <c r="AB1596" s="469"/>
    </row>
    <row r="1597" ht="14.25" customHeight="1">
      <c r="A1597" s="464"/>
      <c r="B1597" s="481"/>
      <c r="C1597" s="466"/>
      <c r="D1597" s="484"/>
      <c r="E1597" s="466"/>
      <c r="F1597" s="485"/>
      <c r="G1597" s="485"/>
      <c r="H1597" s="485"/>
      <c r="I1597" s="331"/>
      <c r="J1597" s="469"/>
      <c r="K1597" s="469"/>
      <c r="L1597" s="469"/>
      <c r="M1597" s="469"/>
      <c r="N1597" s="469"/>
      <c r="O1597" s="469"/>
      <c r="P1597" s="469"/>
      <c r="Q1597" s="469"/>
      <c r="R1597" s="469"/>
      <c r="S1597" s="469"/>
      <c r="T1597" s="469"/>
      <c r="U1597" s="469"/>
      <c r="V1597" s="469"/>
      <c r="W1597" s="469"/>
      <c r="X1597" s="469"/>
      <c r="Y1597" s="469"/>
      <c r="Z1597" s="469"/>
      <c r="AA1597" s="469"/>
      <c r="AB1597" s="469"/>
    </row>
    <row r="1598" ht="14.25" customHeight="1">
      <c r="A1598" s="464"/>
      <c r="B1598" s="481"/>
      <c r="C1598" s="466"/>
      <c r="D1598" s="484"/>
      <c r="E1598" s="466"/>
      <c r="F1598" s="485"/>
      <c r="G1598" s="485"/>
      <c r="H1598" s="485"/>
      <c r="I1598" s="331"/>
      <c r="J1598" s="469"/>
      <c r="K1598" s="469"/>
      <c r="L1598" s="469"/>
      <c r="M1598" s="469"/>
      <c r="N1598" s="469"/>
      <c r="O1598" s="469"/>
      <c r="P1598" s="469"/>
      <c r="Q1598" s="469"/>
      <c r="R1598" s="469"/>
      <c r="S1598" s="469"/>
      <c r="T1598" s="469"/>
      <c r="U1598" s="469"/>
      <c r="V1598" s="469"/>
      <c r="W1598" s="469"/>
      <c r="X1598" s="469"/>
      <c r="Y1598" s="469"/>
      <c r="Z1598" s="469"/>
      <c r="AA1598" s="469"/>
      <c r="AB1598" s="469"/>
    </row>
    <row r="1599" ht="14.25" customHeight="1">
      <c r="A1599" s="464"/>
      <c r="B1599" s="481"/>
      <c r="C1599" s="466"/>
      <c r="D1599" s="484"/>
      <c r="E1599" s="466"/>
      <c r="F1599" s="485"/>
      <c r="G1599" s="485"/>
      <c r="H1599" s="485"/>
      <c r="I1599" s="331"/>
      <c r="J1599" s="469"/>
      <c r="K1599" s="469"/>
      <c r="L1599" s="469"/>
      <c r="M1599" s="469"/>
      <c r="N1599" s="469"/>
      <c r="O1599" s="469"/>
      <c r="P1599" s="469"/>
      <c r="Q1599" s="469"/>
      <c r="R1599" s="469"/>
      <c r="S1599" s="469"/>
      <c r="T1599" s="469"/>
      <c r="U1599" s="469"/>
      <c r="V1599" s="469"/>
      <c r="W1599" s="469"/>
      <c r="X1599" s="469"/>
      <c r="Y1599" s="469"/>
      <c r="Z1599" s="469"/>
      <c r="AA1599" s="469"/>
      <c r="AB1599" s="469"/>
    </row>
    <row r="1600" ht="14.25" customHeight="1">
      <c r="A1600" s="464"/>
      <c r="B1600" s="481"/>
      <c r="C1600" s="466"/>
      <c r="D1600" s="484"/>
      <c r="E1600" s="466"/>
      <c r="F1600" s="485"/>
      <c r="G1600" s="485"/>
      <c r="H1600" s="485"/>
      <c r="I1600" s="331"/>
      <c r="J1600" s="469"/>
      <c r="K1600" s="469"/>
      <c r="L1600" s="469"/>
      <c r="M1600" s="469"/>
      <c r="N1600" s="469"/>
      <c r="O1600" s="469"/>
      <c r="P1600" s="469"/>
      <c r="Q1600" s="469"/>
      <c r="R1600" s="469"/>
      <c r="S1600" s="469"/>
      <c r="T1600" s="469"/>
      <c r="U1600" s="469"/>
      <c r="V1600" s="469"/>
      <c r="W1600" s="469"/>
      <c r="X1600" s="469"/>
      <c r="Y1600" s="469"/>
      <c r="Z1600" s="469"/>
      <c r="AA1600" s="469"/>
      <c r="AB1600" s="469"/>
    </row>
    <row r="1601" ht="14.25" customHeight="1">
      <c r="A1601" s="464"/>
      <c r="B1601" s="481"/>
      <c r="C1601" s="466"/>
      <c r="D1601" s="484"/>
      <c r="E1601" s="466"/>
      <c r="F1601" s="485"/>
      <c r="G1601" s="485"/>
      <c r="H1601" s="485"/>
      <c r="I1601" s="331"/>
      <c r="J1601" s="469"/>
      <c r="K1601" s="469"/>
      <c r="L1601" s="469"/>
      <c r="M1601" s="469"/>
      <c r="N1601" s="469"/>
      <c r="O1601" s="469"/>
      <c r="P1601" s="469"/>
      <c r="Q1601" s="469"/>
      <c r="R1601" s="469"/>
      <c r="S1601" s="469"/>
      <c r="T1601" s="469"/>
      <c r="U1601" s="469"/>
      <c r="V1601" s="469"/>
      <c r="W1601" s="469"/>
      <c r="X1601" s="469"/>
      <c r="Y1601" s="469"/>
      <c r="Z1601" s="469"/>
      <c r="AA1601" s="469"/>
      <c r="AB1601" s="469"/>
    </row>
    <row r="1602" ht="14.25" customHeight="1">
      <c r="A1602" s="464"/>
      <c r="B1602" s="481"/>
      <c r="C1602" s="466"/>
      <c r="D1602" s="484"/>
      <c r="E1602" s="466"/>
      <c r="F1602" s="485"/>
      <c r="G1602" s="485"/>
      <c r="H1602" s="485"/>
      <c r="I1602" s="331"/>
      <c r="J1602" s="469"/>
      <c r="K1602" s="469"/>
      <c r="L1602" s="469"/>
      <c r="M1602" s="469"/>
      <c r="N1602" s="469"/>
      <c r="O1602" s="469"/>
      <c r="P1602" s="469"/>
      <c r="Q1602" s="469"/>
      <c r="R1602" s="469"/>
      <c r="S1602" s="469"/>
      <c r="T1602" s="469"/>
      <c r="U1602" s="469"/>
      <c r="V1602" s="469"/>
      <c r="W1602" s="469"/>
      <c r="X1602" s="469"/>
      <c r="Y1602" s="469"/>
      <c r="Z1602" s="469"/>
      <c r="AA1602" s="469"/>
      <c r="AB1602" s="469"/>
    </row>
    <row r="1603" ht="14.25" customHeight="1">
      <c r="A1603" s="464"/>
      <c r="B1603" s="481"/>
      <c r="C1603" s="466"/>
      <c r="D1603" s="484"/>
      <c r="E1603" s="466"/>
      <c r="F1603" s="485"/>
      <c r="G1603" s="485"/>
      <c r="H1603" s="485"/>
      <c r="I1603" s="331"/>
      <c r="J1603" s="469"/>
      <c r="K1603" s="469"/>
      <c r="L1603" s="469"/>
      <c r="M1603" s="469"/>
      <c r="N1603" s="469"/>
      <c r="O1603" s="469"/>
      <c r="P1603" s="469"/>
      <c r="Q1603" s="469"/>
      <c r="R1603" s="469"/>
      <c r="S1603" s="469"/>
      <c r="T1603" s="469"/>
      <c r="U1603" s="469"/>
      <c r="V1603" s="469"/>
      <c r="W1603" s="469"/>
      <c r="X1603" s="469"/>
      <c r="Y1603" s="469"/>
      <c r="Z1603" s="469"/>
      <c r="AA1603" s="469"/>
      <c r="AB1603" s="469"/>
    </row>
    <row r="1604" ht="14.25" customHeight="1">
      <c r="A1604" s="464"/>
      <c r="B1604" s="481"/>
      <c r="C1604" s="466"/>
      <c r="D1604" s="484"/>
      <c r="E1604" s="466"/>
      <c r="F1604" s="485"/>
      <c r="G1604" s="485"/>
      <c r="H1604" s="485"/>
      <c r="I1604" s="331"/>
      <c r="J1604" s="469"/>
      <c r="K1604" s="469"/>
      <c r="L1604" s="469"/>
      <c r="M1604" s="469"/>
      <c r="N1604" s="469"/>
      <c r="O1604" s="469"/>
      <c r="P1604" s="469"/>
      <c r="Q1604" s="469"/>
      <c r="R1604" s="469"/>
      <c r="S1604" s="469"/>
      <c r="T1604" s="469"/>
      <c r="U1604" s="469"/>
      <c r="V1604" s="469"/>
      <c r="W1604" s="469"/>
      <c r="X1604" s="469"/>
      <c r="Y1604" s="469"/>
      <c r="Z1604" s="469"/>
      <c r="AA1604" s="469"/>
      <c r="AB1604" s="469"/>
    </row>
    <row r="1605" ht="14.25" customHeight="1">
      <c r="A1605" s="464"/>
      <c r="B1605" s="481"/>
      <c r="C1605" s="466"/>
      <c r="D1605" s="484"/>
      <c r="E1605" s="466"/>
      <c r="F1605" s="485"/>
      <c r="G1605" s="485"/>
      <c r="H1605" s="485"/>
      <c r="I1605" s="331"/>
      <c r="J1605" s="469"/>
      <c r="K1605" s="469"/>
      <c r="L1605" s="469"/>
      <c r="M1605" s="469"/>
      <c r="N1605" s="469"/>
      <c r="O1605" s="469"/>
      <c r="P1605" s="469"/>
      <c r="Q1605" s="469"/>
      <c r="R1605" s="469"/>
      <c r="S1605" s="469"/>
      <c r="T1605" s="469"/>
      <c r="U1605" s="469"/>
      <c r="V1605" s="469"/>
      <c r="W1605" s="469"/>
      <c r="X1605" s="469"/>
      <c r="Y1605" s="469"/>
      <c r="Z1605" s="469"/>
      <c r="AA1605" s="469"/>
      <c r="AB1605" s="469"/>
    </row>
    <row r="1606" ht="14.25" customHeight="1">
      <c r="A1606" s="464"/>
      <c r="B1606" s="481"/>
      <c r="C1606" s="466"/>
      <c r="D1606" s="484"/>
      <c r="E1606" s="466"/>
      <c r="F1606" s="485"/>
      <c r="G1606" s="485"/>
      <c r="H1606" s="485"/>
      <c r="I1606" s="331"/>
      <c r="J1606" s="469"/>
      <c r="K1606" s="469"/>
      <c r="L1606" s="469"/>
      <c r="M1606" s="469"/>
      <c r="N1606" s="469"/>
      <c r="O1606" s="469"/>
      <c r="P1606" s="469"/>
      <c r="Q1606" s="469"/>
      <c r="R1606" s="469"/>
      <c r="S1606" s="469"/>
      <c r="T1606" s="469"/>
      <c r="U1606" s="469"/>
      <c r="V1606" s="469"/>
      <c r="W1606" s="469"/>
      <c r="X1606" s="469"/>
      <c r="Y1606" s="469"/>
      <c r="Z1606" s="469"/>
      <c r="AA1606" s="469"/>
      <c r="AB1606" s="469"/>
    </row>
    <row r="1607" ht="14.25" customHeight="1">
      <c r="A1607" s="464"/>
      <c r="B1607" s="481"/>
      <c r="C1607" s="466"/>
      <c r="D1607" s="484"/>
      <c r="E1607" s="466"/>
      <c r="F1607" s="485"/>
      <c r="G1607" s="485"/>
      <c r="H1607" s="485"/>
      <c r="I1607" s="331"/>
      <c r="J1607" s="469"/>
      <c r="K1607" s="469"/>
      <c r="L1607" s="469"/>
      <c r="M1607" s="469"/>
      <c r="N1607" s="469"/>
      <c r="O1607" s="469"/>
      <c r="P1607" s="469"/>
      <c r="Q1607" s="469"/>
      <c r="R1607" s="469"/>
      <c r="S1607" s="469"/>
      <c r="T1607" s="469"/>
      <c r="U1607" s="469"/>
      <c r="V1607" s="469"/>
      <c r="W1607" s="469"/>
      <c r="X1607" s="469"/>
      <c r="Y1607" s="469"/>
      <c r="Z1607" s="469"/>
      <c r="AA1607" s="469"/>
      <c r="AB1607" s="469"/>
    </row>
    <row r="1608" ht="14.25" customHeight="1">
      <c r="A1608" s="464"/>
      <c r="B1608" s="481"/>
      <c r="C1608" s="466"/>
      <c r="D1608" s="484"/>
      <c r="E1608" s="466"/>
      <c r="F1608" s="485"/>
      <c r="G1608" s="485"/>
      <c r="H1608" s="485"/>
      <c r="I1608" s="331"/>
      <c r="J1608" s="469"/>
      <c r="K1608" s="469"/>
      <c r="L1608" s="469"/>
      <c r="M1608" s="469"/>
      <c r="N1608" s="469"/>
      <c r="O1608" s="469"/>
      <c r="P1608" s="469"/>
      <c r="Q1608" s="469"/>
      <c r="R1608" s="469"/>
      <c r="S1608" s="469"/>
      <c r="T1608" s="469"/>
      <c r="U1608" s="469"/>
      <c r="V1608" s="469"/>
      <c r="W1608" s="469"/>
      <c r="X1608" s="469"/>
      <c r="Y1608" s="469"/>
      <c r="Z1608" s="469"/>
      <c r="AA1608" s="469"/>
      <c r="AB1608" s="469"/>
    </row>
    <row r="1609" ht="14.25" customHeight="1">
      <c r="A1609" s="464"/>
      <c r="B1609" s="481"/>
      <c r="C1609" s="466"/>
      <c r="D1609" s="484"/>
      <c r="E1609" s="466"/>
      <c r="F1609" s="485"/>
      <c r="G1609" s="485"/>
      <c r="H1609" s="485"/>
      <c r="I1609" s="331"/>
      <c r="J1609" s="469"/>
      <c r="K1609" s="469"/>
      <c r="L1609" s="469"/>
      <c r="M1609" s="469"/>
      <c r="N1609" s="469"/>
      <c r="O1609" s="469"/>
      <c r="P1609" s="469"/>
      <c r="Q1609" s="469"/>
      <c r="R1609" s="469"/>
      <c r="S1609" s="469"/>
      <c r="T1609" s="469"/>
      <c r="U1609" s="469"/>
      <c r="V1609" s="469"/>
      <c r="W1609" s="469"/>
      <c r="X1609" s="469"/>
      <c r="Y1609" s="469"/>
      <c r="Z1609" s="469"/>
      <c r="AA1609" s="469"/>
      <c r="AB1609" s="469"/>
    </row>
    <row r="1610" ht="14.25" customHeight="1">
      <c r="A1610" s="464"/>
      <c r="B1610" s="481"/>
      <c r="C1610" s="466"/>
      <c r="D1610" s="484"/>
      <c r="E1610" s="466"/>
      <c r="F1610" s="485"/>
      <c r="G1610" s="485"/>
      <c r="H1610" s="485"/>
      <c r="I1610" s="331"/>
      <c r="J1610" s="469"/>
      <c r="K1610" s="469"/>
      <c r="L1610" s="469"/>
      <c r="M1610" s="469"/>
      <c r="N1610" s="469"/>
      <c r="O1610" s="469"/>
      <c r="P1610" s="469"/>
      <c r="Q1610" s="469"/>
      <c r="R1610" s="469"/>
      <c r="S1610" s="469"/>
      <c r="T1610" s="469"/>
      <c r="U1610" s="469"/>
      <c r="V1610" s="469"/>
      <c r="W1610" s="469"/>
      <c r="X1610" s="469"/>
      <c r="Y1610" s="469"/>
      <c r="Z1610" s="469"/>
      <c r="AA1610" s="469"/>
      <c r="AB1610" s="469"/>
    </row>
    <row r="1611" ht="14.25" customHeight="1">
      <c r="A1611" s="464"/>
      <c r="B1611" s="481"/>
      <c r="C1611" s="466"/>
      <c r="D1611" s="484"/>
      <c r="E1611" s="466"/>
      <c r="F1611" s="485"/>
      <c r="G1611" s="485"/>
      <c r="H1611" s="485"/>
      <c r="I1611" s="331"/>
      <c r="J1611" s="469"/>
      <c r="K1611" s="469"/>
      <c r="L1611" s="469"/>
      <c r="M1611" s="469"/>
      <c r="N1611" s="469"/>
      <c r="O1611" s="469"/>
      <c r="P1611" s="469"/>
      <c r="Q1611" s="469"/>
      <c r="R1611" s="469"/>
      <c r="S1611" s="469"/>
      <c r="T1611" s="469"/>
      <c r="U1611" s="469"/>
      <c r="V1611" s="469"/>
      <c r="W1611" s="469"/>
      <c r="X1611" s="469"/>
      <c r="Y1611" s="469"/>
      <c r="Z1611" s="469"/>
      <c r="AA1611" s="469"/>
      <c r="AB1611" s="469"/>
    </row>
    <row r="1612" ht="14.25" customHeight="1">
      <c r="A1612" s="464"/>
      <c r="B1612" s="481"/>
      <c r="C1612" s="466"/>
      <c r="D1612" s="484"/>
      <c r="E1612" s="466"/>
      <c r="F1612" s="485"/>
      <c r="G1612" s="485"/>
      <c r="H1612" s="485"/>
      <c r="I1612" s="331"/>
      <c r="J1612" s="469"/>
      <c r="K1612" s="469"/>
      <c r="L1612" s="469"/>
      <c r="M1612" s="469"/>
      <c r="N1612" s="469"/>
      <c r="O1612" s="469"/>
      <c r="P1612" s="469"/>
      <c r="Q1612" s="469"/>
      <c r="R1612" s="469"/>
      <c r="S1612" s="469"/>
      <c r="T1612" s="469"/>
      <c r="U1612" s="469"/>
      <c r="V1612" s="469"/>
      <c r="W1612" s="469"/>
      <c r="X1612" s="469"/>
      <c r="Y1612" s="469"/>
      <c r="Z1612" s="469"/>
      <c r="AA1612" s="469"/>
      <c r="AB1612" s="469"/>
    </row>
    <row r="1613" ht="14.25" customHeight="1">
      <c r="A1613" s="464"/>
      <c r="B1613" s="481"/>
      <c r="C1613" s="466"/>
      <c r="D1613" s="484"/>
      <c r="E1613" s="466"/>
      <c r="F1613" s="485"/>
      <c r="G1613" s="485"/>
      <c r="H1613" s="485"/>
      <c r="I1613" s="331"/>
      <c r="J1613" s="469"/>
      <c r="K1613" s="469"/>
      <c r="L1613" s="469"/>
      <c r="M1613" s="469"/>
      <c r="N1613" s="469"/>
      <c r="O1613" s="469"/>
      <c r="P1613" s="469"/>
      <c r="Q1613" s="469"/>
      <c r="R1613" s="469"/>
      <c r="S1613" s="469"/>
      <c r="T1613" s="469"/>
      <c r="U1613" s="469"/>
      <c r="V1613" s="469"/>
      <c r="W1613" s="469"/>
      <c r="X1613" s="469"/>
      <c r="Y1613" s="469"/>
      <c r="Z1613" s="469"/>
      <c r="AA1613" s="469"/>
      <c r="AB1613" s="469"/>
    </row>
    <row r="1614" ht="14.25" customHeight="1">
      <c r="A1614" s="464"/>
      <c r="B1614" s="481"/>
      <c r="C1614" s="466"/>
      <c r="D1614" s="484"/>
      <c r="E1614" s="466"/>
      <c r="F1614" s="485"/>
      <c r="G1614" s="485"/>
      <c r="H1614" s="485"/>
      <c r="I1614" s="331"/>
      <c r="J1614" s="469"/>
      <c r="K1614" s="469"/>
      <c r="L1614" s="469"/>
      <c r="M1614" s="469"/>
      <c r="N1614" s="469"/>
      <c r="O1614" s="469"/>
      <c r="P1614" s="469"/>
      <c r="Q1614" s="469"/>
      <c r="R1614" s="469"/>
      <c r="S1614" s="469"/>
      <c r="T1614" s="469"/>
      <c r="U1614" s="469"/>
      <c r="V1614" s="469"/>
      <c r="W1614" s="469"/>
      <c r="X1614" s="469"/>
      <c r="Y1614" s="469"/>
      <c r="Z1614" s="469"/>
      <c r="AA1614" s="469"/>
      <c r="AB1614" s="469"/>
    </row>
    <row r="1615" ht="14.25" customHeight="1">
      <c r="A1615" s="464"/>
      <c r="B1615" s="481"/>
      <c r="C1615" s="466"/>
      <c r="D1615" s="484"/>
      <c r="E1615" s="466"/>
      <c r="F1615" s="485"/>
      <c r="G1615" s="485"/>
      <c r="H1615" s="485"/>
      <c r="I1615" s="331"/>
      <c r="J1615" s="469"/>
      <c r="K1615" s="469"/>
      <c r="L1615" s="469"/>
      <c r="M1615" s="469"/>
      <c r="N1615" s="469"/>
      <c r="O1615" s="469"/>
      <c r="P1615" s="469"/>
      <c r="Q1615" s="469"/>
      <c r="R1615" s="469"/>
      <c r="S1615" s="469"/>
      <c r="T1615" s="469"/>
      <c r="U1615" s="469"/>
      <c r="V1615" s="469"/>
      <c r="W1615" s="469"/>
      <c r="X1615" s="469"/>
      <c r="Y1615" s="469"/>
      <c r="Z1615" s="469"/>
      <c r="AA1615" s="469"/>
      <c r="AB1615" s="469"/>
    </row>
    <row r="1616" ht="14.25" customHeight="1">
      <c r="A1616" s="464"/>
      <c r="B1616" s="481"/>
      <c r="C1616" s="466"/>
      <c r="D1616" s="484"/>
      <c r="E1616" s="466"/>
      <c r="F1616" s="485"/>
      <c r="G1616" s="485"/>
      <c r="H1616" s="485"/>
      <c r="I1616" s="331"/>
      <c r="J1616" s="469"/>
      <c r="K1616" s="469"/>
      <c r="L1616" s="469"/>
      <c r="M1616" s="469"/>
      <c r="N1616" s="469"/>
      <c r="O1616" s="469"/>
      <c r="P1616" s="469"/>
      <c r="Q1616" s="469"/>
      <c r="R1616" s="469"/>
      <c r="S1616" s="469"/>
      <c r="T1616" s="469"/>
      <c r="U1616" s="469"/>
      <c r="V1616" s="469"/>
      <c r="W1616" s="469"/>
      <c r="X1616" s="469"/>
      <c r="Y1616" s="469"/>
      <c r="Z1616" s="469"/>
      <c r="AA1616" s="469"/>
      <c r="AB1616" s="469"/>
    </row>
    <row r="1617" ht="14.25" customHeight="1">
      <c r="A1617" s="464"/>
      <c r="B1617" s="481"/>
      <c r="C1617" s="466"/>
      <c r="D1617" s="484"/>
      <c r="E1617" s="466"/>
      <c r="F1617" s="485"/>
      <c r="G1617" s="485"/>
      <c r="H1617" s="485"/>
      <c r="I1617" s="331"/>
      <c r="J1617" s="469"/>
      <c r="K1617" s="469"/>
      <c r="L1617" s="469"/>
      <c r="M1617" s="469"/>
      <c r="N1617" s="469"/>
      <c r="O1617" s="469"/>
      <c r="P1617" s="469"/>
      <c r="Q1617" s="469"/>
      <c r="R1617" s="469"/>
      <c r="S1617" s="469"/>
      <c r="T1617" s="469"/>
      <c r="U1617" s="469"/>
      <c r="V1617" s="469"/>
      <c r="W1617" s="469"/>
      <c r="X1617" s="469"/>
      <c r="Y1617" s="469"/>
      <c r="Z1617" s="469"/>
      <c r="AA1617" s="469"/>
      <c r="AB1617" s="469"/>
    </row>
    <row r="1618" ht="14.25" customHeight="1">
      <c r="A1618" s="464"/>
      <c r="B1618" s="481"/>
      <c r="C1618" s="466"/>
      <c r="D1618" s="484"/>
      <c r="E1618" s="466"/>
      <c r="F1618" s="485"/>
      <c r="G1618" s="485"/>
      <c r="H1618" s="485"/>
      <c r="I1618" s="331"/>
      <c r="J1618" s="469"/>
      <c r="K1618" s="469"/>
      <c r="L1618" s="469"/>
      <c r="M1618" s="469"/>
      <c r="N1618" s="469"/>
      <c r="O1618" s="469"/>
      <c r="P1618" s="469"/>
      <c r="Q1618" s="469"/>
      <c r="R1618" s="469"/>
      <c r="S1618" s="469"/>
      <c r="T1618" s="469"/>
      <c r="U1618" s="469"/>
      <c r="V1618" s="469"/>
      <c r="W1618" s="469"/>
      <c r="X1618" s="469"/>
      <c r="Y1618" s="469"/>
      <c r="Z1618" s="469"/>
      <c r="AA1618" s="469"/>
      <c r="AB1618" s="469"/>
    </row>
    <row r="1619" ht="14.25" customHeight="1">
      <c r="A1619" s="464"/>
      <c r="B1619" s="481"/>
      <c r="C1619" s="466"/>
      <c r="D1619" s="484"/>
      <c r="E1619" s="466"/>
      <c r="F1619" s="485"/>
      <c r="G1619" s="485"/>
      <c r="H1619" s="485"/>
      <c r="I1619" s="331"/>
      <c r="J1619" s="469"/>
      <c r="K1619" s="469"/>
      <c r="L1619" s="469"/>
      <c r="M1619" s="469"/>
      <c r="N1619" s="469"/>
      <c r="O1619" s="469"/>
      <c r="P1619" s="469"/>
      <c r="Q1619" s="469"/>
      <c r="R1619" s="469"/>
      <c r="S1619" s="469"/>
      <c r="T1619" s="469"/>
      <c r="U1619" s="469"/>
      <c r="V1619" s="469"/>
      <c r="W1619" s="469"/>
      <c r="X1619" s="469"/>
      <c r="Y1619" s="469"/>
      <c r="Z1619" s="469"/>
      <c r="AA1619" s="469"/>
      <c r="AB1619" s="469"/>
    </row>
    <row r="1620" ht="14.25" customHeight="1">
      <c r="A1620" s="464"/>
      <c r="B1620" s="481"/>
      <c r="C1620" s="466"/>
      <c r="D1620" s="484"/>
      <c r="E1620" s="466"/>
      <c r="F1620" s="485"/>
      <c r="G1620" s="485"/>
      <c r="H1620" s="485"/>
      <c r="I1620" s="331"/>
      <c r="J1620" s="469"/>
      <c r="K1620" s="469"/>
      <c r="L1620" s="469"/>
      <c r="M1620" s="469"/>
      <c r="N1620" s="469"/>
      <c r="O1620" s="469"/>
      <c r="P1620" s="469"/>
      <c r="Q1620" s="469"/>
      <c r="R1620" s="469"/>
      <c r="S1620" s="469"/>
      <c r="T1620" s="469"/>
      <c r="U1620" s="469"/>
      <c r="V1620" s="469"/>
      <c r="W1620" s="469"/>
      <c r="X1620" s="469"/>
      <c r="Y1620" s="469"/>
      <c r="Z1620" s="469"/>
      <c r="AA1620" s="469"/>
      <c r="AB1620" s="469"/>
    </row>
    <row r="1621" ht="14.25" customHeight="1">
      <c r="A1621" s="464"/>
      <c r="B1621" s="481"/>
      <c r="C1621" s="466"/>
      <c r="D1621" s="484"/>
      <c r="E1621" s="466"/>
      <c r="F1621" s="485"/>
      <c r="G1621" s="485"/>
      <c r="H1621" s="485"/>
      <c r="I1621" s="331"/>
      <c r="J1621" s="469"/>
      <c r="K1621" s="469"/>
      <c r="L1621" s="469"/>
      <c r="M1621" s="469"/>
      <c r="N1621" s="469"/>
      <c r="O1621" s="469"/>
      <c r="P1621" s="469"/>
      <c r="Q1621" s="469"/>
      <c r="R1621" s="469"/>
      <c r="S1621" s="469"/>
      <c r="T1621" s="469"/>
      <c r="U1621" s="469"/>
      <c r="V1621" s="469"/>
      <c r="W1621" s="469"/>
      <c r="X1621" s="469"/>
      <c r="Y1621" s="469"/>
      <c r="Z1621" s="469"/>
      <c r="AA1621" s="469"/>
      <c r="AB1621" s="469"/>
    </row>
    <row r="1622" ht="14.25" customHeight="1">
      <c r="A1622" s="464"/>
      <c r="B1622" s="481"/>
      <c r="C1622" s="466"/>
      <c r="D1622" s="484"/>
      <c r="E1622" s="466"/>
      <c r="F1622" s="485"/>
      <c r="G1622" s="485"/>
      <c r="H1622" s="485"/>
      <c r="I1622" s="331"/>
      <c r="J1622" s="469"/>
      <c r="K1622" s="469"/>
      <c r="L1622" s="469"/>
      <c r="M1622" s="469"/>
      <c r="N1622" s="469"/>
      <c r="O1622" s="469"/>
      <c r="P1622" s="469"/>
      <c r="Q1622" s="469"/>
      <c r="R1622" s="469"/>
      <c r="S1622" s="469"/>
      <c r="T1622" s="469"/>
      <c r="U1622" s="469"/>
      <c r="V1622" s="469"/>
      <c r="W1622" s="469"/>
      <c r="X1622" s="469"/>
      <c r="Y1622" s="469"/>
      <c r="Z1622" s="469"/>
      <c r="AA1622" s="469"/>
      <c r="AB1622" s="469"/>
    </row>
    <row r="1623" ht="14.25" customHeight="1">
      <c r="A1623" s="464"/>
      <c r="B1623" s="481"/>
      <c r="C1623" s="466"/>
      <c r="D1623" s="484"/>
      <c r="E1623" s="466"/>
      <c r="F1623" s="485"/>
      <c r="G1623" s="485"/>
      <c r="H1623" s="485"/>
      <c r="I1623" s="331"/>
      <c r="J1623" s="469"/>
      <c r="K1623" s="469"/>
      <c r="L1623" s="469"/>
      <c r="M1623" s="469"/>
      <c r="N1623" s="469"/>
      <c r="O1623" s="469"/>
      <c r="P1623" s="469"/>
      <c r="Q1623" s="469"/>
      <c r="R1623" s="469"/>
      <c r="S1623" s="469"/>
      <c r="T1623" s="469"/>
      <c r="U1623" s="469"/>
      <c r="V1623" s="469"/>
      <c r="W1623" s="469"/>
      <c r="X1623" s="469"/>
      <c r="Y1623" s="469"/>
      <c r="Z1623" s="469"/>
      <c r="AA1623" s="469"/>
      <c r="AB1623" s="469"/>
    </row>
    <row r="1624" ht="14.25" customHeight="1">
      <c r="A1624" s="464"/>
      <c r="B1624" s="481"/>
      <c r="C1624" s="466"/>
      <c r="D1624" s="484"/>
      <c r="E1624" s="466"/>
      <c r="F1624" s="485"/>
      <c r="G1624" s="485"/>
      <c r="H1624" s="485"/>
      <c r="I1624" s="331"/>
      <c r="J1624" s="469"/>
      <c r="K1624" s="469"/>
      <c r="L1624" s="469"/>
      <c r="M1624" s="469"/>
      <c r="N1624" s="469"/>
      <c r="O1624" s="469"/>
      <c r="P1624" s="469"/>
      <c r="Q1624" s="469"/>
      <c r="R1624" s="469"/>
      <c r="S1624" s="469"/>
      <c r="T1624" s="469"/>
      <c r="U1624" s="469"/>
      <c r="V1624" s="469"/>
      <c r="W1624" s="469"/>
      <c r="X1624" s="469"/>
      <c r="Y1624" s="469"/>
      <c r="Z1624" s="469"/>
      <c r="AA1624" s="469"/>
      <c r="AB1624" s="469"/>
    </row>
    <row r="1625" ht="14.25" customHeight="1">
      <c r="A1625" s="464"/>
      <c r="B1625" s="481"/>
      <c r="C1625" s="466"/>
      <c r="D1625" s="484"/>
      <c r="E1625" s="466"/>
      <c r="F1625" s="485"/>
      <c r="G1625" s="485"/>
      <c r="H1625" s="485"/>
      <c r="I1625" s="331"/>
      <c r="J1625" s="469"/>
      <c r="K1625" s="469"/>
      <c r="L1625" s="469"/>
      <c r="M1625" s="469"/>
      <c r="N1625" s="469"/>
      <c r="O1625" s="469"/>
      <c r="P1625" s="469"/>
      <c r="Q1625" s="469"/>
      <c r="R1625" s="469"/>
      <c r="S1625" s="469"/>
      <c r="T1625" s="469"/>
      <c r="U1625" s="469"/>
      <c r="V1625" s="469"/>
      <c r="W1625" s="469"/>
      <c r="X1625" s="469"/>
      <c r="Y1625" s="469"/>
      <c r="Z1625" s="469"/>
      <c r="AA1625" s="469"/>
      <c r="AB1625" s="469"/>
    </row>
    <row r="1626" ht="14.25" customHeight="1">
      <c r="A1626" s="464"/>
      <c r="B1626" s="481"/>
      <c r="C1626" s="466"/>
      <c r="D1626" s="484"/>
      <c r="E1626" s="466"/>
      <c r="F1626" s="485"/>
      <c r="G1626" s="485"/>
      <c r="H1626" s="485"/>
      <c r="I1626" s="331"/>
      <c r="J1626" s="469"/>
      <c r="K1626" s="469"/>
      <c r="L1626" s="469"/>
      <c r="M1626" s="469"/>
      <c r="N1626" s="469"/>
      <c r="O1626" s="469"/>
      <c r="P1626" s="469"/>
      <c r="Q1626" s="469"/>
      <c r="R1626" s="469"/>
      <c r="S1626" s="469"/>
      <c r="T1626" s="469"/>
      <c r="U1626" s="469"/>
      <c r="V1626" s="469"/>
      <c r="W1626" s="469"/>
      <c r="X1626" s="469"/>
      <c r="Y1626" s="469"/>
      <c r="Z1626" s="469"/>
      <c r="AA1626" s="469"/>
      <c r="AB1626" s="469"/>
    </row>
    <row r="1627" ht="14.25" customHeight="1">
      <c r="A1627" s="464"/>
      <c r="B1627" s="481"/>
      <c r="C1627" s="466"/>
      <c r="D1627" s="484"/>
      <c r="E1627" s="466"/>
      <c r="F1627" s="485"/>
      <c r="G1627" s="485"/>
      <c r="H1627" s="485"/>
      <c r="I1627" s="331"/>
      <c r="J1627" s="469"/>
      <c r="K1627" s="469"/>
      <c r="L1627" s="469"/>
      <c r="M1627" s="469"/>
      <c r="N1627" s="469"/>
      <c r="O1627" s="469"/>
      <c r="P1627" s="469"/>
      <c r="Q1627" s="469"/>
      <c r="R1627" s="469"/>
      <c r="S1627" s="469"/>
      <c r="T1627" s="469"/>
      <c r="U1627" s="469"/>
      <c r="V1627" s="469"/>
      <c r="W1627" s="469"/>
      <c r="X1627" s="469"/>
      <c r="Y1627" s="469"/>
      <c r="Z1627" s="469"/>
      <c r="AA1627" s="469"/>
      <c r="AB1627" s="469"/>
    </row>
    <row r="1628" ht="14.25" customHeight="1">
      <c r="A1628" s="464"/>
      <c r="B1628" s="481"/>
      <c r="C1628" s="466"/>
      <c r="D1628" s="484"/>
      <c r="E1628" s="466"/>
      <c r="F1628" s="485"/>
      <c r="G1628" s="485"/>
      <c r="H1628" s="485"/>
      <c r="I1628" s="331"/>
      <c r="J1628" s="469"/>
      <c r="K1628" s="469"/>
      <c r="L1628" s="469"/>
      <c r="M1628" s="469"/>
      <c r="N1628" s="469"/>
      <c r="O1628" s="469"/>
      <c r="P1628" s="469"/>
      <c r="Q1628" s="469"/>
      <c r="R1628" s="469"/>
      <c r="S1628" s="469"/>
      <c r="T1628" s="469"/>
      <c r="U1628" s="469"/>
      <c r="V1628" s="469"/>
      <c r="W1628" s="469"/>
      <c r="X1628" s="469"/>
      <c r="Y1628" s="469"/>
      <c r="Z1628" s="469"/>
      <c r="AA1628" s="469"/>
      <c r="AB1628" s="469"/>
    </row>
    <row r="1629" ht="14.25" customHeight="1">
      <c r="A1629" s="464"/>
      <c r="B1629" s="481"/>
      <c r="C1629" s="466"/>
      <c r="D1629" s="484"/>
      <c r="E1629" s="466"/>
      <c r="F1629" s="485"/>
      <c r="G1629" s="485"/>
      <c r="H1629" s="485"/>
      <c r="I1629" s="331"/>
      <c r="J1629" s="469"/>
      <c r="K1629" s="469"/>
      <c r="L1629" s="469"/>
      <c r="M1629" s="469"/>
      <c r="N1629" s="469"/>
      <c r="O1629" s="469"/>
      <c r="P1629" s="469"/>
      <c r="Q1629" s="469"/>
      <c r="R1629" s="469"/>
      <c r="S1629" s="469"/>
      <c r="T1629" s="469"/>
      <c r="U1629" s="469"/>
      <c r="V1629" s="469"/>
      <c r="W1629" s="469"/>
      <c r="X1629" s="469"/>
      <c r="Y1629" s="469"/>
      <c r="Z1629" s="469"/>
      <c r="AA1629" s="469"/>
      <c r="AB1629" s="469"/>
    </row>
    <row r="1630" ht="14.25" customHeight="1">
      <c r="A1630" s="464"/>
      <c r="B1630" s="481"/>
      <c r="C1630" s="466"/>
      <c r="D1630" s="484"/>
      <c r="E1630" s="466"/>
      <c r="F1630" s="485"/>
      <c r="G1630" s="485"/>
      <c r="H1630" s="485"/>
      <c r="I1630" s="331"/>
      <c r="J1630" s="469"/>
      <c r="K1630" s="469"/>
      <c r="L1630" s="469"/>
      <c r="M1630" s="469"/>
      <c r="N1630" s="469"/>
      <c r="O1630" s="469"/>
      <c r="P1630" s="469"/>
      <c r="Q1630" s="469"/>
      <c r="R1630" s="469"/>
      <c r="S1630" s="469"/>
      <c r="T1630" s="469"/>
      <c r="U1630" s="469"/>
      <c r="V1630" s="469"/>
      <c r="W1630" s="469"/>
      <c r="X1630" s="469"/>
      <c r="Y1630" s="469"/>
      <c r="Z1630" s="469"/>
      <c r="AA1630" s="469"/>
      <c r="AB1630" s="469"/>
    </row>
    <row r="1631" ht="14.25" customHeight="1">
      <c r="A1631" s="464"/>
      <c r="B1631" s="481"/>
      <c r="C1631" s="466"/>
      <c r="D1631" s="484"/>
      <c r="E1631" s="466"/>
      <c r="F1631" s="485"/>
      <c r="G1631" s="485"/>
      <c r="H1631" s="485"/>
      <c r="I1631" s="331"/>
      <c r="J1631" s="469"/>
      <c r="K1631" s="469"/>
      <c r="L1631" s="469"/>
      <c r="M1631" s="469"/>
      <c r="N1631" s="469"/>
      <c r="O1631" s="469"/>
      <c r="P1631" s="469"/>
      <c r="Q1631" s="469"/>
      <c r="R1631" s="469"/>
      <c r="S1631" s="469"/>
      <c r="T1631" s="469"/>
      <c r="U1631" s="469"/>
      <c r="V1631" s="469"/>
      <c r="W1631" s="469"/>
      <c r="X1631" s="469"/>
      <c r="Y1631" s="469"/>
      <c r="Z1631" s="469"/>
      <c r="AA1631" s="469"/>
      <c r="AB1631" s="469"/>
    </row>
    <row r="1632" ht="14.25" customHeight="1">
      <c r="A1632" s="464"/>
      <c r="B1632" s="481"/>
      <c r="C1632" s="466"/>
      <c r="D1632" s="484"/>
      <c r="E1632" s="466"/>
      <c r="F1632" s="485"/>
      <c r="G1632" s="485"/>
      <c r="H1632" s="485"/>
      <c r="I1632" s="331"/>
      <c r="J1632" s="469"/>
      <c r="K1632" s="469"/>
      <c r="L1632" s="469"/>
      <c r="M1632" s="469"/>
      <c r="N1632" s="469"/>
      <c r="O1632" s="469"/>
      <c r="P1632" s="469"/>
      <c r="Q1632" s="469"/>
      <c r="R1632" s="469"/>
      <c r="S1632" s="469"/>
      <c r="T1632" s="469"/>
      <c r="U1632" s="469"/>
      <c r="V1632" s="469"/>
      <c r="W1632" s="469"/>
      <c r="X1632" s="469"/>
      <c r="Y1632" s="469"/>
      <c r="Z1632" s="469"/>
      <c r="AA1632" s="469"/>
      <c r="AB1632" s="469"/>
    </row>
    <row r="1633" ht="14.25" customHeight="1">
      <c r="A1633" s="464"/>
      <c r="B1633" s="481"/>
      <c r="C1633" s="466"/>
      <c r="D1633" s="484"/>
      <c r="E1633" s="466"/>
      <c r="F1633" s="485"/>
      <c r="G1633" s="485"/>
      <c r="H1633" s="485"/>
      <c r="I1633" s="331"/>
      <c r="J1633" s="469"/>
      <c r="K1633" s="469"/>
      <c r="L1633" s="469"/>
      <c r="M1633" s="469"/>
      <c r="N1633" s="469"/>
      <c r="O1633" s="469"/>
      <c r="P1633" s="469"/>
      <c r="Q1633" s="469"/>
      <c r="R1633" s="469"/>
      <c r="S1633" s="469"/>
      <c r="T1633" s="469"/>
      <c r="U1633" s="469"/>
      <c r="V1633" s="469"/>
      <c r="W1633" s="469"/>
      <c r="X1633" s="469"/>
      <c r="Y1633" s="469"/>
      <c r="Z1633" s="469"/>
      <c r="AA1633" s="469"/>
      <c r="AB1633" s="469"/>
    </row>
    <row r="1634" ht="14.25" customHeight="1">
      <c r="A1634" s="464"/>
      <c r="B1634" s="481"/>
      <c r="C1634" s="466"/>
      <c r="D1634" s="484"/>
      <c r="E1634" s="466"/>
      <c r="F1634" s="485"/>
      <c r="G1634" s="485"/>
      <c r="H1634" s="485"/>
      <c r="I1634" s="331"/>
      <c r="J1634" s="469"/>
      <c r="K1634" s="469"/>
      <c r="L1634" s="469"/>
      <c r="M1634" s="469"/>
      <c r="N1634" s="469"/>
      <c r="O1634" s="469"/>
      <c r="P1634" s="469"/>
      <c r="Q1634" s="469"/>
      <c r="R1634" s="469"/>
      <c r="S1634" s="469"/>
      <c r="T1634" s="469"/>
      <c r="U1634" s="469"/>
      <c r="V1634" s="469"/>
      <c r="W1634" s="469"/>
      <c r="X1634" s="469"/>
      <c r="Y1634" s="469"/>
      <c r="Z1634" s="469"/>
      <c r="AA1634" s="469"/>
      <c r="AB1634" s="469"/>
    </row>
    <row r="1635" ht="14.25" customHeight="1">
      <c r="A1635" s="464"/>
      <c r="B1635" s="481"/>
      <c r="C1635" s="466"/>
      <c r="D1635" s="484"/>
      <c r="E1635" s="466"/>
      <c r="F1635" s="485"/>
      <c r="G1635" s="485"/>
      <c r="H1635" s="485"/>
      <c r="I1635" s="331"/>
      <c r="J1635" s="469"/>
      <c r="K1635" s="469"/>
      <c r="L1635" s="469"/>
      <c r="M1635" s="469"/>
      <c r="N1635" s="469"/>
      <c r="O1635" s="469"/>
      <c r="P1635" s="469"/>
      <c r="Q1635" s="469"/>
      <c r="R1635" s="469"/>
      <c r="S1635" s="469"/>
      <c r="T1635" s="469"/>
      <c r="U1635" s="469"/>
      <c r="V1635" s="469"/>
      <c r="W1635" s="469"/>
      <c r="X1635" s="469"/>
      <c r="Y1635" s="469"/>
      <c r="Z1635" s="469"/>
      <c r="AA1635" s="469"/>
      <c r="AB1635" s="469"/>
    </row>
    <row r="1636" ht="14.25" customHeight="1">
      <c r="A1636" s="464"/>
      <c r="B1636" s="481"/>
      <c r="C1636" s="466"/>
      <c r="D1636" s="484"/>
      <c r="E1636" s="466"/>
      <c r="F1636" s="485"/>
      <c r="G1636" s="485"/>
      <c r="H1636" s="485"/>
      <c r="I1636" s="331"/>
      <c r="J1636" s="469"/>
      <c r="K1636" s="469"/>
      <c r="L1636" s="469"/>
      <c r="M1636" s="469"/>
      <c r="N1636" s="469"/>
      <c r="O1636" s="469"/>
      <c r="P1636" s="469"/>
      <c r="Q1636" s="469"/>
      <c r="R1636" s="469"/>
      <c r="S1636" s="469"/>
      <c r="T1636" s="469"/>
      <c r="U1636" s="469"/>
      <c r="V1636" s="469"/>
      <c r="W1636" s="469"/>
      <c r="X1636" s="469"/>
      <c r="Y1636" s="469"/>
      <c r="Z1636" s="469"/>
      <c r="AA1636" s="469"/>
      <c r="AB1636" s="469"/>
    </row>
    <row r="1637" ht="14.25" customHeight="1">
      <c r="A1637" s="464"/>
      <c r="B1637" s="481"/>
      <c r="C1637" s="466"/>
      <c r="D1637" s="484"/>
      <c r="E1637" s="466"/>
      <c r="F1637" s="485"/>
      <c r="G1637" s="485"/>
      <c r="H1637" s="485"/>
      <c r="I1637" s="331"/>
      <c r="J1637" s="469"/>
      <c r="K1637" s="469"/>
      <c r="L1637" s="469"/>
      <c r="M1637" s="469"/>
      <c r="N1637" s="469"/>
      <c r="O1637" s="469"/>
      <c r="P1637" s="469"/>
      <c r="Q1637" s="469"/>
      <c r="R1637" s="469"/>
      <c r="S1637" s="469"/>
      <c r="T1637" s="469"/>
      <c r="U1637" s="469"/>
      <c r="V1637" s="469"/>
      <c r="W1637" s="469"/>
      <c r="X1637" s="469"/>
      <c r="Y1637" s="469"/>
      <c r="Z1637" s="469"/>
      <c r="AA1637" s="469"/>
      <c r="AB1637" s="469"/>
    </row>
    <row r="1638" ht="14.25" customHeight="1">
      <c r="A1638" s="464"/>
      <c r="B1638" s="481"/>
      <c r="C1638" s="466"/>
      <c r="D1638" s="484"/>
      <c r="E1638" s="466"/>
      <c r="F1638" s="485"/>
      <c r="G1638" s="485"/>
      <c r="H1638" s="485"/>
      <c r="I1638" s="331"/>
      <c r="J1638" s="469"/>
      <c r="K1638" s="469"/>
      <c r="L1638" s="469"/>
      <c r="M1638" s="469"/>
      <c r="N1638" s="469"/>
      <c r="O1638" s="469"/>
      <c r="P1638" s="469"/>
      <c r="Q1638" s="469"/>
      <c r="R1638" s="469"/>
      <c r="S1638" s="469"/>
      <c r="T1638" s="469"/>
      <c r="U1638" s="469"/>
      <c r="V1638" s="469"/>
      <c r="W1638" s="469"/>
      <c r="X1638" s="469"/>
      <c r="Y1638" s="469"/>
      <c r="Z1638" s="469"/>
      <c r="AA1638" s="469"/>
      <c r="AB1638" s="469"/>
    </row>
    <row r="1639" ht="14.25" customHeight="1">
      <c r="A1639" s="464"/>
      <c r="B1639" s="481"/>
      <c r="C1639" s="466"/>
      <c r="D1639" s="484"/>
      <c r="E1639" s="466"/>
      <c r="F1639" s="485"/>
      <c r="G1639" s="485"/>
      <c r="H1639" s="485"/>
      <c r="I1639" s="331"/>
      <c r="J1639" s="469"/>
      <c r="K1639" s="469"/>
      <c r="L1639" s="469"/>
      <c r="M1639" s="469"/>
      <c r="N1639" s="469"/>
      <c r="O1639" s="469"/>
      <c r="P1639" s="469"/>
      <c r="Q1639" s="469"/>
      <c r="R1639" s="469"/>
      <c r="S1639" s="469"/>
      <c r="T1639" s="469"/>
      <c r="U1639" s="469"/>
      <c r="V1639" s="469"/>
      <c r="W1639" s="469"/>
      <c r="X1639" s="469"/>
      <c r="Y1639" s="469"/>
      <c r="Z1639" s="469"/>
      <c r="AA1639" s="469"/>
      <c r="AB1639" s="469"/>
    </row>
    <row r="1640" ht="14.25" customHeight="1">
      <c r="A1640" s="464"/>
      <c r="B1640" s="481"/>
      <c r="C1640" s="466"/>
      <c r="D1640" s="484"/>
      <c r="E1640" s="466"/>
      <c r="F1640" s="485"/>
      <c r="G1640" s="485"/>
      <c r="H1640" s="485"/>
      <c r="I1640" s="331"/>
      <c r="J1640" s="469"/>
      <c r="K1640" s="469"/>
      <c r="L1640" s="469"/>
      <c r="M1640" s="469"/>
      <c r="N1640" s="469"/>
      <c r="O1640" s="469"/>
      <c r="P1640" s="469"/>
      <c r="Q1640" s="469"/>
      <c r="R1640" s="469"/>
      <c r="S1640" s="469"/>
      <c r="T1640" s="469"/>
      <c r="U1640" s="469"/>
      <c r="V1640" s="469"/>
      <c r="W1640" s="469"/>
      <c r="X1640" s="469"/>
      <c r="Y1640" s="469"/>
      <c r="Z1640" s="469"/>
      <c r="AA1640" s="469"/>
      <c r="AB1640" s="469"/>
    </row>
    <row r="1641" ht="14.25" customHeight="1">
      <c r="A1641" s="464"/>
      <c r="B1641" s="481"/>
      <c r="C1641" s="466"/>
      <c r="D1641" s="484"/>
      <c r="E1641" s="466"/>
      <c r="F1641" s="485"/>
      <c r="G1641" s="485"/>
      <c r="H1641" s="485"/>
      <c r="I1641" s="331"/>
      <c r="J1641" s="469"/>
      <c r="K1641" s="469"/>
      <c r="L1641" s="469"/>
      <c r="M1641" s="469"/>
      <c r="N1641" s="469"/>
      <c r="O1641" s="469"/>
      <c r="P1641" s="469"/>
      <c r="Q1641" s="469"/>
      <c r="R1641" s="469"/>
      <c r="S1641" s="469"/>
      <c r="T1641" s="469"/>
      <c r="U1641" s="469"/>
      <c r="V1641" s="469"/>
      <c r="W1641" s="469"/>
      <c r="X1641" s="469"/>
      <c r="Y1641" s="469"/>
      <c r="Z1641" s="469"/>
      <c r="AA1641" s="469"/>
      <c r="AB1641" s="469"/>
    </row>
    <row r="1642" ht="14.25" customHeight="1">
      <c r="A1642" s="464"/>
      <c r="B1642" s="481"/>
      <c r="C1642" s="466"/>
      <c r="D1642" s="484"/>
      <c r="E1642" s="466"/>
      <c r="F1642" s="485"/>
      <c r="G1642" s="485"/>
      <c r="H1642" s="485"/>
      <c r="I1642" s="331"/>
      <c r="J1642" s="469"/>
      <c r="K1642" s="469"/>
      <c r="L1642" s="469"/>
      <c r="M1642" s="469"/>
      <c r="N1642" s="469"/>
      <c r="O1642" s="469"/>
      <c r="P1642" s="469"/>
      <c r="Q1642" s="469"/>
      <c r="R1642" s="469"/>
      <c r="S1642" s="469"/>
      <c r="T1642" s="469"/>
      <c r="U1642" s="469"/>
      <c r="V1642" s="469"/>
      <c r="W1642" s="469"/>
      <c r="X1642" s="469"/>
      <c r="Y1642" s="469"/>
      <c r="Z1642" s="469"/>
      <c r="AA1642" s="469"/>
      <c r="AB1642" s="469"/>
    </row>
    <row r="1643" ht="14.25" customHeight="1">
      <c r="A1643" s="464"/>
      <c r="B1643" s="481"/>
      <c r="C1643" s="466"/>
      <c r="D1643" s="484"/>
      <c r="E1643" s="466"/>
      <c r="F1643" s="485"/>
      <c r="G1643" s="485"/>
      <c r="H1643" s="485"/>
      <c r="I1643" s="331"/>
      <c r="J1643" s="469"/>
      <c r="K1643" s="469"/>
      <c r="L1643" s="469"/>
      <c r="M1643" s="469"/>
      <c r="N1643" s="469"/>
      <c r="O1643" s="469"/>
      <c r="P1643" s="469"/>
      <c r="Q1643" s="469"/>
      <c r="R1643" s="469"/>
      <c r="S1643" s="469"/>
      <c r="T1643" s="469"/>
      <c r="U1643" s="469"/>
      <c r="V1643" s="469"/>
      <c r="W1643" s="469"/>
      <c r="X1643" s="469"/>
      <c r="Y1643" s="469"/>
      <c r="Z1643" s="469"/>
      <c r="AA1643" s="469"/>
      <c r="AB1643" s="469"/>
    </row>
    <row r="1644" ht="14.25" customHeight="1">
      <c r="A1644" s="464"/>
      <c r="B1644" s="481"/>
      <c r="C1644" s="466"/>
      <c r="D1644" s="484"/>
      <c r="E1644" s="466"/>
      <c r="F1644" s="485"/>
      <c r="G1644" s="485"/>
      <c r="H1644" s="485"/>
      <c r="I1644" s="331"/>
      <c r="J1644" s="469"/>
      <c r="K1644" s="469"/>
      <c r="L1644" s="469"/>
      <c r="M1644" s="469"/>
      <c r="N1644" s="469"/>
      <c r="O1644" s="469"/>
      <c r="P1644" s="469"/>
      <c r="Q1644" s="469"/>
      <c r="R1644" s="469"/>
      <c r="S1644" s="469"/>
      <c r="T1644" s="469"/>
      <c r="U1644" s="469"/>
      <c r="V1644" s="469"/>
      <c r="W1644" s="469"/>
      <c r="X1644" s="469"/>
      <c r="Y1644" s="469"/>
      <c r="Z1644" s="469"/>
      <c r="AA1644" s="469"/>
      <c r="AB1644" s="469"/>
    </row>
    <row r="1645" ht="14.25" customHeight="1">
      <c r="A1645" s="464"/>
      <c r="B1645" s="481"/>
      <c r="C1645" s="466"/>
      <c r="D1645" s="484"/>
      <c r="E1645" s="466"/>
      <c r="F1645" s="485"/>
      <c r="G1645" s="485"/>
      <c r="H1645" s="485"/>
      <c r="I1645" s="331"/>
      <c r="J1645" s="469"/>
      <c r="K1645" s="469"/>
      <c r="L1645" s="469"/>
      <c r="M1645" s="469"/>
      <c r="N1645" s="469"/>
      <c r="O1645" s="469"/>
      <c r="P1645" s="469"/>
      <c r="Q1645" s="469"/>
      <c r="R1645" s="469"/>
      <c r="S1645" s="469"/>
      <c r="T1645" s="469"/>
      <c r="U1645" s="469"/>
      <c r="V1645" s="469"/>
      <c r="W1645" s="469"/>
      <c r="X1645" s="469"/>
      <c r="Y1645" s="469"/>
      <c r="Z1645" s="469"/>
      <c r="AA1645" s="469"/>
      <c r="AB1645" s="469"/>
    </row>
    <row r="1646" ht="14.25" customHeight="1">
      <c r="A1646" s="464"/>
      <c r="B1646" s="481"/>
      <c r="C1646" s="466"/>
      <c r="D1646" s="484"/>
      <c r="E1646" s="466"/>
      <c r="F1646" s="485"/>
      <c r="G1646" s="485"/>
      <c r="H1646" s="485"/>
      <c r="I1646" s="331"/>
      <c r="J1646" s="469"/>
      <c r="K1646" s="469"/>
      <c r="L1646" s="469"/>
      <c r="M1646" s="469"/>
      <c r="N1646" s="469"/>
      <c r="O1646" s="469"/>
      <c r="P1646" s="469"/>
      <c r="Q1646" s="469"/>
      <c r="R1646" s="469"/>
      <c r="S1646" s="469"/>
      <c r="T1646" s="469"/>
      <c r="U1646" s="469"/>
      <c r="V1646" s="469"/>
      <c r="W1646" s="469"/>
      <c r="X1646" s="469"/>
      <c r="Y1646" s="469"/>
      <c r="Z1646" s="469"/>
      <c r="AA1646" s="469"/>
      <c r="AB1646" s="469"/>
    </row>
    <row r="1647" ht="14.25" customHeight="1">
      <c r="A1647" s="464"/>
      <c r="B1647" s="481"/>
      <c r="C1647" s="466"/>
      <c r="D1647" s="484"/>
      <c r="E1647" s="466"/>
      <c r="F1647" s="485"/>
      <c r="G1647" s="485"/>
      <c r="H1647" s="485"/>
      <c r="I1647" s="331"/>
      <c r="J1647" s="469"/>
      <c r="K1647" s="469"/>
      <c r="L1647" s="469"/>
      <c r="M1647" s="469"/>
      <c r="N1647" s="469"/>
      <c r="O1647" s="469"/>
      <c r="P1647" s="469"/>
      <c r="Q1647" s="469"/>
      <c r="R1647" s="469"/>
      <c r="S1647" s="469"/>
      <c r="T1647" s="469"/>
      <c r="U1647" s="469"/>
      <c r="V1647" s="469"/>
      <c r="W1647" s="469"/>
      <c r="X1647" s="469"/>
      <c r="Y1647" s="469"/>
      <c r="Z1647" s="469"/>
      <c r="AA1647" s="469"/>
      <c r="AB1647" s="469"/>
    </row>
    <row r="1648" ht="14.25" customHeight="1">
      <c r="A1648" s="464"/>
      <c r="B1648" s="481"/>
      <c r="C1648" s="466"/>
      <c r="D1648" s="484"/>
      <c r="E1648" s="466"/>
      <c r="F1648" s="485"/>
      <c r="G1648" s="485"/>
      <c r="H1648" s="485"/>
      <c r="I1648" s="331"/>
      <c r="J1648" s="469"/>
      <c r="K1648" s="469"/>
      <c r="L1648" s="469"/>
      <c r="M1648" s="469"/>
      <c r="N1648" s="469"/>
      <c r="O1648" s="469"/>
      <c r="P1648" s="469"/>
      <c r="Q1648" s="469"/>
      <c r="R1648" s="469"/>
      <c r="S1648" s="469"/>
      <c r="T1648" s="469"/>
      <c r="U1648" s="469"/>
      <c r="V1648" s="469"/>
      <c r="W1648" s="469"/>
      <c r="X1648" s="469"/>
      <c r="Y1648" s="469"/>
      <c r="Z1648" s="469"/>
      <c r="AA1648" s="469"/>
      <c r="AB1648" s="469"/>
    </row>
    <row r="1649" ht="14.25" customHeight="1">
      <c r="A1649" s="464"/>
      <c r="B1649" s="481"/>
      <c r="C1649" s="466"/>
      <c r="D1649" s="484"/>
      <c r="E1649" s="466"/>
      <c r="F1649" s="485"/>
      <c r="G1649" s="485"/>
      <c r="H1649" s="485"/>
      <c r="I1649" s="331"/>
      <c r="J1649" s="469"/>
      <c r="K1649" s="469"/>
      <c r="L1649" s="469"/>
      <c r="M1649" s="469"/>
      <c r="N1649" s="469"/>
      <c r="O1649" s="469"/>
      <c r="P1649" s="469"/>
      <c r="Q1649" s="469"/>
      <c r="R1649" s="469"/>
      <c r="S1649" s="469"/>
      <c r="T1649" s="469"/>
      <c r="U1649" s="469"/>
      <c r="V1649" s="469"/>
      <c r="W1649" s="469"/>
      <c r="X1649" s="469"/>
      <c r="Y1649" s="469"/>
      <c r="Z1649" s="469"/>
      <c r="AA1649" s="469"/>
      <c r="AB1649" s="469"/>
    </row>
    <row r="1650" ht="14.25" customHeight="1">
      <c r="A1650" s="464"/>
      <c r="B1650" s="481"/>
      <c r="C1650" s="466"/>
      <c r="D1650" s="484"/>
      <c r="E1650" s="466"/>
      <c r="F1650" s="485"/>
      <c r="G1650" s="485"/>
      <c r="H1650" s="485"/>
      <c r="I1650" s="331"/>
      <c r="J1650" s="469"/>
      <c r="K1650" s="469"/>
      <c r="L1650" s="469"/>
      <c r="M1650" s="469"/>
      <c r="N1650" s="469"/>
      <c r="O1650" s="469"/>
      <c r="P1650" s="469"/>
      <c r="Q1650" s="469"/>
      <c r="R1650" s="469"/>
      <c r="S1650" s="469"/>
      <c r="T1650" s="469"/>
      <c r="U1650" s="469"/>
      <c r="V1650" s="469"/>
      <c r="W1650" s="469"/>
      <c r="X1650" s="469"/>
      <c r="Y1650" s="469"/>
      <c r="Z1650" s="469"/>
      <c r="AA1650" s="469"/>
      <c r="AB1650" s="469"/>
    </row>
    <row r="1651" ht="14.25" customHeight="1">
      <c r="A1651" s="464"/>
      <c r="B1651" s="481"/>
      <c r="C1651" s="466"/>
      <c r="D1651" s="484"/>
      <c r="E1651" s="466"/>
      <c r="F1651" s="485"/>
      <c r="G1651" s="485"/>
      <c r="H1651" s="485"/>
      <c r="I1651" s="331"/>
      <c r="J1651" s="469"/>
      <c r="K1651" s="469"/>
      <c r="L1651" s="469"/>
      <c r="M1651" s="469"/>
      <c r="N1651" s="469"/>
      <c r="O1651" s="469"/>
      <c r="P1651" s="469"/>
      <c r="Q1651" s="469"/>
      <c r="R1651" s="469"/>
      <c r="S1651" s="469"/>
      <c r="T1651" s="469"/>
      <c r="U1651" s="469"/>
      <c r="V1651" s="469"/>
      <c r="W1651" s="469"/>
      <c r="X1651" s="469"/>
      <c r="Y1651" s="469"/>
      <c r="Z1651" s="469"/>
      <c r="AA1651" s="469"/>
      <c r="AB1651" s="469"/>
    </row>
    <row r="1652" ht="14.25" customHeight="1">
      <c r="A1652" s="464"/>
      <c r="B1652" s="481"/>
      <c r="C1652" s="466"/>
      <c r="D1652" s="484"/>
      <c r="E1652" s="466"/>
      <c r="F1652" s="485"/>
      <c r="G1652" s="485"/>
      <c r="H1652" s="485"/>
      <c r="I1652" s="331"/>
      <c r="J1652" s="469"/>
      <c r="K1652" s="469"/>
      <c r="L1652" s="469"/>
      <c r="M1652" s="469"/>
      <c r="N1652" s="469"/>
      <c r="O1652" s="469"/>
      <c r="P1652" s="469"/>
      <c r="Q1652" s="469"/>
      <c r="R1652" s="469"/>
      <c r="S1652" s="469"/>
      <c r="T1652" s="469"/>
      <c r="U1652" s="469"/>
      <c r="V1652" s="469"/>
      <c r="W1652" s="469"/>
      <c r="X1652" s="469"/>
      <c r="Y1652" s="469"/>
      <c r="Z1652" s="469"/>
      <c r="AA1652" s="469"/>
      <c r="AB1652" s="469"/>
    </row>
    <row r="1653" ht="14.25" customHeight="1">
      <c r="A1653" s="464"/>
      <c r="B1653" s="481"/>
      <c r="C1653" s="466"/>
      <c r="D1653" s="484"/>
      <c r="E1653" s="466"/>
      <c r="F1653" s="485"/>
      <c r="G1653" s="485"/>
      <c r="H1653" s="485"/>
      <c r="I1653" s="331"/>
      <c r="J1653" s="469"/>
      <c r="K1653" s="469"/>
      <c r="L1653" s="469"/>
      <c r="M1653" s="469"/>
      <c r="N1653" s="469"/>
      <c r="O1653" s="469"/>
      <c r="P1653" s="469"/>
      <c r="Q1653" s="469"/>
      <c r="R1653" s="469"/>
      <c r="S1653" s="469"/>
      <c r="T1653" s="469"/>
      <c r="U1653" s="469"/>
      <c r="V1653" s="469"/>
      <c r="W1653" s="469"/>
      <c r="X1653" s="469"/>
      <c r="Y1653" s="469"/>
      <c r="Z1653" s="469"/>
      <c r="AA1653" s="469"/>
      <c r="AB1653" s="469"/>
    </row>
    <row r="1654" ht="14.25" customHeight="1">
      <c r="A1654" s="464"/>
      <c r="B1654" s="481"/>
      <c r="C1654" s="466"/>
      <c r="D1654" s="484"/>
      <c r="E1654" s="466"/>
      <c r="F1654" s="485"/>
      <c r="G1654" s="485"/>
      <c r="H1654" s="485"/>
      <c r="I1654" s="331"/>
      <c r="J1654" s="469"/>
      <c r="K1654" s="469"/>
      <c r="L1654" s="469"/>
      <c r="M1654" s="469"/>
      <c r="N1654" s="469"/>
      <c r="O1654" s="469"/>
      <c r="P1654" s="469"/>
      <c r="Q1654" s="469"/>
      <c r="R1654" s="469"/>
      <c r="S1654" s="469"/>
      <c r="T1654" s="469"/>
      <c r="U1654" s="469"/>
      <c r="V1654" s="469"/>
      <c r="W1654" s="469"/>
      <c r="X1654" s="469"/>
      <c r="Y1654" s="469"/>
      <c r="Z1654" s="469"/>
      <c r="AA1654" s="469"/>
      <c r="AB1654" s="469"/>
    </row>
    <row r="1655" ht="14.25" customHeight="1">
      <c r="A1655" s="464"/>
      <c r="B1655" s="481"/>
      <c r="C1655" s="466"/>
      <c r="D1655" s="484"/>
      <c r="E1655" s="466"/>
      <c r="F1655" s="485"/>
      <c r="G1655" s="485"/>
      <c r="H1655" s="485"/>
      <c r="I1655" s="331"/>
      <c r="J1655" s="469"/>
      <c r="K1655" s="469"/>
      <c r="L1655" s="469"/>
      <c r="M1655" s="469"/>
      <c r="N1655" s="469"/>
      <c r="O1655" s="469"/>
      <c r="P1655" s="469"/>
      <c r="Q1655" s="469"/>
      <c r="R1655" s="469"/>
      <c r="S1655" s="469"/>
      <c r="T1655" s="469"/>
      <c r="U1655" s="469"/>
      <c r="V1655" s="469"/>
      <c r="W1655" s="469"/>
      <c r="X1655" s="469"/>
      <c r="Y1655" s="469"/>
      <c r="Z1655" s="469"/>
      <c r="AA1655" s="469"/>
      <c r="AB1655" s="469"/>
    </row>
    <row r="1656" ht="14.25" customHeight="1">
      <c r="A1656" s="464"/>
      <c r="B1656" s="481"/>
      <c r="C1656" s="466"/>
      <c r="D1656" s="484"/>
      <c r="E1656" s="466"/>
      <c r="F1656" s="485"/>
      <c r="G1656" s="485"/>
      <c r="H1656" s="485"/>
      <c r="I1656" s="331"/>
      <c r="J1656" s="469"/>
      <c r="K1656" s="469"/>
      <c r="L1656" s="469"/>
      <c r="M1656" s="469"/>
      <c r="N1656" s="469"/>
      <c r="O1656" s="469"/>
      <c r="P1656" s="469"/>
      <c r="Q1656" s="469"/>
      <c r="R1656" s="469"/>
      <c r="S1656" s="469"/>
      <c r="T1656" s="469"/>
      <c r="U1656" s="469"/>
      <c r="V1656" s="469"/>
      <c r="W1656" s="469"/>
      <c r="X1656" s="469"/>
      <c r="Y1656" s="469"/>
      <c r="Z1656" s="469"/>
      <c r="AA1656" s="469"/>
      <c r="AB1656" s="469"/>
    </row>
    <row r="1657" ht="14.25" customHeight="1">
      <c r="A1657" s="464"/>
      <c r="B1657" s="481"/>
      <c r="C1657" s="466"/>
      <c r="D1657" s="484"/>
      <c r="E1657" s="466"/>
      <c r="F1657" s="485"/>
      <c r="G1657" s="485"/>
      <c r="H1657" s="485"/>
      <c r="I1657" s="331"/>
      <c r="J1657" s="469"/>
      <c r="K1657" s="469"/>
      <c r="L1657" s="469"/>
      <c r="M1657" s="469"/>
      <c r="N1657" s="469"/>
      <c r="O1657" s="469"/>
      <c r="P1657" s="469"/>
      <c r="Q1657" s="469"/>
      <c r="R1657" s="469"/>
      <c r="S1657" s="469"/>
      <c r="T1657" s="469"/>
      <c r="U1657" s="469"/>
      <c r="V1657" s="469"/>
      <c r="W1657" s="469"/>
      <c r="X1657" s="469"/>
      <c r="Y1657" s="469"/>
      <c r="Z1657" s="469"/>
      <c r="AA1657" s="469"/>
      <c r="AB1657" s="469"/>
    </row>
    <row r="1658" ht="14.25" customHeight="1">
      <c r="A1658" s="464"/>
      <c r="B1658" s="481"/>
      <c r="C1658" s="466"/>
      <c r="D1658" s="484"/>
      <c r="E1658" s="466"/>
      <c r="F1658" s="485"/>
      <c r="G1658" s="485"/>
      <c r="H1658" s="485"/>
      <c r="I1658" s="331"/>
      <c r="J1658" s="469"/>
      <c r="K1658" s="469"/>
      <c r="L1658" s="469"/>
      <c r="M1658" s="469"/>
      <c r="N1658" s="469"/>
      <c r="O1658" s="469"/>
      <c r="P1658" s="469"/>
      <c r="Q1658" s="469"/>
      <c r="R1658" s="469"/>
      <c r="S1658" s="469"/>
      <c r="T1658" s="469"/>
      <c r="U1658" s="469"/>
      <c r="V1658" s="469"/>
      <c r="W1658" s="469"/>
      <c r="X1658" s="469"/>
      <c r="Y1658" s="469"/>
      <c r="Z1658" s="469"/>
      <c r="AA1658" s="469"/>
      <c r="AB1658" s="469"/>
    </row>
    <row r="1659" ht="14.25" customHeight="1">
      <c r="A1659" s="464"/>
      <c r="B1659" s="481"/>
      <c r="C1659" s="466"/>
      <c r="D1659" s="484"/>
      <c r="E1659" s="466"/>
      <c r="F1659" s="485"/>
      <c r="G1659" s="485"/>
      <c r="H1659" s="485"/>
      <c r="I1659" s="331"/>
      <c r="J1659" s="469"/>
      <c r="K1659" s="469"/>
      <c r="L1659" s="469"/>
      <c r="M1659" s="469"/>
      <c r="N1659" s="469"/>
      <c r="O1659" s="469"/>
      <c r="P1659" s="469"/>
      <c r="Q1659" s="469"/>
      <c r="R1659" s="469"/>
      <c r="S1659" s="469"/>
      <c r="T1659" s="469"/>
      <c r="U1659" s="469"/>
      <c r="V1659" s="469"/>
      <c r="W1659" s="469"/>
      <c r="X1659" s="469"/>
      <c r="Y1659" s="469"/>
      <c r="Z1659" s="469"/>
      <c r="AA1659" s="469"/>
      <c r="AB1659" s="469"/>
    </row>
    <row r="1660" ht="14.25" customHeight="1">
      <c r="A1660" s="464"/>
      <c r="B1660" s="481"/>
      <c r="C1660" s="466"/>
      <c r="D1660" s="484"/>
      <c r="E1660" s="466"/>
      <c r="F1660" s="485"/>
      <c r="G1660" s="485"/>
      <c r="H1660" s="485"/>
      <c r="I1660" s="331"/>
      <c r="J1660" s="469"/>
      <c r="K1660" s="469"/>
      <c r="L1660" s="469"/>
      <c r="M1660" s="469"/>
      <c r="N1660" s="469"/>
      <c r="O1660" s="469"/>
      <c r="P1660" s="469"/>
      <c r="Q1660" s="469"/>
      <c r="R1660" s="469"/>
      <c r="S1660" s="469"/>
      <c r="T1660" s="469"/>
      <c r="U1660" s="469"/>
      <c r="V1660" s="469"/>
      <c r="W1660" s="469"/>
      <c r="X1660" s="469"/>
      <c r="Y1660" s="469"/>
      <c r="Z1660" s="469"/>
      <c r="AA1660" s="469"/>
      <c r="AB1660" s="469"/>
    </row>
    <row r="1661" ht="14.25" customHeight="1">
      <c r="A1661" s="464"/>
      <c r="B1661" s="481"/>
      <c r="C1661" s="466"/>
      <c r="D1661" s="484"/>
      <c r="E1661" s="466"/>
      <c r="F1661" s="485"/>
      <c r="G1661" s="485"/>
      <c r="H1661" s="485"/>
      <c r="I1661" s="331"/>
      <c r="J1661" s="469"/>
      <c r="K1661" s="469"/>
      <c r="L1661" s="469"/>
      <c r="M1661" s="469"/>
      <c r="N1661" s="469"/>
      <c r="O1661" s="469"/>
      <c r="P1661" s="469"/>
      <c r="Q1661" s="469"/>
      <c r="R1661" s="469"/>
      <c r="S1661" s="469"/>
      <c r="T1661" s="469"/>
      <c r="U1661" s="469"/>
      <c r="V1661" s="469"/>
      <c r="W1661" s="469"/>
      <c r="X1661" s="469"/>
      <c r="Y1661" s="469"/>
      <c r="Z1661" s="469"/>
      <c r="AA1661" s="469"/>
      <c r="AB1661" s="469"/>
    </row>
    <row r="1662" ht="14.25" customHeight="1">
      <c r="A1662" s="464"/>
      <c r="B1662" s="481"/>
      <c r="C1662" s="466"/>
      <c r="D1662" s="484"/>
      <c r="E1662" s="466"/>
      <c r="F1662" s="485"/>
      <c r="G1662" s="485"/>
      <c r="H1662" s="485"/>
      <c r="I1662" s="331"/>
      <c r="J1662" s="469"/>
      <c r="K1662" s="469"/>
      <c r="L1662" s="469"/>
      <c r="M1662" s="469"/>
      <c r="N1662" s="469"/>
      <c r="O1662" s="469"/>
      <c r="P1662" s="469"/>
      <c r="Q1662" s="469"/>
      <c r="R1662" s="469"/>
      <c r="S1662" s="469"/>
      <c r="T1662" s="469"/>
      <c r="U1662" s="469"/>
      <c r="V1662" s="469"/>
      <c r="W1662" s="469"/>
      <c r="X1662" s="469"/>
      <c r="Y1662" s="469"/>
      <c r="Z1662" s="469"/>
      <c r="AA1662" s="469"/>
      <c r="AB1662" s="469"/>
    </row>
    <row r="1663" ht="14.25" customHeight="1">
      <c r="A1663" s="464"/>
      <c r="B1663" s="481"/>
      <c r="C1663" s="466"/>
      <c r="D1663" s="484"/>
      <c r="E1663" s="466"/>
      <c r="F1663" s="485"/>
      <c r="G1663" s="485"/>
      <c r="H1663" s="485"/>
      <c r="I1663" s="331"/>
      <c r="J1663" s="469"/>
      <c r="K1663" s="469"/>
      <c r="L1663" s="469"/>
      <c r="M1663" s="469"/>
      <c r="N1663" s="469"/>
      <c r="O1663" s="469"/>
      <c r="P1663" s="469"/>
      <c r="Q1663" s="469"/>
      <c r="R1663" s="469"/>
      <c r="S1663" s="469"/>
      <c r="T1663" s="469"/>
      <c r="U1663" s="469"/>
      <c r="V1663" s="469"/>
      <c r="W1663" s="469"/>
      <c r="X1663" s="469"/>
      <c r="Y1663" s="469"/>
      <c r="Z1663" s="469"/>
      <c r="AA1663" s="469"/>
      <c r="AB1663" s="469"/>
    </row>
    <row r="1664" ht="14.25" customHeight="1">
      <c r="A1664" s="464"/>
      <c r="B1664" s="481"/>
      <c r="C1664" s="466"/>
      <c r="D1664" s="484"/>
      <c r="E1664" s="466"/>
      <c r="F1664" s="485"/>
      <c r="G1664" s="485"/>
      <c r="H1664" s="485"/>
      <c r="I1664" s="331"/>
      <c r="J1664" s="469"/>
      <c r="K1664" s="469"/>
      <c r="L1664" s="469"/>
      <c r="M1664" s="469"/>
      <c r="N1664" s="469"/>
      <c r="O1664" s="469"/>
      <c r="P1664" s="469"/>
      <c r="Q1664" s="469"/>
      <c r="R1664" s="469"/>
      <c r="S1664" s="469"/>
      <c r="T1664" s="469"/>
      <c r="U1664" s="469"/>
      <c r="V1664" s="469"/>
      <c r="W1664" s="469"/>
      <c r="X1664" s="469"/>
      <c r="Y1664" s="469"/>
      <c r="Z1664" s="469"/>
      <c r="AA1664" s="469"/>
      <c r="AB1664" s="469"/>
    </row>
    <row r="1665" ht="14.25" customHeight="1">
      <c r="A1665" s="464"/>
      <c r="B1665" s="481"/>
      <c r="C1665" s="466"/>
      <c r="D1665" s="484"/>
      <c r="E1665" s="466"/>
      <c r="F1665" s="485"/>
      <c r="G1665" s="485"/>
      <c r="H1665" s="485"/>
      <c r="I1665" s="331"/>
      <c r="J1665" s="469"/>
      <c r="K1665" s="469"/>
      <c r="L1665" s="469"/>
      <c r="M1665" s="469"/>
      <c r="N1665" s="469"/>
      <c r="O1665" s="469"/>
      <c r="P1665" s="469"/>
      <c r="Q1665" s="469"/>
      <c r="R1665" s="469"/>
      <c r="S1665" s="469"/>
      <c r="T1665" s="469"/>
      <c r="U1665" s="469"/>
      <c r="V1665" s="469"/>
      <c r="W1665" s="469"/>
      <c r="X1665" s="469"/>
      <c r="Y1665" s="469"/>
      <c r="Z1665" s="469"/>
      <c r="AA1665" s="469"/>
      <c r="AB1665" s="469"/>
    </row>
    <row r="1666" ht="14.25" customHeight="1">
      <c r="A1666" s="464"/>
      <c r="B1666" s="481"/>
      <c r="C1666" s="466"/>
      <c r="D1666" s="484"/>
      <c r="E1666" s="466"/>
      <c r="F1666" s="485"/>
      <c r="G1666" s="485"/>
      <c r="H1666" s="485"/>
      <c r="I1666" s="331"/>
      <c r="J1666" s="469"/>
      <c r="K1666" s="469"/>
      <c r="L1666" s="469"/>
      <c r="M1666" s="469"/>
      <c r="N1666" s="469"/>
      <c r="O1666" s="469"/>
      <c r="P1666" s="469"/>
      <c r="Q1666" s="469"/>
      <c r="R1666" s="469"/>
      <c r="S1666" s="469"/>
      <c r="T1666" s="469"/>
      <c r="U1666" s="469"/>
      <c r="V1666" s="469"/>
      <c r="W1666" s="469"/>
      <c r="X1666" s="469"/>
      <c r="Y1666" s="469"/>
      <c r="Z1666" s="469"/>
      <c r="AA1666" s="469"/>
      <c r="AB1666" s="469"/>
    </row>
    <row r="1667" ht="14.25" customHeight="1">
      <c r="A1667" s="464"/>
      <c r="B1667" s="481"/>
      <c r="C1667" s="466"/>
      <c r="D1667" s="484"/>
      <c r="E1667" s="466"/>
      <c r="F1667" s="485"/>
      <c r="G1667" s="485"/>
      <c r="H1667" s="485"/>
      <c r="I1667" s="331"/>
      <c r="J1667" s="469"/>
      <c r="K1667" s="469"/>
      <c r="L1667" s="469"/>
      <c r="M1667" s="469"/>
      <c r="N1667" s="469"/>
      <c r="O1667" s="469"/>
      <c r="P1667" s="469"/>
      <c r="Q1667" s="469"/>
      <c r="R1667" s="469"/>
      <c r="S1667" s="469"/>
      <c r="T1667" s="469"/>
      <c r="U1667" s="469"/>
      <c r="V1667" s="469"/>
      <c r="W1667" s="469"/>
      <c r="X1667" s="469"/>
      <c r="Y1667" s="469"/>
      <c r="Z1667" s="469"/>
      <c r="AA1667" s="469"/>
      <c r="AB1667" s="469"/>
    </row>
    <row r="1668" ht="14.25" customHeight="1">
      <c r="A1668" s="464"/>
      <c r="B1668" s="481"/>
      <c r="C1668" s="466"/>
      <c r="D1668" s="484"/>
      <c r="E1668" s="466"/>
      <c r="F1668" s="485"/>
      <c r="G1668" s="485"/>
      <c r="H1668" s="485"/>
      <c r="I1668" s="331"/>
      <c r="J1668" s="469"/>
      <c r="K1668" s="469"/>
      <c r="L1668" s="469"/>
      <c r="M1668" s="469"/>
      <c r="N1668" s="469"/>
      <c r="O1668" s="469"/>
      <c r="P1668" s="469"/>
      <c r="Q1668" s="469"/>
      <c r="R1668" s="469"/>
      <c r="S1668" s="469"/>
      <c r="T1668" s="469"/>
      <c r="U1668" s="469"/>
      <c r="V1668" s="469"/>
      <c r="W1668" s="469"/>
      <c r="X1668" s="469"/>
      <c r="Y1668" s="469"/>
      <c r="Z1668" s="469"/>
      <c r="AA1668" s="469"/>
      <c r="AB1668" s="469"/>
    </row>
    <row r="1669" ht="14.25" customHeight="1">
      <c r="A1669" s="464"/>
      <c r="B1669" s="481"/>
      <c r="C1669" s="466"/>
      <c r="D1669" s="484"/>
      <c r="E1669" s="466"/>
      <c r="F1669" s="485"/>
      <c r="G1669" s="485"/>
      <c r="H1669" s="485"/>
      <c r="I1669" s="331"/>
      <c r="J1669" s="469"/>
      <c r="K1669" s="469"/>
      <c r="L1669" s="469"/>
      <c r="M1669" s="469"/>
      <c r="N1669" s="469"/>
      <c r="O1669" s="469"/>
      <c r="P1669" s="469"/>
      <c r="Q1669" s="469"/>
      <c r="R1669" s="469"/>
      <c r="S1669" s="469"/>
      <c r="T1669" s="469"/>
      <c r="U1669" s="469"/>
      <c r="V1669" s="469"/>
      <c r="W1669" s="469"/>
      <c r="X1669" s="469"/>
      <c r="Y1669" s="469"/>
      <c r="Z1669" s="469"/>
      <c r="AA1669" s="469"/>
      <c r="AB1669" s="469"/>
    </row>
    <row r="1670" ht="14.25" customHeight="1">
      <c r="A1670" s="464"/>
      <c r="B1670" s="481"/>
      <c r="C1670" s="466"/>
      <c r="D1670" s="484"/>
      <c r="E1670" s="466"/>
      <c r="F1670" s="485"/>
      <c r="G1670" s="485"/>
      <c r="H1670" s="485"/>
      <c r="I1670" s="331"/>
      <c r="J1670" s="469"/>
      <c r="K1670" s="469"/>
      <c r="L1670" s="469"/>
      <c r="M1670" s="469"/>
      <c r="N1670" s="469"/>
      <c r="O1670" s="469"/>
      <c r="P1670" s="469"/>
      <c r="Q1670" s="469"/>
      <c r="R1670" s="469"/>
      <c r="S1670" s="469"/>
      <c r="T1670" s="469"/>
      <c r="U1670" s="469"/>
      <c r="V1670" s="469"/>
      <c r="W1670" s="469"/>
      <c r="X1670" s="469"/>
      <c r="Y1670" s="469"/>
      <c r="Z1670" s="469"/>
      <c r="AA1670" s="469"/>
      <c r="AB1670" s="469"/>
    </row>
    <row r="1671" ht="14.25" customHeight="1">
      <c r="A1671" s="464"/>
      <c r="B1671" s="481"/>
      <c r="C1671" s="466"/>
      <c r="D1671" s="484"/>
      <c r="E1671" s="466"/>
      <c r="F1671" s="485"/>
      <c r="G1671" s="485"/>
      <c r="H1671" s="485"/>
      <c r="I1671" s="331"/>
      <c r="J1671" s="469"/>
      <c r="K1671" s="469"/>
      <c r="L1671" s="469"/>
      <c r="M1671" s="469"/>
      <c r="N1671" s="469"/>
      <c r="O1671" s="469"/>
      <c r="P1671" s="469"/>
      <c r="Q1671" s="469"/>
      <c r="R1671" s="469"/>
      <c r="S1671" s="469"/>
      <c r="T1671" s="469"/>
      <c r="U1671" s="469"/>
      <c r="V1671" s="469"/>
      <c r="W1671" s="469"/>
      <c r="X1671" s="469"/>
      <c r="Y1671" s="469"/>
      <c r="Z1671" s="469"/>
      <c r="AA1671" s="469"/>
      <c r="AB1671" s="469"/>
    </row>
    <row r="1672" ht="14.25" customHeight="1">
      <c r="A1672" s="464"/>
      <c r="B1672" s="481"/>
      <c r="C1672" s="466"/>
      <c r="D1672" s="484"/>
      <c r="E1672" s="466"/>
      <c r="F1672" s="485"/>
      <c r="G1672" s="485"/>
      <c r="H1672" s="485"/>
      <c r="I1672" s="331"/>
      <c r="J1672" s="469"/>
      <c r="K1672" s="469"/>
      <c r="L1672" s="469"/>
      <c r="M1672" s="469"/>
      <c r="N1672" s="469"/>
      <c r="O1672" s="469"/>
      <c r="P1672" s="469"/>
      <c r="Q1672" s="469"/>
      <c r="R1672" s="469"/>
      <c r="S1672" s="469"/>
      <c r="T1672" s="469"/>
      <c r="U1672" s="469"/>
      <c r="V1672" s="469"/>
      <c r="W1672" s="469"/>
      <c r="X1672" s="469"/>
      <c r="Y1672" s="469"/>
      <c r="Z1672" s="469"/>
      <c r="AA1672" s="469"/>
      <c r="AB1672" s="469"/>
    </row>
    <row r="1673" ht="14.25" customHeight="1">
      <c r="A1673" s="464"/>
      <c r="B1673" s="481"/>
      <c r="C1673" s="466"/>
      <c r="D1673" s="484"/>
      <c r="E1673" s="466"/>
      <c r="F1673" s="485"/>
      <c r="G1673" s="485"/>
      <c r="H1673" s="485"/>
      <c r="I1673" s="331"/>
      <c r="J1673" s="469"/>
      <c r="K1673" s="469"/>
      <c r="L1673" s="469"/>
      <c r="M1673" s="469"/>
      <c r="N1673" s="469"/>
      <c r="O1673" s="469"/>
      <c r="P1673" s="469"/>
      <c r="Q1673" s="469"/>
      <c r="R1673" s="469"/>
      <c r="S1673" s="469"/>
      <c r="T1673" s="469"/>
      <c r="U1673" s="469"/>
      <c r="V1673" s="469"/>
      <c r="W1673" s="469"/>
      <c r="X1673" s="469"/>
      <c r="Y1673" s="469"/>
      <c r="Z1673" s="469"/>
      <c r="AA1673" s="469"/>
      <c r="AB1673" s="469"/>
    </row>
    <row r="1674" ht="14.25" customHeight="1">
      <c r="A1674" s="464"/>
      <c r="B1674" s="481"/>
      <c r="C1674" s="466"/>
      <c r="D1674" s="484"/>
      <c r="E1674" s="466"/>
      <c r="F1674" s="485"/>
      <c r="G1674" s="485"/>
      <c r="H1674" s="485"/>
      <c r="I1674" s="331"/>
      <c r="J1674" s="469"/>
      <c r="K1674" s="469"/>
      <c r="L1674" s="469"/>
      <c r="M1674" s="469"/>
      <c r="N1674" s="469"/>
      <c r="O1674" s="469"/>
      <c r="P1674" s="469"/>
      <c r="Q1674" s="469"/>
      <c r="R1674" s="469"/>
      <c r="S1674" s="469"/>
      <c r="T1674" s="469"/>
      <c r="U1674" s="469"/>
      <c r="V1674" s="469"/>
      <c r="W1674" s="469"/>
      <c r="X1674" s="469"/>
      <c r="Y1674" s="469"/>
      <c r="Z1674" s="469"/>
      <c r="AA1674" s="469"/>
      <c r="AB1674" s="469"/>
    </row>
    <row r="1675" ht="14.25" customHeight="1">
      <c r="A1675" s="464"/>
      <c r="B1675" s="481"/>
      <c r="C1675" s="466"/>
      <c r="D1675" s="484"/>
      <c r="E1675" s="466"/>
      <c r="F1675" s="485"/>
      <c r="G1675" s="485"/>
      <c r="H1675" s="485"/>
      <c r="I1675" s="331"/>
      <c r="J1675" s="469"/>
      <c r="K1675" s="469"/>
      <c r="L1675" s="469"/>
      <c r="M1675" s="469"/>
      <c r="N1675" s="469"/>
      <c r="O1675" s="469"/>
      <c r="P1675" s="469"/>
      <c r="Q1675" s="469"/>
      <c r="R1675" s="469"/>
      <c r="S1675" s="469"/>
      <c r="T1675" s="469"/>
      <c r="U1675" s="469"/>
      <c r="V1675" s="469"/>
      <c r="W1675" s="469"/>
      <c r="X1675" s="469"/>
      <c r="Y1675" s="469"/>
      <c r="Z1675" s="469"/>
      <c r="AA1675" s="469"/>
      <c r="AB1675" s="469"/>
    </row>
    <row r="1676" ht="14.25" customHeight="1">
      <c r="A1676" s="464"/>
      <c r="B1676" s="481"/>
      <c r="C1676" s="466"/>
      <c r="D1676" s="484"/>
      <c r="E1676" s="466"/>
      <c r="F1676" s="485"/>
      <c r="G1676" s="485"/>
      <c r="H1676" s="485"/>
      <c r="I1676" s="331"/>
      <c r="J1676" s="469"/>
      <c r="K1676" s="469"/>
      <c r="L1676" s="469"/>
      <c r="M1676" s="469"/>
      <c r="N1676" s="469"/>
      <c r="O1676" s="469"/>
      <c r="P1676" s="469"/>
      <c r="Q1676" s="469"/>
      <c r="R1676" s="469"/>
      <c r="S1676" s="469"/>
      <c r="T1676" s="469"/>
      <c r="U1676" s="469"/>
      <c r="V1676" s="469"/>
      <c r="W1676" s="469"/>
      <c r="X1676" s="469"/>
      <c r="Y1676" s="469"/>
      <c r="Z1676" s="469"/>
      <c r="AA1676" s="469"/>
      <c r="AB1676" s="469"/>
    </row>
    <row r="1677" ht="14.25" customHeight="1">
      <c r="A1677" s="464"/>
      <c r="B1677" s="481"/>
      <c r="C1677" s="466"/>
      <c r="D1677" s="484"/>
      <c r="E1677" s="466"/>
      <c r="F1677" s="485"/>
      <c r="G1677" s="485"/>
      <c r="H1677" s="485"/>
      <c r="I1677" s="331"/>
      <c r="J1677" s="469"/>
      <c r="K1677" s="469"/>
      <c r="L1677" s="469"/>
      <c r="M1677" s="469"/>
      <c r="N1677" s="469"/>
      <c r="O1677" s="469"/>
      <c r="P1677" s="469"/>
      <c r="Q1677" s="469"/>
      <c r="R1677" s="469"/>
      <c r="S1677" s="469"/>
      <c r="T1677" s="469"/>
      <c r="U1677" s="469"/>
      <c r="V1677" s="469"/>
      <c r="W1677" s="469"/>
      <c r="X1677" s="469"/>
      <c r="Y1677" s="469"/>
      <c r="Z1677" s="469"/>
      <c r="AA1677" s="469"/>
      <c r="AB1677" s="469"/>
    </row>
    <row r="1678" ht="14.25" customHeight="1">
      <c r="A1678" s="464"/>
      <c r="B1678" s="481"/>
      <c r="C1678" s="466"/>
      <c r="D1678" s="484"/>
      <c r="E1678" s="466"/>
      <c r="F1678" s="485"/>
      <c r="G1678" s="485"/>
      <c r="H1678" s="485"/>
      <c r="I1678" s="331"/>
      <c r="J1678" s="469"/>
      <c r="K1678" s="469"/>
      <c r="L1678" s="469"/>
      <c r="M1678" s="469"/>
      <c r="N1678" s="469"/>
      <c r="O1678" s="469"/>
      <c r="P1678" s="469"/>
      <c r="Q1678" s="469"/>
      <c r="R1678" s="469"/>
      <c r="S1678" s="469"/>
      <c r="T1678" s="469"/>
      <c r="U1678" s="469"/>
      <c r="V1678" s="469"/>
      <c r="W1678" s="469"/>
      <c r="X1678" s="469"/>
      <c r="Y1678" s="469"/>
      <c r="Z1678" s="469"/>
      <c r="AA1678" s="469"/>
      <c r="AB1678" s="469"/>
    </row>
    <row r="1679" ht="14.25" customHeight="1">
      <c r="A1679" s="464"/>
      <c r="B1679" s="481"/>
      <c r="C1679" s="466"/>
      <c r="D1679" s="484"/>
      <c r="E1679" s="466"/>
      <c r="F1679" s="485"/>
      <c r="G1679" s="485"/>
      <c r="H1679" s="485"/>
      <c r="I1679" s="331"/>
      <c r="J1679" s="469"/>
      <c r="K1679" s="469"/>
      <c r="L1679" s="469"/>
      <c r="M1679" s="469"/>
      <c r="N1679" s="469"/>
      <c r="O1679" s="469"/>
      <c r="P1679" s="469"/>
      <c r="Q1679" s="469"/>
      <c r="R1679" s="469"/>
      <c r="S1679" s="469"/>
      <c r="T1679" s="469"/>
      <c r="U1679" s="469"/>
      <c r="V1679" s="469"/>
      <c r="W1679" s="469"/>
      <c r="X1679" s="469"/>
      <c r="Y1679" s="469"/>
      <c r="Z1679" s="469"/>
      <c r="AA1679" s="469"/>
      <c r="AB1679" s="469"/>
    </row>
    <row r="1680" ht="14.25" customHeight="1">
      <c r="A1680" s="464"/>
      <c r="B1680" s="481"/>
      <c r="C1680" s="466"/>
      <c r="D1680" s="484"/>
      <c r="E1680" s="466"/>
      <c r="F1680" s="485"/>
      <c r="G1680" s="485"/>
      <c r="H1680" s="485"/>
      <c r="I1680" s="331"/>
      <c r="J1680" s="469"/>
      <c r="K1680" s="469"/>
      <c r="L1680" s="469"/>
      <c r="M1680" s="469"/>
      <c r="N1680" s="469"/>
      <c r="O1680" s="469"/>
      <c r="P1680" s="469"/>
      <c r="Q1680" s="469"/>
      <c r="R1680" s="469"/>
      <c r="S1680" s="469"/>
      <c r="T1680" s="469"/>
      <c r="U1680" s="469"/>
      <c r="V1680" s="469"/>
      <c r="W1680" s="469"/>
      <c r="X1680" s="469"/>
      <c r="Y1680" s="469"/>
      <c r="Z1680" s="469"/>
      <c r="AA1680" s="469"/>
      <c r="AB1680" s="469"/>
    </row>
    <row r="1681" ht="14.25" customHeight="1">
      <c r="A1681" s="464"/>
      <c r="B1681" s="481"/>
      <c r="C1681" s="466"/>
      <c r="D1681" s="484"/>
      <c r="E1681" s="466"/>
      <c r="F1681" s="485"/>
      <c r="G1681" s="485"/>
      <c r="H1681" s="485"/>
      <c r="I1681" s="331"/>
      <c r="J1681" s="469"/>
      <c r="K1681" s="469"/>
      <c r="L1681" s="469"/>
      <c r="M1681" s="469"/>
      <c r="N1681" s="469"/>
      <c r="O1681" s="469"/>
      <c r="P1681" s="469"/>
      <c r="Q1681" s="469"/>
      <c r="R1681" s="469"/>
      <c r="S1681" s="469"/>
      <c r="T1681" s="469"/>
      <c r="U1681" s="469"/>
      <c r="V1681" s="469"/>
      <c r="W1681" s="469"/>
      <c r="X1681" s="469"/>
      <c r="Y1681" s="469"/>
      <c r="Z1681" s="469"/>
      <c r="AA1681" s="469"/>
      <c r="AB1681" s="469"/>
    </row>
    <row r="1682" ht="14.25" customHeight="1">
      <c r="A1682" s="464"/>
      <c r="B1682" s="481"/>
      <c r="C1682" s="466"/>
      <c r="D1682" s="484"/>
      <c r="E1682" s="466"/>
      <c r="F1682" s="485"/>
      <c r="G1682" s="485"/>
      <c r="H1682" s="485"/>
      <c r="I1682" s="331"/>
      <c r="J1682" s="469"/>
      <c r="K1682" s="469"/>
      <c r="L1682" s="469"/>
      <c r="M1682" s="469"/>
      <c r="N1682" s="469"/>
      <c r="O1682" s="469"/>
      <c r="P1682" s="469"/>
      <c r="Q1682" s="469"/>
      <c r="R1682" s="469"/>
      <c r="S1682" s="469"/>
      <c r="T1682" s="469"/>
      <c r="U1682" s="469"/>
      <c r="V1682" s="469"/>
      <c r="W1682" s="469"/>
      <c r="X1682" s="469"/>
      <c r="Y1682" s="469"/>
      <c r="Z1682" s="469"/>
      <c r="AA1682" s="469"/>
      <c r="AB1682" s="469"/>
    </row>
    <row r="1683" ht="14.25" customHeight="1">
      <c r="A1683" s="464"/>
      <c r="B1683" s="481"/>
      <c r="C1683" s="466"/>
      <c r="D1683" s="484"/>
      <c r="E1683" s="466"/>
      <c r="F1683" s="485"/>
      <c r="G1683" s="485"/>
      <c r="H1683" s="485"/>
      <c r="I1683" s="331"/>
      <c r="J1683" s="469"/>
      <c r="K1683" s="469"/>
      <c r="L1683" s="469"/>
      <c r="M1683" s="469"/>
      <c r="N1683" s="469"/>
      <c r="O1683" s="469"/>
      <c r="P1683" s="469"/>
      <c r="Q1683" s="469"/>
      <c r="R1683" s="469"/>
      <c r="S1683" s="469"/>
      <c r="T1683" s="469"/>
      <c r="U1683" s="469"/>
      <c r="V1683" s="469"/>
      <c r="W1683" s="469"/>
      <c r="X1683" s="469"/>
      <c r="Y1683" s="469"/>
      <c r="Z1683" s="469"/>
      <c r="AA1683" s="469"/>
      <c r="AB1683" s="469"/>
    </row>
    <row r="1684" ht="14.25" customHeight="1">
      <c r="A1684" s="464"/>
      <c r="B1684" s="481"/>
      <c r="C1684" s="466"/>
      <c r="D1684" s="484"/>
      <c r="E1684" s="466"/>
      <c r="F1684" s="485"/>
      <c r="G1684" s="485"/>
      <c r="H1684" s="485"/>
      <c r="I1684" s="331"/>
      <c r="J1684" s="469"/>
      <c r="K1684" s="469"/>
      <c r="L1684" s="469"/>
      <c r="M1684" s="469"/>
      <c r="N1684" s="469"/>
      <c r="O1684" s="469"/>
      <c r="P1684" s="469"/>
      <c r="Q1684" s="469"/>
      <c r="R1684" s="469"/>
      <c r="S1684" s="469"/>
      <c r="T1684" s="469"/>
      <c r="U1684" s="469"/>
      <c r="V1684" s="469"/>
      <c r="W1684" s="469"/>
      <c r="X1684" s="469"/>
      <c r="Y1684" s="469"/>
      <c r="Z1684" s="469"/>
      <c r="AA1684" s="469"/>
      <c r="AB1684" s="469"/>
    </row>
    <row r="1685" ht="14.25" customHeight="1">
      <c r="A1685" s="464"/>
      <c r="B1685" s="481"/>
      <c r="C1685" s="466"/>
      <c r="D1685" s="484"/>
      <c r="E1685" s="466"/>
      <c r="F1685" s="485"/>
      <c r="G1685" s="485"/>
      <c r="H1685" s="485"/>
      <c r="I1685" s="331"/>
      <c r="J1685" s="469"/>
      <c r="K1685" s="469"/>
      <c r="L1685" s="469"/>
      <c r="M1685" s="469"/>
      <c r="N1685" s="469"/>
      <c r="O1685" s="469"/>
      <c r="P1685" s="469"/>
      <c r="Q1685" s="469"/>
      <c r="R1685" s="469"/>
      <c r="S1685" s="469"/>
      <c r="T1685" s="469"/>
      <c r="U1685" s="469"/>
      <c r="V1685" s="469"/>
      <c r="W1685" s="469"/>
      <c r="X1685" s="469"/>
      <c r="Y1685" s="469"/>
      <c r="Z1685" s="469"/>
      <c r="AA1685" s="469"/>
      <c r="AB1685" s="469"/>
    </row>
    <row r="1686" ht="14.25" customHeight="1">
      <c r="A1686" s="464"/>
      <c r="B1686" s="481"/>
      <c r="C1686" s="466"/>
      <c r="D1686" s="484"/>
      <c r="E1686" s="466"/>
      <c r="F1686" s="485"/>
      <c r="G1686" s="485"/>
      <c r="H1686" s="485"/>
      <c r="I1686" s="331"/>
      <c r="J1686" s="469"/>
      <c r="K1686" s="469"/>
      <c r="L1686" s="469"/>
      <c r="M1686" s="469"/>
      <c r="N1686" s="469"/>
      <c r="O1686" s="469"/>
      <c r="P1686" s="469"/>
      <c r="Q1686" s="469"/>
      <c r="R1686" s="469"/>
      <c r="S1686" s="469"/>
      <c r="T1686" s="469"/>
      <c r="U1686" s="469"/>
      <c r="V1686" s="469"/>
      <c r="W1686" s="469"/>
      <c r="X1686" s="469"/>
      <c r="Y1686" s="469"/>
      <c r="Z1686" s="469"/>
      <c r="AA1686" s="469"/>
      <c r="AB1686" s="469"/>
    </row>
    <row r="1687" ht="14.25" customHeight="1">
      <c r="A1687" s="464"/>
      <c r="B1687" s="481"/>
      <c r="C1687" s="466"/>
      <c r="D1687" s="484"/>
      <c r="E1687" s="466"/>
      <c r="F1687" s="485"/>
      <c r="G1687" s="485"/>
      <c r="H1687" s="485"/>
      <c r="I1687" s="331"/>
      <c r="J1687" s="469"/>
      <c r="K1687" s="469"/>
      <c r="L1687" s="469"/>
      <c r="M1687" s="469"/>
      <c r="N1687" s="469"/>
      <c r="O1687" s="469"/>
      <c r="P1687" s="469"/>
      <c r="Q1687" s="469"/>
      <c r="R1687" s="469"/>
      <c r="S1687" s="469"/>
      <c r="T1687" s="469"/>
      <c r="U1687" s="469"/>
      <c r="V1687" s="469"/>
      <c r="W1687" s="469"/>
      <c r="X1687" s="469"/>
      <c r="Y1687" s="469"/>
      <c r="Z1687" s="469"/>
      <c r="AA1687" s="469"/>
      <c r="AB1687" s="469"/>
    </row>
    <row r="1688" ht="14.25" customHeight="1">
      <c r="A1688" s="464"/>
      <c r="B1688" s="481"/>
      <c r="C1688" s="466"/>
      <c r="D1688" s="484"/>
      <c r="E1688" s="466"/>
      <c r="F1688" s="485"/>
      <c r="G1688" s="485"/>
      <c r="H1688" s="485"/>
      <c r="I1688" s="331"/>
      <c r="J1688" s="469"/>
      <c r="K1688" s="469"/>
      <c r="L1688" s="469"/>
      <c r="M1688" s="469"/>
      <c r="N1688" s="469"/>
      <c r="O1688" s="469"/>
      <c r="P1688" s="469"/>
      <c r="Q1688" s="469"/>
      <c r="R1688" s="469"/>
      <c r="S1688" s="469"/>
      <c r="T1688" s="469"/>
      <c r="U1688" s="469"/>
      <c r="V1688" s="469"/>
      <c r="W1688" s="469"/>
      <c r="X1688" s="469"/>
      <c r="Y1688" s="469"/>
      <c r="Z1688" s="469"/>
      <c r="AA1688" s="469"/>
      <c r="AB1688" s="469"/>
    </row>
    <row r="1689" ht="14.25" customHeight="1">
      <c r="A1689" s="464"/>
      <c r="B1689" s="481"/>
      <c r="C1689" s="466"/>
      <c r="D1689" s="484"/>
      <c r="E1689" s="466"/>
      <c r="F1689" s="485"/>
      <c r="G1689" s="485"/>
      <c r="H1689" s="485"/>
      <c r="I1689" s="331"/>
      <c r="J1689" s="469"/>
      <c r="K1689" s="469"/>
      <c r="L1689" s="469"/>
      <c r="M1689" s="469"/>
      <c r="N1689" s="469"/>
      <c r="O1689" s="469"/>
      <c r="P1689" s="469"/>
      <c r="Q1689" s="469"/>
      <c r="R1689" s="469"/>
      <c r="S1689" s="469"/>
      <c r="T1689" s="469"/>
      <c r="U1689" s="469"/>
      <c r="V1689" s="469"/>
      <c r="W1689" s="469"/>
      <c r="X1689" s="469"/>
      <c r="Y1689" s="469"/>
      <c r="Z1689" s="469"/>
      <c r="AA1689" s="469"/>
      <c r="AB1689" s="469"/>
    </row>
    <row r="1690" ht="14.25" customHeight="1">
      <c r="A1690" s="464"/>
      <c r="B1690" s="481"/>
      <c r="C1690" s="466"/>
      <c r="D1690" s="484"/>
      <c r="E1690" s="466"/>
      <c r="F1690" s="485"/>
      <c r="G1690" s="485"/>
      <c r="H1690" s="485"/>
      <c r="I1690" s="331"/>
      <c r="J1690" s="469"/>
      <c r="K1690" s="469"/>
      <c r="L1690" s="469"/>
      <c r="M1690" s="469"/>
      <c r="N1690" s="469"/>
      <c r="O1690" s="469"/>
      <c r="P1690" s="469"/>
      <c r="Q1690" s="469"/>
      <c r="R1690" s="469"/>
      <c r="S1690" s="469"/>
      <c r="T1690" s="469"/>
      <c r="U1690" s="469"/>
      <c r="V1690" s="469"/>
      <c r="W1690" s="469"/>
      <c r="X1690" s="469"/>
      <c r="Y1690" s="469"/>
      <c r="Z1690" s="469"/>
      <c r="AA1690" s="469"/>
      <c r="AB1690" s="469"/>
    </row>
    <row r="1691" ht="14.25" customHeight="1">
      <c r="A1691" s="464"/>
      <c r="B1691" s="481"/>
      <c r="C1691" s="466"/>
      <c r="D1691" s="484"/>
      <c r="E1691" s="466"/>
      <c r="F1691" s="485"/>
      <c r="G1691" s="485"/>
      <c r="H1691" s="485"/>
      <c r="I1691" s="331"/>
      <c r="J1691" s="469"/>
      <c r="K1691" s="469"/>
      <c r="L1691" s="469"/>
      <c r="M1691" s="469"/>
      <c r="N1691" s="469"/>
      <c r="O1691" s="469"/>
      <c r="P1691" s="469"/>
      <c r="Q1691" s="469"/>
      <c r="R1691" s="469"/>
      <c r="S1691" s="469"/>
      <c r="T1691" s="469"/>
      <c r="U1691" s="469"/>
      <c r="V1691" s="469"/>
      <c r="W1691" s="469"/>
      <c r="X1691" s="469"/>
      <c r="Y1691" s="469"/>
      <c r="Z1691" s="469"/>
      <c r="AA1691" s="469"/>
      <c r="AB1691" s="469"/>
    </row>
    <row r="1692" ht="14.25" customHeight="1">
      <c r="A1692" s="464"/>
      <c r="B1692" s="481"/>
      <c r="C1692" s="466"/>
      <c r="D1692" s="484"/>
      <c r="E1692" s="466"/>
      <c r="F1692" s="485"/>
      <c r="G1692" s="485"/>
      <c r="H1692" s="485"/>
      <c r="I1692" s="331"/>
      <c r="J1692" s="469"/>
      <c r="K1692" s="469"/>
      <c r="L1692" s="469"/>
      <c r="M1692" s="469"/>
      <c r="N1692" s="469"/>
      <c r="O1692" s="469"/>
      <c r="P1692" s="469"/>
      <c r="Q1692" s="469"/>
      <c r="R1692" s="469"/>
      <c r="S1692" s="469"/>
      <c r="T1692" s="469"/>
      <c r="U1692" s="469"/>
      <c r="V1692" s="469"/>
      <c r="W1692" s="469"/>
      <c r="X1692" s="469"/>
      <c r="Y1692" s="469"/>
      <c r="Z1692" s="469"/>
      <c r="AA1692" s="469"/>
      <c r="AB1692" s="469"/>
    </row>
    <row r="1693" ht="14.25" customHeight="1">
      <c r="A1693" s="464"/>
      <c r="B1693" s="481"/>
      <c r="C1693" s="466"/>
      <c r="D1693" s="484"/>
      <c r="E1693" s="466"/>
      <c r="F1693" s="485"/>
      <c r="G1693" s="485"/>
      <c r="H1693" s="485"/>
      <c r="I1693" s="331"/>
      <c r="J1693" s="469"/>
      <c r="K1693" s="469"/>
      <c r="L1693" s="469"/>
      <c r="M1693" s="469"/>
      <c r="N1693" s="469"/>
      <c r="O1693" s="469"/>
      <c r="P1693" s="469"/>
      <c r="Q1693" s="469"/>
      <c r="R1693" s="469"/>
      <c r="S1693" s="469"/>
      <c r="T1693" s="469"/>
      <c r="U1693" s="469"/>
      <c r="V1693" s="469"/>
      <c r="W1693" s="469"/>
      <c r="X1693" s="469"/>
      <c r="Y1693" s="469"/>
      <c r="Z1693" s="469"/>
      <c r="AA1693" s="469"/>
      <c r="AB1693" s="469"/>
    </row>
    <row r="1694" ht="14.25" customHeight="1">
      <c r="A1694" s="464"/>
      <c r="B1694" s="481"/>
      <c r="C1694" s="466"/>
      <c r="D1694" s="484"/>
      <c r="E1694" s="466"/>
      <c r="F1694" s="485"/>
      <c r="G1694" s="485"/>
      <c r="H1694" s="485"/>
      <c r="I1694" s="331"/>
      <c r="J1694" s="469"/>
      <c r="K1694" s="469"/>
      <c r="L1694" s="469"/>
      <c r="M1694" s="469"/>
      <c r="N1694" s="469"/>
      <c r="O1694" s="469"/>
      <c r="P1694" s="469"/>
      <c r="Q1694" s="469"/>
      <c r="R1694" s="469"/>
      <c r="S1694" s="469"/>
      <c r="T1694" s="469"/>
      <c r="U1694" s="469"/>
      <c r="V1694" s="469"/>
      <c r="W1694" s="469"/>
      <c r="X1694" s="469"/>
      <c r="Y1694" s="469"/>
      <c r="Z1694" s="469"/>
      <c r="AA1694" s="469"/>
      <c r="AB1694" s="469"/>
    </row>
    <row r="1695" ht="14.25" customHeight="1">
      <c r="A1695" s="464"/>
      <c r="B1695" s="481"/>
      <c r="C1695" s="466"/>
      <c r="D1695" s="484"/>
      <c r="E1695" s="466"/>
      <c r="F1695" s="485"/>
      <c r="G1695" s="485"/>
      <c r="H1695" s="485"/>
      <c r="I1695" s="331"/>
      <c r="J1695" s="469"/>
      <c r="K1695" s="469"/>
      <c r="L1695" s="469"/>
      <c r="M1695" s="469"/>
      <c r="N1695" s="469"/>
      <c r="O1695" s="469"/>
      <c r="P1695" s="469"/>
      <c r="Q1695" s="469"/>
      <c r="R1695" s="469"/>
      <c r="S1695" s="469"/>
      <c r="T1695" s="469"/>
      <c r="U1695" s="469"/>
      <c r="V1695" s="469"/>
      <c r="W1695" s="469"/>
      <c r="X1695" s="469"/>
      <c r="Y1695" s="469"/>
      <c r="Z1695" s="469"/>
      <c r="AA1695" s="469"/>
      <c r="AB1695" s="469"/>
    </row>
    <row r="1696" ht="14.25" customHeight="1">
      <c r="A1696" s="464"/>
      <c r="B1696" s="481"/>
      <c r="C1696" s="466"/>
      <c r="D1696" s="484"/>
      <c r="E1696" s="466"/>
      <c r="F1696" s="485"/>
      <c r="G1696" s="485"/>
      <c r="H1696" s="485"/>
      <c r="I1696" s="331"/>
      <c r="J1696" s="469"/>
      <c r="K1696" s="469"/>
      <c r="L1696" s="469"/>
      <c r="M1696" s="469"/>
      <c r="N1696" s="469"/>
      <c r="O1696" s="469"/>
      <c r="P1696" s="469"/>
      <c r="Q1696" s="469"/>
      <c r="R1696" s="469"/>
      <c r="S1696" s="469"/>
      <c r="T1696" s="469"/>
      <c r="U1696" s="469"/>
      <c r="V1696" s="469"/>
      <c r="W1696" s="469"/>
      <c r="X1696" s="469"/>
      <c r="Y1696" s="469"/>
      <c r="Z1696" s="469"/>
      <c r="AA1696" s="469"/>
      <c r="AB1696" s="469"/>
    </row>
    <row r="1697" ht="14.25" customHeight="1">
      <c r="A1697" s="464"/>
      <c r="B1697" s="481"/>
      <c r="C1697" s="466"/>
      <c r="D1697" s="484"/>
      <c r="E1697" s="466"/>
      <c r="F1697" s="485"/>
      <c r="G1697" s="485"/>
      <c r="H1697" s="485"/>
      <c r="I1697" s="331"/>
      <c r="J1697" s="469"/>
      <c r="K1697" s="469"/>
      <c r="L1697" s="469"/>
      <c r="M1697" s="469"/>
      <c r="N1697" s="469"/>
      <c r="O1697" s="469"/>
      <c r="P1697" s="469"/>
      <c r="Q1697" s="469"/>
      <c r="R1697" s="469"/>
      <c r="S1697" s="469"/>
      <c r="T1697" s="469"/>
      <c r="U1697" s="469"/>
      <c r="V1697" s="469"/>
      <c r="W1697" s="469"/>
      <c r="X1697" s="469"/>
      <c r="Y1697" s="469"/>
      <c r="Z1697" s="469"/>
      <c r="AA1697" s="469"/>
      <c r="AB1697" s="469"/>
    </row>
    <row r="1698" ht="14.25" customHeight="1">
      <c r="A1698" s="464"/>
      <c r="B1698" s="481"/>
      <c r="C1698" s="466"/>
      <c r="D1698" s="484"/>
      <c r="E1698" s="466"/>
      <c r="F1698" s="485"/>
      <c r="G1698" s="485"/>
      <c r="H1698" s="485"/>
      <c r="I1698" s="331"/>
      <c r="J1698" s="469"/>
      <c r="K1698" s="469"/>
      <c r="L1698" s="469"/>
      <c r="M1698" s="469"/>
      <c r="N1698" s="469"/>
      <c r="O1698" s="469"/>
      <c r="P1698" s="469"/>
      <c r="Q1698" s="469"/>
      <c r="R1698" s="469"/>
      <c r="S1698" s="469"/>
      <c r="T1698" s="469"/>
      <c r="U1698" s="469"/>
      <c r="V1698" s="469"/>
      <c r="W1698" s="469"/>
      <c r="X1698" s="469"/>
      <c r="Y1698" s="469"/>
      <c r="Z1698" s="469"/>
      <c r="AA1698" s="469"/>
      <c r="AB1698" s="469"/>
    </row>
    <row r="1699" ht="14.25" customHeight="1">
      <c r="A1699" s="464"/>
      <c r="B1699" s="481"/>
      <c r="C1699" s="466"/>
      <c r="D1699" s="484"/>
      <c r="E1699" s="466"/>
      <c r="F1699" s="485"/>
      <c r="G1699" s="485"/>
      <c r="H1699" s="485"/>
      <c r="I1699" s="331"/>
      <c r="J1699" s="469"/>
      <c r="K1699" s="469"/>
      <c r="L1699" s="469"/>
      <c r="M1699" s="469"/>
      <c r="N1699" s="469"/>
      <c r="O1699" s="469"/>
      <c r="P1699" s="469"/>
      <c r="Q1699" s="469"/>
      <c r="R1699" s="469"/>
      <c r="S1699" s="469"/>
      <c r="T1699" s="469"/>
      <c r="U1699" s="469"/>
      <c r="V1699" s="469"/>
      <c r="W1699" s="469"/>
      <c r="X1699" s="469"/>
      <c r="Y1699" s="469"/>
      <c r="Z1699" s="469"/>
      <c r="AA1699" s="469"/>
      <c r="AB1699" s="469"/>
    </row>
    <row r="1700" ht="14.25" customHeight="1">
      <c r="A1700" s="464"/>
      <c r="B1700" s="481"/>
      <c r="C1700" s="466"/>
      <c r="D1700" s="484"/>
      <c r="E1700" s="466"/>
      <c r="F1700" s="485"/>
      <c r="G1700" s="485"/>
      <c r="H1700" s="485"/>
      <c r="I1700" s="331"/>
      <c r="J1700" s="469"/>
      <c r="K1700" s="469"/>
      <c r="L1700" s="469"/>
      <c r="M1700" s="469"/>
      <c r="N1700" s="469"/>
      <c r="O1700" s="469"/>
      <c r="P1700" s="469"/>
      <c r="Q1700" s="469"/>
      <c r="R1700" s="469"/>
      <c r="S1700" s="469"/>
      <c r="T1700" s="469"/>
      <c r="U1700" s="469"/>
      <c r="V1700" s="469"/>
      <c r="W1700" s="469"/>
      <c r="X1700" s="469"/>
      <c r="Y1700" s="469"/>
      <c r="Z1700" s="469"/>
      <c r="AA1700" s="469"/>
      <c r="AB1700" s="469"/>
    </row>
    <row r="1701" ht="14.25" customHeight="1">
      <c r="A1701" s="464"/>
      <c r="B1701" s="481"/>
      <c r="C1701" s="466"/>
      <c r="D1701" s="484"/>
      <c r="E1701" s="466"/>
      <c r="F1701" s="485"/>
      <c r="G1701" s="485"/>
      <c r="H1701" s="485"/>
      <c r="I1701" s="331"/>
      <c r="J1701" s="469"/>
      <c r="K1701" s="469"/>
      <c r="L1701" s="469"/>
      <c r="M1701" s="469"/>
      <c r="N1701" s="469"/>
      <c r="O1701" s="469"/>
      <c r="P1701" s="469"/>
      <c r="Q1701" s="469"/>
      <c r="R1701" s="469"/>
      <c r="S1701" s="469"/>
      <c r="T1701" s="469"/>
      <c r="U1701" s="469"/>
      <c r="V1701" s="469"/>
      <c r="W1701" s="469"/>
      <c r="X1701" s="469"/>
      <c r="Y1701" s="469"/>
      <c r="Z1701" s="469"/>
      <c r="AA1701" s="469"/>
      <c r="AB1701" s="469"/>
    </row>
    <row r="1702" ht="14.25" customHeight="1">
      <c r="A1702" s="464"/>
      <c r="B1702" s="481"/>
      <c r="C1702" s="466"/>
      <c r="D1702" s="484"/>
      <c r="E1702" s="466"/>
      <c r="F1702" s="485"/>
      <c r="G1702" s="485"/>
      <c r="H1702" s="485"/>
      <c r="I1702" s="331"/>
      <c r="J1702" s="469"/>
      <c r="K1702" s="469"/>
      <c r="L1702" s="469"/>
      <c r="M1702" s="469"/>
      <c r="N1702" s="469"/>
      <c r="O1702" s="469"/>
      <c r="P1702" s="469"/>
      <c r="Q1702" s="469"/>
      <c r="R1702" s="469"/>
      <c r="S1702" s="469"/>
      <c r="T1702" s="469"/>
      <c r="U1702" s="469"/>
      <c r="V1702" s="469"/>
      <c r="W1702" s="469"/>
      <c r="X1702" s="469"/>
      <c r="Y1702" s="469"/>
      <c r="Z1702" s="469"/>
      <c r="AA1702" s="469"/>
      <c r="AB1702" s="469"/>
    </row>
    <row r="1703" ht="14.25" customHeight="1">
      <c r="A1703" s="464"/>
      <c r="B1703" s="481"/>
      <c r="C1703" s="466"/>
      <c r="D1703" s="484"/>
      <c r="E1703" s="466"/>
      <c r="F1703" s="485"/>
      <c r="G1703" s="485"/>
      <c r="H1703" s="485"/>
      <c r="I1703" s="331"/>
      <c r="J1703" s="469"/>
      <c r="K1703" s="469"/>
      <c r="L1703" s="469"/>
      <c r="M1703" s="469"/>
      <c r="N1703" s="469"/>
      <c r="O1703" s="469"/>
      <c r="P1703" s="469"/>
      <c r="Q1703" s="469"/>
      <c r="R1703" s="469"/>
      <c r="S1703" s="469"/>
      <c r="T1703" s="469"/>
      <c r="U1703" s="469"/>
      <c r="V1703" s="469"/>
      <c r="W1703" s="469"/>
      <c r="X1703" s="469"/>
      <c r="Y1703" s="469"/>
      <c r="Z1703" s="469"/>
      <c r="AA1703" s="469"/>
      <c r="AB1703" s="469"/>
    </row>
    <row r="1704" ht="14.25" customHeight="1">
      <c r="A1704" s="464"/>
      <c r="B1704" s="481"/>
      <c r="C1704" s="466"/>
      <c r="D1704" s="484"/>
      <c r="E1704" s="466"/>
      <c r="F1704" s="485"/>
      <c r="G1704" s="485"/>
      <c r="H1704" s="485"/>
      <c r="I1704" s="331"/>
      <c r="J1704" s="469"/>
      <c r="K1704" s="469"/>
      <c r="L1704" s="469"/>
      <c r="M1704" s="469"/>
      <c r="N1704" s="469"/>
      <c r="O1704" s="469"/>
      <c r="P1704" s="469"/>
      <c r="Q1704" s="469"/>
      <c r="R1704" s="469"/>
      <c r="S1704" s="469"/>
      <c r="T1704" s="469"/>
      <c r="U1704" s="469"/>
      <c r="V1704" s="469"/>
      <c r="W1704" s="469"/>
      <c r="X1704" s="469"/>
      <c r="Y1704" s="469"/>
      <c r="Z1704" s="469"/>
      <c r="AA1704" s="469"/>
      <c r="AB1704" s="469"/>
    </row>
    <row r="1705" ht="14.25" customHeight="1">
      <c r="A1705" s="464"/>
      <c r="B1705" s="481"/>
      <c r="C1705" s="466"/>
      <c r="D1705" s="484"/>
      <c r="E1705" s="466"/>
      <c r="F1705" s="485"/>
      <c r="G1705" s="485"/>
      <c r="H1705" s="485"/>
      <c r="I1705" s="331"/>
      <c r="J1705" s="469"/>
      <c r="K1705" s="469"/>
      <c r="L1705" s="469"/>
      <c r="M1705" s="469"/>
      <c r="N1705" s="469"/>
      <c r="O1705" s="469"/>
      <c r="P1705" s="469"/>
      <c r="Q1705" s="469"/>
      <c r="R1705" s="469"/>
      <c r="S1705" s="469"/>
      <c r="T1705" s="469"/>
      <c r="U1705" s="469"/>
      <c r="V1705" s="469"/>
      <c r="W1705" s="469"/>
      <c r="X1705" s="469"/>
      <c r="Y1705" s="469"/>
      <c r="Z1705" s="469"/>
      <c r="AA1705" s="469"/>
      <c r="AB1705" s="469"/>
    </row>
    <row r="1706" ht="14.25" customHeight="1">
      <c r="A1706" s="464"/>
      <c r="B1706" s="481"/>
      <c r="C1706" s="466"/>
      <c r="D1706" s="484"/>
      <c r="E1706" s="466"/>
      <c r="F1706" s="485"/>
      <c r="G1706" s="485"/>
      <c r="H1706" s="485"/>
      <c r="I1706" s="331"/>
      <c r="J1706" s="469"/>
      <c r="K1706" s="469"/>
      <c r="L1706" s="469"/>
      <c r="M1706" s="469"/>
      <c r="N1706" s="469"/>
      <c r="O1706" s="469"/>
      <c r="P1706" s="469"/>
      <c r="Q1706" s="469"/>
      <c r="R1706" s="469"/>
      <c r="S1706" s="469"/>
      <c r="T1706" s="469"/>
      <c r="U1706" s="469"/>
      <c r="V1706" s="469"/>
      <c r="W1706" s="469"/>
      <c r="X1706" s="469"/>
      <c r="Y1706" s="469"/>
      <c r="Z1706" s="469"/>
      <c r="AA1706" s="469"/>
      <c r="AB1706" s="469"/>
    </row>
    <row r="1707" ht="14.25" customHeight="1">
      <c r="A1707" s="464"/>
      <c r="B1707" s="481"/>
      <c r="C1707" s="466"/>
      <c r="D1707" s="484"/>
      <c r="E1707" s="466"/>
      <c r="F1707" s="485"/>
      <c r="G1707" s="485"/>
      <c r="H1707" s="485"/>
      <c r="I1707" s="331"/>
      <c r="J1707" s="469"/>
      <c r="K1707" s="469"/>
      <c r="L1707" s="469"/>
      <c r="M1707" s="469"/>
      <c r="N1707" s="469"/>
      <c r="O1707" s="469"/>
      <c r="P1707" s="469"/>
      <c r="Q1707" s="469"/>
      <c r="R1707" s="469"/>
      <c r="S1707" s="469"/>
      <c r="T1707" s="469"/>
      <c r="U1707" s="469"/>
      <c r="V1707" s="469"/>
      <c r="W1707" s="469"/>
      <c r="X1707" s="469"/>
      <c r="Y1707" s="469"/>
      <c r="Z1707" s="469"/>
      <c r="AA1707" s="469"/>
      <c r="AB1707" s="469"/>
    </row>
    <row r="1708" ht="14.25" customHeight="1">
      <c r="A1708" s="464"/>
      <c r="B1708" s="481"/>
      <c r="C1708" s="466"/>
      <c r="D1708" s="484"/>
      <c r="E1708" s="466"/>
      <c r="F1708" s="485"/>
      <c r="G1708" s="485"/>
      <c r="H1708" s="485"/>
      <c r="I1708" s="331"/>
      <c r="J1708" s="469"/>
      <c r="K1708" s="469"/>
      <c r="L1708" s="469"/>
      <c r="M1708" s="469"/>
      <c r="N1708" s="469"/>
      <c r="O1708" s="469"/>
      <c r="P1708" s="469"/>
      <c r="Q1708" s="469"/>
      <c r="R1708" s="469"/>
      <c r="S1708" s="469"/>
      <c r="T1708" s="469"/>
      <c r="U1708" s="469"/>
      <c r="V1708" s="469"/>
      <c r="W1708" s="469"/>
      <c r="X1708" s="469"/>
      <c r="Y1708" s="469"/>
      <c r="Z1708" s="469"/>
      <c r="AA1708" s="469"/>
      <c r="AB1708" s="469"/>
    </row>
    <row r="1709" ht="14.25" customHeight="1">
      <c r="A1709" s="464"/>
      <c r="B1709" s="481"/>
      <c r="C1709" s="466"/>
      <c r="D1709" s="484"/>
      <c r="E1709" s="466"/>
      <c r="F1709" s="485"/>
      <c r="G1709" s="485"/>
      <c r="H1709" s="485"/>
      <c r="I1709" s="331"/>
      <c r="J1709" s="469"/>
      <c r="K1709" s="469"/>
      <c r="L1709" s="469"/>
      <c r="M1709" s="469"/>
      <c r="N1709" s="469"/>
      <c r="O1709" s="469"/>
      <c r="P1709" s="469"/>
      <c r="Q1709" s="469"/>
      <c r="R1709" s="469"/>
      <c r="S1709" s="469"/>
      <c r="T1709" s="469"/>
      <c r="U1709" s="469"/>
      <c r="V1709" s="469"/>
      <c r="W1709" s="469"/>
      <c r="X1709" s="469"/>
      <c r="Y1709" s="469"/>
      <c r="Z1709" s="469"/>
      <c r="AA1709" s="469"/>
      <c r="AB1709" s="469"/>
    </row>
    <row r="1710" ht="14.25" customHeight="1">
      <c r="A1710" s="464"/>
      <c r="B1710" s="481"/>
      <c r="C1710" s="466"/>
      <c r="D1710" s="484"/>
      <c r="E1710" s="466"/>
      <c r="F1710" s="485"/>
      <c r="G1710" s="485"/>
      <c r="H1710" s="485"/>
      <c r="I1710" s="331"/>
      <c r="J1710" s="469"/>
      <c r="K1710" s="469"/>
      <c r="L1710" s="469"/>
      <c r="M1710" s="469"/>
      <c r="N1710" s="469"/>
      <c r="O1710" s="469"/>
      <c r="P1710" s="469"/>
      <c r="Q1710" s="469"/>
      <c r="R1710" s="469"/>
      <c r="S1710" s="469"/>
      <c r="T1710" s="469"/>
      <c r="U1710" s="469"/>
      <c r="V1710" s="469"/>
      <c r="W1710" s="469"/>
      <c r="X1710" s="469"/>
      <c r="Y1710" s="469"/>
      <c r="Z1710" s="469"/>
      <c r="AA1710" s="469"/>
      <c r="AB1710" s="469"/>
    </row>
    <row r="1711" ht="14.25" customHeight="1">
      <c r="A1711" s="464"/>
      <c r="B1711" s="481"/>
      <c r="C1711" s="466"/>
      <c r="D1711" s="484"/>
      <c r="E1711" s="466"/>
      <c r="F1711" s="485"/>
      <c r="G1711" s="485"/>
      <c r="H1711" s="485"/>
      <c r="I1711" s="331"/>
      <c r="J1711" s="469"/>
      <c r="K1711" s="469"/>
      <c r="L1711" s="469"/>
      <c r="M1711" s="469"/>
      <c r="N1711" s="469"/>
      <c r="O1711" s="469"/>
      <c r="P1711" s="469"/>
      <c r="Q1711" s="469"/>
      <c r="R1711" s="469"/>
      <c r="S1711" s="469"/>
      <c r="T1711" s="469"/>
      <c r="U1711" s="469"/>
      <c r="V1711" s="469"/>
      <c r="W1711" s="469"/>
      <c r="X1711" s="469"/>
      <c r="Y1711" s="469"/>
      <c r="Z1711" s="469"/>
      <c r="AA1711" s="469"/>
      <c r="AB1711" s="469"/>
    </row>
    <row r="1712" ht="14.25" customHeight="1">
      <c r="A1712" s="464"/>
      <c r="B1712" s="481"/>
      <c r="C1712" s="466"/>
      <c r="D1712" s="484"/>
      <c r="E1712" s="466"/>
      <c r="F1712" s="485"/>
      <c r="G1712" s="485"/>
      <c r="H1712" s="485"/>
      <c r="I1712" s="331"/>
      <c r="J1712" s="469"/>
      <c r="K1712" s="469"/>
      <c r="L1712" s="469"/>
      <c r="M1712" s="469"/>
      <c r="N1712" s="469"/>
      <c r="O1712" s="469"/>
      <c r="P1712" s="469"/>
      <c r="Q1712" s="469"/>
      <c r="R1712" s="469"/>
      <c r="S1712" s="469"/>
      <c r="T1712" s="469"/>
      <c r="U1712" s="469"/>
      <c r="V1712" s="469"/>
      <c r="W1712" s="469"/>
      <c r="X1712" s="469"/>
      <c r="Y1712" s="469"/>
      <c r="Z1712" s="469"/>
      <c r="AA1712" s="469"/>
      <c r="AB1712" s="469"/>
    </row>
    <row r="1713" ht="14.25" customHeight="1">
      <c r="A1713" s="464"/>
      <c r="B1713" s="481"/>
      <c r="C1713" s="466"/>
      <c r="D1713" s="484"/>
      <c r="E1713" s="466"/>
      <c r="F1713" s="485"/>
      <c r="G1713" s="485"/>
      <c r="H1713" s="485"/>
      <c r="I1713" s="331"/>
      <c r="J1713" s="469"/>
      <c r="K1713" s="469"/>
      <c r="L1713" s="469"/>
      <c r="M1713" s="469"/>
      <c r="N1713" s="469"/>
      <c r="O1713" s="469"/>
      <c r="P1713" s="469"/>
      <c r="Q1713" s="469"/>
      <c r="R1713" s="469"/>
      <c r="S1713" s="469"/>
      <c r="T1713" s="469"/>
      <c r="U1713" s="469"/>
      <c r="V1713" s="469"/>
      <c r="W1713" s="469"/>
      <c r="X1713" s="469"/>
      <c r="Y1713" s="469"/>
      <c r="Z1713" s="469"/>
      <c r="AA1713" s="469"/>
      <c r="AB1713" s="469"/>
    </row>
    <row r="1714" ht="14.25" customHeight="1">
      <c r="A1714" s="464"/>
      <c r="B1714" s="481"/>
      <c r="C1714" s="466"/>
      <c r="D1714" s="484"/>
      <c r="E1714" s="466"/>
      <c r="F1714" s="485"/>
      <c r="G1714" s="485"/>
      <c r="H1714" s="485"/>
      <c r="I1714" s="331"/>
      <c r="J1714" s="469"/>
      <c r="K1714" s="469"/>
      <c r="L1714" s="469"/>
      <c r="M1714" s="469"/>
      <c r="N1714" s="469"/>
      <c r="O1714" s="469"/>
      <c r="P1714" s="469"/>
      <c r="Q1714" s="469"/>
      <c r="R1714" s="469"/>
      <c r="S1714" s="469"/>
      <c r="T1714" s="469"/>
      <c r="U1714" s="469"/>
      <c r="V1714" s="469"/>
      <c r="W1714" s="469"/>
      <c r="X1714" s="469"/>
      <c r="Y1714" s="469"/>
      <c r="Z1714" s="469"/>
      <c r="AA1714" s="469"/>
      <c r="AB1714" s="469"/>
    </row>
    <row r="1715" ht="14.25" customHeight="1">
      <c r="A1715" s="464"/>
      <c r="B1715" s="481"/>
      <c r="C1715" s="466"/>
      <c r="D1715" s="484"/>
      <c r="E1715" s="466"/>
      <c r="F1715" s="485"/>
      <c r="G1715" s="485"/>
      <c r="H1715" s="485"/>
      <c r="I1715" s="331"/>
      <c r="J1715" s="469"/>
      <c r="K1715" s="469"/>
      <c r="L1715" s="469"/>
      <c r="M1715" s="469"/>
      <c r="N1715" s="469"/>
      <c r="O1715" s="469"/>
      <c r="P1715" s="469"/>
      <c r="Q1715" s="469"/>
      <c r="R1715" s="469"/>
      <c r="S1715" s="469"/>
      <c r="T1715" s="469"/>
      <c r="U1715" s="469"/>
      <c r="V1715" s="469"/>
      <c r="W1715" s="469"/>
      <c r="X1715" s="469"/>
      <c r="Y1715" s="469"/>
      <c r="Z1715" s="469"/>
      <c r="AA1715" s="469"/>
      <c r="AB1715" s="469"/>
    </row>
    <row r="1716" ht="14.25" customHeight="1">
      <c r="A1716" s="464"/>
      <c r="B1716" s="481"/>
      <c r="C1716" s="466"/>
      <c r="D1716" s="484"/>
      <c r="E1716" s="466"/>
      <c r="F1716" s="485"/>
      <c r="G1716" s="485"/>
      <c r="H1716" s="485"/>
      <c r="I1716" s="331"/>
      <c r="J1716" s="469"/>
      <c r="K1716" s="469"/>
      <c r="L1716" s="469"/>
      <c r="M1716" s="469"/>
      <c r="N1716" s="469"/>
      <c r="O1716" s="469"/>
      <c r="P1716" s="469"/>
      <c r="Q1716" s="469"/>
      <c r="R1716" s="469"/>
      <c r="S1716" s="469"/>
      <c r="T1716" s="469"/>
      <c r="U1716" s="469"/>
      <c r="V1716" s="469"/>
      <c r="W1716" s="469"/>
      <c r="X1716" s="469"/>
      <c r="Y1716" s="469"/>
      <c r="Z1716" s="469"/>
      <c r="AA1716" s="469"/>
      <c r="AB1716" s="469"/>
    </row>
    <row r="1717" ht="14.25" customHeight="1">
      <c r="A1717" s="464"/>
      <c r="B1717" s="481"/>
      <c r="C1717" s="466"/>
      <c r="D1717" s="484"/>
      <c r="E1717" s="466"/>
      <c r="F1717" s="485"/>
      <c r="G1717" s="485"/>
      <c r="H1717" s="485"/>
      <c r="I1717" s="331"/>
      <c r="J1717" s="469"/>
      <c r="K1717" s="469"/>
      <c r="L1717" s="469"/>
      <c r="M1717" s="469"/>
      <c r="N1717" s="469"/>
      <c r="O1717" s="469"/>
      <c r="P1717" s="469"/>
      <c r="Q1717" s="469"/>
      <c r="R1717" s="469"/>
      <c r="S1717" s="469"/>
      <c r="T1717" s="469"/>
      <c r="U1717" s="469"/>
      <c r="V1717" s="469"/>
      <c r="W1717" s="469"/>
      <c r="X1717" s="469"/>
      <c r="Y1717" s="469"/>
      <c r="Z1717" s="469"/>
      <c r="AA1717" s="469"/>
      <c r="AB1717" s="469"/>
    </row>
    <row r="1718" ht="14.25" customHeight="1">
      <c r="A1718" s="464"/>
      <c r="B1718" s="481"/>
      <c r="C1718" s="466"/>
      <c r="D1718" s="484"/>
      <c r="E1718" s="466"/>
      <c r="F1718" s="485"/>
      <c r="G1718" s="485"/>
      <c r="H1718" s="485"/>
      <c r="I1718" s="331"/>
      <c r="J1718" s="469"/>
      <c r="K1718" s="469"/>
      <c r="L1718" s="469"/>
      <c r="M1718" s="469"/>
      <c r="N1718" s="469"/>
      <c r="O1718" s="469"/>
      <c r="P1718" s="469"/>
      <c r="Q1718" s="469"/>
      <c r="R1718" s="469"/>
      <c r="S1718" s="469"/>
      <c r="T1718" s="469"/>
      <c r="U1718" s="469"/>
      <c r="V1718" s="469"/>
      <c r="W1718" s="469"/>
      <c r="X1718" s="469"/>
      <c r="Y1718" s="469"/>
      <c r="Z1718" s="469"/>
      <c r="AA1718" s="469"/>
      <c r="AB1718" s="469"/>
    </row>
    <row r="1719" ht="14.25" customHeight="1">
      <c r="A1719" s="464"/>
      <c r="B1719" s="481"/>
      <c r="C1719" s="466"/>
      <c r="D1719" s="484"/>
      <c r="E1719" s="466"/>
      <c r="F1719" s="485"/>
      <c r="G1719" s="485"/>
      <c r="H1719" s="485"/>
      <c r="I1719" s="331"/>
      <c r="J1719" s="469"/>
      <c r="K1719" s="469"/>
      <c r="L1719" s="469"/>
      <c r="M1719" s="469"/>
      <c r="N1719" s="469"/>
      <c r="O1719" s="469"/>
      <c r="P1719" s="469"/>
      <c r="Q1719" s="469"/>
      <c r="R1719" s="469"/>
      <c r="S1719" s="469"/>
      <c r="T1719" s="469"/>
      <c r="U1719" s="469"/>
      <c r="V1719" s="469"/>
      <c r="W1719" s="469"/>
      <c r="X1719" s="469"/>
      <c r="Y1719" s="469"/>
      <c r="Z1719" s="469"/>
      <c r="AA1719" s="469"/>
      <c r="AB1719" s="469"/>
    </row>
    <row r="1720" ht="14.25" customHeight="1">
      <c r="A1720" s="464"/>
      <c r="B1720" s="481"/>
      <c r="C1720" s="466"/>
      <c r="D1720" s="484"/>
      <c r="E1720" s="466"/>
      <c r="F1720" s="485"/>
      <c r="G1720" s="485"/>
      <c r="H1720" s="485"/>
      <c r="I1720" s="331"/>
      <c r="J1720" s="469"/>
      <c r="K1720" s="469"/>
      <c r="L1720" s="469"/>
      <c r="M1720" s="469"/>
      <c r="N1720" s="469"/>
      <c r="O1720" s="469"/>
      <c r="P1720" s="469"/>
      <c r="Q1720" s="469"/>
      <c r="R1720" s="469"/>
      <c r="S1720" s="469"/>
      <c r="T1720" s="469"/>
      <c r="U1720" s="469"/>
      <c r="V1720" s="469"/>
      <c r="W1720" s="469"/>
      <c r="X1720" s="469"/>
      <c r="Y1720" s="469"/>
      <c r="Z1720" s="469"/>
      <c r="AA1720" s="469"/>
      <c r="AB1720" s="469"/>
    </row>
    <row r="1721" ht="14.25" customHeight="1">
      <c r="A1721" s="464"/>
      <c r="B1721" s="481"/>
      <c r="C1721" s="466"/>
      <c r="D1721" s="484"/>
      <c r="E1721" s="466"/>
      <c r="F1721" s="485"/>
      <c r="G1721" s="485"/>
      <c r="H1721" s="485"/>
      <c r="I1721" s="331"/>
      <c r="J1721" s="469"/>
      <c r="K1721" s="469"/>
      <c r="L1721" s="469"/>
      <c r="M1721" s="469"/>
      <c r="N1721" s="469"/>
      <c r="O1721" s="469"/>
      <c r="P1721" s="469"/>
      <c r="Q1721" s="469"/>
      <c r="R1721" s="469"/>
      <c r="S1721" s="469"/>
      <c r="T1721" s="469"/>
      <c r="U1721" s="469"/>
      <c r="V1721" s="469"/>
      <c r="W1721" s="469"/>
      <c r="X1721" s="469"/>
      <c r="Y1721" s="469"/>
      <c r="Z1721" s="469"/>
      <c r="AA1721" s="469"/>
      <c r="AB1721" s="469"/>
    </row>
    <row r="1722" ht="14.25" customHeight="1">
      <c r="A1722" s="464"/>
      <c r="B1722" s="481"/>
      <c r="C1722" s="466"/>
      <c r="D1722" s="484"/>
      <c r="E1722" s="466"/>
      <c r="F1722" s="485"/>
      <c r="G1722" s="485"/>
      <c r="H1722" s="485"/>
      <c r="I1722" s="331"/>
      <c r="J1722" s="469"/>
      <c r="K1722" s="469"/>
      <c r="L1722" s="469"/>
      <c r="M1722" s="469"/>
      <c r="N1722" s="469"/>
      <c r="O1722" s="469"/>
      <c r="P1722" s="469"/>
      <c r="Q1722" s="469"/>
      <c r="R1722" s="469"/>
      <c r="S1722" s="469"/>
      <c r="T1722" s="469"/>
      <c r="U1722" s="469"/>
      <c r="V1722" s="469"/>
      <c r="W1722" s="469"/>
      <c r="X1722" s="469"/>
      <c r="Y1722" s="469"/>
      <c r="Z1722" s="469"/>
      <c r="AA1722" s="469"/>
      <c r="AB1722" s="469"/>
    </row>
    <row r="1723" ht="14.25" customHeight="1">
      <c r="A1723" s="464"/>
      <c r="B1723" s="481"/>
      <c r="C1723" s="466"/>
      <c r="D1723" s="484"/>
      <c r="E1723" s="466"/>
      <c r="F1723" s="485"/>
      <c r="G1723" s="485"/>
      <c r="H1723" s="485"/>
      <c r="I1723" s="331"/>
      <c r="J1723" s="469"/>
      <c r="K1723" s="469"/>
      <c r="L1723" s="469"/>
      <c r="M1723" s="469"/>
      <c r="N1723" s="469"/>
      <c r="O1723" s="469"/>
      <c r="P1723" s="469"/>
      <c r="Q1723" s="469"/>
      <c r="R1723" s="469"/>
      <c r="S1723" s="469"/>
      <c r="T1723" s="469"/>
      <c r="U1723" s="469"/>
      <c r="V1723" s="469"/>
      <c r="W1723" s="469"/>
      <c r="X1723" s="469"/>
      <c r="Y1723" s="469"/>
      <c r="Z1723" s="469"/>
      <c r="AA1723" s="469"/>
      <c r="AB1723" s="469"/>
    </row>
    <row r="1724" ht="14.25" customHeight="1">
      <c r="A1724" s="464"/>
      <c r="B1724" s="481"/>
      <c r="C1724" s="466"/>
      <c r="D1724" s="484"/>
      <c r="E1724" s="466"/>
      <c r="F1724" s="485"/>
      <c r="G1724" s="485"/>
      <c r="H1724" s="485"/>
      <c r="I1724" s="331"/>
      <c r="J1724" s="469"/>
      <c r="K1724" s="469"/>
      <c r="L1724" s="469"/>
      <c r="M1724" s="469"/>
      <c r="N1724" s="469"/>
      <c r="O1724" s="469"/>
      <c r="P1724" s="469"/>
      <c r="Q1724" s="469"/>
      <c r="R1724" s="469"/>
      <c r="S1724" s="469"/>
      <c r="T1724" s="469"/>
      <c r="U1724" s="469"/>
      <c r="V1724" s="469"/>
      <c r="W1724" s="469"/>
      <c r="X1724" s="469"/>
      <c r="Y1724" s="469"/>
      <c r="Z1724" s="469"/>
      <c r="AA1724" s="469"/>
      <c r="AB1724" s="469"/>
    </row>
    <row r="1725" ht="14.25" customHeight="1">
      <c r="A1725" s="464"/>
      <c r="B1725" s="481"/>
      <c r="C1725" s="466"/>
      <c r="D1725" s="484"/>
      <c r="E1725" s="466"/>
      <c r="F1725" s="485"/>
      <c r="G1725" s="485"/>
      <c r="H1725" s="485"/>
      <c r="I1725" s="331"/>
      <c r="J1725" s="469"/>
      <c r="K1725" s="469"/>
      <c r="L1725" s="469"/>
      <c r="M1725" s="469"/>
      <c r="N1725" s="469"/>
      <c r="O1725" s="469"/>
      <c r="P1725" s="469"/>
      <c r="Q1725" s="469"/>
      <c r="R1725" s="469"/>
      <c r="S1725" s="469"/>
      <c r="T1725" s="469"/>
      <c r="U1725" s="469"/>
      <c r="V1725" s="469"/>
      <c r="W1725" s="469"/>
      <c r="X1725" s="469"/>
      <c r="Y1725" s="469"/>
      <c r="Z1725" s="469"/>
      <c r="AA1725" s="469"/>
      <c r="AB1725" s="469"/>
    </row>
    <row r="1726" ht="14.25" customHeight="1">
      <c r="A1726" s="464"/>
      <c r="B1726" s="481"/>
      <c r="C1726" s="466"/>
      <c r="D1726" s="484"/>
      <c r="E1726" s="466"/>
      <c r="F1726" s="485"/>
      <c r="G1726" s="485"/>
      <c r="H1726" s="485"/>
      <c r="I1726" s="331"/>
      <c r="J1726" s="469"/>
      <c r="K1726" s="469"/>
      <c r="L1726" s="469"/>
      <c r="M1726" s="469"/>
      <c r="N1726" s="469"/>
      <c r="O1726" s="469"/>
      <c r="P1726" s="469"/>
      <c r="Q1726" s="469"/>
      <c r="R1726" s="469"/>
      <c r="S1726" s="469"/>
      <c r="T1726" s="469"/>
      <c r="U1726" s="469"/>
      <c r="V1726" s="469"/>
      <c r="W1726" s="469"/>
      <c r="X1726" s="469"/>
      <c r="Y1726" s="469"/>
      <c r="Z1726" s="469"/>
      <c r="AA1726" s="469"/>
      <c r="AB1726" s="469"/>
    </row>
    <row r="1727" ht="14.25" customHeight="1">
      <c r="A1727" s="464"/>
      <c r="B1727" s="481"/>
      <c r="C1727" s="466"/>
      <c r="D1727" s="484"/>
      <c r="E1727" s="466"/>
      <c r="F1727" s="485"/>
      <c r="G1727" s="485"/>
      <c r="H1727" s="485"/>
      <c r="I1727" s="331"/>
      <c r="J1727" s="469"/>
      <c r="K1727" s="469"/>
      <c r="L1727" s="469"/>
      <c r="M1727" s="469"/>
      <c r="N1727" s="469"/>
      <c r="O1727" s="469"/>
      <c r="P1727" s="469"/>
      <c r="Q1727" s="469"/>
      <c r="R1727" s="469"/>
      <c r="S1727" s="469"/>
      <c r="T1727" s="469"/>
      <c r="U1727" s="469"/>
      <c r="V1727" s="469"/>
      <c r="W1727" s="469"/>
      <c r="X1727" s="469"/>
      <c r="Y1727" s="469"/>
      <c r="Z1727" s="469"/>
      <c r="AA1727" s="469"/>
      <c r="AB1727" s="469"/>
    </row>
    <row r="1728" ht="14.25" customHeight="1">
      <c r="A1728" s="464"/>
      <c r="B1728" s="481"/>
      <c r="C1728" s="466"/>
      <c r="D1728" s="484"/>
      <c r="E1728" s="466"/>
      <c r="F1728" s="485"/>
      <c r="G1728" s="485"/>
      <c r="H1728" s="485"/>
      <c r="I1728" s="331"/>
      <c r="J1728" s="469"/>
      <c r="K1728" s="469"/>
      <c r="L1728" s="469"/>
      <c r="M1728" s="469"/>
      <c r="N1728" s="469"/>
      <c r="O1728" s="469"/>
      <c r="P1728" s="469"/>
      <c r="Q1728" s="469"/>
      <c r="R1728" s="469"/>
      <c r="S1728" s="469"/>
      <c r="T1728" s="469"/>
      <c r="U1728" s="469"/>
      <c r="V1728" s="469"/>
      <c r="W1728" s="469"/>
      <c r="X1728" s="469"/>
      <c r="Y1728" s="469"/>
      <c r="Z1728" s="469"/>
      <c r="AA1728" s="469"/>
      <c r="AB1728" s="469"/>
    </row>
    <row r="1729" ht="14.25" customHeight="1">
      <c r="A1729" s="464"/>
      <c r="B1729" s="481"/>
      <c r="C1729" s="466"/>
      <c r="D1729" s="484"/>
      <c r="E1729" s="466"/>
      <c r="F1729" s="485"/>
      <c r="G1729" s="485"/>
      <c r="H1729" s="485"/>
      <c r="I1729" s="331"/>
      <c r="J1729" s="469"/>
      <c r="K1729" s="469"/>
      <c r="L1729" s="469"/>
      <c r="M1729" s="469"/>
      <c r="N1729" s="469"/>
      <c r="O1729" s="469"/>
      <c r="P1729" s="469"/>
      <c r="Q1729" s="469"/>
      <c r="R1729" s="469"/>
      <c r="S1729" s="469"/>
      <c r="T1729" s="469"/>
      <c r="U1729" s="469"/>
      <c r="V1729" s="469"/>
      <c r="W1729" s="469"/>
      <c r="X1729" s="469"/>
      <c r="Y1729" s="469"/>
      <c r="Z1729" s="469"/>
      <c r="AA1729" s="469"/>
      <c r="AB1729" s="469"/>
    </row>
    <row r="1730" ht="14.25" customHeight="1">
      <c r="A1730" s="464"/>
      <c r="B1730" s="481"/>
      <c r="C1730" s="466"/>
      <c r="D1730" s="484"/>
      <c r="E1730" s="466"/>
      <c r="F1730" s="485"/>
      <c r="G1730" s="485"/>
      <c r="H1730" s="485"/>
      <c r="I1730" s="331"/>
      <c r="J1730" s="469"/>
      <c r="K1730" s="469"/>
      <c r="L1730" s="469"/>
      <c r="M1730" s="469"/>
      <c r="N1730" s="469"/>
      <c r="O1730" s="469"/>
      <c r="P1730" s="469"/>
      <c r="Q1730" s="469"/>
      <c r="R1730" s="469"/>
      <c r="S1730" s="469"/>
      <c r="T1730" s="469"/>
      <c r="U1730" s="469"/>
      <c r="V1730" s="469"/>
      <c r="W1730" s="469"/>
      <c r="X1730" s="469"/>
      <c r="Y1730" s="469"/>
      <c r="Z1730" s="469"/>
      <c r="AA1730" s="469"/>
      <c r="AB1730" s="469"/>
    </row>
    <row r="1731" ht="14.25" customHeight="1">
      <c r="A1731" s="464"/>
      <c r="B1731" s="481"/>
      <c r="C1731" s="466"/>
      <c r="D1731" s="484"/>
      <c r="E1731" s="466"/>
      <c r="F1731" s="485"/>
      <c r="G1731" s="485"/>
      <c r="H1731" s="485"/>
      <c r="I1731" s="331"/>
      <c r="J1731" s="469"/>
      <c r="K1731" s="469"/>
      <c r="L1731" s="469"/>
      <c r="M1731" s="469"/>
      <c r="N1731" s="469"/>
      <c r="O1731" s="469"/>
      <c r="P1731" s="469"/>
      <c r="Q1731" s="469"/>
      <c r="R1731" s="469"/>
      <c r="S1731" s="469"/>
      <c r="T1731" s="469"/>
      <c r="U1731" s="469"/>
      <c r="V1731" s="469"/>
      <c r="W1731" s="469"/>
      <c r="X1731" s="469"/>
      <c r="Y1731" s="469"/>
      <c r="Z1731" s="469"/>
      <c r="AA1731" s="469"/>
      <c r="AB1731" s="469"/>
    </row>
    <row r="1732" ht="14.25" customHeight="1">
      <c r="A1732" s="464"/>
      <c r="B1732" s="481"/>
      <c r="C1732" s="466"/>
      <c r="D1732" s="484"/>
      <c r="E1732" s="466"/>
      <c r="F1732" s="485"/>
      <c r="G1732" s="485"/>
      <c r="H1732" s="485"/>
      <c r="I1732" s="331"/>
      <c r="J1732" s="469"/>
      <c r="K1732" s="469"/>
      <c r="L1732" s="469"/>
      <c r="M1732" s="469"/>
      <c r="N1732" s="469"/>
      <c r="O1732" s="469"/>
      <c r="P1732" s="469"/>
      <c r="Q1732" s="469"/>
      <c r="R1732" s="469"/>
      <c r="S1732" s="469"/>
      <c r="T1732" s="469"/>
      <c r="U1732" s="469"/>
      <c r="V1732" s="469"/>
      <c r="W1732" s="469"/>
      <c r="X1732" s="469"/>
      <c r="Y1732" s="469"/>
      <c r="Z1732" s="469"/>
      <c r="AA1732" s="469"/>
      <c r="AB1732" s="469"/>
    </row>
    <row r="1733" ht="14.25" customHeight="1">
      <c r="A1733" s="464"/>
      <c r="B1733" s="481"/>
      <c r="C1733" s="466"/>
      <c r="D1733" s="484"/>
      <c r="E1733" s="466"/>
      <c r="F1733" s="485"/>
      <c r="G1733" s="485"/>
      <c r="H1733" s="485"/>
      <c r="I1733" s="331"/>
      <c r="J1733" s="469"/>
      <c r="K1733" s="469"/>
      <c r="L1733" s="469"/>
      <c r="M1733" s="469"/>
      <c r="N1733" s="469"/>
      <c r="O1733" s="469"/>
      <c r="P1733" s="469"/>
      <c r="Q1733" s="469"/>
      <c r="R1733" s="469"/>
      <c r="S1733" s="469"/>
      <c r="T1733" s="469"/>
      <c r="U1733" s="469"/>
      <c r="V1733" s="469"/>
      <c r="W1733" s="469"/>
      <c r="X1733" s="469"/>
      <c r="Y1733" s="469"/>
      <c r="Z1733" s="469"/>
      <c r="AA1733" s="469"/>
      <c r="AB1733" s="469"/>
    </row>
    <row r="1734" ht="14.25" customHeight="1">
      <c r="A1734" s="464"/>
      <c r="B1734" s="481"/>
      <c r="C1734" s="466"/>
      <c r="D1734" s="484"/>
      <c r="E1734" s="466"/>
      <c r="F1734" s="485"/>
      <c r="G1734" s="485"/>
      <c r="H1734" s="485"/>
      <c r="I1734" s="331"/>
      <c r="J1734" s="469"/>
      <c r="K1734" s="469"/>
      <c r="L1734" s="469"/>
      <c r="M1734" s="469"/>
      <c r="N1734" s="469"/>
      <c r="O1734" s="469"/>
      <c r="P1734" s="469"/>
      <c r="Q1734" s="469"/>
      <c r="R1734" s="469"/>
      <c r="S1734" s="469"/>
      <c r="T1734" s="469"/>
      <c r="U1734" s="469"/>
      <c r="V1734" s="469"/>
      <c r="W1734" s="469"/>
      <c r="X1734" s="469"/>
      <c r="Y1734" s="469"/>
      <c r="Z1734" s="469"/>
      <c r="AA1734" s="469"/>
      <c r="AB1734" s="469"/>
    </row>
    <row r="1735" ht="14.25" customHeight="1">
      <c r="A1735" s="464"/>
      <c r="B1735" s="481"/>
      <c r="C1735" s="466"/>
      <c r="D1735" s="484"/>
      <c r="E1735" s="466"/>
      <c r="F1735" s="485"/>
      <c r="G1735" s="485"/>
      <c r="H1735" s="485"/>
      <c r="I1735" s="331"/>
      <c r="J1735" s="469"/>
      <c r="K1735" s="469"/>
      <c r="L1735" s="469"/>
      <c r="M1735" s="469"/>
      <c r="N1735" s="469"/>
      <c r="O1735" s="469"/>
      <c r="P1735" s="469"/>
      <c r="Q1735" s="469"/>
      <c r="R1735" s="469"/>
      <c r="S1735" s="469"/>
      <c r="T1735" s="469"/>
      <c r="U1735" s="469"/>
      <c r="V1735" s="469"/>
      <c r="W1735" s="469"/>
      <c r="X1735" s="469"/>
      <c r="Y1735" s="469"/>
      <c r="Z1735" s="469"/>
      <c r="AA1735" s="469"/>
      <c r="AB1735" s="469"/>
    </row>
    <row r="1736" ht="14.25" customHeight="1">
      <c r="A1736" s="464"/>
      <c r="B1736" s="481"/>
      <c r="C1736" s="466"/>
      <c r="D1736" s="484"/>
      <c r="E1736" s="466"/>
      <c r="F1736" s="485"/>
      <c r="G1736" s="485"/>
      <c r="H1736" s="485"/>
      <c r="I1736" s="331"/>
      <c r="J1736" s="469"/>
      <c r="K1736" s="469"/>
      <c r="L1736" s="469"/>
      <c r="M1736" s="469"/>
      <c r="N1736" s="469"/>
      <c r="O1736" s="469"/>
      <c r="P1736" s="469"/>
      <c r="Q1736" s="469"/>
      <c r="R1736" s="469"/>
      <c r="S1736" s="469"/>
      <c r="T1736" s="469"/>
      <c r="U1736" s="469"/>
      <c r="V1736" s="469"/>
      <c r="W1736" s="469"/>
      <c r="X1736" s="469"/>
      <c r="Y1736" s="469"/>
      <c r="Z1736" s="469"/>
      <c r="AA1736" s="469"/>
      <c r="AB1736" s="469"/>
    </row>
    <row r="1737" ht="14.25" customHeight="1">
      <c r="A1737" s="464"/>
      <c r="B1737" s="481"/>
      <c r="C1737" s="466"/>
      <c r="D1737" s="484"/>
      <c r="E1737" s="466"/>
      <c r="F1737" s="485"/>
      <c r="G1737" s="485"/>
      <c r="H1737" s="485"/>
      <c r="I1737" s="331"/>
      <c r="J1737" s="469"/>
      <c r="K1737" s="469"/>
      <c r="L1737" s="469"/>
      <c r="M1737" s="469"/>
      <c r="N1737" s="469"/>
      <c r="O1737" s="469"/>
      <c r="P1737" s="469"/>
      <c r="Q1737" s="469"/>
      <c r="R1737" s="469"/>
      <c r="S1737" s="469"/>
      <c r="T1737" s="469"/>
      <c r="U1737" s="469"/>
      <c r="V1737" s="469"/>
      <c r="W1737" s="469"/>
      <c r="X1737" s="469"/>
      <c r="Y1737" s="469"/>
      <c r="Z1737" s="469"/>
      <c r="AA1737" s="469"/>
      <c r="AB1737" s="469"/>
    </row>
    <row r="1738" ht="14.25" customHeight="1">
      <c r="A1738" s="464"/>
      <c r="B1738" s="481"/>
      <c r="C1738" s="466"/>
      <c r="D1738" s="484"/>
      <c r="E1738" s="466"/>
      <c r="F1738" s="485"/>
      <c r="G1738" s="485"/>
      <c r="H1738" s="485"/>
      <c r="I1738" s="331"/>
      <c r="J1738" s="469"/>
      <c r="K1738" s="469"/>
      <c r="L1738" s="469"/>
      <c r="M1738" s="469"/>
      <c r="N1738" s="469"/>
      <c r="O1738" s="469"/>
      <c r="P1738" s="469"/>
      <c r="Q1738" s="469"/>
      <c r="R1738" s="469"/>
      <c r="S1738" s="469"/>
      <c r="T1738" s="469"/>
      <c r="U1738" s="469"/>
      <c r="V1738" s="469"/>
      <c r="W1738" s="469"/>
      <c r="X1738" s="469"/>
      <c r="Y1738" s="469"/>
      <c r="Z1738" s="469"/>
      <c r="AA1738" s="469"/>
      <c r="AB1738" s="469"/>
    </row>
    <row r="1739" ht="14.25" customHeight="1">
      <c r="A1739" s="464"/>
      <c r="B1739" s="481"/>
      <c r="C1739" s="466"/>
      <c r="D1739" s="484"/>
      <c r="E1739" s="466"/>
      <c r="F1739" s="485"/>
      <c r="G1739" s="485"/>
      <c r="H1739" s="485"/>
      <c r="I1739" s="331"/>
      <c r="J1739" s="469"/>
      <c r="K1739" s="469"/>
      <c r="L1739" s="469"/>
      <c r="M1739" s="469"/>
      <c r="N1739" s="469"/>
      <c r="O1739" s="469"/>
      <c r="P1739" s="469"/>
      <c r="Q1739" s="469"/>
      <c r="R1739" s="469"/>
      <c r="S1739" s="469"/>
      <c r="T1739" s="469"/>
      <c r="U1739" s="469"/>
      <c r="V1739" s="469"/>
      <c r="W1739" s="469"/>
      <c r="X1739" s="469"/>
      <c r="Y1739" s="469"/>
      <c r="Z1739" s="469"/>
      <c r="AA1739" s="469"/>
      <c r="AB1739" s="469"/>
    </row>
    <row r="1740" ht="14.25" customHeight="1">
      <c r="A1740" s="464"/>
      <c r="B1740" s="481"/>
      <c r="C1740" s="466"/>
      <c r="D1740" s="484"/>
      <c r="E1740" s="466"/>
      <c r="F1740" s="485"/>
      <c r="G1740" s="485"/>
      <c r="H1740" s="485"/>
      <c r="I1740" s="331"/>
      <c r="J1740" s="469"/>
      <c r="K1740" s="469"/>
      <c r="L1740" s="469"/>
      <c r="M1740" s="469"/>
      <c r="N1740" s="469"/>
      <c r="O1740" s="469"/>
      <c r="P1740" s="469"/>
      <c r="Q1740" s="469"/>
      <c r="R1740" s="469"/>
      <c r="S1740" s="469"/>
      <c r="T1740" s="469"/>
      <c r="U1740" s="469"/>
      <c r="V1740" s="469"/>
      <c r="W1740" s="469"/>
      <c r="X1740" s="469"/>
      <c r="Y1740" s="469"/>
      <c r="Z1740" s="469"/>
      <c r="AA1740" s="469"/>
      <c r="AB1740" s="469"/>
    </row>
    <row r="1741" ht="14.25" customHeight="1">
      <c r="A1741" s="464"/>
      <c r="B1741" s="481"/>
      <c r="C1741" s="466"/>
      <c r="D1741" s="484"/>
      <c r="E1741" s="466"/>
      <c r="F1741" s="485"/>
      <c r="G1741" s="485"/>
      <c r="H1741" s="485"/>
      <c r="I1741" s="331"/>
      <c r="J1741" s="469"/>
      <c r="K1741" s="469"/>
      <c r="L1741" s="469"/>
      <c r="M1741" s="469"/>
      <c r="N1741" s="469"/>
      <c r="O1741" s="469"/>
      <c r="P1741" s="469"/>
      <c r="Q1741" s="469"/>
      <c r="R1741" s="469"/>
      <c r="S1741" s="469"/>
      <c r="T1741" s="469"/>
      <c r="U1741" s="469"/>
      <c r="V1741" s="469"/>
      <c r="W1741" s="469"/>
      <c r="X1741" s="469"/>
      <c r="Y1741" s="469"/>
      <c r="Z1741" s="469"/>
      <c r="AA1741" s="469"/>
      <c r="AB1741" s="469"/>
    </row>
    <row r="1742" ht="14.25" customHeight="1">
      <c r="A1742" s="464"/>
      <c r="B1742" s="481"/>
      <c r="C1742" s="466"/>
      <c r="D1742" s="484"/>
      <c r="E1742" s="466"/>
      <c r="F1742" s="485"/>
      <c r="G1742" s="485"/>
      <c r="H1742" s="485"/>
      <c r="I1742" s="331"/>
      <c r="J1742" s="469"/>
      <c r="K1742" s="469"/>
      <c r="L1742" s="469"/>
      <c r="M1742" s="469"/>
      <c r="N1742" s="469"/>
      <c r="O1742" s="469"/>
      <c r="P1742" s="469"/>
      <c r="Q1742" s="469"/>
      <c r="R1742" s="469"/>
      <c r="S1742" s="469"/>
      <c r="T1742" s="469"/>
      <c r="U1742" s="469"/>
      <c r="V1742" s="469"/>
      <c r="W1742" s="469"/>
      <c r="X1742" s="469"/>
      <c r="Y1742" s="469"/>
      <c r="Z1742" s="469"/>
      <c r="AA1742" s="469"/>
      <c r="AB1742" s="469"/>
    </row>
    <row r="1743" ht="14.25" customHeight="1">
      <c r="A1743" s="464"/>
      <c r="B1743" s="481"/>
      <c r="C1743" s="466"/>
      <c r="D1743" s="484"/>
      <c r="E1743" s="466"/>
      <c r="F1743" s="485"/>
      <c r="G1743" s="485"/>
      <c r="H1743" s="485"/>
      <c r="I1743" s="331"/>
      <c r="J1743" s="469"/>
      <c r="K1743" s="469"/>
      <c r="L1743" s="469"/>
      <c r="M1743" s="469"/>
      <c r="N1743" s="469"/>
      <c r="O1743" s="469"/>
      <c r="P1743" s="469"/>
      <c r="Q1743" s="469"/>
      <c r="R1743" s="469"/>
      <c r="S1743" s="469"/>
      <c r="T1743" s="469"/>
      <c r="U1743" s="469"/>
      <c r="V1743" s="469"/>
      <c r="W1743" s="469"/>
      <c r="X1743" s="469"/>
      <c r="Y1743" s="469"/>
      <c r="Z1743" s="469"/>
      <c r="AA1743" s="469"/>
      <c r="AB1743" s="469"/>
    </row>
    <row r="1744" ht="14.25" customHeight="1">
      <c r="A1744" s="464"/>
      <c r="B1744" s="481"/>
      <c r="C1744" s="466"/>
      <c r="D1744" s="484"/>
      <c r="E1744" s="466"/>
      <c r="F1744" s="485"/>
      <c r="G1744" s="485"/>
      <c r="H1744" s="485"/>
      <c r="I1744" s="331"/>
      <c r="J1744" s="469"/>
      <c r="K1744" s="469"/>
      <c r="L1744" s="469"/>
      <c r="M1744" s="469"/>
      <c r="N1744" s="469"/>
      <c r="O1744" s="469"/>
      <c r="P1744" s="469"/>
      <c r="Q1744" s="469"/>
      <c r="R1744" s="469"/>
      <c r="S1744" s="469"/>
      <c r="T1744" s="469"/>
      <c r="U1744" s="469"/>
      <c r="V1744" s="469"/>
      <c r="W1744" s="469"/>
      <c r="X1744" s="469"/>
      <c r="Y1744" s="469"/>
      <c r="Z1744" s="469"/>
      <c r="AA1744" s="469"/>
      <c r="AB1744" s="469"/>
    </row>
    <row r="1745" ht="14.25" customHeight="1">
      <c r="A1745" s="464"/>
      <c r="B1745" s="481"/>
      <c r="C1745" s="466"/>
      <c r="D1745" s="484"/>
      <c r="E1745" s="466"/>
      <c r="F1745" s="485"/>
      <c r="G1745" s="485"/>
      <c r="H1745" s="485"/>
      <c r="I1745" s="331"/>
      <c r="J1745" s="469"/>
      <c r="K1745" s="469"/>
      <c r="L1745" s="469"/>
      <c r="M1745" s="469"/>
      <c r="N1745" s="469"/>
      <c r="O1745" s="469"/>
      <c r="P1745" s="469"/>
      <c r="Q1745" s="469"/>
      <c r="R1745" s="469"/>
      <c r="S1745" s="469"/>
      <c r="T1745" s="469"/>
      <c r="U1745" s="469"/>
      <c r="V1745" s="469"/>
      <c r="W1745" s="469"/>
      <c r="X1745" s="469"/>
      <c r="Y1745" s="469"/>
      <c r="Z1745" s="469"/>
      <c r="AA1745" s="469"/>
      <c r="AB1745" s="469"/>
    </row>
    <row r="1746" ht="14.25" customHeight="1">
      <c r="A1746" s="464"/>
      <c r="B1746" s="481"/>
      <c r="C1746" s="466"/>
      <c r="D1746" s="484"/>
      <c r="E1746" s="466"/>
      <c r="F1746" s="485"/>
      <c r="G1746" s="485"/>
      <c r="H1746" s="485"/>
      <c r="I1746" s="331"/>
      <c r="J1746" s="469"/>
      <c r="K1746" s="469"/>
      <c r="L1746" s="469"/>
      <c r="M1746" s="469"/>
      <c r="N1746" s="469"/>
      <c r="O1746" s="469"/>
      <c r="P1746" s="469"/>
      <c r="Q1746" s="469"/>
      <c r="R1746" s="469"/>
      <c r="S1746" s="469"/>
      <c r="T1746" s="469"/>
      <c r="U1746" s="469"/>
      <c r="V1746" s="469"/>
      <c r="W1746" s="469"/>
      <c r="X1746" s="469"/>
      <c r="Y1746" s="469"/>
      <c r="Z1746" s="469"/>
      <c r="AA1746" s="469"/>
      <c r="AB1746" s="469"/>
    </row>
    <row r="1747" ht="14.25" customHeight="1">
      <c r="A1747" s="464"/>
      <c r="B1747" s="481"/>
      <c r="C1747" s="466"/>
      <c r="D1747" s="484"/>
      <c r="E1747" s="466"/>
      <c r="F1747" s="485"/>
      <c r="G1747" s="485"/>
      <c r="H1747" s="485"/>
      <c r="I1747" s="331"/>
      <c r="J1747" s="469"/>
      <c r="K1747" s="469"/>
      <c r="L1747" s="469"/>
      <c r="M1747" s="469"/>
      <c r="N1747" s="469"/>
      <c r="O1747" s="469"/>
      <c r="P1747" s="469"/>
      <c r="Q1747" s="469"/>
      <c r="R1747" s="469"/>
      <c r="S1747" s="469"/>
      <c r="T1747" s="469"/>
      <c r="U1747" s="469"/>
      <c r="V1747" s="469"/>
      <c r="W1747" s="469"/>
      <c r="X1747" s="469"/>
      <c r="Y1747" s="469"/>
      <c r="Z1747" s="469"/>
      <c r="AA1747" s="469"/>
      <c r="AB1747" s="469"/>
    </row>
    <row r="1748" ht="14.25" customHeight="1">
      <c r="A1748" s="464"/>
      <c r="B1748" s="481"/>
      <c r="C1748" s="466"/>
      <c r="D1748" s="484"/>
      <c r="E1748" s="466"/>
      <c r="F1748" s="485"/>
      <c r="G1748" s="485"/>
      <c r="H1748" s="485"/>
      <c r="I1748" s="331"/>
      <c r="J1748" s="469"/>
      <c r="K1748" s="469"/>
      <c r="L1748" s="469"/>
      <c r="M1748" s="469"/>
      <c r="N1748" s="469"/>
      <c r="O1748" s="469"/>
      <c r="P1748" s="469"/>
      <c r="Q1748" s="469"/>
      <c r="R1748" s="469"/>
      <c r="S1748" s="469"/>
      <c r="T1748" s="469"/>
      <c r="U1748" s="469"/>
      <c r="V1748" s="469"/>
      <c r="W1748" s="469"/>
      <c r="X1748" s="469"/>
      <c r="Y1748" s="469"/>
      <c r="Z1748" s="469"/>
      <c r="AA1748" s="469"/>
      <c r="AB1748" s="469"/>
    </row>
    <row r="1749" ht="14.25" customHeight="1">
      <c r="A1749" s="464"/>
      <c r="B1749" s="481"/>
      <c r="C1749" s="466"/>
      <c r="D1749" s="484"/>
      <c r="E1749" s="466"/>
      <c r="F1749" s="485"/>
      <c r="G1749" s="485"/>
      <c r="H1749" s="485"/>
      <c r="I1749" s="331"/>
      <c r="J1749" s="469"/>
      <c r="K1749" s="469"/>
      <c r="L1749" s="469"/>
      <c r="M1749" s="469"/>
      <c r="N1749" s="469"/>
      <c r="O1749" s="469"/>
      <c r="P1749" s="469"/>
      <c r="Q1749" s="469"/>
      <c r="R1749" s="469"/>
      <c r="S1749" s="469"/>
      <c r="T1749" s="469"/>
      <c r="U1749" s="469"/>
      <c r="V1749" s="469"/>
      <c r="W1749" s="469"/>
      <c r="X1749" s="469"/>
      <c r="Y1749" s="469"/>
      <c r="Z1749" s="469"/>
      <c r="AA1749" s="469"/>
      <c r="AB1749" s="469"/>
    </row>
    <row r="1750" ht="14.25" customHeight="1">
      <c r="A1750" s="464"/>
      <c r="B1750" s="481"/>
      <c r="C1750" s="466"/>
      <c r="D1750" s="484"/>
      <c r="E1750" s="466"/>
      <c r="F1750" s="485"/>
      <c r="G1750" s="485"/>
      <c r="H1750" s="485"/>
      <c r="I1750" s="331"/>
      <c r="J1750" s="469"/>
      <c r="K1750" s="469"/>
      <c r="L1750" s="469"/>
      <c r="M1750" s="469"/>
      <c r="N1750" s="469"/>
      <c r="O1750" s="469"/>
      <c r="P1750" s="469"/>
      <c r="Q1750" s="469"/>
      <c r="R1750" s="469"/>
      <c r="S1750" s="469"/>
      <c r="T1750" s="469"/>
      <c r="U1750" s="469"/>
      <c r="V1750" s="469"/>
      <c r="W1750" s="469"/>
      <c r="X1750" s="469"/>
      <c r="Y1750" s="469"/>
      <c r="Z1750" s="469"/>
      <c r="AA1750" s="469"/>
      <c r="AB1750" s="469"/>
    </row>
    <row r="1751" ht="14.25" customHeight="1">
      <c r="A1751" s="464"/>
      <c r="B1751" s="481"/>
      <c r="C1751" s="466"/>
      <c r="D1751" s="484"/>
      <c r="E1751" s="466"/>
      <c r="F1751" s="485"/>
      <c r="G1751" s="485"/>
      <c r="H1751" s="485"/>
      <c r="I1751" s="331"/>
      <c r="J1751" s="469"/>
      <c r="K1751" s="469"/>
      <c r="L1751" s="469"/>
      <c r="M1751" s="469"/>
      <c r="N1751" s="469"/>
      <c r="O1751" s="469"/>
      <c r="P1751" s="469"/>
      <c r="Q1751" s="469"/>
      <c r="R1751" s="469"/>
      <c r="S1751" s="469"/>
      <c r="T1751" s="469"/>
      <c r="U1751" s="469"/>
      <c r="V1751" s="469"/>
      <c r="W1751" s="469"/>
      <c r="X1751" s="469"/>
      <c r="Y1751" s="469"/>
      <c r="Z1751" s="469"/>
      <c r="AA1751" s="469"/>
      <c r="AB1751" s="469"/>
    </row>
    <row r="1752" ht="14.25" customHeight="1">
      <c r="A1752" s="464"/>
      <c r="B1752" s="481"/>
      <c r="C1752" s="466"/>
      <c r="D1752" s="484"/>
      <c r="E1752" s="466"/>
      <c r="F1752" s="485"/>
      <c r="G1752" s="485"/>
      <c r="H1752" s="485"/>
      <c r="I1752" s="331"/>
      <c r="J1752" s="469"/>
      <c r="K1752" s="469"/>
      <c r="L1752" s="469"/>
      <c r="M1752" s="469"/>
      <c r="N1752" s="469"/>
      <c r="O1752" s="469"/>
      <c r="P1752" s="469"/>
      <c r="Q1752" s="469"/>
      <c r="R1752" s="469"/>
      <c r="S1752" s="469"/>
      <c r="T1752" s="469"/>
      <c r="U1752" s="469"/>
      <c r="V1752" s="469"/>
      <c r="W1752" s="469"/>
      <c r="X1752" s="469"/>
      <c r="Y1752" s="469"/>
      <c r="Z1752" s="469"/>
      <c r="AA1752" s="469"/>
      <c r="AB1752" s="469"/>
    </row>
    <row r="1753" ht="14.25" customHeight="1">
      <c r="A1753" s="464"/>
      <c r="B1753" s="481"/>
      <c r="C1753" s="466"/>
      <c r="D1753" s="484"/>
      <c r="E1753" s="466"/>
      <c r="F1753" s="485"/>
      <c r="G1753" s="485"/>
      <c r="H1753" s="485"/>
      <c r="I1753" s="331"/>
      <c r="J1753" s="469"/>
      <c r="K1753" s="469"/>
      <c r="L1753" s="469"/>
      <c r="M1753" s="469"/>
      <c r="N1753" s="469"/>
      <c r="O1753" s="469"/>
      <c r="P1753" s="469"/>
      <c r="Q1753" s="469"/>
      <c r="R1753" s="469"/>
      <c r="S1753" s="469"/>
      <c r="T1753" s="469"/>
      <c r="U1753" s="469"/>
      <c r="V1753" s="469"/>
      <c r="W1753" s="469"/>
      <c r="X1753" s="469"/>
      <c r="Y1753" s="469"/>
      <c r="Z1753" s="469"/>
      <c r="AA1753" s="469"/>
      <c r="AB1753" s="469"/>
    </row>
    <row r="1754" ht="14.25" customHeight="1">
      <c r="A1754" s="464"/>
      <c r="B1754" s="481"/>
      <c r="C1754" s="466"/>
      <c r="D1754" s="484"/>
      <c r="E1754" s="466"/>
      <c r="F1754" s="485"/>
      <c r="G1754" s="485"/>
      <c r="H1754" s="485"/>
      <c r="I1754" s="331"/>
      <c r="J1754" s="469"/>
      <c r="K1754" s="469"/>
      <c r="L1754" s="469"/>
      <c r="M1754" s="469"/>
      <c r="N1754" s="469"/>
      <c r="O1754" s="469"/>
      <c r="P1754" s="469"/>
      <c r="Q1754" s="469"/>
      <c r="R1754" s="469"/>
      <c r="S1754" s="469"/>
      <c r="T1754" s="469"/>
      <c r="U1754" s="469"/>
      <c r="V1754" s="469"/>
      <c r="W1754" s="469"/>
      <c r="X1754" s="469"/>
      <c r="Y1754" s="469"/>
      <c r="Z1754" s="469"/>
      <c r="AA1754" s="469"/>
      <c r="AB1754" s="469"/>
    </row>
    <row r="1755" ht="14.25" customHeight="1">
      <c r="A1755" s="464"/>
      <c r="B1755" s="481"/>
      <c r="C1755" s="466"/>
      <c r="D1755" s="484"/>
      <c r="E1755" s="466"/>
      <c r="F1755" s="485"/>
      <c r="G1755" s="485"/>
      <c r="H1755" s="485"/>
      <c r="I1755" s="331"/>
      <c r="J1755" s="469"/>
      <c r="K1755" s="469"/>
      <c r="L1755" s="469"/>
      <c r="M1755" s="469"/>
      <c r="N1755" s="469"/>
      <c r="O1755" s="469"/>
      <c r="P1755" s="469"/>
      <c r="Q1755" s="469"/>
      <c r="R1755" s="469"/>
      <c r="S1755" s="469"/>
      <c r="T1755" s="469"/>
      <c r="U1755" s="469"/>
      <c r="V1755" s="469"/>
      <c r="W1755" s="469"/>
      <c r="X1755" s="469"/>
      <c r="Y1755" s="469"/>
      <c r="Z1755" s="469"/>
      <c r="AA1755" s="469"/>
      <c r="AB1755" s="469"/>
    </row>
    <row r="1756" ht="14.25" customHeight="1">
      <c r="A1756" s="464"/>
      <c r="B1756" s="481"/>
      <c r="C1756" s="466"/>
      <c r="D1756" s="484"/>
      <c r="E1756" s="466"/>
      <c r="F1756" s="485"/>
      <c r="G1756" s="485"/>
      <c r="H1756" s="485"/>
      <c r="I1756" s="331"/>
      <c r="J1756" s="469"/>
      <c r="K1756" s="469"/>
      <c r="L1756" s="469"/>
      <c r="M1756" s="469"/>
      <c r="N1756" s="469"/>
      <c r="O1756" s="469"/>
      <c r="P1756" s="469"/>
      <c r="Q1756" s="469"/>
      <c r="R1756" s="469"/>
      <c r="S1756" s="469"/>
      <c r="T1756" s="469"/>
      <c r="U1756" s="469"/>
      <c r="V1756" s="469"/>
      <c r="W1756" s="469"/>
      <c r="X1756" s="469"/>
      <c r="Y1756" s="469"/>
      <c r="Z1756" s="469"/>
      <c r="AA1756" s="469"/>
      <c r="AB1756" s="469"/>
    </row>
    <row r="1757" ht="14.25" customHeight="1">
      <c r="A1757" s="464"/>
      <c r="B1757" s="481"/>
      <c r="C1757" s="466"/>
      <c r="D1757" s="484"/>
      <c r="E1757" s="466"/>
      <c r="F1757" s="485"/>
      <c r="G1757" s="485"/>
      <c r="H1757" s="485"/>
      <c r="I1757" s="331"/>
      <c r="J1757" s="469"/>
      <c r="K1757" s="469"/>
      <c r="L1757" s="469"/>
      <c r="M1757" s="469"/>
      <c r="N1757" s="469"/>
      <c r="O1757" s="469"/>
      <c r="P1757" s="469"/>
      <c r="Q1757" s="469"/>
      <c r="R1757" s="469"/>
      <c r="S1757" s="469"/>
      <c r="T1757" s="469"/>
      <c r="U1757" s="469"/>
      <c r="V1757" s="469"/>
      <c r="W1757" s="469"/>
      <c r="X1757" s="469"/>
      <c r="Y1757" s="469"/>
      <c r="Z1757" s="469"/>
      <c r="AA1757" s="469"/>
      <c r="AB1757" s="469"/>
    </row>
    <row r="1758" ht="14.25" customHeight="1">
      <c r="A1758" s="464"/>
      <c r="B1758" s="481"/>
      <c r="C1758" s="466"/>
      <c r="D1758" s="484"/>
      <c r="E1758" s="466"/>
      <c r="F1758" s="485"/>
      <c r="G1758" s="485"/>
      <c r="H1758" s="485"/>
      <c r="I1758" s="331"/>
      <c r="J1758" s="469"/>
      <c r="K1758" s="469"/>
      <c r="L1758" s="469"/>
      <c r="M1758" s="469"/>
      <c r="N1758" s="469"/>
      <c r="O1758" s="469"/>
      <c r="P1758" s="469"/>
      <c r="Q1758" s="469"/>
      <c r="R1758" s="469"/>
      <c r="S1758" s="469"/>
      <c r="T1758" s="469"/>
      <c r="U1758" s="469"/>
      <c r="V1758" s="469"/>
      <c r="W1758" s="469"/>
      <c r="X1758" s="469"/>
      <c r="Y1758" s="469"/>
      <c r="Z1758" s="469"/>
      <c r="AA1758" s="469"/>
      <c r="AB1758" s="469"/>
    </row>
    <row r="1759" ht="14.25" customHeight="1">
      <c r="A1759" s="464"/>
      <c r="B1759" s="481"/>
      <c r="C1759" s="466"/>
      <c r="D1759" s="484"/>
      <c r="E1759" s="466"/>
      <c r="F1759" s="485"/>
      <c r="G1759" s="485"/>
      <c r="H1759" s="485"/>
      <c r="I1759" s="331"/>
      <c r="J1759" s="469"/>
      <c r="K1759" s="469"/>
      <c r="L1759" s="469"/>
      <c r="M1759" s="469"/>
      <c r="N1759" s="469"/>
      <c r="O1759" s="469"/>
      <c r="P1759" s="469"/>
      <c r="Q1759" s="469"/>
      <c r="R1759" s="469"/>
      <c r="S1759" s="469"/>
      <c r="T1759" s="469"/>
      <c r="U1759" s="469"/>
      <c r="V1759" s="469"/>
      <c r="W1759" s="469"/>
      <c r="X1759" s="469"/>
      <c r="Y1759" s="469"/>
      <c r="Z1759" s="469"/>
      <c r="AA1759" s="469"/>
      <c r="AB1759" s="469"/>
    </row>
    <row r="1760" ht="14.25" customHeight="1">
      <c r="A1760" s="464"/>
      <c r="B1760" s="481"/>
      <c r="C1760" s="466"/>
      <c r="D1760" s="484"/>
      <c r="E1760" s="466"/>
      <c r="F1760" s="485"/>
      <c r="G1760" s="485"/>
      <c r="H1760" s="485"/>
      <c r="I1760" s="331"/>
      <c r="J1760" s="469"/>
      <c r="K1760" s="469"/>
      <c r="L1760" s="469"/>
      <c r="M1760" s="469"/>
      <c r="N1760" s="469"/>
      <c r="O1760" s="469"/>
      <c r="P1760" s="469"/>
      <c r="Q1760" s="469"/>
      <c r="R1760" s="469"/>
      <c r="S1760" s="469"/>
      <c r="T1760" s="469"/>
      <c r="U1760" s="469"/>
      <c r="V1760" s="469"/>
      <c r="W1760" s="469"/>
      <c r="X1760" s="469"/>
      <c r="Y1760" s="469"/>
      <c r="Z1760" s="469"/>
      <c r="AA1760" s="469"/>
      <c r="AB1760" s="469"/>
    </row>
    <row r="1761" ht="14.25" customHeight="1">
      <c r="A1761" s="464"/>
      <c r="B1761" s="481"/>
      <c r="C1761" s="466"/>
      <c r="D1761" s="484"/>
      <c r="E1761" s="466"/>
      <c r="F1761" s="485"/>
      <c r="G1761" s="485"/>
      <c r="H1761" s="485"/>
      <c r="I1761" s="331"/>
      <c r="J1761" s="469"/>
      <c r="K1761" s="469"/>
      <c r="L1761" s="469"/>
      <c r="M1761" s="469"/>
      <c r="N1761" s="469"/>
      <c r="O1761" s="469"/>
      <c r="P1761" s="469"/>
      <c r="Q1761" s="469"/>
      <c r="R1761" s="469"/>
      <c r="S1761" s="469"/>
      <c r="T1761" s="469"/>
      <c r="U1761" s="469"/>
      <c r="V1761" s="469"/>
      <c r="W1761" s="469"/>
      <c r="X1761" s="469"/>
      <c r="Y1761" s="469"/>
      <c r="Z1761" s="469"/>
      <c r="AA1761" s="469"/>
      <c r="AB1761" s="469"/>
    </row>
    <row r="1762" ht="14.25" customHeight="1">
      <c r="A1762" s="464"/>
      <c r="B1762" s="481"/>
      <c r="C1762" s="466"/>
      <c r="D1762" s="484"/>
      <c r="E1762" s="466"/>
      <c r="F1762" s="485"/>
      <c r="G1762" s="485"/>
      <c r="H1762" s="485"/>
      <c r="I1762" s="331"/>
      <c r="J1762" s="469"/>
      <c r="K1762" s="469"/>
      <c r="L1762" s="469"/>
      <c r="M1762" s="469"/>
      <c r="N1762" s="469"/>
      <c r="O1762" s="469"/>
      <c r="P1762" s="469"/>
      <c r="Q1762" s="469"/>
      <c r="R1762" s="469"/>
      <c r="S1762" s="469"/>
      <c r="T1762" s="469"/>
      <c r="U1762" s="469"/>
      <c r="V1762" s="469"/>
      <c r="W1762" s="469"/>
      <c r="X1762" s="469"/>
      <c r="Y1762" s="469"/>
      <c r="Z1762" s="469"/>
      <c r="AA1762" s="469"/>
      <c r="AB1762" s="469"/>
    </row>
    <row r="1763" ht="14.25" customHeight="1">
      <c r="A1763" s="464"/>
      <c r="B1763" s="481"/>
      <c r="C1763" s="466"/>
      <c r="D1763" s="484"/>
      <c r="E1763" s="466"/>
      <c r="F1763" s="485"/>
      <c r="G1763" s="485"/>
      <c r="H1763" s="485"/>
      <c r="I1763" s="331"/>
      <c r="J1763" s="469"/>
      <c r="K1763" s="469"/>
      <c r="L1763" s="469"/>
      <c r="M1763" s="469"/>
      <c r="N1763" s="469"/>
      <c r="O1763" s="469"/>
      <c r="P1763" s="469"/>
      <c r="Q1763" s="469"/>
      <c r="R1763" s="469"/>
      <c r="S1763" s="469"/>
      <c r="T1763" s="469"/>
      <c r="U1763" s="469"/>
      <c r="V1763" s="469"/>
      <c r="W1763" s="469"/>
      <c r="X1763" s="469"/>
      <c r="Y1763" s="469"/>
      <c r="Z1763" s="469"/>
      <c r="AA1763" s="469"/>
      <c r="AB1763" s="469"/>
    </row>
    <row r="1764" ht="14.25" customHeight="1">
      <c r="A1764" s="464"/>
      <c r="B1764" s="481"/>
      <c r="C1764" s="466"/>
      <c r="D1764" s="484"/>
      <c r="E1764" s="466"/>
      <c r="F1764" s="485"/>
      <c r="G1764" s="485"/>
      <c r="H1764" s="485"/>
      <c r="I1764" s="331"/>
      <c r="J1764" s="469"/>
      <c r="K1764" s="469"/>
      <c r="L1764" s="469"/>
      <c r="M1764" s="469"/>
      <c r="N1764" s="469"/>
      <c r="O1764" s="469"/>
      <c r="P1764" s="469"/>
      <c r="Q1764" s="469"/>
      <c r="R1764" s="469"/>
      <c r="S1764" s="469"/>
      <c r="T1764" s="469"/>
      <c r="U1764" s="469"/>
      <c r="V1764" s="469"/>
      <c r="W1764" s="469"/>
      <c r="X1764" s="469"/>
      <c r="Y1764" s="469"/>
      <c r="Z1764" s="469"/>
      <c r="AA1764" s="469"/>
      <c r="AB1764" s="469"/>
    </row>
    <row r="1765" ht="14.25" customHeight="1">
      <c r="A1765" s="464"/>
      <c r="B1765" s="481"/>
      <c r="C1765" s="466"/>
      <c r="D1765" s="484"/>
      <c r="E1765" s="466"/>
      <c r="F1765" s="485"/>
      <c r="G1765" s="485"/>
      <c r="H1765" s="485"/>
      <c r="I1765" s="331"/>
      <c r="J1765" s="469"/>
      <c r="K1765" s="469"/>
      <c r="L1765" s="469"/>
      <c r="M1765" s="469"/>
      <c r="N1765" s="469"/>
      <c r="O1765" s="469"/>
      <c r="P1765" s="469"/>
      <c r="Q1765" s="469"/>
      <c r="R1765" s="469"/>
      <c r="S1765" s="469"/>
      <c r="T1765" s="469"/>
      <c r="U1765" s="469"/>
      <c r="V1765" s="469"/>
      <c r="W1765" s="469"/>
      <c r="X1765" s="469"/>
      <c r="Y1765" s="469"/>
      <c r="Z1765" s="469"/>
      <c r="AA1765" s="469"/>
      <c r="AB1765" s="469"/>
    </row>
    <row r="1766" ht="14.25" customHeight="1">
      <c r="A1766" s="464"/>
      <c r="B1766" s="481"/>
      <c r="C1766" s="466"/>
      <c r="D1766" s="484"/>
      <c r="E1766" s="466"/>
      <c r="F1766" s="485"/>
      <c r="G1766" s="485"/>
      <c r="H1766" s="485"/>
      <c r="I1766" s="331"/>
      <c r="J1766" s="469"/>
      <c r="K1766" s="469"/>
      <c r="L1766" s="469"/>
      <c r="M1766" s="469"/>
      <c r="N1766" s="469"/>
      <c r="O1766" s="469"/>
      <c r="P1766" s="469"/>
      <c r="Q1766" s="469"/>
      <c r="R1766" s="469"/>
      <c r="S1766" s="469"/>
      <c r="T1766" s="469"/>
      <c r="U1766" s="469"/>
      <c r="V1766" s="469"/>
      <c r="W1766" s="469"/>
      <c r="X1766" s="469"/>
      <c r="Y1766" s="469"/>
      <c r="Z1766" s="469"/>
      <c r="AA1766" s="469"/>
      <c r="AB1766" s="469"/>
    </row>
    <row r="1767" ht="14.25" customHeight="1">
      <c r="A1767" s="464"/>
      <c r="B1767" s="481"/>
      <c r="C1767" s="466"/>
      <c r="D1767" s="484"/>
      <c r="E1767" s="466"/>
      <c r="F1767" s="485"/>
      <c r="G1767" s="485"/>
      <c r="H1767" s="485"/>
      <c r="I1767" s="331"/>
      <c r="J1767" s="469"/>
      <c r="K1767" s="469"/>
      <c r="L1767" s="469"/>
      <c r="M1767" s="469"/>
      <c r="N1767" s="469"/>
      <c r="O1767" s="469"/>
      <c r="P1767" s="469"/>
      <c r="Q1767" s="469"/>
      <c r="R1767" s="469"/>
      <c r="S1767" s="469"/>
      <c r="T1767" s="469"/>
      <c r="U1767" s="469"/>
      <c r="V1767" s="469"/>
      <c r="W1767" s="469"/>
      <c r="X1767" s="469"/>
      <c r="Y1767" s="469"/>
      <c r="Z1767" s="469"/>
      <c r="AA1767" s="469"/>
      <c r="AB1767" s="469"/>
    </row>
    <row r="1768" ht="14.25" customHeight="1">
      <c r="A1768" s="464"/>
      <c r="B1768" s="481"/>
      <c r="C1768" s="466"/>
      <c r="D1768" s="484"/>
      <c r="E1768" s="466"/>
      <c r="F1768" s="485"/>
      <c r="G1768" s="485"/>
      <c r="H1768" s="485"/>
      <c r="I1768" s="331"/>
      <c r="J1768" s="469"/>
      <c r="K1768" s="469"/>
      <c r="L1768" s="469"/>
      <c r="M1768" s="469"/>
      <c r="N1768" s="469"/>
      <c r="O1768" s="469"/>
      <c r="P1768" s="469"/>
      <c r="Q1768" s="469"/>
      <c r="R1768" s="469"/>
      <c r="S1768" s="469"/>
      <c r="T1768" s="469"/>
      <c r="U1768" s="469"/>
      <c r="V1768" s="469"/>
      <c r="W1768" s="469"/>
      <c r="X1768" s="469"/>
      <c r="Y1768" s="469"/>
      <c r="Z1768" s="469"/>
      <c r="AA1768" s="469"/>
      <c r="AB1768" s="469"/>
    </row>
    <row r="1769" ht="14.25" customHeight="1">
      <c r="A1769" s="464"/>
      <c r="B1769" s="481"/>
      <c r="C1769" s="466"/>
      <c r="D1769" s="484"/>
      <c r="E1769" s="466"/>
      <c r="F1769" s="485"/>
      <c r="G1769" s="485"/>
      <c r="H1769" s="485"/>
      <c r="I1769" s="331"/>
      <c r="J1769" s="469"/>
      <c r="K1769" s="469"/>
      <c r="L1769" s="469"/>
      <c r="M1769" s="469"/>
      <c r="N1769" s="469"/>
      <c r="O1769" s="469"/>
      <c r="P1769" s="469"/>
      <c r="Q1769" s="469"/>
      <c r="R1769" s="469"/>
      <c r="S1769" s="469"/>
      <c r="T1769" s="469"/>
      <c r="U1769" s="469"/>
      <c r="V1769" s="469"/>
      <c r="W1769" s="469"/>
      <c r="X1769" s="469"/>
      <c r="Y1769" s="469"/>
      <c r="Z1769" s="469"/>
      <c r="AA1769" s="469"/>
      <c r="AB1769" s="469"/>
    </row>
    <row r="1770" ht="14.25" customHeight="1">
      <c r="A1770" s="464"/>
      <c r="B1770" s="481"/>
      <c r="C1770" s="466"/>
      <c r="D1770" s="484"/>
      <c r="E1770" s="466"/>
      <c r="F1770" s="485"/>
      <c r="G1770" s="485"/>
      <c r="H1770" s="485"/>
      <c r="I1770" s="331"/>
      <c r="J1770" s="469"/>
      <c r="K1770" s="469"/>
      <c r="L1770" s="469"/>
      <c r="M1770" s="469"/>
      <c r="N1770" s="469"/>
      <c r="O1770" s="469"/>
      <c r="P1770" s="469"/>
      <c r="Q1770" s="469"/>
      <c r="R1770" s="469"/>
      <c r="S1770" s="469"/>
      <c r="T1770" s="469"/>
      <c r="U1770" s="469"/>
      <c r="V1770" s="469"/>
      <c r="W1770" s="469"/>
      <c r="X1770" s="469"/>
      <c r="Y1770" s="469"/>
      <c r="Z1770" s="469"/>
      <c r="AA1770" s="469"/>
      <c r="AB1770" s="469"/>
    </row>
    <row r="1771" ht="14.25" customHeight="1">
      <c r="A1771" s="464"/>
      <c r="B1771" s="481"/>
      <c r="C1771" s="466"/>
      <c r="D1771" s="484"/>
      <c r="E1771" s="466"/>
      <c r="F1771" s="485"/>
      <c r="G1771" s="485"/>
      <c r="H1771" s="485"/>
      <c r="I1771" s="331"/>
      <c r="J1771" s="469"/>
      <c r="K1771" s="469"/>
      <c r="L1771" s="469"/>
      <c r="M1771" s="469"/>
      <c r="N1771" s="469"/>
      <c r="O1771" s="469"/>
      <c r="P1771" s="469"/>
      <c r="Q1771" s="469"/>
      <c r="R1771" s="469"/>
      <c r="S1771" s="469"/>
      <c r="T1771" s="469"/>
      <c r="U1771" s="469"/>
      <c r="V1771" s="469"/>
      <c r="W1771" s="469"/>
      <c r="X1771" s="469"/>
      <c r="Y1771" s="469"/>
      <c r="Z1771" s="469"/>
      <c r="AA1771" s="469"/>
      <c r="AB1771" s="469"/>
    </row>
    <row r="1772" ht="14.25" customHeight="1">
      <c r="A1772" s="464"/>
      <c r="B1772" s="481"/>
      <c r="C1772" s="466"/>
      <c r="D1772" s="484"/>
      <c r="E1772" s="466"/>
      <c r="F1772" s="485"/>
      <c r="G1772" s="485"/>
      <c r="H1772" s="485"/>
      <c r="I1772" s="331"/>
      <c r="J1772" s="469"/>
      <c r="K1772" s="469"/>
      <c r="L1772" s="469"/>
      <c r="M1772" s="469"/>
      <c r="N1772" s="469"/>
      <c r="O1772" s="469"/>
      <c r="P1772" s="469"/>
      <c r="Q1772" s="469"/>
      <c r="R1772" s="469"/>
      <c r="S1772" s="469"/>
      <c r="T1772" s="469"/>
      <c r="U1772" s="469"/>
      <c r="V1772" s="469"/>
      <c r="W1772" s="469"/>
      <c r="X1772" s="469"/>
      <c r="Y1772" s="469"/>
      <c r="Z1772" s="469"/>
      <c r="AA1772" s="469"/>
      <c r="AB1772" s="469"/>
    </row>
    <row r="1773" ht="14.25" customHeight="1">
      <c r="A1773" s="464"/>
      <c r="B1773" s="481"/>
      <c r="C1773" s="466"/>
      <c r="D1773" s="484"/>
      <c r="E1773" s="466"/>
      <c r="F1773" s="485"/>
      <c r="G1773" s="485"/>
      <c r="H1773" s="485"/>
      <c r="I1773" s="331"/>
      <c r="J1773" s="469"/>
      <c r="K1773" s="469"/>
      <c r="L1773" s="469"/>
      <c r="M1773" s="469"/>
      <c r="N1773" s="469"/>
      <c r="O1773" s="469"/>
      <c r="P1773" s="469"/>
      <c r="Q1773" s="469"/>
      <c r="R1773" s="469"/>
      <c r="S1773" s="469"/>
      <c r="T1773" s="469"/>
      <c r="U1773" s="469"/>
      <c r="V1773" s="469"/>
      <c r="W1773" s="469"/>
      <c r="X1773" s="469"/>
      <c r="Y1773" s="469"/>
      <c r="Z1773" s="469"/>
      <c r="AA1773" s="469"/>
      <c r="AB1773" s="469"/>
    </row>
    <row r="1774" ht="14.25" customHeight="1">
      <c r="A1774" s="464"/>
      <c r="B1774" s="481"/>
      <c r="C1774" s="466"/>
      <c r="D1774" s="484"/>
      <c r="E1774" s="466"/>
      <c r="F1774" s="485"/>
      <c r="G1774" s="485"/>
      <c r="H1774" s="485"/>
      <c r="I1774" s="331"/>
      <c r="J1774" s="469"/>
      <c r="K1774" s="469"/>
      <c r="L1774" s="469"/>
      <c r="M1774" s="469"/>
      <c r="N1774" s="469"/>
      <c r="O1774" s="469"/>
      <c r="P1774" s="469"/>
      <c r="Q1774" s="469"/>
      <c r="R1774" s="469"/>
      <c r="S1774" s="469"/>
      <c r="T1774" s="469"/>
      <c r="U1774" s="469"/>
      <c r="V1774" s="469"/>
      <c r="W1774" s="469"/>
      <c r="X1774" s="469"/>
      <c r="Y1774" s="469"/>
      <c r="Z1774" s="469"/>
      <c r="AA1774" s="469"/>
      <c r="AB1774" s="469"/>
    </row>
    <row r="1775" ht="14.25" customHeight="1">
      <c r="A1775" s="464"/>
      <c r="B1775" s="481"/>
      <c r="C1775" s="466"/>
      <c r="D1775" s="484"/>
      <c r="E1775" s="466"/>
      <c r="F1775" s="485"/>
      <c r="G1775" s="485"/>
      <c r="H1775" s="485"/>
      <c r="I1775" s="331"/>
      <c r="J1775" s="469"/>
      <c r="K1775" s="469"/>
      <c r="L1775" s="469"/>
      <c r="M1775" s="469"/>
      <c r="N1775" s="469"/>
      <c r="O1775" s="469"/>
      <c r="P1775" s="469"/>
      <c r="Q1775" s="469"/>
      <c r="R1775" s="469"/>
      <c r="S1775" s="469"/>
      <c r="T1775" s="469"/>
      <c r="U1775" s="469"/>
      <c r="V1775" s="469"/>
      <c r="W1775" s="469"/>
      <c r="X1775" s="469"/>
      <c r="Y1775" s="469"/>
      <c r="Z1775" s="469"/>
      <c r="AA1775" s="469"/>
      <c r="AB1775" s="469"/>
    </row>
    <row r="1776" ht="14.25" customHeight="1">
      <c r="A1776" s="464"/>
      <c r="B1776" s="481"/>
      <c r="C1776" s="466"/>
      <c r="D1776" s="484"/>
      <c r="E1776" s="466"/>
      <c r="F1776" s="485"/>
      <c r="G1776" s="485"/>
      <c r="H1776" s="485"/>
      <c r="I1776" s="331"/>
      <c r="J1776" s="469"/>
      <c r="K1776" s="469"/>
      <c r="L1776" s="469"/>
      <c r="M1776" s="469"/>
      <c r="N1776" s="469"/>
      <c r="O1776" s="469"/>
      <c r="P1776" s="469"/>
      <c r="Q1776" s="469"/>
      <c r="R1776" s="469"/>
      <c r="S1776" s="469"/>
      <c r="T1776" s="469"/>
      <c r="U1776" s="469"/>
      <c r="V1776" s="469"/>
      <c r="W1776" s="469"/>
      <c r="X1776" s="469"/>
      <c r="Y1776" s="469"/>
      <c r="Z1776" s="469"/>
      <c r="AA1776" s="469"/>
      <c r="AB1776" s="469"/>
    </row>
    <row r="1777" ht="14.25" customHeight="1">
      <c r="A1777" s="464"/>
      <c r="B1777" s="481"/>
      <c r="C1777" s="466"/>
      <c r="D1777" s="484"/>
      <c r="E1777" s="466"/>
      <c r="F1777" s="485"/>
      <c r="G1777" s="485"/>
      <c r="H1777" s="485"/>
      <c r="I1777" s="331"/>
      <c r="J1777" s="469"/>
      <c r="K1777" s="469"/>
      <c r="L1777" s="469"/>
      <c r="M1777" s="469"/>
      <c r="N1777" s="469"/>
      <c r="O1777" s="469"/>
      <c r="P1777" s="469"/>
      <c r="Q1777" s="469"/>
      <c r="R1777" s="469"/>
      <c r="S1777" s="469"/>
      <c r="T1777" s="469"/>
      <c r="U1777" s="469"/>
      <c r="V1777" s="469"/>
      <c r="W1777" s="469"/>
      <c r="X1777" s="469"/>
      <c r="Y1777" s="469"/>
      <c r="Z1777" s="469"/>
      <c r="AA1777" s="469"/>
      <c r="AB1777" s="469"/>
    </row>
    <row r="1778" ht="14.25" customHeight="1">
      <c r="A1778" s="464"/>
      <c r="B1778" s="481"/>
      <c r="C1778" s="466"/>
      <c r="D1778" s="484"/>
      <c r="E1778" s="466"/>
      <c r="F1778" s="485"/>
      <c r="G1778" s="485"/>
      <c r="H1778" s="485"/>
      <c r="I1778" s="331"/>
      <c r="J1778" s="469"/>
      <c r="K1778" s="469"/>
      <c r="L1778" s="469"/>
      <c r="M1778" s="469"/>
      <c r="N1778" s="469"/>
      <c r="O1778" s="469"/>
      <c r="P1778" s="469"/>
      <c r="Q1778" s="469"/>
      <c r="R1778" s="469"/>
      <c r="S1778" s="469"/>
      <c r="T1778" s="469"/>
      <c r="U1778" s="469"/>
      <c r="V1778" s="469"/>
      <c r="W1778" s="469"/>
      <c r="X1778" s="469"/>
      <c r="Y1778" s="469"/>
      <c r="Z1778" s="469"/>
      <c r="AA1778" s="469"/>
      <c r="AB1778" s="469"/>
    </row>
    <row r="1779" ht="14.25" customHeight="1">
      <c r="A1779" s="464"/>
      <c r="B1779" s="481"/>
      <c r="C1779" s="466"/>
      <c r="D1779" s="484"/>
      <c r="E1779" s="466"/>
      <c r="F1779" s="485"/>
      <c r="G1779" s="485"/>
      <c r="H1779" s="485"/>
      <c r="I1779" s="331"/>
      <c r="J1779" s="469"/>
      <c r="K1779" s="469"/>
      <c r="L1779" s="469"/>
      <c r="M1779" s="469"/>
      <c r="N1779" s="469"/>
      <c r="O1779" s="469"/>
      <c r="P1779" s="469"/>
      <c r="Q1779" s="469"/>
      <c r="R1779" s="469"/>
      <c r="S1779" s="469"/>
      <c r="T1779" s="469"/>
      <c r="U1779" s="469"/>
      <c r="V1779" s="469"/>
      <c r="W1779" s="469"/>
      <c r="X1779" s="469"/>
      <c r="Y1779" s="469"/>
      <c r="Z1779" s="469"/>
      <c r="AA1779" s="469"/>
      <c r="AB1779" s="469"/>
    </row>
    <row r="1780" ht="14.25" customHeight="1">
      <c r="A1780" s="464"/>
      <c r="B1780" s="481"/>
      <c r="C1780" s="466"/>
      <c r="D1780" s="484"/>
      <c r="E1780" s="466"/>
      <c r="F1780" s="485"/>
      <c r="G1780" s="485"/>
      <c r="H1780" s="485"/>
      <c r="I1780" s="331"/>
      <c r="J1780" s="469"/>
      <c r="K1780" s="469"/>
      <c r="L1780" s="469"/>
      <c r="M1780" s="469"/>
      <c r="N1780" s="469"/>
      <c r="O1780" s="469"/>
      <c r="P1780" s="469"/>
      <c r="Q1780" s="469"/>
      <c r="R1780" s="469"/>
      <c r="S1780" s="469"/>
      <c r="T1780" s="469"/>
      <c r="U1780" s="469"/>
      <c r="V1780" s="469"/>
      <c r="W1780" s="469"/>
      <c r="X1780" s="469"/>
      <c r="Y1780" s="469"/>
      <c r="Z1780" s="469"/>
      <c r="AA1780" s="469"/>
      <c r="AB1780" s="469"/>
    </row>
    <row r="1781" ht="14.25" customHeight="1">
      <c r="A1781" s="464"/>
      <c r="B1781" s="481"/>
      <c r="C1781" s="466"/>
      <c r="D1781" s="484"/>
      <c r="E1781" s="466"/>
      <c r="F1781" s="485"/>
      <c r="G1781" s="485"/>
      <c r="H1781" s="485"/>
      <c r="I1781" s="331"/>
      <c r="J1781" s="469"/>
      <c r="K1781" s="469"/>
      <c r="L1781" s="469"/>
      <c r="M1781" s="469"/>
      <c r="N1781" s="469"/>
      <c r="O1781" s="469"/>
      <c r="P1781" s="469"/>
      <c r="Q1781" s="469"/>
      <c r="R1781" s="469"/>
      <c r="S1781" s="469"/>
      <c r="T1781" s="469"/>
      <c r="U1781" s="469"/>
      <c r="V1781" s="469"/>
      <c r="W1781" s="469"/>
      <c r="X1781" s="469"/>
      <c r="Y1781" s="469"/>
      <c r="Z1781" s="469"/>
      <c r="AA1781" s="469"/>
      <c r="AB1781" s="469"/>
    </row>
    <row r="1782" ht="14.25" customHeight="1">
      <c r="A1782" s="464"/>
      <c r="B1782" s="481"/>
      <c r="C1782" s="466"/>
      <c r="D1782" s="484"/>
      <c r="E1782" s="466"/>
      <c r="F1782" s="485"/>
      <c r="G1782" s="485"/>
      <c r="H1782" s="485"/>
      <c r="I1782" s="331"/>
      <c r="J1782" s="469"/>
      <c r="K1782" s="469"/>
      <c r="L1782" s="469"/>
      <c r="M1782" s="469"/>
      <c r="N1782" s="469"/>
      <c r="O1782" s="469"/>
      <c r="P1782" s="469"/>
      <c r="Q1782" s="469"/>
      <c r="R1782" s="469"/>
      <c r="S1782" s="469"/>
      <c r="T1782" s="469"/>
      <c r="U1782" s="469"/>
      <c r="V1782" s="469"/>
      <c r="W1782" s="469"/>
      <c r="X1782" s="469"/>
      <c r="Y1782" s="469"/>
      <c r="Z1782" s="469"/>
      <c r="AA1782" s="469"/>
      <c r="AB1782" s="469"/>
    </row>
    <row r="1783" ht="14.25" customHeight="1">
      <c r="A1783" s="464"/>
      <c r="B1783" s="481"/>
      <c r="C1783" s="466"/>
      <c r="D1783" s="484"/>
      <c r="E1783" s="466"/>
      <c r="F1783" s="485"/>
      <c r="G1783" s="485"/>
      <c r="H1783" s="485"/>
      <c r="I1783" s="331"/>
      <c r="J1783" s="469"/>
      <c r="K1783" s="469"/>
      <c r="L1783" s="469"/>
      <c r="M1783" s="469"/>
      <c r="N1783" s="469"/>
      <c r="O1783" s="469"/>
      <c r="P1783" s="469"/>
      <c r="Q1783" s="469"/>
      <c r="R1783" s="469"/>
      <c r="S1783" s="469"/>
      <c r="T1783" s="469"/>
      <c r="U1783" s="469"/>
      <c r="V1783" s="469"/>
      <c r="W1783" s="469"/>
      <c r="X1783" s="469"/>
      <c r="Y1783" s="469"/>
      <c r="Z1783" s="469"/>
      <c r="AA1783" s="469"/>
      <c r="AB1783" s="469"/>
    </row>
    <row r="1784" ht="14.25" customHeight="1">
      <c r="A1784" s="464"/>
      <c r="B1784" s="481"/>
      <c r="C1784" s="466"/>
      <c r="D1784" s="484"/>
      <c r="E1784" s="466"/>
      <c r="F1784" s="485"/>
      <c r="G1784" s="485"/>
      <c r="H1784" s="485"/>
      <c r="I1784" s="331"/>
      <c r="J1784" s="469"/>
      <c r="K1784" s="469"/>
      <c r="L1784" s="469"/>
      <c r="M1784" s="469"/>
      <c r="N1784" s="469"/>
      <c r="O1784" s="469"/>
      <c r="P1784" s="469"/>
      <c r="Q1784" s="469"/>
      <c r="R1784" s="469"/>
      <c r="S1784" s="469"/>
      <c r="T1784" s="469"/>
      <c r="U1784" s="469"/>
      <c r="V1784" s="469"/>
      <c r="W1784" s="469"/>
      <c r="X1784" s="469"/>
      <c r="Y1784" s="469"/>
      <c r="Z1784" s="469"/>
      <c r="AA1784" s="469"/>
      <c r="AB1784" s="469"/>
    </row>
    <row r="1785" ht="14.25" customHeight="1">
      <c r="A1785" s="464"/>
      <c r="B1785" s="481"/>
      <c r="C1785" s="466"/>
      <c r="D1785" s="484"/>
      <c r="E1785" s="466"/>
      <c r="F1785" s="485"/>
      <c r="G1785" s="485"/>
      <c r="H1785" s="485"/>
      <c r="I1785" s="331"/>
      <c r="J1785" s="469"/>
      <c r="K1785" s="469"/>
      <c r="L1785" s="469"/>
      <c r="M1785" s="469"/>
      <c r="N1785" s="469"/>
      <c r="O1785" s="469"/>
      <c r="P1785" s="469"/>
      <c r="Q1785" s="469"/>
      <c r="R1785" s="469"/>
      <c r="S1785" s="469"/>
      <c r="T1785" s="469"/>
      <c r="U1785" s="469"/>
      <c r="V1785" s="469"/>
      <c r="W1785" s="469"/>
      <c r="X1785" s="469"/>
      <c r="Y1785" s="469"/>
      <c r="Z1785" s="469"/>
      <c r="AA1785" s="469"/>
      <c r="AB1785" s="469"/>
    </row>
    <row r="1786" ht="14.25" customHeight="1">
      <c r="A1786" s="464"/>
      <c r="B1786" s="481"/>
      <c r="C1786" s="466"/>
      <c r="D1786" s="484"/>
      <c r="E1786" s="466"/>
      <c r="F1786" s="485"/>
      <c r="G1786" s="485"/>
      <c r="H1786" s="485"/>
      <c r="I1786" s="331"/>
      <c r="J1786" s="469"/>
      <c r="K1786" s="469"/>
      <c r="L1786" s="469"/>
      <c r="M1786" s="469"/>
      <c r="N1786" s="469"/>
      <c r="O1786" s="469"/>
      <c r="P1786" s="469"/>
      <c r="Q1786" s="469"/>
      <c r="R1786" s="469"/>
      <c r="S1786" s="469"/>
      <c r="T1786" s="469"/>
      <c r="U1786" s="469"/>
      <c r="V1786" s="469"/>
      <c r="W1786" s="469"/>
      <c r="X1786" s="469"/>
      <c r="Y1786" s="469"/>
      <c r="Z1786" s="469"/>
      <c r="AA1786" s="469"/>
      <c r="AB1786" s="469"/>
    </row>
    <row r="1787" ht="14.25" customHeight="1">
      <c r="A1787" s="464"/>
      <c r="B1787" s="481"/>
      <c r="C1787" s="466"/>
      <c r="D1787" s="484"/>
      <c r="E1787" s="466"/>
      <c r="F1787" s="485"/>
      <c r="G1787" s="485"/>
      <c r="H1787" s="485"/>
      <c r="I1787" s="331"/>
      <c r="J1787" s="469"/>
      <c r="K1787" s="469"/>
      <c r="L1787" s="469"/>
      <c r="M1787" s="469"/>
      <c r="N1787" s="469"/>
      <c r="O1787" s="469"/>
      <c r="P1787" s="469"/>
      <c r="Q1787" s="469"/>
      <c r="R1787" s="469"/>
      <c r="S1787" s="469"/>
      <c r="T1787" s="469"/>
      <c r="U1787" s="469"/>
      <c r="V1787" s="469"/>
      <c r="W1787" s="469"/>
      <c r="X1787" s="469"/>
      <c r="Y1787" s="469"/>
      <c r="Z1787" s="469"/>
      <c r="AA1787" s="469"/>
      <c r="AB1787" s="469"/>
    </row>
    <row r="1788" ht="14.25" customHeight="1">
      <c r="A1788" s="464"/>
      <c r="B1788" s="481"/>
      <c r="C1788" s="466"/>
      <c r="D1788" s="484"/>
      <c r="E1788" s="466"/>
      <c r="F1788" s="485"/>
      <c r="G1788" s="485"/>
      <c r="H1788" s="485"/>
      <c r="I1788" s="331"/>
      <c r="J1788" s="469"/>
      <c r="K1788" s="469"/>
      <c r="L1788" s="469"/>
      <c r="M1788" s="469"/>
      <c r="N1788" s="469"/>
      <c r="O1788" s="469"/>
      <c r="P1788" s="469"/>
      <c r="Q1788" s="469"/>
      <c r="R1788" s="469"/>
      <c r="S1788" s="469"/>
      <c r="T1788" s="469"/>
      <c r="U1788" s="469"/>
      <c r="V1788" s="469"/>
      <c r="W1788" s="469"/>
      <c r="X1788" s="469"/>
      <c r="Y1788" s="469"/>
      <c r="Z1788" s="469"/>
      <c r="AA1788" s="469"/>
      <c r="AB1788" s="469"/>
    </row>
    <row r="1789" ht="14.25" customHeight="1">
      <c r="A1789" s="464"/>
      <c r="B1789" s="481"/>
      <c r="C1789" s="466"/>
      <c r="D1789" s="484"/>
      <c r="E1789" s="466"/>
      <c r="F1789" s="485"/>
      <c r="G1789" s="485"/>
      <c r="H1789" s="485"/>
      <c r="I1789" s="331"/>
      <c r="J1789" s="469"/>
      <c r="K1789" s="469"/>
      <c r="L1789" s="469"/>
      <c r="M1789" s="469"/>
      <c r="N1789" s="469"/>
      <c r="O1789" s="469"/>
      <c r="P1789" s="469"/>
      <c r="Q1789" s="469"/>
      <c r="R1789" s="469"/>
      <c r="S1789" s="469"/>
      <c r="T1789" s="469"/>
      <c r="U1789" s="469"/>
      <c r="V1789" s="469"/>
      <c r="W1789" s="469"/>
      <c r="X1789" s="469"/>
      <c r="Y1789" s="469"/>
      <c r="Z1789" s="469"/>
      <c r="AA1789" s="469"/>
      <c r="AB1789" s="469"/>
    </row>
    <row r="1790" ht="14.25" customHeight="1">
      <c r="A1790" s="464"/>
      <c r="B1790" s="481"/>
      <c r="C1790" s="466"/>
      <c r="D1790" s="484"/>
      <c r="E1790" s="466"/>
      <c r="F1790" s="485"/>
      <c r="G1790" s="485"/>
      <c r="H1790" s="485"/>
      <c r="I1790" s="331"/>
      <c r="J1790" s="469"/>
      <c r="K1790" s="469"/>
      <c r="L1790" s="469"/>
      <c r="M1790" s="469"/>
      <c r="N1790" s="469"/>
      <c r="O1790" s="469"/>
      <c r="P1790" s="469"/>
      <c r="Q1790" s="469"/>
      <c r="R1790" s="469"/>
      <c r="S1790" s="469"/>
      <c r="T1790" s="469"/>
      <c r="U1790" s="469"/>
      <c r="V1790" s="469"/>
      <c r="W1790" s="469"/>
      <c r="X1790" s="469"/>
      <c r="Y1790" s="469"/>
      <c r="Z1790" s="469"/>
      <c r="AA1790" s="469"/>
      <c r="AB1790" s="469"/>
    </row>
    <row r="1791" ht="14.25" customHeight="1">
      <c r="A1791" s="464"/>
      <c r="B1791" s="481"/>
      <c r="C1791" s="466"/>
      <c r="D1791" s="484"/>
      <c r="E1791" s="466"/>
      <c r="F1791" s="485"/>
      <c r="G1791" s="485"/>
      <c r="H1791" s="485"/>
      <c r="I1791" s="331"/>
      <c r="J1791" s="469"/>
      <c r="K1791" s="469"/>
      <c r="L1791" s="469"/>
      <c r="M1791" s="469"/>
      <c r="N1791" s="469"/>
      <c r="O1791" s="469"/>
      <c r="P1791" s="469"/>
      <c r="Q1791" s="469"/>
      <c r="R1791" s="469"/>
      <c r="S1791" s="469"/>
      <c r="T1791" s="469"/>
      <c r="U1791" s="469"/>
      <c r="V1791" s="469"/>
      <c r="W1791" s="469"/>
      <c r="X1791" s="469"/>
      <c r="Y1791" s="469"/>
      <c r="Z1791" s="469"/>
      <c r="AA1791" s="469"/>
      <c r="AB1791" s="469"/>
    </row>
    <row r="1792" ht="14.25" customHeight="1">
      <c r="A1792" s="464"/>
      <c r="B1792" s="481"/>
      <c r="C1792" s="466"/>
      <c r="D1792" s="484"/>
      <c r="E1792" s="466"/>
      <c r="F1792" s="485"/>
      <c r="G1792" s="485"/>
      <c r="H1792" s="485"/>
      <c r="I1792" s="331"/>
      <c r="J1792" s="469"/>
      <c r="K1792" s="469"/>
      <c r="L1792" s="469"/>
      <c r="M1792" s="469"/>
      <c r="N1792" s="469"/>
      <c r="O1792" s="469"/>
      <c r="P1792" s="469"/>
      <c r="Q1792" s="469"/>
      <c r="R1792" s="469"/>
      <c r="S1792" s="469"/>
      <c r="T1792" s="469"/>
      <c r="U1792" s="469"/>
      <c r="V1792" s="469"/>
      <c r="W1792" s="469"/>
      <c r="X1792" s="469"/>
      <c r="Y1792" s="469"/>
      <c r="Z1792" s="469"/>
      <c r="AA1792" s="469"/>
      <c r="AB1792" s="469"/>
    </row>
    <row r="1793" ht="14.25" customHeight="1">
      <c r="A1793" s="464"/>
      <c r="B1793" s="481"/>
      <c r="C1793" s="466"/>
      <c r="D1793" s="484"/>
      <c r="E1793" s="466"/>
      <c r="F1793" s="485"/>
      <c r="G1793" s="485"/>
      <c r="H1793" s="485"/>
      <c r="I1793" s="331"/>
      <c r="J1793" s="469"/>
      <c r="K1793" s="469"/>
      <c r="L1793" s="469"/>
      <c r="M1793" s="469"/>
      <c r="N1793" s="469"/>
      <c r="O1793" s="469"/>
      <c r="P1793" s="469"/>
      <c r="Q1793" s="469"/>
      <c r="R1793" s="469"/>
      <c r="S1793" s="469"/>
      <c r="T1793" s="469"/>
      <c r="U1793" s="469"/>
      <c r="V1793" s="469"/>
      <c r="W1793" s="469"/>
      <c r="X1793" s="469"/>
      <c r="Y1793" s="469"/>
      <c r="Z1793" s="469"/>
      <c r="AA1793" s="469"/>
      <c r="AB1793" s="469"/>
    </row>
    <row r="1794" ht="14.25" customHeight="1">
      <c r="A1794" s="464"/>
      <c r="B1794" s="481"/>
      <c r="C1794" s="466"/>
      <c r="D1794" s="484"/>
      <c r="E1794" s="466"/>
      <c r="F1794" s="485"/>
      <c r="G1794" s="485"/>
      <c r="H1794" s="485"/>
      <c r="I1794" s="331"/>
      <c r="J1794" s="469"/>
      <c r="K1794" s="469"/>
      <c r="L1794" s="469"/>
      <c r="M1794" s="469"/>
      <c r="N1794" s="469"/>
      <c r="O1794" s="469"/>
      <c r="P1794" s="469"/>
      <c r="Q1794" s="469"/>
      <c r="R1794" s="469"/>
      <c r="S1794" s="469"/>
      <c r="T1794" s="469"/>
      <c r="U1794" s="469"/>
      <c r="V1794" s="469"/>
      <c r="W1794" s="469"/>
      <c r="X1794" s="469"/>
      <c r="Y1794" s="469"/>
      <c r="Z1794" s="469"/>
      <c r="AA1794" s="469"/>
      <c r="AB1794" s="469"/>
    </row>
    <row r="1795" ht="14.25" customHeight="1">
      <c r="A1795" s="464"/>
      <c r="B1795" s="481"/>
      <c r="C1795" s="466"/>
      <c r="D1795" s="484"/>
      <c r="E1795" s="466"/>
      <c r="F1795" s="485"/>
      <c r="G1795" s="485"/>
      <c r="H1795" s="485"/>
      <c r="I1795" s="331"/>
      <c r="J1795" s="469"/>
      <c r="K1795" s="469"/>
      <c r="L1795" s="469"/>
      <c r="M1795" s="469"/>
      <c r="N1795" s="469"/>
      <c r="O1795" s="469"/>
      <c r="P1795" s="469"/>
      <c r="Q1795" s="469"/>
      <c r="R1795" s="469"/>
      <c r="S1795" s="469"/>
      <c r="T1795" s="469"/>
      <c r="U1795" s="469"/>
      <c r="V1795" s="469"/>
      <c r="W1795" s="469"/>
      <c r="X1795" s="469"/>
      <c r="Y1795" s="469"/>
      <c r="Z1795" s="469"/>
      <c r="AA1795" s="469"/>
      <c r="AB1795" s="469"/>
    </row>
    <row r="1796" ht="14.25" customHeight="1">
      <c r="A1796" s="464"/>
      <c r="B1796" s="481"/>
      <c r="C1796" s="466"/>
      <c r="D1796" s="484"/>
      <c r="E1796" s="466"/>
      <c r="F1796" s="485"/>
      <c r="G1796" s="485"/>
      <c r="H1796" s="485"/>
      <c r="I1796" s="331"/>
      <c r="J1796" s="469"/>
      <c r="K1796" s="469"/>
      <c r="L1796" s="469"/>
      <c r="M1796" s="469"/>
      <c r="N1796" s="469"/>
      <c r="O1796" s="469"/>
      <c r="P1796" s="469"/>
      <c r="Q1796" s="469"/>
      <c r="R1796" s="469"/>
      <c r="S1796" s="469"/>
      <c r="T1796" s="469"/>
      <c r="U1796" s="469"/>
      <c r="V1796" s="469"/>
      <c r="W1796" s="469"/>
      <c r="X1796" s="469"/>
      <c r="Y1796" s="469"/>
      <c r="Z1796" s="469"/>
      <c r="AA1796" s="469"/>
      <c r="AB1796" s="469"/>
    </row>
    <row r="1797" ht="14.25" customHeight="1">
      <c r="A1797" s="464"/>
      <c r="B1797" s="481"/>
      <c r="C1797" s="466"/>
      <c r="D1797" s="484"/>
      <c r="E1797" s="466"/>
      <c r="F1797" s="485"/>
      <c r="G1797" s="485"/>
      <c r="H1797" s="485"/>
      <c r="I1797" s="331"/>
      <c r="J1797" s="469"/>
      <c r="K1797" s="469"/>
      <c r="L1797" s="469"/>
      <c r="M1797" s="469"/>
      <c r="N1797" s="469"/>
      <c r="O1797" s="469"/>
      <c r="P1797" s="469"/>
      <c r="Q1797" s="469"/>
      <c r="R1797" s="469"/>
      <c r="S1797" s="469"/>
      <c r="T1797" s="469"/>
      <c r="U1797" s="469"/>
      <c r="V1797" s="469"/>
      <c r="W1797" s="469"/>
      <c r="X1797" s="469"/>
      <c r="Y1797" s="469"/>
      <c r="Z1797" s="469"/>
      <c r="AA1797" s="469"/>
      <c r="AB1797" s="469"/>
    </row>
    <row r="1798" ht="14.25" customHeight="1">
      <c r="A1798" s="464"/>
      <c r="B1798" s="481"/>
      <c r="C1798" s="466"/>
      <c r="D1798" s="484"/>
      <c r="E1798" s="466"/>
      <c r="F1798" s="485"/>
      <c r="G1798" s="485"/>
      <c r="H1798" s="485"/>
      <c r="I1798" s="331"/>
      <c r="J1798" s="469"/>
      <c r="K1798" s="469"/>
      <c r="L1798" s="469"/>
      <c r="M1798" s="469"/>
      <c r="N1798" s="469"/>
      <c r="O1798" s="469"/>
      <c r="P1798" s="469"/>
      <c r="Q1798" s="469"/>
      <c r="R1798" s="469"/>
      <c r="S1798" s="469"/>
      <c r="T1798" s="469"/>
      <c r="U1798" s="469"/>
      <c r="V1798" s="469"/>
      <c r="W1798" s="469"/>
      <c r="X1798" s="469"/>
      <c r="Y1798" s="469"/>
      <c r="Z1798" s="469"/>
      <c r="AA1798" s="469"/>
      <c r="AB1798" s="469"/>
    </row>
    <row r="1799" ht="14.25" customHeight="1">
      <c r="A1799" s="464"/>
      <c r="B1799" s="481"/>
      <c r="C1799" s="466"/>
      <c r="D1799" s="484"/>
      <c r="E1799" s="466"/>
      <c r="F1799" s="485"/>
      <c r="G1799" s="485"/>
      <c r="H1799" s="485"/>
      <c r="I1799" s="331"/>
      <c r="J1799" s="469"/>
      <c r="K1799" s="469"/>
      <c r="L1799" s="469"/>
      <c r="M1799" s="469"/>
      <c r="N1799" s="469"/>
      <c r="O1799" s="469"/>
      <c r="P1799" s="469"/>
      <c r="Q1799" s="469"/>
      <c r="R1799" s="469"/>
      <c r="S1799" s="469"/>
      <c r="T1799" s="469"/>
      <c r="U1799" s="469"/>
      <c r="V1799" s="469"/>
      <c r="W1799" s="469"/>
      <c r="X1799" s="469"/>
      <c r="Y1799" s="469"/>
      <c r="Z1799" s="469"/>
      <c r="AA1799" s="469"/>
      <c r="AB1799" s="469"/>
    </row>
    <row r="1800" ht="14.25" customHeight="1">
      <c r="A1800" s="464"/>
      <c r="B1800" s="481"/>
      <c r="C1800" s="466"/>
      <c r="D1800" s="484"/>
      <c r="E1800" s="466"/>
      <c r="F1800" s="485"/>
      <c r="G1800" s="485"/>
      <c r="H1800" s="485"/>
      <c r="I1800" s="331"/>
      <c r="J1800" s="469"/>
      <c r="K1800" s="469"/>
      <c r="L1800" s="469"/>
      <c r="M1800" s="469"/>
      <c r="N1800" s="469"/>
      <c r="O1800" s="469"/>
      <c r="P1800" s="469"/>
      <c r="Q1800" s="469"/>
      <c r="R1800" s="469"/>
      <c r="S1800" s="469"/>
      <c r="T1800" s="469"/>
      <c r="U1800" s="469"/>
      <c r="V1800" s="469"/>
      <c r="W1800" s="469"/>
      <c r="X1800" s="469"/>
      <c r="Y1800" s="469"/>
      <c r="Z1800" s="469"/>
      <c r="AA1800" s="469"/>
      <c r="AB1800" s="469"/>
    </row>
    <row r="1801" ht="14.25" customHeight="1">
      <c r="A1801" s="464"/>
      <c r="B1801" s="481"/>
      <c r="C1801" s="466"/>
      <c r="D1801" s="484"/>
      <c r="E1801" s="466"/>
      <c r="F1801" s="485"/>
      <c r="G1801" s="485"/>
      <c r="H1801" s="485"/>
      <c r="I1801" s="331"/>
      <c r="J1801" s="469"/>
      <c r="K1801" s="469"/>
      <c r="L1801" s="469"/>
      <c r="M1801" s="469"/>
      <c r="N1801" s="469"/>
      <c r="O1801" s="469"/>
      <c r="P1801" s="469"/>
      <c r="Q1801" s="469"/>
      <c r="R1801" s="469"/>
      <c r="S1801" s="469"/>
      <c r="T1801" s="469"/>
      <c r="U1801" s="469"/>
      <c r="V1801" s="469"/>
      <c r="W1801" s="469"/>
      <c r="X1801" s="469"/>
      <c r="Y1801" s="469"/>
      <c r="Z1801" s="469"/>
      <c r="AA1801" s="469"/>
      <c r="AB1801" s="469"/>
    </row>
    <row r="1802" ht="14.25" customHeight="1">
      <c r="A1802" s="464"/>
      <c r="B1802" s="481"/>
      <c r="C1802" s="466"/>
      <c r="D1802" s="484"/>
      <c r="E1802" s="466"/>
      <c r="F1802" s="485"/>
      <c r="G1802" s="485"/>
      <c r="H1802" s="485"/>
      <c r="I1802" s="331"/>
      <c r="J1802" s="469"/>
      <c r="K1802" s="469"/>
      <c r="L1802" s="469"/>
      <c r="M1802" s="469"/>
      <c r="N1802" s="469"/>
      <c r="O1802" s="469"/>
      <c r="P1802" s="469"/>
      <c r="Q1802" s="469"/>
      <c r="R1802" s="469"/>
      <c r="S1802" s="469"/>
      <c r="T1802" s="469"/>
      <c r="U1802" s="469"/>
      <c r="V1802" s="469"/>
      <c r="W1802" s="469"/>
      <c r="X1802" s="469"/>
      <c r="Y1802" s="469"/>
      <c r="Z1802" s="469"/>
      <c r="AA1802" s="469"/>
      <c r="AB1802" s="469"/>
    </row>
    <row r="1803" ht="14.25" customHeight="1">
      <c r="A1803" s="464"/>
      <c r="B1803" s="481"/>
      <c r="C1803" s="466"/>
      <c r="D1803" s="484"/>
      <c r="E1803" s="466"/>
      <c r="F1803" s="485"/>
      <c r="G1803" s="485"/>
      <c r="H1803" s="485"/>
      <c r="I1803" s="331"/>
      <c r="J1803" s="469"/>
      <c r="K1803" s="469"/>
      <c r="L1803" s="469"/>
      <c r="M1803" s="469"/>
      <c r="N1803" s="469"/>
      <c r="O1803" s="469"/>
      <c r="P1803" s="469"/>
      <c r="Q1803" s="469"/>
      <c r="R1803" s="469"/>
      <c r="S1803" s="469"/>
      <c r="T1803" s="469"/>
      <c r="U1803" s="469"/>
      <c r="V1803" s="469"/>
      <c r="W1803" s="469"/>
      <c r="X1803" s="469"/>
      <c r="Y1803" s="469"/>
      <c r="Z1803" s="469"/>
      <c r="AA1803" s="469"/>
      <c r="AB1803" s="469"/>
    </row>
    <row r="1804" ht="14.25" customHeight="1">
      <c r="A1804" s="464"/>
      <c r="B1804" s="481"/>
      <c r="C1804" s="466"/>
      <c r="D1804" s="484"/>
      <c r="E1804" s="466"/>
      <c r="F1804" s="485"/>
      <c r="G1804" s="485"/>
      <c r="H1804" s="485"/>
      <c r="I1804" s="331"/>
      <c r="J1804" s="469"/>
      <c r="K1804" s="469"/>
      <c r="L1804" s="469"/>
      <c r="M1804" s="469"/>
      <c r="N1804" s="469"/>
      <c r="O1804" s="469"/>
      <c r="P1804" s="469"/>
      <c r="Q1804" s="469"/>
      <c r="R1804" s="469"/>
      <c r="S1804" s="469"/>
      <c r="T1804" s="469"/>
      <c r="U1804" s="469"/>
      <c r="V1804" s="469"/>
      <c r="W1804" s="469"/>
      <c r="X1804" s="469"/>
      <c r="Y1804" s="469"/>
      <c r="Z1804" s="469"/>
      <c r="AA1804" s="469"/>
      <c r="AB1804" s="469"/>
    </row>
    <row r="1805" ht="14.25" customHeight="1">
      <c r="A1805" s="464"/>
      <c r="B1805" s="481"/>
      <c r="C1805" s="466"/>
      <c r="D1805" s="484"/>
      <c r="E1805" s="466"/>
      <c r="F1805" s="485"/>
      <c r="G1805" s="485"/>
      <c r="H1805" s="485"/>
      <c r="I1805" s="331"/>
      <c r="J1805" s="469"/>
      <c r="K1805" s="469"/>
      <c r="L1805" s="469"/>
      <c r="M1805" s="469"/>
      <c r="N1805" s="469"/>
      <c r="O1805" s="469"/>
      <c r="P1805" s="469"/>
      <c r="Q1805" s="469"/>
      <c r="R1805" s="469"/>
      <c r="S1805" s="469"/>
      <c r="T1805" s="469"/>
      <c r="U1805" s="469"/>
      <c r="V1805" s="469"/>
      <c r="W1805" s="469"/>
      <c r="X1805" s="469"/>
      <c r="Y1805" s="469"/>
      <c r="Z1805" s="469"/>
      <c r="AA1805" s="469"/>
      <c r="AB1805" s="469"/>
    </row>
    <row r="1806" ht="14.25" customHeight="1">
      <c r="A1806" s="464"/>
      <c r="B1806" s="481"/>
      <c r="C1806" s="466"/>
      <c r="D1806" s="484"/>
      <c r="E1806" s="466"/>
      <c r="F1806" s="485"/>
      <c r="G1806" s="485"/>
      <c r="H1806" s="485"/>
      <c r="I1806" s="331"/>
      <c r="J1806" s="469"/>
      <c r="K1806" s="469"/>
      <c r="L1806" s="469"/>
      <c r="M1806" s="469"/>
      <c r="N1806" s="469"/>
      <c r="O1806" s="469"/>
      <c r="P1806" s="469"/>
      <c r="Q1806" s="469"/>
      <c r="R1806" s="469"/>
      <c r="S1806" s="469"/>
      <c r="T1806" s="469"/>
      <c r="U1806" s="469"/>
      <c r="V1806" s="469"/>
      <c r="W1806" s="469"/>
      <c r="X1806" s="469"/>
      <c r="Y1806" s="469"/>
      <c r="Z1806" s="469"/>
      <c r="AA1806" s="469"/>
      <c r="AB1806" s="469"/>
    </row>
    <row r="1807" ht="14.25" customHeight="1">
      <c r="A1807" s="464"/>
      <c r="B1807" s="481"/>
      <c r="C1807" s="466"/>
      <c r="D1807" s="484"/>
      <c r="E1807" s="466"/>
      <c r="F1807" s="485"/>
      <c r="G1807" s="485"/>
      <c r="H1807" s="485"/>
      <c r="I1807" s="331"/>
      <c r="J1807" s="469"/>
      <c r="K1807" s="469"/>
      <c r="L1807" s="469"/>
      <c r="M1807" s="469"/>
      <c r="N1807" s="469"/>
      <c r="O1807" s="469"/>
      <c r="P1807" s="469"/>
      <c r="Q1807" s="469"/>
      <c r="R1807" s="469"/>
      <c r="S1807" s="469"/>
      <c r="T1807" s="469"/>
      <c r="U1807" s="469"/>
      <c r="V1807" s="469"/>
      <c r="W1807" s="469"/>
      <c r="X1807" s="469"/>
      <c r="Y1807" s="469"/>
      <c r="Z1807" s="469"/>
      <c r="AA1807" s="469"/>
      <c r="AB1807" s="469"/>
    </row>
    <row r="1808" ht="14.25" customHeight="1">
      <c r="A1808" s="464"/>
      <c r="B1808" s="481"/>
      <c r="C1808" s="466"/>
      <c r="D1808" s="484"/>
      <c r="E1808" s="466"/>
      <c r="F1808" s="485"/>
      <c r="G1808" s="485"/>
      <c r="H1808" s="485"/>
      <c r="I1808" s="331"/>
      <c r="J1808" s="469"/>
      <c r="K1808" s="469"/>
      <c r="L1808" s="469"/>
      <c r="M1808" s="469"/>
      <c r="N1808" s="469"/>
      <c r="O1808" s="469"/>
      <c r="P1808" s="469"/>
      <c r="Q1808" s="469"/>
      <c r="R1808" s="469"/>
      <c r="S1808" s="469"/>
      <c r="T1808" s="469"/>
      <c r="U1808" s="469"/>
      <c r="V1808" s="469"/>
      <c r="W1808" s="469"/>
      <c r="X1808" s="469"/>
      <c r="Y1808" s="469"/>
      <c r="Z1808" s="469"/>
      <c r="AA1808" s="469"/>
      <c r="AB1808" s="469"/>
    </row>
    <row r="1809" ht="14.25" customHeight="1">
      <c r="A1809" s="464"/>
      <c r="B1809" s="481"/>
      <c r="C1809" s="466"/>
      <c r="D1809" s="484"/>
      <c r="E1809" s="466"/>
      <c r="F1809" s="485"/>
      <c r="G1809" s="485"/>
      <c r="H1809" s="485"/>
      <c r="I1809" s="331"/>
      <c r="J1809" s="469"/>
      <c r="K1809" s="469"/>
      <c r="L1809" s="469"/>
      <c r="M1809" s="469"/>
      <c r="N1809" s="469"/>
      <c r="O1809" s="469"/>
      <c r="P1809" s="469"/>
      <c r="Q1809" s="469"/>
      <c r="R1809" s="469"/>
      <c r="S1809" s="469"/>
      <c r="T1809" s="469"/>
      <c r="U1809" s="469"/>
      <c r="V1809" s="469"/>
      <c r="W1809" s="469"/>
      <c r="X1809" s="469"/>
      <c r="Y1809" s="469"/>
      <c r="Z1809" s="469"/>
      <c r="AA1809" s="469"/>
      <c r="AB1809" s="469"/>
    </row>
    <row r="1810" ht="14.25" customHeight="1">
      <c r="A1810" s="464"/>
      <c r="B1810" s="481"/>
      <c r="C1810" s="466"/>
      <c r="D1810" s="484"/>
      <c r="E1810" s="466"/>
      <c r="F1810" s="485"/>
      <c r="G1810" s="485"/>
      <c r="H1810" s="485"/>
      <c r="I1810" s="331"/>
      <c r="J1810" s="469"/>
      <c r="K1810" s="469"/>
      <c r="L1810" s="469"/>
      <c r="M1810" s="469"/>
      <c r="N1810" s="469"/>
      <c r="O1810" s="469"/>
      <c r="P1810" s="469"/>
      <c r="Q1810" s="469"/>
      <c r="R1810" s="469"/>
      <c r="S1810" s="469"/>
      <c r="T1810" s="469"/>
      <c r="U1810" s="469"/>
      <c r="V1810" s="469"/>
      <c r="W1810" s="469"/>
      <c r="X1810" s="469"/>
      <c r="Y1810" s="469"/>
      <c r="Z1810" s="469"/>
      <c r="AA1810" s="469"/>
      <c r="AB1810" s="469"/>
    </row>
    <row r="1811" ht="14.25" customHeight="1">
      <c r="A1811" s="464"/>
      <c r="B1811" s="481"/>
      <c r="C1811" s="466"/>
      <c r="D1811" s="484"/>
      <c r="E1811" s="466"/>
      <c r="F1811" s="485"/>
      <c r="G1811" s="485"/>
      <c r="H1811" s="485"/>
      <c r="I1811" s="331"/>
      <c r="J1811" s="469"/>
      <c r="K1811" s="469"/>
      <c r="L1811" s="469"/>
      <c r="M1811" s="469"/>
      <c r="N1811" s="469"/>
      <c r="O1811" s="469"/>
      <c r="P1811" s="469"/>
      <c r="Q1811" s="469"/>
      <c r="R1811" s="469"/>
      <c r="S1811" s="469"/>
      <c r="T1811" s="469"/>
      <c r="U1811" s="469"/>
      <c r="V1811" s="469"/>
      <c r="W1811" s="469"/>
      <c r="X1811" s="469"/>
      <c r="Y1811" s="469"/>
      <c r="Z1811" s="469"/>
      <c r="AA1811" s="469"/>
      <c r="AB1811" s="469"/>
    </row>
    <row r="1812" ht="14.25" customHeight="1">
      <c r="A1812" s="464"/>
      <c r="B1812" s="481"/>
      <c r="C1812" s="466"/>
      <c r="D1812" s="484"/>
      <c r="E1812" s="466"/>
      <c r="F1812" s="485"/>
      <c r="G1812" s="485"/>
      <c r="H1812" s="485"/>
      <c r="I1812" s="331"/>
      <c r="J1812" s="469"/>
      <c r="K1812" s="469"/>
      <c r="L1812" s="469"/>
      <c r="M1812" s="469"/>
      <c r="N1812" s="469"/>
      <c r="O1812" s="469"/>
      <c r="P1812" s="469"/>
      <c r="Q1812" s="469"/>
      <c r="R1812" s="469"/>
      <c r="S1812" s="469"/>
      <c r="T1812" s="469"/>
      <c r="U1812" s="469"/>
      <c r="V1812" s="469"/>
      <c r="W1812" s="469"/>
      <c r="X1812" s="469"/>
      <c r="Y1812" s="469"/>
      <c r="Z1812" s="469"/>
      <c r="AA1812" s="469"/>
      <c r="AB1812" s="469"/>
    </row>
    <row r="1813" ht="14.25" customHeight="1">
      <c r="A1813" s="464"/>
      <c r="B1813" s="481"/>
      <c r="C1813" s="466"/>
      <c r="D1813" s="484"/>
      <c r="E1813" s="466"/>
      <c r="F1813" s="485"/>
      <c r="G1813" s="485"/>
      <c r="H1813" s="485"/>
      <c r="I1813" s="331"/>
      <c r="J1813" s="469"/>
      <c r="K1813" s="469"/>
      <c r="L1813" s="469"/>
      <c r="M1813" s="469"/>
      <c r="N1813" s="469"/>
      <c r="O1813" s="469"/>
      <c r="P1813" s="469"/>
      <c r="Q1813" s="469"/>
      <c r="R1813" s="469"/>
      <c r="S1813" s="469"/>
      <c r="T1813" s="469"/>
      <c r="U1813" s="469"/>
      <c r="V1813" s="469"/>
      <c r="W1813" s="469"/>
      <c r="X1813" s="469"/>
      <c r="Y1813" s="469"/>
      <c r="Z1813" s="469"/>
      <c r="AA1813" s="469"/>
      <c r="AB1813" s="469"/>
    </row>
    <row r="1814" ht="14.25" customHeight="1">
      <c r="A1814" s="464"/>
      <c r="B1814" s="481"/>
      <c r="C1814" s="466"/>
      <c r="D1814" s="484"/>
      <c r="E1814" s="466"/>
      <c r="F1814" s="485"/>
      <c r="G1814" s="485"/>
      <c r="H1814" s="485"/>
      <c r="I1814" s="331"/>
      <c r="J1814" s="469"/>
      <c r="K1814" s="469"/>
      <c r="L1814" s="469"/>
      <c r="M1814" s="469"/>
      <c r="N1814" s="469"/>
      <c r="O1814" s="469"/>
      <c r="P1814" s="469"/>
      <c r="Q1814" s="469"/>
      <c r="R1814" s="469"/>
      <c r="S1814" s="469"/>
      <c r="T1814" s="469"/>
      <c r="U1814" s="469"/>
      <c r="V1814" s="469"/>
      <c r="W1814" s="469"/>
      <c r="X1814" s="469"/>
      <c r="Y1814" s="469"/>
      <c r="Z1814" s="469"/>
      <c r="AA1814" s="469"/>
      <c r="AB1814" s="469"/>
    </row>
    <row r="1815" ht="14.25" customHeight="1">
      <c r="A1815" s="464"/>
      <c r="B1815" s="481"/>
      <c r="C1815" s="466"/>
      <c r="D1815" s="484"/>
      <c r="E1815" s="466"/>
      <c r="F1815" s="485"/>
      <c r="G1815" s="485"/>
      <c r="H1815" s="485"/>
      <c r="I1815" s="331"/>
      <c r="J1815" s="469"/>
      <c r="K1815" s="469"/>
      <c r="L1815" s="469"/>
      <c r="M1815" s="469"/>
      <c r="N1815" s="469"/>
      <c r="O1815" s="469"/>
      <c r="P1815" s="469"/>
      <c r="Q1815" s="469"/>
      <c r="R1815" s="469"/>
      <c r="S1815" s="469"/>
      <c r="T1815" s="469"/>
      <c r="U1815" s="469"/>
      <c r="V1815" s="469"/>
      <c r="W1815" s="469"/>
      <c r="X1815" s="469"/>
      <c r="Y1815" s="469"/>
      <c r="Z1815" s="469"/>
      <c r="AA1815" s="469"/>
      <c r="AB1815" s="469"/>
    </row>
    <row r="1816" ht="14.25" customHeight="1">
      <c r="A1816" s="464"/>
      <c r="B1816" s="481"/>
      <c r="C1816" s="466"/>
      <c r="D1816" s="484"/>
      <c r="E1816" s="466"/>
      <c r="F1816" s="485"/>
      <c r="G1816" s="485"/>
      <c r="H1816" s="485"/>
      <c r="I1816" s="331"/>
      <c r="J1816" s="469"/>
      <c r="K1816" s="469"/>
      <c r="L1816" s="469"/>
      <c r="M1816" s="469"/>
      <c r="N1816" s="469"/>
      <c r="O1816" s="469"/>
      <c r="P1816" s="469"/>
      <c r="Q1816" s="469"/>
      <c r="R1816" s="469"/>
      <c r="S1816" s="469"/>
      <c r="T1816" s="469"/>
      <c r="U1816" s="469"/>
      <c r="V1816" s="469"/>
      <c r="W1816" s="469"/>
      <c r="X1816" s="469"/>
      <c r="Y1816" s="469"/>
      <c r="Z1816" s="469"/>
      <c r="AA1816" s="469"/>
      <c r="AB1816" s="469"/>
    </row>
    <row r="1817" ht="14.25" customHeight="1">
      <c r="A1817" s="464"/>
      <c r="B1817" s="481"/>
      <c r="C1817" s="466"/>
      <c r="D1817" s="484"/>
      <c r="E1817" s="466"/>
      <c r="F1817" s="485"/>
      <c r="G1817" s="485"/>
      <c r="H1817" s="485"/>
      <c r="I1817" s="331"/>
      <c r="J1817" s="469"/>
      <c r="K1817" s="469"/>
      <c r="L1817" s="469"/>
      <c r="M1817" s="469"/>
      <c r="N1817" s="469"/>
      <c r="O1817" s="469"/>
      <c r="P1817" s="469"/>
      <c r="Q1817" s="469"/>
      <c r="R1817" s="469"/>
      <c r="S1817" s="469"/>
      <c r="T1817" s="469"/>
      <c r="U1817" s="469"/>
      <c r="V1817" s="469"/>
      <c r="W1817" s="469"/>
      <c r="X1817" s="469"/>
      <c r="Y1817" s="469"/>
      <c r="Z1817" s="469"/>
      <c r="AA1817" s="469"/>
      <c r="AB1817" s="469"/>
    </row>
    <row r="1818" ht="14.25" customHeight="1">
      <c r="A1818" s="464"/>
      <c r="B1818" s="481"/>
      <c r="C1818" s="466"/>
      <c r="D1818" s="484"/>
      <c r="E1818" s="466"/>
      <c r="F1818" s="485"/>
      <c r="G1818" s="485"/>
      <c r="H1818" s="485"/>
      <c r="I1818" s="331"/>
      <c r="J1818" s="469"/>
      <c r="K1818" s="469"/>
      <c r="L1818" s="469"/>
      <c r="M1818" s="469"/>
      <c r="N1818" s="469"/>
      <c r="O1818" s="469"/>
      <c r="P1818" s="469"/>
      <c r="Q1818" s="469"/>
      <c r="R1818" s="469"/>
      <c r="S1818" s="469"/>
      <c r="T1818" s="469"/>
      <c r="U1818" s="469"/>
      <c r="V1818" s="469"/>
      <c r="W1818" s="469"/>
      <c r="X1818" s="469"/>
      <c r="Y1818" s="469"/>
      <c r="Z1818" s="469"/>
      <c r="AA1818" s="469"/>
      <c r="AB1818" s="469"/>
    </row>
    <row r="1819" ht="14.25" customHeight="1">
      <c r="A1819" s="464"/>
      <c r="B1819" s="481"/>
      <c r="C1819" s="466"/>
      <c r="D1819" s="484"/>
      <c r="E1819" s="466"/>
      <c r="F1819" s="485"/>
      <c r="G1819" s="485"/>
      <c r="H1819" s="485"/>
      <c r="I1819" s="331"/>
      <c r="J1819" s="469"/>
      <c r="K1819" s="469"/>
      <c r="L1819" s="469"/>
      <c r="M1819" s="469"/>
      <c r="N1819" s="469"/>
      <c r="O1819" s="469"/>
      <c r="P1819" s="469"/>
      <c r="Q1819" s="469"/>
      <c r="R1819" s="469"/>
      <c r="S1819" s="469"/>
      <c r="T1819" s="469"/>
      <c r="U1819" s="469"/>
      <c r="V1819" s="469"/>
      <c r="W1819" s="469"/>
      <c r="X1819" s="469"/>
      <c r="Y1819" s="469"/>
      <c r="Z1819" s="469"/>
      <c r="AA1819" s="469"/>
      <c r="AB1819" s="469"/>
    </row>
    <row r="1820" ht="14.25" customHeight="1">
      <c r="A1820" s="464"/>
      <c r="B1820" s="481"/>
      <c r="C1820" s="466"/>
      <c r="D1820" s="484"/>
      <c r="E1820" s="466"/>
      <c r="F1820" s="485"/>
      <c r="G1820" s="485"/>
      <c r="H1820" s="485"/>
      <c r="I1820" s="331"/>
      <c r="J1820" s="469"/>
      <c r="K1820" s="469"/>
      <c r="L1820" s="469"/>
      <c r="M1820" s="469"/>
      <c r="N1820" s="469"/>
      <c r="O1820" s="469"/>
      <c r="P1820" s="469"/>
      <c r="Q1820" s="469"/>
      <c r="R1820" s="469"/>
      <c r="S1820" s="469"/>
      <c r="T1820" s="469"/>
      <c r="U1820" s="469"/>
      <c r="V1820" s="469"/>
      <c r="W1820" s="469"/>
      <c r="X1820" s="469"/>
      <c r="Y1820" s="469"/>
      <c r="Z1820" s="469"/>
      <c r="AA1820" s="469"/>
      <c r="AB1820" s="469"/>
    </row>
    <row r="1821" ht="14.25" customHeight="1">
      <c r="A1821" s="464"/>
      <c r="B1821" s="481"/>
      <c r="C1821" s="466"/>
      <c r="D1821" s="484"/>
      <c r="E1821" s="466"/>
      <c r="F1821" s="485"/>
      <c r="G1821" s="485"/>
      <c r="H1821" s="485"/>
      <c r="I1821" s="331"/>
      <c r="J1821" s="469"/>
      <c r="K1821" s="469"/>
      <c r="L1821" s="469"/>
      <c r="M1821" s="469"/>
      <c r="N1821" s="469"/>
      <c r="O1821" s="469"/>
      <c r="P1821" s="469"/>
      <c r="Q1821" s="469"/>
      <c r="R1821" s="469"/>
      <c r="S1821" s="469"/>
      <c r="T1821" s="469"/>
      <c r="U1821" s="469"/>
      <c r="V1821" s="469"/>
      <c r="W1821" s="469"/>
      <c r="X1821" s="469"/>
      <c r="Y1821" s="469"/>
      <c r="Z1821" s="469"/>
      <c r="AA1821" s="469"/>
      <c r="AB1821" s="469"/>
    </row>
    <row r="1822" ht="14.25" customHeight="1">
      <c r="A1822" s="464"/>
      <c r="B1822" s="481"/>
      <c r="C1822" s="466"/>
      <c r="D1822" s="484"/>
      <c r="E1822" s="466"/>
      <c r="F1822" s="485"/>
      <c r="G1822" s="485"/>
      <c r="H1822" s="485"/>
      <c r="I1822" s="331"/>
      <c r="J1822" s="469"/>
      <c r="K1822" s="469"/>
      <c r="L1822" s="469"/>
      <c r="M1822" s="469"/>
      <c r="N1822" s="469"/>
      <c r="O1822" s="469"/>
      <c r="P1822" s="469"/>
      <c r="Q1822" s="469"/>
      <c r="R1822" s="469"/>
      <c r="S1822" s="469"/>
      <c r="T1822" s="469"/>
      <c r="U1822" s="469"/>
      <c r="V1822" s="469"/>
      <c r="W1822" s="469"/>
      <c r="X1822" s="469"/>
      <c r="Y1822" s="469"/>
      <c r="Z1822" s="469"/>
      <c r="AA1822" s="469"/>
      <c r="AB1822" s="469"/>
    </row>
    <row r="1823" ht="14.25" customHeight="1">
      <c r="A1823" s="464"/>
      <c r="B1823" s="481"/>
      <c r="C1823" s="466"/>
      <c r="D1823" s="484"/>
      <c r="E1823" s="466"/>
      <c r="F1823" s="485"/>
      <c r="G1823" s="485"/>
      <c r="H1823" s="485"/>
      <c r="I1823" s="331"/>
      <c r="J1823" s="469"/>
      <c r="K1823" s="469"/>
      <c r="L1823" s="469"/>
      <c r="M1823" s="469"/>
      <c r="N1823" s="469"/>
      <c r="O1823" s="469"/>
      <c r="P1823" s="469"/>
      <c r="Q1823" s="469"/>
      <c r="R1823" s="469"/>
      <c r="S1823" s="469"/>
      <c r="T1823" s="469"/>
      <c r="U1823" s="469"/>
      <c r="V1823" s="469"/>
      <c r="W1823" s="469"/>
      <c r="X1823" s="469"/>
      <c r="Y1823" s="469"/>
      <c r="Z1823" s="469"/>
      <c r="AA1823" s="469"/>
      <c r="AB1823" s="469"/>
    </row>
    <row r="1824" ht="14.25" customHeight="1">
      <c r="A1824" s="464"/>
      <c r="B1824" s="481"/>
      <c r="C1824" s="466"/>
      <c r="D1824" s="484"/>
      <c r="E1824" s="466"/>
      <c r="F1824" s="485"/>
      <c r="G1824" s="485"/>
      <c r="H1824" s="485"/>
      <c r="I1824" s="331"/>
      <c r="J1824" s="469"/>
      <c r="K1824" s="469"/>
      <c r="L1824" s="469"/>
      <c r="M1824" s="469"/>
      <c r="N1824" s="469"/>
      <c r="O1824" s="469"/>
      <c r="P1824" s="469"/>
      <c r="Q1824" s="469"/>
      <c r="R1824" s="469"/>
      <c r="S1824" s="469"/>
      <c r="T1824" s="469"/>
      <c r="U1824" s="469"/>
      <c r="V1824" s="469"/>
      <c r="W1824" s="469"/>
      <c r="X1824" s="469"/>
      <c r="Y1824" s="469"/>
      <c r="Z1824" s="469"/>
      <c r="AA1824" s="469"/>
      <c r="AB1824" s="469"/>
    </row>
    <row r="1825" ht="14.25" customHeight="1">
      <c r="A1825" s="464"/>
      <c r="B1825" s="481"/>
      <c r="C1825" s="466"/>
      <c r="D1825" s="484"/>
      <c r="E1825" s="466"/>
      <c r="F1825" s="485"/>
      <c r="G1825" s="485"/>
      <c r="H1825" s="485"/>
      <c r="I1825" s="331"/>
      <c r="J1825" s="469"/>
      <c r="K1825" s="469"/>
      <c r="L1825" s="469"/>
      <c r="M1825" s="469"/>
      <c r="N1825" s="469"/>
      <c r="O1825" s="469"/>
      <c r="P1825" s="469"/>
      <c r="Q1825" s="469"/>
      <c r="R1825" s="469"/>
      <c r="S1825" s="469"/>
      <c r="T1825" s="469"/>
      <c r="U1825" s="469"/>
      <c r="V1825" s="469"/>
      <c r="W1825" s="469"/>
      <c r="X1825" s="469"/>
      <c r="Y1825" s="469"/>
      <c r="Z1825" s="469"/>
      <c r="AA1825" s="469"/>
      <c r="AB1825" s="469"/>
    </row>
    <row r="1826" ht="14.25" customHeight="1">
      <c r="A1826" s="464"/>
      <c r="B1826" s="481"/>
      <c r="C1826" s="466"/>
      <c r="D1826" s="484"/>
      <c r="E1826" s="466"/>
      <c r="F1826" s="485"/>
      <c r="G1826" s="485"/>
      <c r="H1826" s="485"/>
      <c r="I1826" s="331"/>
      <c r="J1826" s="469"/>
      <c r="K1826" s="469"/>
      <c r="L1826" s="469"/>
      <c r="M1826" s="469"/>
      <c r="N1826" s="469"/>
      <c r="O1826" s="469"/>
      <c r="P1826" s="469"/>
      <c r="Q1826" s="469"/>
      <c r="R1826" s="469"/>
      <c r="S1826" s="469"/>
      <c r="T1826" s="469"/>
      <c r="U1826" s="469"/>
      <c r="V1826" s="469"/>
      <c r="W1826" s="469"/>
      <c r="X1826" s="469"/>
      <c r="Y1826" s="469"/>
      <c r="Z1826" s="469"/>
      <c r="AA1826" s="469"/>
      <c r="AB1826" s="469"/>
    </row>
    <row r="1827" ht="14.25" customHeight="1">
      <c r="A1827" s="464"/>
      <c r="B1827" s="481"/>
      <c r="C1827" s="466"/>
      <c r="D1827" s="484"/>
      <c r="E1827" s="466"/>
      <c r="F1827" s="485"/>
      <c r="G1827" s="485"/>
      <c r="H1827" s="485"/>
      <c r="I1827" s="331"/>
      <c r="J1827" s="469"/>
      <c r="K1827" s="469"/>
      <c r="L1827" s="469"/>
      <c r="M1827" s="469"/>
      <c r="N1827" s="469"/>
      <c r="O1827" s="469"/>
      <c r="P1827" s="469"/>
      <c r="Q1827" s="469"/>
      <c r="R1827" s="469"/>
      <c r="S1827" s="469"/>
      <c r="T1827" s="469"/>
      <c r="U1827" s="469"/>
      <c r="V1827" s="469"/>
      <c r="W1827" s="469"/>
      <c r="X1827" s="469"/>
      <c r="Y1827" s="469"/>
      <c r="Z1827" s="469"/>
      <c r="AA1827" s="469"/>
      <c r="AB1827" s="469"/>
    </row>
    <row r="1828" ht="14.25" customHeight="1">
      <c r="A1828" s="464"/>
      <c r="B1828" s="481"/>
      <c r="C1828" s="466"/>
      <c r="D1828" s="484"/>
      <c r="E1828" s="466"/>
      <c r="F1828" s="485"/>
      <c r="G1828" s="485"/>
      <c r="H1828" s="485"/>
      <c r="I1828" s="331"/>
      <c r="J1828" s="469"/>
      <c r="K1828" s="469"/>
      <c r="L1828" s="469"/>
      <c r="M1828" s="469"/>
      <c r="N1828" s="469"/>
      <c r="O1828" s="469"/>
      <c r="P1828" s="469"/>
      <c r="Q1828" s="469"/>
      <c r="R1828" s="469"/>
      <c r="S1828" s="469"/>
      <c r="T1828" s="469"/>
      <c r="U1828" s="469"/>
      <c r="V1828" s="469"/>
      <c r="W1828" s="469"/>
      <c r="X1828" s="469"/>
      <c r="Y1828" s="469"/>
      <c r="Z1828" s="469"/>
      <c r="AA1828" s="469"/>
      <c r="AB1828" s="469"/>
    </row>
    <row r="1829" ht="14.25" customHeight="1">
      <c r="A1829" s="464"/>
      <c r="B1829" s="481"/>
      <c r="C1829" s="466"/>
      <c r="D1829" s="484"/>
      <c r="E1829" s="466"/>
      <c r="F1829" s="485"/>
      <c r="G1829" s="485"/>
      <c r="H1829" s="485"/>
      <c r="I1829" s="331"/>
      <c r="J1829" s="469"/>
      <c r="K1829" s="469"/>
      <c r="L1829" s="469"/>
      <c r="M1829" s="469"/>
      <c r="N1829" s="469"/>
      <c r="O1829" s="469"/>
      <c r="P1829" s="469"/>
      <c r="Q1829" s="469"/>
      <c r="R1829" s="469"/>
      <c r="S1829" s="469"/>
      <c r="T1829" s="469"/>
      <c r="U1829" s="469"/>
      <c r="V1829" s="469"/>
      <c r="W1829" s="469"/>
      <c r="X1829" s="469"/>
      <c r="Y1829" s="469"/>
      <c r="Z1829" s="469"/>
      <c r="AA1829" s="469"/>
      <c r="AB1829" s="469"/>
    </row>
    <row r="1830" ht="14.25" customHeight="1">
      <c r="A1830" s="464"/>
      <c r="B1830" s="481"/>
      <c r="C1830" s="466"/>
      <c r="D1830" s="484"/>
      <c r="E1830" s="466"/>
      <c r="F1830" s="485"/>
      <c r="G1830" s="485"/>
      <c r="H1830" s="485"/>
      <c r="I1830" s="331"/>
      <c r="J1830" s="469"/>
      <c r="K1830" s="469"/>
      <c r="L1830" s="469"/>
      <c r="M1830" s="469"/>
      <c r="N1830" s="469"/>
      <c r="O1830" s="469"/>
      <c r="P1830" s="469"/>
      <c r="Q1830" s="469"/>
      <c r="R1830" s="469"/>
      <c r="S1830" s="469"/>
      <c r="T1830" s="469"/>
      <c r="U1830" s="469"/>
      <c r="V1830" s="469"/>
      <c r="W1830" s="469"/>
      <c r="X1830" s="469"/>
      <c r="Y1830" s="469"/>
      <c r="Z1830" s="469"/>
      <c r="AA1830" s="469"/>
      <c r="AB1830" s="469"/>
    </row>
    <row r="1831" ht="14.25" customHeight="1">
      <c r="A1831" s="464"/>
      <c r="B1831" s="481"/>
      <c r="C1831" s="466"/>
      <c r="D1831" s="484"/>
      <c r="E1831" s="466"/>
      <c r="F1831" s="485"/>
      <c r="G1831" s="485"/>
      <c r="H1831" s="485"/>
      <c r="I1831" s="331"/>
      <c r="J1831" s="469"/>
      <c r="K1831" s="469"/>
      <c r="L1831" s="469"/>
      <c r="M1831" s="469"/>
      <c r="N1831" s="469"/>
      <c r="O1831" s="469"/>
      <c r="P1831" s="469"/>
      <c r="Q1831" s="469"/>
      <c r="R1831" s="469"/>
      <c r="S1831" s="469"/>
      <c r="T1831" s="469"/>
      <c r="U1831" s="469"/>
      <c r="V1831" s="469"/>
      <c r="W1831" s="469"/>
      <c r="X1831" s="469"/>
      <c r="Y1831" s="469"/>
      <c r="Z1831" s="469"/>
      <c r="AA1831" s="469"/>
      <c r="AB1831" s="469"/>
    </row>
    <row r="1832" ht="14.25" customHeight="1">
      <c r="A1832" s="464"/>
      <c r="B1832" s="481"/>
      <c r="C1832" s="466"/>
      <c r="D1832" s="484"/>
      <c r="E1832" s="466"/>
      <c r="F1832" s="485"/>
      <c r="G1832" s="485"/>
      <c r="H1832" s="485"/>
      <c r="I1832" s="331"/>
      <c r="J1832" s="469"/>
      <c r="K1832" s="469"/>
      <c r="L1832" s="469"/>
      <c r="M1832" s="469"/>
      <c r="N1832" s="469"/>
      <c r="O1832" s="469"/>
      <c r="P1832" s="469"/>
      <c r="Q1832" s="469"/>
      <c r="R1832" s="469"/>
      <c r="S1832" s="469"/>
      <c r="T1832" s="469"/>
      <c r="U1832" s="469"/>
      <c r="V1832" s="469"/>
      <c r="W1832" s="469"/>
      <c r="X1832" s="469"/>
      <c r="Y1832" s="469"/>
      <c r="Z1832" s="469"/>
      <c r="AA1832" s="469"/>
      <c r="AB1832" s="469"/>
    </row>
    <row r="1833" ht="14.25" customHeight="1">
      <c r="A1833" s="464"/>
      <c r="B1833" s="481"/>
      <c r="C1833" s="466"/>
      <c r="D1833" s="484"/>
      <c r="E1833" s="466"/>
      <c r="F1833" s="485"/>
      <c r="G1833" s="485"/>
      <c r="H1833" s="485"/>
      <c r="I1833" s="331"/>
      <c r="J1833" s="469"/>
      <c r="K1833" s="469"/>
      <c r="L1833" s="469"/>
      <c r="M1833" s="469"/>
      <c r="N1833" s="469"/>
      <c r="O1833" s="469"/>
      <c r="P1833" s="469"/>
      <c r="Q1833" s="469"/>
      <c r="R1833" s="469"/>
      <c r="S1833" s="469"/>
      <c r="T1833" s="469"/>
      <c r="U1833" s="469"/>
      <c r="V1833" s="469"/>
      <c r="W1833" s="469"/>
      <c r="X1833" s="469"/>
      <c r="Y1833" s="469"/>
      <c r="Z1833" s="469"/>
      <c r="AA1833" s="469"/>
      <c r="AB1833" s="469"/>
    </row>
    <row r="1834" ht="14.25" customHeight="1">
      <c r="A1834" s="464"/>
      <c r="B1834" s="481"/>
      <c r="C1834" s="466"/>
      <c r="D1834" s="484"/>
      <c r="E1834" s="466"/>
      <c r="F1834" s="485"/>
      <c r="G1834" s="485"/>
      <c r="H1834" s="485"/>
      <c r="I1834" s="331"/>
      <c r="J1834" s="469"/>
      <c r="K1834" s="469"/>
      <c r="L1834" s="469"/>
      <c r="M1834" s="469"/>
      <c r="N1834" s="469"/>
      <c r="O1834" s="469"/>
      <c r="P1834" s="469"/>
      <c r="Q1834" s="469"/>
      <c r="R1834" s="469"/>
      <c r="S1834" s="469"/>
      <c r="T1834" s="469"/>
      <c r="U1834" s="469"/>
      <c r="V1834" s="469"/>
      <c r="W1834" s="469"/>
      <c r="X1834" s="469"/>
      <c r="Y1834" s="469"/>
      <c r="Z1834" s="469"/>
      <c r="AA1834" s="469"/>
      <c r="AB1834" s="469"/>
    </row>
    <row r="1835" ht="14.25" customHeight="1">
      <c r="A1835" s="464"/>
      <c r="B1835" s="481"/>
      <c r="C1835" s="466"/>
      <c r="D1835" s="484"/>
      <c r="E1835" s="466"/>
      <c r="F1835" s="485"/>
      <c r="G1835" s="485"/>
      <c r="H1835" s="485"/>
      <c r="I1835" s="331"/>
      <c r="J1835" s="469"/>
      <c r="K1835" s="469"/>
      <c r="L1835" s="469"/>
      <c r="M1835" s="469"/>
      <c r="N1835" s="469"/>
      <c r="O1835" s="469"/>
      <c r="P1835" s="469"/>
      <c r="Q1835" s="469"/>
      <c r="R1835" s="469"/>
      <c r="S1835" s="469"/>
      <c r="T1835" s="469"/>
      <c r="U1835" s="469"/>
      <c r="V1835" s="469"/>
      <c r="W1835" s="469"/>
      <c r="X1835" s="469"/>
      <c r="Y1835" s="469"/>
      <c r="Z1835" s="469"/>
      <c r="AA1835" s="469"/>
      <c r="AB1835" s="469"/>
    </row>
    <row r="1836" ht="14.25" customHeight="1">
      <c r="A1836" s="464"/>
      <c r="B1836" s="481"/>
      <c r="C1836" s="466"/>
      <c r="D1836" s="484"/>
      <c r="E1836" s="466"/>
      <c r="F1836" s="485"/>
      <c r="G1836" s="485"/>
      <c r="H1836" s="485"/>
      <c r="I1836" s="331"/>
      <c r="J1836" s="469"/>
      <c r="K1836" s="469"/>
      <c r="L1836" s="469"/>
      <c r="M1836" s="469"/>
      <c r="N1836" s="469"/>
      <c r="O1836" s="469"/>
      <c r="P1836" s="469"/>
      <c r="Q1836" s="469"/>
      <c r="R1836" s="469"/>
      <c r="S1836" s="469"/>
      <c r="T1836" s="469"/>
      <c r="U1836" s="469"/>
      <c r="V1836" s="469"/>
      <c r="W1836" s="469"/>
      <c r="X1836" s="469"/>
      <c r="Y1836" s="469"/>
      <c r="Z1836" s="469"/>
      <c r="AA1836" s="469"/>
      <c r="AB1836" s="469"/>
    </row>
    <row r="1837" ht="14.25" customHeight="1">
      <c r="A1837" s="464"/>
      <c r="B1837" s="481"/>
      <c r="C1837" s="466"/>
      <c r="D1837" s="484"/>
      <c r="E1837" s="466"/>
      <c r="F1837" s="485"/>
      <c r="G1837" s="485"/>
      <c r="H1837" s="485"/>
      <c r="I1837" s="331"/>
      <c r="J1837" s="469"/>
      <c r="K1837" s="469"/>
      <c r="L1837" s="469"/>
      <c r="M1837" s="469"/>
      <c r="N1837" s="469"/>
      <c r="O1837" s="469"/>
      <c r="P1837" s="469"/>
      <c r="Q1837" s="469"/>
      <c r="R1837" s="469"/>
      <c r="S1837" s="469"/>
      <c r="T1837" s="469"/>
      <c r="U1837" s="469"/>
      <c r="V1837" s="469"/>
      <c r="W1837" s="469"/>
      <c r="X1837" s="469"/>
      <c r="Y1837" s="469"/>
      <c r="Z1837" s="469"/>
      <c r="AA1837" s="469"/>
      <c r="AB1837" s="469"/>
    </row>
    <row r="1838" ht="14.25" customHeight="1">
      <c r="A1838" s="464"/>
      <c r="B1838" s="481"/>
      <c r="C1838" s="466"/>
      <c r="D1838" s="484"/>
      <c r="E1838" s="466"/>
      <c r="F1838" s="485"/>
      <c r="G1838" s="485"/>
      <c r="H1838" s="485"/>
      <c r="I1838" s="331"/>
      <c r="J1838" s="469"/>
      <c r="K1838" s="469"/>
      <c r="L1838" s="469"/>
      <c r="M1838" s="469"/>
      <c r="N1838" s="469"/>
      <c r="O1838" s="469"/>
      <c r="P1838" s="469"/>
      <c r="Q1838" s="469"/>
      <c r="R1838" s="469"/>
      <c r="S1838" s="469"/>
      <c r="T1838" s="469"/>
      <c r="U1838" s="469"/>
      <c r="V1838" s="469"/>
      <c r="W1838" s="469"/>
      <c r="X1838" s="469"/>
      <c r="Y1838" s="469"/>
      <c r="Z1838" s="469"/>
      <c r="AA1838" s="469"/>
      <c r="AB1838" s="469"/>
    </row>
    <row r="1839" ht="14.25" customHeight="1">
      <c r="A1839" s="464"/>
      <c r="B1839" s="481"/>
      <c r="C1839" s="466"/>
      <c r="D1839" s="484"/>
      <c r="E1839" s="466"/>
      <c r="F1839" s="485"/>
      <c r="G1839" s="485"/>
      <c r="H1839" s="485"/>
      <c r="I1839" s="331"/>
      <c r="J1839" s="469"/>
      <c r="K1839" s="469"/>
      <c r="L1839" s="469"/>
      <c r="M1839" s="469"/>
      <c r="N1839" s="469"/>
      <c r="O1839" s="469"/>
      <c r="P1839" s="469"/>
      <c r="Q1839" s="469"/>
      <c r="R1839" s="469"/>
      <c r="S1839" s="469"/>
      <c r="T1839" s="469"/>
      <c r="U1839" s="469"/>
      <c r="V1839" s="469"/>
      <c r="W1839" s="469"/>
      <c r="X1839" s="469"/>
      <c r="Y1839" s="469"/>
      <c r="Z1839" s="469"/>
      <c r="AA1839" s="469"/>
      <c r="AB1839" s="469"/>
    </row>
    <row r="1840" ht="14.25" customHeight="1">
      <c r="A1840" s="464"/>
      <c r="B1840" s="481"/>
      <c r="C1840" s="466"/>
      <c r="D1840" s="484"/>
      <c r="E1840" s="466"/>
      <c r="F1840" s="485"/>
      <c r="G1840" s="485"/>
      <c r="H1840" s="485"/>
      <c r="I1840" s="331"/>
      <c r="J1840" s="469"/>
      <c r="K1840" s="469"/>
      <c r="L1840" s="469"/>
      <c r="M1840" s="469"/>
      <c r="N1840" s="469"/>
      <c r="O1840" s="469"/>
      <c r="P1840" s="469"/>
      <c r="Q1840" s="469"/>
      <c r="R1840" s="469"/>
      <c r="S1840" s="469"/>
      <c r="T1840" s="469"/>
      <c r="U1840" s="469"/>
      <c r="V1840" s="469"/>
      <c r="W1840" s="469"/>
      <c r="X1840" s="469"/>
      <c r="Y1840" s="469"/>
      <c r="Z1840" s="469"/>
      <c r="AA1840" s="469"/>
      <c r="AB1840" s="469"/>
    </row>
    <row r="1841" ht="14.25" customHeight="1">
      <c r="A1841" s="464"/>
      <c r="B1841" s="481"/>
      <c r="C1841" s="466"/>
      <c r="D1841" s="484"/>
      <c r="E1841" s="466"/>
      <c r="F1841" s="485"/>
      <c r="G1841" s="485"/>
      <c r="H1841" s="485"/>
      <c r="I1841" s="331"/>
      <c r="J1841" s="469"/>
      <c r="K1841" s="469"/>
      <c r="L1841" s="469"/>
      <c r="M1841" s="469"/>
      <c r="N1841" s="469"/>
      <c r="O1841" s="469"/>
      <c r="P1841" s="469"/>
      <c r="Q1841" s="469"/>
      <c r="R1841" s="469"/>
      <c r="S1841" s="469"/>
      <c r="T1841" s="469"/>
      <c r="U1841" s="469"/>
      <c r="V1841" s="469"/>
      <c r="W1841" s="469"/>
      <c r="X1841" s="469"/>
      <c r="Y1841" s="469"/>
      <c r="Z1841" s="469"/>
      <c r="AA1841" s="469"/>
      <c r="AB1841" s="469"/>
    </row>
    <row r="1842" ht="14.25" customHeight="1">
      <c r="A1842" s="464"/>
      <c r="B1842" s="481"/>
      <c r="C1842" s="466"/>
      <c r="D1842" s="484"/>
      <c r="E1842" s="466"/>
      <c r="F1842" s="485"/>
      <c r="G1842" s="485"/>
      <c r="H1842" s="485"/>
      <c r="I1842" s="331"/>
      <c r="J1842" s="469"/>
      <c r="K1842" s="469"/>
      <c r="L1842" s="469"/>
      <c r="M1842" s="469"/>
      <c r="N1842" s="469"/>
      <c r="O1842" s="469"/>
      <c r="P1842" s="469"/>
      <c r="Q1842" s="469"/>
      <c r="R1842" s="469"/>
      <c r="S1842" s="469"/>
      <c r="T1842" s="469"/>
      <c r="U1842" s="469"/>
      <c r="V1842" s="469"/>
      <c r="W1842" s="469"/>
      <c r="X1842" s="469"/>
      <c r="Y1842" s="469"/>
      <c r="Z1842" s="469"/>
      <c r="AA1842" s="469"/>
      <c r="AB1842" s="469"/>
    </row>
    <row r="1843" ht="14.25" customHeight="1">
      <c r="A1843" s="464"/>
      <c r="B1843" s="481"/>
      <c r="C1843" s="466"/>
      <c r="D1843" s="484"/>
      <c r="E1843" s="466"/>
      <c r="F1843" s="485"/>
      <c r="G1843" s="485"/>
      <c r="H1843" s="485"/>
      <c r="I1843" s="331"/>
      <c r="J1843" s="469"/>
      <c r="K1843" s="469"/>
      <c r="L1843" s="469"/>
      <c r="M1843" s="469"/>
      <c r="N1843" s="469"/>
      <c r="O1843" s="469"/>
      <c r="P1843" s="469"/>
      <c r="Q1843" s="469"/>
      <c r="R1843" s="469"/>
      <c r="S1843" s="469"/>
      <c r="T1843" s="469"/>
      <c r="U1843" s="469"/>
      <c r="V1843" s="469"/>
      <c r="W1843" s="469"/>
      <c r="X1843" s="469"/>
      <c r="Y1843" s="469"/>
      <c r="Z1843" s="469"/>
      <c r="AA1843" s="469"/>
      <c r="AB1843" s="469"/>
    </row>
    <row r="1844" ht="14.25" customHeight="1">
      <c r="A1844" s="464"/>
      <c r="B1844" s="481"/>
      <c r="C1844" s="466"/>
      <c r="D1844" s="484"/>
      <c r="E1844" s="466"/>
      <c r="F1844" s="485"/>
      <c r="G1844" s="485"/>
      <c r="H1844" s="485"/>
      <c r="I1844" s="331"/>
      <c r="J1844" s="469"/>
      <c r="K1844" s="469"/>
      <c r="L1844" s="469"/>
      <c r="M1844" s="469"/>
      <c r="N1844" s="469"/>
      <c r="O1844" s="469"/>
      <c r="P1844" s="469"/>
      <c r="Q1844" s="469"/>
      <c r="R1844" s="469"/>
      <c r="S1844" s="469"/>
      <c r="T1844" s="469"/>
      <c r="U1844" s="469"/>
      <c r="V1844" s="469"/>
      <c r="W1844" s="469"/>
      <c r="X1844" s="469"/>
      <c r="Y1844" s="469"/>
      <c r="Z1844" s="469"/>
      <c r="AA1844" s="469"/>
      <c r="AB1844" s="469"/>
    </row>
    <row r="1845" ht="14.25" customHeight="1">
      <c r="A1845" s="464"/>
      <c r="B1845" s="481"/>
      <c r="C1845" s="466"/>
      <c r="D1845" s="484"/>
      <c r="E1845" s="466"/>
      <c r="F1845" s="485"/>
      <c r="G1845" s="485"/>
      <c r="H1845" s="485"/>
      <c r="I1845" s="331"/>
      <c r="J1845" s="469"/>
      <c r="K1845" s="469"/>
      <c r="L1845" s="469"/>
      <c r="M1845" s="469"/>
      <c r="N1845" s="469"/>
      <c r="O1845" s="469"/>
      <c r="P1845" s="469"/>
      <c r="Q1845" s="469"/>
      <c r="R1845" s="469"/>
      <c r="S1845" s="469"/>
      <c r="T1845" s="469"/>
      <c r="U1845" s="469"/>
      <c r="V1845" s="469"/>
      <c r="W1845" s="469"/>
      <c r="X1845" s="469"/>
      <c r="Y1845" s="469"/>
      <c r="Z1845" s="469"/>
      <c r="AA1845" s="469"/>
      <c r="AB1845" s="469"/>
    </row>
    <row r="1846" ht="14.25" customHeight="1">
      <c r="A1846" s="464"/>
      <c r="B1846" s="481"/>
      <c r="C1846" s="466"/>
      <c r="D1846" s="484"/>
      <c r="E1846" s="466"/>
      <c r="F1846" s="485"/>
      <c r="G1846" s="485"/>
      <c r="H1846" s="485"/>
      <c r="I1846" s="331"/>
      <c r="J1846" s="469"/>
      <c r="K1846" s="469"/>
      <c r="L1846" s="469"/>
      <c r="M1846" s="469"/>
      <c r="N1846" s="469"/>
      <c r="O1846" s="469"/>
      <c r="P1846" s="469"/>
      <c r="Q1846" s="469"/>
      <c r="R1846" s="469"/>
      <c r="S1846" s="469"/>
      <c r="T1846" s="469"/>
      <c r="U1846" s="469"/>
      <c r="V1846" s="469"/>
      <c r="W1846" s="469"/>
      <c r="X1846" s="469"/>
      <c r="Y1846" s="469"/>
      <c r="Z1846" s="469"/>
      <c r="AA1846" s="469"/>
      <c r="AB1846" s="469"/>
    </row>
    <row r="1847" ht="14.25" customHeight="1">
      <c r="A1847" s="464"/>
      <c r="B1847" s="481"/>
      <c r="C1847" s="466"/>
      <c r="D1847" s="484"/>
      <c r="E1847" s="466"/>
      <c r="F1847" s="485"/>
      <c r="G1847" s="485"/>
      <c r="H1847" s="485"/>
      <c r="I1847" s="331"/>
      <c r="J1847" s="469"/>
      <c r="K1847" s="469"/>
      <c r="L1847" s="469"/>
      <c r="M1847" s="469"/>
      <c r="N1847" s="469"/>
      <c r="O1847" s="469"/>
      <c r="P1847" s="469"/>
      <c r="Q1847" s="469"/>
      <c r="R1847" s="469"/>
      <c r="S1847" s="469"/>
      <c r="T1847" s="469"/>
      <c r="U1847" s="469"/>
      <c r="V1847" s="469"/>
      <c r="W1847" s="469"/>
      <c r="X1847" s="469"/>
      <c r="Y1847" s="469"/>
      <c r="Z1847" s="469"/>
      <c r="AA1847" s="469"/>
      <c r="AB1847" s="469"/>
    </row>
    <row r="1848" ht="14.25" customHeight="1">
      <c r="A1848" s="464"/>
      <c r="B1848" s="481"/>
      <c r="C1848" s="466"/>
      <c r="D1848" s="484"/>
      <c r="E1848" s="466"/>
      <c r="F1848" s="485"/>
      <c r="G1848" s="485"/>
      <c r="H1848" s="485"/>
      <c r="I1848" s="331"/>
      <c r="J1848" s="469"/>
      <c r="K1848" s="469"/>
      <c r="L1848" s="469"/>
      <c r="M1848" s="469"/>
      <c r="N1848" s="469"/>
      <c r="O1848" s="469"/>
      <c r="P1848" s="469"/>
      <c r="Q1848" s="469"/>
      <c r="R1848" s="469"/>
      <c r="S1848" s="469"/>
      <c r="T1848" s="469"/>
      <c r="U1848" s="469"/>
      <c r="V1848" s="469"/>
      <c r="W1848" s="469"/>
      <c r="X1848" s="469"/>
      <c r="Y1848" s="469"/>
      <c r="Z1848" s="469"/>
      <c r="AA1848" s="469"/>
      <c r="AB1848" s="469"/>
    </row>
    <row r="1849" ht="14.25" customHeight="1">
      <c r="A1849" s="464"/>
      <c r="B1849" s="481"/>
      <c r="C1849" s="466"/>
      <c r="D1849" s="484"/>
      <c r="E1849" s="466"/>
      <c r="F1849" s="485"/>
      <c r="G1849" s="485"/>
      <c r="H1849" s="485"/>
      <c r="I1849" s="331"/>
      <c r="J1849" s="469"/>
      <c r="K1849" s="469"/>
      <c r="L1849" s="469"/>
      <c r="M1849" s="469"/>
      <c r="N1849" s="469"/>
      <c r="O1849" s="469"/>
      <c r="P1849" s="469"/>
      <c r="Q1849" s="469"/>
      <c r="R1849" s="469"/>
      <c r="S1849" s="469"/>
      <c r="T1849" s="469"/>
      <c r="U1849" s="469"/>
      <c r="V1849" s="469"/>
      <c r="W1849" s="469"/>
      <c r="X1849" s="469"/>
      <c r="Y1849" s="469"/>
      <c r="Z1849" s="469"/>
      <c r="AA1849" s="469"/>
      <c r="AB1849" s="469"/>
    </row>
    <row r="1850" ht="14.25" customHeight="1">
      <c r="A1850" s="464"/>
      <c r="B1850" s="481"/>
      <c r="C1850" s="466"/>
      <c r="D1850" s="484"/>
      <c r="E1850" s="466"/>
      <c r="F1850" s="485"/>
      <c r="G1850" s="485"/>
      <c r="H1850" s="485"/>
      <c r="I1850" s="331"/>
      <c r="J1850" s="469"/>
      <c r="K1850" s="469"/>
      <c r="L1850" s="469"/>
      <c r="M1850" s="469"/>
      <c r="N1850" s="469"/>
      <c r="O1850" s="469"/>
      <c r="P1850" s="469"/>
      <c r="Q1850" s="469"/>
      <c r="R1850" s="469"/>
      <c r="S1850" s="469"/>
      <c r="T1850" s="469"/>
      <c r="U1850" s="469"/>
      <c r="V1850" s="469"/>
      <c r="W1850" s="469"/>
      <c r="X1850" s="469"/>
      <c r="Y1850" s="469"/>
      <c r="Z1850" s="469"/>
      <c r="AA1850" s="469"/>
      <c r="AB1850" s="469"/>
    </row>
    <row r="1851" ht="14.25" customHeight="1">
      <c r="A1851" s="464"/>
      <c r="B1851" s="481"/>
      <c r="C1851" s="466"/>
      <c r="D1851" s="484"/>
      <c r="E1851" s="466"/>
      <c r="F1851" s="485"/>
      <c r="G1851" s="485"/>
      <c r="H1851" s="485"/>
      <c r="I1851" s="331"/>
      <c r="J1851" s="469"/>
      <c r="K1851" s="469"/>
      <c r="L1851" s="469"/>
      <c r="M1851" s="469"/>
      <c r="N1851" s="469"/>
      <c r="O1851" s="469"/>
      <c r="P1851" s="469"/>
      <c r="Q1851" s="469"/>
      <c r="R1851" s="469"/>
      <c r="S1851" s="469"/>
      <c r="T1851" s="469"/>
      <c r="U1851" s="469"/>
      <c r="V1851" s="469"/>
      <c r="W1851" s="469"/>
      <c r="X1851" s="469"/>
      <c r="Y1851" s="469"/>
      <c r="Z1851" s="469"/>
      <c r="AA1851" s="469"/>
      <c r="AB1851" s="469"/>
    </row>
    <row r="1852" ht="14.25" customHeight="1">
      <c r="A1852" s="464"/>
      <c r="B1852" s="481"/>
      <c r="C1852" s="466"/>
      <c r="D1852" s="484"/>
      <c r="E1852" s="466"/>
      <c r="F1852" s="485"/>
      <c r="G1852" s="485"/>
      <c r="H1852" s="485"/>
      <c r="I1852" s="331"/>
      <c r="J1852" s="469"/>
      <c r="K1852" s="469"/>
      <c r="L1852" s="469"/>
      <c r="M1852" s="469"/>
      <c r="N1852" s="469"/>
      <c r="O1852" s="469"/>
      <c r="P1852" s="469"/>
      <c r="Q1852" s="469"/>
      <c r="R1852" s="469"/>
      <c r="S1852" s="469"/>
      <c r="T1852" s="469"/>
      <c r="U1852" s="469"/>
      <c r="V1852" s="469"/>
      <c r="W1852" s="469"/>
      <c r="X1852" s="469"/>
      <c r="Y1852" s="469"/>
      <c r="Z1852" s="469"/>
      <c r="AA1852" s="469"/>
      <c r="AB1852" s="469"/>
    </row>
    <row r="1853" ht="14.25" customHeight="1">
      <c r="A1853" s="464"/>
      <c r="B1853" s="481"/>
      <c r="C1853" s="466"/>
      <c r="D1853" s="484"/>
      <c r="E1853" s="466"/>
      <c r="F1853" s="485"/>
      <c r="G1853" s="485"/>
      <c r="H1853" s="485"/>
      <c r="I1853" s="331"/>
      <c r="J1853" s="469"/>
      <c r="K1853" s="469"/>
      <c r="L1853" s="469"/>
      <c r="M1853" s="469"/>
      <c r="N1853" s="469"/>
      <c r="O1853" s="469"/>
      <c r="P1853" s="469"/>
      <c r="Q1853" s="469"/>
      <c r="R1853" s="469"/>
      <c r="S1853" s="469"/>
      <c r="T1853" s="469"/>
      <c r="U1853" s="469"/>
      <c r="V1853" s="469"/>
      <c r="W1853" s="469"/>
      <c r="X1853" s="469"/>
      <c r="Y1853" s="469"/>
      <c r="Z1853" s="469"/>
      <c r="AA1853" s="469"/>
      <c r="AB1853" s="469"/>
    </row>
    <row r="1854" ht="14.25" customHeight="1">
      <c r="A1854" s="464"/>
      <c r="B1854" s="481"/>
      <c r="C1854" s="466"/>
      <c r="D1854" s="484"/>
      <c r="E1854" s="466"/>
      <c r="F1854" s="485"/>
      <c r="G1854" s="485"/>
      <c r="H1854" s="485"/>
      <c r="I1854" s="331"/>
      <c r="J1854" s="469"/>
      <c r="K1854" s="469"/>
      <c r="L1854" s="469"/>
      <c r="M1854" s="469"/>
      <c r="N1854" s="469"/>
      <c r="O1854" s="469"/>
      <c r="P1854" s="469"/>
      <c r="Q1854" s="469"/>
      <c r="R1854" s="469"/>
      <c r="S1854" s="469"/>
      <c r="T1854" s="469"/>
      <c r="U1854" s="469"/>
      <c r="V1854" s="469"/>
      <c r="W1854" s="469"/>
      <c r="X1854" s="469"/>
      <c r="Y1854" s="469"/>
      <c r="Z1854" s="469"/>
      <c r="AA1854" s="469"/>
      <c r="AB1854" s="469"/>
    </row>
    <row r="1855" ht="14.25" customHeight="1">
      <c r="A1855" s="464"/>
      <c r="B1855" s="481"/>
      <c r="C1855" s="466"/>
      <c r="D1855" s="484"/>
      <c r="E1855" s="466"/>
      <c r="F1855" s="485"/>
      <c r="G1855" s="485"/>
      <c r="H1855" s="485"/>
      <c r="I1855" s="331"/>
      <c r="J1855" s="469"/>
      <c r="K1855" s="469"/>
      <c r="L1855" s="469"/>
      <c r="M1855" s="469"/>
      <c r="N1855" s="469"/>
      <c r="O1855" s="469"/>
      <c r="P1855" s="469"/>
      <c r="Q1855" s="469"/>
      <c r="R1855" s="469"/>
      <c r="S1855" s="469"/>
      <c r="T1855" s="469"/>
      <c r="U1855" s="469"/>
      <c r="V1855" s="469"/>
      <c r="W1855" s="469"/>
      <c r="X1855" s="469"/>
      <c r="Y1855" s="469"/>
      <c r="Z1855" s="469"/>
      <c r="AA1855" s="469"/>
      <c r="AB1855" s="469"/>
    </row>
    <row r="1856" ht="14.25" customHeight="1">
      <c r="A1856" s="464"/>
      <c r="B1856" s="481"/>
      <c r="C1856" s="466"/>
      <c r="D1856" s="484"/>
      <c r="E1856" s="466"/>
      <c r="F1856" s="485"/>
      <c r="G1856" s="485"/>
      <c r="H1856" s="485"/>
      <c r="I1856" s="331"/>
      <c r="J1856" s="469"/>
      <c r="K1856" s="469"/>
      <c r="L1856" s="469"/>
      <c r="M1856" s="469"/>
      <c r="N1856" s="469"/>
      <c r="O1856" s="469"/>
      <c r="P1856" s="469"/>
      <c r="Q1856" s="469"/>
      <c r="R1856" s="469"/>
      <c r="S1856" s="469"/>
      <c r="T1856" s="469"/>
      <c r="U1856" s="469"/>
      <c r="V1856" s="469"/>
      <c r="W1856" s="469"/>
      <c r="X1856" s="469"/>
      <c r="Y1856" s="469"/>
      <c r="Z1856" s="469"/>
      <c r="AA1856" s="469"/>
      <c r="AB1856" s="469"/>
    </row>
    <row r="1857" ht="14.25" customHeight="1">
      <c r="A1857" s="464"/>
      <c r="B1857" s="481"/>
      <c r="C1857" s="466"/>
      <c r="D1857" s="484"/>
      <c r="E1857" s="466"/>
      <c r="F1857" s="485"/>
      <c r="G1857" s="485"/>
      <c r="H1857" s="485"/>
      <c r="I1857" s="331"/>
      <c r="J1857" s="469"/>
      <c r="K1857" s="469"/>
      <c r="L1857" s="469"/>
      <c r="M1857" s="469"/>
      <c r="N1857" s="469"/>
      <c r="O1857" s="469"/>
      <c r="P1857" s="469"/>
      <c r="Q1857" s="469"/>
      <c r="R1857" s="469"/>
      <c r="S1857" s="469"/>
      <c r="T1857" s="469"/>
      <c r="U1857" s="469"/>
      <c r="V1857" s="469"/>
      <c r="W1857" s="469"/>
      <c r="X1857" s="469"/>
      <c r="Y1857" s="469"/>
      <c r="Z1857" s="469"/>
      <c r="AA1857" s="469"/>
      <c r="AB1857" s="469"/>
    </row>
    <row r="1858" ht="14.25" customHeight="1">
      <c r="A1858" s="464"/>
      <c r="B1858" s="481"/>
      <c r="C1858" s="466"/>
      <c r="D1858" s="484"/>
      <c r="E1858" s="466"/>
      <c r="F1858" s="485"/>
      <c r="G1858" s="485"/>
      <c r="H1858" s="485"/>
      <c r="I1858" s="331"/>
      <c r="J1858" s="469"/>
      <c r="K1858" s="469"/>
      <c r="L1858" s="469"/>
      <c r="M1858" s="469"/>
      <c r="N1858" s="469"/>
      <c r="O1858" s="469"/>
      <c r="P1858" s="469"/>
      <c r="Q1858" s="469"/>
      <c r="R1858" s="469"/>
      <c r="S1858" s="469"/>
      <c r="T1858" s="469"/>
      <c r="U1858" s="469"/>
      <c r="V1858" s="469"/>
      <c r="W1858" s="469"/>
      <c r="X1858" s="469"/>
      <c r="Y1858" s="469"/>
      <c r="Z1858" s="469"/>
      <c r="AA1858" s="469"/>
      <c r="AB1858" s="469"/>
    </row>
    <row r="1859" ht="14.25" customHeight="1">
      <c r="A1859" s="464"/>
      <c r="B1859" s="481"/>
      <c r="C1859" s="466"/>
      <c r="D1859" s="484"/>
      <c r="E1859" s="466"/>
      <c r="F1859" s="485"/>
      <c r="G1859" s="485"/>
      <c r="H1859" s="485"/>
      <c r="I1859" s="331"/>
      <c r="J1859" s="469"/>
      <c r="K1859" s="469"/>
      <c r="L1859" s="469"/>
      <c r="M1859" s="469"/>
      <c r="N1859" s="469"/>
      <c r="O1859" s="469"/>
      <c r="P1859" s="469"/>
      <c r="Q1859" s="469"/>
      <c r="R1859" s="469"/>
      <c r="S1859" s="469"/>
      <c r="T1859" s="469"/>
      <c r="U1859" s="469"/>
      <c r="V1859" s="469"/>
      <c r="W1859" s="469"/>
      <c r="X1859" s="469"/>
      <c r="Y1859" s="469"/>
      <c r="Z1859" s="469"/>
      <c r="AA1859" s="469"/>
      <c r="AB1859" s="469"/>
    </row>
    <row r="1860" ht="14.25" customHeight="1">
      <c r="A1860" s="464"/>
      <c r="B1860" s="481"/>
      <c r="C1860" s="466"/>
      <c r="D1860" s="484"/>
      <c r="E1860" s="466"/>
      <c r="F1860" s="485"/>
      <c r="G1860" s="485"/>
      <c r="H1860" s="485"/>
      <c r="I1860" s="331"/>
      <c r="J1860" s="469"/>
      <c r="K1860" s="469"/>
      <c r="L1860" s="469"/>
      <c r="M1860" s="469"/>
      <c r="N1860" s="469"/>
      <c r="O1860" s="469"/>
      <c r="P1860" s="469"/>
      <c r="Q1860" s="469"/>
      <c r="R1860" s="469"/>
      <c r="S1860" s="469"/>
      <c r="T1860" s="469"/>
      <c r="U1860" s="469"/>
      <c r="V1860" s="469"/>
      <c r="W1860" s="469"/>
      <c r="X1860" s="469"/>
      <c r="Y1860" s="469"/>
      <c r="Z1860" s="469"/>
      <c r="AA1860" s="469"/>
      <c r="AB1860" s="469"/>
    </row>
    <row r="1861" ht="14.25" customHeight="1">
      <c r="A1861" s="464"/>
      <c r="B1861" s="481"/>
      <c r="C1861" s="466"/>
      <c r="D1861" s="484"/>
      <c r="E1861" s="466"/>
      <c r="F1861" s="485"/>
      <c r="G1861" s="485"/>
      <c r="H1861" s="485"/>
      <c r="I1861" s="331"/>
      <c r="J1861" s="469"/>
      <c r="K1861" s="469"/>
      <c r="L1861" s="469"/>
      <c r="M1861" s="469"/>
      <c r="N1861" s="469"/>
      <c r="O1861" s="469"/>
      <c r="P1861" s="469"/>
      <c r="Q1861" s="469"/>
      <c r="R1861" s="469"/>
      <c r="S1861" s="469"/>
      <c r="T1861" s="469"/>
      <c r="U1861" s="469"/>
      <c r="V1861" s="469"/>
      <c r="W1861" s="469"/>
      <c r="X1861" s="469"/>
      <c r="Y1861" s="469"/>
      <c r="Z1861" s="469"/>
      <c r="AA1861" s="469"/>
      <c r="AB1861" s="469"/>
    </row>
    <row r="1862" ht="14.25" customHeight="1">
      <c r="A1862" s="464"/>
      <c r="B1862" s="481"/>
      <c r="C1862" s="466"/>
      <c r="D1862" s="484"/>
      <c r="E1862" s="466"/>
      <c r="F1862" s="485"/>
      <c r="G1862" s="485"/>
      <c r="H1862" s="485"/>
      <c r="I1862" s="331"/>
      <c r="J1862" s="469"/>
      <c r="K1862" s="469"/>
      <c r="L1862" s="469"/>
      <c r="M1862" s="469"/>
      <c r="N1862" s="469"/>
      <c r="O1862" s="469"/>
      <c r="P1862" s="469"/>
      <c r="Q1862" s="469"/>
      <c r="R1862" s="469"/>
      <c r="S1862" s="469"/>
      <c r="T1862" s="469"/>
      <c r="U1862" s="469"/>
      <c r="V1862" s="469"/>
      <c r="W1862" s="469"/>
      <c r="X1862" s="469"/>
      <c r="Y1862" s="469"/>
      <c r="Z1862" s="469"/>
      <c r="AA1862" s="469"/>
      <c r="AB1862" s="469"/>
    </row>
    <row r="1863" ht="14.25" customHeight="1">
      <c r="A1863" s="464"/>
      <c r="B1863" s="481"/>
      <c r="C1863" s="466"/>
      <c r="D1863" s="484"/>
      <c r="E1863" s="466"/>
      <c r="F1863" s="485"/>
      <c r="G1863" s="485"/>
      <c r="H1863" s="485"/>
      <c r="I1863" s="331"/>
      <c r="J1863" s="469"/>
      <c r="K1863" s="469"/>
      <c r="L1863" s="469"/>
      <c r="M1863" s="469"/>
      <c r="N1863" s="469"/>
      <c r="O1863" s="469"/>
      <c r="P1863" s="469"/>
      <c r="Q1863" s="469"/>
      <c r="R1863" s="469"/>
      <c r="S1863" s="469"/>
      <c r="T1863" s="469"/>
      <c r="U1863" s="469"/>
      <c r="V1863" s="469"/>
      <c r="W1863" s="469"/>
      <c r="X1863" s="469"/>
      <c r="Y1863" s="469"/>
      <c r="Z1863" s="469"/>
      <c r="AA1863" s="469"/>
      <c r="AB1863" s="469"/>
    </row>
    <row r="1864" ht="14.25" customHeight="1">
      <c r="A1864" s="464"/>
      <c r="B1864" s="481"/>
      <c r="C1864" s="466"/>
      <c r="D1864" s="484"/>
      <c r="E1864" s="466"/>
      <c r="F1864" s="485"/>
      <c r="G1864" s="485"/>
      <c r="H1864" s="485"/>
      <c r="I1864" s="331"/>
      <c r="J1864" s="469"/>
      <c r="K1864" s="469"/>
      <c r="L1864" s="469"/>
      <c r="M1864" s="469"/>
      <c r="N1864" s="469"/>
      <c r="O1864" s="469"/>
      <c r="P1864" s="469"/>
      <c r="Q1864" s="469"/>
      <c r="R1864" s="469"/>
      <c r="S1864" s="469"/>
      <c r="T1864" s="469"/>
      <c r="U1864" s="469"/>
      <c r="V1864" s="469"/>
      <c r="W1864" s="469"/>
      <c r="X1864" s="469"/>
      <c r="Y1864" s="469"/>
      <c r="Z1864" s="469"/>
      <c r="AA1864" s="469"/>
      <c r="AB1864" s="469"/>
    </row>
    <row r="1865" ht="14.25" customHeight="1">
      <c r="A1865" s="464"/>
      <c r="B1865" s="481"/>
      <c r="C1865" s="466"/>
      <c r="D1865" s="484"/>
      <c r="E1865" s="466"/>
      <c r="F1865" s="485"/>
      <c r="G1865" s="485"/>
      <c r="H1865" s="485"/>
      <c r="I1865" s="331"/>
      <c r="J1865" s="469"/>
      <c r="K1865" s="469"/>
      <c r="L1865" s="469"/>
      <c r="M1865" s="469"/>
      <c r="N1865" s="469"/>
      <c r="O1865" s="469"/>
      <c r="P1865" s="469"/>
      <c r="Q1865" s="469"/>
      <c r="R1865" s="469"/>
      <c r="S1865" s="469"/>
      <c r="T1865" s="469"/>
      <c r="U1865" s="469"/>
      <c r="V1865" s="469"/>
      <c r="W1865" s="469"/>
      <c r="X1865" s="469"/>
      <c r="Y1865" s="469"/>
      <c r="Z1865" s="469"/>
      <c r="AA1865" s="469"/>
      <c r="AB1865" s="469"/>
    </row>
    <row r="1866" ht="14.25" customHeight="1">
      <c r="A1866" s="464"/>
      <c r="B1866" s="481"/>
      <c r="C1866" s="466"/>
      <c r="D1866" s="484"/>
      <c r="E1866" s="466"/>
      <c r="F1866" s="485"/>
      <c r="G1866" s="485"/>
      <c r="H1866" s="485"/>
      <c r="I1866" s="331"/>
      <c r="J1866" s="469"/>
      <c r="K1866" s="469"/>
      <c r="L1866" s="469"/>
      <c r="M1866" s="469"/>
      <c r="N1866" s="469"/>
      <c r="O1866" s="469"/>
      <c r="P1866" s="469"/>
      <c r="Q1866" s="469"/>
      <c r="R1866" s="469"/>
      <c r="S1866" s="469"/>
      <c r="T1866" s="469"/>
      <c r="U1866" s="469"/>
      <c r="V1866" s="469"/>
      <c r="W1866" s="469"/>
      <c r="X1866" s="469"/>
      <c r="Y1866" s="469"/>
      <c r="Z1866" s="469"/>
      <c r="AA1866" s="469"/>
      <c r="AB1866" s="469"/>
    </row>
    <row r="1867" ht="14.25" customHeight="1">
      <c r="A1867" s="464"/>
      <c r="B1867" s="481"/>
      <c r="C1867" s="466"/>
      <c r="D1867" s="484"/>
      <c r="E1867" s="466"/>
      <c r="F1867" s="485"/>
      <c r="G1867" s="485"/>
      <c r="H1867" s="485"/>
      <c r="I1867" s="331"/>
      <c r="J1867" s="469"/>
      <c r="K1867" s="469"/>
      <c r="L1867" s="469"/>
      <c r="M1867" s="469"/>
      <c r="N1867" s="469"/>
      <c r="O1867" s="469"/>
      <c r="P1867" s="469"/>
      <c r="Q1867" s="469"/>
      <c r="R1867" s="469"/>
      <c r="S1867" s="469"/>
      <c r="T1867" s="469"/>
      <c r="U1867" s="469"/>
      <c r="V1867" s="469"/>
      <c r="W1867" s="469"/>
      <c r="X1867" s="469"/>
      <c r="Y1867" s="469"/>
      <c r="Z1867" s="469"/>
      <c r="AA1867" s="469"/>
      <c r="AB1867" s="469"/>
    </row>
    <row r="1868" ht="14.25" customHeight="1">
      <c r="A1868" s="464"/>
      <c r="B1868" s="481"/>
      <c r="C1868" s="466"/>
      <c r="D1868" s="484"/>
      <c r="E1868" s="466"/>
      <c r="F1868" s="485"/>
      <c r="G1868" s="485"/>
      <c r="H1868" s="485"/>
      <c r="I1868" s="331"/>
      <c r="J1868" s="469"/>
      <c r="K1868" s="469"/>
      <c r="L1868" s="469"/>
      <c r="M1868" s="469"/>
      <c r="N1868" s="469"/>
      <c r="O1868" s="469"/>
      <c r="P1868" s="469"/>
      <c r="Q1868" s="469"/>
      <c r="R1868" s="469"/>
      <c r="S1868" s="469"/>
      <c r="T1868" s="469"/>
      <c r="U1868" s="469"/>
      <c r="V1868" s="469"/>
      <c r="W1868" s="469"/>
      <c r="X1868" s="469"/>
      <c r="Y1868" s="469"/>
      <c r="Z1868" s="469"/>
      <c r="AA1868" s="469"/>
      <c r="AB1868" s="469"/>
    </row>
    <row r="1869" ht="14.25" customHeight="1">
      <c r="A1869" s="464"/>
      <c r="B1869" s="481"/>
      <c r="C1869" s="466"/>
      <c r="D1869" s="484"/>
      <c r="E1869" s="466"/>
      <c r="F1869" s="485"/>
      <c r="G1869" s="485"/>
      <c r="H1869" s="485"/>
      <c r="I1869" s="331"/>
      <c r="J1869" s="469"/>
      <c r="K1869" s="469"/>
      <c r="L1869" s="469"/>
      <c r="M1869" s="469"/>
      <c r="N1869" s="469"/>
      <c r="O1869" s="469"/>
      <c r="P1869" s="469"/>
      <c r="Q1869" s="469"/>
      <c r="R1869" s="469"/>
      <c r="S1869" s="469"/>
      <c r="T1869" s="469"/>
      <c r="U1869" s="469"/>
      <c r="V1869" s="469"/>
      <c r="W1869" s="469"/>
      <c r="X1869" s="469"/>
      <c r="Y1869" s="469"/>
      <c r="Z1869" s="469"/>
      <c r="AA1869" s="469"/>
      <c r="AB1869" s="469"/>
    </row>
    <row r="1870" ht="14.25" customHeight="1">
      <c r="A1870" s="464"/>
      <c r="B1870" s="481"/>
      <c r="C1870" s="466"/>
      <c r="D1870" s="484"/>
      <c r="E1870" s="466"/>
      <c r="F1870" s="485"/>
      <c r="G1870" s="485"/>
      <c r="H1870" s="485"/>
      <c r="I1870" s="331"/>
      <c r="J1870" s="469"/>
      <c r="K1870" s="469"/>
      <c r="L1870" s="469"/>
      <c r="M1870" s="469"/>
      <c r="N1870" s="469"/>
      <c r="O1870" s="469"/>
      <c r="P1870" s="469"/>
      <c r="Q1870" s="469"/>
      <c r="R1870" s="469"/>
      <c r="S1870" s="469"/>
      <c r="T1870" s="469"/>
      <c r="U1870" s="469"/>
      <c r="V1870" s="469"/>
      <c r="W1870" s="469"/>
      <c r="X1870" s="469"/>
      <c r="Y1870" s="469"/>
      <c r="Z1870" s="469"/>
      <c r="AA1870" s="469"/>
      <c r="AB1870" s="469"/>
    </row>
    <row r="1871" ht="14.25" customHeight="1">
      <c r="A1871" s="464"/>
      <c r="B1871" s="481"/>
      <c r="C1871" s="466"/>
      <c r="D1871" s="484"/>
      <c r="E1871" s="466"/>
      <c r="F1871" s="485"/>
      <c r="G1871" s="485"/>
      <c r="H1871" s="485"/>
      <c r="I1871" s="331"/>
      <c r="J1871" s="469"/>
      <c r="K1871" s="469"/>
      <c r="L1871" s="469"/>
      <c r="M1871" s="469"/>
      <c r="N1871" s="469"/>
      <c r="O1871" s="469"/>
      <c r="P1871" s="469"/>
      <c r="Q1871" s="469"/>
      <c r="R1871" s="469"/>
      <c r="S1871" s="469"/>
      <c r="T1871" s="469"/>
      <c r="U1871" s="469"/>
      <c r="V1871" s="469"/>
      <c r="W1871" s="469"/>
      <c r="X1871" s="469"/>
      <c r="Y1871" s="469"/>
      <c r="Z1871" s="469"/>
      <c r="AA1871" s="469"/>
      <c r="AB1871" s="469"/>
    </row>
    <row r="1872" ht="14.25" customHeight="1">
      <c r="A1872" s="464"/>
      <c r="B1872" s="481"/>
      <c r="C1872" s="466"/>
      <c r="D1872" s="484"/>
      <c r="E1872" s="466"/>
      <c r="F1872" s="485"/>
      <c r="G1872" s="485"/>
      <c r="H1872" s="485"/>
      <c r="I1872" s="331"/>
      <c r="J1872" s="469"/>
      <c r="K1872" s="469"/>
      <c r="L1872" s="469"/>
      <c r="M1872" s="469"/>
      <c r="N1872" s="469"/>
      <c r="O1872" s="469"/>
      <c r="P1872" s="469"/>
      <c r="Q1872" s="469"/>
      <c r="R1872" s="469"/>
      <c r="S1872" s="469"/>
      <c r="T1872" s="469"/>
      <c r="U1872" s="469"/>
      <c r="V1872" s="469"/>
      <c r="W1872" s="469"/>
      <c r="X1872" s="469"/>
      <c r="Y1872" s="469"/>
      <c r="Z1872" s="469"/>
      <c r="AA1872" s="469"/>
      <c r="AB1872" s="469"/>
    </row>
    <row r="1873" ht="14.25" customHeight="1">
      <c r="A1873" s="464"/>
      <c r="B1873" s="481"/>
      <c r="C1873" s="466"/>
      <c r="D1873" s="484"/>
      <c r="E1873" s="466"/>
      <c r="F1873" s="485"/>
      <c r="G1873" s="485"/>
      <c r="H1873" s="485"/>
      <c r="I1873" s="331"/>
      <c r="J1873" s="469"/>
      <c r="K1873" s="469"/>
      <c r="L1873" s="469"/>
      <c r="M1873" s="469"/>
      <c r="N1873" s="469"/>
      <c r="O1873" s="469"/>
      <c r="P1873" s="469"/>
      <c r="Q1873" s="469"/>
      <c r="R1873" s="469"/>
      <c r="S1873" s="469"/>
      <c r="T1873" s="469"/>
      <c r="U1873" s="469"/>
      <c r="V1873" s="469"/>
      <c r="W1873" s="469"/>
      <c r="X1873" s="469"/>
      <c r="Y1873" s="469"/>
      <c r="Z1873" s="469"/>
      <c r="AA1873" s="469"/>
      <c r="AB1873" s="469"/>
    </row>
    <row r="1874" ht="14.25" customHeight="1">
      <c r="A1874" s="464"/>
      <c r="B1874" s="481"/>
      <c r="C1874" s="466"/>
      <c r="D1874" s="484"/>
      <c r="E1874" s="466"/>
      <c r="F1874" s="485"/>
      <c r="G1874" s="485"/>
      <c r="H1874" s="485"/>
      <c r="I1874" s="331"/>
      <c r="J1874" s="469"/>
      <c r="K1874" s="469"/>
      <c r="L1874" s="469"/>
      <c r="M1874" s="469"/>
      <c r="N1874" s="469"/>
      <c r="O1874" s="469"/>
      <c r="P1874" s="469"/>
      <c r="Q1874" s="469"/>
      <c r="R1874" s="469"/>
      <c r="S1874" s="469"/>
      <c r="T1874" s="469"/>
      <c r="U1874" s="469"/>
      <c r="V1874" s="469"/>
      <c r="W1874" s="469"/>
      <c r="X1874" s="469"/>
      <c r="Y1874" s="469"/>
      <c r="Z1874" s="469"/>
      <c r="AA1874" s="469"/>
      <c r="AB1874" s="469"/>
    </row>
    <row r="1875" ht="14.25" customHeight="1">
      <c r="A1875" s="464"/>
      <c r="B1875" s="481"/>
      <c r="C1875" s="466"/>
      <c r="D1875" s="484"/>
      <c r="E1875" s="466"/>
      <c r="F1875" s="485"/>
      <c r="G1875" s="485"/>
      <c r="H1875" s="485"/>
      <c r="I1875" s="331"/>
      <c r="J1875" s="469"/>
      <c r="K1875" s="469"/>
      <c r="L1875" s="469"/>
      <c r="M1875" s="469"/>
      <c r="N1875" s="469"/>
      <c r="O1875" s="469"/>
      <c r="P1875" s="469"/>
      <c r="Q1875" s="469"/>
      <c r="R1875" s="469"/>
      <c r="S1875" s="469"/>
      <c r="T1875" s="469"/>
      <c r="U1875" s="469"/>
      <c r="V1875" s="469"/>
      <c r="W1875" s="469"/>
      <c r="X1875" s="469"/>
      <c r="Y1875" s="469"/>
      <c r="Z1875" s="469"/>
      <c r="AA1875" s="469"/>
      <c r="AB1875" s="469"/>
    </row>
    <row r="1876" ht="14.25" customHeight="1">
      <c r="A1876" s="464"/>
      <c r="B1876" s="481"/>
      <c r="C1876" s="466"/>
      <c r="D1876" s="484"/>
      <c r="E1876" s="466"/>
      <c r="F1876" s="485"/>
      <c r="G1876" s="485"/>
      <c r="H1876" s="485"/>
      <c r="I1876" s="331"/>
      <c r="J1876" s="469"/>
      <c r="K1876" s="469"/>
      <c r="L1876" s="469"/>
      <c r="M1876" s="469"/>
      <c r="N1876" s="469"/>
      <c r="O1876" s="469"/>
      <c r="P1876" s="469"/>
      <c r="Q1876" s="469"/>
      <c r="R1876" s="469"/>
      <c r="S1876" s="469"/>
      <c r="T1876" s="469"/>
      <c r="U1876" s="469"/>
      <c r="V1876" s="469"/>
      <c r="W1876" s="469"/>
      <c r="X1876" s="469"/>
      <c r="Y1876" s="469"/>
      <c r="Z1876" s="469"/>
      <c r="AA1876" s="469"/>
      <c r="AB1876" s="469"/>
    </row>
    <row r="1877" ht="14.25" customHeight="1">
      <c r="A1877" s="464"/>
      <c r="B1877" s="481"/>
      <c r="C1877" s="466"/>
      <c r="D1877" s="484"/>
      <c r="E1877" s="466"/>
      <c r="F1877" s="485"/>
      <c r="G1877" s="485"/>
      <c r="H1877" s="485"/>
      <c r="I1877" s="331"/>
      <c r="J1877" s="469"/>
      <c r="K1877" s="469"/>
      <c r="L1877" s="469"/>
      <c r="M1877" s="469"/>
      <c r="N1877" s="469"/>
      <c r="O1877" s="469"/>
      <c r="P1877" s="469"/>
      <c r="Q1877" s="469"/>
      <c r="R1877" s="469"/>
      <c r="S1877" s="469"/>
      <c r="T1877" s="469"/>
      <c r="U1877" s="469"/>
      <c r="V1877" s="469"/>
      <c r="W1877" s="469"/>
      <c r="X1877" s="469"/>
      <c r="Y1877" s="469"/>
      <c r="Z1877" s="469"/>
      <c r="AA1877" s="469"/>
      <c r="AB1877" s="469"/>
    </row>
    <row r="1878" ht="14.25" customHeight="1">
      <c r="A1878" s="464"/>
      <c r="B1878" s="481"/>
      <c r="C1878" s="466"/>
      <c r="D1878" s="484"/>
      <c r="E1878" s="466"/>
      <c r="F1878" s="485"/>
      <c r="G1878" s="485"/>
      <c r="H1878" s="485"/>
      <c r="I1878" s="331"/>
      <c r="J1878" s="469"/>
      <c r="K1878" s="469"/>
      <c r="L1878" s="469"/>
      <c r="M1878" s="469"/>
      <c r="N1878" s="469"/>
      <c r="O1878" s="469"/>
      <c r="P1878" s="469"/>
      <c r="Q1878" s="469"/>
      <c r="R1878" s="469"/>
      <c r="S1878" s="469"/>
      <c r="T1878" s="469"/>
      <c r="U1878" s="469"/>
      <c r="V1878" s="469"/>
      <c r="W1878" s="469"/>
      <c r="X1878" s="469"/>
      <c r="Y1878" s="469"/>
      <c r="Z1878" s="469"/>
      <c r="AA1878" s="469"/>
      <c r="AB1878" s="469"/>
    </row>
    <row r="1879" ht="14.25" customHeight="1">
      <c r="A1879" s="464"/>
      <c r="B1879" s="481"/>
      <c r="C1879" s="466"/>
      <c r="D1879" s="484"/>
      <c r="E1879" s="466"/>
      <c r="F1879" s="485"/>
      <c r="G1879" s="485"/>
      <c r="H1879" s="485"/>
      <c r="I1879" s="331"/>
      <c r="J1879" s="469"/>
      <c r="K1879" s="469"/>
      <c r="L1879" s="469"/>
      <c r="M1879" s="469"/>
      <c r="N1879" s="469"/>
      <c r="O1879" s="469"/>
      <c r="P1879" s="469"/>
      <c r="Q1879" s="469"/>
      <c r="R1879" s="469"/>
      <c r="S1879" s="469"/>
      <c r="T1879" s="469"/>
      <c r="U1879" s="469"/>
      <c r="V1879" s="469"/>
      <c r="W1879" s="469"/>
      <c r="X1879" s="469"/>
      <c r="Y1879" s="469"/>
      <c r="Z1879" s="469"/>
      <c r="AA1879" s="469"/>
      <c r="AB1879" s="469"/>
    </row>
    <row r="1880" ht="14.25" customHeight="1">
      <c r="A1880" s="464"/>
      <c r="B1880" s="481"/>
      <c r="C1880" s="466"/>
      <c r="D1880" s="484"/>
      <c r="E1880" s="466"/>
      <c r="F1880" s="485"/>
      <c r="G1880" s="485"/>
      <c r="H1880" s="485"/>
      <c r="I1880" s="331"/>
      <c r="J1880" s="469"/>
      <c r="K1880" s="469"/>
      <c r="L1880" s="469"/>
      <c r="M1880" s="469"/>
      <c r="N1880" s="469"/>
      <c r="O1880" s="469"/>
      <c r="P1880" s="469"/>
      <c r="Q1880" s="469"/>
      <c r="R1880" s="469"/>
      <c r="S1880" s="469"/>
      <c r="T1880" s="469"/>
      <c r="U1880" s="469"/>
      <c r="V1880" s="469"/>
      <c r="W1880" s="469"/>
      <c r="X1880" s="469"/>
      <c r="Y1880" s="469"/>
      <c r="Z1880" s="469"/>
      <c r="AA1880" s="469"/>
      <c r="AB1880" s="469"/>
    </row>
    <row r="1881" ht="14.25" customHeight="1">
      <c r="A1881" s="464"/>
      <c r="B1881" s="481"/>
      <c r="C1881" s="466"/>
      <c r="D1881" s="484"/>
      <c r="E1881" s="466"/>
      <c r="F1881" s="485"/>
      <c r="G1881" s="485"/>
      <c r="H1881" s="485"/>
      <c r="I1881" s="331"/>
      <c r="J1881" s="469"/>
      <c r="K1881" s="469"/>
      <c r="L1881" s="469"/>
      <c r="M1881" s="469"/>
      <c r="N1881" s="469"/>
      <c r="O1881" s="469"/>
      <c r="P1881" s="469"/>
      <c r="Q1881" s="469"/>
      <c r="R1881" s="469"/>
      <c r="S1881" s="469"/>
      <c r="T1881" s="469"/>
      <c r="U1881" s="469"/>
      <c r="V1881" s="469"/>
      <c r="W1881" s="469"/>
      <c r="X1881" s="469"/>
      <c r="Y1881" s="469"/>
      <c r="Z1881" s="469"/>
      <c r="AA1881" s="469"/>
      <c r="AB1881" s="469"/>
    </row>
    <row r="1882" ht="14.25" customHeight="1">
      <c r="A1882" s="464"/>
      <c r="B1882" s="481"/>
      <c r="C1882" s="466"/>
      <c r="D1882" s="484"/>
      <c r="E1882" s="466"/>
      <c r="F1882" s="485"/>
      <c r="G1882" s="485"/>
      <c r="H1882" s="485"/>
      <c r="I1882" s="331"/>
      <c r="J1882" s="469"/>
      <c r="K1882" s="469"/>
      <c r="L1882" s="469"/>
      <c r="M1882" s="469"/>
      <c r="N1882" s="469"/>
      <c r="O1882" s="469"/>
      <c r="P1882" s="469"/>
      <c r="Q1882" s="469"/>
      <c r="R1882" s="469"/>
      <c r="S1882" s="469"/>
      <c r="T1882" s="469"/>
      <c r="U1882" s="469"/>
      <c r="V1882" s="469"/>
      <c r="W1882" s="469"/>
      <c r="X1882" s="469"/>
      <c r="Y1882" s="469"/>
      <c r="Z1882" s="469"/>
      <c r="AA1882" s="469"/>
      <c r="AB1882" s="469"/>
    </row>
    <row r="1883" ht="14.25" customHeight="1">
      <c r="A1883" s="464"/>
      <c r="B1883" s="481"/>
      <c r="C1883" s="466"/>
      <c r="D1883" s="484"/>
      <c r="E1883" s="466"/>
      <c r="F1883" s="485"/>
      <c r="G1883" s="485"/>
      <c r="H1883" s="485"/>
      <c r="I1883" s="331"/>
      <c r="J1883" s="469"/>
      <c r="K1883" s="469"/>
      <c r="L1883" s="469"/>
      <c r="M1883" s="469"/>
      <c r="N1883" s="469"/>
      <c r="O1883" s="469"/>
      <c r="P1883" s="469"/>
      <c r="Q1883" s="469"/>
      <c r="R1883" s="469"/>
      <c r="S1883" s="469"/>
      <c r="T1883" s="469"/>
      <c r="U1883" s="469"/>
      <c r="V1883" s="469"/>
      <c r="W1883" s="469"/>
      <c r="X1883" s="469"/>
      <c r="Y1883" s="469"/>
      <c r="Z1883" s="469"/>
      <c r="AA1883" s="469"/>
      <c r="AB1883" s="469"/>
    </row>
    <row r="1884" ht="14.25" customHeight="1">
      <c r="A1884" s="464"/>
      <c r="B1884" s="481"/>
      <c r="C1884" s="466"/>
      <c r="D1884" s="484"/>
      <c r="E1884" s="466"/>
      <c r="F1884" s="485"/>
      <c r="G1884" s="485"/>
      <c r="H1884" s="485"/>
      <c r="I1884" s="331"/>
      <c r="J1884" s="469"/>
      <c r="K1884" s="469"/>
      <c r="L1884" s="469"/>
      <c r="M1884" s="469"/>
      <c r="N1884" s="469"/>
      <c r="O1884" s="469"/>
      <c r="P1884" s="469"/>
      <c r="Q1884" s="469"/>
      <c r="R1884" s="469"/>
      <c r="S1884" s="469"/>
      <c r="T1884" s="469"/>
      <c r="U1884" s="469"/>
      <c r="V1884" s="469"/>
      <c r="W1884" s="469"/>
      <c r="X1884" s="469"/>
      <c r="Y1884" s="469"/>
      <c r="Z1884" s="469"/>
      <c r="AA1884" s="469"/>
      <c r="AB1884" s="469"/>
    </row>
    <row r="1885" ht="14.25" customHeight="1">
      <c r="A1885" s="464"/>
      <c r="B1885" s="481"/>
      <c r="C1885" s="466"/>
      <c r="D1885" s="484"/>
      <c r="E1885" s="466"/>
      <c r="F1885" s="485"/>
      <c r="G1885" s="485"/>
      <c r="H1885" s="485"/>
      <c r="I1885" s="331"/>
      <c r="J1885" s="469"/>
      <c r="K1885" s="469"/>
      <c r="L1885" s="469"/>
      <c r="M1885" s="469"/>
      <c r="N1885" s="469"/>
      <c r="O1885" s="469"/>
      <c r="P1885" s="469"/>
      <c r="Q1885" s="469"/>
      <c r="R1885" s="469"/>
      <c r="S1885" s="469"/>
      <c r="T1885" s="469"/>
      <c r="U1885" s="469"/>
      <c r="V1885" s="469"/>
      <c r="W1885" s="469"/>
      <c r="X1885" s="469"/>
      <c r="Y1885" s="469"/>
      <c r="Z1885" s="469"/>
      <c r="AA1885" s="469"/>
      <c r="AB1885" s="469"/>
    </row>
    <row r="1886" ht="14.25" customHeight="1">
      <c r="A1886" s="464"/>
      <c r="B1886" s="481"/>
      <c r="C1886" s="466"/>
      <c r="D1886" s="484"/>
      <c r="E1886" s="466"/>
      <c r="F1886" s="485"/>
      <c r="G1886" s="485"/>
      <c r="H1886" s="485"/>
      <c r="I1886" s="331"/>
      <c r="J1886" s="469"/>
      <c r="K1886" s="469"/>
      <c r="L1886" s="469"/>
      <c r="M1886" s="469"/>
      <c r="N1886" s="469"/>
      <c r="O1886" s="469"/>
      <c r="P1886" s="469"/>
      <c r="Q1886" s="469"/>
      <c r="R1886" s="469"/>
      <c r="S1886" s="469"/>
      <c r="T1886" s="469"/>
      <c r="U1886" s="469"/>
      <c r="V1886" s="469"/>
      <c r="W1886" s="469"/>
      <c r="X1886" s="469"/>
      <c r="Y1886" s="469"/>
      <c r="Z1886" s="469"/>
      <c r="AA1886" s="469"/>
      <c r="AB1886" s="469"/>
    </row>
    <row r="1887" ht="14.25" customHeight="1">
      <c r="A1887" s="464"/>
      <c r="B1887" s="481"/>
      <c r="C1887" s="466"/>
      <c r="D1887" s="484"/>
      <c r="E1887" s="466"/>
      <c r="F1887" s="485"/>
      <c r="G1887" s="485"/>
      <c r="H1887" s="485"/>
      <c r="I1887" s="331"/>
      <c r="J1887" s="469"/>
      <c r="K1887" s="469"/>
      <c r="L1887" s="469"/>
      <c r="M1887" s="469"/>
      <c r="N1887" s="469"/>
      <c r="O1887" s="469"/>
      <c r="P1887" s="469"/>
      <c r="Q1887" s="469"/>
      <c r="R1887" s="469"/>
      <c r="S1887" s="469"/>
      <c r="T1887" s="469"/>
      <c r="U1887" s="469"/>
      <c r="V1887" s="469"/>
      <c r="W1887" s="469"/>
      <c r="X1887" s="469"/>
      <c r="Y1887" s="469"/>
      <c r="Z1887" s="469"/>
      <c r="AA1887" s="469"/>
      <c r="AB1887" s="469"/>
    </row>
    <row r="1888" ht="14.25" customHeight="1">
      <c r="A1888" s="464"/>
      <c r="B1888" s="481"/>
      <c r="C1888" s="466"/>
      <c r="D1888" s="484"/>
      <c r="E1888" s="466"/>
      <c r="F1888" s="485"/>
      <c r="G1888" s="485"/>
      <c r="H1888" s="485"/>
      <c r="I1888" s="331"/>
      <c r="J1888" s="469"/>
      <c r="K1888" s="469"/>
      <c r="L1888" s="469"/>
      <c r="M1888" s="469"/>
      <c r="N1888" s="469"/>
      <c r="O1888" s="469"/>
      <c r="P1888" s="469"/>
      <c r="Q1888" s="469"/>
      <c r="R1888" s="469"/>
      <c r="S1888" s="469"/>
      <c r="T1888" s="469"/>
      <c r="U1888" s="469"/>
      <c r="V1888" s="469"/>
      <c r="W1888" s="469"/>
      <c r="X1888" s="469"/>
      <c r="Y1888" s="469"/>
      <c r="Z1888" s="469"/>
      <c r="AA1888" s="469"/>
      <c r="AB1888" s="469"/>
    </row>
    <row r="1889" ht="14.25" customHeight="1">
      <c r="A1889" s="464"/>
      <c r="B1889" s="481"/>
      <c r="C1889" s="466"/>
      <c r="D1889" s="484"/>
      <c r="E1889" s="466"/>
      <c r="F1889" s="485"/>
      <c r="G1889" s="485"/>
      <c r="H1889" s="485"/>
      <c r="I1889" s="331"/>
      <c r="J1889" s="469"/>
      <c r="K1889" s="469"/>
      <c r="L1889" s="469"/>
      <c r="M1889" s="469"/>
      <c r="N1889" s="469"/>
      <c r="O1889" s="469"/>
      <c r="P1889" s="469"/>
      <c r="Q1889" s="469"/>
      <c r="R1889" s="469"/>
      <c r="S1889" s="469"/>
      <c r="T1889" s="469"/>
      <c r="U1889" s="469"/>
      <c r="V1889" s="469"/>
      <c r="W1889" s="469"/>
      <c r="X1889" s="469"/>
      <c r="Y1889" s="469"/>
      <c r="Z1889" s="469"/>
      <c r="AA1889" s="469"/>
      <c r="AB1889" s="469"/>
    </row>
    <row r="1890" ht="14.25" customHeight="1">
      <c r="A1890" s="464"/>
      <c r="B1890" s="481"/>
      <c r="C1890" s="466"/>
      <c r="D1890" s="484"/>
      <c r="E1890" s="466"/>
      <c r="F1890" s="485"/>
      <c r="G1890" s="485"/>
      <c r="H1890" s="485"/>
      <c r="I1890" s="331"/>
      <c r="J1890" s="469"/>
      <c r="K1890" s="469"/>
      <c r="L1890" s="469"/>
      <c r="M1890" s="469"/>
      <c r="N1890" s="469"/>
      <c r="O1890" s="469"/>
      <c r="P1890" s="469"/>
      <c r="Q1890" s="469"/>
      <c r="R1890" s="469"/>
      <c r="S1890" s="469"/>
      <c r="T1890" s="469"/>
      <c r="U1890" s="469"/>
      <c r="V1890" s="469"/>
      <c r="W1890" s="469"/>
      <c r="X1890" s="469"/>
      <c r="Y1890" s="469"/>
      <c r="Z1890" s="469"/>
      <c r="AA1890" s="469"/>
      <c r="AB1890" s="469"/>
    </row>
    <row r="1891" ht="14.25" customHeight="1">
      <c r="A1891" s="464"/>
      <c r="B1891" s="481"/>
      <c r="C1891" s="466"/>
      <c r="D1891" s="484"/>
      <c r="E1891" s="466"/>
      <c r="F1891" s="485"/>
      <c r="G1891" s="485"/>
      <c r="H1891" s="485"/>
      <c r="I1891" s="331"/>
      <c r="J1891" s="469"/>
      <c r="K1891" s="469"/>
      <c r="L1891" s="469"/>
      <c r="M1891" s="469"/>
      <c r="N1891" s="469"/>
      <c r="O1891" s="469"/>
      <c r="P1891" s="469"/>
      <c r="Q1891" s="469"/>
      <c r="R1891" s="469"/>
      <c r="S1891" s="469"/>
      <c r="T1891" s="469"/>
      <c r="U1891" s="469"/>
      <c r="V1891" s="469"/>
      <c r="W1891" s="469"/>
      <c r="X1891" s="469"/>
      <c r="Y1891" s="469"/>
      <c r="Z1891" s="469"/>
      <c r="AA1891" s="469"/>
      <c r="AB1891" s="469"/>
    </row>
    <row r="1892" ht="14.25" customHeight="1">
      <c r="A1892" s="464"/>
      <c r="B1892" s="481"/>
      <c r="C1892" s="466"/>
      <c r="D1892" s="484"/>
      <c r="E1892" s="466"/>
      <c r="F1892" s="485"/>
      <c r="G1892" s="485"/>
      <c r="H1892" s="485"/>
      <c r="I1892" s="331"/>
      <c r="J1892" s="469"/>
      <c r="K1892" s="469"/>
      <c r="L1892" s="469"/>
      <c r="M1892" s="469"/>
      <c r="N1892" s="469"/>
      <c r="O1892" s="469"/>
      <c r="P1892" s="469"/>
      <c r="Q1892" s="469"/>
      <c r="R1892" s="469"/>
      <c r="S1892" s="469"/>
      <c r="T1892" s="469"/>
      <c r="U1892" s="469"/>
      <c r="V1892" s="469"/>
      <c r="W1892" s="469"/>
      <c r="X1892" s="469"/>
      <c r="Y1892" s="469"/>
      <c r="Z1892" s="469"/>
      <c r="AA1892" s="469"/>
      <c r="AB1892" s="469"/>
    </row>
    <row r="1893" ht="14.25" customHeight="1">
      <c r="A1893" s="464"/>
      <c r="B1893" s="481"/>
      <c r="C1893" s="466"/>
      <c r="D1893" s="484"/>
      <c r="E1893" s="466"/>
      <c r="F1893" s="485"/>
      <c r="G1893" s="485"/>
      <c r="H1893" s="485"/>
      <c r="I1893" s="331"/>
      <c r="J1893" s="469"/>
      <c r="K1893" s="469"/>
      <c r="L1893" s="469"/>
      <c r="M1893" s="469"/>
      <c r="N1893" s="469"/>
      <c r="O1893" s="469"/>
      <c r="P1893" s="469"/>
      <c r="Q1893" s="469"/>
      <c r="R1893" s="469"/>
      <c r="S1893" s="469"/>
      <c r="T1893" s="469"/>
      <c r="U1893" s="469"/>
      <c r="V1893" s="469"/>
      <c r="W1893" s="469"/>
      <c r="X1893" s="469"/>
      <c r="Y1893" s="469"/>
      <c r="Z1893" s="469"/>
      <c r="AA1893" s="469"/>
      <c r="AB1893" s="469"/>
    </row>
    <row r="1894" ht="14.25" customHeight="1">
      <c r="A1894" s="464"/>
      <c r="B1894" s="481"/>
      <c r="C1894" s="466"/>
      <c r="D1894" s="484"/>
      <c r="E1894" s="466"/>
      <c r="F1894" s="485"/>
      <c r="G1894" s="485"/>
      <c r="H1894" s="485"/>
      <c r="I1894" s="331"/>
      <c r="J1894" s="469"/>
      <c r="K1894" s="469"/>
      <c r="L1894" s="469"/>
      <c r="M1894" s="469"/>
      <c r="N1894" s="469"/>
      <c r="O1894" s="469"/>
      <c r="P1894" s="469"/>
      <c r="Q1894" s="469"/>
      <c r="R1894" s="469"/>
      <c r="S1894" s="469"/>
      <c r="T1894" s="469"/>
      <c r="U1894" s="469"/>
      <c r="V1894" s="469"/>
      <c r="W1894" s="469"/>
      <c r="X1894" s="469"/>
      <c r="Y1894" s="469"/>
      <c r="Z1894" s="469"/>
      <c r="AA1894" s="469"/>
      <c r="AB1894" s="469"/>
    </row>
    <row r="1895" ht="14.25" customHeight="1">
      <c r="A1895" s="464"/>
      <c r="B1895" s="481"/>
      <c r="C1895" s="466"/>
      <c r="D1895" s="484"/>
      <c r="E1895" s="466"/>
      <c r="F1895" s="485"/>
      <c r="G1895" s="485"/>
      <c r="H1895" s="485"/>
      <c r="I1895" s="331"/>
      <c r="J1895" s="469"/>
      <c r="K1895" s="469"/>
      <c r="L1895" s="469"/>
      <c r="M1895" s="469"/>
      <c r="N1895" s="469"/>
      <c r="O1895" s="469"/>
      <c r="P1895" s="469"/>
      <c r="Q1895" s="469"/>
      <c r="R1895" s="469"/>
      <c r="S1895" s="469"/>
      <c r="T1895" s="469"/>
      <c r="U1895" s="469"/>
      <c r="V1895" s="469"/>
      <c r="W1895" s="469"/>
      <c r="X1895" s="469"/>
      <c r="Y1895" s="469"/>
      <c r="Z1895" s="469"/>
      <c r="AA1895" s="469"/>
      <c r="AB1895" s="469"/>
    </row>
    <row r="1896" ht="14.25" customHeight="1">
      <c r="A1896" s="464"/>
      <c r="B1896" s="481"/>
      <c r="C1896" s="466"/>
      <c r="D1896" s="484"/>
      <c r="E1896" s="466"/>
      <c r="F1896" s="485"/>
      <c r="G1896" s="485"/>
      <c r="H1896" s="485"/>
      <c r="I1896" s="331"/>
      <c r="J1896" s="469"/>
      <c r="K1896" s="469"/>
      <c r="L1896" s="469"/>
      <c r="M1896" s="469"/>
      <c r="N1896" s="469"/>
      <c r="O1896" s="469"/>
      <c r="P1896" s="469"/>
      <c r="Q1896" s="469"/>
      <c r="R1896" s="469"/>
      <c r="S1896" s="469"/>
      <c r="T1896" s="469"/>
      <c r="U1896" s="469"/>
      <c r="V1896" s="469"/>
      <c r="W1896" s="469"/>
      <c r="X1896" s="469"/>
      <c r="Y1896" s="469"/>
      <c r="Z1896" s="469"/>
      <c r="AA1896" s="469"/>
      <c r="AB1896" s="469"/>
    </row>
    <row r="1897" ht="14.25" customHeight="1">
      <c r="A1897" s="464"/>
      <c r="B1897" s="481"/>
      <c r="C1897" s="466"/>
      <c r="D1897" s="484"/>
      <c r="E1897" s="466"/>
      <c r="F1897" s="485"/>
      <c r="G1897" s="485"/>
      <c r="H1897" s="485"/>
      <c r="I1897" s="331"/>
      <c r="J1897" s="469"/>
      <c r="K1897" s="469"/>
      <c r="L1897" s="469"/>
      <c r="M1897" s="469"/>
      <c r="N1897" s="469"/>
      <c r="O1897" s="469"/>
      <c r="P1897" s="469"/>
      <c r="Q1897" s="469"/>
      <c r="R1897" s="469"/>
      <c r="S1897" s="469"/>
      <c r="T1897" s="469"/>
      <c r="U1897" s="469"/>
      <c r="V1897" s="469"/>
      <c r="W1897" s="469"/>
      <c r="X1897" s="469"/>
      <c r="Y1897" s="469"/>
      <c r="Z1897" s="469"/>
      <c r="AA1897" s="469"/>
      <c r="AB1897" s="469"/>
    </row>
    <row r="1898" ht="14.25" customHeight="1">
      <c r="A1898" s="464"/>
      <c r="B1898" s="481"/>
      <c r="C1898" s="466"/>
      <c r="D1898" s="484"/>
      <c r="E1898" s="466"/>
      <c r="F1898" s="485"/>
      <c r="G1898" s="485"/>
      <c r="H1898" s="485"/>
      <c r="I1898" s="331"/>
      <c r="J1898" s="469"/>
      <c r="K1898" s="469"/>
      <c r="L1898" s="469"/>
      <c r="M1898" s="469"/>
      <c r="N1898" s="469"/>
      <c r="O1898" s="469"/>
      <c r="P1898" s="469"/>
      <c r="Q1898" s="469"/>
      <c r="R1898" s="469"/>
      <c r="S1898" s="469"/>
      <c r="T1898" s="469"/>
      <c r="U1898" s="469"/>
      <c r="V1898" s="469"/>
      <c r="W1898" s="469"/>
      <c r="X1898" s="469"/>
      <c r="Y1898" s="469"/>
      <c r="Z1898" s="469"/>
      <c r="AA1898" s="469"/>
      <c r="AB1898" s="469"/>
    </row>
    <row r="1899" ht="14.25" customHeight="1">
      <c r="A1899" s="464"/>
      <c r="B1899" s="481"/>
      <c r="C1899" s="466"/>
      <c r="D1899" s="484"/>
      <c r="E1899" s="466"/>
      <c r="F1899" s="485"/>
      <c r="G1899" s="485"/>
      <c r="H1899" s="485"/>
      <c r="I1899" s="331"/>
      <c r="J1899" s="469"/>
      <c r="K1899" s="469"/>
      <c r="L1899" s="469"/>
      <c r="M1899" s="469"/>
      <c r="N1899" s="469"/>
      <c r="O1899" s="469"/>
      <c r="P1899" s="469"/>
      <c r="Q1899" s="469"/>
      <c r="R1899" s="469"/>
      <c r="S1899" s="469"/>
      <c r="T1899" s="469"/>
      <c r="U1899" s="469"/>
      <c r="V1899" s="469"/>
      <c r="W1899" s="469"/>
      <c r="X1899" s="469"/>
      <c r="Y1899" s="469"/>
      <c r="Z1899" s="469"/>
      <c r="AA1899" s="469"/>
      <c r="AB1899" s="469"/>
    </row>
  </sheetData>
  <autoFilter ref="$I$1:$I$941">
    <sortState ref="I1:I941">
      <sortCondition descending="1" ref="I1:I941"/>
    </sortState>
  </autoFilter>
  <mergeCells count="88">
    <mergeCell ref="B433:B437"/>
    <mergeCell ref="B438:B446"/>
    <mergeCell ref="B447:B451"/>
    <mergeCell ref="B452:B461"/>
    <mergeCell ref="B462:B467"/>
    <mergeCell ref="B468:B484"/>
    <mergeCell ref="B485:B495"/>
    <mergeCell ref="B496:B504"/>
    <mergeCell ref="B505:B507"/>
    <mergeCell ref="B508:B510"/>
    <mergeCell ref="B511:B528"/>
    <mergeCell ref="B529:B535"/>
    <mergeCell ref="B536:B544"/>
    <mergeCell ref="B545:B558"/>
    <mergeCell ref="B559:B575"/>
    <mergeCell ref="B576:B589"/>
    <mergeCell ref="B590:B597"/>
    <mergeCell ref="B598:B605"/>
    <mergeCell ref="B606:B610"/>
    <mergeCell ref="B611:B613"/>
    <mergeCell ref="B615:B625"/>
    <mergeCell ref="B626:B627"/>
    <mergeCell ref="B628:B633"/>
    <mergeCell ref="B634:B683"/>
    <mergeCell ref="B684:B687"/>
    <mergeCell ref="B688:B713"/>
    <mergeCell ref="B714:B743"/>
    <mergeCell ref="B744:B775"/>
    <mergeCell ref="B852:B889"/>
    <mergeCell ref="B890:B899"/>
    <mergeCell ref="B900:B917"/>
    <mergeCell ref="B918:B939"/>
    <mergeCell ref="B776:B785"/>
    <mergeCell ref="B786:B791"/>
    <mergeCell ref="B792:B799"/>
    <mergeCell ref="B800:B802"/>
    <mergeCell ref="B803:B824"/>
    <mergeCell ref="B825:B849"/>
    <mergeCell ref="B850:B851"/>
    <mergeCell ref="B2:B12"/>
    <mergeCell ref="B13:B16"/>
    <mergeCell ref="B17:B29"/>
    <mergeCell ref="B47:B59"/>
    <mergeCell ref="B60:B63"/>
    <mergeCell ref="B64:B66"/>
    <mergeCell ref="B30:B46"/>
    <mergeCell ref="B67:B70"/>
    <mergeCell ref="B71:B74"/>
    <mergeCell ref="B75:B82"/>
    <mergeCell ref="B83:B86"/>
    <mergeCell ref="B87:B91"/>
    <mergeCell ref="B92:B94"/>
    <mergeCell ref="B96:B99"/>
    <mergeCell ref="B100:B105"/>
    <mergeCell ref="B122:B126"/>
    <mergeCell ref="B127:B133"/>
    <mergeCell ref="B134:B135"/>
    <mergeCell ref="B136:B176"/>
    <mergeCell ref="A186:A195"/>
    <mergeCell ref="B177:B185"/>
    <mergeCell ref="B186:B195"/>
    <mergeCell ref="B196:B212"/>
    <mergeCell ref="B213:B220"/>
    <mergeCell ref="B221:B223"/>
    <mergeCell ref="B224:B235"/>
    <mergeCell ref="B236:B247"/>
    <mergeCell ref="B248:B249"/>
    <mergeCell ref="B250:B255"/>
    <mergeCell ref="B257:B266"/>
    <mergeCell ref="B267:B287"/>
    <mergeCell ref="B288:B294"/>
    <mergeCell ref="B295:B299"/>
    <mergeCell ref="B300:B305"/>
    <mergeCell ref="B306:B310"/>
    <mergeCell ref="B311:B315"/>
    <mergeCell ref="B316:B323"/>
    <mergeCell ref="B324:B325"/>
    <mergeCell ref="B326:B328"/>
    <mergeCell ref="B329:B333"/>
    <mergeCell ref="B334:B338"/>
    <mergeCell ref="B339:B340"/>
    <mergeCell ref="B348:B362"/>
    <mergeCell ref="B363:B386"/>
    <mergeCell ref="B387:B396"/>
    <mergeCell ref="B397:B412"/>
    <mergeCell ref="B415:B416"/>
    <mergeCell ref="B417:B425"/>
    <mergeCell ref="B426:B432"/>
  </mergeCells>
  <dataValidations>
    <dataValidation type="list" allowBlank="1" showErrorMessage="1" sqref="I2:I1899">
      <formula1>"Pass,Fail,On-hold,NA"</formula1>
    </dataValidation>
    <dataValidation type="list" allowBlank="1" showErrorMessage="1" sqref="J1:J590 J606:J1899">
      <formula1>"Yes,No"</formula1>
    </dataValidation>
    <dataValidation type="list" allowBlank="1" showErrorMessage="1" sqref="D1:D1899">
      <formula1>"Functional,UI,Smoke,Regression,Integration"</formula1>
    </dataValidation>
    <dataValidation type="list" allowBlank="1" showErrorMessage="1" sqref="H536">
      <formula1>"Pass,Fail,On-hold"</formula1>
    </dataValidation>
  </dataValidations>
  <hyperlinks>
    <hyperlink r:id="rId1" ref="F85"/>
  </hyperlinks>
  <printOptions/>
  <pageMargins bottom="0.75" footer="0.0" header="0.0" left="0.7" right="0.7" top="0.75"/>
  <pageSetup orientation="landscape"/>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8.5"/>
    <col customWidth="1" min="2" max="2" width="34.5"/>
    <col customWidth="1" min="3" max="3" width="112.25"/>
  </cols>
  <sheetData>
    <row r="1">
      <c r="A1" s="486" t="s">
        <v>13659</v>
      </c>
      <c r="B1" s="487" t="s">
        <v>13660</v>
      </c>
      <c r="C1" s="487" t="s">
        <v>1700</v>
      </c>
      <c r="D1" s="78"/>
      <c r="E1" s="78"/>
      <c r="F1" s="78"/>
      <c r="G1" s="78"/>
      <c r="H1" s="78"/>
      <c r="I1" s="78"/>
      <c r="J1" s="78"/>
      <c r="K1" s="78"/>
      <c r="L1" s="78"/>
      <c r="M1" s="78"/>
      <c r="N1" s="78"/>
      <c r="O1" s="78"/>
      <c r="P1" s="78"/>
      <c r="Q1" s="78"/>
      <c r="R1" s="78"/>
      <c r="S1" s="78"/>
      <c r="T1" s="78"/>
      <c r="U1" s="78"/>
      <c r="V1" s="78"/>
      <c r="W1" s="78"/>
      <c r="X1" s="78"/>
      <c r="Y1" s="78"/>
      <c r="Z1" s="78"/>
    </row>
    <row r="2">
      <c r="A2" s="488" t="s">
        <v>13661</v>
      </c>
      <c r="B2" s="334" t="s">
        <v>13662</v>
      </c>
      <c r="C2" s="334" t="s">
        <v>13663</v>
      </c>
      <c r="D2" s="489"/>
      <c r="E2" s="78"/>
      <c r="F2" s="78"/>
      <c r="G2" s="78"/>
      <c r="H2" s="78"/>
      <c r="I2" s="78"/>
      <c r="J2" s="78"/>
      <c r="K2" s="78"/>
      <c r="L2" s="78"/>
      <c r="M2" s="78"/>
      <c r="N2" s="78"/>
      <c r="O2" s="78"/>
      <c r="P2" s="78"/>
      <c r="Q2" s="78"/>
      <c r="R2" s="78"/>
      <c r="S2" s="78"/>
      <c r="T2" s="78"/>
      <c r="U2" s="78"/>
      <c r="V2" s="78"/>
      <c r="W2" s="78"/>
      <c r="X2" s="78"/>
      <c r="Y2" s="78"/>
      <c r="Z2" s="78"/>
    </row>
    <row r="3">
      <c r="A3" s="108"/>
      <c r="B3" s="490" t="s">
        <v>13664</v>
      </c>
      <c r="C3" s="364" t="s">
        <v>13665</v>
      </c>
      <c r="D3" s="489"/>
      <c r="E3" s="78"/>
      <c r="F3" s="78"/>
      <c r="G3" s="78"/>
      <c r="H3" s="78"/>
      <c r="I3" s="78"/>
      <c r="J3" s="78"/>
      <c r="K3" s="78"/>
      <c r="L3" s="78"/>
      <c r="M3" s="78"/>
      <c r="N3" s="78"/>
      <c r="O3" s="78"/>
      <c r="P3" s="78"/>
      <c r="Q3" s="78"/>
      <c r="R3" s="78"/>
      <c r="S3" s="78"/>
      <c r="T3" s="78"/>
      <c r="U3" s="78"/>
      <c r="V3" s="78"/>
      <c r="W3" s="78"/>
      <c r="X3" s="78"/>
      <c r="Y3" s="78"/>
      <c r="Z3" s="78"/>
    </row>
    <row r="4">
      <c r="A4" s="108"/>
      <c r="B4" s="490" t="s">
        <v>13666</v>
      </c>
      <c r="C4" s="364" t="s">
        <v>13667</v>
      </c>
      <c r="D4" s="489"/>
      <c r="E4" s="78"/>
      <c r="F4" s="78"/>
      <c r="G4" s="78"/>
      <c r="H4" s="78"/>
      <c r="I4" s="78"/>
      <c r="J4" s="78"/>
      <c r="K4" s="78"/>
      <c r="L4" s="78"/>
      <c r="M4" s="78"/>
      <c r="N4" s="78"/>
      <c r="O4" s="78"/>
      <c r="P4" s="78"/>
      <c r="Q4" s="78"/>
      <c r="R4" s="78"/>
      <c r="S4" s="78"/>
      <c r="T4" s="78"/>
      <c r="U4" s="78"/>
      <c r="V4" s="78"/>
      <c r="W4" s="78"/>
      <c r="X4" s="78"/>
      <c r="Y4" s="78"/>
      <c r="Z4" s="78"/>
    </row>
    <row r="5">
      <c r="A5" s="108"/>
      <c r="B5" s="490" t="s">
        <v>13668</v>
      </c>
      <c r="C5" s="364" t="s">
        <v>13669</v>
      </c>
      <c r="D5" s="489"/>
      <c r="E5" s="78"/>
      <c r="F5" s="78"/>
      <c r="G5" s="78"/>
      <c r="H5" s="78"/>
      <c r="I5" s="78"/>
      <c r="J5" s="78"/>
      <c r="K5" s="78"/>
      <c r="L5" s="78"/>
      <c r="M5" s="78"/>
      <c r="N5" s="78"/>
      <c r="O5" s="78"/>
      <c r="P5" s="78"/>
      <c r="Q5" s="78"/>
      <c r="R5" s="78"/>
      <c r="S5" s="78"/>
      <c r="T5" s="78"/>
      <c r="U5" s="78"/>
      <c r="V5" s="78"/>
      <c r="W5" s="78"/>
      <c r="X5" s="78"/>
      <c r="Y5" s="78"/>
      <c r="Z5" s="78"/>
    </row>
    <row r="6">
      <c r="A6" s="108"/>
      <c r="B6" s="334" t="s">
        <v>13670</v>
      </c>
      <c r="C6" s="364" t="s">
        <v>13671</v>
      </c>
      <c r="D6" s="489"/>
      <c r="E6" s="78"/>
      <c r="F6" s="78"/>
      <c r="G6" s="78"/>
      <c r="H6" s="78"/>
      <c r="I6" s="78"/>
      <c r="J6" s="78"/>
      <c r="K6" s="78"/>
      <c r="L6" s="78"/>
      <c r="M6" s="78"/>
      <c r="N6" s="78"/>
      <c r="O6" s="78"/>
      <c r="P6" s="78"/>
      <c r="Q6" s="78"/>
      <c r="R6" s="78"/>
      <c r="S6" s="78"/>
      <c r="T6" s="78"/>
      <c r="U6" s="78"/>
      <c r="V6" s="78"/>
      <c r="W6" s="78"/>
      <c r="X6" s="78"/>
      <c r="Y6" s="78"/>
      <c r="Z6" s="78"/>
    </row>
    <row r="7">
      <c r="A7" s="108"/>
      <c r="B7" s="364" t="s">
        <v>13672</v>
      </c>
      <c r="C7" s="334"/>
      <c r="D7" s="489"/>
      <c r="E7" s="78"/>
      <c r="F7" s="78"/>
      <c r="G7" s="78"/>
      <c r="H7" s="78"/>
      <c r="I7" s="78"/>
      <c r="J7" s="78"/>
      <c r="K7" s="78"/>
      <c r="L7" s="78"/>
      <c r="M7" s="78"/>
      <c r="N7" s="78"/>
      <c r="O7" s="78"/>
      <c r="P7" s="78"/>
      <c r="Q7" s="78"/>
      <c r="R7" s="78"/>
      <c r="S7" s="78"/>
      <c r="T7" s="78"/>
      <c r="U7" s="78"/>
      <c r="V7" s="78"/>
      <c r="W7" s="78"/>
      <c r="X7" s="78"/>
      <c r="Y7" s="78"/>
      <c r="Z7" s="78"/>
    </row>
    <row r="8">
      <c r="A8" s="109"/>
      <c r="B8" s="334" t="s">
        <v>13673</v>
      </c>
      <c r="C8" s="334" t="s">
        <v>13674</v>
      </c>
      <c r="D8" s="489"/>
      <c r="E8" s="78"/>
      <c r="F8" s="78"/>
      <c r="G8" s="78"/>
      <c r="H8" s="78"/>
      <c r="I8" s="78"/>
      <c r="J8" s="78"/>
      <c r="K8" s="78"/>
      <c r="L8" s="78"/>
      <c r="M8" s="78"/>
      <c r="N8" s="78"/>
      <c r="O8" s="78"/>
      <c r="P8" s="78"/>
      <c r="Q8" s="78"/>
      <c r="R8" s="78"/>
      <c r="S8" s="78"/>
      <c r="T8" s="78"/>
      <c r="U8" s="78"/>
      <c r="V8" s="78"/>
      <c r="W8" s="78"/>
      <c r="X8" s="78"/>
      <c r="Y8" s="78"/>
      <c r="Z8" s="78"/>
    </row>
    <row r="9">
      <c r="A9" s="488" t="s">
        <v>13675</v>
      </c>
      <c r="B9" s="334" t="s">
        <v>13676</v>
      </c>
      <c r="C9" s="334" t="s">
        <v>13677</v>
      </c>
      <c r="D9" s="489"/>
      <c r="E9" s="78"/>
      <c r="F9" s="78"/>
      <c r="G9" s="78"/>
      <c r="H9" s="78"/>
      <c r="I9" s="78"/>
      <c r="J9" s="78"/>
      <c r="K9" s="78"/>
      <c r="L9" s="78"/>
      <c r="M9" s="78"/>
      <c r="N9" s="78"/>
      <c r="O9" s="78"/>
      <c r="P9" s="78"/>
      <c r="Q9" s="78"/>
      <c r="R9" s="78"/>
      <c r="S9" s="78"/>
      <c r="T9" s="78"/>
      <c r="U9" s="78"/>
      <c r="V9" s="78"/>
      <c r="W9" s="78"/>
      <c r="X9" s="78"/>
      <c r="Y9" s="78"/>
      <c r="Z9" s="78"/>
    </row>
    <row r="10">
      <c r="A10" s="108"/>
      <c r="B10" s="334" t="s">
        <v>13678</v>
      </c>
      <c r="C10" s="334" t="s">
        <v>13679</v>
      </c>
      <c r="D10" s="489"/>
      <c r="E10" s="78"/>
      <c r="F10" s="78"/>
      <c r="G10" s="78"/>
      <c r="H10" s="78"/>
      <c r="I10" s="78"/>
      <c r="J10" s="78"/>
      <c r="K10" s="78"/>
      <c r="L10" s="78"/>
      <c r="M10" s="78"/>
      <c r="N10" s="78"/>
      <c r="O10" s="78"/>
      <c r="P10" s="78"/>
      <c r="Q10" s="78"/>
      <c r="R10" s="78"/>
      <c r="S10" s="78"/>
      <c r="T10" s="78"/>
      <c r="U10" s="78"/>
      <c r="V10" s="78"/>
      <c r="W10" s="78"/>
      <c r="X10" s="78"/>
      <c r="Y10" s="78"/>
      <c r="Z10" s="78"/>
    </row>
    <row r="11">
      <c r="A11" s="108"/>
      <c r="B11" s="490" t="s">
        <v>13666</v>
      </c>
      <c r="C11" s="334" t="s">
        <v>13680</v>
      </c>
      <c r="D11" s="489"/>
      <c r="E11" s="78"/>
      <c r="F11" s="78"/>
      <c r="G11" s="78"/>
      <c r="H11" s="78"/>
      <c r="I11" s="78"/>
      <c r="J11" s="78"/>
      <c r="K11" s="78"/>
      <c r="L11" s="78"/>
      <c r="M11" s="78"/>
      <c r="N11" s="78"/>
      <c r="O11" s="78"/>
      <c r="P11" s="78"/>
      <c r="Q11" s="78"/>
      <c r="R11" s="78"/>
      <c r="S11" s="78"/>
      <c r="T11" s="78"/>
      <c r="U11" s="78"/>
      <c r="V11" s="78"/>
      <c r="W11" s="78"/>
      <c r="X11" s="78"/>
      <c r="Y11" s="78"/>
      <c r="Z11" s="78"/>
    </row>
    <row r="12">
      <c r="A12" s="108"/>
      <c r="B12" s="491"/>
      <c r="C12" s="364" t="s">
        <v>13681</v>
      </c>
      <c r="D12" s="489"/>
      <c r="E12" s="78"/>
      <c r="F12" s="78"/>
      <c r="G12" s="78"/>
      <c r="H12" s="78"/>
      <c r="I12" s="78"/>
      <c r="J12" s="78"/>
      <c r="K12" s="78"/>
      <c r="L12" s="78"/>
      <c r="M12" s="78"/>
      <c r="N12" s="78"/>
      <c r="O12" s="78"/>
      <c r="P12" s="78"/>
      <c r="Q12" s="78"/>
      <c r="R12" s="78"/>
      <c r="S12" s="78"/>
      <c r="T12" s="78"/>
      <c r="U12" s="78"/>
      <c r="V12" s="78"/>
      <c r="W12" s="78"/>
      <c r="X12" s="78"/>
      <c r="Y12" s="78"/>
      <c r="Z12" s="78"/>
    </row>
    <row r="13">
      <c r="A13" s="108"/>
      <c r="B13" s="334" t="s">
        <v>13682</v>
      </c>
      <c r="C13" s="492" t="s">
        <v>13683</v>
      </c>
      <c r="D13" s="489"/>
      <c r="E13" s="78"/>
      <c r="F13" s="78"/>
      <c r="G13" s="78"/>
      <c r="H13" s="78"/>
      <c r="I13" s="78"/>
      <c r="J13" s="78"/>
      <c r="K13" s="78"/>
      <c r="L13" s="78"/>
      <c r="M13" s="78"/>
      <c r="N13" s="78"/>
      <c r="O13" s="78"/>
      <c r="P13" s="78"/>
      <c r="Q13" s="78"/>
      <c r="R13" s="78"/>
      <c r="S13" s="78"/>
      <c r="T13" s="78"/>
      <c r="U13" s="78"/>
      <c r="V13" s="78"/>
      <c r="W13" s="78"/>
      <c r="X13" s="78"/>
      <c r="Y13" s="78"/>
      <c r="Z13" s="78"/>
    </row>
    <row r="14" ht="98.25" customHeight="1">
      <c r="A14" s="108"/>
      <c r="B14" s="334" t="s">
        <v>13684</v>
      </c>
      <c r="C14" s="364" t="s">
        <v>13685</v>
      </c>
      <c r="D14" s="489"/>
      <c r="E14" s="78"/>
      <c r="F14" s="78"/>
      <c r="G14" s="78"/>
      <c r="H14" s="78"/>
      <c r="I14" s="78"/>
      <c r="J14" s="78"/>
      <c r="K14" s="78"/>
      <c r="L14" s="78"/>
      <c r="M14" s="78"/>
      <c r="N14" s="78"/>
      <c r="O14" s="78"/>
      <c r="P14" s="78"/>
      <c r="Q14" s="78"/>
      <c r="R14" s="78"/>
      <c r="S14" s="78"/>
      <c r="T14" s="78"/>
      <c r="U14" s="78"/>
      <c r="V14" s="78"/>
      <c r="W14" s="78"/>
      <c r="X14" s="78"/>
      <c r="Y14" s="78"/>
      <c r="Z14" s="78"/>
    </row>
    <row r="15">
      <c r="A15" s="108"/>
      <c r="B15" s="334" t="s">
        <v>13686</v>
      </c>
      <c r="C15" s="334" t="s">
        <v>13687</v>
      </c>
      <c r="D15" s="489"/>
      <c r="E15" s="78"/>
      <c r="F15" s="78"/>
      <c r="G15" s="78"/>
      <c r="H15" s="78"/>
      <c r="I15" s="78"/>
      <c r="J15" s="78"/>
      <c r="K15" s="78"/>
      <c r="L15" s="78"/>
      <c r="M15" s="78"/>
      <c r="N15" s="78"/>
      <c r="O15" s="78"/>
      <c r="P15" s="78"/>
      <c r="Q15" s="78"/>
      <c r="R15" s="78"/>
      <c r="S15" s="78"/>
      <c r="T15" s="78"/>
      <c r="U15" s="78"/>
      <c r="V15" s="78"/>
      <c r="W15" s="78"/>
      <c r="X15" s="78"/>
      <c r="Y15" s="78"/>
      <c r="Z15" s="78"/>
    </row>
    <row r="16">
      <c r="A16" s="108"/>
      <c r="B16" s="334" t="s">
        <v>13688</v>
      </c>
      <c r="C16" s="364" t="s">
        <v>13689</v>
      </c>
      <c r="D16" s="489"/>
      <c r="E16" s="78"/>
      <c r="F16" s="78"/>
      <c r="G16" s="78"/>
      <c r="H16" s="78"/>
      <c r="I16" s="78"/>
      <c r="J16" s="78"/>
      <c r="K16" s="78"/>
      <c r="L16" s="78"/>
      <c r="M16" s="78"/>
      <c r="N16" s="78"/>
      <c r="O16" s="78"/>
      <c r="P16" s="78"/>
      <c r="Q16" s="78"/>
      <c r="R16" s="78"/>
      <c r="S16" s="78"/>
      <c r="T16" s="78"/>
      <c r="U16" s="78"/>
      <c r="V16" s="78"/>
      <c r="W16" s="78"/>
      <c r="X16" s="78"/>
      <c r="Y16" s="78"/>
      <c r="Z16" s="78"/>
    </row>
    <row r="17">
      <c r="A17" s="108"/>
      <c r="B17" s="334" t="s">
        <v>13690</v>
      </c>
      <c r="C17" s="493" t="s">
        <v>13691</v>
      </c>
      <c r="D17" s="489"/>
      <c r="E17" s="78"/>
      <c r="F17" s="78"/>
      <c r="G17" s="78"/>
      <c r="H17" s="78"/>
      <c r="I17" s="78"/>
      <c r="J17" s="78"/>
      <c r="K17" s="78"/>
      <c r="L17" s="78"/>
      <c r="M17" s="78"/>
      <c r="N17" s="78"/>
      <c r="O17" s="78"/>
      <c r="P17" s="78"/>
      <c r="Q17" s="78"/>
      <c r="R17" s="78"/>
      <c r="S17" s="78"/>
      <c r="T17" s="78"/>
      <c r="U17" s="78"/>
      <c r="V17" s="78"/>
      <c r="W17" s="78"/>
      <c r="X17" s="78"/>
      <c r="Y17" s="78"/>
      <c r="Z17" s="78"/>
    </row>
    <row r="18">
      <c r="A18" s="108"/>
      <c r="B18" s="334" t="s">
        <v>13692</v>
      </c>
      <c r="C18" s="493" t="s">
        <v>13693</v>
      </c>
      <c r="D18" s="489"/>
      <c r="E18" s="78"/>
      <c r="F18" s="78"/>
      <c r="G18" s="78"/>
      <c r="H18" s="78"/>
      <c r="I18" s="78"/>
      <c r="J18" s="78"/>
      <c r="K18" s="78"/>
      <c r="L18" s="78"/>
      <c r="M18" s="78"/>
      <c r="N18" s="78"/>
      <c r="O18" s="78"/>
      <c r="P18" s="78"/>
      <c r="Q18" s="78"/>
      <c r="R18" s="78"/>
      <c r="S18" s="78"/>
      <c r="T18" s="78"/>
      <c r="U18" s="78"/>
      <c r="V18" s="78"/>
      <c r="W18" s="78"/>
      <c r="X18" s="78"/>
      <c r="Y18" s="78"/>
      <c r="Z18" s="78"/>
    </row>
    <row r="19">
      <c r="A19" s="109"/>
      <c r="B19" s="334" t="s">
        <v>13694</v>
      </c>
      <c r="C19" s="334" t="s">
        <v>13695</v>
      </c>
      <c r="D19" s="489"/>
      <c r="E19" s="78"/>
      <c r="F19" s="78"/>
      <c r="G19" s="78"/>
      <c r="H19" s="78"/>
      <c r="I19" s="78"/>
      <c r="J19" s="78"/>
      <c r="K19" s="78"/>
      <c r="L19" s="78"/>
      <c r="M19" s="78"/>
      <c r="N19" s="78"/>
      <c r="O19" s="78"/>
      <c r="P19" s="78"/>
      <c r="Q19" s="78"/>
      <c r="R19" s="78"/>
      <c r="S19" s="78"/>
      <c r="T19" s="78"/>
      <c r="U19" s="78"/>
      <c r="V19" s="78"/>
      <c r="W19" s="78"/>
      <c r="X19" s="78"/>
      <c r="Y19" s="78"/>
      <c r="Z19" s="78"/>
    </row>
    <row r="20">
      <c r="A20" s="488" t="s">
        <v>13696</v>
      </c>
      <c r="B20" s="334" t="s">
        <v>13697</v>
      </c>
      <c r="C20" s="334" t="s">
        <v>13698</v>
      </c>
      <c r="D20" s="489"/>
      <c r="E20" s="494"/>
      <c r="F20" s="78"/>
      <c r="G20" s="78"/>
      <c r="H20" s="78"/>
      <c r="I20" s="78"/>
      <c r="J20" s="78"/>
      <c r="K20" s="78"/>
      <c r="L20" s="78"/>
      <c r="M20" s="78"/>
      <c r="N20" s="78"/>
      <c r="O20" s="78"/>
      <c r="P20" s="78"/>
      <c r="Q20" s="78"/>
      <c r="R20" s="78"/>
      <c r="S20" s="78"/>
      <c r="T20" s="78"/>
      <c r="U20" s="78"/>
      <c r="V20" s="78"/>
      <c r="W20" s="78"/>
      <c r="X20" s="78"/>
      <c r="Y20" s="78"/>
      <c r="Z20" s="78"/>
    </row>
    <row r="21">
      <c r="A21" s="108"/>
      <c r="B21" s="334" t="s">
        <v>13699</v>
      </c>
      <c r="C21" s="334" t="s">
        <v>13700</v>
      </c>
      <c r="D21" s="489"/>
      <c r="E21" s="78"/>
      <c r="F21" s="78"/>
      <c r="G21" s="78"/>
      <c r="H21" s="78"/>
      <c r="I21" s="78"/>
      <c r="J21" s="78"/>
      <c r="K21" s="78"/>
      <c r="L21" s="78"/>
      <c r="M21" s="78"/>
      <c r="N21" s="78"/>
      <c r="O21" s="78"/>
      <c r="P21" s="78"/>
      <c r="Q21" s="78"/>
      <c r="R21" s="78"/>
      <c r="S21" s="78"/>
      <c r="T21" s="78"/>
      <c r="U21" s="78"/>
      <c r="V21" s="78"/>
      <c r="W21" s="78"/>
      <c r="X21" s="78"/>
      <c r="Y21" s="78"/>
      <c r="Z21" s="78"/>
    </row>
    <row r="22">
      <c r="A22" s="108"/>
      <c r="B22" s="334" t="s">
        <v>13701</v>
      </c>
      <c r="C22" s="334" t="s">
        <v>13702</v>
      </c>
      <c r="D22" s="489"/>
      <c r="E22" s="78"/>
      <c r="F22" s="78"/>
      <c r="G22" s="78"/>
      <c r="H22" s="78"/>
      <c r="I22" s="78"/>
      <c r="J22" s="78"/>
      <c r="K22" s="78"/>
      <c r="L22" s="78"/>
      <c r="M22" s="78"/>
      <c r="N22" s="78"/>
      <c r="O22" s="78"/>
      <c r="P22" s="78"/>
      <c r="Q22" s="78"/>
      <c r="R22" s="78"/>
      <c r="S22" s="78"/>
      <c r="T22" s="78"/>
      <c r="U22" s="78"/>
      <c r="V22" s="78"/>
      <c r="W22" s="78"/>
      <c r="X22" s="78"/>
      <c r="Y22" s="78"/>
      <c r="Z22" s="78"/>
    </row>
    <row r="23">
      <c r="A23" s="108"/>
      <c r="B23" s="334" t="s">
        <v>13703</v>
      </c>
      <c r="C23" s="334" t="s">
        <v>13704</v>
      </c>
      <c r="D23" s="489"/>
      <c r="E23" s="78"/>
      <c r="F23" s="78"/>
      <c r="G23" s="78"/>
      <c r="H23" s="78"/>
      <c r="I23" s="78"/>
      <c r="J23" s="78"/>
      <c r="K23" s="78"/>
      <c r="L23" s="78"/>
      <c r="M23" s="78"/>
      <c r="N23" s="78"/>
      <c r="O23" s="78"/>
      <c r="P23" s="78"/>
      <c r="Q23" s="78"/>
      <c r="R23" s="78"/>
      <c r="S23" s="78"/>
      <c r="T23" s="78"/>
      <c r="U23" s="78"/>
      <c r="V23" s="78"/>
      <c r="W23" s="78"/>
      <c r="X23" s="78"/>
      <c r="Y23" s="78"/>
      <c r="Z23" s="78"/>
    </row>
    <row r="24">
      <c r="A24" s="108"/>
      <c r="B24" s="334" t="s">
        <v>13705</v>
      </c>
      <c r="C24" s="334" t="s">
        <v>13706</v>
      </c>
      <c r="D24" s="489"/>
      <c r="E24" s="489"/>
      <c r="F24" s="78"/>
      <c r="G24" s="78"/>
      <c r="H24" s="78"/>
      <c r="I24" s="78"/>
      <c r="J24" s="78"/>
      <c r="K24" s="78"/>
      <c r="L24" s="78"/>
      <c r="M24" s="78"/>
      <c r="N24" s="78"/>
      <c r="O24" s="78"/>
      <c r="P24" s="78"/>
      <c r="Q24" s="78"/>
      <c r="R24" s="78"/>
      <c r="S24" s="78"/>
      <c r="T24" s="78"/>
      <c r="U24" s="78"/>
      <c r="V24" s="78"/>
      <c r="W24" s="78"/>
      <c r="X24" s="78"/>
      <c r="Y24" s="78"/>
      <c r="Z24" s="78"/>
    </row>
    <row r="25">
      <c r="A25" s="108"/>
      <c r="B25" s="334" t="s">
        <v>13707</v>
      </c>
      <c r="C25" s="334" t="s">
        <v>13708</v>
      </c>
      <c r="D25" s="489"/>
      <c r="E25" s="78"/>
      <c r="F25" s="78"/>
      <c r="G25" s="78"/>
      <c r="H25" s="78"/>
      <c r="I25" s="78"/>
      <c r="J25" s="78"/>
      <c r="K25" s="78"/>
      <c r="L25" s="78"/>
      <c r="M25" s="78"/>
      <c r="N25" s="78"/>
      <c r="O25" s="78"/>
      <c r="P25" s="78"/>
      <c r="Q25" s="78"/>
      <c r="R25" s="78"/>
      <c r="S25" s="78"/>
      <c r="T25" s="78"/>
      <c r="U25" s="78"/>
      <c r="V25" s="78"/>
      <c r="W25" s="78"/>
      <c r="X25" s="78"/>
      <c r="Y25" s="78"/>
      <c r="Z25" s="78"/>
    </row>
    <row r="26">
      <c r="A26" s="108"/>
      <c r="B26" s="334" t="s">
        <v>13709</v>
      </c>
      <c r="C26" s="334" t="s">
        <v>13710</v>
      </c>
      <c r="D26" s="489"/>
      <c r="E26" s="78"/>
      <c r="F26" s="78"/>
      <c r="G26" s="78"/>
      <c r="H26" s="78"/>
      <c r="I26" s="78"/>
      <c r="J26" s="78"/>
      <c r="K26" s="78"/>
      <c r="L26" s="78"/>
      <c r="M26" s="78"/>
      <c r="N26" s="78"/>
      <c r="O26" s="78"/>
      <c r="P26" s="78"/>
      <c r="Q26" s="78"/>
      <c r="R26" s="78"/>
      <c r="S26" s="78"/>
      <c r="T26" s="78"/>
      <c r="U26" s="78"/>
      <c r="V26" s="78"/>
      <c r="W26" s="78"/>
      <c r="X26" s="78"/>
      <c r="Y26" s="78"/>
      <c r="Z26" s="78"/>
    </row>
    <row r="27" ht="47.25" customHeight="1">
      <c r="A27" s="109"/>
      <c r="B27" s="334" t="s">
        <v>13711</v>
      </c>
      <c r="C27" s="334" t="s">
        <v>13712</v>
      </c>
      <c r="D27" s="489"/>
      <c r="E27" s="78"/>
      <c r="F27" s="78"/>
      <c r="G27" s="78"/>
      <c r="H27" s="78"/>
      <c r="I27" s="78"/>
      <c r="J27" s="78"/>
      <c r="K27" s="78"/>
      <c r="L27" s="78"/>
      <c r="M27" s="78"/>
      <c r="N27" s="78"/>
      <c r="O27" s="78"/>
      <c r="P27" s="78"/>
      <c r="Q27" s="78"/>
      <c r="R27" s="78"/>
      <c r="S27" s="78"/>
      <c r="T27" s="78"/>
      <c r="U27" s="78"/>
      <c r="V27" s="78"/>
      <c r="W27" s="78"/>
      <c r="X27" s="78"/>
      <c r="Y27" s="78"/>
      <c r="Z27" s="78"/>
    </row>
    <row r="28">
      <c r="A28" s="488" t="s">
        <v>13713</v>
      </c>
      <c r="B28" s="334" t="s">
        <v>13714</v>
      </c>
      <c r="C28" s="334" t="s">
        <v>13715</v>
      </c>
      <c r="D28" s="489"/>
      <c r="E28" s="78"/>
      <c r="F28" s="78"/>
      <c r="G28" s="78"/>
      <c r="H28" s="78"/>
      <c r="I28" s="78"/>
      <c r="J28" s="78"/>
      <c r="K28" s="78"/>
      <c r="L28" s="78"/>
      <c r="M28" s="78"/>
      <c r="N28" s="78"/>
      <c r="O28" s="78"/>
      <c r="P28" s="78"/>
      <c r="Q28" s="78"/>
      <c r="R28" s="78"/>
      <c r="S28" s="78"/>
      <c r="T28" s="78"/>
      <c r="U28" s="78"/>
      <c r="V28" s="78"/>
      <c r="W28" s="78"/>
      <c r="X28" s="78"/>
      <c r="Y28" s="78"/>
      <c r="Z28" s="78"/>
    </row>
    <row r="29">
      <c r="A29" s="109"/>
      <c r="B29" s="334" t="s">
        <v>13716</v>
      </c>
      <c r="C29" s="334" t="s">
        <v>13717</v>
      </c>
      <c r="D29" s="489"/>
      <c r="E29" s="78"/>
      <c r="F29" s="78"/>
      <c r="G29" s="78"/>
      <c r="H29" s="78"/>
      <c r="I29" s="78"/>
      <c r="J29" s="78"/>
      <c r="K29" s="78"/>
      <c r="L29" s="78"/>
      <c r="M29" s="78"/>
      <c r="N29" s="78"/>
      <c r="O29" s="78"/>
      <c r="P29" s="78"/>
      <c r="Q29" s="78"/>
      <c r="R29" s="78"/>
      <c r="S29" s="78"/>
      <c r="T29" s="78"/>
      <c r="U29" s="78"/>
      <c r="V29" s="78"/>
      <c r="W29" s="78"/>
      <c r="X29" s="78"/>
      <c r="Y29" s="78"/>
      <c r="Z29" s="78"/>
    </row>
    <row r="30">
      <c r="A30" s="334" t="s">
        <v>13718</v>
      </c>
      <c r="B30" s="334" t="s">
        <v>13718</v>
      </c>
      <c r="C30" s="334" t="s">
        <v>13719</v>
      </c>
      <c r="D30" s="489"/>
      <c r="E30" s="78"/>
      <c r="F30" s="78"/>
      <c r="G30" s="78"/>
      <c r="H30" s="78"/>
      <c r="I30" s="78"/>
      <c r="J30" s="78"/>
      <c r="K30" s="78"/>
      <c r="L30" s="78"/>
      <c r="M30" s="78"/>
      <c r="N30" s="78"/>
      <c r="O30" s="78"/>
      <c r="P30" s="78"/>
      <c r="Q30" s="78"/>
      <c r="R30" s="78"/>
      <c r="S30" s="78"/>
      <c r="T30" s="78"/>
      <c r="U30" s="78"/>
      <c r="V30" s="78"/>
      <c r="W30" s="78"/>
      <c r="X30" s="78"/>
      <c r="Y30" s="78"/>
      <c r="Z30" s="78"/>
    </row>
    <row r="31">
      <c r="A31" s="334" t="s">
        <v>13720</v>
      </c>
      <c r="B31" s="334"/>
      <c r="C31" s="334" t="s">
        <v>13721</v>
      </c>
      <c r="D31" s="489"/>
      <c r="E31" s="78"/>
      <c r="F31" s="78"/>
      <c r="G31" s="78"/>
      <c r="H31" s="78"/>
      <c r="I31" s="78"/>
      <c r="J31" s="78"/>
      <c r="K31" s="78"/>
      <c r="L31" s="78"/>
      <c r="M31" s="78"/>
      <c r="N31" s="78"/>
      <c r="O31" s="78"/>
      <c r="P31" s="78"/>
      <c r="Q31" s="78"/>
      <c r="R31" s="78"/>
      <c r="S31" s="78"/>
      <c r="T31" s="78"/>
      <c r="U31" s="78"/>
      <c r="V31" s="78"/>
      <c r="W31" s="78"/>
      <c r="X31" s="78"/>
      <c r="Y31" s="78"/>
      <c r="Z31" s="78"/>
    </row>
    <row r="32">
      <c r="A32" s="488" t="s">
        <v>13722</v>
      </c>
      <c r="B32" s="334" t="s">
        <v>13723</v>
      </c>
      <c r="C32" s="334" t="s">
        <v>13724</v>
      </c>
      <c r="D32" s="489"/>
      <c r="E32" s="78"/>
      <c r="F32" s="78"/>
      <c r="G32" s="78"/>
      <c r="H32" s="78"/>
      <c r="I32" s="78"/>
      <c r="J32" s="78"/>
      <c r="K32" s="78"/>
      <c r="L32" s="78"/>
      <c r="M32" s="78"/>
      <c r="N32" s="78"/>
      <c r="O32" s="78"/>
      <c r="P32" s="78"/>
      <c r="Q32" s="78"/>
      <c r="R32" s="78"/>
      <c r="S32" s="78"/>
      <c r="T32" s="78"/>
      <c r="U32" s="78"/>
      <c r="V32" s="78"/>
      <c r="W32" s="78"/>
      <c r="X32" s="78"/>
      <c r="Y32" s="78"/>
      <c r="Z32" s="78"/>
    </row>
    <row r="33">
      <c r="A33" s="108"/>
      <c r="B33" s="334" t="s">
        <v>13725</v>
      </c>
      <c r="C33" s="334" t="s">
        <v>13726</v>
      </c>
      <c r="D33" s="489"/>
      <c r="E33" s="78"/>
      <c r="F33" s="78"/>
      <c r="G33" s="78"/>
      <c r="H33" s="78"/>
      <c r="I33" s="78"/>
      <c r="J33" s="78"/>
      <c r="K33" s="78"/>
      <c r="L33" s="78"/>
      <c r="M33" s="78"/>
      <c r="N33" s="78"/>
      <c r="O33" s="78"/>
      <c r="P33" s="78"/>
      <c r="Q33" s="78"/>
      <c r="R33" s="78"/>
      <c r="S33" s="78"/>
      <c r="T33" s="78"/>
      <c r="U33" s="78"/>
      <c r="V33" s="78"/>
      <c r="W33" s="78"/>
      <c r="X33" s="78"/>
      <c r="Y33" s="78"/>
      <c r="Z33" s="78"/>
    </row>
    <row r="34">
      <c r="A34" s="108"/>
      <c r="B34" s="334" t="s">
        <v>12215</v>
      </c>
      <c r="C34" s="334" t="s">
        <v>13727</v>
      </c>
      <c r="D34" s="489"/>
      <c r="E34" s="78"/>
      <c r="F34" s="78"/>
      <c r="G34" s="78"/>
      <c r="H34" s="78"/>
      <c r="I34" s="78"/>
      <c r="J34" s="78"/>
      <c r="K34" s="78"/>
      <c r="L34" s="78"/>
      <c r="M34" s="78"/>
      <c r="N34" s="78"/>
      <c r="O34" s="78"/>
      <c r="P34" s="78"/>
      <c r="Q34" s="78"/>
      <c r="R34" s="78"/>
      <c r="S34" s="78"/>
      <c r="T34" s="78"/>
      <c r="U34" s="78"/>
      <c r="V34" s="78"/>
      <c r="W34" s="78"/>
      <c r="X34" s="78"/>
      <c r="Y34" s="78"/>
      <c r="Z34" s="78"/>
    </row>
    <row r="35">
      <c r="A35" s="108"/>
      <c r="B35" s="334" t="s">
        <v>13728</v>
      </c>
      <c r="C35" s="334" t="s">
        <v>13729</v>
      </c>
      <c r="D35" s="489"/>
      <c r="E35" s="78"/>
      <c r="F35" s="78"/>
      <c r="G35" s="78"/>
      <c r="H35" s="78"/>
      <c r="I35" s="78"/>
      <c r="J35" s="78"/>
      <c r="K35" s="78"/>
      <c r="L35" s="78"/>
      <c r="M35" s="78"/>
      <c r="N35" s="78"/>
      <c r="O35" s="78"/>
      <c r="P35" s="78"/>
      <c r="Q35" s="78"/>
      <c r="R35" s="78"/>
      <c r="S35" s="78"/>
      <c r="T35" s="78"/>
      <c r="U35" s="78"/>
      <c r="V35" s="78"/>
      <c r="W35" s="78"/>
      <c r="X35" s="78"/>
      <c r="Y35" s="78"/>
      <c r="Z35" s="78"/>
    </row>
    <row r="36">
      <c r="A36" s="109"/>
      <c r="B36" s="334" t="s">
        <v>13673</v>
      </c>
      <c r="C36" s="334" t="s">
        <v>13730</v>
      </c>
      <c r="D36" s="489"/>
      <c r="E36" s="78"/>
      <c r="F36" s="78"/>
      <c r="G36" s="78"/>
      <c r="H36" s="78"/>
      <c r="I36" s="78"/>
      <c r="J36" s="78"/>
      <c r="K36" s="78"/>
      <c r="L36" s="78"/>
      <c r="M36" s="78"/>
      <c r="N36" s="78"/>
      <c r="O36" s="78"/>
      <c r="P36" s="78"/>
      <c r="Q36" s="78"/>
      <c r="R36" s="78"/>
      <c r="S36" s="78"/>
      <c r="T36" s="78"/>
      <c r="U36" s="78"/>
      <c r="V36" s="78"/>
      <c r="W36" s="78"/>
      <c r="X36" s="78"/>
      <c r="Y36" s="78"/>
      <c r="Z36" s="78"/>
    </row>
    <row r="37">
      <c r="A37" s="488" t="s">
        <v>13731</v>
      </c>
      <c r="B37" s="334" t="s">
        <v>13732</v>
      </c>
      <c r="C37" s="334" t="s">
        <v>13733</v>
      </c>
      <c r="D37" s="489"/>
      <c r="E37" s="78"/>
      <c r="F37" s="78"/>
      <c r="G37" s="78"/>
      <c r="H37" s="78"/>
      <c r="I37" s="78"/>
      <c r="J37" s="78"/>
      <c r="K37" s="78"/>
      <c r="L37" s="78"/>
      <c r="M37" s="78"/>
      <c r="N37" s="78"/>
      <c r="O37" s="78"/>
      <c r="P37" s="78"/>
      <c r="Q37" s="78"/>
      <c r="R37" s="78"/>
      <c r="S37" s="78"/>
      <c r="T37" s="78"/>
      <c r="U37" s="78"/>
      <c r="V37" s="78"/>
      <c r="W37" s="78"/>
      <c r="X37" s="78"/>
      <c r="Y37" s="78"/>
      <c r="Z37" s="78"/>
    </row>
    <row r="38">
      <c r="A38" s="109"/>
      <c r="B38" s="334" t="s">
        <v>13734</v>
      </c>
      <c r="C38" s="334" t="s">
        <v>13735</v>
      </c>
      <c r="D38" s="489"/>
      <c r="E38" s="78"/>
      <c r="F38" s="78"/>
      <c r="G38" s="78"/>
      <c r="H38" s="78"/>
      <c r="I38" s="78"/>
      <c r="J38" s="78"/>
      <c r="K38" s="78"/>
      <c r="L38" s="78"/>
      <c r="M38" s="78"/>
      <c r="N38" s="78"/>
      <c r="O38" s="78"/>
      <c r="P38" s="78"/>
      <c r="Q38" s="78"/>
      <c r="R38" s="78"/>
      <c r="S38" s="78"/>
      <c r="T38" s="78"/>
      <c r="U38" s="78"/>
      <c r="V38" s="78"/>
      <c r="W38" s="78"/>
      <c r="X38" s="78"/>
      <c r="Y38" s="78"/>
      <c r="Z38" s="78"/>
    </row>
    <row r="39">
      <c r="A39" s="334" t="s">
        <v>266</v>
      </c>
      <c r="B39" s="491"/>
      <c r="C39" s="334" t="s">
        <v>13736</v>
      </c>
      <c r="D39" s="78"/>
      <c r="E39" s="78"/>
      <c r="F39" s="78"/>
      <c r="G39" s="78"/>
      <c r="H39" s="78"/>
      <c r="I39" s="78"/>
      <c r="J39" s="78"/>
      <c r="K39" s="78"/>
      <c r="L39" s="78"/>
      <c r="M39" s="78"/>
      <c r="N39" s="78"/>
      <c r="O39" s="78"/>
      <c r="P39" s="78"/>
      <c r="Q39" s="78"/>
      <c r="R39" s="78"/>
      <c r="S39" s="78"/>
      <c r="T39" s="78"/>
      <c r="U39" s="78"/>
      <c r="V39" s="78"/>
      <c r="W39" s="78"/>
      <c r="X39" s="78"/>
      <c r="Y39" s="78"/>
      <c r="Z39" s="78"/>
    </row>
    <row r="40">
      <c r="A40" s="488" t="s">
        <v>13737</v>
      </c>
      <c r="B40" s="334" t="s">
        <v>13738</v>
      </c>
      <c r="C40" s="334" t="s">
        <v>13739</v>
      </c>
      <c r="D40" s="489"/>
      <c r="E40" s="78"/>
      <c r="F40" s="78"/>
      <c r="G40" s="78"/>
      <c r="H40" s="78"/>
      <c r="I40" s="78"/>
      <c r="J40" s="78"/>
      <c r="K40" s="78"/>
      <c r="L40" s="78"/>
      <c r="M40" s="78"/>
      <c r="N40" s="78"/>
      <c r="O40" s="78"/>
      <c r="P40" s="78"/>
      <c r="Q40" s="78"/>
      <c r="R40" s="78"/>
      <c r="S40" s="78"/>
      <c r="T40" s="78"/>
      <c r="U40" s="78"/>
      <c r="V40" s="78"/>
      <c r="W40" s="78"/>
      <c r="X40" s="78"/>
      <c r="Y40" s="78"/>
      <c r="Z40" s="78"/>
    </row>
    <row r="41">
      <c r="A41" s="109"/>
      <c r="B41" s="334" t="s">
        <v>13740</v>
      </c>
      <c r="C41" s="334" t="s">
        <v>13741</v>
      </c>
      <c r="D41" s="489"/>
      <c r="E41" s="78"/>
      <c r="F41" s="78"/>
      <c r="G41" s="78"/>
      <c r="H41" s="78"/>
      <c r="I41" s="78"/>
      <c r="J41" s="78"/>
      <c r="K41" s="78"/>
      <c r="L41" s="78"/>
      <c r="M41" s="78"/>
      <c r="N41" s="78"/>
      <c r="O41" s="78"/>
      <c r="P41" s="78"/>
      <c r="Q41" s="78"/>
      <c r="R41" s="78"/>
      <c r="S41" s="78"/>
      <c r="T41" s="78"/>
      <c r="U41" s="78"/>
      <c r="V41" s="78"/>
      <c r="W41" s="78"/>
      <c r="X41" s="78"/>
      <c r="Y41" s="78"/>
      <c r="Z41" s="78"/>
    </row>
    <row r="42">
      <c r="A42" s="495"/>
      <c r="B42" s="495"/>
      <c r="C42" s="495"/>
      <c r="D42" s="78"/>
      <c r="E42" s="78"/>
      <c r="F42" s="78"/>
      <c r="G42" s="78"/>
      <c r="H42" s="78"/>
      <c r="I42" s="78"/>
      <c r="J42" s="78"/>
      <c r="K42" s="78"/>
      <c r="L42" s="78"/>
      <c r="M42" s="78"/>
      <c r="N42" s="78"/>
      <c r="O42" s="78"/>
      <c r="P42" s="78"/>
      <c r="Q42" s="78"/>
      <c r="R42" s="78"/>
      <c r="S42" s="78"/>
      <c r="T42" s="78"/>
      <c r="U42" s="78"/>
      <c r="V42" s="78"/>
      <c r="W42" s="78"/>
      <c r="X42" s="78"/>
      <c r="Y42" s="78"/>
      <c r="Z42" s="78"/>
    </row>
    <row r="43">
      <c r="A43" s="495"/>
      <c r="B43" s="495"/>
      <c r="C43" s="495"/>
      <c r="D43" s="78"/>
      <c r="E43" s="78"/>
      <c r="F43" s="78"/>
      <c r="G43" s="78"/>
      <c r="H43" s="78"/>
      <c r="I43" s="78"/>
      <c r="J43" s="78"/>
      <c r="K43" s="78"/>
      <c r="L43" s="78"/>
      <c r="M43" s="78"/>
      <c r="N43" s="78"/>
      <c r="O43" s="78"/>
      <c r="P43" s="78"/>
      <c r="Q43" s="78"/>
      <c r="R43" s="78"/>
      <c r="S43" s="78"/>
      <c r="T43" s="78"/>
      <c r="U43" s="78"/>
      <c r="V43" s="78"/>
      <c r="W43" s="78"/>
      <c r="X43" s="78"/>
      <c r="Y43" s="78"/>
      <c r="Z43" s="78"/>
    </row>
    <row r="44">
      <c r="A44" s="495"/>
      <c r="B44" s="495"/>
      <c r="C44" s="495"/>
      <c r="D44" s="78"/>
      <c r="E44" s="78"/>
      <c r="F44" s="78"/>
      <c r="G44" s="78"/>
      <c r="H44" s="78"/>
      <c r="I44" s="78"/>
      <c r="J44" s="78"/>
      <c r="K44" s="78"/>
      <c r="L44" s="78"/>
      <c r="M44" s="78"/>
      <c r="N44" s="78"/>
      <c r="O44" s="78"/>
      <c r="P44" s="78"/>
      <c r="Q44" s="78"/>
      <c r="R44" s="78"/>
      <c r="S44" s="78"/>
      <c r="T44" s="78"/>
      <c r="U44" s="78"/>
      <c r="V44" s="78"/>
      <c r="W44" s="78"/>
      <c r="X44" s="78"/>
      <c r="Y44" s="78"/>
      <c r="Z44" s="78"/>
    </row>
    <row r="45">
      <c r="A45" s="495"/>
      <c r="B45" s="495"/>
      <c r="C45" s="495"/>
      <c r="D45" s="78"/>
      <c r="E45" s="78"/>
      <c r="F45" s="78"/>
      <c r="G45" s="78"/>
      <c r="H45" s="78"/>
      <c r="I45" s="78"/>
      <c r="J45" s="78"/>
      <c r="K45" s="78"/>
      <c r="L45" s="78"/>
      <c r="M45" s="78"/>
      <c r="N45" s="78"/>
      <c r="O45" s="78"/>
      <c r="P45" s="78"/>
      <c r="Q45" s="78"/>
      <c r="R45" s="78"/>
      <c r="S45" s="78"/>
      <c r="T45" s="78"/>
      <c r="U45" s="78"/>
      <c r="V45" s="78"/>
      <c r="W45" s="78"/>
      <c r="X45" s="78"/>
      <c r="Y45" s="78"/>
      <c r="Z45" s="78"/>
    </row>
    <row r="46">
      <c r="A46" s="495"/>
      <c r="B46" s="495"/>
      <c r="C46" s="495"/>
      <c r="D46" s="78"/>
      <c r="E46" s="78"/>
      <c r="F46" s="78"/>
      <c r="G46" s="78"/>
      <c r="H46" s="78"/>
      <c r="I46" s="78"/>
      <c r="J46" s="78"/>
      <c r="K46" s="78"/>
      <c r="L46" s="78"/>
      <c r="M46" s="78"/>
      <c r="N46" s="78"/>
      <c r="O46" s="78"/>
      <c r="P46" s="78"/>
      <c r="Q46" s="78"/>
      <c r="R46" s="78"/>
      <c r="S46" s="78"/>
      <c r="T46" s="78"/>
      <c r="U46" s="78"/>
      <c r="V46" s="78"/>
      <c r="W46" s="78"/>
      <c r="X46" s="78"/>
      <c r="Y46" s="78"/>
      <c r="Z46" s="78"/>
    </row>
    <row r="47">
      <c r="A47" s="495"/>
      <c r="B47" s="495"/>
      <c r="C47" s="495"/>
      <c r="D47" s="78"/>
      <c r="E47" s="78"/>
      <c r="F47" s="78"/>
      <c r="G47" s="78"/>
      <c r="H47" s="78"/>
      <c r="I47" s="78"/>
      <c r="J47" s="78"/>
      <c r="K47" s="78"/>
      <c r="L47" s="78"/>
      <c r="M47" s="78"/>
      <c r="N47" s="78"/>
      <c r="O47" s="78"/>
      <c r="P47" s="78"/>
      <c r="Q47" s="78"/>
      <c r="R47" s="78"/>
      <c r="S47" s="78"/>
      <c r="T47" s="78"/>
      <c r="U47" s="78"/>
      <c r="V47" s="78"/>
      <c r="W47" s="78"/>
      <c r="X47" s="78"/>
      <c r="Y47" s="78"/>
      <c r="Z47" s="78"/>
    </row>
    <row r="48">
      <c r="A48" s="495"/>
      <c r="B48" s="495"/>
      <c r="C48" s="495"/>
      <c r="D48" s="78"/>
      <c r="E48" s="78"/>
      <c r="F48" s="78"/>
      <c r="G48" s="78"/>
      <c r="H48" s="78"/>
      <c r="I48" s="78"/>
      <c r="J48" s="78"/>
      <c r="K48" s="78"/>
      <c r="L48" s="78"/>
      <c r="M48" s="78"/>
      <c r="N48" s="78"/>
      <c r="O48" s="78"/>
      <c r="P48" s="78"/>
      <c r="Q48" s="78"/>
      <c r="R48" s="78"/>
      <c r="S48" s="78"/>
      <c r="T48" s="78"/>
      <c r="U48" s="78"/>
      <c r="V48" s="78"/>
      <c r="W48" s="78"/>
      <c r="X48" s="78"/>
      <c r="Y48" s="78"/>
      <c r="Z48" s="78"/>
    </row>
    <row r="49">
      <c r="A49" s="495"/>
      <c r="B49" s="495"/>
      <c r="C49" s="495"/>
      <c r="D49" s="78"/>
      <c r="E49" s="78"/>
      <c r="F49" s="78"/>
      <c r="G49" s="78"/>
      <c r="H49" s="78"/>
      <c r="I49" s="78"/>
      <c r="J49" s="78"/>
      <c r="K49" s="78"/>
      <c r="L49" s="78"/>
      <c r="M49" s="78"/>
      <c r="N49" s="78"/>
      <c r="O49" s="78"/>
      <c r="P49" s="78"/>
      <c r="Q49" s="78"/>
      <c r="R49" s="78"/>
      <c r="S49" s="78"/>
      <c r="T49" s="78"/>
      <c r="U49" s="78"/>
      <c r="V49" s="78"/>
      <c r="W49" s="78"/>
      <c r="X49" s="78"/>
      <c r="Y49" s="78"/>
      <c r="Z49" s="78"/>
    </row>
    <row r="50">
      <c r="A50" s="495"/>
      <c r="B50" s="495"/>
      <c r="C50" s="495"/>
      <c r="D50" s="78"/>
      <c r="E50" s="78"/>
      <c r="F50" s="78"/>
      <c r="G50" s="78"/>
      <c r="H50" s="78"/>
      <c r="I50" s="78"/>
      <c r="J50" s="78"/>
      <c r="K50" s="78"/>
      <c r="L50" s="78"/>
      <c r="M50" s="78"/>
      <c r="N50" s="78"/>
      <c r="O50" s="78"/>
      <c r="P50" s="78"/>
      <c r="Q50" s="78"/>
      <c r="R50" s="78"/>
      <c r="S50" s="78"/>
      <c r="T50" s="78"/>
      <c r="U50" s="78"/>
      <c r="V50" s="78"/>
      <c r="W50" s="78"/>
      <c r="X50" s="78"/>
      <c r="Y50" s="78"/>
      <c r="Z50" s="78"/>
    </row>
    <row r="51">
      <c r="A51" s="495"/>
      <c r="B51" s="495"/>
      <c r="C51" s="495"/>
      <c r="D51" s="78"/>
      <c r="E51" s="78"/>
      <c r="F51" s="78"/>
      <c r="G51" s="78"/>
      <c r="H51" s="78"/>
      <c r="I51" s="78"/>
      <c r="J51" s="78"/>
      <c r="K51" s="78"/>
      <c r="L51" s="78"/>
      <c r="M51" s="78"/>
      <c r="N51" s="78"/>
      <c r="O51" s="78"/>
      <c r="P51" s="78"/>
      <c r="Q51" s="78"/>
      <c r="R51" s="78"/>
      <c r="S51" s="78"/>
      <c r="T51" s="78"/>
      <c r="U51" s="78"/>
      <c r="V51" s="78"/>
      <c r="W51" s="78"/>
      <c r="X51" s="78"/>
      <c r="Y51" s="78"/>
      <c r="Z51" s="78"/>
    </row>
    <row r="52">
      <c r="A52" s="495"/>
      <c r="B52" s="495"/>
      <c r="C52" s="495"/>
      <c r="D52" s="78"/>
      <c r="E52" s="78"/>
      <c r="F52" s="78"/>
      <c r="G52" s="78"/>
      <c r="H52" s="78"/>
      <c r="I52" s="78"/>
      <c r="J52" s="78"/>
      <c r="K52" s="78"/>
      <c r="L52" s="78"/>
      <c r="M52" s="78"/>
      <c r="N52" s="78"/>
      <c r="O52" s="78"/>
      <c r="P52" s="78"/>
      <c r="Q52" s="78"/>
      <c r="R52" s="78"/>
      <c r="S52" s="78"/>
      <c r="T52" s="78"/>
      <c r="U52" s="78"/>
      <c r="V52" s="78"/>
      <c r="W52" s="78"/>
      <c r="X52" s="78"/>
      <c r="Y52" s="78"/>
      <c r="Z52" s="78"/>
    </row>
    <row r="53">
      <c r="A53" s="495"/>
      <c r="B53" s="495"/>
      <c r="C53" s="495"/>
      <c r="D53" s="78"/>
      <c r="E53" s="78"/>
      <c r="F53" s="78"/>
      <c r="G53" s="78"/>
      <c r="H53" s="78"/>
      <c r="I53" s="78"/>
      <c r="J53" s="78"/>
      <c r="K53" s="78"/>
      <c r="L53" s="78"/>
      <c r="M53" s="78"/>
      <c r="N53" s="78"/>
      <c r="O53" s="78"/>
      <c r="P53" s="78"/>
      <c r="Q53" s="78"/>
      <c r="R53" s="78"/>
      <c r="S53" s="78"/>
      <c r="T53" s="78"/>
      <c r="U53" s="78"/>
      <c r="V53" s="78"/>
      <c r="W53" s="78"/>
      <c r="X53" s="78"/>
      <c r="Y53" s="78"/>
      <c r="Z53" s="78"/>
    </row>
    <row r="54">
      <c r="A54" s="495"/>
      <c r="B54" s="495"/>
      <c r="C54" s="495"/>
      <c r="D54" s="78"/>
      <c r="E54" s="78"/>
      <c r="F54" s="78"/>
      <c r="G54" s="78"/>
      <c r="H54" s="78"/>
      <c r="I54" s="78"/>
      <c r="J54" s="78"/>
      <c r="K54" s="78"/>
      <c r="L54" s="78"/>
      <c r="M54" s="78"/>
      <c r="N54" s="78"/>
      <c r="O54" s="78"/>
      <c r="P54" s="78"/>
      <c r="Q54" s="78"/>
      <c r="R54" s="78"/>
      <c r="S54" s="78"/>
      <c r="T54" s="78"/>
      <c r="U54" s="78"/>
      <c r="V54" s="78"/>
      <c r="W54" s="78"/>
      <c r="X54" s="78"/>
      <c r="Y54" s="78"/>
      <c r="Z54" s="78"/>
    </row>
    <row r="55">
      <c r="A55" s="495"/>
      <c r="B55" s="495"/>
      <c r="C55" s="495"/>
      <c r="D55" s="78"/>
      <c r="E55" s="78"/>
      <c r="F55" s="78"/>
      <c r="G55" s="78"/>
      <c r="H55" s="78"/>
      <c r="I55" s="78"/>
      <c r="J55" s="78"/>
      <c r="K55" s="78"/>
      <c r="L55" s="78"/>
      <c r="M55" s="78"/>
      <c r="N55" s="78"/>
      <c r="O55" s="78"/>
      <c r="P55" s="78"/>
      <c r="Q55" s="78"/>
      <c r="R55" s="78"/>
      <c r="S55" s="78"/>
      <c r="T55" s="78"/>
      <c r="U55" s="78"/>
      <c r="V55" s="78"/>
      <c r="W55" s="78"/>
      <c r="X55" s="78"/>
      <c r="Y55" s="78"/>
      <c r="Z55" s="78"/>
    </row>
    <row r="56">
      <c r="A56" s="495"/>
      <c r="B56" s="495"/>
      <c r="C56" s="495"/>
      <c r="D56" s="78"/>
      <c r="E56" s="78"/>
      <c r="F56" s="78"/>
      <c r="G56" s="78"/>
      <c r="H56" s="78"/>
      <c r="I56" s="78"/>
      <c r="J56" s="78"/>
      <c r="K56" s="78"/>
      <c r="L56" s="78"/>
      <c r="M56" s="78"/>
      <c r="N56" s="78"/>
      <c r="O56" s="78"/>
      <c r="P56" s="78"/>
      <c r="Q56" s="78"/>
      <c r="R56" s="78"/>
      <c r="S56" s="78"/>
      <c r="T56" s="78"/>
      <c r="U56" s="78"/>
      <c r="V56" s="78"/>
      <c r="W56" s="78"/>
      <c r="X56" s="78"/>
      <c r="Y56" s="78"/>
      <c r="Z56" s="78"/>
    </row>
    <row r="57">
      <c r="A57" s="495"/>
      <c r="B57" s="495"/>
      <c r="C57" s="495"/>
      <c r="D57" s="78"/>
      <c r="E57" s="78"/>
      <c r="F57" s="78"/>
      <c r="G57" s="78"/>
      <c r="H57" s="78"/>
      <c r="I57" s="78"/>
      <c r="J57" s="78"/>
      <c r="K57" s="78"/>
      <c r="L57" s="78"/>
      <c r="M57" s="78"/>
      <c r="N57" s="78"/>
      <c r="O57" s="78"/>
      <c r="P57" s="78"/>
      <c r="Q57" s="78"/>
      <c r="R57" s="78"/>
      <c r="S57" s="78"/>
      <c r="T57" s="78"/>
      <c r="U57" s="78"/>
      <c r="V57" s="78"/>
      <c r="W57" s="78"/>
      <c r="X57" s="78"/>
      <c r="Y57" s="78"/>
      <c r="Z57" s="78"/>
    </row>
    <row r="58">
      <c r="A58" s="495"/>
      <c r="B58" s="495"/>
      <c r="C58" s="495"/>
      <c r="D58" s="78"/>
      <c r="E58" s="78"/>
      <c r="F58" s="78"/>
      <c r="G58" s="78"/>
      <c r="H58" s="78"/>
      <c r="I58" s="78"/>
      <c r="J58" s="78"/>
      <c r="K58" s="78"/>
      <c r="L58" s="78"/>
      <c r="M58" s="78"/>
      <c r="N58" s="78"/>
      <c r="O58" s="78"/>
      <c r="P58" s="78"/>
      <c r="Q58" s="78"/>
      <c r="R58" s="78"/>
      <c r="S58" s="78"/>
      <c r="T58" s="78"/>
      <c r="U58" s="78"/>
      <c r="V58" s="78"/>
      <c r="W58" s="78"/>
      <c r="X58" s="78"/>
      <c r="Y58" s="78"/>
      <c r="Z58" s="78"/>
    </row>
    <row r="59">
      <c r="A59" s="495"/>
      <c r="B59" s="495"/>
      <c r="C59" s="495"/>
      <c r="D59" s="78"/>
      <c r="E59" s="78"/>
      <c r="F59" s="78"/>
      <c r="G59" s="78"/>
      <c r="H59" s="78"/>
      <c r="I59" s="78"/>
      <c r="J59" s="78"/>
      <c r="K59" s="78"/>
      <c r="L59" s="78"/>
      <c r="M59" s="78"/>
      <c r="N59" s="78"/>
      <c r="O59" s="78"/>
      <c r="P59" s="78"/>
      <c r="Q59" s="78"/>
      <c r="R59" s="78"/>
      <c r="S59" s="78"/>
      <c r="T59" s="78"/>
      <c r="U59" s="78"/>
      <c r="V59" s="78"/>
      <c r="W59" s="78"/>
      <c r="X59" s="78"/>
      <c r="Y59" s="78"/>
      <c r="Z59" s="78"/>
    </row>
    <row r="60">
      <c r="A60" s="495"/>
      <c r="B60" s="495"/>
      <c r="C60" s="495"/>
      <c r="D60" s="78"/>
      <c r="E60" s="78"/>
      <c r="F60" s="78"/>
      <c r="G60" s="78"/>
      <c r="H60" s="78"/>
      <c r="I60" s="78"/>
      <c r="J60" s="78"/>
      <c r="K60" s="78"/>
      <c r="L60" s="78"/>
      <c r="M60" s="78"/>
      <c r="N60" s="78"/>
      <c r="O60" s="78"/>
      <c r="P60" s="78"/>
      <c r="Q60" s="78"/>
      <c r="R60" s="78"/>
      <c r="S60" s="78"/>
      <c r="T60" s="78"/>
      <c r="U60" s="78"/>
      <c r="V60" s="78"/>
      <c r="W60" s="78"/>
      <c r="X60" s="78"/>
      <c r="Y60" s="78"/>
      <c r="Z60" s="78"/>
    </row>
    <row r="61">
      <c r="A61" s="495"/>
      <c r="B61" s="495"/>
      <c r="C61" s="495"/>
      <c r="D61" s="78"/>
      <c r="E61" s="78"/>
      <c r="F61" s="78"/>
      <c r="G61" s="78"/>
      <c r="H61" s="78"/>
      <c r="I61" s="78"/>
      <c r="J61" s="78"/>
      <c r="K61" s="78"/>
      <c r="L61" s="78"/>
      <c r="M61" s="78"/>
      <c r="N61" s="78"/>
      <c r="O61" s="78"/>
      <c r="P61" s="78"/>
      <c r="Q61" s="78"/>
      <c r="R61" s="78"/>
      <c r="S61" s="78"/>
      <c r="T61" s="78"/>
      <c r="U61" s="78"/>
      <c r="V61" s="78"/>
      <c r="W61" s="78"/>
      <c r="X61" s="78"/>
      <c r="Y61" s="78"/>
      <c r="Z61" s="78"/>
    </row>
    <row r="62">
      <c r="A62" s="495"/>
      <c r="B62" s="495"/>
      <c r="C62" s="495"/>
      <c r="D62" s="78"/>
      <c r="E62" s="78"/>
      <c r="F62" s="78"/>
      <c r="G62" s="78"/>
      <c r="H62" s="78"/>
      <c r="I62" s="78"/>
      <c r="J62" s="78"/>
      <c r="K62" s="78"/>
      <c r="L62" s="78"/>
      <c r="M62" s="78"/>
      <c r="N62" s="78"/>
      <c r="O62" s="78"/>
      <c r="P62" s="78"/>
      <c r="Q62" s="78"/>
      <c r="R62" s="78"/>
      <c r="S62" s="78"/>
      <c r="T62" s="78"/>
      <c r="U62" s="78"/>
      <c r="V62" s="78"/>
      <c r="W62" s="78"/>
      <c r="X62" s="78"/>
      <c r="Y62" s="78"/>
      <c r="Z62" s="78"/>
    </row>
    <row r="63">
      <c r="A63" s="495"/>
      <c r="B63" s="495"/>
      <c r="C63" s="495"/>
      <c r="D63" s="78"/>
      <c r="E63" s="78"/>
      <c r="F63" s="78"/>
      <c r="G63" s="78"/>
      <c r="H63" s="78"/>
      <c r="I63" s="78"/>
      <c r="J63" s="78"/>
      <c r="K63" s="78"/>
      <c r="L63" s="78"/>
      <c r="M63" s="78"/>
      <c r="N63" s="78"/>
      <c r="O63" s="78"/>
      <c r="P63" s="78"/>
      <c r="Q63" s="78"/>
      <c r="R63" s="78"/>
      <c r="S63" s="78"/>
      <c r="T63" s="78"/>
      <c r="U63" s="78"/>
      <c r="V63" s="78"/>
      <c r="W63" s="78"/>
      <c r="X63" s="78"/>
      <c r="Y63" s="78"/>
      <c r="Z63" s="78"/>
    </row>
    <row r="64">
      <c r="A64" s="495"/>
      <c r="B64" s="495"/>
      <c r="C64" s="495"/>
      <c r="D64" s="78"/>
      <c r="E64" s="78"/>
      <c r="F64" s="78"/>
      <c r="G64" s="78"/>
      <c r="H64" s="78"/>
      <c r="I64" s="78"/>
      <c r="J64" s="78"/>
      <c r="K64" s="78"/>
      <c r="L64" s="78"/>
      <c r="M64" s="78"/>
      <c r="N64" s="78"/>
      <c r="O64" s="78"/>
      <c r="P64" s="78"/>
      <c r="Q64" s="78"/>
      <c r="R64" s="78"/>
      <c r="S64" s="78"/>
      <c r="T64" s="78"/>
      <c r="U64" s="78"/>
      <c r="V64" s="78"/>
      <c r="W64" s="78"/>
      <c r="X64" s="78"/>
      <c r="Y64" s="78"/>
      <c r="Z64" s="78"/>
    </row>
    <row r="65">
      <c r="A65" s="495"/>
      <c r="B65" s="495"/>
      <c r="C65" s="495"/>
      <c r="D65" s="78"/>
      <c r="E65" s="78"/>
      <c r="F65" s="78"/>
      <c r="G65" s="78"/>
      <c r="H65" s="78"/>
      <c r="I65" s="78"/>
      <c r="J65" s="78"/>
      <c r="K65" s="78"/>
      <c r="L65" s="78"/>
      <c r="M65" s="78"/>
      <c r="N65" s="78"/>
      <c r="O65" s="78"/>
      <c r="P65" s="78"/>
      <c r="Q65" s="78"/>
      <c r="R65" s="78"/>
      <c r="S65" s="78"/>
      <c r="T65" s="78"/>
      <c r="U65" s="78"/>
      <c r="V65" s="78"/>
      <c r="W65" s="78"/>
      <c r="X65" s="78"/>
      <c r="Y65" s="78"/>
      <c r="Z65" s="78"/>
    </row>
    <row r="66">
      <c r="A66" s="495"/>
      <c r="B66" s="495"/>
      <c r="C66" s="495"/>
      <c r="D66" s="78"/>
      <c r="E66" s="78"/>
      <c r="F66" s="78"/>
      <c r="G66" s="78"/>
      <c r="H66" s="78"/>
      <c r="I66" s="78"/>
      <c r="J66" s="78"/>
      <c r="K66" s="78"/>
      <c r="L66" s="78"/>
      <c r="M66" s="78"/>
      <c r="N66" s="78"/>
      <c r="O66" s="78"/>
      <c r="P66" s="78"/>
      <c r="Q66" s="78"/>
      <c r="R66" s="78"/>
      <c r="S66" s="78"/>
      <c r="T66" s="78"/>
      <c r="U66" s="78"/>
      <c r="V66" s="78"/>
      <c r="W66" s="78"/>
      <c r="X66" s="78"/>
      <c r="Y66" s="78"/>
      <c r="Z66" s="78"/>
    </row>
    <row r="67">
      <c r="A67" s="495"/>
      <c r="B67" s="495"/>
      <c r="C67" s="495"/>
      <c r="D67" s="78"/>
      <c r="E67" s="78"/>
      <c r="F67" s="78"/>
      <c r="G67" s="78"/>
      <c r="H67" s="78"/>
      <c r="I67" s="78"/>
      <c r="J67" s="78"/>
      <c r="K67" s="78"/>
      <c r="L67" s="78"/>
      <c r="M67" s="78"/>
      <c r="N67" s="78"/>
      <c r="O67" s="78"/>
      <c r="P67" s="78"/>
      <c r="Q67" s="78"/>
      <c r="R67" s="78"/>
      <c r="S67" s="78"/>
      <c r="T67" s="78"/>
      <c r="U67" s="78"/>
      <c r="V67" s="78"/>
      <c r="W67" s="78"/>
      <c r="X67" s="78"/>
      <c r="Y67" s="78"/>
      <c r="Z67" s="78"/>
    </row>
    <row r="68">
      <c r="A68" s="495"/>
      <c r="B68" s="495"/>
      <c r="C68" s="495"/>
      <c r="D68" s="78"/>
      <c r="E68" s="78"/>
      <c r="F68" s="78"/>
      <c r="G68" s="78"/>
      <c r="H68" s="78"/>
      <c r="I68" s="78"/>
      <c r="J68" s="78"/>
      <c r="K68" s="78"/>
      <c r="L68" s="78"/>
      <c r="M68" s="78"/>
      <c r="N68" s="78"/>
      <c r="O68" s="78"/>
      <c r="P68" s="78"/>
      <c r="Q68" s="78"/>
      <c r="R68" s="78"/>
      <c r="S68" s="78"/>
      <c r="T68" s="78"/>
      <c r="U68" s="78"/>
      <c r="V68" s="78"/>
      <c r="W68" s="78"/>
      <c r="X68" s="78"/>
      <c r="Y68" s="78"/>
      <c r="Z68" s="78"/>
    </row>
    <row r="69">
      <c r="A69" s="495"/>
      <c r="B69" s="495"/>
      <c r="C69" s="495"/>
      <c r="D69" s="78"/>
      <c r="E69" s="78"/>
      <c r="F69" s="78"/>
      <c r="G69" s="78"/>
      <c r="H69" s="78"/>
      <c r="I69" s="78"/>
      <c r="J69" s="78"/>
      <c r="K69" s="78"/>
      <c r="L69" s="78"/>
      <c r="M69" s="78"/>
      <c r="N69" s="78"/>
      <c r="O69" s="78"/>
      <c r="P69" s="78"/>
      <c r="Q69" s="78"/>
      <c r="R69" s="78"/>
      <c r="S69" s="78"/>
      <c r="T69" s="78"/>
      <c r="U69" s="78"/>
      <c r="V69" s="78"/>
      <c r="W69" s="78"/>
      <c r="X69" s="78"/>
      <c r="Y69" s="78"/>
      <c r="Z69" s="78"/>
    </row>
    <row r="70">
      <c r="A70" s="495"/>
      <c r="B70" s="495"/>
      <c r="C70" s="495"/>
      <c r="D70" s="78"/>
      <c r="E70" s="78"/>
      <c r="F70" s="78"/>
      <c r="G70" s="78"/>
      <c r="H70" s="78"/>
      <c r="I70" s="78"/>
      <c r="J70" s="78"/>
      <c r="K70" s="78"/>
      <c r="L70" s="78"/>
      <c r="M70" s="78"/>
      <c r="N70" s="78"/>
      <c r="O70" s="78"/>
      <c r="P70" s="78"/>
      <c r="Q70" s="78"/>
      <c r="R70" s="78"/>
      <c r="S70" s="78"/>
      <c r="T70" s="78"/>
      <c r="U70" s="78"/>
      <c r="V70" s="78"/>
      <c r="W70" s="78"/>
      <c r="X70" s="78"/>
      <c r="Y70" s="78"/>
      <c r="Z70" s="78"/>
    </row>
    <row r="71">
      <c r="A71" s="495"/>
      <c r="B71" s="495"/>
      <c r="C71" s="495"/>
      <c r="D71" s="78"/>
      <c r="E71" s="78"/>
      <c r="F71" s="78"/>
      <c r="G71" s="78"/>
      <c r="H71" s="78"/>
      <c r="I71" s="78"/>
      <c r="J71" s="78"/>
      <c r="K71" s="78"/>
      <c r="L71" s="78"/>
      <c r="M71" s="78"/>
      <c r="N71" s="78"/>
      <c r="O71" s="78"/>
      <c r="P71" s="78"/>
      <c r="Q71" s="78"/>
      <c r="R71" s="78"/>
      <c r="S71" s="78"/>
      <c r="T71" s="78"/>
      <c r="U71" s="78"/>
      <c r="V71" s="78"/>
      <c r="W71" s="78"/>
      <c r="X71" s="78"/>
      <c r="Y71" s="78"/>
      <c r="Z71" s="78"/>
    </row>
    <row r="72">
      <c r="A72" s="495"/>
      <c r="B72" s="495"/>
      <c r="C72" s="495"/>
      <c r="D72" s="78"/>
      <c r="E72" s="78"/>
      <c r="F72" s="78"/>
      <c r="G72" s="78"/>
      <c r="H72" s="78"/>
      <c r="I72" s="78"/>
      <c r="J72" s="78"/>
      <c r="K72" s="78"/>
      <c r="L72" s="78"/>
      <c r="M72" s="78"/>
      <c r="N72" s="78"/>
      <c r="O72" s="78"/>
      <c r="P72" s="78"/>
      <c r="Q72" s="78"/>
      <c r="R72" s="78"/>
      <c r="S72" s="78"/>
      <c r="T72" s="78"/>
      <c r="U72" s="78"/>
      <c r="V72" s="78"/>
      <c r="W72" s="78"/>
      <c r="X72" s="78"/>
      <c r="Y72" s="78"/>
      <c r="Z72" s="78"/>
    </row>
    <row r="73">
      <c r="A73" s="495"/>
      <c r="B73" s="495"/>
      <c r="C73" s="495"/>
      <c r="D73" s="78"/>
      <c r="E73" s="78"/>
      <c r="F73" s="78"/>
      <c r="G73" s="78"/>
      <c r="H73" s="78"/>
      <c r="I73" s="78"/>
      <c r="J73" s="78"/>
      <c r="K73" s="78"/>
      <c r="L73" s="78"/>
      <c r="M73" s="78"/>
      <c r="N73" s="78"/>
      <c r="O73" s="78"/>
      <c r="P73" s="78"/>
      <c r="Q73" s="78"/>
      <c r="R73" s="78"/>
      <c r="S73" s="78"/>
      <c r="T73" s="78"/>
      <c r="U73" s="78"/>
      <c r="V73" s="78"/>
      <c r="W73" s="78"/>
      <c r="X73" s="78"/>
      <c r="Y73" s="78"/>
      <c r="Z73" s="78"/>
    </row>
    <row r="74">
      <c r="A74" s="495"/>
      <c r="B74" s="495"/>
      <c r="C74" s="495"/>
      <c r="D74" s="78"/>
      <c r="E74" s="78"/>
      <c r="F74" s="78"/>
      <c r="G74" s="78"/>
      <c r="H74" s="78"/>
      <c r="I74" s="78"/>
      <c r="J74" s="78"/>
      <c r="K74" s="78"/>
      <c r="L74" s="78"/>
      <c r="M74" s="78"/>
      <c r="N74" s="78"/>
      <c r="O74" s="78"/>
      <c r="P74" s="78"/>
      <c r="Q74" s="78"/>
      <c r="R74" s="78"/>
      <c r="S74" s="78"/>
      <c r="T74" s="78"/>
      <c r="U74" s="78"/>
      <c r="V74" s="78"/>
      <c r="W74" s="78"/>
      <c r="X74" s="78"/>
      <c r="Y74" s="78"/>
      <c r="Z74" s="78"/>
    </row>
    <row r="75">
      <c r="A75" s="495"/>
      <c r="B75" s="495"/>
      <c r="C75" s="495"/>
      <c r="D75" s="78"/>
      <c r="E75" s="78"/>
      <c r="F75" s="78"/>
      <c r="G75" s="78"/>
      <c r="H75" s="78"/>
      <c r="I75" s="78"/>
      <c r="J75" s="78"/>
      <c r="K75" s="78"/>
      <c r="L75" s="78"/>
      <c r="M75" s="78"/>
      <c r="N75" s="78"/>
      <c r="O75" s="78"/>
      <c r="P75" s="78"/>
      <c r="Q75" s="78"/>
      <c r="R75" s="78"/>
      <c r="S75" s="78"/>
      <c r="T75" s="78"/>
      <c r="U75" s="78"/>
      <c r="V75" s="78"/>
      <c r="W75" s="78"/>
      <c r="X75" s="78"/>
      <c r="Y75" s="78"/>
      <c r="Z75" s="78"/>
    </row>
    <row r="76">
      <c r="A76" s="495"/>
      <c r="B76" s="495"/>
      <c r="C76" s="495"/>
      <c r="D76" s="78"/>
      <c r="E76" s="78"/>
      <c r="F76" s="78"/>
      <c r="G76" s="78"/>
      <c r="H76" s="78"/>
      <c r="I76" s="78"/>
      <c r="J76" s="78"/>
      <c r="K76" s="78"/>
      <c r="L76" s="78"/>
      <c r="M76" s="78"/>
      <c r="N76" s="78"/>
      <c r="O76" s="78"/>
      <c r="P76" s="78"/>
      <c r="Q76" s="78"/>
      <c r="R76" s="78"/>
      <c r="S76" s="78"/>
      <c r="T76" s="78"/>
      <c r="U76" s="78"/>
      <c r="V76" s="78"/>
      <c r="W76" s="78"/>
      <c r="X76" s="78"/>
      <c r="Y76" s="78"/>
      <c r="Z76" s="78"/>
    </row>
    <row r="77">
      <c r="A77" s="495"/>
      <c r="B77" s="495"/>
      <c r="C77" s="495"/>
      <c r="D77" s="78"/>
      <c r="E77" s="78"/>
      <c r="F77" s="78"/>
      <c r="G77" s="78"/>
      <c r="H77" s="78"/>
      <c r="I77" s="78"/>
      <c r="J77" s="78"/>
      <c r="K77" s="78"/>
      <c r="L77" s="78"/>
      <c r="M77" s="78"/>
      <c r="N77" s="78"/>
      <c r="O77" s="78"/>
      <c r="P77" s="78"/>
      <c r="Q77" s="78"/>
      <c r="R77" s="78"/>
      <c r="S77" s="78"/>
      <c r="T77" s="78"/>
      <c r="U77" s="78"/>
      <c r="V77" s="78"/>
      <c r="W77" s="78"/>
      <c r="X77" s="78"/>
      <c r="Y77" s="78"/>
      <c r="Z77" s="78"/>
    </row>
    <row r="78">
      <c r="A78" s="495"/>
      <c r="B78" s="495"/>
      <c r="C78" s="495"/>
      <c r="D78" s="78"/>
      <c r="E78" s="78"/>
      <c r="F78" s="78"/>
      <c r="G78" s="78"/>
      <c r="H78" s="78"/>
      <c r="I78" s="78"/>
      <c r="J78" s="78"/>
      <c r="K78" s="78"/>
      <c r="L78" s="78"/>
      <c r="M78" s="78"/>
      <c r="N78" s="78"/>
      <c r="O78" s="78"/>
      <c r="P78" s="78"/>
      <c r="Q78" s="78"/>
      <c r="R78" s="78"/>
      <c r="S78" s="78"/>
      <c r="T78" s="78"/>
      <c r="U78" s="78"/>
      <c r="V78" s="78"/>
      <c r="W78" s="78"/>
      <c r="X78" s="78"/>
      <c r="Y78" s="78"/>
      <c r="Z78" s="78"/>
    </row>
    <row r="79">
      <c r="A79" s="495"/>
      <c r="B79" s="495"/>
      <c r="C79" s="495"/>
      <c r="D79" s="78"/>
      <c r="E79" s="78"/>
      <c r="F79" s="78"/>
      <c r="G79" s="78"/>
      <c r="H79" s="78"/>
      <c r="I79" s="78"/>
      <c r="J79" s="78"/>
      <c r="K79" s="78"/>
      <c r="L79" s="78"/>
      <c r="M79" s="78"/>
      <c r="N79" s="78"/>
      <c r="O79" s="78"/>
      <c r="P79" s="78"/>
      <c r="Q79" s="78"/>
      <c r="R79" s="78"/>
      <c r="S79" s="78"/>
      <c r="T79" s="78"/>
      <c r="U79" s="78"/>
      <c r="V79" s="78"/>
      <c r="W79" s="78"/>
      <c r="X79" s="78"/>
      <c r="Y79" s="78"/>
      <c r="Z79" s="78"/>
    </row>
    <row r="80">
      <c r="A80" s="495"/>
      <c r="B80" s="495"/>
      <c r="C80" s="495"/>
      <c r="D80" s="78"/>
      <c r="E80" s="78"/>
      <c r="F80" s="78"/>
      <c r="G80" s="78"/>
      <c r="H80" s="78"/>
      <c r="I80" s="78"/>
      <c r="J80" s="78"/>
      <c r="K80" s="78"/>
      <c r="L80" s="78"/>
      <c r="M80" s="78"/>
      <c r="N80" s="78"/>
      <c r="O80" s="78"/>
      <c r="P80" s="78"/>
      <c r="Q80" s="78"/>
      <c r="R80" s="78"/>
      <c r="S80" s="78"/>
      <c r="T80" s="78"/>
      <c r="U80" s="78"/>
      <c r="V80" s="78"/>
      <c r="W80" s="78"/>
      <c r="X80" s="78"/>
      <c r="Y80" s="78"/>
      <c r="Z80" s="78"/>
    </row>
    <row r="81">
      <c r="A81" s="495"/>
      <c r="B81" s="495"/>
      <c r="C81" s="495"/>
      <c r="D81" s="78"/>
      <c r="E81" s="78"/>
      <c r="F81" s="78"/>
      <c r="G81" s="78"/>
      <c r="H81" s="78"/>
      <c r="I81" s="78"/>
      <c r="J81" s="78"/>
      <c r="K81" s="78"/>
      <c r="L81" s="78"/>
      <c r="M81" s="78"/>
      <c r="N81" s="78"/>
      <c r="O81" s="78"/>
      <c r="P81" s="78"/>
      <c r="Q81" s="78"/>
      <c r="R81" s="78"/>
      <c r="S81" s="78"/>
      <c r="T81" s="78"/>
      <c r="U81" s="78"/>
      <c r="V81" s="78"/>
      <c r="W81" s="78"/>
      <c r="X81" s="78"/>
      <c r="Y81" s="78"/>
      <c r="Z81" s="78"/>
    </row>
    <row r="82">
      <c r="A82" s="495"/>
      <c r="B82" s="495"/>
      <c r="C82" s="495"/>
      <c r="D82" s="78"/>
      <c r="E82" s="78"/>
      <c r="F82" s="78"/>
      <c r="G82" s="78"/>
      <c r="H82" s="78"/>
      <c r="I82" s="78"/>
      <c r="J82" s="78"/>
      <c r="K82" s="78"/>
      <c r="L82" s="78"/>
      <c r="M82" s="78"/>
      <c r="N82" s="78"/>
      <c r="O82" s="78"/>
      <c r="P82" s="78"/>
      <c r="Q82" s="78"/>
      <c r="R82" s="78"/>
      <c r="S82" s="78"/>
      <c r="T82" s="78"/>
      <c r="U82" s="78"/>
      <c r="V82" s="78"/>
      <c r="W82" s="78"/>
      <c r="X82" s="78"/>
      <c r="Y82" s="78"/>
      <c r="Z82" s="78"/>
    </row>
    <row r="83">
      <c r="A83" s="495"/>
      <c r="B83" s="495"/>
      <c r="C83" s="495"/>
      <c r="D83" s="78"/>
      <c r="E83" s="78"/>
      <c r="F83" s="78"/>
      <c r="G83" s="78"/>
      <c r="H83" s="78"/>
      <c r="I83" s="78"/>
      <c r="J83" s="78"/>
      <c r="K83" s="78"/>
      <c r="L83" s="78"/>
      <c r="M83" s="78"/>
      <c r="N83" s="78"/>
      <c r="O83" s="78"/>
      <c r="P83" s="78"/>
      <c r="Q83" s="78"/>
      <c r="R83" s="78"/>
      <c r="S83" s="78"/>
      <c r="T83" s="78"/>
      <c r="U83" s="78"/>
      <c r="V83" s="78"/>
      <c r="W83" s="78"/>
      <c r="X83" s="78"/>
      <c r="Y83" s="78"/>
      <c r="Z83" s="78"/>
    </row>
    <row r="84">
      <c r="A84" s="495"/>
      <c r="B84" s="495"/>
      <c r="C84" s="495"/>
      <c r="D84" s="78"/>
      <c r="E84" s="78"/>
      <c r="F84" s="78"/>
      <c r="G84" s="78"/>
      <c r="H84" s="78"/>
      <c r="I84" s="78"/>
      <c r="J84" s="78"/>
      <c r="K84" s="78"/>
      <c r="L84" s="78"/>
      <c r="M84" s="78"/>
      <c r="N84" s="78"/>
      <c r="O84" s="78"/>
      <c r="P84" s="78"/>
      <c r="Q84" s="78"/>
      <c r="R84" s="78"/>
      <c r="S84" s="78"/>
      <c r="T84" s="78"/>
      <c r="U84" s="78"/>
      <c r="V84" s="78"/>
      <c r="W84" s="78"/>
      <c r="X84" s="78"/>
      <c r="Y84" s="78"/>
      <c r="Z84" s="78"/>
    </row>
    <row r="85">
      <c r="A85" s="495"/>
      <c r="B85" s="495"/>
      <c r="C85" s="495"/>
      <c r="D85" s="78"/>
      <c r="E85" s="78"/>
      <c r="F85" s="78"/>
      <c r="G85" s="78"/>
      <c r="H85" s="78"/>
      <c r="I85" s="78"/>
      <c r="J85" s="78"/>
      <c r="K85" s="78"/>
      <c r="L85" s="78"/>
      <c r="M85" s="78"/>
      <c r="N85" s="78"/>
      <c r="O85" s="78"/>
      <c r="P85" s="78"/>
      <c r="Q85" s="78"/>
      <c r="R85" s="78"/>
      <c r="S85" s="78"/>
      <c r="T85" s="78"/>
      <c r="U85" s="78"/>
      <c r="V85" s="78"/>
      <c r="W85" s="78"/>
      <c r="X85" s="78"/>
      <c r="Y85" s="78"/>
      <c r="Z85" s="78"/>
    </row>
    <row r="86">
      <c r="A86" s="495"/>
      <c r="B86" s="495"/>
      <c r="C86" s="495"/>
      <c r="D86" s="78"/>
      <c r="E86" s="78"/>
      <c r="F86" s="78"/>
      <c r="G86" s="78"/>
      <c r="H86" s="78"/>
      <c r="I86" s="78"/>
      <c r="J86" s="78"/>
      <c r="K86" s="78"/>
      <c r="L86" s="78"/>
      <c r="M86" s="78"/>
      <c r="N86" s="78"/>
      <c r="O86" s="78"/>
      <c r="P86" s="78"/>
      <c r="Q86" s="78"/>
      <c r="R86" s="78"/>
      <c r="S86" s="78"/>
      <c r="T86" s="78"/>
      <c r="U86" s="78"/>
      <c r="V86" s="78"/>
      <c r="W86" s="78"/>
      <c r="X86" s="78"/>
      <c r="Y86" s="78"/>
      <c r="Z86" s="78"/>
    </row>
    <row r="87">
      <c r="A87" s="495"/>
      <c r="B87" s="495"/>
      <c r="C87" s="495"/>
      <c r="D87" s="78"/>
      <c r="E87" s="78"/>
      <c r="F87" s="78"/>
      <c r="G87" s="78"/>
      <c r="H87" s="78"/>
      <c r="I87" s="78"/>
      <c r="J87" s="78"/>
      <c r="K87" s="78"/>
      <c r="L87" s="78"/>
      <c r="M87" s="78"/>
      <c r="N87" s="78"/>
      <c r="O87" s="78"/>
      <c r="P87" s="78"/>
      <c r="Q87" s="78"/>
      <c r="R87" s="78"/>
      <c r="S87" s="78"/>
      <c r="T87" s="78"/>
      <c r="U87" s="78"/>
      <c r="V87" s="78"/>
      <c r="W87" s="78"/>
      <c r="X87" s="78"/>
      <c r="Y87" s="78"/>
      <c r="Z87" s="78"/>
    </row>
    <row r="88">
      <c r="A88" s="495"/>
      <c r="B88" s="495"/>
      <c r="C88" s="495"/>
      <c r="D88" s="78"/>
      <c r="E88" s="78"/>
      <c r="F88" s="78"/>
      <c r="G88" s="78"/>
      <c r="H88" s="78"/>
      <c r="I88" s="78"/>
      <c r="J88" s="78"/>
      <c r="K88" s="78"/>
      <c r="L88" s="78"/>
      <c r="M88" s="78"/>
      <c r="N88" s="78"/>
      <c r="O88" s="78"/>
      <c r="P88" s="78"/>
      <c r="Q88" s="78"/>
      <c r="R88" s="78"/>
      <c r="S88" s="78"/>
      <c r="T88" s="78"/>
      <c r="U88" s="78"/>
      <c r="V88" s="78"/>
      <c r="W88" s="78"/>
      <c r="X88" s="78"/>
      <c r="Y88" s="78"/>
      <c r="Z88" s="78"/>
    </row>
    <row r="89">
      <c r="A89" s="495"/>
      <c r="B89" s="495"/>
      <c r="C89" s="495"/>
      <c r="D89" s="78"/>
      <c r="E89" s="78"/>
      <c r="F89" s="78"/>
      <c r="G89" s="78"/>
      <c r="H89" s="78"/>
      <c r="I89" s="78"/>
      <c r="J89" s="78"/>
      <c r="K89" s="78"/>
      <c r="L89" s="78"/>
      <c r="M89" s="78"/>
      <c r="N89" s="78"/>
      <c r="O89" s="78"/>
      <c r="P89" s="78"/>
      <c r="Q89" s="78"/>
      <c r="R89" s="78"/>
      <c r="S89" s="78"/>
      <c r="T89" s="78"/>
      <c r="U89" s="78"/>
      <c r="V89" s="78"/>
      <c r="W89" s="78"/>
      <c r="X89" s="78"/>
      <c r="Y89" s="78"/>
      <c r="Z89" s="78"/>
    </row>
    <row r="90">
      <c r="A90" s="495"/>
      <c r="B90" s="495"/>
      <c r="C90" s="495"/>
      <c r="D90" s="78"/>
      <c r="E90" s="78"/>
      <c r="F90" s="78"/>
      <c r="G90" s="78"/>
      <c r="H90" s="78"/>
      <c r="I90" s="78"/>
      <c r="J90" s="78"/>
      <c r="K90" s="78"/>
      <c r="L90" s="78"/>
      <c r="M90" s="78"/>
      <c r="N90" s="78"/>
      <c r="O90" s="78"/>
      <c r="P90" s="78"/>
      <c r="Q90" s="78"/>
      <c r="R90" s="78"/>
      <c r="S90" s="78"/>
      <c r="T90" s="78"/>
      <c r="U90" s="78"/>
      <c r="V90" s="78"/>
      <c r="W90" s="78"/>
      <c r="X90" s="78"/>
      <c r="Y90" s="78"/>
      <c r="Z90" s="78"/>
    </row>
    <row r="91">
      <c r="A91" s="495"/>
      <c r="B91" s="495"/>
      <c r="C91" s="495"/>
      <c r="D91" s="78"/>
      <c r="E91" s="78"/>
      <c r="F91" s="78"/>
      <c r="G91" s="78"/>
      <c r="H91" s="78"/>
      <c r="I91" s="78"/>
      <c r="J91" s="78"/>
      <c r="K91" s="78"/>
      <c r="L91" s="78"/>
      <c r="M91" s="78"/>
      <c r="N91" s="78"/>
      <c r="O91" s="78"/>
      <c r="P91" s="78"/>
      <c r="Q91" s="78"/>
      <c r="R91" s="78"/>
      <c r="S91" s="78"/>
      <c r="T91" s="78"/>
      <c r="U91" s="78"/>
      <c r="V91" s="78"/>
      <c r="W91" s="78"/>
      <c r="X91" s="78"/>
      <c r="Y91" s="78"/>
      <c r="Z91" s="78"/>
    </row>
    <row r="92">
      <c r="A92" s="495"/>
      <c r="B92" s="495"/>
      <c r="C92" s="495"/>
      <c r="D92" s="78"/>
      <c r="E92" s="78"/>
      <c r="F92" s="78"/>
      <c r="G92" s="78"/>
      <c r="H92" s="78"/>
      <c r="I92" s="78"/>
      <c r="J92" s="78"/>
      <c r="K92" s="78"/>
      <c r="L92" s="78"/>
      <c r="M92" s="78"/>
      <c r="N92" s="78"/>
      <c r="O92" s="78"/>
      <c r="P92" s="78"/>
      <c r="Q92" s="78"/>
      <c r="R92" s="78"/>
      <c r="S92" s="78"/>
      <c r="T92" s="78"/>
      <c r="U92" s="78"/>
      <c r="V92" s="78"/>
      <c r="W92" s="78"/>
      <c r="X92" s="78"/>
      <c r="Y92" s="78"/>
      <c r="Z92" s="78"/>
    </row>
    <row r="93">
      <c r="A93" s="495"/>
      <c r="B93" s="495"/>
      <c r="C93" s="495"/>
      <c r="D93" s="78"/>
      <c r="E93" s="78"/>
      <c r="F93" s="78"/>
      <c r="G93" s="78"/>
      <c r="H93" s="78"/>
      <c r="I93" s="78"/>
      <c r="J93" s="78"/>
      <c r="K93" s="78"/>
      <c r="L93" s="78"/>
      <c r="M93" s="78"/>
      <c r="N93" s="78"/>
      <c r="O93" s="78"/>
      <c r="P93" s="78"/>
      <c r="Q93" s="78"/>
      <c r="R93" s="78"/>
      <c r="S93" s="78"/>
      <c r="T93" s="78"/>
      <c r="U93" s="78"/>
      <c r="V93" s="78"/>
      <c r="W93" s="78"/>
      <c r="X93" s="78"/>
      <c r="Y93" s="78"/>
      <c r="Z93" s="78"/>
    </row>
    <row r="94">
      <c r="A94" s="495"/>
      <c r="B94" s="495"/>
      <c r="C94" s="495"/>
      <c r="D94" s="78"/>
      <c r="E94" s="78"/>
      <c r="F94" s="78"/>
      <c r="G94" s="78"/>
      <c r="H94" s="78"/>
      <c r="I94" s="78"/>
      <c r="J94" s="78"/>
      <c r="K94" s="78"/>
      <c r="L94" s="78"/>
      <c r="M94" s="78"/>
      <c r="N94" s="78"/>
      <c r="O94" s="78"/>
      <c r="P94" s="78"/>
      <c r="Q94" s="78"/>
      <c r="R94" s="78"/>
      <c r="S94" s="78"/>
      <c r="T94" s="78"/>
      <c r="U94" s="78"/>
      <c r="V94" s="78"/>
      <c r="W94" s="78"/>
      <c r="X94" s="78"/>
      <c r="Y94" s="78"/>
      <c r="Z94" s="78"/>
    </row>
    <row r="95">
      <c r="A95" s="495"/>
      <c r="B95" s="495"/>
      <c r="C95" s="495"/>
      <c r="D95" s="78"/>
      <c r="E95" s="78"/>
      <c r="F95" s="78"/>
      <c r="G95" s="78"/>
      <c r="H95" s="78"/>
      <c r="I95" s="78"/>
      <c r="J95" s="78"/>
      <c r="K95" s="78"/>
      <c r="L95" s="78"/>
      <c r="M95" s="78"/>
      <c r="N95" s="78"/>
      <c r="O95" s="78"/>
      <c r="P95" s="78"/>
      <c r="Q95" s="78"/>
      <c r="R95" s="78"/>
      <c r="S95" s="78"/>
      <c r="T95" s="78"/>
      <c r="U95" s="78"/>
      <c r="V95" s="78"/>
      <c r="W95" s="78"/>
      <c r="X95" s="78"/>
      <c r="Y95" s="78"/>
      <c r="Z95" s="78"/>
    </row>
    <row r="96">
      <c r="A96" s="495"/>
      <c r="B96" s="495"/>
      <c r="C96" s="495"/>
      <c r="D96" s="78"/>
      <c r="E96" s="78"/>
      <c r="F96" s="78"/>
      <c r="G96" s="78"/>
      <c r="H96" s="78"/>
      <c r="I96" s="78"/>
      <c r="J96" s="78"/>
      <c r="K96" s="78"/>
      <c r="L96" s="78"/>
      <c r="M96" s="78"/>
      <c r="N96" s="78"/>
      <c r="O96" s="78"/>
      <c r="P96" s="78"/>
      <c r="Q96" s="78"/>
      <c r="R96" s="78"/>
      <c r="S96" s="78"/>
      <c r="T96" s="78"/>
      <c r="U96" s="78"/>
      <c r="V96" s="78"/>
      <c r="W96" s="78"/>
      <c r="X96" s="78"/>
      <c r="Y96" s="78"/>
      <c r="Z96" s="78"/>
    </row>
    <row r="97">
      <c r="A97" s="495"/>
      <c r="B97" s="495"/>
      <c r="C97" s="495"/>
      <c r="D97" s="78"/>
      <c r="E97" s="78"/>
      <c r="F97" s="78"/>
      <c r="G97" s="78"/>
      <c r="H97" s="78"/>
      <c r="I97" s="78"/>
      <c r="J97" s="78"/>
      <c r="K97" s="78"/>
      <c r="L97" s="78"/>
      <c r="M97" s="78"/>
      <c r="N97" s="78"/>
      <c r="O97" s="78"/>
      <c r="P97" s="78"/>
      <c r="Q97" s="78"/>
      <c r="R97" s="78"/>
      <c r="S97" s="78"/>
      <c r="T97" s="78"/>
      <c r="U97" s="78"/>
      <c r="V97" s="78"/>
      <c r="W97" s="78"/>
      <c r="X97" s="78"/>
      <c r="Y97" s="78"/>
      <c r="Z97" s="78"/>
    </row>
    <row r="98">
      <c r="A98" s="495"/>
      <c r="B98" s="495"/>
      <c r="C98" s="495"/>
      <c r="D98" s="78"/>
      <c r="E98" s="78"/>
      <c r="F98" s="78"/>
      <c r="G98" s="78"/>
      <c r="H98" s="78"/>
      <c r="I98" s="78"/>
      <c r="J98" s="78"/>
      <c r="K98" s="78"/>
      <c r="L98" s="78"/>
      <c r="M98" s="78"/>
      <c r="N98" s="78"/>
      <c r="O98" s="78"/>
      <c r="P98" s="78"/>
      <c r="Q98" s="78"/>
      <c r="R98" s="78"/>
      <c r="S98" s="78"/>
      <c r="T98" s="78"/>
      <c r="U98" s="78"/>
      <c r="V98" s="78"/>
      <c r="W98" s="78"/>
      <c r="X98" s="78"/>
      <c r="Y98" s="78"/>
      <c r="Z98" s="78"/>
    </row>
    <row r="99">
      <c r="A99" s="495"/>
      <c r="B99" s="495"/>
      <c r="C99" s="495"/>
      <c r="D99" s="78"/>
      <c r="E99" s="78"/>
      <c r="F99" s="78"/>
      <c r="G99" s="78"/>
      <c r="H99" s="78"/>
      <c r="I99" s="78"/>
      <c r="J99" s="78"/>
      <c r="K99" s="78"/>
      <c r="L99" s="78"/>
      <c r="M99" s="78"/>
      <c r="N99" s="78"/>
      <c r="O99" s="78"/>
      <c r="P99" s="78"/>
      <c r="Q99" s="78"/>
      <c r="R99" s="78"/>
      <c r="S99" s="78"/>
      <c r="T99" s="78"/>
      <c r="U99" s="78"/>
      <c r="V99" s="78"/>
      <c r="W99" s="78"/>
      <c r="X99" s="78"/>
      <c r="Y99" s="78"/>
      <c r="Z99" s="78"/>
    </row>
    <row r="100">
      <c r="A100" s="495"/>
      <c r="B100" s="495"/>
      <c r="C100" s="495"/>
      <c r="D100" s="78"/>
      <c r="E100" s="78"/>
      <c r="F100" s="78"/>
      <c r="G100" s="78"/>
      <c r="H100" s="78"/>
      <c r="I100" s="78"/>
      <c r="J100" s="78"/>
      <c r="K100" s="78"/>
      <c r="L100" s="78"/>
      <c r="M100" s="78"/>
      <c r="N100" s="78"/>
      <c r="O100" s="78"/>
      <c r="P100" s="78"/>
      <c r="Q100" s="78"/>
      <c r="R100" s="78"/>
      <c r="S100" s="78"/>
      <c r="T100" s="78"/>
      <c r="U100" s="78"/>
      <c r="V100" s="78"/>
      <c r="W100" s="78"/>
      <c r="X100" s="78"/>
      <c r="Y100" s="78"/>
      <c r="Z100" s="78"/>
    </row>
    <row r="101">
      <c r="A101" s="495"/>
      <c r="B101" s="495"/>
      <c r="C101" s="495"/>
      <c r="D101" s="78"/>
      <c r="E101" s="78"/>
      <c r="F101" s="78"/>
      <c r="G101" s="78"/>
      <c r="H101" s="78"/>
      <c r="I101" s="78"/>
      <c r="J101" s="78"/>
      <c r="K101" s="78"/>
      <c r="L101" s="78"/>
      <c r="M101" s="78"/>
      <c r="N101" s="78"/>
      <c r="O101" s="78"/>
      <c r="P101" s="78"/>
      <c r="Q101" s="78"/>
      <c r="R101" s="78"/>
      <c r="S101" s="78"/>
      <c r="T101" s="78"/>
      <c r="U101" s="78"/>
      <c r="V101" s="78"/>
      <c r="W101" s="78"/>
      <c r="X101" s="78"/>
      <c r="Y101" s="78"/>
      <c r="Z101" s="78"/>
    </row>
    <row r="102">
      <c r="A102" s="495"/>
      <c r="B102" s="495"/>
      <c r="C102" s="495"/>
      <c r="D102" s="78"/>
      <c r="E102" s="78"/>
      <c r="F102" s="78"/>
      <c r="G102" s="78"/>
      <c r="H102" s="78"/>
      <c r="I102" s="78"/>
      <c r="J102" s="78"/>
      <c r="K102" s="78"/>
      <c r="L102" s="78"/>
      <c r="M102" s="78"/>
      <c r="N102" s="78"/>
      <c r="O102" s="78"/>
      <c r="P102" s="78"/>
      <c r="Q102" s="78"/>
      <c r="R102" s="78"/>
      <c r="S102" s="78"/>
      <c r="T102" s="78"/>
      <c r="U102" s="78"/>
      <c r="V102" s="78"/>
      <c r="W102" s="78"/>
      <c r="X102" s="78"/>
      <c r="Y102" s="78"/>
      <c r="Z102" s="78"/>
    </row>
    <row r="103">
      <c r="A103" s="495"/>
      <c r="B103" s="495"/>
      <c r="C103" s="495"/>
      <c r="D103" s="78"/>
      <c r="E103" s="78"/>
      <c r="F103" s="78"/>
      <c r="G103" s="78"/>
      <c r="H103" s="78"/>
      <c r="I103" s="78"/>
      <c r="J103" s="78"/>
      <c r="K103" s="78"/>
      <c r="L103" s="78"/>
      <c r="M103" s="78"/>
      <c r="N103" s="78"/>
      <c r="O103" s="78"/>
      <c r="P103" s="78"/>
      <c r="Q103" s="78"/>
      <c r="R103" s="78"/>
      <c r="S103" s="78"/>
      <c r="T103" s="78"/>
      <c r="U103" s="78"/>
      <c r="V103" s="78"/>
      <c r="W103" s="78"/>
      <c r="X103" s="78"/>
      <c r="Y103" s="78"/>
      <c r="Z103" s="78"/>
    </row>
    <row r="104">
      <c r="A104" s="495"/>
      <c r="B104" s="495"/>
      <c r="C104" s="495"/>
      <c r="D104" s="78"/>
      <c r="E104" s="78"/>
      <c r="F104" s="78"/>
      <c r="G104" s="78"/>
      <c r="H104" s="78"/>
      <c r="I104" s="78"/>
      <c r="J104" s="78"/>
      <c r="K104" s="78"/>
      <c r="L104" s="78"/>
      <c r="M104" s="78"/>
      <c r="N104" s="78"/>
      <c r="O104" s="78"/>
      <c r="P104" s="78"/>
      <c r="Q104" s="78"/>
      <c r="R104" s="78"/>
      <c r="S104" s="78"/>
      <c r="T104" s="78"/>
      <c r="U104" s="78"/>
      <c r="V104" s="78"/>
      <c r="W104" s="78"/>
      <c r="X104" s="78"/>
      <c r="Y104" s="78"/>
      <c r="Z104" s="78"/>
    </row>
    <row r="105">
      <c r="A105" s="495"/>
      <c r="B105" s="495"/>
      <c r="C105" s="495"/>
      <c r="D105" s="78"/>
      <c r="E105" s="78"/>
      <c r="F105" s="78"/>
      <c r="G105" s="78"/>
      <c r="H105" s="78"/>
      <c r="I105" s="78"/>
      <c r="J105" s="78"/>
      <c r="K105" s="78"/>
      <c r="L105" s="78"/>
      <c r="M105" s="78"/>
      <c r="N105" s="78"/>
      <c r="O105" s="78"/>
      <c r="P105" s="78"/>
      <c r="Q105" s="78"/>
      <c r="R105" s="78"/>
      <c r="S105" s="78"/>
      <c r="T105" s="78"/>
      <c r="U105" s="78"/>
      <c r="V105" s="78"/>
      <c r="W105" s="78"/>
      <c r="X105" s="78"/>
      <c r="Y105" s="78"/>
      <c r="Z105" s="78"/>
    </row>
    <row r="106">
      <c r="A106" s="495"/>
      <c r="B106" s="495"/>
      <c r="C106" s="495"/>
      <c r="D106" s="78"/>
      <c r="E106" s="78"/>
      <c r="F106" s="78"/>
      <c r="G106" s="78"/>
      <c r="H106" s="78"/>
      <c r="I106" s="78"/>
      <c r="J106" s="78"/>
      <c r="K106" s="78"/>
      <c r="L106" s="78"/>
      <c r="M106" s="78"/>
      <c r="N106" s="78"/>
      <c r="O106" s="78"/>
      <c r="P106" s="78"/>
      <c r="Q106" s="78"/>
      <c r="R106" s="78"/>
      <c r="S106" s="78"/>
      <c r="T106" s="78"/>
      <c r="U106" s="78"/>
      <c r="V106" s="78"/>
      <c r="W106" s="78"/>
      <c r="X106" s="78"/>
      <c r="Y106" s="78"/>
      <c r="Z106" s="78"/>
    </row>
    <row r="107">
      <c r="A107" s="495"/>
      <c r="B107" s="495"/>
      <c r="C107" s="495"/>
      <c r="D107" s="78"/>
      <c r="E107" s="78"/>
      <c r="F107" s="78"/>
      <c r="G107" s="78"/>
      <c r="H107" s="78"/>
      <c r="I107" s="78"/>
      <c r="J107" s="78"/>
      <c r="K107" s="78"/>
      <c r="L107" s="78"/>
      <c r="M107" s="78"/>
      <c r="N107" s="78"/>
      <c r="O107" s="78"/>
      <c r="P107" s="78"/>
      <c r="Q107" s="78"/>
      <c r="R107" s="78"/>
      <c r="S107" s="78"/>
      <c r="T107" s="78"/>
      <c r="U107" s="78"/>
      <c r="V107" s="78"/>
      <c r="W107" s="78"/>
      <c r="X107" s="78"/>
      <c r="Y107" s="78"/>
      <c r="Z107" s="78"/>
    </row>
    <row r="108">
      <c r="A108" s="495"/>
      <c r="B108" s="495"/>
      <c r="C108" s="495"/>
      <c r="D108" s="78"/>
      <c r="E108" s="78"/>
      <c r="F108" s="78"/>
      <c r="G108" s="78"/>
      <c r="H108" s="78"/>
      <c r="I108" s="78"/>
      <c r="J108" s="78"/>
      <c r="K108" s="78"/>
      <c r="L108" s="78"/>
      <c r="M108" s="78"/>
      <c r="N108" s="78"/>
      <c r="O108" s="78"/>
      <c r="P108" s="78"/>
      <c r="Q108" s="78"/>
      <c r="R108" s="78"/>
      <c r="S108" s="78"/>
      <c r="T108" s="78"/>
      <c r="U108" s="78"/>
      <c r="V108" s="78"/>
      <c r="W108" s="78"/>
      <c r="X108" s="78"/>
      <c r="Y108" s="78"/>
      <c r="Z108" s="78"/>
    </row>
    <row r="109">
      <c r="A109" s="495"/>
      <c r="B109" s="495"/>
      <c r="C109" s="495"/>
      <c r="D109" s="78"/>
      <c r="E109" s="78"/>
      <c r="F109" s="78"/>
      <c r="G109" s="78"/>
      <c r="H109" s="78"/>
      <c r="I109" s="78"/>
      <c r="J109" s="78"/>
      <c r="K109" s="78"/>
      <c r="L109" s="78"/>
      <c r="M109" s="78"/>
      <c r="N109" s="78"/>
      <c r="O109" s="78"/>
      <c r="P109" s="78"/>
      <c r="Q109" s="78"/>
      <c r="R109" s="78"/>
      <c r="S109" s="78"/>
      <c r="T109" s="78"/>
      <c r="U109" s="78"/>
      <c r="V109" s="78"/>
      <c r="W109" s="78"/>
      <c r="X109" s="78"/>
      <c r="Y109" s="78"/>
      <c r="Z109" s="78"/>
    </row>
    <row r="110">
      <c r="A110" s="495"/>
      <c r="B110" s="495"/>
      <c r="C110" s="495"/>
      <c r="D110" s="78"/>
      <c r="E110" s="78"/>
      <c r="F110" s="78"/>
      <c r="G110" s="78"/>
      <c r="H110" s="78"/>
      <c r="I110" s="78"/>
      <c r="J110" s="78"/>
      <c r="K110" s="78"/>
      <c r="L110" s="78"/>
      <c r="M110" s="78"/>
      <c r="N110" s="78"/>
      <c r="O110" s="78"/>
      <c r="P110" s="78"/>
      <c r="Q110" s="78"/>
      <c r="R110" s="78"/>
      <c r="S110" s="78"/>
      <c r="T110" s="78"/>
      <c r="U110" s="78"/>
      <c r="V110" s="78"/>
      <c r="W110" s="78"/>
      <c r="X110" s="78"/>
      <c r="Y110" s="78"/>
      <c r="Z110" s="78"/>
    </row>
    <row r="111">
      <c r="A111" s="495"/>
      <c r="B111" s="495"/>
      <c r="C111" s="495"/>
      <c r="D111" s="78"/>
      <c r="E111" s="78"/>
      <c r="F111" s="78"/>
      <c r="G111" s="78"/>
      <c r="H111" s="78"/>
      <c r="I111" s="78"/>
      <c r="J111" s="78"/>
      <c r="K111" s="78"/>
      <c r="L111" s="78"/>
      <c r="M111" s="78"/>
      <c r="N111" s="78"/>
      <c r="O111" s="78"/>
      <c r="P111" s="78"/>
      <c r="Q111" s="78"/>
      <c r="R111" s="78"/>
      <c r="S111" s="78"/>
      <c r="T111" s="78"/>
      <c r="U111" s="78"/>
      <c r="V111" s="78"/>
      <c r="W111" s="78"/>
      <c r="X111" s="78"/>
      <c r="Y111" s="78"/>
      <c r="Z111" s="78"/>
    </row>
    <row r="112">
      <c r="A112" s="495"/>
      <c r="B112" s="495"/>
      <c r="C112" s="495"/>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c r="A113" s="495"/>
      <c r="B113" s="495"/>
      <c r="C113" s="495"/>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c r="A114" s="495"/>
      <c r="B114" s="495"/>
      <c r="C114" s="495"/>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c r="A115" s="495"/>
      <c r="B115" s="495"/>
      <c r="C115" s="495"/>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c r="A116" s="495"/>
      <c r="B116" s="495"/>
      <c r="C116" s="495"/>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c r="A117" s="495"/>
      <c r="B117" s="495"/>
      <c r="C117" s="495"/>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c r="A118" s="495"/>
      <c r="B118" s="495"/>
      <c r="C118" s="495"/>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c r="A119" s="495"/>
      <c r="B119" s="495"/>
      <c r="C119" s="495"/>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c r="A120" s="495"/>
      <c r="B120" s="495"/>
      <c r="C120" s="495"/>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c r="A121" s="495"/>
      <c r="B121" s="495"/>
      <c r="C121" s="495"/>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c r="A122" s="495"/>
      <c r="B122" s="495"/>
      <c r="C122" s="495"/>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c r="A123" s="495"/>
      <c r="B123" s="495"/>
      <c r="C123" s="495"/>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c r="A124" s="495"/>
      <c r="B124" s="495"/>
      <c r="C124" s="495"/>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c r="A125" s="495"/>
      <c r="B125" s="495"/>
      <c r="C125" s="495"/>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c r="A126" s="495"/>
      <c r="B126" s="495"/>
      <c r="C126" s="495"/>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c r="A127" s="495"/>
      <c r="B127" s="495"/>
      <c r="C127" s="495"/>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c r="A128" s="495"/>
      <c r="B128" s="495"/>
      <c r="C128" s="495"/>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c r="A129" s="495"/>
      <c r="B129" s="495"/>
      <c r="C129" s="495"/>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c r="A130" s="495"/>
      <c r="B130" s="495"/>
      <c r="C130" s="495"/>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c r="A131" s="495"/>
      <c r="B131" s="495"/>
      <c r="C131" s="495"/>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c r="A132" s="495"/>
      <c r="B132" s="495"/>
      <c r="C132" s="495"/>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c r="A133" s="495"/>
      <c r="B133" s="495"/>
      <c r="C133" s="495"/>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c r="A134" s="495"/>
      <c r="B134" s="495"/>
      <c r="C134" s="495"/>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c r="A135" s="495"/>
      <c r="B135" s="495"/>
      <c r="C135" s="495"/>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c r="A136" s="495"/>
      <c r="B136" s="495"/>
      <c r="C136" s="495"/>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c r="A137" s="495"/>
      <c r="B137" s="495"/>
      <c r="C137" s="495"/>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c r="A138" s="495"/>
      <c r="B138" s="495"/>
      <c r="C138" s="495"/>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c r="A139" s="495"/>
      <c r="B139" s="495"/>
      <c r="C139" s="495"/>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c r="A140" s="495"/>
      <c r="B140" s="495"/>
      <c r="C140" s="495"/>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c r="A141" s="495"/>
      <c r="B141" s="495"/>
      <c r="C141" s="495"/>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c r="A142" s="495"/>
      <c r="B142" s="495"/>
      <c r="C142" s="495"/>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c r="A143" s="495"/>
      <c r="B143" s="495"/>
      <c r="C143" s="495"/>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c r="A144" s="495"/>
      <c r="B144" s="495"/>
      <c r="C144" s="495"/>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c r="A145" s="495"/>
      <c r="B145" s="495"/>
      <c r="C145" s="495"/>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c r="A146" s="495"/>
      <c r="B146" s="495"/>
      <c r="C146" s="495"/>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c r="A147" s="495"/>
      <c r="B147" s="495"/>
      <c r="C147" s="495"/>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c r="A148" s="495"/>
      <c r="B148" s="495"/>
      <c r="C148" s="495"/>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c r="A149" s="495"/>
      <c r="B149" s="495"/>
      <c r="C149" s="495"/>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c r="A150" s="495"/>
      <c r="B150" s="495"/>
      <c r="C150" s="495"/>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c r="A151" s="495"/>
      <c r="B151" s="495"/>
      <c r="C151" s="495"/>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c r="A152" s="495"/>
      <c r="B152" s="495"/>
      <c r="C152" s="495"/>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c r="A153" s="495"/>
      <c r="B153" s="495"/>
      <c r="C153" s="495"/>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c r="A154" s="495"/>
      <c r="B154" s="495"/>
      <c r="C154" s="495"/>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c r="A155" s="495"/>
      <c r="B155" s="495"/>
      <c r="C155" s="495"/>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c r="A156" s="495"/>
      <c r="B156" s="495"/>
      <c r="C156" s="495"/>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c r="A157" s="495"/>
      <c r="B157" s="495"/>
      <c r="C157" s="495"/>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c r="A158" s="495"/>
      <c r="B158" s="495"/>
      <c r="C158" s="495"/>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c r="A159" s="495"/>
      <c r="B159" s="495"/>
      <c r="C159" s="495"/>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c r="A160" s="495"/>
      <c r="B160" s="495"/>
      <c r="C160" s="495"/>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c r="A161" s="495"/>
      <c r="B161" s="495"/>
      <c r="C161" s="495"/>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c r="A162" s="495"/>
      <c r="B162" s="495"/>
      <c r="C162" s="495"/>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c r="A163" s="495"/>
      <c r="B163" s="495"/>
      <c r="C163" s="495"/>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c r="A164" s="495"/>
      <c r="B164" s="495"/>
      <c r="C164" s="495"/>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c r="A165" s="495"/>
      <c r="B165" s="495"/>
      <c r="C165" s="495"/>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c r="A166" s="495"/>
      <c r="B166" s="495"/>
      <c r="C166" s="495"/>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c r="A167" s="495"/>
      <c r="B167" s="495"/>
      <c r="C167" s="495"/>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c r="A168" s="495"/>
      <c r="B168" s="495"/>
      <c r="C168" s="495"/>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c r="A169" s="495"/>
      <c r="B169" s="495"/>
      <c r="C169" s="495"/>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c r="A170" s="495"/>
      <c r="B170" s="495"/>
      <c r="C170" s="495"/>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c r="A171" s="495"/>
      <c r="B171" s="495"/>
      <c r="C171" s="495"/>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c r="A172" s="495"/>
      <c r="B172" s="495"/>
      <c r="C172" s="495"/>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c r="A173" s="495"/>
      <c r="B173" s="495"/>
      <c r="C173" s="495"/>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c r="A174" s="495"/>
      <c r="B174" s="495"/>
      <c r="C174" s="495"/>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c r="A175" s="495"/>
      <c r="B175" s="495"/>
      <c r="C175" s="495"/>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c r="A176" s="495"/>
      <c r="B176" s="495"/>
      <c r="C176" s="495"/>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c r="A177" s="495"/>
      <c r="B177" s="495"/>
      <c r="C177" s="495"/>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c r="A178" s="495"/>
      <c r="B178" s="495"/>
      <c r="C178" s="495"/>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c r="A179" s="495"/>
      <c r="B179" s="495"/>
      <c r="C179" s="495"/>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c r="A180" s="495"/>
      <c r="B180" s="495"/>
      <c r="C180" s="495"/>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c r="A181" s="495"/>
      <c r="B181" s="495"/>
      <c r="C181" s="495"/>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c r="A182" s="495"/>
      <c r="B182" s="495"/>
      <c r="C182" s="495"/>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c r="A183" s="495"/>
      <c r="B183" s="495"/>
      <c r="C183" s="495"/>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c r="A184" s="495"/>
      <c r="B184" s="495"/>
      <c r="C184" s="495"/>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c r="A185" s="495"/>
      <c r="B185" s="495"/>
      <c r="C185" s="495"/>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c r="A186" s="495"/>
      <c r="B186" s="495"/>
      <c r="C186" s="495"/>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c r="A187" s="495"/>
      <c r="B187" s="495"/>
      <c r="C187" s="495"/>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c r="A188" s="495"/>
      <c r="B188" s="495"/>
      <c r="C188" s="495"/>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c r="A189" s="495"/>
      <c r="B189" s="495"/>
      <c r="C189" s="495"/>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c r="A190" s="495"/>
      <c r="B190" s="495"/>
      <c r="C190" s="495"/>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c r="A191" s="495"/>
      <c r="B191" s="495"/>
      <c r="C191" s="495"/>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c r="A192" s="495"/>
      <c r="B192" s="495"/>
      <c r="C192" s="495"/>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c r="A193" s="495"/>
      <c r="B193" s="495"/>
      <c r="C193" s="495"/>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c r="A194" s="495"/>
      <c r="B194" s="495"/>
      <c r="C194" s="495"/>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c r="A195" s="495"/>
      <c r="B195" s="495"/>
      <c r="C195" s="495"/>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c r="A196" s="495"/>
      <c r="B196" s="495"/>
      <c r="C196" s="495"/>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c r="A197" s="495"/>
      <c r="B197" s="495"/>
      <c r="C197" s="495"/>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c r="A198" s="495"/>
      <c r="B198" s="495"/>
      <c r="C198" s="495"/>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c r="A199" s="495"/>
      <c r="B199" s="495"/>
      <c r="C199" s="495"/>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c r="A200" s="495"/>
      <c r="B200" s="495"/>
      <c r="C200" s="495"/>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c r="A201" s="495"/>
      <c r="B201" s="495"/>
      <c r="C201" s="495"/>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c r="A202" s="495"/>
      <c r="B202" s="495"/>
      <c r="C202" s="495"/>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c r="A203" s="495"/>
      <c r="B203" s="495"/>
      <c r="C203" s="495"/>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c r="A204" s="495"/>
      <c r="B204" s="495"/>
      <c r="C204" s="495"/>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c r="A205" s="495"/>
      <c r="B205" s="495"/>
      <c r="C205" s="495"/>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c r="A206" s="495"/>
      <c r="B206" s="495"/>
      <c r="C206" s="495"/>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c r="A207" s="495"/>
      <c r="B207" s="495"/>
      <c r="C207" s="495"/>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c r="A208" s="495"/>
      <c r="B208" s="495"/>
      <c r="C208" s="495"/>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c r="A209" s="495"/>
      <c r="B209" s="495"/>
      <c r="C209" s="495"/>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c r="A210" s="495"/>
      <c r="B210" s="495"/>
      <c r="C210" s="495"/>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c r="A211" s="495"/>
      <c r="B211" s="495"/>
      <c r="C211" s="495"/>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c r="A212" s="495"/>
      <c r="B212" s="495"/>
      <c r="C212" s="495"/>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c r="A213" s="495"/>
      <c r="B213" s="495"/>
      <c r="C213" s="495"/>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c r="A214" s="495"/>
      <c r="B214" s="495"/>
      <c r="C214" s="495"/>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c r="A215" s="495"/>
      <c r="B215" s="495"/>
      <c r="C215" s="495"/>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c r="A216" s="495"/>
      <c r="B216" s="495"/>
      <c r="C216" s="495"/>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c r="A217" s="495"/>
      <c r="B217" s="495"/>
      <c r="C217" s="495"/>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c r="A218" s="495"/>
      <c r="B218" s="495"/>
      <c r="C218" s="495"/>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c r="A219" s="495"/>
      <c r="B219" s="495"/>
      <c r="C219" s="495"/>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c r="A220" s="495"/>
      <c r="B220" s="495"/>
      <c r="C220" s="495"/>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c r="A221" s="495"/>
      <c r="B221" s="495"/>
      <c r="C221" s="495"/>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c r="A222" s="495"/>
      <c r="B222" s="495"/>
      <c r="C222" s="495"/>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c r="A223" s="495"/>
      <c r="B223" s="495"/>
      <c r="C223" s="495"/>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c r="A224" s="495"/>
      <c r="B224" s="495"/>
      <c r="C224" s="495"/>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c r="A225" s="495"/>
      <c r="B225" s="495"/>
      <c r="C225" s="495"/>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c r="A226" s="495"/>
      <c r="B226" s="495"/>
      <c r="C226" s="495"/>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c r="A227" s="495"/>
      <c r="B227" s="495"/>
      <c r="C227" s="495"/>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c r="A228" s="495"/>
      <c r="B228" s="495"/>
      <c r="C228" s="495"/>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c r="A229" s="495"/>
      <c r="B229" s="495"/>
      <c r="C229" s="495"/>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c r="A230" s="495"/>
      <c r="B230" s="495"/>
      <c r="C230" s="495"/>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c r="A231" s="495"/>
      <c r="B231" s="495"/>
      <c r="C231" s="495"/>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c r="A232" s="495"/>
      <c r="B232" s="495"/>
      <c r="C232" s="495"/>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c r="A233" s="495"/>
      <c r="B233" s="495"/>
      <c r="C233" s="495"/>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c r="A234" s="495"/>
      <c r="B234" s="495"/>
      <c r="C234" s="495"/>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c r="A235" s="495"/>
      <c r="B235" s="495"/>
      <c r="C235" s="495"/>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c r="A236" s="495"/>
      <c r="B236" s="495"/>
      <c r="C236" s="495"/>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c r="A237" s="495"/>
      <c r="B237" s="495"/>
      <c r="C237" s="495"/>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c r="A238" s="495"/>
      <c r="B238" s="495"/>
      <c r="C238" s="495"/>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c r="A239" s="495"/>
      <c r="B239" s="495"/>
      <c r="C239" s="495"/>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c r="A240" s="495"/>
      <c r="B240" s="495"/>
      <c r="C240" s="495"/>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c r="A241" s="495"/>
      <c r="B241" s="495"/>
      <c r="C241" s="495"/>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c r="A242" s="495"/>
      <c r="B242" s="495"/>
      <c r="C242" s="495"/>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c r="A243" s="495"/>
      <c r="B243" s="495"/>
      <c r="C243" s="495"/>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c r="A244" s="495"/>
      <c r="B244" s="495"/>
      <c r="C244" s="495"/>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c r="A245" s="495"/>
      <c r="B245" s="495"/>
      <c r="C245" s="495"/>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c r="A246" s="495"/>
      <c r="B246" s="495"/>
      <c r="C246" s="495"/>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c r="A247" s="495"/>
      <c r="B247" s="495"/>
      <c r="C247" s="495"/>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c r="A248" s="495"/>
      <c r="B248" s="495"/>
      <c r="C248" s="495"/>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c r="A249" s="495"/>
      <c r="B249" s="495"/>
      <c r="C249" s="495"/>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c r="A250" s="495"/>
      <c r="B250" s="495"/>
      <c r="C250" s="495"/>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c r="A251" s="495"/>
      <c r="B251" s="495"/>
      <c r="C251" s="495"/>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c r="A252" s="495"/>
      <c r="B252" s="495"/>
      <c r="C252" s="495"/>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c r="A253" s="495"/>
      <c r="B253" s="495"/>
      <c r="C253" s="495"/>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c r="A254" s="495"/>
      <c r="B254" s="495"/>
      <c r="C254" s="495"/>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c r="A255" s="495"/>
      <c r="B255" s="495"/>
      <c r="C255" s="495"/>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c r="A256" s="495"/>
      <c r="B256" s="495"/>
      <c r="C256" s="495"/>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c r="A257" s="495"/>
      <c r="B257" s="495"/>
      <c r="C257" s="495"/>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c r="A258" s="495"/>
      <c r="B258" s="495"/>
      <c r="C258" s="495"/>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c r="A259" s="495"/>
      <c r="B259" s="495"/>
      <c r="C259" s="495"/>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c r="A260" s="495"/>
      <c r="B260" s="495"/>
      <c r="C260" s="495"/>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c r="A261" s="495"/>
      <c r="B261" s="495"/>
      <c r="C261" s="495"/>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c r="A262" s="495"/>
      <c r="B262" s="495"/>
      <c r="C262" s="495"/>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c r="A263" s="495"/>
      <c r="B263" s="495"/>
      <c r="C263" s="495"/>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c r="A264" s="495"/>
      <c r="B264" s="495"/>
      <c r="C264" s="495"/>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c r="A265" s="495"/>
      <c r="B265" s="495"/>
      <c r="C265" s="495"/>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c r="A266" s="495"/>
      <c r="B266" s="495"/>
      <c r="C266" s="495"/>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c r="A267" s="495"/>
      <c r="B267" s="495"/>
      <c r="C267" s="495"/>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c r="A268" s="495"/>
      <c r="B268" s="495"/>
      <c r="C268" s="495"/>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c r="A269" s="495"/>
      <c r="B269" s="495"/>
      <c r="C269" s="495"/>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c r="A270" s="495"/>
      <c r="B270" s="495"/>
      <c r="C270" s="495"/>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c r="A271" s="495"/>
      <c r="B271" s="495"/>
      <c r="C271" s="495"/>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c r="A272" s="495"/>
      <c r="B272" s="495"/>
      <c r="C272" s="495"/>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c r="A273" s="495"/>
      <c r="B273" s="495"/>
      <c r="C273" s="495"/>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c r="A274" s="495"/>
      <c r="B274" s="495"/>
      <c r="C274" s="495"/>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c r="A275" s="495"/>
      <c r="B275" s="495"/>
      <c r="C275" s="495"/>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c r="A276" s="495"/>
      <c r="B276" s="495"/>
      <c r="C276" s="495"/>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c r="A277" s="495"/>
      <c r="B277" s="495"/>
      <c r="C277" s="495"/>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c r="A278" s="495"/>
      <c r="B278" s="495"/>
      <c r="C278" s="495"/>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c r="A279" s="495"/>
      <c r="B279" s="495"/>
      <c r="C279" s="495"/>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c r="A280" s="495"/>
      <c r="B280" s="495"/>
      <c r="C280" s="495"/>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c r="A281" s="495"/>
      <c r="B281" s="495"/>
      <c r="C281" s="495"/>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c r="A282" s="495"/>
      <c r="B282" s="495"/>
      <c r="C282" s="495"/>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c r="A283" s="495"/>
      <c r="B283" s="495"/>
      <c r="C283" s="495"/>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c r="A284" s="495"/>
      <c r="B284" s="495"/>
      <c r="C284" s="495"/>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c r="A285" s="495"/>
      <c r="B285" s="495"/>
      <c r="C285" s="495"/>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c r="A286" s="495"/>
      <c r="B286" s="495"/>
      <c r="C286" s="495"/>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c r="A287" s="495"/>
      <c r="B287" s="495"/>
      <c r="C287" s="495"/>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c r="A288" s="495"/>
      <c r="B288" s="495"/>
      <c r="C288" s="495"/>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c r="A289" s="495"/>
      <c r="B289" s="495"/>
      <c r="C289" s="495"/>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c r="A290" s="495"/>
      <c r="B290" s="495"/>
      <c r="C290" s="495"/>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c r="A291" s="495"/>
      <c r="B291" s="495"/>
      <c r="C291" s="495"/>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c r="A292" s="495"/>
      <c r="B292" s="495"/>
      <c r="C292" s="495"/>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c r="A293" s="495"/>
      <c r="B293" s="495"/>
      <c r="C293" s="495"/>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c r="A294" s="495"/>
      <c r="B294" s="495"/>
      <c r="C294" s="495"/>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c r="A295" s="495"/>
      <c r="B295" s="495"/>
      <c r="C295" s="495"/>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c r="A296" s="495"/>
      <c r="B296" s="495"/>
      <c r="C296" s="495"/>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c r="A297" s="495"/>
      <c r="B297" s="495"/>
      <c r="C297" s="495"/>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c r="A298" s="495"/>
      <c r="B298" s="495"/>
      <c r="C298" s="495"/>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c r="A299" s="495"/>
      <c r="B299" s="495"/>
      <c r="C299" s="495"/>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c r="A300" s="495"/>
      <c r="B300" s="495"/>
      <c r="C300" s="495"/>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c r="A301" s="495"/>
      <c r="B301" s="495"/>
      <c r="C301" s="495"/>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c r="A302" s="495"/>
      <c r="B302" s="495"/>
      <c r="C302" s="495"/>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c r="A303" s="495"/>
      <c r="B303" s="495"/>
      <c r="C303" s="495"/>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c r="A304" s="495"/>
      <c r="B304" s="495"/>
      <c r="C304" s="495"/>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c r="A305" s="495"/>
      <c r="B305" s="495"/>
      <c r="C305" s="495"/>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c r="A306" s="495"/>
      <c r="B306" s="495"/>
      <c r="C306" s="495"/>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c r="A307" s="495"/>
      <c r="B307" s="495"/>
      <c r="C307" s="495"/>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c r="A308" s="495"/>
      <c r="B308" s="495"/>
      <c r="C308" s="495"/>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c r="A309" s="495"/>
      <c r="B309" s="495"/>
      <c r="C309" s="495"/>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c r="A310" s="495"/>
      <c r="B310" s="495"/>
      <c r="C310" s="495"/>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c r="A311" s="495"/>
      <c r="B311" s="495"/>
      <c r="C311" s="495"/>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c r="A312" s="495"/>
      <c r="B312" s="495"/>
      <c r="C312" s="495"/>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c r="A313" s="495"/>
      <c r="B313" s="495"/>
      <c r="C313" s="495"/>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c r="A314" s="495"/>
      <c r="B314" s="495"/>
      <c r="C314" s="495"/>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c r="A315" s="495"/>
      <c r="B315" s="495"/>
      <c r="C315" s="495"/>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c r="A316" s="495"/>
      <c r="B316" s="495"/>
      <c r="C316" s="495"/>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c r="A317" s="495"/>
      <c r="B317" s="495"/>
      <c r="C317" s="495"/>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c r="A318" s="495"/>
      <c r="B318" s="495"/>
      <c r="C318" s="495"/>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c r="A319" s="495"/>
      <c r="B319" s="495"/>
      <c r="C319" s="495"/>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c r="A320" s="495"/>
      <c r="B320" s="495"/>
      <c r="C320" s="495"/>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c r="A321" s="495"/>
      <c r="B321" s="495"/>
      <c r="C321" s="495"/>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c r="A322" s="495"/>
      <c r="B322" s="495"/>
      <c r="C322" s="495"/>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c r="A323" s="495"/>
      <c r="B323" s="495"/>
      <c r="C323" s="495"/>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c r="A324" s="495"/>
      <c r="B324" s="495"/>
      <c r="C324" s="495"/>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c r="A325" s="495"/>
      <c r="B325" s="495"/>
      <c r="C325" s="495"/>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c r="A326" s="495"/>
      <c r="B326" s="495"/>
      <c r="C326" s="495"/>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c r="A327" s="495"/>
      <c r="B327" s="495"/>
      <c r="C327" s="495"/>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c r="A328" s="495"/>
      <c r="B328" s="495"/>
      <c r="C328" s="495"/>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c r="A329" s="495"/>
      <c r="B329" s="495"/>
      <c r="C329" s="495"/>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c r="A330" s="495"/>
      <c r="B330" s="495"/>
      <c r="C330" s="495"/>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c r="A331" s="495"/>
      <c r="B331" s="495"/>
      <c r="C331" s="495"/>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c r="A332" s="495"/>
      <c r="B332" s="495"/>
      <c r="C332" s="495"/>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c r="A333" s="495"/>
      <c r="B333" s="495"/>
      <c r="C333" s="495"/>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c r="A334" s="495"/>
      <c r="B334" s="495"/>
      <c r="C334" s="495"/>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c r="A335" s="495"/>
      <c r="B335" s="495"/>
      <c r="C335" s="495"/>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c r="A336" s="495"/>
      <c r="B336" s="495"/>
      <c r="C336" s="495"/>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c r="A337" s="495"/>
      <c r="B337" s="495"/>
      <c r="C337" s="495"/>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c r="A338" s="495"/>
      <c r="B338" s="495"/>
      <c r="C338" s="495"/>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c r="A339" s="495"/>
      <c r="B339" s="495"/>
      <c r="C339" s="495"/>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c r="A340" s="495"/>
      <c r="B340" s="495"/>
      <c r="C340" s="495"/>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c r="A341" s="495"/>
      <c r="B341" s="495"/>
      <c r="C341" s="495"/>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c r="A342" s="495"/>
      <c r="B342" s="495"/>
      <c r="C342" s="495"/>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c r="A343" s="495"/>
      <c r="B343" s="495"/>
      <c r="C343" s="495"/>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c r="A344" s="495"/>
      <c r="B344" s="495"/>
      <c r="C344" s="495"/>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c r="A345" s="495"/>
      <c r="B345" s="495"/>
      <c r="C345" s="495"/>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c r="A346" s="495"/>
      <c r="B346" s="495"/>
      <c r="C346" s="495"/>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c r="A347" s="495"/>
      <c r="B347" s="495"/>
      <c r="C347" s="495"/>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c r="A348" s="495"/>
      <c r="B348" s="495"/>
      <c r="C348" s="495"/>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c r="A349" s="495"/>
      <c r="B349" s="495"/>
      <c r="C349" s="495"/>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c r="A350" s="495"/>
      <c r="B350" s="495"/>
      <c r="C350" s="495"/>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c r="A351" s="495"/>
      <c r="B351" s="495"/>
      <c r="C351" s="495"/>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c r="A352" s="495"/>
      <c r="B352" s="495"/>
      <c r="C352" s="495"/>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c r="A353" s="495"/>
      <c r="B353" s="495"/>
      <c r="C353" s="495"/>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c r="A354" s="495"/>
      <c r="B354" s="495"/>
      <c r="C354" s="495"/>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c r="A355" s="495"/>
      <c r="B355" s="495"/>
      <c r="C355" s="495"/>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c r="A356" s="495"/>
      <c r="B356" s="495"/>
      <c r="C356" s="495"/>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c r="A357" s="495"/>
      <c r="B357" s="495"/>
      <c r="C357" s="495"/>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c r="A358" s="495"/>
      <c r="B358" s="495"/>
      <c r="C358" s="495"/>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c r="A359" s="495"/>
      <c r="B359" s="495"/>
      <c r="C359" s="495"/>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c r="A360" s="495"/>
      <c r="B360" s="495"/>
      <c r="C360" s="495"/>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c r="A361" s="495"/>
      <c r="B361" s="495"/>
      <c r="C361" s="495"/>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c r="A362" s="495"/>
      <c r="B362" s="495"/>
      <c r="C362" s="495"/>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c r="A363" s="495"/>
      <c r="B363" s="495"/>
      <c r="C363" s="495"/>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c r="A364" s="495"/>
      <c r="B364" s="495"/>
      <c r="C364" s="495"/>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c r="A365" s="495"/>
      <c r="B365" s="495"/>
      <c r="C365" s="495"/>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c r="A366" s="495"/>
      <c r="B366" s="495"/>
      <c r="C366" s="495"/>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c r="A367" s="495"/>
      <c r="B367" s="495"/>
      <c r="C367" s="495"/>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c r="A368" s="495"/>
      <c r="B368" s="495"/>
      <c r="C368" s="495"/>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c r="A369" s="495"/>
      <c r="B369" s="495"/>
      <c r="C369" s="495"/>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c r="A370" s="495"/>
      <c r="B370" s="495"/>
      <c r="C370" s="495"/>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c r="A371" s="495"/>
      <c r="B371" s="495"/>
      <c r="C371" s="495"/>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c r="A372" s="495"/>
      <c r="B372" s="495"/>
      <c r="C372" s="495"/>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c r="A373" s="495"/>
      <c r="B373" s="495"/>
      <c r="C373" s="495"/>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c r="A374" s="495"/>
      <c r="B374" s="495"/>
      <c r="C374" s="495"/>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c r="A375" s="495"/>
      <c r="B375" s="495"/>
      <c r="C375" s="495"/>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c r="A376" s="495"/>
      <c r="B376" s="495"/>
      <c r="C376" s="495"/>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c r="A377" s="495"/>
      <c r="B377" s="495"/>
      <c r="C377" s="495"/>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c r="A378" s="495"/>
      <c r="B378" s="495"/>
      <c r="C378" s="495"/>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c r="A379" s="495"/>
      <c r="B379" s="495"/>
      <c r="C379" s="495"/>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c r="A380" s="495"/>
      <c r="B380" s="495"/>
      <c r="C380" s="495"/>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c r="A381" s="495"/>
      <c r="B381" s="495"/>
      <c r="C381" s="495"/>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c r="A382" s="495"/>
      <c r="B382" s="495"/>
      <c r="C382" s="495"/>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c r="A383" s="495"/>
      <c r="B383" s="495"/>
      <c r="C383" s="495"/>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c r="A384" s="495"/>
      <c r="B384" s="495"/>
      <c r="C384" s="495"/>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c r="A385" s="495"/>
      <c r="B385" s="495"/>
      <c r="C385" s="495"/>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c r="A386" s="495"/>
      <c r="B386" s="495"/>
      <c r="C386" s="495"/>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c r="A387" s="495"/>
      <c r="B387" s="495"/>
      <c r="C387" s="495"/>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c r="A388" s="495"/>
      <c r="B388" s="495"/>
      <c r="C388" s="495"/>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c r="A389" s="495"/>
      <c r="B389" s="495"/>
      <c r="C389" s="495"/>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c r="A390" s="495"/>
      <c r="B390" s="495"/>
      <c r="C390" s="495"/>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c r="A391" s="495"/>
      <c r="B391" s="495"/>
      <c r="C391" s="495"/>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c r="A392" s="495"/>
      <c r="B392" s="495"/>
      <c r="C392" s="495"/>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c r="A393" s="495"/>
      <c r="B393" s="495"/>
      <c r="C393" s="495"/>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c r="A394" s="495"/>
      <c r="B394" s="495"/>
      <c r="C394" s="495"/>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c r="A395" s="495"/>
      <c r="B395" s="495"/>
      <c r="C395" s="495"/>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c r="A396" s="495"/>
      <c r="B396" s="495"/>
      <c r="C396" s="495"/>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c r="A397" s="495"/>
      <c r="B397" s="495"/>
      <c r="C397" s="495"/>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c r="A398" s="495"/>
      <c r="B398" s="495"/>
      <c r="C398" s="495"/>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c r="A399" s="495"/>
      <c r="B399" s="495"/>
      <c r="C399" s="495"/>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c r="A400" s="495"/>
      <c r="B400" s="495"/>
      <c r="C400" s="495"/>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c r="A401" s="495"/>
      <c r="B401" s="495"/>
      <c r="C401" s="495"/>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c r="A402" s="495"/>
      <c r="B402" s="495"/>
      <c r="C402" s="495"/>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c r="A403" s="495"/>
      <c r="B403" s="495"/>
      <c r="C403" s="495"/>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c r="A404" s="495"/>
      <c r="B404" s="495"/>
      <c r="C404" s="495"/>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c r="A405" s="495"/>
      <c r="B405" s="495"/>
      <c r="C405" s="495"/>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c r="A406" s="495"/>
      <c r="B406" s="495"/>
      <c r="C406" s="495"/>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c r="A407" s="495"/>
      <c r="B407" s="495"/>
      <c r="C407" s="495"/>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c r="A408" s="495"/>
      <c r="B408" s="495"/>
      <c r="C408" s="495"/>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c r="A409" s="495"/>
      <c r="B409" s="495"/>
      <c r="C409" s="495"/>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c r="A410" s="495"/>
      <c r="B410" s="495"/>
      <c r="C410" s="495"/>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c r="A411" s="495"/>
      <c r="B411" s="495"/>
      <c r="C411" s="495"/>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c r="A412" s="495"/>
      <c r="B412" s="495"/>
      <c r="C412" s="495"/>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c r="A413" s="495"/>
      <c r="B413" s="495"/>
      <c r="C413" s="495"/>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c r="A414" s="495"/>
      <c r="B414" s="495"/>
      <c r="C414" s="495"/>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c r="A415" s="495"/>
      <c r="B415" s="495"/>
      <c r="C415" s="495"/>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c r="A416" s="495"/>
      <c r="B416" s="495"/>
      <c r="C416" s="495"/>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c r="A417" s="495"/>
      <c r="B417" s="495"/>
      <c r="C417" s="495"/>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c r="A418" s="495"/>
      <c r="B418" s="495"/>
      <c r="C418" s="495"/>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c r="A419" s="495"/>
      <c r="B419" s="495"/>
      <c r="C419" s="495"/>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c r="A420" s="495"/>
      <c r="B420" s="495"/>
      <c r="C420" s="495"/>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c r="A421" s="495"/>
      <c r="B421" s="495"/>
      <c r="C421" s="495"/>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c r="A422" s="495"/>
      <c r="B422" s="495"/>
      <c r="C422" s="495"/>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c r="A423" s="495"/>
      <c r="B423" s="495"/>
      <c r="C423" s="495"/>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c r="A424" s="495"/>
      <c r="B424" s="495"/>
      <c r="C424" s="495"/>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c r="A425" s="495"/>
      <c r="B425" s="495"/>
      <c r="C425" s="495"/>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c r="A426" s="495"/>
      <c r="B426" s="495"/>
      <c r="C426" s="495"/>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c r="A427" s="495"/>
      <c r="B427" s="495"/>
      <c r="C427" s="495"/>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c r="A428" s="495"/>
      <c r="B428" s="495"/>
      <c r="C428" s="495"/>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c r="A429" s="495"/>
      <c r="B429" s="495"/>
      <c r="C429" s="495"/>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c r="A430" s="495"/>
      <c r="B430" s="495"/>
      <c r="C430" s="495"/>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c r="A431" s="495"/>
      <c r="B431" s="495"/>
      <c r="C431" s="495"/>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c r="A432" s="495"/>
      <c r="B432" s="495"/>
      <c r="C432" s="495"/>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c r="A433" s="495"/>
      <c r="B433" s="495"/>
      <c r="C433" s="495"/>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c r="A434" s="495"/>
      <c r="B434" s="495"/>
      <c r="C434" s="495"/>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c r="A435" s="495"/>
      <c r="B435" s="495"/>
      <c r="C435" s="495"/>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c r="A436" s="495"/>
      <c r="B436" s="495"/>
      <c r="C436" s="495"/>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c r="A437" s="495"/>
      <c r="B437" s="495"/>
      <c r="C437" s="495"/>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c r="A438" s="495"/>
      <c r="B438" s="495"/>
      <c r="C438" s="495"/>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c r="A439" s="495"/>
      <c r="B439" s="495"/>
      <c r="C439" s="495"/>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c r="A440" s="495"/>
      <c r="B440" s="495"/>
      <c r="C440" s="495"/>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c r="A441" s="495"/>
      <c r="B441" s="495"/>
      <c r="C441" s="495"/>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c r="A442" s="495"/>
      <c r="B442" s="495"/>
      <c r="C442" s="495"/>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c r="A443" s="495"/>
      <c r="B443" s="495"/>
      <c r="C443" s="495"/>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c r="A444" s="495"/>
      <c r="B444" s="495"/>
      <c r="C444" s="495"/>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c r="A445" s="495"/>
      <c r="B445" s="495"/>
      <c r="C445" s="495"/>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c r="A446" s="495"/>
      <c r="B446" s="495"/>
      <c r="C446" s="495"/>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c r="A447" s="495"/>
      <c r="B447" s="495"/>
      <c r="C447" s="495"/>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c r="A448" s="495"/>
      <c r="B448" s="495"/>
      <c r="C448" s="495"/>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c r="A449" s="495"/>
      <c r="B449" s="495"/>
      <c r="C449" s="495"/>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c r="A450" s="495"/>
      <c r="B450" s="495"/>
      <c r="C450" s="495"/>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c r="A451" s="495"/>
      <c r="B451" s="495"/>
      <c r="C451" s="495"/>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c r="A452" s="495"/>
      <c r="B452" s="495"/>
      <c r="C452" s="495"/>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c r="A453" s="495"/>
      <c r="B453" s="495"/>
      <c r="C453" s="495"/>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c r="A454" s="495"/>
      <c r="B454" s="495"/>
      <c r="C454" s="495"/>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c r="A455" s="495"/>
      <c r="B455" s="495"/>
      <c r="C455" s="495"/>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c r="A456" s="495"/>
      <c r="B456" s="495"/>
      <c r="C456" s="495"/>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c r="A457" s="495"/>
      <c r="B457" s="495"/>
      <c r="C457" s="495"/>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c r="A458" s="495"/>
      <c r="B458" s="495"/>
      <c r="C458" s="495"/>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c r="A459" s="495"/>
      <c r="B459" s="495"/>
      <c r="C459" s="495"/>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c r="A460" s="495"/>
      <c r="B460" s="495"/>
      <c r="C460" s="495"/>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c r="A461" s="495"/>
      <c r="B461" s="495"/>
      <c r="C461" s="495"/>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c r="A462" s="495"/>
      <c r="B462" s="495"/>
      <c r="C462" s="495"/>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c r="A463" s="495"/>
      <c r="B463" s="495"/>
      <c r="C463" s="495"/>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c r="A464" s="495"/>
      <c r="B464" s="495"/>
      <c r="C464" s="495"/>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c r="A465" s="495"/>
      <c r="B465" s="495"/>
      <c r="C465" s="495"/>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c r="A466" s="495"/>
      <c r="B466" s="495"/>
      <c r="C466" s="495"/>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c r="A467" s="495"/>
      <c r="B467" s="495"/>
      <c r="C467" s="495"/>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c r="A468" s="495"/>
      <c r="B468" s="495"/>
      <c r="C468" s="495"/>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c r="A469" s="495"/>
      <c r="B469" s="495"/>
      <c r="C469" s="495"/>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c r="A470" s="495"/>
      <c r="B470" s="495"/>
      <c r="C470" s="495"/>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c r="A471" s="495"/>
      <c r="B471" s="495"/>
      <c r="C471" s="495"/>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c r="A472" s="495"/>
      <c r="B472" s="495"/>
      <c r="C472" s="495"/>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c r="A473" s="495"/>
      <c r="B473" s="495"/>
      <c r="C473" s="495"/>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c r="A474" s="495"/>
      <c r="B474" s="495"/>
      <c r="C474" s="495"/>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c r="A475" s="495"/>
      <c r="B475" s="495"/>
      <c r="C475" s="495"/>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c r="A476" s="495"/>
      <c r="B476" s="495"/>
      <c r="C476" s="495"/>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c r="A477" s="495"/>
      <c r="B477" s="495"/>
      <c r="C477" s="495"/>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c r="A478" s="495"/>
      <c r="B478" s="495"/>
      <c r="C478" s="495"/>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c r="A479" s="495"/>
      <c r="B479" s="495"/>
      <c r="C479" s="495"/>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c r="A480" s="495"/>
      <c r="B480" s="495"/>
      <c r="C480" s="495"/>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c r="A481" s="495"/>
      <c r="B481" s="495"/>
      <c r="C481" s="495"/>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c r="A482" s="495"/>
      <c r="B482" s="495"/>
      <c r="C482" s="495"/>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c r="A483" s="495"/>
      <c r="B483" s="495"/>
      <c r="C483" s="495"/>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c r="A484" s="495"/>
      <c r="B484" s="495"/>
      <c r="C484" s="495"/>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c r="A485" s="495"/>
      <c r="B485" s="495"/>
      <c r="C485" s="495"/>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c r="A486" s="495"/>
      <c r="B486" s="495"/>
      <c r="C486" s="495"/>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c r="A487" s="495"/>
      <c r="B487" s="495"/>
      <c r="C487" s="495"/>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c r="A488" s="495"/>
      <c r="B488" s="495"/>
      <c r="C488" s="495"/>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c r="A489" s="495"/>
      <c r="B489" s="495"/>
      <c r="C489" s="495"/>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c r="A490" s="495"/>
      <c r="B490" s="495"/>
      <c r="C490" s="495"/>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c r="A491" s="495"/>
      <c r="B491" s="495"/>
      <c r="C491" s="495"/>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c r="A492" s="495"/>
      <c r="B492" s="495"/>
      <c r="C492" s="495"/>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c r="A493" s="495"/>
      <c r="B493" s="495"/>
      <c r="C493" s="495"/>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c r="A494" s="495"/>
      <c r="B494" s="495"/>
      <c r="C494" s="495"/>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c r="A495" s="495"/>
      <c r="B495" s="495"/>
      <c r="C495" s="495"/>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c r="A496" s="495"/>
      <c r="B496" s="495"/>
      <c r="C496" s="495"/>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c r="A497" s="495"/>
      <c r="B497" s="495"/>
      <c r="C497" s="495"/>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c r="A498" s="495"/>
      <c r="B498" s="495"/>
      <c r="C498" s="495"/>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c r="A499" s="495"/>
      <c r="B499" s="495"/>
      <c r="C499" s="495"/>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c r="A500" s="495"/>
      <c r="B500" s="495"/>
      <c r="C500" s="495"/>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c r="A501" s="495"/>
      <c r="B501" s="495"/>
      <c r="C501" s="495"/>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c r="A502" s="495"/>
      <c r="B502" s="495"/>
      <c r="C502" s="495"/>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c r="A503" s="495"/>
      <c r="B503" s="495"/>
      <c r="C503" s="495"/>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c r="A504" s="495"/>
      <c r="B504" s="495"/>
      <c r="C504" s="495"/>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c r="A505" s="495"/>
      <c r="B505" s="495"/>
      <c r="C505" s="495"/>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c r="A506" s="495"/>
      <c r="B506" s="495"/>
      <c r="C506" s="495"/>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c r="A507" s="495"/>
      <c r="B507" s="495"/>
      <c r="C507" s="495"/>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c r="A508" s="495"/>
      <c r="B508" s="495"/>
      <c r="C508" s="495"/>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c r="A509" s="495"/>
      <c r="B509" s="495"/>
      <c r="C509" s="495"/>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c r="A510" s="495"/>
      <c r="B510" s="495"/>
      <c r="C510" s="495"/>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c r="A511" s="495"/>
      <c r="B511" s="495"/>
      <c r="C511" s="495"/>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c r="A512" s="495"/>
      <c r="B512" s="495"/>
      <c r="C512" s="495"/>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c r="A513" s="495"/>
      <c r="B513" s="495"/>
      <c r="C513" s="495"/>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c r="A514" s="495"/>
      <c r="B514" s="495"/>
      <c r="C514" s="495"/>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c r="A515" s="495"/>
      <c r="B515" s="495"/>
      <c r="C515" s="495"/>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c r="A516" s="495"/>
      <c r="B516" s="495"/>
      <c r="C516" s="495"/>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c r="A517" s="495"/>
      <c r="B517" s="495"/>
      <c r="C517" s="495"/>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c r="A518" s="495"/>
      <c r="B518" s="495"/>
      <c r="C518" s="495"/>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c r="A519" s="495"/>
      <c r="B519" s="495"/>
      <c r="C519" s="495"/>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c r="A520" s="495"/>
      <c r="B520" s="495"/>
      <c r="C520" s="495"/>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c r="A521" s="495"/>
      <c r="B521" s="495"/>
      <c r="C521" s="495"/>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c r="A522" s="495"/>
      <c r="B522" s="495"/>
      <c r="C522" s="495"/>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c r="A523" s="495"/>
      <c r="B523" s="495"/>
      <c r="C523" s="495"/>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c r="A524" s="495"/>
      <c r="B524" s="495"/>
      <c r="C524" s="495"/>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c r="A525" s="495"/>
      <c r="B525" s="495"/>
      <c r="C525" s="495"/>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c r="A526" s="495"/>
      <c r="B526" s="495"/>
      <c r="C526" s="495"/>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c r="A527" s="495"/>
      <c r="B527" s="495"/>
      <c r="C527" s="495"/>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c r="A528" s="495"/>
      <c r="B528" s="495"/>
      <c r="C528" s="495"/>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c r="A529" s="495"/>
      <c r="B529" s="495"/>
      <c r="C529" s="495"/>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c r="A530" s="495"/>
      <c r="B530" s="495"/>
      <c r="C530" s="495"/>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c r="A531" s="495"/>
      <c r="B531" s="495"/>
      <c r="C531" s="495"/>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c r="A532" s="495"/>
      <c r="B532" s="495"/>
      <c r="C532" s="495"/>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c r="A533" s="495"/>
      <c r="B533" s="495"/>
      <c r="C533" s="495"/>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c r="A534" s="495"/>
      <c r="B534" s="495"/>
      <c r="C534" s="495"/>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c r="A535" s="495"/>
      <c r="B535" s="495"/>
      <c r="C535" s="495"/>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c r="A536" s="495"/>
      <c r="B536" s="495"/>
      <c r="C536" s="495"/>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c r="A537" s="495"/>
      <c r="B537" s="495"/>
      <c r="C537" s="495"/>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c r="A538" s="495"/>
      <c r="B538" s="495"/>
      <c r="C538" s="495"/>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c r="A539" s="495"/>
      <c r="B539" s="495"/>
      <c r="C539" s="495"/>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c r="A540" s="495"/>
      <c r="B540" s="495"/>
      <c r="C540" s="495"/>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c r="A541" s="495"/>
      <c r="B541" s="495"/>
      <c r="C541" s="495"/>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c r="A542" s="495"/>
      <c r="B542" s="495"/>
      <c r="C542" s="495"/>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c r="A543" s="495"/>
      <c r="B543" s="495"/>
      <c r="C543" s="495"/>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c r="A544" s="495"/>
      <c r="B544" s="495"/>
      <c r="C544" s="495"/>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c r="A545" s="495"/>
      <c r="B545" s="495"/>
      <c r="C545" s="495"/>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c r="A546" s="495"/>
      <c r="B546" s="495"/>
      <c r="C546" s="495"/>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c r="A547" s="495"/>
      <c r="B547" s="495"/>
      <c r="C547" s="495"/>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c r="A548" s="495"/>
      <c r="B548" s="495"/>
      <c r="C548" s="495"/>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c r="A549" s="495"/>
      <c r="B549" s="495"/>
      <c r="C549" s="495"/>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c r="A550" s="495"/>
      <c r="B550" s="495"/>
      <c r="C550" s="495"/>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c r="A551" s="495"/>
      <c r="B551" s="495"/>
      <c r="C551" s="495"/>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c r="A552" s="495"/>
      <c r="B552" s="495"/>
      <c r="C552" s="495"/>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c r="A553" s="495"/>
      <c r="B553" s="495"/>
      <c r="C553" s="495"/>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c r="A554" s="495"/>
      <c r="B554" s="495"/>
      <c r="C554" s="495"/>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c r="A555" s="495"/>
      <c r="B555" s="495"/>
      <c r="C555" s="495"/>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c r="A556" s="495"/>
      <c r="B556" s="495"/>
      <c r="C556" s="495"/>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c r="A557" s="495"/>
      <c r="B557" s="495"/>
      <c r="C557" s="495"/>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c r="A558" s="495"/>
      <c r="B558" s="495"/>
      <c r="C558" s="495"/>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c r="A559" s="495"/>
      <c r="B559" s="495"/>
      <c r="C559" s="495"/>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c r="A560" s="495"/>
      <c r="B560" s="495"/>
      <c r="C560" s="495"/>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c r="A561" s="495"/>
      <c r="B561" s="495"/>
      <c r="C561" s="495"/>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c r="A562" s="495"/>
      <c r="B562" s="495"/>
      <c r="C562" s="495"/>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c r="A563" s="495"/>
      <c r="B563" s="495"/>
      <c r="C563" s="495"/>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c r="A564" s="495"/>
      <c r="B564" s="495"/>
      <c r="C564" s="495"/>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c r="A565" s="495"/>
      <c r="B565" s="495"/>
      <c r="C565" s="495"/>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c r="A566" s="495"/>
      <c r="B566" s="495"/>
      <c r="C566" s="495"/>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c r="A567" s="495"/>
      <c r="B567" s="495"/>
      <c r="C567" s="495"/>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c r="A568" s="495"/>
      <c r="B568" s="495"/>
      <c r="C568" s="495"/>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c r="A569" s="495"/>
      <c r="B569" s="495"/>
      <c r="C569" s="495"/>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c r="A570" s="495"/>
      <c r="B570" s="495"/>
      <c r="C570" s="495"/>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c r="A571" s="495"/>
      <c r="B571" s="495"/>
      <c r="C571" s="495"/>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c r="A572" s="495"/>
      <c r="B572" s="495"/>
      <c r="C572" s="495"/>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c r="A573" s="495"/>
      <c r="B573" s="495"/>
      <c r="C573" s="495"/>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c r="A574" s="495"/>
      <c r="B574" s="495"/>
      <c r="C574" s="495"/>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c r="A575" s="495"/>
      <c r="B575" s="495"/>
      <c r="C575" s="495"/>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c r="A576" s="495"/>
      <c r="B576" s="495"/>
      <c r="C576" s="495"/>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c r="A577" s="495"/>
      <c r="B577" s="495"/>
      <c r="C577" s="495"/>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c r="A578" s="495"/>
      <c r="B578" s="495"/>
      <c r="C578" s="495"/>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c r="A579" s="495"/>
      <c r="B579" s="495"/>
      <c r="C579" s="495"/>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c r="A580" s="495"/>
      <c r="B580" s="495"/>
      <c r="C580" s="495"/>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c r="A581" s="495"/>
      <c r="B581" s="495"/>
      <c r="C581" s="495"/>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c r="A582" s="495"/>
      <c r="B582" s="495"/>
      <c r="C582" s="495"/>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c r="A583" s="495"/>
      <c r="B583" s="495"/>
      <c r="C583" s="495"/>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c r="A584" s="495"/>
      <c r="B584" s="495"/>
      <c r="C584" s="495"/>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c r="A585" s="495"/>
      <c r="B585" s="495"/>
      <c r="C585" s="495"/>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c r="A586" s="495"/>
      <c r="B586" s="495"/>
      <c r="C586" s="495"/>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c r="A587" s="495"/>
      <c r="B587" s="495"/>
      <c r="C587" s="495"/>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c r="A588" s="495"/>
      <c r="B588" s="495"/>
      <c r="C588" s="495"/>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c r="A589" s="495"/>
      <c r="B589" s="495"/>
      <c r="C589" s="495"/>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c r="A590" s="495"/>
      <c r="B590" s="495"/>
      <c r="C590" s="495"/>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c r="A591" s="495"/>
      <c r="B591" s="495"/>
      <c r="C591" s="495"/>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c r="A592" s="495"/>
      <c r="B592" s="495"/>
      <c r="C592" s="495"/>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c r="A593" s="495"/>
      <c r="B593" s="495"/>
      <c r="C593" s="495"/>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c r="A594" s="495"/>
      <c r="B594" s="495"/>
      <c r="C594" s="495"/>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c r="A595" s="495"/>
      <c r="B595" s="495"/>
      <c r="C595" s="495"/>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c r="A596" s="495"/>
      <c r="B596" s="495"/>
      <c r="C596" s="495"/>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c r="A597" s="495"/>
      <c r="B597" s="495"/>
      <c r="C597" s="495"/>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c r="A598" s="495"/>
      <c r="B598" s="495"/>
      <c r="C598" s="495"/>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c r="A599" s="495"/>
      <c r="B599" s="495"/>
      <c r="C599" s="495"/>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c r="A600" s="495"/>
      <c r="B600" s="495"/>
      <c r="C600" s="495"/>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c r="A601" s="495"/>
      <c r="B601" s="495"/>
      <c r="C601" s="495"/>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c r="A602" s="495"/>
      <c r="B602" s="495"/>
      <c r="C602" s="495"/>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c r="A603" s="495"/>
      <c r="B603" s="495"/>
      <c r="C603" s="495"/>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c r="A604" s="495"/>
      <c r="B604" s="495"/>
      <c r="C604" s="495"/>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c r="A605" s="495"/>
      <c r="B605" s="495"/>
      <c r="C605" s="495"/>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c r="A606" s="495"/>
      <c r="B606" s="495"/>
      <c r="C606" s="495"/>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c r="A607" s="495"/>
      <c r="B607" s="495"/>
      <c r="C607" s="495"/>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c r="A608" s="495"/>
      <c r="B608" s="495"/>
      <c r="C608" s="495"/>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c r="A609" s="495"/>
      <c r="B609" s="495"/>
      <c r="C609" s="495"/>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c r="A610" s="495"/>
      <c r="B610" s="495"/>
      <c r="C610" s="495"/>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c r="A611" s="495"/>
      <c r="B611" s="495"/>
      <c r="C611" s="495"/>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c r="A612" s="495"/>
      <c r="B612" s="495"/>
      <c r="C612" s="495"/>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c r="A613" s="495"/>
      <c r="B613" s="495"/>
      <c r="C613" s="495"/>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c r="A614" s="495"/>
      <c r="B614" s="495"/>
      <c r="C614" s="495"/>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c r="A615" s="495"/>
      <c r="B615" s="495"/>
      <c r="C615" s="495"/>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c r="A616" s="495"/>
      <c r="B616" s="495"/>
      <c r="C616" s="495"/>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c r="A617" s="495"/>
      <c r="B617" s="495"/>
      <c r="C617" s="495"/>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c r="A618" s="495"/>
      <c r="B618" s="495"/>
      <c r="C618" s="495"/>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c r="A619" s="495"/>
      <c r="B619" s="495"/>
      <c r="C619" s="495"/>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c r="A620" s="495"/>
      <c r="B620" s="495"/>
      <c r="C620" s="495"/>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c r="A621" s="495"/>
      <c r="B621" s="495"/>
      <c r="C621" s="495"/>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c r="A622" s="495"/>
      <c r="B622" s="495"/>
      <c r="C622" s="495"/>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c r="A623" s="495"/>
      <c r="B623" s="495"/>
      <c r="C623" s="495"/>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c r="A624" s="495"/>
      <c r="B624" s="495"/>
      <c r="C624" s="495"/>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c r="A625" s="495"/>
      <c r="B625" s="495"/>
      <c r="C625" s="495"/>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c r="A626" s="495"/>
      <c r="B626" s="495"/>
      <c r="C626" s="495"/>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c r="A627" s="495"/>
      <c r="B627" s="495"/>
      <c r="C627" s="495"/>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c r="A628" s="495"/>
      <c r="B628" s="495"/>
      <c r="C628" s="495"/>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c r="A629" s="495"/>
      <c r="B629" s="495"/>
      <c r="C629" s="495"/>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c r="A630" s="495"/>
      <c r="B630" s="495"/>
      <c r="C630" s="495"/>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c r="A631" s="495"/>
      <c r="B631" s="495"/>
      <c r="C631" s="495"/>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c r="A632" s="495"/>
      <c r="B632" s="495"/>
      <c r="C632" s="495"/>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c r="A633" s="495"/>
      <c r="B633" s="495"/>
      <c r="C633" s="495"/>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c r="A634" s="495"/>
      <c r="B634" s="495"/>
      <c r="C634" s="495"/>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c r="A635" s="495"/>
      <c r="B635" s="495"/>
      <c r="C635" s="495"/>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c r="A636" s="495"/>
      <c r="B636" s="495"/>
      <c r="C636" s="495"/>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c r="A637" s="495"/>
      <c r="B637" s="495"/>
      <c r="C637" s="495"/>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c r="A638" s="495"/>
      <c r="B638" s="495"/>
      <c r="C638" s="495"/>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c r="A639" s="495"/>
      <c r="B639" s="495"/>
      <c r="C639" s="495"/>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c r="A640" s="495"/>
      <c r="B640" s="495"/>
      <c r="C640" s="495"/>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c r="A641" s="495"/>
      <c r="B641" s="495"/>
      <c r="C641" s="495"/>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c r="A642" s="495"/>
      <c r="B642" s="495"/>
      <c r="C642" s="495"/>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c r="A643" s="495"/>
      <c r="B643" s="495"/>
      <c r="C643" s="495"/>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c r="A644" s="495"/>
      <c r="B644" s="495"/>
      <c r="C644" s="495"/>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c r="A645" s="495"/>
      <c r="B645" s="495"/>
      <c r="C645" s="495"/>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c r="A646" s="495"/>
      <c r="B646" s="495"/>
      <c r="C646" s="495"/>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c r="A647" s="495"/>
      <c r="B647" s="495"/>
      <c r="C647" s="495"/>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c r="A648" s="495"/>
      <c r="B648" s="495"/>
      <c r="C648" s="495"/>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c r="A649" s="495"/>
      <c r="B649" s="495"/>
      <c r="C649" s="495"/>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c r="A650" s="495"/>
      <c r="B650" s="495"/>
      <c r="C650" s="495"/>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c r="A651" s="495"/>
      <c r="B651" s="495"/>
      <c r="C651" s="495"/>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c r="A652" s="495"/>
      <c r="B652" s="495"/>
      <c r="C652" s="495"/>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c r="A653" s="495"/>
      <c r="B653" s="495"/>
      <c r="C653" s="495"/>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c r="A654" s="495"/>
      <c r="B654" s="495"/>
      <c r="C654" s="495"/>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c r="A655" s="495"/>
      <c r="B655" s="495"/>
      <c r="C655" s="495"/>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c r="A656" s="495"/>
      <c r="B656" s="495"/>
      <c r="C656" s="495"/>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c r="A657" s="495"/>
      <c r="B657" s="495"/>
      <c r="C657" s="495"/>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c r="A658" s="495"/>
      <c r="B658" s="495"/>
      <c r="C658" s="495"/>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c r="A659" s="495"/>
      <c r="B659" s="495"/>
      <c r="C659" s="495"/>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c r="A660" s="495"/>
      <c r="B660" s="495"/>
      <c r="C660" s="495"/>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c r="A661" s="495"/>
      <c r="B661" s="495"/>
      <c r="C661" s="495"/>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c r="A662" s="495"/>
      <c r="B662" s="495"/>
      <c r="C662" s="495"/>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c r="A663" s="495"/>
      <c r="B663" s="495"/>
      <c r="C663" s="495"/>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c r="A664" s="495"/>
      <c r="B664" s="495"/>
      <c r="C664" s="495"/>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c r="A665" s="495"/>
      <c r="B665" s="495"/>
      <c r="C665" s="495"/>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c r="A666" s="495"/>
      <c r="B666" s="495"/>
      <c r="C666" s="495"/>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c r="A667" s="495"/>
      <c r="B667" s="495"/>
      <c r="C667" s="495"/>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c r="A668" s="495"/>
      <c r="B668" s="495"/>
      <c r="C668" s="495"/>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c r="A669" s="495"/>
      <c r="B669" s="495"/>
      <c r="C669" s="495"/>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c r="A670" s="495"/>
      <c r="B670" s="495"/>
      <c r="C670" s="495"/>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c r="A671" s="495"/>
      <c r="B671" s="495"/>
      <c r="C671" s="495"/>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c r="A672" s="495"/>
      <c r="B672" s="495"/>
      <c r="C672" s="495"/>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c r="A673" s="495"/>
      <c r="B673" s="495"/>
      <c r="C673" s="495"/>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c r="A674" s="495"/>
      <c r="B674" s="495"/>
      <c r="C674" s="495"/>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c r="A675" s="495"/>
      <c r="B675" s="495"/>
      <c r="C675" s="495"/>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c r="A676" s="495"/>
      <c r="B676" s="495"/>
      <c r="C676" s="495"/>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c r="A677" s="495"/>
      <c r="B677" s="495"/>
      <c r="C677" s="495"/>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c r="A678" s="495"/>
      <c r="B678" s="495"/>
      <c r="C678" s="495"/>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c r="A679" s="495"/>
      <c r="B679" s="495"/>
      <c r="C679" s="495"/>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c r="A680" s="495"/>
      <c r="B680" s="495"/>
      <c r="C680" s="495"/>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c r="A681" s="495"/>
      <c r="B681" s="495"/>
      <c r="C681" s="495"/>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c r="A682" s="495"/>
      <c r="B682" s="495"/>
      <c r="C682" s="495"/>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c r="A683" s="495"/>
      <c r="B683" s="495"/>
      <c r="C683" s="495"/>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c r="A684" s="495"/>
      <c r="B684" s="495"/>
      <c r="C684" s="495"/>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c r="A685" s="495"/>
      <c r="B685" s="495"/>
      <c r="C685" s="495"/>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c r="A686" s="495"/>
      <c r="B686" s="495"/>
      <c r="C686" s="495"/>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c r="A687" s="495"/>
      <c r="B687" s="495"/>
      <c r="C687" s="495"/>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c r="A688" s="495"/>
      <c r="B688" s="495"/>
      <c r="C688" s="495"/>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c r="A689" s="495"/>
      <c r="B689" s="495"/>
      <c r="C689" s="495"/>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c r="A690" s="495"/>
      <c r="B690" s="495"/>
      <c r="C690" s="495"/>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c r="A691" s="495"/>
      <c r="B691" s="495"/>
      <c r="C691" s="495"/>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c r="A692" s="495"/>
      <c r="B692" s="495"/>
      <c r="C692" s="495"/>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c r="A693" s="495"/>
      <c r="B693" s="495"/>
      <c r="C693" s="495"/>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c r="A694" s="495"/>
      <c r="B694" s="495"/>
      <c r="C694" s="495"/>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c r="A695" s="495"/>
      <c r="B695" s="495"/>
      <c r="C695" s="495"/>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c r="A696" s="495"/>
      <c r="B696" s="495"/>
      <c r="C696" s="495"/>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c r="A697" s="495"/>
      <c r="B697" s="495"/>
      <c r="C697" s="495"/>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c r="A698" s="495"/>
      <c r="B698" s="495"/>
      <c r="C698" s="495"/>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c r="A699" s="495"/>
      <c r="B699" s="495"/>
      <c r="C699" s="495"/>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c r="A700" s="495"/>
      <c r="B700" s="495"/>
      <c r="C700" s="495"/>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c r="A701" s="495"/>
      <c r="B701" s="495"/>
      <c r="C701" s="495"/>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c r="A702" s="495"/>
      <c r="B702" s="495"/>
      <c r="C702" s="495"/>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c r="A703" s="495"/>
      <c r="B703" s="495"/>
      <c r="C703" s="495"/>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c r="A704" s="495"/>
      <c r="B704" s="495"/>
      <c r="C704" s="495"/>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c r="A705" s="495"/>
      <c r="B705" s="495"/>
      <c r="C705" s="495"/>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c r="A706" s="495"/>
      <c r="B706" s="495"/>
      <c r="C706" s="495"/>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c r="A707" s="495"/>
      <c r="B707" s="495"/>
      <c r="C707" s="495"/>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c r="A708" s="495"/>
      <c r="B708" s="495"/>
      <c r="C708" s="495"/>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c r="A709" s="495"/>
      <c r="B709" s="495"/>
      <c r="C709" s="495"/>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c r="A710" s="495"/>
      <c r="B710" s="495"/>
      <c r="C710" s="495"/>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c r="A711" s="495"/>
      <c r="B711" s="495"/>
      <c r="C711" s="495"/>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c r="A712" s="495"/>
      <c r="B712" s="495"/>
      <c r="C712" s="495"/>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c r="A713" s="495"/>
      <c r="B713" s="495"/>
      <c r="C713" s="495"/>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c r="A714" s="495"/>
      <c r="B714" s="495"/>
      <c r="C714" s="495"/>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c r="A715" s="495"/>
      <c r="B715" s="495"/>
      <c r="C715" s="495"/>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c r="A716" s="495"/>
      <c r="B716" s="495"/>
      <c r="C716" s="495"/>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c r="A717" s="495"/>
      <c r="B717" s="495"/>
      <c r="C717" s="495"/>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c r="A718" s="495"/>
      <c r="B718" s="495"/>
      <c r="C718" s="495"/>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c r="A719" s="495"/>
      <c r="B719" s="495"/>
      <c r="C719" s="495"/>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c r="A720" s="495"/>
      <c r="B720" s="495"/>
      <c r="C720" s="495"/>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c r="A721" s="495"/>
      <c r="B721" s="495"/>
      <c r="C721" s="495"/>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c r="A722" s="495"/>
      <c r="B722" s="495"/>
      <c r="C722" s="495"/>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c r="A723" s="495"/>
      <c r="B723" s="495"/>
      <c r="C723" s="495"/>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c r="A724" s="495"/>
      <c r="B724" s="495"/>
      <c r="C724" s="495"/>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c r="A725" s="495"/>
      <c r="B725" s="495"/>
      <c r="C725" s="495"/>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c r="A726" s="495"/>
      <c r="B726" s="495"/>
      <c r="C726" s="495"/>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c r="A727" s="495"/>
      <c r="B727" s="495"/>
      <c r="C727" s="495"/>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c r="A728" s="495"/>
      <c r="B728" s="495"/>
      <c r="C728" s="495"/>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c r="A729" s="495"/>
      <c r="B729" s="495"/>
      <c r="C729" s="495"/>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c r="A730" s="495"/>
      <c r="B730" s="495"/>
      <c r="C730" s="495"/>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c r="A731" s="495"/>
      <c r="B731" s="495"/>
      <c r="C731" s="495"/>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c r="A732" s="495"/>
      <c r="B732" s="495"/>
      <c r="C732" s="495"/>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c r="A733" s="495"/>
      <c r="B733" s="495"/>
      <c r="C733" s="495"/>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c r="A734" s="495"/>
      <c r="B734" s="495"/>
      <c r="C734" s="495"/>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c r="A735" s="495"/>
      <c r="B735" s="495"/>
      <c r="C735" s="495"/>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c r="A736" s="495"/>
      <c r="B736" s="495"/>
      <c r="C736" s="495"/>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c r="A737" s="495"/>
      <c r="B737" s="495"/>
      <c r="C737" s="495"/>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c r="A738" s="495"/>
      <c r="B738" s="495"/>
      <c r="C738" s="495"/>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c r="A739" s="495"/>
      <c r="B739" s="495"/>
      <c r="C739" s="495"/>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c r="A740" s="495"/>
      <c r="B740" s="495"/>
      <c r="C740" s="495"/>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c r="A741" s="495"/>
      <c r="B741" s="495"/>
      <c r="C741" s="495"/>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c r="A742" s="495"/>
      <c r="B742" s="495"/>
      <c r="C742" s="495"/>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c r="A743" s="495"/>
      <c r="B743" s="495"/>
      <c r="C743" s="495"/>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c r="A744" s="495"/>
      <c r="B744" s="495"/>
      <c r="C744" s="495"/>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c r="A745" s="495"/>
      <c r="B745" s="495"/>
      <c r="C745" s="495"/>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c r="A746" s="495"/>
      <c r="B746" s="495"/>
      <c r="C746" s="495"/>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c r="A747" s="495"/>
      <c r="B747" s="495"/>
      <c r="C747" s="495"/>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c r="A748" s="495"/>
      <c r="B748" s="495"/>
      <c r="C748" s="495"/>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c r="A749" s="495"/>
      <c r="B749" s="495"/>
      <c r="C749" s="495"/>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c r="A750" s="495"/>
      <c r="B750" s="495"/>
      <c r="C750" s="495"/>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c r="A751" s="495"/>
      <c r="B751" s="495"/>
      <c r="C751" s="495"/>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c r="A752" s="495"/>
      <c r="B752" s="495"/>
      <c r="C752" s="495"/>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c r="A753" s="495"/>
      <c r="B753" s="495"/>
      <c r="C753" s="495"/>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c r="A754" s="495"/>
      <c r="B754" s="495"/>
      <c r="C754" s="495"/>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c r="A755" s="495"/>
      <c r="B755" s="495"/>
      <c r="C755" s="495"/>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c r="A756" s="495"/>
      <c r="B756" s="495"/>
      <c r="C756" s="495"/>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c r="A757" s="495"/>
      <c r="B757" s="495"/>
      <c r="C757" s="495"/>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c r="A758" s="495"/>
      <c r="B758" s="495"/>
      <c r="C758" s="495"/>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c r="A759" s="495"/>
      <c r="B759" s="495"/>
      <c r="C759" s="495"/>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c r="A760" s="495"/>
      <c r="B760" s="495"/>
      <c r="C760" s="495"/>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c r="A761" s="495"/>
      <c r="B761" s="495"/>
      <c r="C761" s="495"/>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c r="A762" s="495"/>
      <c r="B762" s="495"/>
      <c r="C762" s="495"/>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c r="A763" s="495"/>
      <c r="B763" s="495"/>
      <c r="C763" s="495"/>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c r="A764" s="495"/>
      <c r="B764" s="495"/>
      <c r="C764" s="495"/>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c r="A765" s="495"/>
      <c r="B765" s="495"/>
      <c r="C765" s="495"/>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c r="A766" s="495"/>
      <c r="B766" s="495"/>
      <c r="C766" s="495"/>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c r="A767" s="495"/>
      <c r="B767" s="495"/>
      <c r="C767" s="495"/>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c r="A768" s="495"/>
      <c r="B768" s="495"/>
      <c r="C768" s="495"/>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c r="A769" s="495"/>
      <c r="B769" s="495"/>
      <c r="C769" s="495"/>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c r="A770" s="495"/>
      <c r="B770" s="495"/>
      <c r="C770" s="495"/>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c r="A771" s="495"/>
      <c r="B771" s="495"/>
      <c r="C771" s="495"/>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c r="A772" s="495"/>
      <c r="B772" s="495"/>
      <c r="C772" s="495"/>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c r="A773" s="495"/>
      <c r="B773" s="495"/>
      <c r="C773" s="495"/>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c r="A774" s="495"/>
      <c r="B774" s="495"/>
      <c r="C774" s="495"/>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c r="A775" s="495"/>
      <c r="B775" s="495"/>
      <c r="C775" s="495"/>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c r="A776" s="495"/>
      <c r="B776" s="495"/>
      <c r="C776" s="495"/>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c r="A777" s="495"/>
      <c r="B777" s="495"/>
      <c r="C777" s="495"/>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c r="A778" s="495"/>
      <c r="B778" s="495"/>
      <c r="C778" s="495"/>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c r="A779" s="495"/>
      <c r="B779" s="495"/>
      <c r="C779" s="495"/>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c r="A780" s="495"/>
      <c r="B780" s="495"/>
      <c r="C780" s="495"/>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c r="A781" s="495"/>
      <c r="B781" s="495"/>
      <c r="C781" s="495"/>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c r="A782" s="495"/>
      <c r="B782" s="495"/>
      <c r="C782" s="495"/>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c r="A783" s="495"/>
      <c r="B783" s="495"/>
      <c r="C783" s="495"/>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c r="A784" s="495"/>
      <c r="B784" s="495"/>
      <c r="C784" s="495"/>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c r="A785" s="495"/>
      <c r="B785" s="495"/>
      <c r="C785" s="495"/>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c r="A786" s="495"/>
      <c r="B786" s="495"/>
      <c r="C786" s="495"/>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c r="A787" s="495"/>
      <c r="B787" s="495"/>
      <c r="C787" s="495"/>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c r="A788" s="495"/>
      <c r="B788" s="495"/>
      <c r="C788" s="495"/>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c r="A789" s="495"/>
      <c r="B789" s="495"/>
      <c r="C789" s="495"/>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c r="A790" s="495"/>
      <c r="B790" s="495"/>
      <c r="C790" s="495"/>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c r="A791" s="495"/>
      <c r="B791" s="495"/>
      <c r="C791" s="495"/>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c r="A792" s="495"/>
      <c r="B792" s="495"/>
      <c r="C792" s="495"/>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c r="A793" s="495"/>
      <c r="B793" s="495"/>
      <c r="C793" s="495"/>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c r="A794" s="495"/>
      <c r="B794" s="495"/>
      <c r="C794" s="495"/>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c r="A795" s="495"/>
      <c r="B795" s="495"/>
      <c r="C795" s="495"/>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c r="A796" s="495"/>
      <c r="B796" s="495"/>
      <c r="C796" s="495"/>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c r="A797" s="495"/>
      <c r="B797" s="495"/>
      <c r="C797" s="495"/>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c r="A798" s="495"/>
      <c r="B798" s="495"/>
      <c r="C798" s="495"/>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c r="A799" s="495"/>
      <c r="B799" s="495"/>
      <c r="C799" s="495"/>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c r="A800" s="495"/>
      <c r="B800" s="495"/>
      <c r="C800" s="495"/>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c r="A801" s="495"/>
      <c r="B801" s="495"/>
      <c r="C801" s="495"/>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c r="A802" s="495"/>
      <c r="B802" s="495"/>
      <c r="C802" s="495"/>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c r="A803" s="495"/>
      <c r="B803" s="495"/>
      <c r="C803" s="495"/>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c r="A804" s="495"/>
      <c r="B804" s="495"/>
      <c r="C804" s="495"/>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c r="A805" s="495"/>
      <c r="B805" s="495"/>
      <c r="C805" s="495"/>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c r="A806" s="495"/>
      <c r="B806" s="495"/>
      <c r="C806" s="495"/>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c r="A807" s="495"/>
      <c r="B807" s="495"/>
      <c r="C807" s="495"/>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c r="A808" s="495"/>
      <c r="B808" s="495"/>
      <c r="C808" s="495"/>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c r="A809" s="495"/>
      <c r="B809" s="495"/>
      <c r="C809" s="495"/>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c r="A810" s="495"/>
      <c r="B810" s="495"/>
      <c r="C810" s="495"/>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c r="A811" s="495"/>
      <c r="B811" s="495"/>
      <c r="C811" s="495"/>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c r="A812" s="495"/>
      <c r="B812" s="495"/>
      <c r="C812" s="495"/>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c r="A813" s="495"/>
      <c r="B813" s="495"/>
      <c r="C813" s="495"/>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c r="A814" s="495"/>
      <c r="B814" s="495"/>
      <c r="C814" s="495"/>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c r="A815" s="495"/>
      <c r="B815" s="495"/>
      <c r="C815" s="495"/>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c r="A816" s="495"/>
      <c r="B816" s="495"/>
      <c r="C816" s="495"/>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c r="A817" s="495"/>
      <c r="B817" s="495"/>
      <c r="C817" s="495"/>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c r="A818" s="495"/>
      <c r="B818" s="495"/>
      <c r="C818" s="495"/>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c r="A819" s="495"/>
      <c r="B819" s="495"/>
      <c r="C819" s="495"/>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c r="A820" s="495"/>
      <c r="B820" s="495"/>
      <c r="C820" s="495"/>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c r="A821" s="495"/>
      <c r="B821" s="495"/>
      <c r="C821" s="495"/>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c r="A822" s="495"/>
      <c r="B822" s="495"/>
      <c r="C822" s="495"/>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c r="A823" s="495"/>
      <c r="B823" s="495"/>
      <c r="C823" s="495"/>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c r="A824" s="495"/>
      <c r="B824" s="495"/>
      <c r="C824" s="495"/>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c r="A825" s="495"/>
      <c r="B825" s="495"/>
      <c r="C825" s="495"/>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c r="A826" s="495"/>
      <c r="B826" s="495"/>
      <c r="C826" s="495"/>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c r="A827" s="495"/>
      <c r="B827" s="495"/>
      <c r="C827" s="495"/>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c r="A828" s="495"/>
      <c r="B828" s="495"/>
      <c r="C828" s="495"/>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c r="A829" s="495"/>
      <c r="B829" s="495"/>
      <c r="C829" s="495"/>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c r="A830" s="495"/>
      <c r="B830" s="495"/>
      <c r="C830" s="495"/>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c r="A831" s="495"/>
      <c r="B831" s="495"/>
      <c r="C831" s="495"/>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c r="A832" s="495"/>
      <c r="B832" s="495"/>
      <c r="C832" s="495"/>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c r="A833" s="495"/>
      <c r="B833" s="495"/>
      <c r="C833" s="495"/>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c r="A834" s="495"/>
      <c r="B834" s="495"/>
      <c r="C834" s="495"/>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c r="A835" s="495"/>
      <c r="B835" s="495"/>
      <c r="C835" s="495"/>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c r="A836" s="495"/>
      <c r="B836" s="495"/>
      <c r="C836" s="495"/>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c r="A837" s="495"/>
      <c r="B837" s="495"/>
      <c r="C837" s="495"/>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c r="A838" s="495"/>
      <c r="B838" s="495"/>
      <c r="C838" s="495"/>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c r="A839" s="495"/>
      <c r="B839" s="495"/>
      <c r="C839" s="495"/>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c r="A840" s="495"/>
      <c r="B840" s="495"/>
      <c r="C840" s="495"/>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c r="A841" s="495"/>
      <c r="B841" s="495"/>
      <c r="C841" s="495"/>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c r="A842" s="495"/>
      <c r="B842" s="495"/>
      <c r="C842" s="495"/>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c r="A843" s="495"/>
      <c r="B843" s="495"/>
      <c r="C843" s="495"/>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c r="A844" s="495"/>
      <c r="B844" s="495"/>
      <c r="C844" s="495"/>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c r="A845" s="495"/>
      <c r="B845" s="495"/>
      <c r="C845" s="495"/>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c r="A846" s="495"/>
      <c r="B846" s="495"/>
      <c r="C846" s="495"/>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c r="A847" s="495"/>
      <c r="B847" s="495"/>
      <c r="C847" s="495"/>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c r="A848" s="495"/>
      <c r="B848" s="495"/>
      <c r="C848" s="495"/>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c r="A849" s="495"/>
      <c r="B849" s="495"/>
      <c r="C849" s="495"/>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c r="A850" s="495"/>
      <c r="B850" s="495"/>
      <c r="C850" s="495"/>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c r="A851" s="495"/>
      <c r="B851" s="495"/>
      <c r="C851" s="495"/>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c r="A852" s="495"/>
      <c r="B852" s="495"/>
      <c r="C852" s="495"/>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c r="A853" s="495"/>
      <c r="B853" s="495"/>
      <c r="C853" s="495"/>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c r="A854" s="495"/>
      <c r="B854" s="495"/>
      <c r="C854" s="495"/>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c r="A855" s="495"/>
      <c r="B855" s="495"/>
      <c r="C855" s="495"/>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c r="A856" s="495"/>
      <c r="B856" s="495"/>
      <c r="C856" s="495"/>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c r="A857" s="495"/>
      <c r="B857" s="495"/>
      <c r="C857" s="495"/>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c r="A858" s="495"/>
      <c r="B858" s="495"/>
      <c r="C858" s="495"/>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c r="A859" s="495"/>
      <c r="B859" s="495"/>
      <c r="C859" s="495"/>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c r="A860" s="495"/>
      <c r="B860" s="495"/>
      <c r="C860" s="495"/>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c r="A861" s="495"/>
      <c r="B861" s="495"/>
      <c r="C861" s="495"/>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c r="A862" s="495"/>
      <c r="B862" s="495"/>
      <c r="C862" s="495"/>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c r="A863" s="495"/>
      <c r="B863" s="495"/>
      <c r="C863" s="495"/>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c r="A864" s="495"/>
      <c r="B864" s="495"/>
      <c r="C864" s="495"/>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c r="A865" s="495"/>
      <c r="B865" s="495"/>
      <c r="C865" s="495"/>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c r="A866" s="495"/>
      <c r="B866" s="495"/>
      <c r="C866" s="495"/>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c r="A867" s="495"/>
      <c r="B867" s="495"/>
      <c r="C867" s="495"/>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c r="A868" s="495"/>
      <c r="B868" s="495"/>
      <c r="C868" s="495"/>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c r="A869" s="495"/>
      <c r="B869" s="495"/>
      <c r="C869" s="495"/>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c r="A870" s="495"/>
      <c r="B870" s="495"/>
      <c r="C870" s="495"/>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c r="A871" s="495"/>
      <c r="B871" s="495"/>
      <c r="C871" s="495"/>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c r="A872" s="495"/>
      <c r="B872" s="495"/>
      <c r="C872" s="495"/>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c r="A873" s="495"/>
      <c r="B873" s="495"/>
      <c r="C873" s="495"/>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c r="A874" s="495"/>
      <c r="B874" s="495"/>
      <c r="C874" s="495"/>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c r="A875" s="495"/>
      <c r="B875" s="495"/>
      <c r="C875" s="495"/>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c r="A876" s="495"/>
      <c r="B876" s="495"/>
      <c r="C876" s="495"/>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c r="A877" s="495"/>
      <c r="B877" s="495"/>
      <c r="C877" s="495"/>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c r="A878" s="495"/>
      <c r="B878" s="495"/>
      <c r="C878" s="495"/>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c r="A879" s="495"/>
      <c r="B879" s="495"/>
      <c r="C879" s="495"/>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c r="A880" s="495"/>
      <c r="B880" s="495"/>
      <c r="C880" s="495"/>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c r="A881" s="495"/>
      <c r="B881" s="495"/>
      <c r="C881" s="495"/>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c r="A882" s="495"/>
      <c r="B882" s="495"/>
      <c r="C882" s="495"/>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c r="A883" s="495"/>
      <c r="B883" s="495"/>
      <c r="C883" s="495"/>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c r="A884" s="495"/>
      <c r="B884" s="495"/>
      <c r="C884" s="495"/>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c r="A885" s="495"/>
      <c r="B885" s="495"/>
      <c r="C885" s="495"/>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c r="A886" s="495"/>
      <c r="B886" s="495"/>
      <c r="C886" s="495"/>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c r="A887" s="495"/>
      <c r="B887" s="495"/>
      <c r="C887" s="495"/>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c r="A888" s="495"/>
      <c r="B888" s="495"/>
      <c r="C888" s="495"/>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c r="A889" s="495"/>
      <c r="B889" s="495"/>
      <c r="C889" s="495"/>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c r="A890" s="495"/>
      <c r="B890" s="495"/>
      <c r="C890" s="495"/>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c r="A891" s="495"/>
      <c r="B891" s="495"/>
      <c r="C891" s="495"/>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c r="A892" s="495"/>
      <c r="B892" s="495"/>
      <c r="C892" s="495"/>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c r="A893" s="495"/>
      <c r="B893" s="495"/>
      <c r="C893" s="495"/>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c r="A894" s="495"/>
      <c r="B894" s="495"/>
      <c r="C894" s="495"/>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c r="A895" s="495"/>
      <c r="B895" s="495"/>
      <c r="C895" s="495"/>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c r="A896" s="495"/>
      <c r="B896" s="495"/>
      <c r="C896" s="495"/>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c r="A897" s="495"/>
      <c r="B897" s="495"/>
      <c r="C897" s="495"/>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c r="A898" s="495"/>
      <c r="B898" s="495"/>
      <c r="C898" s="495"/>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c r="A899" s="495"/>
      <c r="B899" s="495"/>
      <c r="C899" s="495"/>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c r="A900" s="495"/>
      <c r="B900" s="495"/>
      <c r="C900" s="495"/>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c r="A901" s="495"/>
      <c r="B901" s="495"/>
      <c r="C901" s="495"/>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c r="A902" s="495"/>
      <c r="B902" s="495"/>
      <c r="C902" s="495"/>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c r="A903" s="495"/>
      <c r="B903" s="495"/>
      <c r="C903" s="495"/>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c r="A904" s="495"/>
      <c r="B904" s="495"/>
      <c r="C904" s="495"/>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c r="A905" s="495"/>
      <c r="B905" s="495"/>
      <c r="C905" s="495"/>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c r="A906" s="495"/>
      <c r="B906" s="495"/>
      <c r="C906" s="495"/>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c r="A907" s="495"/>
      <c r="B907" s="495"/>
      <c r="C907" s="495"/>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c r="A908" s="495"/>
      <c r="B908" s="495"/>
      <c r="C908" s="495"/>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c r="A909" s="495"/>
      <c r="B909" s="495"/>
      <c r="C909" s="495"/>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c r="A910" s="495"/>
      <c r="B910" s="495"/>
      <c r="C910" s="495"/>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c r="A911" s="495"/>
      <c r="B911" s="495"/>
      <c r="C911" s="495"/>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c r="A912" s="495"/>
      <c r="B912" s="495"/>
      <c r="C912" s="495"/>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c r="A913" s="495"/>
      <c r="B913" s="495"/>
      <c r="C913" s="495"/>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c r="A914" s="495"/>
      <c r="B914" s="495"/>
      <c r="C914" s="495"/>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c r="A915" s="495"/>
      <c r="B915" s="495"/>
      <c r="C915" s="495"/>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c r="A916" s="495"/>
      <c r="B916" s="495"/>
      <c r="C916" s="495"/>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c r="A917" s="495"/>
      <c r="B917" s="495"/>
      <c r="C917" s="495"/>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c r="A918" s="495"/>
      <c r="B918" s="495"/>
      <c r="C918" s="495"/>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c r="A919" s="495"/>
      <c r="B919" s="495"/>
      <c r="C919" s="495"/>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c r="A920" s="495"/>
      <c r="B920" s="495"/>
      <c r="C920" s="495"/>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c r="A921" s="495"/>
      <c r="B921" s="495"/>
      <c r="C921" s="495"/>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c r="A922" s="495"/>
      <c r="B922" s="495"/>
      <c r="C922" s="495"/>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c r="A923" s="495"/>
      <c r="B923" s="495"/>
      <c r="C923" s="495"/>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c r="A924" s="495"/>
      <c r="B924" s="495"/>
      <c r="C924" s="495"/>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c r="A925" s="495"/>
      <c r="B925" s="495"/>
      <c r="C925" s="495"/>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c r="A926" s="495"/>
      <c r="B926" s="495"/>
      <c r="C926" s="495"/>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c r="A927" s="495"/>
      <c r="B927" s="495"/>
      <c r="C927" s="495"/>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c r="A928" s="495"/>
      <c r="B928" s="495"/>
      <c r="C928" s="495"/>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c r="A929" s="495"/>
      <c r="B929" s="495"/>
      <c r="C929" s="495"/>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c r="A930" s="495"/>
      <c r="B930" s="495"/>
      <c r="C930" s="495"/>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c r="A931" s="495"/>
      <c r="B931" s="495"/>
      <c r="C931" s="495"/>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c r="A932" s="495"/>
      <c r="B932" s="495"/>
      <c r="C932" s="495"/>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c r="A933" s="495"/>
      <c r="B933" s="495"/>
      <c r="C933" s="495"/>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c r="A934" s="495"/>
      <c r="B934" s="495"/>
      <c r="C934" s="495"/>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c r="A935" s="495"/>
      <c r="B935" s="495"/>
      <c r="C935" s="495"/>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c r="A936" s="495"/>
      <c r="B936" s="495"/>
      <c r="C936" s="495"/>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c r="A937" s="495"/>
      <c r="B937" s="495"/>
      <c r="C937" s="495"/>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c r="A938" s="495"/>
      <c r="B938" s="495"/>
      <c r="C938" s="495"/>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c r="A939" s="495"/>
      <c r="B939" s="495"/>
      <c r="C939" s="495"/>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c r="A940" s="495"/>
      <c r="B940" s="495"/>
      <c r="C940" s="495"/>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c r="A941" s="495"/>
      <c r="B941" s="495"/>
      <c r="C941" s="495"/>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c r="A942" s="495"/>
      <c r="B942" s="495"/>
      <c r="C942" s="495"/>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c r="A943" s="495"/>
      <c r="B943" s="495"/>
      <c r="C943" s="495"/>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c r="A944" s="495"/>
      <c r="B944" s="495"/>
      <c r="C944" s="495"/>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c r="A945" s="495"/>
      <c r="B945" s="495"/>
      <c r="C945" s="495"/>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c r="A946" s="495"/>
      <c r="B946" s="495"/>
      <c r="C946" s="495"/>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c r="A947" s="495"/>
      <c r="B947" s="495"/>
      <c r="C947" s="495"/>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c r="A948" s="495"/>
      <c r="B948" s="495"/>
      <c r="C948" s="495"/>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c r="A949" s="495"/>
      <c r="B949" s="495"/>
      <c r="C949" s="495"/>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c r="A950" s="495"/>
      <c r="B950" s="495"/>
      <c r="C950" s="495"/>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c r="A951" s="495"/>
      <c r="B951" s="495"/>
      <c r="C951" s="495"/>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c r="A952" s="495"/>
      <c r="B952" s="495"/>
      <c r="C952" s="495"/>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c r="A953" s="495"/>
      <c r="B953" s="495"/>
      <c r="C953" s="495"/>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c r="A954" s="495"/>
      <c r="B954" s="495"/>
      <c r="C954" s="495"/>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c r="A955" s="495"/>
      <c r="B955" s="495"/>
      <c r="C955" s="495"/>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c r="A956" s="495"/>
      <c r="B956" s="495"/>
      <c r="C956" s="495"/>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c r="A957" s="495"/>
      <c r="B957" s="495"/>
      <c r="C957" s="495"/>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c r="A958" s="495"/>
      <c r="B958" s="495"/>
      <c r="C958" s="495"/>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c r="A959" s="495"/>
      <c r="B959" s="495"/>
      <c r="C959" s="495"/>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c r="A960" s="495"/>
      <c r="B960" s="495"/>
      <c r="C960" s="495"/>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c r="A961" s="495"/>
      <c r="B961" s="495"/>
      <c r="C961" s="495"/>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c r="A962" s="495"/>
      <c r="B962" s="495"/>
      <c r="C962" s="495"/>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c r="A963" s="495"/>
      <c r="B963" s="495"/>
      <c r="C963" s="495"/>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c r="A964" s="495"/>
      <c r="B964" s="495"/>
      <c r="C964" s="495"/>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c r="A965" s="495"/>
      <c r="B965" s="495"/>
      <c r="C965" s="495"/>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c r="A966" s="495"/>
      <c r="B966" s="495"/>
      <c r="C966" s="495"/>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c r="A967" s="495"/>
      <c r="B967" s="495"/>
      <c r="C967" s="495"/>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c r="A968" s="495"/>
      <c r="B968" s="495"/>
      <c r="C968" s="495"/>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c r="A969" s="495"/>
      <c r="B969" s="495"/>
      <c r="C969" s="495"/>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c r="A970" s="495"/>
      <c r="B970" s="495"/>
      <c r="C970" s="495"/>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c r="A971" s="495"/>
      <c r="B971" s="495"/>
      <c r="C971" s="495"/>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c r="A972" s="495"/>
      <c r="B972" s="495"/>
      <c r="C972" s="495"/>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c r="A973" s="495"/>
      <c r="B973" s="495"/>
      <c r="C973" s="495"/>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c r="A974" s="495"/>
      <c r="B974" s="495"/>
      <c r="C974" s="495"/>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c r="A975" s="495"/>
      <c r="B975" s="495"/>
      <c r="C975" s="495"/>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c r="A976" s="495"/>
      <c r="B976" s="495"/>
      <c r="C976" s="495"/>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c r="A977" s="495"/>
      <c r="B977" s="495"/>
      <c r="C977" s="495"/>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c r="A978" s="495"/>
      <c r="B978" s="495"/>
      <c r="C978" s="495"/>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c r="A979" s="495"/>
      <c r="B979" s="495"/>
      <c r="C979" s="495"/>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c r="A980" s="495"/>
      <c r="B980" s="495"/>
      <c r="C980" s="495"/>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c r="A981" s="495"/>
      <c r="B981" s="495"/>
      <c r="C981" s="495"/>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c r="A982" s="495"/>
      <c r="B982" s="495"/>
      <c r="C982" s="495"/>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c r="A983" s="495"/>
      <c r="B983" s="495"/>
      <c r="C983" s="495"/>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c r="A984" s="495"/>
      <c r="B984" s="495"/>
      <c r="C984" s="495"/>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c r="A985" s="495"/>
      <c r="B985" s="495"/>
      <c r="C985" s="495"/>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c r="A986" s="495"/>
      <c r="B986" s="495"/>
      <c r="C986" s="495"/>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c r="A987" s="495"/>
      <c r="B987" s="495"/>
      <c r="C987" s="495"/>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c r="A988" s="495"/>
      <c r="B988" s="495"/>
      <c r="C988" s="495"/>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c r="A989" s="495"/>
      <c r="B989" s="495"/>
      <c r="C989" s="495"/>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c r="A990" s="495"/>
      <c r="B990" s="495"/>
      <c r="C990" s="495"/>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c r="A991" s="495"/>
      <c r="B991" s="495"/>
      <c r="C991" s="495"/>
      <c r="D991" s="78"/>
      <c r="E991" s="78"/>
      <c r="F991" s="78"/>
      <c r="G991" s="78"/>
      <c r="H991" s="78"/>
      <c r="I991" s="78"/>
      <c r="J991" s="78"/>
      <c r="K991" s="78"/>
      <c r="L991" s="78"/>
      <c r="M991" s="78"/>
      <c r="N991" s="78"/>
      <c r="O991" s="78"/>
      <c r="P991" s="78"/>
      <c r="Q991" s="78"/>
      <c r="R991" s="78"/>
      <c r="S991" s="78"/>
      <c r="T991" s="78"/>
      <c r="U991" s="78"/>
      <c r="V991" s="78"/>
      <c r="W991" s="78"/>
      <c r="X991" s="78"/>
      <c r="Y991" s="78"/>
      <c r="Z991" s="78"/>
    </row>
    <row r="992">
      <c r="A992" s="495"/>
      <c r="B992" s="495"/>
      <c r="C992" s="495"/>
      <c r="D992" s="78"/>
      <c r="E992" s="78"/>
      <c r="F992" s="78"/>
      <c r="G992" s="78"/>
      <c r="H992" s="78"/>
      <c r="I992" s="78"/>
      <c r="J992" s="78"/>
      <c r="K992" s="78"/>
      <c r="L992" s="78"/>
      <c r="M992" s="78"/>
      <c r="N992" s="78"/>
      <c r="O992" s="78"/>
      <c r="P992" s="78"/>
      <c r="Q992" s="78"/>
      <c r="R992" s="78"/>
      <c r="S992" s="78"/>
      <c r="T992" s="78"/>
      <c r="U992" s="78"/>
      <c r="V992" s="78"/>
      <c r="W992" s="78"/>
      <c r="X992" s="78"/>
      <c r="Y992" s="78"/>
      <c r="Z992" s="78"/>
    </row>
    <row r="993">
      <c r="A993" s="495"/>
      <c r="B993" s="495"/>
      <c r="C993" s="495"/>
      <c r="D993" s="78"/>
      <c r="E993" s="78"/>
      <c r="F993" s="78"/>
      <c r="G993" s="78"/>
      <c r="H993" s="78"/>
      <c r="I993" s="78"/>
      <c r="J993" s="78"/>
      <c r="K993" s="78"/>
      <c r="L993" s="78"/>
      <c r="M993" s="78"/>
      <c r="N993" s="78"/>
      <c r="O993" s="78"/>
      <c r="P993" s="78"/>
      <c r="Q993" s="78"/>
      <c r="R993" s="78"/>
      <c r="S993" s="78"/>
      <c r="T993" s="78"/>
      <c r="U993" s="78"/>
      <c r="V993" s="78"/>
      <c r="W993" s="78"/>
      <c r="X993" s="78"/>
      <c r="Y993" s="78"/>
      <c r="Z993" s="78"/>
    </row>
    <row r="994">
      <c r="A994" s="495"/>
      <c r="B994" s="495"/>
      <c r="C994" s="495"/>
      <c r="D994" s="78"/>
      <c r="E994" s="78"/>
      <c r="F994" s="78"/>
      <c r="G994" s="78"/>
      <c r="H994" s="78"/>
      <c r="I994" s="78"/>
      <c r="J994" s="78"/>
      <c r="K994" s="78"/>
      <c r="L994" s="78"/>
      <c r="M994" s="78"/>
      <c r="N994" s="78"/>
      <c r="O994" s="78"/>
      <c r="P994" s="78"/>
      <c r="Q994" s="78"/>
      <c r="R994" s="78"/>
      <c r="S994" s="78"/>
      <c r="T994" s="78"/>
      <c r="U994" s="78"/>
      <c r="V994" s="78"/>
      <c r="W994" s="78"/>
      <c r="X994" s="78"/>
      <c r="Y994" s="78"/>
      <c r="Z994" s="78"/>
    </row>
    <row r="995">
      <c r="A995" s="495"/>
      <c r="B995" s="495"/>
      <c r="C995" s="495"/>
      <c r="D995" s="78"/>
      <c r="E995" s="78"/>
      <c r="F995" s="78"/>
      <c r="G995" s="78"/>
      <c r="H995" s="78"/>
      <c r="I995" s="78"/>
      <c r="J995" s="78"/>
      <c r="K995" s="78"/>
      <c r="L995" s="78"/>
      <c r="M995" s="78"/>
      <c r="N995" s="78"/>
      <c r="O995" s="78"/>
      <c r="P995" s="78"/>
      <c r="Q995" s="78"/>
      <c r="R995" s="78"/>
      <c r="S995" s="78"/>
      <c r="T995" s="78"/>
      <c r="U995" s="78"/>
      <c r="V995" s="78"/>
      <c r="W995" s="78"/>
      <c r="X995" s="78"/>
      <c r="Y995" s="78"/>
      <c r="Z995" s="78"/>
    </row>
    <row r="996">
      <c r="A996" s="495"/>
      <c r="B996" s="495"/>
      <c r="C996" s="495"/>
      <c r="D996" s="78"/>
      <c r="E996" s="78"/>
      <c r="F996" s="78"/>
      <c r="G996" s="78"/>
      <c r="H996" s="78"/>
      <c r="I996" s="78"/>
      <c r="J996" s="78"/>
      <c r="K996" s="78"/>
      <c r="L996" s="78"/>
      <c r="M996" s="78"/>
      <c r="N996" s="78"/>
      <c r="O996" s="78"/>
      <c r="P996" s="78"/>
      <c r="Q996" s="78"/>
      <c r="R996" s="78"/>
      <c r="S996" s="78"/>
      <c r="T996" s="78"/>
      <c r="U996" s="78"/>
      <c r="V996" s="78"/>
      <c r="W996" s="78"/>
      <c r="X996" s="78"/>
      <c r="Y996" s="78"/>
      <c r="Z996" s="78"/>
    </row>
    <row r="997">
      <c r="A997" s="495"/>
      <c r="B997" s="495"/>
      <c r="C997" s="495"/>
      <c r="D997" s="78"/>
      <c r="E997" s="78"/>
      <c r="F997" s="78"/>
      <c r="G997" s="78"/>
      <c r="H997" s="78"/>
      <c r="I997" s="78"/>
      <c r="J997" s="78"/>
      <c r="K997" s="78"/>
      <c r="L997" s="78"/>
      <c r="M997" s="78"/>
      <c r="N997" s="78"/>
      <c r="O997" s="78"/>
      <c r="P997" s="78"/>
      <c r="Q997" s="78"/>
      <c r="R997" s="78"/>
      <c r="S997" s="78"/>
      <c r="T997" s="78"/>
      <c r="U997" s="78"/>
      <c r="V997" s="78"/>
      <c r="W997" s="78"/>
      <c r="X997" s="78"/>
      <c r="Y997" s="78"/>
      <c r="Z997" s="78"/>
    </row>
    <row r="998">
      <c r="A998" s="495"/>
      <c r="B998" s="495"/>
      <c r="C998" s="495"/>
      <c r="D998" s="78"/>
      <c r="E998" s="78"/>
      <c r="F998" s="78"/>
      <c r="G998" s="78"/>
      <c r="H998" s="78"/>
      <c r="I998" s="78"/>
      <c r="J998" s="78"/>
      <c r="K998" s="78"/>
      <c r="L998" s="78"/>
      <c r="M998" s="78"/>
      <c r="N998" s="78"/>
      <c r="O998" s="78"/>
      <c r="P998" s="78"/>
      <c r="Q998" s="78"/>
      <c r="R998" s="78"/>
      <c r="S998" s="78"/>
      <c r="T998" s="78"/>
      <c r="U998" s="78"/>
      <c r="V998" s="78"/>
      <c r="W998" s="78"/>
      <c r="X998" s="78"/>
      <c r="Y998" s="78"/>
      <c r="Z998" s="78"/>
    </row>
    <row r="999">
      <c r="A999" s="495"/>
      <c r="B999" s="495"/>
      <c r="C999" s="495"/>
      <c r="D999" s="78"/>
      <c r="E999" s="78"/>
      <c r="F999" s="78"/>
      <c r="G999" s="78"/>
      <c r="H999" s="78"/>
      <c r="I999" s="78"/>
      <c r="J999" s="78"/>
      <c r="K999" s="78"/>
      <c r="L999" s="78"/>
      <c r="M999" s="78"/>
      <c r="N999" s="78"/>
      <c r="O999" s="78"/>
      <c r="P999" s="78"/>
      <c r="Q999" s="78"/>
      <c r="R999" s="78"/>
      <c r="S999" s="78"/>
      <c r="T999" s="78"/>
      <c r="U999" s="78"/>
      <c r="V999" s="78"/>
      <c r="W999" s="78"/>
      <c r="X999" s="78"/>
      <c r="Y999" s="78"/>
      <c r="Z999" s="78"/>
    </row>
    <row r="1000">
      <c r="A1000" s="495"/>
      <c r="B1000" s="495"/>
      <c r="C1000" s="495"/>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row>
    <row r="1001">
      <c r="A1001" s="495"/>
      <c r="B1001" s="495"/>
      <c r="C1001" s="495"/>
      <c r="D1001" s="78"/>
      <c r="E1001" s="78"/>
      <c r="F1001" s="78"/>
      <c r="G1001" s="78"/>
      <c r="H1001" s="78"/>
      <c r="I1001" s="78"/>
      <c r="J1001" s="78"/>
      <c r="K1001" s="78"/>
      <c r="L1001" s="78"/>
      <c r="M1001" s="78"/>
      <c r="N1001" s="78"/>
      <c r="O1001" s="78"/>
      <c r="P1001" s="78"/>
      <c r="Q1001" s="78"/>
      <c r="R1001" s="78"/>
      <c r="S1001" s="78"/>
      <c r="T1001" s="78"/>
      <c r="U1001" s="78"/>
      <c r="V1001" s="78"/>
      <c r="W1001" s="78"/>
      <c r="X1001" s="78"/>
      <c r="Y1001" s="78"/>
      <c r="Z1001" s="78"/>
    </row>
    <row r="1002">
      <c r="A1002" s="495"/>
      <c r="B1002" s="495"/>
      <c r="C1002" s="495"/>
      <c r="D1002" s="78"/>
      <c r="E1002" s="78"/>
      <c r="F1002" s="78"/>
      <c r="G1002" s="78"/>
      <c r="H1002" s="78"/>
      <c r="I1002" s="78"/>
      <c r="J1002" s="78"/>
      <c r="K1002" s="78"/>
      <c r="L1002" s="78"/>
      <c r="M1002" s="78"/>
      <c r="N1002" s="78"/>
      <c r="O1002" s="78"/>
      <c r="P1002" s="78"/>
      <c r="Q1002" s="78"/>
      <c r="R1002" s="78"/>
      <c r="S1002" s="78"/>
      <c r="T1002" s="78"/>
      <c r="U1002" s="78"/>
      <c r="V1002" s="78"/>
      <c r="W1002" s="78"/>
      <c r="X1002" s="78"/>
      <c r="Y1002" s="78"/>
      <c r="Z1002" s="78"/>
    </row>
  </sheetData>
  <mergeCells count="7">
    <mergeCell ref="A2:A8"/>
    <mergeCell ref="A9:A19"/>
    <mergeCell ref="A20:A27"/>
    <mergeCell ref="A28:A29"/>
    <mergeCell ref="A32:A36"/>
    <mergeCell ref="A37:A38"/>
    <mergeCell ref="A40:A4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sheetViews>
  <sheetFormatPr customHeight="1" defaultColWidth="12.63" defaultRowHeight="15.0"/>
  <cols>
    <col customWidth="1" min="1" max="1" width="11.13"/>
    <col customWidth="1" min="2" max="2" width="14.25"/>
    <col customWidth="1" min="3" max="3" width="16.13"/>
    <col customWidth="1" min="4" max="4" width="13.38"/>
    <col customWidth="1" min="5" max="5" width="24.75"/>
    <col customWidth="1" min="6" max="6" width="46.25"/>
    <col customWidth="1" min="7" max="7" width="32.38"/>
    <col customWidth="1" min="8" max="8" width="36.88"/>
    <col customWidth="1" min="9" max="9" width="9.88"/>
    <col customWidth="1" min="10" max="10" width="14.0"/>
    <col customWidth="1" min="11" max="27" width="13.63"/>
  </cols>
  <sheetData>
    <row r="1" ht="14.25" customHeight="1">
      <c r="A1" s="93" t="s">
        <v>268</v>
      </c>
      <c r="B1" s="93" t="s">
        <v>269</v>
      </c>
      <c r="C1" s="93" t="s">
        <v>270</v>
      </c>
      <c r="D1" s="94" t="s">
        <v>1775</v>
      </c>
      <c r="E1" s="93" t="s">
        <v>145</v>
      </c>
      <c r="F1" s="94" t="s">
        <v>272</v>
      </c>
      <c r="G1" s="93" t="s">
        <v>30</v>
      </c>
      <c r="H1" s="93" t="s">
        <v>273</v>
      </c>
      <c r="I1" s="158" t="s">
        <v>1776</v>
      </c>
      <c r="J1" s="93" t="s">
        <v>274</v>
      </c>
      <c r="K1" s="97"/>
      <c r="L1" s="97"/>
      <c r="M1" s="97"/>
      <c r="N1" s="95"/>
      <c r="O1" s="95"/>
      <c r="P1" s="95"/>
      <c r="Q1" s="95"/>
      <c r="R1" s="95"/>
      <c r="S1" s="95"/>
      <c r="T1" s="95"/>
      <c r="U1" s="95"/>
      <c r="V1" s="95"/>
      <c r="W1" s="95"/>
      <c r="X1" s="95"/>
      <c r="Y1" s="97"/>
      <c r="Z1" s="97"/>
      <c r="AA1" s="97"/>
    </row>
    <row r="2" ht="14.25" customHeight="1">
      <c r="A2" s="98" t="s">
        <v>13742</v>
      </c>
      <c r="B2" s="250"/>
      <c r="C2" s="496" t="s">
        <v>13743</v>
      </c>
      <c r="D2" s="98" t="s">
        <v>271</v>
      </c>
      <c r="E2" s="137" t="s">
        <v>13744</v>
      </c>
      <c r="F2" s="137" t="s">
        <v>13745</v>
      </c>
      <c r="G2" s="137" t="s">
        <v>13746</v>
      </c>
      <c r="H2" s="137" t="s">
        <v>13747</v>
      </c>
      <c r="I2" s="497" t="s">
        <v>36</v>
      </c>
      <c r="J2" s="498" t="s">
        <v>4162</v>
      </c>
      <c r="K2" s="263"/>
      <c r="L2" s="251"/>
      <c r="M2" s="251"/>
      <c r="N2" s="251"/>
      <c r="O2" s="251"/>
      <c r="P2" s="251"/>
      <c r="Q2" s="251"/>
      <c r="R2" s="251"/>
      <c r="S2" s="251"/>
      <c r="T2" s="251"/>
      <c r="U2" s="251"/>
      <c r="V2" s="251"/>
      <c r="W2" s="251"/>
      <c r="X2" s="251"/>
      <c r="Y2" s="251"/>
      <c r="Z2" s="251"/>
      <c r="AA2" s="251"/>
    </row>
    <row r="3" ht="14.25" customHeight="1">
      <c r="A3" s="98" t="s">
        <v>13742</v>
      </c>
      <c r="B3" s="108"/>
      <c r="C3" s="496" t="s">
        <v>13748</v>
      </c>
      <c r="D3" s="98" t="s">
        <v>271</v>
      </c>
      <c r="E3" s="137" t="s">
        <v>13744</v>
      </c>
      <c r="F3" s="137" t="s">
        <v>13745</v>
      </c>
      <c r="G3" s="137" t="s">
        <v>13749</v>
      </c>
      <c r="H3" s="137" t="s">
        <v>13750</v>
      </c>
      <c r="I3" s="497" t="s">
        <v>36</v>
      </c>
      <c r="J3" s="498" t="s">
        <v>4162</v>
      </c>
      <c r="K3" s="498" t="s">
        <v>2034</v>
      </c>
      <c r="L3" s="251"/>
      <c r="M3" s="251"/>
      <c r="N3" s="251"/>
      <c r="O3" s="251"/>
      <c r="P3" s="251"/>
      <c r="Q3" s="251"/>
      <c r="R3" s="251"/>
      <c r="S3" s="251"/>
      <c r="T3" s="251"/>
      <c r="U3" s="251"/>
      <c r="V3" s="251"/>
      <c r="W3" s="251"/>
      <c r="X3" s="251"/>
      <c r="Y3" s="251"/>
      <c r="Z3" s="251"/>
      <c r="AA3" s="251"/>
    </row>
    <row r="4" ht="14.25" customHeight="1">
      <c r="A4" s="98" t="s">
        <v>13742</v>
      </c>
      <c r="B4" s="108"/>
      <c r="C4" s="496" t="s">
        <v>13751</v>
      </c>
      <c r="D4" s="98" t="s">
        <v>271</v>
      </c>
      <c r="E4" s="137" t="s">
        <v>13744</v>
      </c>
      <c r="F4" s="137" t="s">
        <v>13752</v>
      </c>
      <c r="G4" s="137" t="s">
        <v>13753</v>
      </c>
      <c r="H4" s="137" t="s">
        <v>13754</v>
      </c>
      <c r="I4" s="497" t="s">
        <v>36</v>
      </c>
      <c r="J4" s="498" t="s">
        <v>4162</v>
      </c>
      <c r="K4" s="498" t="s">
        <v>2034</v>
      </c>
      <c r="L4" s="251"/>
      <c r="M4" s="251"/>
      <c r="N4" s="251"/>
      <c r="O4" s="251"/>
      <c r="P4" s="251"/>
      <c r="Q4" s="251"/>
      <c r="R4" s="251"/>
      <c r="S4" s="251"/>
      <c r="T4" s="251"/>
      <c r="U4" s="251"/>
      <c r="V4" s="251"/>
      <c r="W4" s="251"/>
      <c r="X4" s="251"/>
      <c r="Y4" s="251"/>
      <c r="Z4" s="251"/>
      <c r="AA4" s="251"/>
    </row>
    <row r="5" ht="14.25" customHeight="1">
      <c r="A5" s="98" t="s">
        <v>13742</v>
      </c>
      <c r="B5" s="108"/>
      <c r="C5" s="496" t="s">
        <v>13755</v>
      </c>
      <c r="D5" s="98" t="s">
        <v>271</v>
      </c>
      <c r="E5" s="137" t="s">
        <v>13744</v>
      </c>
      <c r="F5" s="137" t="s">
        <v>13756</v>
      </c>
      <c r="G5" s="137" t="s">
        <v>13753</v>
      </c>
      <c r="H5" s="137" t="s">
        <v>13757</v>
      </c>
      <c r="I5" s="497" t="s">
        <v>36</v>
      </c>
      <c r="J5" s="498" t="s">
        <v>4162</v>
      </c>
      <c r="K5" s="498" t="s">
        <v>2034</v>
      </c>
      <c r="L5" s="251"/>
      <c r="M5" s="251"/>
      <c r="N5" s="251"/>
      <c r="O5" s="251"/>
      <c r="P5" s="251"/>
      <c r="Q5" s="251"/>
      <c r="R5" s="251"/>
      <c r="S5" s="251"/>
      <c r="T5" s="251"/>
      <c r="U5" s="251"/>
      <c r="V5" s="251"/>
      <c r="W5" s="251"/>
      <c r="X5" s="251"/>
      <c r="Y5" s="251"/>
      <c r="Z5" s="251"/>
      <c r="AA5" s="251"/>
    </row>
    <row r="6" ht="14.25" customHeight="1">
      <c r="A6" s="98" t="s">
        <v>13742</v>
      </c>
      <c r="B6" s="108"/>
      <c r="C6" s="496" t="s">
        <v>13758</v>
      </c>
      <c r="D6" s="98" t="s">
        <v>271</v>
      </c>
      <c r="E6" s="137" t="s">
        <v>13744</v>
      </c>
      <c r="F6" s="137" t="s">
        <v>13759</v>
      </c>
      <c r="G6" s="137" t="s">
        <v>13753</v>
      </c>
      <c r="H6" s="137" t="s">
        <v>13760</v>
      </c>
      <c r="I6" s="497" t="s">
        <v>36</v>
      </c>
      <c r="J6" s="498" t="s">
        <v>4162</v>
      </c>
      <c r="K6" s="498" t="s">
        <v>2034</v>
      </c>
      <c r="L6" s="251"/>
      <c r="M6" s="251"/>
      <c r="N6" s="251"/>
      <c r="O6" s="251"/>
      <c r="P6" s="251"/>
      <c r="Q6" s="251"/>
      <c r="R6" s="251"/>
      <c r="S6" s="251"/>
      <c r="T6" s="251"/>
      <c r="U6" s="251"/>
      <c r="V6" s="251"/>
      <c r="W6" s="251"/>
      <c r="X6" s="251"/>
      <c r="Y6" s="251"/>
      <c r="Z6" s="251"/>
      <c r="AA6" s="251"/>
    </row>
    <row r="7" ht="14.25" customHeight="1">
      <c r="A7" s="98" t="s">
        <v>13742</v>
      </c>
      <c r="B7" s="108"/>
      <c r="C7" s="496" t="s">
        <v>13761</v>
      </c>
      <c r="D7" s="98" t="s">
        <v>271</v>
      </c>
      <c r="E7" s="137" t="s">
        <v>13744</v>
      </c>
      <c r="F7" s="137" t="s">
        <v>13745</v>
      </c>
      <c r="G7" s="137" t="s">
        <v>13762</v>
      </c>
      <c r="H7" s="137" t="s">
        <v>13763</v>
      </c>
      <c r="I7" s="497" t="s">
        <v>36</v>
      </c>
      <c r="J7" s="498" t="s">
        <v>4162</v>
      </c>
      <c r="K7" s="498" t="s">
        <v>2034</v>
      </c>
      <c r="L7" s="251"/>
      <c r="M7" s="251"/>
      <c r="N7" s="251"/>
      <c r="O7" s="251"/>
      <c r="P7" s="251"/>
      <c r="Q7" s="251"/>
      <c r="R7" s="251"/>
      <c r="S7" s="251"/>
      <c r="T7" s="251"/>
      <c r="U7" s="251"/>
      <c r="V7" s="251"/>
      <c r="W7" s="251"/>
      <c r="X7" s="251"/>
      <c r="Y7" s="251"/>
      <c r="Z7" s="251"/>
      <c r="AA7" s="251"/>
    </row>
    <row r="8" ht="14.25" customHeight="1">
      <c r="A8" s="98" t="s">
        <v>13742</v>
      </c>
      <c r="B8" s="108"/>
      <c r="C8" s="496" t="s">
        <v>13764</v>
      </c>
      <c r="D8" s="98" t="s">
        <v>271</v>
      </c>
      <c r="E8" s="137" t="s">
        <v>13744</v>
      </c>
      <c r="F8" s="137" t="s">
        <v>13752</v>
      </c>
      <c r="G8" s="137" t="s">
        <v>13762</v>
      </c>
      <c r="H8" s="137" t="s">
        <v>13763</v>
      </c>
      <c r="I8" s="497" t="s">
        <v>36</v>
      </c>
      <c r="J8" s="498" t="s">
        <v>4162</v>
      </c>
      <c r="K8" s="498" t="s">
        <v>2034</v>
      </c>
      <c r="L8" s="251"/>
      <c r="M8" s="251"/>
      <c r="N8" s="251"/>
      <c r="O8" s="251"/>
      <c r="P8" s="251"/>
      <c r="Q8" s="251"/>
      <c r="R8" s="251"/>
      <c r="S8" s="251"/>
      <c r="T8" s="251"/>
      <c r="U8" s="251"/>
      <c r="V8" s="251"/>
      <c r="W8" s="251"/>
      <c r="X8" s="251"/>
      <c r="Y8" s="251"/>
      <c r="Z8" s="251"/>
      <c r="AA8" s="251"/>
    </row>
    <row r="9" ht="14.25" customHeight="1">
      <c r="A9" s="98" t="s">
        <v>13742</v>
      </c>
      <c r="B9" s="108"/>
      <c r="C9" s="496" t="s">
        <v>13765</v>
      </c>
      <c r="D9" s="98" t="s">
        <v>271</v>
      </c>
      <c r="E9" s="137" t="s">
        <v>13744</v>
      </c>
      <c r="F9" s="137" t="s">
        <v>13756</v>
      </c>
      <c r="G9" s="137" t="s">
        <v>13762</v>
      </c>
      <c r="H9" s="137" t="s">
        <v>13763</v>
      </c>
      <c r="I9" s="497" t="s">
        <v>36</v>
      </c>
      <c r="J9" s="498" t="s">
        <v>4162</v>
      </c>
      <c r="K9" s="498" t="s">
        <v>2034</v>
      </c>
      <c r="L9" s="251"/>
      <c r="M9" s="251"/>
      <c r="N9" s="251"/>
      <c r="O9" s="251"/>
      <c r="P9" s="251"/>
      <c r="Q9" s="251"/>
      <c r="R9" s="251"/>
      <c r="S9" s="251"/>
      <c r="T9" s="251"/>
      <c r="U9" s="251"/>
      <c r="V9" s="251"/>
      <c r="W9" s="251"/>
      <c r="X9" s="251"/>
      <c r="Y9" s="251"/>
      <c r="Z9" s="251"/>
      <c r="AA9" s="251"/>
    </row>
    <row r="10" ht="14.25" customHeight="1">
      <c r="A10" s="98" t="s">
        <v>13742</v>
      </c>
      <c r="B10" s="108"/>
      <c r="C10" s="496" t="s">
        <v>13766</v>
      </c>
      <c r="D10" s="98" t="s">
        <v>271</v>
      </c>
      <c r="E10" s="137" t="s">
        <v>13744</v>
      </c>
      <c r="F10" s="137" t="s">
        <v>13759</v>
      </c>
      <c r="G10" s="137" t="s">
        <v>13762</v>
      </c>
      <c r="H10" s="137" t="s">
        <v>13763</v>
      </c>
      <c r="I10" s="497" t="s">
        <v>36</v>
      </c>
      <c r="J10" s="498" t="s">
        <v>4162</v>
      </c>
      <c r="K10" s="498" t="s">
        <v>2034</v>
      </c>
      <c r="L10" s="251"/>
      <c r="M10" s="251"/>
      <c r="N10" s="251"/>
      <c r="O10" s="251"/>
      <c r="P10" s="251"/>
      <c r="Q10" s="251"/>
      <c r="R10" s="251"/>
      <c r="S10" s="251"/>
      <c r="T10" s="251"/>
      <c r="U10" s="251"/>
      <c r="V10" s="251"/>
      <c r="W10" s="251"/>
      <c r="X10" s="251"/>
      <c r="Y10" s="251"/>
      <c r="Z10" s="251"/>
      <c r="AA10" s="251"/>
    </row>
    <row r="11" ht="14.25" customHeight="1">
      <c r="A11" s="98" t="s">
        <v>13742</v>
      </c>
      <c r="B11" s="109"/>
      <c r="C11" s="496" t="s">
        <v>13767</v>
      </c>
      <c r="D11" s="98" t="s">
        <v>271</v>
      </c>
      <c r="E11" s="137" t="s">
        <v>13744</v>
      </c>
      <c r="F11" s="137" t="s">
        <v>13745</v>
      </c>
      <c r="G11" s="137" t="s">
        <v>13768</v>
      </c>
      <c r="H11" s="137" t="s">
        <v>13769</v>
      </c>
      <c r="I11" s="497" t="s">
        <v>36</v>
      </c>
      <c r="J11" s="498" t="s">
        <v>4162</v>
      </c>
      <c r="K11" s="498" t="s">
        <v>2034</v>
      </c>
      <c r="L11" s="251"/>
      <c r="M11" s="251"/>
      <c r="N11" s="251"/>
      <c r="O11" s="251"/>
      <c r="P11" s="251"/>
      <c r="Q11" s="251"/>
      <c r="R11" s="251"/>
      <c r="S11" s="251"/>
      <c r="T11" s="251"/>
      <c r="U11" s="251"/>
      <c r="V11" s="251"/>
      <c r="W11" s="251"/>
      <c r="X11" s="251"/>
      <c r="Y11" s="251"/>
      <c r="Z11" s="251"/>
      <c r="AA11" s="251"/>
    </row>
    <row r="12" ht="14.25" customHeight="1">
      <c r="A12" s="98" t="s">
        <v>13770</v>
      </c>
      <c r="B12" s="499"/>
      <c r="C12" s="496" t="s">
        <v>13771</v>
      </c>
      <c r="D12" s="98" t="s">
        <v>271</v>
      </c>
      <c r="E12" s="500"/>
      <c r="F12" s="137" t="s">
        <v>13772</v>
      </c>
      <c r="G12" s="137" t="s">
        <v>13773</v>
      </c>
      <c r="H12" s="137" t="s">
        <v>13774</v>
      </c>
      <c r="I12" s="497" t="s">
        <v>36</v>
      </c>
      <c r="J12" s="498" t="s">
        <v>4162</v>
      </c>
      <c r="K12" s="498" t="s">
        <v>2034</v>
      </c>
      <c r="L12" s="251"/>
      <c r="M12" s="251"/>
      <c r="N12" s="251"/>
      <c r="O12" s="251"/>
      <c r="P12" s="251"/>
      <c r="Q12" s="251"/>
      <c r="R12" s="251"/>
      <c r="S12" s="251"/>
      <c r="T12" s="251"/>
      <c r="U12" s="251"/>
      <c r="V12" s="251"/>
      <c r="W12" s="251"/>
      <c r="X12" s="251"/>
      <c r="Y12" s="251"/>
      <c r="Z12" s="251"/>
      <c r="AA12" s="251"/>
    </row>
    <row r="13" ht="14.25" customHeight="1">
      <c r="A13" s="98" t="s">
        <v>13770</v>
      </c>
      <c r="B13" s="108"/>
      <c r="C13" s="496" t="s">
        <v>13775</v>
      </c>
      <c r="D13" s="98" t="s">
        <v>271</v>
      </c>
      <c r="E13" s="500"/>
      <c r="F13" s="137" t="s">
        <v>13776</v>
      </c>
      <c r="G13" s="137" t="s">
        <v>13777</v>
      </c>
      <c r="H13" s="137" t="s">
        <v>13778</v>
      </c>
      <c r="I13" s="497" t="s">
        <v>36</v>
      </c>
      <c r="J13" s="498" t="s">
        <v>4162</v>
      </c>
      <c r="K13" s="498" t="s">
        <v>2034</v>
      </c>
      <c r="L13" s="251"/>
      <c r="M13" s="251"/>
      <c r="N13" s="251"/>
      <c r="O13" s="251"/>
      <c r="P13" s="251"/>
      <c r="Q13" s="251"/>
      <c r="R13" s="251"/>
      <c r="S13" s="251"/>
      <c r="T13" s="251"/>
      <c r="U13" s="251"/>
      <c r="V13" s="251"/>
      <c r="W13" s="251"/>
      <c r="X13" s="251"/>
      <c r="Y13" s="251"/>
      <c r="Z13" s="251"/>
      <c r="AA13" s="251"/>
    </row>
    <row r="14" ht="14.25" customHeight="1">
      <c r="A14" s="98" t="s">
        <v>13770</v>
      </c>
      <c r="B14" s="108"/>
      <c r="C14" s="496" t="s">
        <v>13779</v>
      </c>
      <c r="D14" s="98" t="s">
        <v>271</v>
      </c>
      <c r="E14" s="147" t="s">
        <v>13780</v>
      </c>
      <c r="F14" s="137" t="s">
        <v>13781</v>
      </c>
      <c r="G14" s="137" t="s">
        <v>13782</v>
      </c>
      <c r="H14" s="137" t="s">
        <v>13783</v>
      </c>
      <c r="I14" s="497" t="s">
        <v>36</v>
      </c>
      <c r="J14" s="498" t="s">
        <v>4162</v>
      </c>
      <c r="K14" s="498" t="s">
        <v>2034</v>
      </c>
      <c r="L14" s="251"/>
      <c r="M14" s="251"/>
      <c r="N14" s="251"/>
      <c r="O14" s="251"/>
      <c r="P14" s="251"/>
      <c r="Q14" s="251"/>
      <c r="R14" s="251"/>
      <c r="S14" s="251"/>
      <c r="T14" s="251"/>
      <c r="U14" s="251"/>
      <c r="V14" s="251"/>
      <c r="W14" s="251"/>
      <c r="X14" s="251"/>
      <c r="Y14" s="251"/>
      <c r="Z14" s="251"/>
      <c r="AA14" s="251"/>
    </row>
    <row r="15" ht="14.25" customHeight="1">
      <c r="A15" s="98" t="s">
        <v>13770</v>
      </c>
      <c r="B15" s="108"/>
      <c r="C15" s="496" t="s">
        <v>13784</v>
      </c>
      <c r="D15" s="98" t="s">
        <v>271</v>
      </c>
      <c r="E15" s="147" t="s">
        <v>13780</v>
      </c>
      <c r="F15" s="137" t="s">
        <v>13785</v>
      </c>
      <c r="G15" s="137" t="s">
        <v>13762</v>
      </c>
      <c r="H15" s="137" t="s">
        <v>13763</v>
      </c>
      <c r="I15" s="497" t="s">
        <v>36</v>
      </c>
      <c r="J15" s="498" t="s">
        <v>4162</v>
      </c>
      <c r="K15" s="498" t="s">
        <v>2034</v>
      </c>
      <c r="L15" s="251"/>
      <c r="M15" s="251"/>
      <c r="N15" s="251"/>
      <c r="O15" s="251"/>
      <c r="P15" s="251"/>
      <c r="Q15" s="251"/>
      <c r="R15" s="251"/>
      <c r="S15" s="251"/>
      <c r="T15" s="251"/>
      <c r="U15" s="251"/>
      <c r="V15" s="251"/>
      <c r="W15" s="251"/>
      <c r="X15" s="251"/>
      <c r="Y15" s="251"/>
      <c r="Z15" s="251"/>
      <c r="AA15" s="251"/>
    </row>
    <row r="16" ht="14.25" customHeight="1">
      <c r="A16" s="98" t="s">
        <v>13770</v>
      </c>
      <c r="B16" s="108"/>
      <c r="C16" s="496" t="s">
        <v>13786</v>
      </c>
      <c r="D16" s="98" t="s">
        <v>271</v>
      </c>
      <c r="E16" s="147" t="s">
        <v>13780</v>
      </c>
      <c r="F16" s="137" t="s">
        <v>13787</v>
      </c>
      <c r="G16" s="137" t="s">
        <v>13782</v>
      </c>
      <c r="H16" s="137" t="s">
        <v>13783</v>
      </c>
      <c r="I16" s="497" t="s">
        <v>36</v>
      </c>
      <c r="J16" s="498" t="s">
        <v>4162</v>
      </c>
      <c r="K16" s="498" t="s">
        <v>2034</v>
      </c>
      <c r="L16" s="251"/>
      <c r="M16" s="251"/>
      <c r="N16" s="251"/>
      <c r="O16" s="251"/>
      <c r="P16" s="251"/>
      <c r="Q16" s="251"/>
      <c r="R16" s="251"/>
      <c r="S16" s="251"/>
      <c r="T16" s="251"/>
      <c r="U16" s="251"/>
      <c r="V16" s="251"/>
      <c r="W16" s="251"/>
      <c r="X16" s="251"/>
      <c r="Y16" s="251"/>
      <c r="Z16" s="251"/>
      <c r="AA16" s="251"/>
    </row>
    <row r="17" ht="14.25" customHeight="1">
      <c r="A17" s="98" t="s">
        <v>13770</v>
      </c>
      <c r="B17" s="108"/>
      <c r="C17" s="496" t="s">
        <v>13788</v>
      </c>
      <c r="D17" s="98" t="s">
        <v>271</v>
      </c>
      <c r="E17" s="147" t="s">
        <v>13780</v>
      </c>
      <c r="F17" s="137" t="s">
        <v>13789</v>
      </c>
      <c r="G17" s="137" t="s">
        <v>13762</v>
      </c>
      <c r="H17" s="137" t="s">
        <v>13790</v>
      </c>
      <c r="I17" s="497" t="s">
        <v>36</v>
      </c>
      <c r="J17" s="498" t="s">
        <v>4162</v>
      </c>
      <c r="K17" s="498" t="s">
        <v>2034</v>
      </c>
      <c r="L17" s="251"/>
      <c r="M17" s="251"/>
      <c r="N17" s="251"/>
      <c r="O17" s="251"/>
      <c r="P17" s="251"/>
      <c r="Q17" s="251"/>
      <c r="R17" s="251"/>
      <c r="S17" s="251"/>
      <c r="T17" s="251"/>
      <c r="U17" s="251"/>
      <c r="V17" s="251"/>
      <c r="W17" s="251"/>
      <c r="X17" s="251"/>
      <c r="Y17" s="251"/>
      <c r="Z17" s="251"/>
      <c r="AA17" s="251"/>
    </row>
    <row r="18" ht="14.25" customHeight="1">
      <c r="A18" s="98" t="s">
        <v>13770</v>
      </c>
      <c r="B18" s="108"/>
      <c r="C18" s="496" t="s">
        <v>13791</v>
      </c>
      <c r="D18" s="98" t="s">
        <v>271</v>
      </c>
      <c r="E18" s="147" t="s">
        <v>13780</v>
      </c>
      <c r="F18" s="137" t="s">
        <v>13792</v>
      </c>
      <c r="G18" s="137" t="s">
        <v>13782</v>
      </c>
      <c r="H18" s="137" t="s">
        <v>13783</v>
      </c>
      <c r="I18" s="497" t="s">
        <v>36</v>
      </c>
      <c r="J18" s="498" t="s">
        <v>4162</v>
      </c>
      <c r="K18" s="498" t="s">
        <v>2034</v>
      </c>
      <c r="L18" s="251"/>
      <c r="M18" s="251"/>
      <c r="N18" s="251"/>
      <c r="O18" s="251"/>
      <c r="P18" s="251"/>
      <c r="Q18" s="251"/>
      <c r="R18" s="251"/>
      <c r="S18" s="251"/>
      <c r="T18" s="251"/>
      <c r="U18" s="251"/>
      <c r="V18" s="251"/>
      <c r="W18" s="251"/>
      <c r="X18" s="251"/>
      <c r="Y18" s="251"/>
      <c r="Z18" s="251"/>
      <c r="AA18" s="251"/>
    </row>
    <row r="19" ht="14.25" customHeight="1">
      <c r="A19" s="98" t="s">
        <v>13770</v>
      </c>
      <c r="B19" s="108"/>
      <c r="C19" s="496" t="s">
        <v>13793</v>
      </c>
      <c r="D19" s="98" t="s">
        <v>271</v>
      </c>
      <c r="E19" s="147" t="s">
        <v>13780</v>
      </c>
      <c r="F19" s="137" t="s">
        <v>13794</v>
      </c>
      <c r="G19" s="137" t="s">
        <v>13762</v>
      </c>
      <c r="H19" s="137" t="s">
        <v>13795</v>
      </c>
      <c r="I19" s="497" t="s">
        <v>36</v>
      </c>
      <c r="J19" s="498" t="s">
        <v>4162</v>
      </c>
      <c r="K19" s="498" t="s">
        <v>2034</v>
      </c>
      <c r="L19" s="251"/>
      <c r="M19" s="251"/>
      <c r="N19" s="251"/>
      <c r="O19" s="251"/>
      <c r="P19" s="251"/>
      <c r="Q19" s="251"/>
      <c r="R19" s="251"/>
      <c r="S19" s="251"/>
      <c r="T19" s="251"/>
      <c r="U19" s="251"/>
      <c r="V19" s="251"/>
      <c r="W19" s="251"/>
      <c r="X19" s="251"/>
      <c r="Y19" s="251"/>
      <c r="Z19" s="251"/>
      <c r="AA19" s="251"/>
    </row>
    <row r="20" ht="14.25" customHeight="1">
      <c r="A20" s="98" t="s">
        <v>13770</v>
      </c>
      <c r="B20" s="108"/>
      <c r="C20" s="496" t="s">
        <v>13796</v>
      </c>
      <c r="D20" s="98" t="s">
        <v>271</v>
      </c>
      <c r="E20" s="147" t="s">
        <v>13780</v>
      </c>
      <c r="F20" s="137" t="s">
        <v>13797</v>
      </c>
      <c r="G20" s="137" t="s">
        <v>13762</v>
      </c>
      <c r="H20" s="137" t="s">
        <v>13798</v>
      </c>
      <c r="I20" s="497" t="s">
        <v>36</v>
      </c>
      <c r="J20" s="498" t="s">
        <v>4162</v>
      </c>
      <c r="K20" s="498" t="s">
        <v>2034</v>
      </c>
      <c r="L20" s="251"/>
      <c r="M20" s="251"/>
      <c r="N20" s="251"/>
      <c r="O20" s="251"/>
      <c r="P20" s="251"/>
      <c r="Q20" s="251"/>
      <c r="R20" s="251"/>
      <c r="S20" s="251"/>
      <c r="T20" s="251"/>
      <c r="U20" s="251"/>
      <c r="V20" s="251"/>
      <c r="W20" s="251"/>
      <c r="X20" s="251"/>
      <c r="Y20" s="251"/>
      <c r="Z20" s="251"/>
      <c r="AA20" s="251"/>
    </row>
    <row r="21" ht="14.25" customHeight="1">
      <c r="A21" s="98" t="s">
        <v>13770</v>
      </c>
      <c r="B21" s="108"/>
      <c r="C21" s="496" t="s">
        <v>13799</v>
      </c>
      <c r="D21" s="98" t="s">
        <v>271</v>
      </c>
      <c r="E21" s="147" t="s">
        <v>13780</v>
      </c>
      <c r="F21" s="137" t="s">
        <v>13800</v>
      </c>
      <c r="G21" s="137" t="s">
        <v>13801</v>
      </c>
      <c r="H21" s="137" t="s">
        <v>13802</v>
      </c>
      <c r="I21" s="497" t="s">
        <v>36</v>
      </c>
      <c r="J21" s="498" t="s">
        <v>151</v>
      </c>
      <c r="K21" s="498" t="s">
        <v>2034</v>
      </c>
      <c r="L21" s="251"/>
      <c r="M21" s="251"/>
      <c r="N21" s="251"/>
      <c r="O21" s="251"/>
      <c r="P21" s="251"/>
      <c r="Q21" s="251"/>
      <c r="R21" s="251"/>
      <c r="S21" s="251"/>
      <c r="T21" s="251"/>
      <c r="U21" s="251"/>
      <c r="V21" s="251"/>
      <c r="W21" s="251"/>
      <c r="X21" s="251"/>
      <c r="Y21" s="251"/>
      <c r="Z21" s="251"/>
      <c r="AA21" s="251"/>
    </row>
    <row r="22" ht="14.25" customHeight="1">
      <c r="A22" s="98" t="s">
        <v>13770</v>
      </c>
      <c r="B22" s="108"/>
      <c r="C22" s="496" t="s">
        <v>13803</v>
      </c>
      <c r="D22" s="98" t="s">
        <v>271</v>
      </c>
      <c r="E22" s="147" t="s">
        <v>13780</v>
      </c>
      <c r="F22" s="137" t="s">
        <v>13804</v>
      </c>
      <c r="G22" s="137" t="s">
        <v>13805</v>
      </c>
      <c r="H22" s="137" t="s">
        <v>13806</v>
      </c>
      <c r="I22" s="497" t="s">
        <v>36</v>
      </c>
      <c r="J22" s="498" t="s">
        <v>151</v>
      </c>
      <c r="K22" s="498" t="s">
        <v>2034</v>
      </c>
      <c r="L22" s="251"/>
      <c r="M22" s="251"/>
      <c r="N22" s="251"/>
      <c r="O22" s="251"/>
      <c r="P22" s="251"/>
      <c r="Q22" s="251"/>
      <c r="R22" s="251"/>
      <c r="S22" s="251"/>
      <c r="T22" s="251"/>
      <c r="U22" s="251"/>
      <c r="V22" s="251"/>
      <c r="W22" s="251"/>
      <c r="X22" s="251"/>
      <c r="Y22" s="251"/>
      <c r="Z22" s="251"/>
      <c r="AA22" s="251"/>
    </row>
    <row r="23" ht="14.25" customHeight="1">
      <c r="A23" s="98" t="s">
        <v>13770</v>
      </c>
      <c r="B23" s="108"/>
      <c r="C23" s="496" t="s">
        <v>13807</v>
      </c>
      <c r="D23" s="98" t="s">
        <v>271</v>
      </c>
      <c r="E23" s="147" t="s">
        <v>13780</v>
      </c>
      <c r="F23" s="137" t="s">
        <v>13808</v>
      </c>
      <c r="G23" s="137" t="s">
        <v>13805</v>
      </c>
      <c r="H23" s="137" t="s">
        <v>13809</v>
      </c>
      <c r="I23" s="497" t="s">
        <v>36</v>
      </c>
      <c r="J23" s="498" t="s">
        <v>151</v>
      </c>
      <c r="K23" s="498" t="s">
        <v>2034</v>
      </c>
      <c r="L23" s="251"/>
      <c r="M23" s="251"/>
      <c r="N23" s="251"/>
      <c r="O23" s="251"/>
      <c r="P23" s="251"/>
      <c r="Q23" s="251"/>
      <c r="R23" s="251"/>
      <c r="S23" s="251"/>
      <c r="T23" s="251"/>
      <c r="U23" s="251"/>
      <c r="V23" s="251"/>
      <c r="W23" s="251"/>
      <c r="X23" s="251"/>
      <c r="Y23" s="251"/>
      <c r="Z23" s="251"/>
      <c r="AA23" s="251"/>
    </row>
    <row r="24" ht="14.25" customHeight="1">
      <c r="A24" s="98" t="s">
        <v>13770</v>
      </c>
      <c r="B24" s="109"/>
      <c r="C24" s="496" t="s">
        <v>13810</v>
      </c>
      <c r="D24" s="98" t="s">
        <v>271</v>
      </c>
      <c r="E24" s="147" t="s">
        <v>13780</v>
      </c>
      <c r="F24" s="137" t="s">
        <v>13811</v>
      </c>
      <c r="G24" s="137" t="s">
        <v>13805</v>
      </c>
      <c r="H24" s="137" t="s">
        <v>13812</v>
      </c>
      <c r="I24" s="497" t="s">
        <v>36</v>
      </c>
      <c r="J24" s="498" t="s">
        <v>151</v>
      </c>
      <c r="K24" s="498" t="s">
        <v>2034</v>
      </c>
      <c r="L24" s="251"/>
      <c r="M24" s="251"/>
      <c r="N24" s="251"/>
      <c r="O24" s="251"/>
      <c r="P24" s="251"/>
      <c r="Q24" s="251"/>
      <c r="R24" s="251"/>
      <c r="S24" s="251"/>
      <c r="T24" s="251"/>
      <c r="U24" s="251"/>
      <c r="V24" s="251"/>
      <c r="W24" s="251"/>
      <c r="X24" s="251"/>
      <c r="Y24" s="251"/>
      <c r="Z24" s="251"/>
      <c r="AA24" s="251"/>
    </row>
    <row r="25" ht="14.25" customHeight="1">
      <c r="A25" s="297" t="s">
        <v>13813</v>
      </c>
      <c r="B25" s="499"/>
      <c r="C25" s="496" t="s">
        <v>13814</v>
      </c>
      <c r="D25" s="98" t="s">
        <v>271</v>
      </c>
      <c r="E25" s="137" t="s">
        <v>13815</v>
      </c>
      <c r="F25" s="137" t="s">
        <v>13816</v>
      </c>
      <c r="G25" s="137" t="s">
        <v>13817</v>
      </c>
      <c r="H25" s="137" t="s">
        <v>13818</v>
      </c>
      <c r="I25" s="497" t="s">
        <v>36</v>
      </c>
      <c r="J25" s="263"/>
      <c r="K25" s="263"/>
      <c r="L25" s="251"/>
      <c r="M25" s="251"/>
      <c r="N25" s="251"/>
      <c r="O25" s="251"/>
      <c r="P25" s="251"/>
      <c r="Q25" s="251"/>
      <c r="R25" s="251"/>
      <c r="S25" s="251"/>
      <c r="T25" s="251"/>
      <c r="U25" s="251"/>
      <c r="V25" s="251"/>
      <c r="W25" s="251"/>
      <c r="X25" s="251"/>
      <c r="Y25" s="251"/>
      <c r="Z25" s="251"/>
      <c r="AA25" s="251"/>
    </row>
    <row r="26" ht="14.25" customHeight="1">
      <c r="A26" s="297" t="s">
        <v>13813</v>
      </c>
      <c r="B26" s="108"/>
      <c r="C26" s="496" t="s">
        <v>13819</v>
      </c>
      <c r="D26" s="98" t="s">
        <v>271</v>
      </c>
      <c r="E26" s="137" t="s">
        <v>13815</v>
      </c>
      <c r="F26" s="137" t="s">
        <v>13820</v>
      </c>
      <c r="G26" s="137" t="s">
        <v>13821</v>
      </c>
      <c r="H26" s="137" t="s">
        <v>13822</v>
      </c>
      <c r="I26" s="497" t="s">
        <v>36</v>
      </c>
      <c r="J26" s="263"/>
      <c r="K26" s="263"/>
      <c r="L26" s="251"/>
      <c r="M26" s="251"/>
      <c r="N26" s="251"/>
      <c r="O26" s="251"/>
      <c r="P26" s="251"/>
      <c r="Q26" s="251"/>
      <c r="R26" s="251"/>
      <c r="S26" s="251"/>
      <c r="T26" s="251"/>
      <c r="U26" s="251"/>
      <c r="V26" s="251"/>
      <c r="W26" s="251"/>
      <c r="X26" s="251"/>
      <c r="Y26" s="251"/>
      <c r="Z26" s="251"/>
      <c r="AA26" s="251"/>
    </row>
    <row r="27" ht="14.25" customHeight="1">
      <c r="A27" s="297" t="s">
        <v>13813</v>
      </c>
      <c r="B27" s="108"/>
      <c r="C27" s="496" t="s">
        <v>13823</v>
      </c>
      <c r="D27" s="98" t="s">
        <v>271</v>
      </c>
      <c r="E27" s="137" t="s">
        <v>13815</v>
      </c>
      <c r="F27" s="137" t="s">
        <v>13824</v>
      </c>
      <c r="G27" s="137" t="s">
        <v>13821</v>
      </c>
      <c r="H27" s="137" t="s">
        <v>13825</v>
      </c>
      <c r="I27" s="497" t="s">
        <v>36</v>
      </c>
      <c r="J27" s="263"/>
      <c r="K27" s="263"/>
      <c r="L27" s="251"/>
      <c r="M27" s="251"/>
      <c r="N27" s="251"/>
      <c r="O27" s="251"/>
      <c r="P27" s="251"/>
      <c r="Q27" s="251"/>
      <c r="R27" s="251"/>
      <c r="S27" s="251"/>
      <c r="T27" s="251"/>
      <c r="U27" s="251"/>
      <c r="V27" s="251"/>
      <c r="W27" s="251"/>
      <c r="X27" s="251"/>
      <c r="Y27" s="251"/>
      <c r="Z27" s="251"/>
      <c r="AA27" s="251"/>
    </row>
    <row r="28" ht="14.25" customHeight="1">
      <c r="A28" s="297" t="s">
        <v>13813</v>
      </c>
      <c r="B28" s="108"/>
      <c r="C28" s="496" t="s">
        <v>13826</v>
      </c>
      <c r="D28" s="98" t="s">
        <v>271</v>
      </c>
      <c r="E28" s="137" t="s">
        <v>13815</v>
      </c>
      <c r="F28" s="137" t="s">
        <v>13827</v>
      </c>
      <c r="G28" s="137" t="s">
        <v>13821</v>
      </c>
      <c r="H28" s="137" t="s">
        <v>13828</v>
      </c>
      <c r="I28" s="497" t="s">
        <v>36</v>
      </c>
      <c r="J28" s="263"/>
      <c r="K28" s="263"/>
      <c r="L28" s="251"/>
      <c r="M28" s="251"/>
      <c r="N28" s="251"/>
      <c r="O28" s="251"/>
      <c r="P28" s="251"/>
      <c r="Q28" s="251"/>
      <c r="R28" s="251"/>
      <c r="S28" s="251"/>
      <c r="T28" s="251"/>
      <c r="U28" s="251"/>
      <c r="V28" s="251"/>
      <c r="W28" s="251"/>
      <c r="X28" s="251"/>
      <c r="Y28" s="251"/>
      <c r="Z28" s="251"/>
      <c r="AA28" s="251"/>
    </row>
    <row r="29" ht="14.25" customHeight="1">
      <c r="A29" s="297" t="s">
        <v>13813</v>
      </c>
      <c r="B29" s="108"/>
      <c r="C29" s="496" t="s">
        <v>13829</v>
      </c>
      <c r="D29" s="98" t="s">
        <v>271</v>
      </c>
      <c r="E29" s="137" t="s">
        <v>13815</v>
      </c>
      <c r="F29" s="137" t="s">
        <v>13830</v>
      </c>
      <c r="G29" s="137" t="s">
        <v>13817</v>
      </c>
      <c r="H29" s="137" t="s">
        <v>13818</v>
      </c>
      <c r="I29" s="497" t="s">
        <v>36</v>
      </c>
      <c r="J29" s="263"/>
      <c r="K29" s="263"/>
      <c r="L29" s="251"/>
      <c r="M29" s="251"/>
      <c r="N29" s="251"/>
      <c r="O29" s="251"/>
      <c r="P29" s="251"/>
      <c r="Q29" s="251"/>
      <c r="R29" s="251"/>
      <c r="S29" s="251"/>
      <c r="T29" s="251"/>
      <c r="U29" s="251"/>
      <c r="V29" s="251"/>
      <c r="W29" s="251"/>
      <c r="X29" s="251"/>
      <c r="Y29" s="251"/>
      <c r="Z29" s="251"/>
      <c r="AA29" s="251"/>
    </row>
    <row r="30" ht="14.25" customHeight="1">
      <c r="A30" s="297" t="s">
        <v>13813</v>
      </c>
      <c r="B30" s="108"/>
      <c r="C30" s="496" t="s">
        <v>13831</v>
      </c>
      <c r="D30" s="98" t="s">
        <v>271</v>
      </c>
      <c r="E30" s="137" t="s">
        <v>13815</v>
      </c>
      <c r="F30" s="137" t="s">
        <v>13832</v>
      </c>
      <c r="G30" s="137" t="s">
        <v>13821</v>
      </c>
      <c r="H30" s="137" t="s">
        <v>13822</v>
      </c>
      <c r="I30" s="497" t="s">
        <v>36</v>
      </c>
      <c r="J30" s="263"/>
      <c r="K30" s="263"/>
      <c r="L30" s="251"/>
      <c r="M30" s="251"/>
      <c r="N30" s="251"/>
      <c r="O30" s="251"/>
      <c r="P30" s="251"/>
      <c r="Q30" s="251"/>
      <c r="R30" s="251"/>
      <c r="S30" s="251"/>
      <c r="T30" s="251"/>
      <c r="U30" s="251"/>
      <c r="V30" s="251"/>
      <c r="W30" s="251"/>
      <c r="X30" s="251"/>
      <c r="Y30" s="251"/>
      <c r="Z30" s="251"/>
      <c r="AA30" s="251"/>
    </row>
    <row r="31" ht="14.25" customHeight="1">
      <c r="A31" s="297" t="s">
        <v>13813</v>
      </c>
      <c r="B31" s="108"/>
      <c r="C31" s="496" t="s">
        <v>13833</v>
      </c>
      <c r="D31" s="98" t="s">
        <v>271</v>
      </c>
      <c r="E31" s="137" t="s">
        <v>13815</v>
      </c>
      <c r="F31" s="137" t="s">
        <v>13834</v>
      </c>
      <c r="G31" s="137" t="s">
        <v>13821</v>
      </c>
      <c r="H31" s="137" t="s">
        <v>13825</v>
      </c>
      <c r="I31" s="497" t="s">
        <v>36</v>
      </c>
      <c r="J31" s="263"/>
      <c r="K31" s="263"/>
      <c r="L31" s="251"/>
      <c r="M31" s="251"/>
      <c r="N31" s="251"/>
      <c r="O31" s="251"/>
      <c r="P31" s="251"/>
      <c r="Q31" s="251"/>
      <c r="R31" s="251"/>
      <c r="S31" s="251"/>
      <c r="T31" s="251"/>
      <c r="U31" s="251"/>
      <c r="V31" s="251"/>
      <c r="W31" s="251"/>
      <c r="X31" s="251"/>
      <c r="Y31" s="251"/>
      <c r="Z31" s="251"/>
      <c r="AA31" s="251"/>
    </row>
    <row r="32" ht="14.25" customHeight="1">
      <c r="A32" s="297" t="s">
        <v>13813</v>
      </c>
      <c r="B32" s="108"/>
      <c r="C32" s="496" t="s">
        <v>13835</v>
      </c>
      <c r="D32" s="98" t="s">
        <v>271</v>
      </c>
      <c r="E32" s="137" t="s">
        <v>13815</v>
      </c>
      <c r="F32" s="137" t="s">
        <v>13836</v>
      </c>
      <c r="G32" s="137" t="s">
        <v>13821</v>
      </c>
      <c r="H32" s="137" t="s">
        <v>13828</v>
      </c>
      <c r="I32" s="497" t="s">
        <v>36</v>
      </c>
      <c r="J32" s="263"/>
      <c r="K32" s="263"/>
      <c r="L32" s="251"/>
      <c r="M32" s="251"/>
      <c r="N32" s="251"/>
      <c r="O32" s="251"/>
      <c r="P32" s="251"/>
      <c r="Q32" s="251"/>
      <c r="R32" s="251"/>
      <c r="S32" s="251"/>
      <c r="T32" s="251"/>
      <c r="U32" s="251"/>
      <c r="V32" s="251"/>
      <c r="W32" s="251"/>
      <c r="X32" s="251"/>
      <c r="Y32" s="251"/>
      <c r="Z32" s="251"/>
      <c r="AA32" s="251"/>
    </row>
    <row r="33" ht="14.25" customHeight="1">
      <c r="A33" s="297" t="s">
        <v>13813</v>
      </c>
      <c r="B33" s="108"/>
      <c r="C33" s="496" t="s">
        <v>13837</v>
      </c>
      <c r="D33" s="98" t="s">
        <v>271</v>
      </c>
      <c r="E33" s="137" t="s">
        <v>13815</v>
      </c>
      <c r="F33" s="137" t="s">
        <v>13838</v>
      </c>
      <c r="G33" s="137" t="s">
        <v>13817</v>
      </c>
      <c r="H33" s="137" t="s">
        <v>13818</v>
      </c>
      <c r="I33" s="497" t="s">
        <v>36</v>
      </c>
      <c r="J33" s="263"/>
      <c r="K33" s="263"/>
      <c r="L33" s="251"/>
      <c r="M33" s="251"/>
      <c r="N33" s="251"/>
      <c r="O33" s="251"/>
      <c r="P33" s="251"/>
      <c r="Q33" s="251"/>
      <c r="R33" s="251"/>
      <c r="S33" s="251"/>
      <c r="T33" s="251"/>
      <c r="U33" s="251"/>
      <c r="V33" s="251"/>
      <c r="W33" s="251"/>
      <c r="X33" s="251"/>
      <c r="Y33" s="251"/>
      <c r="Z33" s="251"/>
      <c r="AA33" s="251"/>
    </row>
    <row r="34" ht="14.25" customHeight="1">
      <c r="A34" s="297" t="s">
        <v>13813</v>
      </c>
      <c r="B34" s="108"/>
      <c r="C34" s="496" t="s">
        <v>13839</v>
      </c>
      <c r="D34" s="98" t="s">
        <v>271</v>
      </c>
      <c r="E34" s="137" t="s">
        <v>13815</v>
      </c>
      <c r="F34" s="137" t="s">
        <v>13840</v>
      </c>
      <c r="G34" s="137" t="s">
        <v>13821</v>
      </c>
      <c r="H34" s="137" t="s">
        <v>13822</v>
      </c>
      <c r="I34" s="497" t="s">
        <v>36</v>
      </c>
      <c r="J34" s="263"/>
      <c r="K34" s="263"/>
      <c r="L34" s="251"/>
      <c r="M34" s="251"/>
      <c r="N34" s="251"/>
      <c r="O34" s="251"/>
      <c r="P34" s="251"/>
      <c r="Q34" s="251"/>
      <c r="R34" s="251"/>
      <c r="S34" s="251"/>
      <c r="T34" s="251"/>
      <c r="U34" s="251"/>
      <c r="V34" s="251"/>
      <c r="W34" s="251"/>
      <c r="X34" s="251"/>
      <c r="Y34" s="251"/>
      <c r="Z34" s="251"/>
      <c r="AA34" s="251"/>
    </row>
    <row r="35" ht="14.25" customHeight="1">
      <c r="A35" s="297" t="s">
        <v>13813</v>
      </c>
      <c r="B35" s="108"/>
      <c r="C35" s="496" t="s">
        <v>13841</v>
      </c>
      <c r="D35" s="98" t="s">
        <v>271</v>
      </c>
      <c r="E35" s="137" t="s">
        <v>13815</v>
      </c>
      <c r="F35" s="137" t="s">
        <v>13842</v>
      </c>
      <c r="G35" s="137" t="s">
        <v>13821</v>
      </c>
      <c r="H35" s="137" t="s">
        <v>13825</v>
      </c>
      <c r="I35" s="497" t="s">
        <v>36</v>
      </c>
      <c r="J35" s="263"/>
      <c r="K35" s="263"/>
      <c r="L35" s="251"/>
      <c r="M35" s="251"/>
      <c r="N35" s="251"/>
      <c r="O35" s="251"/>
      <c r="P35" s="251"/>
      <c r="Q35" s="251"/>
      <c r="R35" s="251"/>
      <c r="S35" s="251"/>
      <c r="T35" s="251"/>
      <c r="U35" s="251"/>
      <c r="V35" s="251"/>
      <c r="W35" s="251"/>
      <c r="X35" s="251"/>
      <c r="Y35" s="251"/>
      <c r="Z35" s="251"/>
      <c r="AA35" s="251"/>
    </row>
    <row r="36" ht="14.25" customHeight="1">
      <c r="A36" s="297" t="s">
        <v>13813</v>
      </c>
      <c r="B36" s="109"/>
      <c r="C36" s="496" t="s">
        <v>13843</v>
      </c>
      <c r="D36" s="98" t="s">
        <v>271</v>
      </c>
      <c r="E36" s="137" t="s">
        <v>13815</v>
      </c>
      <c r="F36" s="137" t="s">
        <v>13844</v>
      </c>
      <c r="G36" s="137" t="s">
        <v>13821</v>
      </c>
      <c r="H36" s="137" t="s">
        <v>13828</v>
      </c>
      <c r="I36" s="497" t="s">
        <v>36</v>
      </c>
      <c r="J36" s="263"/>
      <c r="K36" s="263"/>
      <c r="L36" s="251"/>
      <c r="M36" s="251"/>
      <c r="N36" s="251"/>
      <c r="O36" s="251"/>
      <c r="P36" s="251"/>
      <c r="Q36" s="251"/>
      <c r="R36" s="251"/>
      <c r="S36" s="251"/>
      <c r="T36" s="251"/>
      <c r="U36" s="251"/>
      <c r="V36" s="251"/>
      <c r="W36" s="251"/>
      <c r="X36" s="251"/>
      <c r="Y36" s="251"/>
      <c r="Z36" s="251"/>
      <c r="AA36" s="251"/>
    </row>
    <row r="37" ht="14.25" customHeight="1">
      <c r="A37" s="98" t="s">
        <v>13845</v>
      </c>
      <c r="B37" s="499"/>
      <c r="C37" s="496" t="s">
        <v>13846</v>
      </c>
      <c r="D37" s="98" t="s">
        <v>271</v>
      </c>
      <c r="E37" s="254" t="s">
        <v>13720</v>
      </c>
      <c r="F37" s="137" t="s">
        <v>13847</v>
      </c>
      <c r="G37" s="137" t="s">
        <v>13848</v>
      </c>
      <c r="H37" s="137" t="s">
        <v>13849</v>
      </c>
      <c r="I37" s="497" t="s">
        <v>36</v>
      </c>
      <c r="J37" s="498" t="s">
        <v>4162</v>
      </c>
      <c r="K37" s="498" t="s">
        <v>1784</v>
      </c>
      <c r="L37" s="251"/>
      <c r="M37" s="251"/>
      <c r="N37" s="251"/>
      <c r="O37" s="251"/>
      <c r="P37" s="251"/>
      <c r="Q37" s="251"/>
      <c r="R37" s="251"/>
      <c r="S37" s="251"/>
      <c r="T37" s="251"/>
      <c r="U37" s="251"/>
      <c r="V37" s="251"/>
      <c r="W37" s="251"/>
      <c r="X37" s="251"/>
      <c r="Y37" s="251"/>
      <c r="Z37" s="251"/>
      <c r="AA37" s="251"/>
    </row>
    <row r="38" ht="14.25" customHeight="1">
      <c r="A38" s="98" t="s">
        <v>13845</v>
      </c>
      <c r="B38" s="108"/>
      <c r="C38" s="496" t="s">
        <v>13850</v>
      </c>
      <c r="D38" s="98" t="s">
        <v>271</v>
      </c>
      <c r="E38" s="254" t="s">
        <v>13720</v>
      </c>
      <c r="F38" s="137" t="s">
        <v>13851</v>
      </c>
      <c r="G38" s="137" t="s">
        <v>13848</v>
      </c>
      <c r="H38" s="137" t="s">
        <v>13849</v>
      </c>
      <c r="I38" s="497" t="s">
        <v>36</v>
      </c>
      <c r="J38" s="498" t="s">
        <v>4162</v>
      </c>
      <c r="K38" s="498" t="s">
        <v>1784</v>
      </c>
      <c r="L38" s="251"/>
      <c r="M38" s="251"/>
      <c r="N38" s="251"/>
      <c r="O38" s="251"/>
      <c r="P38" s="251"/>
      <c r="Q38" s="251"/>
      <c r="R38" s="251"/>
      <c r="S38" s="251"/>
      <c r="T38" s="251"/>
      <c r="U38" s="251"/>
      <c r="V38" s="251"/>
      <c r="W38" s="251"/>
      <c r="X38" s="251"/>
      <c r="Y38" s="251"/>
      <c r="Z38" s="251"/>
      <c r="AA38" s="251"/>
    </row>
    <row r="39" ht="14.25" customHeight="1">
      <c r="A39" s="98" t="s">
        <v>13845</v>
      </c>
      <c r="B39" s="108"/>
      <c r="C39" s="496" t="s">
        <v>13852</v>
      </c>
      <c r="D39" s="98" t="s">
        <v>271</v>
      </c>
      <c r="E39" s="254" t="s">
        <v>13720</v>
      </c>
      <c r="F39" s="137" t="s">
        <v>13853</v>
      </c>
      <c r="G39" s="137" t="s">
        <v>13848</v>
      </c>
      <c r="H39" s="137" t="s">
        <v>13854</v>
      </c>
      <c r="I39" s="497" t="s">
        <v>317</v>
      </c>
      <c r="J39" s="498" t="s">
        <v>4162</v>
      </c>
      <c r="K39" s="498" t="s">
        <v>1784</v>
      </c>
      <c r="L39" s="98" t="s">
        <v>13855</v>
      </c>
      <c r="M39" s="251"/>
      <c r="N39" s="251"/>
      <c r="O39" s="251"/>
      <c r="P39" s="251"/>
      <c r="Q39" s="251"/>
      <c r="R39" s="251"/>
      <c r="S39" s="251"/>
      <c r="T39" s="251"/>
      <c r="U39" s="251"/>
      <c r="V39" s="251"/>
      <c r="W39" s="251"/>
      <c r="X39" s="251"/>
      <c r="Y39" s="251"/>
      <c r="Z39" s="251"/>
      <c r="AA39" s="251"/>
    </row>
    <row r="40" ht="14.25" customHeight="1">
      <c r="A40" s="98" t="s">
        <v>13845</v>
      </c>
      <c r="B40" s="108"/>
      <c r="C40" s="496" t="s">
        <v>13856</v>
      </c>
      <c r="D40" s="98" t="s">
        <v>271</v>
      </c>
      <c r="E40" s="254" t="s">
        <v>13720</v>
      </c>
      <c r="F40" s="137" t="s">
        <v>13857</v>
      </c>
      <c r="G40" s="137" t="s">
        <v>13858</v>
      </c>
      <c r="H40" s="137" t="s">
        <v>13859</v>
      </c>
      <c r="I40" s="497" t="s">
        <v>36</v>
      </c>
      <c r="J40" s="498" t="s">
        <v>4162</v>
      </c>
      <c r="K40" s="498" t="s">
        <v>1784</v>
      </c>
      <c r="L40" s="251"/>
      <c r="M40" s="251"/>
      <c r="N40" s="251"/>
      <c r="O40" s="251"/>
      <c r="P40" s="251"/>
      <c r="Q40" s="251"/>
      <c r="R40" s="251"/>
      <c r="S40" s="251"/>
      <c r="T40" s="251"/>
      <c r="U40" s="251"/>
      <c r="V40" s="251"/>
      <c r="W40" s="251"/>
      <c r="X40" s="251"/>
      <c r="Y40" s="251"/>
      <c r="Z40" s="251"/>
      <c r="AA40" s="251"/>
    </row>
    <row r="41" ht="14.25" customHeight="1">
      <c r="A41" s="98" t="s">
        <v>13845</v>
      </c>
      <c r="B41" s="108"/>
      <c r="C41" s="496" t="s">
        <v>13860</v>
      </c>
      <c r="D41" s="98" t="s">
        <v>271</v>
      </c>
      <c r="E41" s="254" t="s">
        <v>13720</v>
      </c>
      <c r="F41" s="137" t="s">
        <v>13861</v>
      </c>
      <c r="G41" s="137" t="s">
        <v>13862</v>
      </c>
      <c r="H41" s="137" t="s">
        <v>13863</v>
      </c>
      <c r="I41" s="497" t="s">
        <v>36</v>
      </c>
      <c r="J41" s="498" t="s">
        <v>4162</v>
      </c>
      <c r="K41" s="498" t="s">
        <v>1784</v>
      </c>
      <c r="L41" s="251"/>
      <c r="M41" s="251"/>
      <c r="N41" s="251"/>
      <c r="O41" s="251"/>
      <c r="P41" s="251"/>
      <c r="Q41" s="251"/>
      <c r="R41" s="251"/>
      <c r="S41" s="251"/>
      <c r="T41" s="251"/>
      <c r="U41" s="251"/>
      <c r="V41" s="251"/>
      <c r="W41" s="251"/>
      <c r="X41" s="251"/>
      <c r="Y41" s="251"/>
      <c r="Z41" s="251"/>
      <c r="AA41" s="251"/>
    </row>
    <row r="42" ht="14.25" customHeight="1">
      <c r="A42" s="98" t="s">
        <v>13845</v>
      </c>
      <c r="B42" s="108"/>
      <c r="C42" s="496" t="s">
        <v>13864</v>
      </c>
      <c r="D42" s="98" t="s">
        <v>271</v>
      </c>
      <c r="E42" s="254" t="s">
        <v>13720</v>
      </c>
      <c r="F42" s="137" t="s">
        <v>13865</v>
      </c>
      <c r="G42" s="137" t="s">
        <v>13848</v>
      </c>
      <c r="H42" s="137" t="s">
        <v>13866</v>
      </c>
      <c r="I42" s="497" t="s">
        <v>317</v>
      </c>
      <c r="J42" s="498" t="s">
        <v>4162</v>
      </c>
      <c r="K42" s="498" t="s">
        <v>1784</v>
      </c>
      <c r="L42" s="98" t="s">
        <v>13855</v>
      </c>
      <c r="M42" s="251"/>
      <c r="N42" s="251"/>
      <c r="O42" s="251"/>
      <c r="P42" s="251"/>
      <c r="Q42" s="251"/>
      <c r="R42" s="251"/>
      <c r="S42" s="251"/>
      <c r="T42" s="251"/>
      <c r="U42" s="251"/>
      <c r="V42" s="251"/>
      <c r="W42" s="251"/>
      <c r="X42" s="251"/>
      <c r="Y42" s="251"/>
      <c r="Z42" s="251"/>
      <c r="AA42" s="251"/>
    </row>
    <row r="43" ht="14.25" customHeight="1">
      <c r="A43" s="98" t="s">
        <v>13845</v>
      </c>
      <c r="B43" s="108"/>
      <c r="C43" s="496" t="s">
        <v>13867</v>
      </c>
      <c r="D43" s="98" t="s">
        <v>271</v>
      </c>
      <c r="E43" s="254" t="s">
        <v>13720</v>
      </c>
      <c r="F43" s="137" t="s">
        <v>13868</v>
      </c>
      <c r="G43" s="137" t="s">
        <v>13869</v>
      </c>
      <c r="H43" s="137" t="s">
        <v>13870</v>
      </c>
      <c r="I43" s="497" t="s">
        <v>36</v>
      </c>
      <c r="J43" s="498" t="s">
        <v>4162</v>
      </c>
      <c r="K43" s="498" t="s">
        <v>1784</v>
      </c>
      <c r="L43" s="251"/>
      <c r="M43" s="251"/>
      <c r="N43" s="251"/>
      <c r="O43" s="251"/>
      <c r="P43" s="251"/>
      <c r="Q43" s="251"/>
      <c r="R43" s="251"/>
      <c r="S43" s="251"/>
      <c r="T43" s="251"/>
      <c r="U43" s="251"/>
      <c r="V43" s="251"/>
      <c r="W43" s="251"/>
      <c r="X43" s="251"/>
      <c r="Y43" s="251"/>
      <c r="Z43" s="251"/>
      <c r="AA43" s="251"/>
    </row>
    <row r="44" ht="14.25" customHeight="1">
      <c r="A44" s="98" t="s">
        <v>13845</v>
      </c>
      <c r="B44" s="108"/>
      <c r="C44" s="496" t="s">
        <v>13871</v>
      </c>
      <c r="D44" s="98" t="s">
        <v>271</v>
      </c>
      <c r="E44" s="254" t="s">
        <v>13720</v>
      </c>
      <c r="F44" s="137" t="s">
        <v>13872</v>
      </c>
      <c r="G44" s="137" t="s">
        <v>13873</v>
      </c>
      <c r="H44" s="137" t="s">
        <v>13874</v>
      </c>
      <c r="I44" s="497" t="s">
        <v>36</v>
      </c>
      <c r="J44" s="498" t="s">
        <v>4162</v>
      </c>
      <c r="K44" s="498" t="s">
        <v>1784</v>
      </c>
      <c r="L44" s="251"/>
      <c r="M44" s="251"/>
      <c r="N44" s="251"/>
      <c r="O44" s="251"/>
      <c r="P44" s="251"/>
      <c r="Q44" s="251"/>
      <c r="R44" s="251"/>
      <c r="S44" s="251"/>
      <c r="T44" s="251"/>
      <c r="U44" s="251"/>
      <c r="V44" s="251"/>
      <c r="W44" s="251"/>
      <c r="X44" s="251"/>
      <c r="Y44" s="251"/>
      <c r="Z44" s="251"/>
      <c r="AA44" s="251"/>
    </row>
    <row r="45" ht="14.25" customHeight="1">
      <c r="A45" s="98" t="s">
        <v>13845</v>
      </c>
      <c r="B45" s="108"/>
      <c r="C45" s="496" t="s">
        <v>13875</v>
      </c>
      <c r="D45" s="98" t="s">
        <v>271</v>
      </c>
      <c r="E45" s="254" t="s">
        <v>13720</v>
      </c>
      <c r="F45" s="137" t="s">
        <v>13876</v>
      </c>
      <c r="G45" s="137" t="s">
        <v>13877</v>
      </c>
      <c r="H45" s="137" t="s">
        <v>13878</v>
      </c>
      <c r="I45" s="497" t="s">
        <v>36</v>
      </c>
      <c r="J45" s="498" t="s">
        <v>4162</v>
      </c>
      <c r="K45" s="498" t="s">
        <v>1784</v>
      </c>
      <c r="L45" s="251"/>
      <c r="M45" s="251"/>
      <c r="N45" s="251"/>
      <c r="O45" s="251"/>
      <c r="P45" s="251"/>
      <c r="Q45" s="251"/>
      <c r="R45" s="251"/>
      <c r="S45" s="251"/>
      <c r="T45" s="251"/>
      <c r="U45" s="251"/>
      <c r="V45" s="251"/>
      <c r="W45" s="251"/>
      <c r="X45" s="251"/>
      <c r="Y45" s="251"/>
      <c r="Z45" s="251"/>
      <c r="AA45" s="251"/>
    </row>
    <row r="46" ht="14.25" customHeight="1">
      <c r="A46" s="98" t="s">
        <v>13845</v>
      </c>
      <c r="B46" s="108"/>
      <c r="C46" s="496" t="s">
        <v>13879</v>
      </c>
      <c r="D46" s="98" t="s">
        <v>271</v>
      </c>
      <c r="E46" s="254" t="s">
        <v>13720</v>
      </c>
      <c r="F46" s="137" t="s">
        <v>13876</v>
      </c>
      <c r="G46" s="137" t="s">
        <v>13880</v>
      </c>
      <c r="H46" s="137" t="s">
        <v>13881</v>
      </c>
      <c r="I46" s="497" t="s">
        <v>36</v>
      </c>
      <c r="J46" s="498" t="s">
        <v>4162</v>
      </c>
      <c r="K46" s="498" t="s">
        <v>1784</v>
      </c>
      <c r="L46" s="251"/>
      <c r="M46" s="251"/>
      <c r="N46" s="251"/>
      <c r="O46" s="251"/>
      <c r="P46" s="251"/>
      <c r="Q46" s="251"/>
      <c r="R46" s="251"/>
      <c r="S46" s="251"/>
      <c r="T46" s="251"/>
      <c r="U46" s="251"/>
      <c r="V46" s="251"/>
      <c r="W46" s="251"/>
      <c r="X46" s="251"/>
      <c r="Y46" s="251"/>
      <c r="Z46" s="251"/>
      <c r="AA46" s="251"/>
    </row>
    <row r="47" ht="14.25" customHeight="1">
      <c r="A47" s="98" t="s">
        <v>13845</v>
      </c>
      <c r="B47" s="108"/>
      <c r="C47" s="496" t="s">
        <v>13882</v>
      </c>
      <c r="D47" s="98" t="s">
        <v>271</v>
      </c>
      <c r="E47" s="254" t="s">
        <v>13720</v>
      </c>
      <c r="F47" s="137" t="s">
        <v>13883</v>
      </c>
      <c r="G47" s="137" t="s">
        <v>13884</v>
      </c>
      <c r="H47" s="137" t="s">
        <v>13885</v>
      </c>
      <c r="I47" s="497" t="s">
        <v>36</v>
      </c>
      <c r="J47" s="498" t="s">
        <v>4162</v>
      </c>
      <c r="K47" s="498" t="s">
        <v>1784</v>
      </c>
      <c r="L47" s="251"/>
      <c r="M47" s="251"/>
      <c r="N47" s="251"/>
      <c r="O47" s="251"/>
      <c r="P47" s="251"/>
      <c r="Q47" s="251"/>
      <c r="R47" s="251"/>
      <c r="S47" s="251"/>
      <c r="T47" s="251"/>
      <c r="U47" s="251"/>
      <c r="V47" s="251"/>
      <c r="W47" s="251"/>
      <c r="X47" s="251"/>
      <c r="Y47" s="251"/>
      <c r="Z47" s="251"/>
      <c r="AA47" s="251"/>
    </row>
    <row r="48" ht="14.25" customHeight="1">
      <c r="A48" s="98" t="s">
        <v>13845</v>
      </c>
      <c r="B48" s="108"/>
      <c r="C48" s="496" t="s">
        <v>13886</v>
      </c>
      <c r="D48" s="98" t="s">
        <v>271</v>
      </c>
      <c r="E48" s="254" t="s">
        <v>13720</v>
      </c>
      <c r="F48" s="137" t="s">
        <v>13883</v>
      </c>
      <c r="G48" s="137" t="s">
        <v>13887</v>
      </c>
      <c r="H48" s="137" t="s">
        <v>13888</v>
      </c>
      <c r="I48" s="497" t="s">
        <v>36</v>
      </c>
      <c r="J48" s="498" t="s">
        <v>4162</v>
      </c>
      <c r="K48" s="498" t="s">
        <v>1784</v>
      </c>
      <c r="L48" s="251"/>
      <c r="M48" s="251"/>
      <c r="N48" s="251"/>
      <c r="O48" s="251"/>
      <c r="P48" s="251"/>
      <c r="Q48" s="251"/>
      <c r="R48" s="251"/>
      <c r="S48" s="251"/>
      <c r="T48" s="251"/>
      <c r="U48" s="251"/>
      <c r="V48" s="251"/>
      <c r="W48" s="251"/>
      <c r="X48" s="251"/>
      <c r="Y48" s="251"/>
      <c r="Z48" s="251"/>
      <c r="AA48" s="251"/>
    </row>
    <row r="49" ht="14.25" customHeight="1">
      <c r="A49" s="98" t="s">
        <v>13845</v>
      </c>
      <c r="B49" s="108"/>
      <c r="C49" s="496" t="s">
        <v>13889</v>
      </c>
      <c r="D49" s="98" t="s">
        <v>271</v>
      </c>
      <c r="E49" s="254" t="s">
        <v>13720</v>
      </c>
      <c r="F49" s="137" t="s">
        <v>13890</v>
      </c>
      <c r="G49" s="137" t="s">
        <v>13891</v>
      </c>
      <c r="H49" s="137" t="s">
        <v>13892</v>
      </c>
      <c r="I49" s="497" t="s">
        <v>36</v>
      </c>
      <c r="J49" s="498" t="s">
        <v>4162</v>
      </c>
      <c r="K49" s="498" t="s">
        <v>1784</v>
      </c>
      <c r="L49" s="251"/>
      <c r="M49" s="251"/>
      <c r="N49" s="251"/>
      <c r="O49" s="251"/>
      <c r="P49" s="251"/>
      <c r="Q49" s="251"/>
      <c r="R49" s="251"/>
      <c r="S49" s="251"/>
      <c r="T49" s="251"/>
      <c r="U49" s="251"/>
      <c r="V49" s="251"/>
      <c r="W49" s="251"/>
      <c r="X49" s="251"/>
      <c r="Y49" s="251"/>
      <c r="Z49" s="251"/>
      <c r="AA49" s="251"/>
    </row>
    <row r="50" ht="14.25" customHeight="1">
      <c r="A50" s="98" t="s">
        <v>13845</v>
      </c>
      <c r="B50" s="108"/>
      <c r="C50" s="496" t="s">
        <v>13893</v>
      </c>
      <c r="D50" s="98" t="s">
        <v>271</v>
      </c>
      <c r="E50" s="254" t="s">
        <v>13720</v>
      </c>
      <c r="F50" s="137" t="s">
        <v>13890</v>
      </c>
      <c r="G50" s="137" t="s">
        <v>13894</v>
      </c>
      <c r="H50" s="137" t="s">
        <v>13895</v>
      </c>
      <c r="I50" s="497" t="s">
        <v>36</v>
      </c>
      <c r="J50" s="498" t="s">
        <v>4162</v>
      </c>
      <c r="K50" s="498" t="s">
        <v>1784</v>
      </c>
      <c r="L50" s="251"/>
      <c r="M50" s="251"/>
      <c r="N50" s="251"/>
      <c r="O50" s="251"/>
      <c r="P50" s="251"/>
      <c r="Q50" s="251"/>
      <c r="R50" s="251"/>
      <c r="S50" s="251"/>
      <c r="T50" s="251"/>
      <c r="U50" s="251"/>
      <c r="V50" s="251"/>
      <c r="W50" s="251"/>
      <c r="X50" s="251"/>
      <c r="Y50" s="251"/>
      <c r="Z50" s="251"/>
      <c r="AA50" s="251"/>
    </row>
    <row r="51" ht="14.25" customHeight="1">
      <c r="A51" s="98" t="s">
        <v>13845</v>
      </c>
      <c r="B51" s="108"/>
      <c r="C51" s="496" t="s">
        <v>13896</v>
      </c>
      <c r="D51" s="98" t="s">
        <v>271</v>
      </c>
      <c r="E51" s="254" t="s">
        <v>13720</v>
      </c>
      <c r="F51" s="137" t="s">
        <v>13897</v>
      </c>
      <c r="G51" s="137" t="s">
        <v>13898</v>
      </c>
      <c r="H51" s="137" t="s">
        <v>13899</v>
      </c>
      <c r="I51" s="497" t="s">
        <v>36</v>
      </c>
      <c r="J51" s="498" t="s">
        <v>4162</v>
      </c>
      <c r="K51" s="498" t="s">
        <v>1784</v>
      </c>
      <c r="L51" s="251"/>
      <c r="M51" s="251"/>
      <c r="N51" s="251"/>
      <c r="O51" s="251"/>
      <c r="P51" s="251"/>
      <c r="Q51" s="251"/>
      <c r="R51" s="251"/>
      <c r="S51" s="251"/>
      <c r="T51" s="251"/>
      <c r="U51" s="251"/>
      <c r="V51" s="251"/>
      <c r="W51" s="251"/>
      <c r="X51" s="251"/>
      <c r="Y51" s="251"/>
      <c r="Z51" s="251"/>
      <c r="AA51" s="251"/>
    </row>
    <row r="52" ht="14.25" customHeight="1">
      <c r="A52" s="98" t="s">
        <v>13845</v>
      </c>
      <c r="B52" s="108"/>
      <c r="C52" s="496" t="s">
        <v>13900</v>
      </c>
      <c r="D52" s="98" t="s">
        <v>271</v>
      </c>
      <c r="E52" s="254" t="s">
        <v>13720</v>
      </c>
      <c r="F52" s="137" t="s">
        <v>13901</v>
      </c>
      <c r="G52" s="137" t="s">
        <v>13891</v>
      </c>
      <c r="H52" s="137" t="s">
        <v>13902</v>
      </c>
      <c r="I52" s="497" t="s">
        <v>36</v>
      </c>
      <c r="J52" s="498" t="s">
        <v>4162</v>
      </c>
      <c r="K52" s="498" t="s">
        <v>1784</v>
      </c>
      <c r="L52" s="251"/>
      <c r="M52" s="251"/>
      <c r="N52" s="251"/>
      <c r="O52" s="251"/>
      <c r="P52" s="251"/>
      <c r="Q52" s="251"/>
      <c r="R52" s="251"/>
      <c r="S52" s="251"/>
      <c r="T52" s="251"/>
      <c r="U52" s="251"/>
      <c r="V52" s="251"/>
      <c r="W52" s="251"/>
      <c r="X52" s="251"/>
      <c r="Y52" s="251"/>
      <c r="Z52" s="251"/>
      <c r="AA52" s="251"/>
    </row>
    <row r="53" ht="14.25" customHeight="1">
      <c r="A53" s="98" t="s">
        <v>13845</v>
      </c>
      <c r="B53" s="109"/>
      <c r="C53" s="496" t="s">
        <v>13903</v>
      </c>
      <c r="D53" s="98" t="s">
        <v>271</v>
      </c>
      <c r="E53" s="254" t="s">
        <v>13720</v>
      </c>
      <c r="F53" s="137" t="s">
        <v>13904</v>
      </c>
      <c r="G53" s="137" t="s">
        <v>13891</v>
      </c>
      <c r="H53" s="137" t="s">
        <v>13902</v>
      </c>
      <c r="I53" s="497" t="s">
        <v>36</v>
      </c>
      <c r="J53" s="498" t="s">
        <v>4162</v>
      </c>
      <c r="K53" s="498" t="s">
        <v>1784</v>
      </c>
      <c r="L53" s="251"/>
      <c r="M53" s="251"/>
      <c r="N53" s="251"/>
      <c r="O53" s="251"/>
      <c r="P53" s="251"/>
      <c r="Q53" s="251"/>
      <c r="R53" s="251"/>
      <c r="S53" s="251"/>
      <c r="T53" s="251"/>
      <c r="U53" s="251"/>
      <c r="V53" s="251"/>
      <c r="W53" s="251"/>
      <c r="X53" s="251"/>
      <c r="Y53" s="251"/>
      <c r="Z53" s="251"/>
      <c r="AA53" s="251"/>
    </row>
    <row r="54" ht="14.25" customHeight="1">
      <c r="A54" s="98" t="s">
        <v>13905</v>
      </c>
      <c r="B54" s="499"/>
      <c r="C54" s="496" t="s">
        <v>13906</v>
      </c>
      <c r="D54" s="98" t="s">
        <v>271</v>
      </c>
      <c r="E54" s="365" t="s">
        <v>12215</v>
      </c>
      <c r="F54" s="371"/>
      <c r="G54" s="137" t="s">
        <v>13907</v>
      </c>
      <c r="H54" s="137" t="s">
        <v>13908</v>
      </c>
      <c r="I54" s="497" t="s">
        <v>36</v>
      </c>
      <c r="J54" s="498" t="s">
        <v>4162</v>
      </c>
      <c r="K54" s="498" t="s">
        <v>2034</v>
      </c>
      <c r="L54" s="251"/>
      <c r="M54" s="251"/>
      <c r="N54" s="251"/>
      <c r="O54" s="251"/>
      <c r="P54" s="251"/>
      <c r="Q54" s="251"/>
      <c r="R54" s="251"/>
      <c r="S54" s="251"/>
      <c r="T54" s="251"/>
      <c r="U54" s="251"/>
      <c r="V54" s="251"/>
      <c r="W54" s="251"/>
      <c r="X54" s="251"/>
      <c r="Y54" s="251"/>
      <c r="Z54" s="251"/>
      <c r="AA54" s="251"/>
    </row>
    <row r="55" ht="14.25" customHeight="1">
      <c r="A55" s="98" t="s">
        <v>13905</v>
      </c>
      <c r="B55" s="108"/>
      <c r="C55" s="496" t="s">
        <v>13909</v>
      </c>
      <c r="D55" s="98" t="s">
        <v>271</v>
      </c>
      <c r="E55" s="365" t="s">
        <v>12215</v>
      </c>
      <c r="F55" s="137" t="s">
        <v>13910</v>
      </c>
      <c r="G55" s="137" t="s">
        <v>13911</v>
      </c>
      <c r="H55" s="137" t="s">
        <v>13912</v>
      </c>
      <c r="I55" s="497" t="s">
        <v>36</v>
      </c>
      <c r="J55" s="498" t="s">
        <v>4162</v>
      </c>
      <c r="K55" s="498" t="s">
        <v>2034</v>
      </c>
      <c r="L55" s="251"/>
      <c r="M55" s="251"/>
      <c r="N55" s="251"/>
      <c r="O55" s="251"/>
      <c r="P55" s="251"/>
      <c r="Q55" s="251"/>
      <c r="R55" s="251"/>
      <c r="S55" s="251"/>
      <c r="T55" s="251"/>
      <c r="U55" s="251"/>
      <c r="V55" s="251"/>
      <c r="W55" s="251"/>
      <c r="X55" s="251"/>
      <c r="Y55" s="251"/>
      <c r="Z55" s="251"/>
      <c r="AA55" s="251"/>
    </row>
    <row r="56" ht="14.25" customHeight="1">
      <c r="A56" s="98" t="s">
        <v>13905</v>
      </c>
      <c r="B56" s="108"/>
      <c r="C56" s="496" t="s">
        <v>13913</v>
      </c>
      <c r="D56" s="98" t="s">
        <v>271</v>
      </c>
      <c r="E56" s="365" t="s">
        <v>12215</v>
      </c>
      <c r="F56" s="137" t="s">
        <v>13910</v>
      </c>
      <c r="G56" s="137" t="s">
        <v>13914</v>
      </c>
      <c r="H56" s="137" t="s">
        <v>13915</v>
      </c>
      <c r="I56" s="497" t="s">
        <v>36</v>
      </c>
      <c r="J56" s="498" t="s">
        <v>4162</v>
      </c>
      <c r="K56" s="498" t="s">
        <v>2034</v>
      </c>
      <c r="L56" s="251"/>
      <c r="M56" s="251"/>
      <c r="N56" s="251"/>
      <c r="O56" s="251"/>
      <c r="P56" s="251"/>
      <c r="Q56" s="251"/>
      <c r="R56" s="251"/>
      <c r="S56" s="251"/>
      <c r="T56" s="251"/>
      <c r="U56" s="251"/>
      <c r="V56" s="251"/>
      <c r="W56" s="251"/>
      <c r="X56" s="251"/>
      <c r="Y56" s="251"/>
      <c r="Z56" s="251"/>
      <c r="AA56" s="251"/>
    </row>
    <row r="57" ht="14.25" customHeight="1">
      <c r="A57" s="98" t="s">
        <v>13905</v>
      </c>
      <c r="B57" s="108"/>
      <c r="C57" s="496" t="s">
        <v>13916</v>
      </c>
      <c r="D57" s="98" t="s">
        <v>271</v>
      </c>
      <c r="E57" s="365" t="s">
        <v>12215</v>
      </c>
      <c r="F57" s="137" t="s">
        <v>13917</v>
      </c>
      <c r="G57" s="137" t="s">
        <v>13918</v>
      </c>
      <c r="H57" s="137" t="s">
        <v>13919</v>
      </c>
      <c r="I57" s="497" t="s">
        <v>36</v>
      </c>
      <c r="J57" s="498" t="s">
        <v>4162</v>
      </c>
      <c r="K57" s="498" t="s">
        <v>2034</v>
      </c>
      <c r="L57" s="251"/>
      <c r="M57" s="251"/>
      <c r="N57" s="251"/>
      <c r="O57" s="251"/>
      <c r="P57" s="251"/>
      <c r="Q57" s="251"/>
      <c r="R57" s="251"/>
      <c r="S57" s="251"/>
      <c r="T57" s="251"/>
      <c r="U57" s="251"/>
      <c r="V57" s="251"/>
      <c r="W57" s="251"/>
      <c r="X57" s="251"/>
      <c r="Y57" s="251"/>
      <c r="Z57" s="251"/>
      <c r="AA57" s="251"/>
    </row>
    <row r="58" ht="14.25" customHeight="1">
      <c r="A58" s="98" t="s">
        <v>13905</v>
      </c>
      <c r="B58" s="108"/>
      <c r="C58" s="496" t="s">
        <v>13920</v>
      </c>
      <c r="D58" s="98" t="s">
        <v>271</v>
      </c>
      <c r="E58" s="365" t="s">
        <v>12215</v>
      </c>
      <c r="F58" s="137" t="s">
        <v>13921</v>
      </c>
      <c r="G58" s="137" t="s">
        <v>13922</v>
      </c>
      <c r="H58" s="137" t="s">
        <v>13923</v>
      </c>
      <c r="I58" s="497" t="s">
        <v>36</v>
      </c>
      <c r="J58" s="498" t="s">
        <v>4162</v>
      </c>
      <c r="K58" s="498" t="s">
        <v>2034</v>
      </c>
      <c r="L58" s="251"/>
      <c r="M58" s="251"/>
      <c r="N58" s="251"/>
      <c r="O58" s="251"/>
      <c r="P58" s="251"/>
      <c r="Q58" s="251"/>
      <c r="R58" s="251"/>
      <c r="S58" s="251"/>
      <c r="T58" s="251"/>
      <c r="U58" s="251"/>
      <c r="V58" s="251"/>
      <c r="W58" s="251"/>
      <c r="X58" s="251"/>
      <c r="Y58" s="251"/>
      <c r="Z58" s="251"/>
      <c r="AA58" s="251"/>
    </row>
    <row r="59" ht="14.25" customHeight="1">
      <c r="A59" s="98" t="s">
        <v>13905</v>
      </c>
      <c r="B59" s="108"/>
      <c r="C59" s="496" t="s">
        <v>13924</v>
      </c>
      <c r="D59" s="98" t="s">
        <v>271</v>
      </c>
      <c r="E59" s="365" t="s">
        <v>12215</v>
      </c>
      <c r="F59" s="137" t="s">
        <v>13925</v>
      </c>
      <c r="G59" s="137" t="s">
        <v>13922</v>
      </c>
      <c r="H59" s="137" t="s">
        <v>13926</v>
      </c>
      <c r="I59" s="497" t="s">
        <v>36</v>
      </c>
      <c r="J59" s="498" t="s">
        <v>4162</v>
      </c>
      <c r="K59" s="498" t="s">
        <v>2034</v>
      </c>
      <c r="L59" s="251"/>
      <c r="M59" s="251"/>
      <c r="N59" s="251"/>
      <c r="O59" s="251"/>
      <c r="P59" s="251"/>
      <c r="Q59" s="251"/>
      <c r="R59" s="251"/>
      <c r="S59" s="251"/>
      <c r="T59" s="251"/>
      <c r="U59" s="251"/>
      <c r="V59" s="251"/>
      <c r="W59" s="251"/>
      <c r="X59" s="251"/>
      <c r="Y59" s="251"/>
      <c r="Z59" s="251"/>
      <c r="AA59" s="251"/>
    </row>
    <row r="60" ht="14.25" customHeight="1">
      <c r="A60" s="98" t="s">
        <v>13905</v>
      </c>
      <c r="B60" s="108"/>
      <c r="C60" s="496" t="s">
        <v>13927</v>
      </c>
      <c r="D60" s="98" t="s">
        <v>271</v>
      </c>
      <c r="E60" s="365" t="s">
        <v>12215</v>
      </c>
      <c r="F60" s="137" t="s">
        <v>13928</v>
      </c>
      <c r="G60" s="137" t="s">
        <v>13922</v>
      </c>
      <c r="H60" s="137" t="s">
        <v>13929</v>
      </c>
      <c r="I60" s="497" t="s">
        <v>36</v>
      </c>
      <c r="J60" s="498" t="s">
        <v>4162</v>
      </c>
      <c r="K60" s="498" t="s">
        <v>2034</v>
      </c>
      <c r="L60" s="251"/>
      <c r="M60" s="251"/>
      <c r="N60" s="251"/>
      <c r="O60" s="251"/>
      <c r="P60" s="251"/>
      <c r="Q60" s="251"/>
      <c r="R60" s="251"/>
      <c r="S60" s="251"/>
      <c r="T60" s="251"/>
      <c r="U60" s="251"/>
      <c r="V60" s="251"/>
      <c r="W60" s="251"/>
      <c r="X60" s="251"/>
      <c r="Y60" s="251"/>
      <c r="Z60" s="251"/>
      <c r="AA60" s="251"/>
    </row>
    <row r="61" ht="14.25" customHeight="1">
      <c r="A61" s="98" t="s">
        <v>13905</v>
      </c>
      <c r="B61" s="108"/>
      <c r="C61" s="496" t="s">
        <v>13930</v>
      </c>
      <c r="D61" s="98" t="s">
        <v>271</v>
      </c>
      <c r="E61" s="365" t="s">
        <v>12215</v>
      </c>
      <c r="F61" s="137" t="s">
        <v>13931</v>
      </c>
      <c r="G61" s="137" t="s">
        <v>13932</v>
      </c>
      <c r="H61" s="137" t="s">
        <v>13933</v>
      </c>
      <c r="I61" s="497" t="s">
        <v>36</v>
      </c>
      <c r="J61" s="498" t="s">
        <v>4162</v>
      </c>
      <c r="K61" s="498" t="s">
        <v>2034</v>
      </c>
      <c r="L61" s="251"/>
      <c r="M61" s="251"/>
      <c r="N61" s="251"/>
      <c r="O61" s="251"/>
      <c r="P61" s="251"/>
      <c r="Q61" s="251"/>
      <c r="R61" s="251"/>
      <c r="S61" s="251"/>
      <c r="T61" s="251"/>
      <c r="U61" s="251"/>
      <c r="V61" s="251"/>
      <c r="W61" s="251"/>
      <c r="X61" s="251"/>
      <c r="Y61" s="251"/>
      <c r="Z61" s="251"/>
      <c r="AA61" s="251"/>
    </row>
    <row r="62" ht="14.25" customHeight="1">
      <c r="A62" s="98" t="s">
        <v>13905</v>
      </c>
      <c r="B62" s="108"/>
      <c r="C62" s="496" t="s">
        <v>13934</v>
      </c>
      <c r="D62" s="98" t="s">
        <v>271</v>
      </c>
      <c r="E62" s="365" t="s">
        <v>12215</v>
      </c>
      <c r="F62" s="137" t="s">
        <v>13935</v>
      </c>
      <c r="G62" s="137" t="s">
        <v>13936</v>
      </c>
      <c r="H62" s="137" t="s">
        <v>13937</v>
      </c>
      <c r="I62" s="497" t="s">
        <v>36</v>
      </c>
      <c r="J62" s="498" t="s">
        <v>4162</v>
      </c>
      <c r="K62" s="498" t="s">
        <v>2034</v>
      </c>
      <c r="L62" s="251"/>
      <c r="M62" s="251"/>
      <c r="N62" s="251"/>
      <c r="O62" s="251"/>
      <c r="P62" s="251"/>
      <c r="Q62" s="251"/>
      <c r="R62" s="251"/>
      <c r="S62" s="251"/>
      <c r="T62" s="251"/>
      <c r="U62" s="251"/>
      <c r="V62" s="251"/>
      <c r="W62" s="251"/>
      <c r="X62" s="251"/>
      <c r="Y62" s="251"/>
      <c r="Z62" s="251"/>
      <c r="AA62" s="251"/>
    </row>
    <row r="63" ht="14.25" customHeight="1">
      <c r="A63" s="98" t="s">
        <v>13905</v>
      </c>
      <c r="B63" s="108"/>
      <c r="C63" s="496" t="s">
        <v>13938</v>
      </c>
      <c r="D63" s="98" t="s">
        <v>271</v>
      </c>
      <c r="E63" s="365" t="s">
        <v>12215</v>
      </c>
      <c r="F63" s="137" t="s">
        <v>13939</v>
      </c>
      <c r="G63" s="137" t="s">
        <v>13936</v>
      </c>
      <c r="H63" s="137" t="s">
        <v>13940</v>
      </c>
      <c r="I63" s="497" t="s">
        <v>36</v>
      </c>
      <c r="J63" s="498" t="s">
        <v>4162</v>
      </c>
      <c r="K63" s="498" t="s">
        <v>2034</v>
      </c>
      <c r="L63" s="251"/>
      <c r="M63" s="251"/>
      <c r="N63" s="251"/>
      <c r="O63" s="251"/>
      <c r="P63" s="251"/>
      <c r="Q63" s="251"/>
      <c r="R63" s="251"/>
      <c r="S63" s="251"/>
      <c r="T63" s="251"/>
      <c r="U63" s="251"/>
      <c r="V63" s="251"/>
      <c r="W63" s="251"/>
      <c r="X63" s="251"/>
      <c r="Y63" s="251"/>
      <c r="Z63" s="251"/>
      <c r="AA63" s="251"/>
    </row>
    <row r="64" ht="14.25" customHeight="1">
      <c r="A64" s="98" t="s">
        <v>13905</v>
      </c>
      <c r="B64" s="108"/>
      <c r="C64" s="496" t="s">
        <v>13941</v>
      </c>
      <c r="D64" s="98" t="s">
        <v>271</v>
      </c>
      <c r="E64" s="365" t="s">
        <v>12215</v>
      </c>
      <c r="F64" s="137" t="s">
        <v>13942</v>
      </c>
      <c r="G64" s="137" t="s">
        <v>13936</v>
      </c>
      <c r="H64" s="137" t="s">
        <v>13943</v>
      </c>
      <c r="I64" s="497" t="s">
        <v>36</v>
      </c>
      <c r="J64" s="498" t="s">
        <v>4162</v>
      </c>
      <c r="K64" s="498" t="s">
        <v>2034</v>
      </c>
      <c r="L64" s="251"/>
      <c r="M64" s="251"/>
      <c r="N64" s="251"/>
      <c r="O64" s="251"/>
      <c r="P64" s="251"/>
      <c r="Q64" s="251"/>
      <c r="R64" s="251"/>
      <c r="S64" s="251"/>
      <c r="T64" s="251"/>
      <c r="U64" s="251"/>
      <c r="V64" s="251"/>
      <c r="W64" s="251"/>
      <c r="X64" s="251"/>
      <c r="Y64" s="251"/>
      <c r="Z64" s="251"/>
      <c r="AA64" s="251"/>
    </row>
    <row r="65" ht="14.25" customHeight="1">
      <c r="A65" s="98" t="s">
        <v>13905</v>
      </c>
      <c r="B65" s="108"/>
      <c r="C65" s="496" t="s">
        <v>13944</v>
      </c>
      <c r="D65" s="98" t="s">
        <v>271</v>
      </c>
      <c r="E65" s="365" t="s">
        <v>12215</v>
      </c>
      <c r="F65" s="137" t="s">
        <v>13945</v>
      </c>
      <c r="G65" s="137" t="s">
        <v>13936</v>
      </c>
      <c r="H65" s="137" t="s">
        <v>13946</v>
      </c>
      <c r="I65" s="497" t="s">
        <v>36</v>
      </c>
      <c r="J65" s="498" t="s">
        <v>4162</v>
      </c>
      <c r="K65" s="498" t="s">
        <v>2034</v>
      </c>
      <c r="L65" s="251"/>
      <c r="M65" s="251"/>
      <c r="N65" s="251"/>
      <c r="O65" s="251"/>
      <c r="P65" s="251"/>
      <c r="Q65" s="251"/>
      <c r="R65" s="251"/>
      <c r="S65" s="251"/>
      <c r="T65" s="251"/>
      <c r="U65" s="251"/>
      <c r="V65" s="251"/>
      <c r="W65" s="251"/>
      <c r="X65" s="251"/>
      <c r="Y65" s="251"/>
      <c r="Z65" s="251"/>
      <c r="AA65" s="251"/>
    </row>
    <row r="66" ht="14.25" customHeight="1">
      <c r="A66" s="98" t="s">
        <v>13905</v>
      </c>
      <c r="B66" s="108"/>
      <c r="C66" s="496" t="s">
        <v>13947</v>
      </c>
      <c r="D66" s="98" t="s">
        <v>271</v>
      </c>
      <c r="E66" s="365" t="s">
        <v>12215</v>
      </c>
      <c r="F66" s="371"/>
      <c r="G66" s="371"/>
      <c r="H66" s="137" t="s">
        <v>13948</v>
      </c>
      <c r="I66" s="497" t="s">
        <v>36</v>
      </c>
      <c r="J66" s="498" t="s">
        <v>4162</v>
      </c>
      <c r="K66" s="498" t="s">
        <v>2034</v>
      </c>
      <c r="L66" s="251"/>
      <c r="M66" s="251"/>
      <c r="N66" s="251"/>
      <c r="O66" s="251"/>
      <c r="P66" s="251"/>
      <c r="Q66" s="251"/>
      <c r="R66" s="251"/>
      <c r="S66" s="251"/>
      <c r="T66" s="251"/>
      <c r="U66" s="251"/>
      <c r="V66" s="251"/>
      <c r="W66" s="251"/>
      <c r="X66" s="251"/>
      <c r="Y66" s="251"/>
      <c r="Z66" s="251"/>
      <c r="AA66" s="251"/>
    </row>
    <row r="67" ht="14.25" customHeight="1">
      <c r="A67" s="98" t="s">
        <v>13905</v>
      </c>
      <c r="B67" s="108"/>
      <c r="C67" s="496" t="s">
        <v>13949</v>
      </c>
      <c r="D67" s="98" t="s">
        <v>271</v>
      </c>
      <c r="E67" s="365" t="s">
        <v>12215</v>
      </c>
      <c r="F67" s="137" t="s">
        <v>13950</v>
      </c>
      <c r="G67" s="137" t="s">
        <v>13932</v>
      </c>
      <c r="H67" s="137" t="s">
        <v>13951</v>
      </c>
      <c r="I67" s="497" t="s">
        <v>36</v>
      </c>
      <c r="J67" s="498" t="s">
        <v>4162</v>
      </c>
      <c r="K67" s="498" t="s">
        <v>2034</v>
      </c>
      <c r="L67" s="251"/>
      <c r="M67" s="251"/>
      <c r="N67" s="251"/>
      <c r="O67" s="251"/>
      <c r="P67" s="251"/>
      <c r="Q67" s="251"/>
      <c r="R67" s="251"/>
      <c r="S67" s="251"/>
      <c r="T67" s="251"/>
      <c r="U67" s="251"/>
      <c r="V67" s="251"/>
      <c r="W67" s="251"/>
      <c r="X67" s="251"/>
      <c r="Y67" s="251"/>
      <c r="Z67" s="251"/>
      <c r="AA67" s="251"/>
    </row>
    <row r="68" ht="14.25" customHeight="1">
      <c r="A68" s="98" t="s">
        <v>13905</v>
      </c>
      <c r="B68" s="108"/>
      <c r="C68" s="496" t="s">
        <v>13952</v>
      </c>
      <c r="D68" s="98" t="s">
        <v>271</v>
      </c>
      <c r="E68" s="365" t="s">
        <v>12215</v>
      </c>
      <c r="F68" s="137" t="s">
        <v>13953</v>
      </c>
      <c r="G68" s="137" t="s">
        <v>13932</v>
      </c>
      <c r="H68" s="137" t="s">
        <v>13954</v>
      </c>
      <c r="I68" s="497" t="s">
        <v>36</v>
      </c>
      <c r="J68" s="498" t="s">
        <v>4162</v>
      </c>
      <c r="K68" s="498" t="s">
        <v>2034</v>
      </c>
      <c r="L68" s="251"/>
      <c r="M68" s="251"/>
      <c r="N68" s="251"/>
      <c r="O68" s="251"/>
      <c r="P68" s="251"/>
      <c r="Q68" s="251"/>
      <c r="R68" s="251"/>
      <c r="S68" s="251"/>
      <c r="T68" s="251"/>
      <c r="U68" s="251"/>
      <c r="V68" s="251"/>
      <c r="W68" s="251"/>
      <c r="X68" s="251"/>
      <c r="Y68" s="251"/>
      <c r="Z68" s="251"/>
      <c r="AA68" s="251"/>
    </row>
    <row r="69" ht="14.25" customHeight="1">
      <c r="A69" s="98" t="s">
        <v>13905</v>
      </c>
      <c r="B69" s="108"/>
      <c r="C69" s="496" t="s">
        <v>13955</v>
      </c>
      <c r="D69" s="98" t="s">
        <v>271</v>
      </c>
      <c r="E69" s="365" t="s">
        <v>12215</v>
      </c>
      <c r="F69" s="137" t="s">
        <v>13956</v>
      </c>
      <c r="G69" s="137" t="s">
        <v>13932</v>
      </c>
      <c r="H69" s="137" t="s">
        <v>13957</v>
      </c>
      <c r="I69" s="497" t="s">
        <v>36</v>
      </c>
      <c r="J69" s="498" t="s">
        <v>4162</v>
      </c>
      <c r="K69" s="498" t="s">
        <v>2034</v>
      </c>
      <c r="L69" s="251"/>
      <c r="M69" s="251"/>
      <c r="N69" s="251"/>
      <c r="O69" s="251"/>
      <c r="P69" s="251"/>
      <c r="Q69" s="251"/>
      <c r="R69" s="251"/>
      <c r="S69" s="251"/>
      <c r="T69" s="251"/>
      <c r="U69" s="251"/>
      <c r="V69" s="251"/>
      <c r="W69" s="251"/>
      <c r="X69" s="251"/>
      <c r="Y69" s="251"/>
      <c r="Z69" s="251"/>
      <c r="AA69" s="251"/>
    </row>
    <row r="70" ht="14.25" customHeight="1">
      <c r="A70" s="98" t="s">
        <v>13905</v>
      </c>
      <c r="B70" s="108"/>
      <c r="C70" s="496" t="s">
        <v>13958</v>
      </c>
      <c r="D70" s="98" t="s">
        <v>271</v>
      </c>
      <c r="E70" s="365" t="s">
        <v>12215</v>
      </c>
      <c r="F70" s="137" t="s">
        <v>13959</v>
      </c>
      <c r="G70" s="137" t="s">
        <v>13918</v>
      </c>
      <c r="H70" s="137" t="s">
        <v>13960</v>
      </c>
      <c r="I70" s="497" t="s">
        <v>36</v>
      </c>
      <c r="J70" s="498" t="s">
        <v>4162</v>
      </c>
      <c r="K70" s="498" t="s">
        <v>2034</v>
      </c>
      <c r="L70" s="251"/>
      <c r="M70" s="251"/>
      <c r="N70" s="251"/>
      <c r="O70" s="251"/>
      <c r="P70" s="251"/>
      <c r="Q70" s="251"/>
      <c r="R70" s="251"/>
      <c r="S70" s="251"/>
      <c r="T70" s="251"/>
      <c r="U70" s="251"/>
      <c r="V70" s="251"/>
      <c r="W70" s="251"/>
      <c r="X70" s="251"/>
      <c r="Y70" s="251"/>
      <c r="Z70" s="251"/>
      <c r="AA70" s="251"/>
    </row>
    <row r="71" ht="14.25" customHeight="1">
      <c r="A71" s="98" t="s">
        <v>13905</v>
      </c>
      <c r="B71" s="108"/>
      <c r="C71" s="496" t="s">
        <v>13961</v>
      </c>
      <c r="D71" s="98" t="s">
        <v>271</v>
      </c>
      <c r="E71" s="365" t="s">
        <v>12215</v>
      </c>
      <c r="F71" s="137" t="s">
        <v>13962</v>
      </c>
      <c r="G71" s="137" t="s">
        <v>13918</v>
      </c>
      <c r="H71" s="137" t="s">
        <v>13963</v>
      </c>
      <c r="I71" s="497" t="s">
        <v>36</v>
      </c>
      <c r="J71" s="498" t="s">
        <v>4162</v>
      </c>
      <c r="K71" s="498" t="s">
        <v>2034</v>
      </c>
      <c r="L71" s="251"/>
      <c r="M71" s="251"/>
      <c r="N71" s="251"/>
      <c r="O71" s="251"/>
      <c r="P71" s="251"/>
      <c r="Q71" s="251"/>
      <c r="R71" s="251"/>
      <c r="S71" s="251"/>
      <c r="T71" s="251"/>
      <c r="U71" s="251"/>
      <c r="V71" s="251"/>
      <c r="W71" s="251"/>
      <c r="X71" s="251"/>
      <c r="Y71" s="251"/>
      <c r="Z71" s="251"/>
      <c r="AA71" s="251"/>
    </row>
    <row r="72" ht="14.25" customHeight="1">
      <c r="A72" s="98" t="s">
        <v>13905</v>
      </c>
      <c r="B72" s="108"/>
      <c r="C72" s="496" t="s">
        <v>13964</v>
      </c>
      <c r="D72" s="98" t="s">
        <v>271</v>
      </c>
      <c r="E72" s="365" t="s">
        <v>12215</v>
      </c>
      <c r="F72" s="137" t="s">
        <v>13965</v>
      </c>
      <c r="G72" s="137" t="s">
        <v>13918</v>
      </c>
      <c r="H72" s="137" t="s">
        <v>13966</v>
      </c>
      <c r="I72" s="497" t="s">
        <v>36</v>
      </c>
      <c r="J72" s="498" t="s">
        <v>4162</v>
      </c>
      <c r="K72" s="498" t="s">
        <v>2034</v>
      </c>
      <c r="L72" s="251"/>
      <c r="M72" s="251"/>
      <c r="N72" s="251"/>
      <c r="O72" s="251"/>
      <c r="P72" s="251"/>
      <c r="Q72" s="251"/>
      <c r="R72" s="251"/>
      <c r="S72" s="251"/>
      <c r="T72" s="251"/>
      <c r="U72" s="251"/>
      <c r="V72" s="251"/>
      <c r="W72" s="251"/>
      <c r="X72" s="251"/>
      <c r="Y72" s="251"/>
      <c r="Z72" s="251"/>
      <c r="AA72" s="251"/>
    </row>
    <row r="73" ht="14.25" customHeight="1">
      <c r="A73" s="98" t="s">
        <v>13905</v>
      </c>
      <c r="B73" s="108"/>
      <c r="C73" s="496" t="s">
        <v>13967</v>
      </c>
      <c r="D73" s="98" t="s">
        <v>271</v>
      </c>
      <c r="E73" s="365" t="s">
        <v>12215</v>
      </c>
      <c r="F73" s="137" t="s">
        <v>13968</v>
      </c>
      <c r="G73" s="137" t="s">
        <v>13918</v>
      </c>
      <c r="H73" s="137" t="s">
        <v>13969</v>
      </c>
      <c r="I73" s="497" t="s">
        <v>36</v>
      </c>
      <c r="J73" s="498" t="s">
        <v>4162</v>
      </c>
      <c r="K73" s="498" t="s">
        <v>2034</v>
      </c>
      <c r="L73" s="251"/>
      <c r="M73" s="251"/>
      <c r="N73" s="251"/>
      <c r="O73" s="251"/>
      <c r="P73" s="251"/>
      <c r="Q73" s="251"/>
      <c r="R73" s="251"/>
      <c r="S73" s="251"/>
      <c r="T73" s="251"/>
      <c r="U73" s="251"/>
      <c r="V73" s="251"/>
      <c r="W73" s="251"/>
      <c r="X73" s="251"/>
      <c r="Y73" s="251"/>
      <c r="Z73" s="251"/>
      <c r="AA73" s="251"/>
    </row>
    <row r="74" ht="14.25" customHeight="1">
      <c r="A74" s="98" t="s">
        <v>13905</v>
      </c>
      <c r="B74" s="108"/>
      <c r="C74" s="496" t="s">
        <v>13970</v>
      </c>
      <c r="D74" s="98" t="s">
        <v>271</v>
      </c>
      <c r="E74" s="365" t="s">
        <v>12215</v>
      </c>
      <c r="F74" s="137" t="s">
        <v>13971</v>
      </c>
      <c r="G74" s="137" t="s">
        <v>13918</v>
      </c>
      <c r="H74" s="137" t="s">
        <v>13972</v>
      </c>
      <c r="I74" s="497" t="s">
        <v>36</v>
      </c>
      <c r="J74" s="263"/>
      <c r="K74" s="498" t="s">
        <v>2034</v>
      </c>
      <c r="L74" s="251"/>
      <c r="M74" s="251"/>
      <c r="N74" s="251"/>
      <c r="O74" s="251"/>
      <c r="P74" s="251"/>
      <c r="Q74" s="251"/>
      <c r="R74" s="251"/>
      <c r="S74" s="251"/>
      <c r="T74" s="251"/>
      <c r="U74" s="251"/>
      <c r="V74" s="251"/>
      <c r="W74" s="251"/>
      <c r="X74" s="251"/>
      <c r="Y74" s="251"/>
      <c r="Z74" s="251"/>
      <c r="AA74" s="251"/>
    </row>
    <row r="75" ht="14.25" customHeight="1">
      <c r="A75" s="98" t="s">
        <v>13905</v>
      </c>
      <c r="B75" s="108"/>
      <c r="C75" s="496" t="s">
        <v>13973</v>
      </c>
      <c r="D75" s="98" t="s">
        <v>271</v>
      </c>
      <c r="E75" s="365" t="s">
        <v>12215</v>
      </c>
      <c r="F75" s="137" t="s">
        <v>13974</v>
      </c>
      <c r="G75" s="137" t="s">
        <v>13918</v>
      </c>
      <c r="H75" s="137" t="s">
        <v>13969</v>
      </c>
      <c r="I75" s="497" t="s">
        <v>36</v>
      </c>
      <c r="J75" s="263"/>
      <c r="K75" s="498" t="s">
        <v>2034</v>
      </c>
      <c r="L75" s="251"/>
      <c r="M75" s="251"/>
      <c r="N75" s="251"/>
      <c r="O75" s="251"/>
      <c r="P75" s="251"/>
      <c r="Q75" s="251"/>
      <c r="R75" s="251"/>
      <c r="S75" s="251"/>
      <c r="T75" s="251"/>
      <c r="U75" s="251"/>
      <c r="V75" s="251"/>
      <c r="W75" s="251"/>
      <c r="X75" s="251"/>
      <c r="Y75" s="251"/>
      <c r="Z75" s="251"/>
      <c r="AA75" s="251"/>
    </row>
    <row r="76" ht="14.25" customHeight="1">
      <c r="A76" s="98" t="s">
        <v>13905</v>
      </c>
      <c r="B76" s="108"/>
      <c r="C76" s="496" t="s">
        <v>13975</v>
      </c>
      <c r="D76" s="98" t="s">
        <v>271</v>
      </c>
      <c r="E76" s="365" t="s">
        <v>12215</v>
      </c>
      <c r="F76" s="137" t="s">
        <v>13976</v>
      </c>
      <c r="G76" s="137" t="s">
        <v>13922</v>
      </c>
      <c r="H76" s="137" t="s">
        <v>13923</v>
      </c>
      <c r="I76" s="497" t="s">
        <v>36</v>
      </c>
      <c r="J76" s="263"/>
      <c r="K76" s="498" t="s">
        <v>2034</v>
      </c>
      <c r="L76" s="251"/>
      <c r="M76" s="251"/>
      <c r="N76" s="251"/>
      <c r="O76" s="251"/>
      <c r="P76" s="251"/>
      <c r="Q76" s="251"/>
      <c r="R76" s="251"/>
      <c r="S76" s="251"/>
      <c r="T76" s="251"/>
      <c r="U76" s="251"/>
      <c r="V76" s="251"/>
      <c r="W76" s="251"/>
      <c r="X76" s="251"/>
      <c r="Y76" s="251"/>
      <c r="Z76" s="251"/>
      <c r="AA76" s="251"/>
    </row>
    <row r="77" ht="14.25" customHeight="1">
      <c r="A77" s="98" t="s">
        <v>13905</v>
      </c>
      <c r="B77" s="108"/>
      <c r="C77" s="496" t="s">
        <v>13977</v>
      </c>
      <c r="D77" s="98" t="s">
        <v>271</v>
      </c>
      <c r="E77" s="365" t="s">
        <v>12215</v>
      </c>
      <c r="F77" s="137" t="s">
        <v>13978</v>
      </c>
      <c r="G77" s="137" t="s">
        <v>13922</v>
      </c>
      <c r="H77" s="137" t="s">
        <v>13926</v>
      </c>
      <c r="I77" s="497" t="s">
        <v>36</v>
      </c>
      <c r="J77" s="263"/>
      <c r="K77" s="498" t="s">
        <v>2034</v>
      </c>
      <c r="L77" s="251"/>
      <c r="M77" s="251"/>
      <c r="N77" s="251"/>
      <c r="O77" s="251"/>
      <c r="P77" s="251"/>
      <c r="Q77" s="251"/>
      <c r="R77" s="251"/>
      <c r="S77" s="251"/>
      <c r="T77" s="251"/>
      <c r="U77" s="251"/>
      <c r="V77" s="251"/>
      <c r="W77" s="251"/>
      <c r="X77" s="251"/>
      <c r="Y77" s="251"/>
      <c r="Z77" s="251"/>
      <c r="AA77" s="251"/>
    </row>
    <row r="78" ht="14.25" customHeight="1">
      <c r="A78" s="98" t="s">
        <v>13905</v>
      </c>
      <c r="B78" s="108"/>
      <c r="C78" s="496" t="s">
        <v>13979</v>
      </c>
      <c r="D78" s="98" t="s">
        <v>271</v>
      </c>
      <c r="E78" s="365" t="s">
        <v>12215</v>
      </c>
      <c r="F78" s="137" t="s">
        <v>13980</v>
      </c>
      <c r="G78" s="137" t="s">
        <v>13922</v>
      </c>
      <c r="H78" s="137" t="s">
        <v>13929</v>
      </c>
      <c r="I78" s="497" t="s">
        <v>36</v>
      </c>
      <c r="J78" s="263"/>
      <c r="K78" s="498" t="s">
        <v>2034</v>
      </c>
      <c r="L78" s="251"/>
      <c r="M78" s="251"/>
      <c r="N78" s="251"/>
      <c r="O78" s="251"/>
      <c r="P78" s="251"/>
      <c r="Q78" s="251"/>
      <c r="R78" s="251"/>
      <c r="S78" s="251"/>
      <c r="T78" s="251"/>
      <c r="U78" s="251"/>
      <c r="V78" s="251"/>
      <c r="W78" s="251"/>
      <c r="X78" s="251"/>
      <c r="Y78" s="251"/>
      <c r="Z78" s="251"/>
      <c r="AA78" s="251"/>
    </row>
    <row r="79" ht="14.25" customHeight="1">
      <c r="A79" s="98" t="s">
        <v>13905</v>
      </c>
      <c r="B79" s="108"/>
      <c r="C79" s="496" t="s">
        <v>13981</v>
      </c>
      <c r="D79" s="98" t="s">
        <v>271</v>
      </c>
      <c r="E79" s="365" t="s">
        <v>12215</v>
      </c>
      <c r="F79" s="137" t="s">
        <v>13982</v>
      </c>
      <c r="G79" s="137" t="s">
        <v>13932</v>
      </c>
      <c r="H79" s="137" t="s">
        <v>13933</v>
      </c>
      <c r="I79" s="497" t="s">
        <v>36</v>
      </c>
      <c r="J79" s="263"/>
      <c r="K79" s="498" t="s">
        <v>2034</v>
      </c>
      <c r="L79" s="251"/>
      <c r="M79" s="251"/>
      <c r="N79" s="251"/>
      <c r="O79" s="251"/>
      <c r="P79" s="251"/>
      <c r="Q79" s="251"/>
      <c r="R79" s="251"/>
      <c r="S79" s="251"/>
      <c r="T79" s="251"/>
      <c r="U79" s="251"/>
      <c r="V79" s="251"/>
      <c r="W79" s="251"/>
      <c r="X79" s="251"/>
      <c r="Y79" s="251"/>
      <c r="Z79" s="251"/>
      <c r="AA79" s="251"/>
    </row>
    <row r="80" ht="14.25" customHeight="1">
      <c r="A80" s="98" t="s">
        <v>13905</v>
      </c>
      <c r="B80" s="108"/>
      <c r="C80" s="496" t="s">
        <v>13983</v>
      </c>
      <c r="D80" s="98" t="s">
        <v>271</v>
      </c>
      <c r="E80" s="365" t="s">
        <v>12215</v>
      </c>
      <c r="F80" s="137" t="s">
        <v>13984</v>
      </c>
      <c r="G80" s="137" t="s">
        <v>13936</v>
      </c>
      <c r="H80" s="137" t="s">
        <v>13937</v>
      </c>
      <c r="I80" s="497" t="s">
        <v>36</v>
      </c>
      <c r="J80" s="263"/>
      <c r="K80" s="498" t="s">
        <v>2034</v>
      </c>
      <c r="L80" s="251"/>
      <c r="M80" s="251"/>
      <c r="N80" s="251"/>
      <c r="O80" s="251"/>
      <c r="P80" s="251"/>
      <c r="Q80" s="251"/>
      <c r="R80" s="251"/>
      <c r="S80" s="251"/>
      <c r="T80" s="251"/>
      <c r="U80" s="251"/>
      <c r="V80" s="251"/>
      <c r="W80" s="251"/>
      <c r="X80" s="251"/>
      <c r="Y80" s="251"/>
      <c r="Z80" s="251"/>
      <c r="AA80" s="251"/>
    </row>
    <row r="81" ht="14.25" customHeight="1">
      <c r="A81" s="98" t="s">
        <v>13905</v>
      </c>
      <c r="B81" s="108"/>
      <c r="C81" s="496" t="s">
        <v>13985</v>
      </c>
      <c r="D81" s="98" t="s">
        <v>271</v>
      </c>
      <c r="E81" s="365" t="s">
        <v>12215</v>
      </c>
      <c r="F81" s="137" t="s">
        <v>13986</v>
      </c>
      <c r="G81" s="137" t="s">
        <v>13936</v>
      </c>
      <c r="H81" s="137" t="s">
        <v>13940</v>
      </c>
      <c r="I81" s="497" t="s">
        <v>36</v>
      </c>
      <c r="J81" s="263"/>
      <c r="K81" s="498" t="s">
        <v>2034</v>
      </c>
      <c r="L81" s="251"/>
      <c r="M81" s="251"/>
      <c r="N81" s="251"/>
      <c r="O81" s="251"/>
      <c r="P81" s="251"/>
      <c r="Q81" s="251"/>
      <c r="R81" s="251"/>
      <c r="S81" s="251"/>
      <c r="T81" s="251"/>
      <c r="U81" s="251"/>
      <c r="V81" s="251"/>
      <c r="W81" s="251"/>
      <c r="X81" s="251"/>
      <c r="Y81" s="251"/>
      <c r="Z81" s="251"/>
      <c r="AA81" s="251"/>
    </row>
    <row r="82" ht="14.25" customHeight="1">
      <c r="A82" s="98" t="s">
        <v>13905</v>
      </c>
      <c r="B82" s="108"/>
      <c r="C82" s="496" t="s">
        <v>13987</v>
      </c>
      <c r="D82" s="98" t="s">
        <v>271</v>
      </c>
      <c r="E82" s="365" t="s">
        <v>12215</v>
      </c>
      <c r="F82" s="137" t="s">
        <v>13988</v>
      </c>
      <c r="G82" s="137" t="s">
        <v>13936</v>
      </c>
      <c r="H82" s="137" t="s">
        <v>13943</v>
      </c>
      <c r="I82" s="497" t="s">
        <v>36</v>
      </c>
      <c r="J82" s="263"/>
      <c r="K82" s="498" t="s">
        <v>2034</v>
      </c>
      <c r="L82" s="251"/>
      <c r="M82" s="251"/>
      <c r="N82" s="251"/>
      <c r="O82" s="251"/>
      <c r="P82" s="251"/>
      <c r="Q82" s="251"/>
      <c r="R82" s="251"/>
      <c r="S82" s="251"/>
      <c r="T82" s="251"/>
      <c r="U82" s="251"/>
      <c r="V82" s="251"/>
      <c r="W82" s="251"/>
      <c r="X82" s="251"/>
      <c r="Y82" s="251"/>
      <c r="Z82" s="251"/>
      <c r="AA82" s="251"/>
    </row>
    <row r="83" ht="14.25" customHeight="1">
      <c r="A83" s="98" t="s">
        <v>13905</v>
      </c>
      <c r="B83" s="108"/>
      <c r="C83" s="496" t="s">
        <v>13989</v>
      </c>
      <c r="D83" s="98" t="s">
        <v>271</v>
      </c>
      <c r="E83" s="365" t="s">
        <v>12215</v>
      </c>
      <c r="F83" s="137" t="s">
        <v>13990</v>
      </c>
      <c r="G83" s="137" t="s">
        <v>13936</v>
      </c>
      <c r="H83" s="137" t="s">
        <v>13946</v>
      </c>
      <c r="I83" s="497" t="s">
        <v>36</v>
      </c>
      <c r="J83" s="263"/>
      <c r="K83" s="498" t="s">
        <v>2034</v>
      </c>
      <c r="L83" s="251"/>
      <c r="M83" s="251"/>
      <c r="N83" s="251"/>
      <c r="O83" s="251"/>
      <c r="P83" s="251"/>
      <c r="Q83" s="251"/>
      <c r="R83" s="251"/>
      <c r="S83" s="251"/>
      <c r="T83" s="251"/>
      <c r="U83" s="251"/>
      <c r="V83" s="251"/>
      <c r="W83" s="251"/>
      <c r="X83" s="251"/>
      <c r="Y83" s="251"/>
      <c r="Z83" s="251"/>
      <c r="AA83" s="251"/>
    </row>
    <row r="84" ht="14.25" customHeight="1">
      <c r="A84" s="98" t="s">
        <v>13905</v>
      </c>
      <c r="B84" s="108"/>
      <c r="C84" s="496" t="s">
        <v>13991</v>
      </c>
      <c r="D84" s="98" t="s">
        <v>271</v>
      </c>
      <c r="E84" s="365" t="s">
        <v>12215</v>
      </c>
      <c r="F84" s="137" t="s">
        <v>13992</v>
      </c>
      <c r="G84" s="137" t="s">
        <v>13922</v>
      </c>
      <c r="H84" s="137" t="s">
        <v>13923</v>
      </c>
      <c r="I84" s="497" t="s">
        <v>36</v>
      </c>
      <c r="J84" s="263"/>
      <c r="K84" s="498" t="s">
        <v>2034</v>
      </c>
      <c r="L84" s="251"/>
      <c r="M84" s="251"/>
      <c r="N84" s="251"/>
      <c r="O84" s="251"/>
      <c r="P84" s="251"/>
      <c r="Q84" s="251"/>
      <c r="R84" s="251"/>
      <c r="S84" s="251"/>
      <c r="T84" s="251"/>
      <c r="U84" s="251"/>
      <c r="V84" s="251"/>
      <c r="W84" s="251"/>
      <c r="X84" s="251"/>
      <c r="Y84" s="251"/>
      <c r="Z84" s="251"/>
      <c r="AA84" s="251"/>
    </row>
    <row r="85" ht="14.25" customHeight="1">
      <c r="A85" s="98" t="s">
        <v>13905</v>
      </c>
      <c r="B85" s="108"/>
      <c r="C85" s="496" t="s">
        <v>13993</v>
      </c>
      <c r="D85" s="98" t="s">
        <v>271</v>
      </c>
      <c r="E85" s="365" t="s">
        <v>12215</v>
      </c>
      <c r="F85" s="137" t="s">
        <v>13994</v>
      </c>
      <c r="G85" s="137" t="s">
        <v>13922</v>
      </c>
      <c r="H85" s="137" t="s">
        <v>13926</v>
      </c>
      <c r="I85" s="497" t="s">
        <v>36</v>
      </c>
      <c r="J85" s="263"/>
      <c r="K85" s="498" t="s">
        <v>2034</v>
      </c>
      <c r="L85" s="251"/>
      <c r="M85" s="251"/>
      <c r="N85" s="251"/>
      <c r="O85" s="251"/>
      <c r="P85" s="251"/>
      <c r="Q85" s="251"/>
      <c r="R85" s="251"/>
      <c r="S85" s="251"/>
      <c r="T85" s="251"/>
      <c r="U85" s="251"/>
      <c r="V85" s="251"/>
      <c r="W85" s="251"/>
      <c r="X85" s="251"/>
      <c r="Y85" s="251"/>
      <c r="Z85" s="251"/>
      <c r="AA85" s="251"/>
    </row>
    <row r="86" ht="14.25" customHeight="1">
      <c r="A86" s="98" t="s">
        <v>13905</v>
      </c>
      <c r="B86" s="108"/>
      <c r="C86" s="496" t="s">
        <v>13995</v>
      </c>
      <c r="D86" s="98" t="s">
        <v>271</v>
      </c>
      <c r="E86" s="365" t="s">
        <v>12215</v>
      </c>
      <c r="F86" s="137" t="s">
        <v>13996</v>
      </c>
      <c r="G86" s="137" t="s">
        <v>13922</v>
      </c>
      <c r="H86" s="137" t="s">
        <v>13929</v>
      </c>
      <c r="I86" s="497" t="s">
        <v>36</v>
      </c>
      <c r="J86" s="263"/>
      <c r="K86" s="498" t="s">
        <v>2034</v>
      </c>
      <c r="L86" s="251"/>
      <c r="M86" s="251"/>
      <c r="N86" s="251"/>
      <c r="O86" s="251"/>
      <c r="P86" s="251"/>
      <c r="Q86" s="251"/>
      <c r="R86" s="251"/>
      <c r="S86" s="251"/>
      <c r="T86" s="251"/>
      <c r="U86" s="251"/>
      <c r="V86" s="251"/>
      <c r="W86" s="251"/>
      <c r="X86" s="251"/>
      <c r="Y86" s="251"/>
      <c r="Z86" s="251"/>
      <c r="AA86" s="251"/>
    </row>
    <row r="87" ht="14.25" customHeight="1">
      <c r="A87" s="98" t="s">
        <v>13905</v>
      </c>
      <c r="B87" s="108"/>
      <c r="C87" s="496" t="s">
        <v>13997</v>
      </c>
      <c r="D87" s="98" t="s">
        <v>271</v>
      </c>
      <c r="E87" s="365" t="s">
        <v>12215</v>
      </c>
      <c r="F87" s="137" t="s">
        <v>13998</v>
      </c>
      <c r="G87" s="137" t="s">
        <v>13932</v>
      </c>
      <c r="H87" s="137" t="s">
        <v>13933</v>
      </c>
      <c r="I87" s="497" t="s">
        <v>36</v>
      </c>
      <c r="J87" s="263"/>
      <c r="K87" s="498" t="s">
        <v>2034</v>
      </c>
      <c r="L87" s="251"/>
      <c r="M87" s="251"/>
      <c r="N87" s="251"/>
      <c r="O87" s="251"/>
      <c r="P87" s="251"/>
      <c r="Q87" s="251"/>
      <c r="R87" s="251"/>
      <c r="S87" s="251"/>
      <c r="T87" s="251"/>
      <c r="U87" s="251"/>
      <c r="V87" s="251"/>
      <c r="W87" s="251"/>
      <c r="X87" s="251"/>
      <c r="Y87" s="251"/>
      <c r="Z87" s="251"/>
      <c r="AA87" s="251"/>
    </row>
    <row r="88" ht="14.25" customHeight="1">
      <c r="A88" s="98" t="s">
        <v>13905</v>
      </c>
      <c r="B88" s="108"/>
      <c r="C88" s="496" t="s">
        <v>13999</v>
      </c>
      <c r="D88" s="98" t="s">
        <v>271</v>
      </c>
      <c r="E88" s="365" t="s">
        <v>12215</v>
      </c>
      <c r="F88" s="137" t="s">
        <v>14000</v>
      </c>
      <c r="G88" s="137" t="s">
        <v>13936</v>
      </c>
      <c r="H88" s="137" t="s">
        <v>13937</v>
      </c>
      <c r="I88" s="497" t="s">
        <v>36</v>
      </c>
      <c r="J88" s="263"/>
      <c r="K88" s="498" t="s">
        <v>2034</v>
      </c>
      <c r="L88" s="251"/>
      <c r="M88" s="251"/>
      <c r="N88" s="251"/>
      <c r="O88" s="251"/>
      <c r="P88" s="251"/>
      <c r="Q88" s="251"/>
      <c r="R88" s="251"/>
      <c r="S88" s="251"/>
      <c r="T88" s="251"/>
      <c r="U88" s="251"/>
      <c r="V88" s="251"/>
      <c r="W88" s="251"/>
      <c r="X88" s="251"/>
      <c r="Y88" s="251"/>
      <c r="Z88" s="251"/>
      <c r="AA88" s="251"/>
    </row>
    <row r="89" ht="14.25" customHeight="1">
      <c r="A89" s="98" t="s">
        <v>13905</v>
      </c>
      <c r="B89" s="108"/>
      <c r="C89" s="496" t="s">
        <v>14001</v>
      </c>
      <c r="D89" s="98" t="s">
        <v>271</v>
      </c>
      <c r="E89" s="365" t="s">
        <v>12215</v>
      </c>
      <c r="F89" s="137" t="s">
        <v>14002</v>
      </c>
      <c r="G89" s="137" t="s">
        <v>13936</v>
      </c>
      <c r="H89" s="137" t="s">
        <v>13940</v>
      </c>
      <c r="I89" s="497" t="s">
        <v>36</v>
      </c>
      <c r="J89" s="498" t="s">
        <v>4162</v>
      </c>
      <c r="K89" s="498" t="s">
        <v>2034</v>
      </c>
      <c r="L89" s="251"/>
      <c r="M89" s="251"/>
      <c r="N89" s="251"/>
      <c r="O89" s="251"/>
      <c r="P89" s="251"/>
      <c r="Q89" s="251"/>
      <c r="R89" s="251"/>
      <c r="S89" s="251"/>
      <c r="T89" s="251"/>
      <c r="U89" s="251"/>
      <c r="V89" s="251"/>
      <c r="W89" s="251"/>
      <c r="X89" s="251"/>
      <c r="Y89" s="251"/>
      <c r="Z89" s="251"/>
      <c r="AA89" s="251"/>
    </row>
    <row r="90" ht="14.25" customHeight="1">
      <c r="A90" s="98" t="s">
        <v>13905</v>
      </c>
      <c r="B90" s="108"/>
      <c r="C90" s="496" t="s">
        <v>14003</v>
      </c>
      <c r="D90" s="98" t="s">
        <v>271</v>
      </c>
      <c r="E90" s="365" t="s">
        <v>12215</v>
      </c>
      <c r="F90" s="137" t="s">
        <v>14004</v>
      </c>
      <c r="G90" s="137" t="s">
        <v>13936</v>
      </c>
      <c r="H90" s="137" t="s">
        <v>13943</v>
      </c>
      <c r="I90" s="497" t="s">
        <v>36</v>
      </c>
      <c r="J90" s="498" t="s">
        <v>4162</v>
      </c>
      <c r="K90" s="498" t="s">
        <v>2034</v>
      </c>
      <c r="L90" s="251"/>
      <c r="M90" s="251"/>
      <c r="N90" s="251"/>
      <c r="O90" s="251"/>
      <c r="P90" s="251"/>
      <c r="Q90" s="251"/>
      <c r="R90" s="251"/>
      <c r="S90" s="251"/>
      <c r="T90" s="251"/>
      <c r="U90" s="251"/>
      <c r="V90" s="251"/>
      <c r="W90" s="251"/>
      <c r="X90" s="251"/>
      <c r="Y90" s="251"/>
      <c r="Z90" s="251"/>
      <c r="AA90" s="251"/>
    </row>
    <row r="91" ht="14.25" customHeight="1">
      <c r="A91" s="98" t="s">
        <v>13905</v>
      </c>
      <c r="B91" s="108"/>
      <c r="C91" s="496" t="s">
        <v>14005</v>
      </c>
      <c r="D91" s="98" t="s">
        <v>271</v>
      </c>
      <c r="E91" s="365" t="s">
        <v>12215</v>
      </c>
      <c r="F91" s="137" t="s">
        <v>14006</v>
      </c>
      <c r="G91" s="137" t="s">
        <v>13936</v>
      </c>
      <c r="H91" s="137" t="s">
        <v>13946</v>
      </c>
      <c r="I91" s="497" t="s">
        <v>36</v>
      </c>
      <c r="J91" s="498" t="s">
        <v>4162</v>
      </c>
      <c r="K91" s="498" t="s">
        <v>2034</v>
      </c>
      <c r="L91" s="251"/>
      <c r="M91" s="251"/>
      <c r="N91" s="251"/>
      <c r="O91" s="251"/>
      <c r="P91" s="251"/>
      <c r="Q91" s="251"/>
      <c r="R91" s="251"/>
      <c r="S91" s="251"/>
      <c r="T91" s="251"/>
      <c r="U91" s="251"/>
      <c r="V91" s="251"/>
      <c r="W91" s="251"/>
      <c r="X91" s="251"/>
      <c r="Y91" s="251"/>
      <c r="Z91" s="251"/>
      <c r="AA91" s="251"/>
    </row>
    <row r="92" ht="14.25" customHeight="1">
      <c r="A92" s="98" t="s">
        <v>13905</v>
      </c>
      <c r="B92" s="108"/>
      <c r="C92" s="496" t="s">
        <v>14007</v>
      </c>
      <c r="D92" s="98" t="s">
        <v>271</v>
      </c>
      <c r="E92" s="365" t="s">
        <v>12215</v>
      </c>
      <c r="F92" s="137" t="s">
        <v>14008</v>
      </c>
      <c r="G92" s="137" t="s">
        <v>13922</v>
      </c>
      <c r="H92" s="137" t="s">
        <v>13923</v>
      </c>
      <c r="I92" s="497" t="s">
        <v>36</v>
      </c>
      <c r="J92" s="498" t="s">
        <v>4162</v>
      </c>
      <c r="K92" s="498" t="s">
        <v>2034</v>
      </c>
      <c r="L92" s="251"/>
      <c r="M92" s="251"/>
      <c r="N92" s="251"/>
      <c r="O92" s="251"/>
      <c r="P92" s="251"/>
      <c r="Q92" s="251"/>
      <c r="R92" s="251"/>
      <c r="S92" s="251"/>
      <c r="T92" s="251"/>
      <c r="U92" s="251"/>
      <c r="V92" s="251"/>
      <c r="W92" s="251"/>
      <c r="X92" s="251"/>
      <c r="Y92" s="251"/>
      <c r="Z92" s="251"/>
      <c r="AA92" s="251"/>
    </row>
    <row r="93" ht="14.25" customHeight="1">
      <c r="A93" s="98" t="s">
        <v>13905</v>
      </c>
      <c r="B93" s="108"/>
      <c r="C93" s="496" t="s">
        <v>14009</v>
      </c>
      <c r="D93" s="98" t="s">
        <v>271</v>
      </c>
      <c r="E93" s="365" t="s">
        <v>12215</v>
      </c>
      <c r="F93" s="137" t="s">
        <v>14010</v>
      </c>
      <c r="G93" s="137" t="s">
        <v>13922</v>
      </c>
      <c r="H93" s="137" t="s">
        <v>13926</v>
      </c>
      <c r="I93" s="497" t="s">
        <v>36</v>
      </c>
      <c r="J93" s="498" t="s">
        <v>4162</v>
      </c>
      <c r="K93" s="498" t="s">
        <v>2034</v>
      </c>
      <c r="L93" s="251"/>
      <c r="M93" s="251"/>
      <c r="N93" s="251"/>
      <c r="O93" s="251"/>
      <c r="P93" s="251"/>
      <c r="Q93" s="251"/>
      <c r="R93" s="251"/>
      <c r="S93" s="251"/>
      <c r="T93" s="251"/>
      <c r="U93" s="251"/>
      <c r="V93" s="251"/>
      <c r="W93" s="251"/>
      <c r="X93" s="251"/>
      <c r="Y93" s="251"/>
      <c r="Z93" s="251"/>
      <c r="AA93" s="251"/>
    </row>
    <row r="94" ht="14.25" customHeight="1">
      <c r="A94" s="98" t="s">
        <v>13905</v>
      </c>
      <c r="B94" s="108"/>
      <c r="C94" s="496" t="s">
        <v>14011</v>
      </c>
      <c r="D94" s="98" t="s">
        <v>271</v>
      </c>
      <c r="E94" s="365" t="s">
        <v>12215</v>
      </c>
      <c r="F94" s="137" t="s">
        <v>14012</v>
      </c>
      <c r="G94" s="137" t="s">
        <v>13922</v>
      </c>
      <c r="H94" s="137" t="s">
        <v>13929</v>
      </c>
      <c r="I94" s="497" t="s">
        <v>36</v>
      </c>
      <c r="J94" s="498" t="s">
        <v>4162</v>
      </c>
      <c r="K94" s="498" t="s">
        <v>2034</v>
      </c>
      <c r="L94" s="251"/>
      <c r="M94" s="251"/>
      <c r="N94" s="251"/>
      <c r="O94" s="251"/>
      <c r="P94" s="251"/>
      <c r="Q94" s="251"/>
      <c r="R94" s="251"/>
      <c r="S94" s="251"/>
      <c r="T94" s="251"/>
      <c r="U94" s="251"/>
      <c r="V94" s="251"/>
      <c r="W94" s="251"/>
      <c r="X94" s="251"/>
      <c r="Y94" s="251"/>
      <c r="Z94" s="251"/>
      <c r="AA94" s="251"/>
    </row>
    <row r="95" ht="14.25" customHeight="1">
      <c r="A95" s="98" t="s">
        <v>13905</v>
      </c>
      <c r="B95" s="108"/>
      <c r="C95" s="496" t="s">
        <v>14013</v>
      </c>
      <c r="D95" s="98" t="s">
        <v>271</v>
      </c>
      <c r="E95" s="365" t="s">
        <v>12215</v>
      </c>
      <c r="F95" s="137" t="s">
        <v>13988</v>
      </c>
      <c r="G95" s="137" t="s">
        <v>13936</v>
      </c>
      <c r="H95" s="137" t="s">
        <v>13943</v>
      </c>
      <c r="I95" s="497" t="s">
        <v>36</v>
      </c>
      <c r="J95" s="498" t="s">
        <v>4162</v>
      </c>
      <c r="K95" s="498" t="s">
        <v>2034</v>
      </c>
      <c r="L95" s="251"/>
      <c r="M95" s="251"/>
      <c r="N95" s="251"/>
      <c r="O95" s="251"/>
      <c r="P95" s="251"/>
      <c r="Q95" s="251"/>
      <c r="R95" s="251"/>
      <c r="S95" s="251"/>
      <c r="T95" s="251"/>
      <c r="U95" s="251"/>
      <c r="V95" s="251"/>
      <c r="W95" s="251"/>
      <c r="X95" s="251"/>
      <c r="Y95" s="251"/>
      <c r="Z95" s="251"/>
      <c r="AA95" s="251"/>
    </row>
    <row r="96" ht="14.25" customHeight="1">
      <c r="A96" s="98" t="s">
        <v>13905</v>
      </c>
      <c r="B96" s="109"/>
      <c r="C96" s="496" t="s">
        <v>14014</v>
      </c>
      <c r="D96" s="251"/>
      <c r="E96" s="365" t="s">
        <v>12215</v>
      </c>
      <c r="F96" s="137" t="s">
        <v>13990</v>
      </c>
      <c r="G96" s="137" t="s">
        <v>13936</v>
      </c>
      <c r="H96" s="137" t="s">
        <v>13946</v>
      </c>
      <c r="I96" s="497" t="s">
        <v>36</v>
      </c>
      <c r="J96" s="498" t="s">
        <v>4162</v>
      </c>
      <c r="K96" s="498" t="s">
        <v>2034</v>
      </c>
      <c r="L96" s="251"/>
      <c r="M96" s="251"/>
      <c r="N96" s="251"/>
      <c r="O96" s="251"/>
      <c r="P96" s="251"/>
      <c r="Q96" s="251"/>
      <c r="R96" s="251"/>
      <c r="S96" s="251"/>
      <c r="T96" s="251"/>
      <c r="U96" s="251"/>
      <c r="V96" s="251"/>
      <c r="W96" s="251"/>
      <c r="X96" s="251"/>
      <c r="Y96" s="251"/>
      <c r="Z96" s="251"/>
      <c r="AA96" s="251"/>
    </row>
    <row r="97" ht="14.25" customHeight="1">
      <c r="A97" s="98" t="s">
        <v>14015</v>
      </c>
      <c r="B97" s="498" t="s">
        <v>14016</v>
      </c>
      <c r="C97" s="496" t="s">
        <v>14017</v>
      </c>
      <c r="D97" s="98" t="s">
        <v>271</v>
      </c>
      <c r="E97" s="254" t="s">
        <v>14016</v>
      </c>
      <c r="F97" s="137" t="s">
        <v>14018</v>
      </c>
      <c r="G97" s="137" t="s">
        <v>14019</v>
      </c>
      <c r="H97" s="137" t="s">
        <v>14020</v>
      </c>
      <c r="I97" s="497" t="s">
        <v>36</v>
      </c>
      <c r="J97" s="498" t="s">
        <v>4162</v>
      </c>
      <c r="K97" s="498" t="s">
        <v>1784</v>
      </c>
      <c r="L97" s="251"/>
      <c r="M97" s="251"/>
      <c r="N97" s="251"/>
      <c r="O97" s="251"/>
      <c r="P97" s="251"/>
      <c r="Q97" s="251"/>
      <c r="R97" s="251"/>
      <c r="S97" s="251"/>
      <c r="T97" s="251"/>
      <c r="U97" s="251"/>
      <c r="V97" s="251"/>
      <c r="W97" s="251"/>
      <c r="X97" s="251"/>
      <c r="Y97" s="251"/>
      <c r="Z97" s="251"/>
      <c r="AA97" s="251"/>
    </row>
    <row r="98" ht="14.25" customHeight="1">
      <c r="A98" s="98" t="s">
        <v>14015</v>
      </c>
      <c r="B98" s="498" t="s">
        <v>14016</v>
      </c>
      <c r="C98" s="496" t="s">
        <v>14021</v>
      </c>
      <c r="D98" s="98" t="s">
        <v>271</v>
      </c>
      <c r="E98" s="254" t="s">
        <v>14016</v>
      </c>
      <c r="F98" s="137" t="s">
        <v>14022</v>
      </c>
      <c r="G98" s="137" t="s">
        <v>14023</v>
      </c>
      <c r="H98" s="137" t="s">
        <v>14020</v>
      </c>
      <c r="I98" s="497" t="s">
        <v>36</v>
      </c>
      <c r="J98" s="498" t="s">
        <v>4162</v>
      </c>
      <c r="K98" s="498" t="s">
        <v>1784</v>
      </c>
      <c r="L98" s="251"/>
      <c r="M98" s="251"/>
      <c r="N98" s="251"/>
      <c r="O98" s="251"/>
      <c r="P98" s="251"/>
      <c r="Q98" s="251"/>
      <c r="R98" s="251"/>
      <c r="S98" s="251"/>
      <c r="T98" s="251"/>
      <c r="U98" s="251"/>
      <c r="V98" s="251"/>
      <c r="W98" s="251"/>
      <c r="X98" s="251"/>
      <c r="Y98" s="251"/>
      <c r="Z98" s="251"/>
      <c r="AA98" s="251"/>
    </row>
    <row r="99" ht="14.25" customHeight="1">
      <c r="A99" s="98" t="s">
        <v>14024</v>
      </c>
      <c r="B99" s="250" t="s">
        <v>14025</v>
      </c>
      <c r="C99" s="496" t="s">
        <v>14026</v>
      </c>
      <c r="D99" s="98" t="s">
        <v>271</v>
      </c>
      <c r="E99" s="254" t="s">
        <v>14025</v>
      </c>
      <c r="F99" s="137" t="s">
        <v>14027</v>
      </c>
      <c r="G99" s="137" t="s">
        <v>14028</v>
      </c>
      <c r="H99" s="137" t="s">
        <v>14029</v>
      </c>
      <c r="I99" s="497" t="s">
        <v>36</v>
      </c>
      <c r="J99" s="498" t="s">
        <v>4162</v>
      </c>
      <c r="K99" s="498" t="s">
        <v>1784</v>
      </c>
      <c r="L99" s="251"/>
      <c r="M99" s="251"/>
      <c r="N99" s="251"/>
      <c r="O99" s="251"/>
      <c r="P99" s="251"/>
      <c r="Q99" s="251"/>
      <c r="R99" s="251"/>
      <c r="S99" s="251"/>
      <c r="T99" s="251"/>
      <c r="U99" s="251"/>
      <c r="V99" s="251"/>
      <c r="W99" s="251"/>
      <c r="X99" s="251"/>
      <c r="Y99" s="251"/>
      <c r="Z99" s="251"/>
      <c r="AA99" s="251"/>
    </row>
    <row r="100" ht="14.25" customHeight="1">
      <c r="A100" s="98" t="s">
        <v>14024</v>
      </c>
      <c r="B100" s="109"/>
      <c r="C100" s="496" t="s">
        <v>14030</v>
      </c>
      <c r="D100" s="98" t="s">
        <v>271</v>
      </c>
      <c r="E100" s="254" t="s">
        <v>14025</v>
      </c>
      <c r="F100" s="137" t="s">
        <v>14031</v>
      </c>
      <c r="G100" s="137" t="s">
        <v>14028</v>
      </c>
      <c r="H100" s="137" t="s">
        <v>14032</v>
      </c>
      <c r="I100" s="497" t="s">
        <v>36</v>
      </c>
      <c r="J100" s="498" t="s">
        <v>4162</v>
      </c>
      <c r="K100" s="498" t="s">
        <v>1784</v>
      </c>
      <c r="L100" s="251"/>
      <c r="M100" s="251"/>
      <c r="N100" s="251"/>
      <c r="O100" s="251"/>
      <c r="P100" s="251"/>
      <c r="Q100" s="251"/>
      <c r="R100" s="251"/>
      <c r="S100" s="251"/>
      <c r="T100" s="251"/>
      <c r="U100" s="251"/>
      <c r="V100" s="251"/>
      <c r="W100" s="251"/>
      <c r="X100" s="251"/>
      <c r="Y100" s="251"/>
      <c r="Z100" s="251"/>
      <c r="AA100" s="251"/>
    </row>
    <row r="101" ht="14.25" customHeight="1">
      <c r="A101" s="98" t="s">
        <v>14033</v>
      </c>
      <c r="B101" s="501" t="s">
        <v>14034</v>
      </c>
      <c r="C101" s="496" t="s">
        <v>14035</v>
      </c>
      <c r="D101" s="98" t="s">
        <v>271</v>
      </c>
      <c r="E101" s="502" t="s">
        <v>14034</v>
      </c>
      <c r="F101" s="137" t="s">
        <v>14036</v>
      </c>
      <c r="G101" s="137" t="s">
        <v>14037</v>
      </c>
      <c r="H101" s="137" t="s">
        <v>14038</v>
      </c>
      <c r="I101" s="497" t="s">
        <v>36</v>
      </c>
      <c r="J101" s="498" t="s">
        <v>4162</v>
      </c>
      <c r="K101" s="498" t="s">
        <v>2034</v>
      </c>
      <c r="L101" s="251"/>
      <c r="M101" s="251"/>
      <c r="N101" s="251"/>
      <c r="O101" s="251"/>
      <c r="P101" s="251"/>
      <c r="Q101" s="251"/>
      <c r="R101" s="251"/>
      <c r="S101" s="251"/>
      <c r="T101" s="251"/>
      <c r="U101" s="251"/>
      <c r="V101" s="251"/>
      <c r="W101" s="251"/>
      <c r="X101" s="251"/>
      <c r="Y101" s="251"/>
      <c r="Z101" s="251"/>
      <c r="AA101" s="251"/>
    </row>
    <row r="102" ht="14.25" customHeight="1">
      <c r="A102" s="98" t="s">
        <v>14033</v>
      </c>
      <c r="B102" s="108"/>
      <c r="C102" s="496" t="s">
        <v>14039</v>
      </c>
      <c r="D102" s="98" t="s">
        <v>271</v>
      </c>
      <c r="E102" s="502" t="s">
        <v>14034</v>
      </c>
      <c r="F102" s="137" t="s">
        <v>14040</v>
      </c>
      <c r="G102" s="137" t="s">
        <v>14037</v>
      </c>
      <c r="H102" s="137" t="s">
        <v>14038</v>
      </c>
      <c r="I102" s="497" t="s">
        <v>36</v>
      </c>
      <c r="J102" s="498" t="s">
        <v>4162</v>
      </c>
      <c r="K102" s="498" t="s">
        <v>2034</v>
      </c>
      <c r="L102" s="251"/>
      <c r="M102" s="251"/>
      <c r="N102" s="251"/>
      <c r="O102" s="251"/>
      <c r="P102" s="251"/>
      <c r="Q102" s="251"/>
      <c r="R102" s="251"/>
      <c r="S102" s="251"/>
      <c r="T102" s="251"/>
      <c r="U102" s="251"/>
      <c r="V102" s="251"/>
      <c r="W102" s="251"/>
      <c r="X102" s="251"/>
      <c r="Y102" s="251"/>
      <c r="Z102" s="251"/>
      <c r="AA102" s="251"/>
    </row>
    <row r="103" ht="14.25" customHeight="1">
      <c r="A103" s="98" t="s">
        <v>14033</v>
      </c>
      <c r="B103" s="108"/>
      <c r="C103" s="496" t="s">
        <v>14041</v>
      </c>
      <c r="D103" s="98" t="s">
        <v>271</v>
      </c>
      <c r="E103" s="502" t="s">
        <v>14034</v>
      </c>
      <c r="F103" s="137" t="s">
        <v>14042</v>
      </c>
      <c r="G103" s="137" t="s">
        <v>14037</v>
      </c>
      <c r="H103" s="137" t="s">
        <v>14038</v>
      </c>
      <c r="I103" s="497" t="s">
        <v>36</v>
      </c>
      <c r="J103" s="498" t="s">
        <v>4162</v>
      </c>
      <c r="K103" s="498" t="s">
        <v>2034</v>
      </c>
      <c r="L103" s="251"/>
      <c r="M103" s="251"/>
      <c r="N103" s="251"/>
      <c r="O103" s="251"/>
      <c r="P103" s="251"/>
      <c r="Q103" s="251"/>
      <c r="R103" s="251"/>
      <c r="S103" s="251"/>
      <c r="T103" s="251"/>
      <c r="U103" s="251"/>
      <c r="V103" s="251"/>
      <c r="W103" s="251"/>
      <c r="X103" s="251"/>
      <c r="Y103" s="251"/>
      <c r="Z103" s="251"/>
      <c r="AA103" s="251"/>
    </row>
    <row r="104" ht="14.25" customHeight="1">
      <c r="A104" s="98" t="s">
        <v>14033</v>
      </c>
      <c r="B104" s="108"/>
      <c r="C104" s="496" t="s">
        <v>14043</v>
      </c>
      <c r="D104" s="98" t="s">
        <v>271</v>
      </c>
      <c r="E104" s="502" t="s">
        <v>14034</v>
      </c>
      <c r="F104" s="137" t="s">
        <v>14044</v>
      </c>
      <c r="G104" s="137" t="s">
        <v>14045</v>
      </c>
      <c r="H104" s="137" t="s">
        <v>14046</v>
      </c>
      <c r="I104" s="497" t="s">
        <v>36</v>
      </c>
      <c r="J104" s="498" t="s">
        <v>4162</v>
      </c>
      <c r="K104" s="498" t="s">
        <v>2034</v>
      </c>
      <c r="L104" s="251"/>
      <c r="M104" s="251"/>
      <c r="N104" s="251"/>
      <c r="O104" s="251"/>
      <c r="P104" s="251"/>
      <c r="Q104" s="251"/>
      <c r="R104" s="251"/>
      <c r="S104" s="251"/>
      <c r="T104" s="251"/>
      <c r="U104" s="251"/>
      <c r="V104" s="251"/>
      <c r="W104" s="251"/>
      <c r="X104" s="251"/>
      <c r="Y104" s="251"/>
      <c r="Z104" s="251"/>
      <c r="AA104" s="251"/>
    </row>
    <row r="105" ht="14.25" customHeight="1">
      <c r="A105" s="98" t="s">
        <v>14033</v>
      </c>
      <c r="B105" s="108"/>
      <c r="C105" s="496" t="s">
        <v>14047</v>
      </c>
      <c r="D105" s="98" t="s">
        <v>271</v>
      </c>
      <c r="E105" s="502" t="s">
        <v>14034</v>
      </c>
      <c r="F105" s="137" t="s">
        <v>14048</v>
      </c>
      <c r="G105" s="137" t="s">
        <v>14045</v>
      </c>
      <c r="H105" s="137" t="s">
        <v>14046</v>
      </c>
      <c r="I105" s="497" t="s">
        <v>36</v>
      </c>
      <c r="J105" s="498" t="s">
        <v>4162</v>
      </c>
      <c r="K105" s="498" t="s">
        <v>2034</v>
      </c>
      <c r="L105" s="251"/>
      <c r="M105" s="251"/>
      <c r="N105" s="251"/>
      <c r="O105" s="251"/>
      <c r="P105" s="251"/>
      <c r="Q105" s="251"/>
      <c r="R105" s="251"/>
      <c r="S105" s="251"/>
      <c r="T105" s="251"/>
      <c r="U105" s="251"/>
      <c r="V105" s="251"/>
      <c r="W105" s="251"/>
      <c r="X105" s="251"/>
      <c r="Y105" s="251"/>
      <c r="Z105" s="251"/>
      <c r="AA105" s="251"/>
    </row>
    <row r="106" ht="14.25" customHeight="1">
      <c r="A106" s="98" t="s">
        <v>14033</v>
      </c>
      <c r="B106" s="108"/>
      <c r="C106" s="496" t="s">
        <v>14049</v>
      </c>
      <c r="D106" s="98" t="s">
        <v>271</v>
      </c>
      <c r="E106" s="502" t="s">
        <v>14034</v>
      </c>
      <c r="F106" s="137" t="s">
        <v>14050</v>
      </c>
      <c r="G106" s="137" t="s">
        <v>14045</v>
      </c>
      <c r="H106" s="137" t="s">
        <v>14046</v>
      </c>
      <c r="I106" s="497" t="s">
        <v>36</v>
      </c>
      <c r="J106" s="498" t="s">
        <v>4162</v>
      </c>
      <c r="K106" s="498" t="s">
        <v>2034</v>
      </c>
      <c r="L106" s="251"/>
      <c r="M106" s="251"/>
      <c r="N106" s="251"/>
      <c r="O106" s="251"/>
      <c r="P106" s="251"/>
      <c r="Q106" s="251"/>
      <c r="R106" s="251"/>
      <c r="S106" s="251"/>
      <c r="T106" s="251"/>
      <c r="U106" s="251"/>
      <c r="V106" s="251"/>
      <c r="W106" s="251"/>
      <c r="X106" s="251"/>
      <c r="Y106" s="251"/>
      <c r="Z106" s="251"/>
      <c r="AA106" s="251"/>
    </row>
    <row r="107" ht="14.25" customHeight="1">
      <c r="A107" s="98" t="s">
        <v>14033</v>
      </c>
      <c r="B107" s="108"/>
      <c r="C107" s="496" t="s">
        <v>14051</v>
      </c>
      <c r="D107" s="98" t="s">
        <v>271</v>
      </c>
      <c r="E107" s="502" t="s">
        <v>14034</v>
      </c>
      <c r="F107" s="137" t="s">
        <v>14052</v>
      </c>
      <c r="G107" s="137" t="s">
        <v>14045</v>
      </c>
      <c r="H107" s="137" t="s">
        <v>14053</v>
      </c>
      <c r="I107" s="497" t="s">
        <v>36</v>
      </c>
      <c r="J107" s="498" t="s">
        <v>4162</v>
      </c>
      <c r="K107" s="498" t="s">
        <v>2034</v>
      </c>
      <c r="L107" s="251"/>
      <c r="M107" s="251"/>
      <c r="N107" s="251"/>
      <c r="O107" s="251"/>
      <c r="P107" s="251"/>
      <c r="Q107" s="251"/>
      <c r="R107" s="251"/>
      <c r="S107" s="251"/>
      <c r="T107" s="251"/>
      <c r="U107" s="251"/>
      <c r="V107" s="251"/>
      <c r="W107" s="251"/>
      <c r="X107" s="251"/>
      <c r="Y107" s="251"/>
      <c r="Z107" s="251"/>
      <c r="AA107" s="251"/>
    </row>
    <row r="108" ht="14.25" customHeight="1">
      <c r="A108" s="98" t="s">
        <v>14033</v>
      </c>
      <c r="B108" s="108"/>
      <c r="C108" s="496" t="s">
        <v>14054</v>
      </c>
      <c r="D108" s="98" t="s">
        <v>271</v>
      </c>
      <c r="E108" s="502" t="s">
        <v>14034</v>
      </c>
      <c r="F108" s="137" t="s">
        <v>14055</v>
      </c>
      <c r="G108" s="137" t="s">
        <v>14045</v>
      </c>
      <c r="H108" s="137" t="s">
        <v>14053</v>
      </c>
      <c r="I108" s="497" t="s">
        <v>36</v>
      </c>
      <c r="J108" s="498" t="s">
        <v>4162</v>
      </c>
      <c r="K108" s="498" t="s">
        <v>2034</v>
      </c>
      <c r="L108" s="251"/>
      <c r="M108" s="251"/>
      <c r="N108" s="251"/>
      <c r="O108" s="251"/>
      <c r="P108" s="251"/>
      <c r="Q108" s="251"/>
      <c r="R108" s="251"/>
      <c r="S108" s="251"/>
      <c r="T108" s="251"/>
      <c r="U108" s="251"/>
      <c r="V108" s="251"/>
      <c r="W108" s="251"/>
      <c r="X108" s="251"/>
      <c r="Y108" s="251"/>
      <c r="Z108" s="251"/>
      <c r="AA108" s="251"/>
    </row>
    <row r="109" ht="14.25" customHeight="1">
      <c r="A109" s="98" t="s">
        <v>14033</v>
      </c>
      <c r="B109" s="108"/>
      <c r="C109" s="496" t="s">
        <v>14056</v>
      </c>
      <c r="D109" s="98" t="s">
        <v>271</v>
      </c>
      <c r="E109" s="502" t="s">
        <v>14034</v>
      </c>
      <c r="F109" s="137" t="s">
        <v>14057</v>
      </c>
      <c r="G109" s="137" t="s">
        <v>14045</v>
      </c>
      <c r="H109" s="137" t="s">
        <v>14053</v>
      </c>
      <c r="I109" s="497" t="s">
        <v>36</v>
      </c>
      <c r="J109" s="498" t="s">
        <v>4162</v>
      </c>
      <c r="K109" s="498" t="s">
        <v>2034</v>
      </c>
      <c r="L109" s="251"/>
      <c r="M109" s="251"/>
      <c r="N109" s="251"/>
      <c r="O109" s="251"/>
      <c r="P109" s="251"/>
      <c r="Q109" s="251"/>
      <c r="R109" s="251"/>
      <c r="S109" s="251"/>
      <c r="T109" s="251"/>
      <c r="U109" s="251"/>
      <c r="V109" s="251"/>
      <c r="W109" s="251"/>
      <c r="X109" s="251"/>
      <c r="Y109" s="251"/>
      <c r="Z109" s="251"/>
      <c r="AA109" s="251"/>
    </row>
    <row r="110" ht="14.25" customHeight="1">
      <c r="A110" s="98" t="s">
        <v>14033</v>
      </c>
      <c r="B110" s="108"/>
      <c r="C110" s="496" t="s">
        <v>14058</v>
      </c>
      <c r="D110" s="98" t="s">
        <v>271</v>
      </c>
      <c r="E110" s="502" t="s">
        <v>14034</v>
      </c>
      <c r="F110" s="137" t="s">
        <v>14059</v>
      </c>
      <c r="G110" s="137" t="s">
        <v>14060</v>
      </c>
      <c r="H110" s="137" t="s">
        <v>14061</v>
      </c>
      <c r="I110" s="497" t="s">
        <v>36</v>
      </c>
      <c r="J110" s="498" t="s">
        <v>4162</v>
      </c>
      <c r="K110" s="498" t="s">
        <v>2034</v>
      </c>
      <c r="L110" s="251"/>
      <c r="M110" s="251"/>
      <c r="N110" s="251"/>
      <c r="O110" s="251"/>
      <c r="P110" s="251"/>
      <c r="Q110" s="251"/>
      <c r="R110" s="251"/>
      <c r="S110" s="251"/>
      <c r="T110" s="251"/>
      <c r="U110" s="251"/>
      <c r="V110" s="251"/>
      <c r="W110" s="251"/>
      <c r="X110" s="251"/>
      <c r="Y110" s="251"/>
      <c r="Z110" s="251"/>
      <c r="AA110" s="251"/>
    </row>
    <row r="111" ht="14.25" customHeight="1">
      <c r="A111" s="98" t="s">
        <v>14033</v>
      </c>
      <c r="B111" s="108"/>
      <c r="C111" s="496" t="s">
        <v>14062</v>
      </c>
      <c r="D111" s="98" t="s">
        <v>271</v>
      </c>
      <c r="E111" s="502" t="s">
        <v>14034</v>
      </c>
      <c r="F111" s="137" t="s">
        <v>14063</v>
      </c>
      <c r="G111" s="137" t="s">
        <v>14060</v>
      </c>
      <c r="H111" s="137" t="s">
        <v>14061</v>
      </c>
      <c r="I111" s="497" t="s">
        <v>36</v>
      </c>
      <c r="J111" s="498" t="s">
        <v>4162</v>
      </c>
      <c r="K111" s="498" t="s">
        <v>2034</v>
      </c>
      <c r="L111" s="251"/>
      <c r="M111" s="251"/>
      <c r="N111" s="251"/>
      <c r="O111" s="251"/>
      <c r="P111" s="251"/>
      <c r="Q111" s="251"/>
      <c r="R111" s="251"/>
      <c r="S111" s="251"/>
      <c r="T111" s="251"/>
      <c r="U111" s="251"/>
      <c r="V111" s="251"/>
      <c r="W111" s="251"/>
      <c r="X111" s="251"/>
      <c r="Y111" s="251"/>
      <c r="Z111" s="251"/>
      <c r="AA111" s="251"/>
    </row>
    <row r="112" ht="14.25" customHeight="1">
      <c r="A112" s="98" t="s">
        <v>14033</v>
      </c>
      <c r="B112" s="108"/>
      <c r="C112" s="496" t="s">
        <v>14064</v>
      </c>
      <c r="D112" s="98" t="s">
        <v>271</v>
      </c>
      <c r="E112" s="502" t="s">
        <v>14034</v>
      </c>
      <c r="F112" s="137" t="s">
        <v>14065</v>
      </c>
      <c r="G112" s="137" t="s">
        <v>14060</v>
      </c>
      <c r="H112" s="137" t="s">
        <v>14061</v>
      </c>
      <c r="I112" s="497" t="s">
        <v>36</v>
      </c>
      <c r="J112" s="498" t="s">
        <v>4162</v>
      </c>
      <c r="K112" s="498" t="s">
        <v>2034</v>
      </c>
      <c r="L112" s="251"/>
      <c r="M112" s="251"/>
      <c r="N112" s="251"/>
      <c r="O112" s="251"/>
      <c r="P112" s="251"/>
      <c r="Q112" s="251"/>
      <c r="R112" s="251"/>
      <c r="S112" s="251"/>
      <c r="T112" s="251"/>
      <c r="U112" s="251"/>
      <c r="V112" s="251"/>
      <c r="W112" s="251"/>
      <c r="X112" s="251"/>
      <c r="Y112" s="251"/>
      <c r="Z112" s="251"/>
      <c r="AA112" s="251"/>
    </row>
    <row r="113" ht="14.25" customHeight="1">
      <c r="A113" s="98" t="s">
        <v>14033</v>
      </c>
      <c r="B113" s="108"/>
      <c r="C113" s="496" t="s">
        <v>14066</v>
      </c>
      <c r="D113" s="98" t="s">
        <v>271</v>
      </c>
      <c r="E113" s="502" t="s">
        <v>14034</v>
      </c>
      <c r="F113" s="137" t="s">
        <v>14067</v>
      </c>
      <c r="G113" s="137" t="s">
        <v>14068</v>
      </c>
      <c r="H113" s="137" t="s">
        <v>14069</v>
      </c>
      <c r="I113" s="497" t="s">
        <v>36</v>
      </c>
      <c r="J113" s="498" t="s">
        <v>4162</v>
      </c>
      <c r="K113" s="498" t="s">
        <v>2034</v>
      </c>
      <c r="L113" s="251"/>
      <c r="M113" s="251"/>
      <c r="N113" s="251"/>
      <c r="O113" s="251"/>
      <c r="P113" s="251"/>
      <c r="Q113" s="251"/>
      <c r="R113" s="251"/>
      <c r="S113" s="251"/>
      <c r="T113" s="251"/>
      <c r="U113" s="251"/>
      <c r="V113" s="251"/>
      <c r="W113" s="251"/>
      <c r="X113" s="251"/>
      <c r="Y113" s="251"/>
      <c r="Z113" s="251"/>
      <c r="AA113" s="251"/>
    </row>
    <row r="114" ht="14.25" customHeight="1">
      <c r="A114" s="98" t="s">
        <v>14033</v>
      </c>
      <c r="B114" s="109"/>
      <c r="C114" s="496" t="s">
        <v>14070</v>
      </c>
      <c r="D114" s="98" t="s">
        <v>271</v>
      </c>
      <c r="E114" s="502" t="s">
        <v>14034</v>
      </c>
      <c r="F114" s="137" t="s">
        <v>14071</v>
      </c>
      <c r="G114" s="137" t="s">
        <v>14068</v>
      </c>
      <c r="H114" s="137" t="s">
        <v>14072</v>
      </c>
      <c r="I114" s="497" t="s">
        <v>36</v>
      </c>
      <c r="J114" s="498" t="s">
        <v>4162</v>
      </c>
      <c r="K114" s="498" t="s">
        <v>2034</v>
      </c>
      <c r="L114" s="251"/>
      <c r="M114" s="251"/>
      <c r="N114" s="251"/>
      <c r="O114" s="251"/>
      <c r="P114" s="251"/>
      <c r="Q114" s="251"/>
      <c r="R114" s="251"/>
      <c r="S114" s="251"/>
      <c r="T114" s="251"/>
      <c r="U114" s="251"/>
      <c r="V114" s="251"/>
      <c r="W114" s="251"/>
      <c r="X114" s="251"/>
      <c r="Y114" s="251"/>
      <c r="Z114" s="251"/>
      <c r="AA114" s="251"/>
    </row>
    <row r="115" ht="14.25" customHeight="1">
      <c r="A115" s="98" t="s">
        <v>14073</v>
      </c>
      <c r="B115" s="501" t="s">
        <v>8675</v>
      </c>
      <c r="C115" s="496" t="s">
        <v>14074</v>
      </c>
      <c r="D115" s="98" t="s">
        <v>271</v>
      </c>
      <c r="E115" s="254" t="s">
        <v>14075</v>
      </c>
      <c r="F115" s="137" t="s">
        <v>14076</v>
      </c>
      <c r="G115" s="137" t="s">
        <v>14077</v>
      </c>
      <c r="H115" s="137" t="s">
        <v>14078</v>
      </c>
      <c r="I115" s="497" t="s">
        <v>36</v>
      </c>
      <c r="J115" s="498" t="s">
        <v>4162</v>
      </c>
      <c r="K115" s="498" t="s">
        <v>1784</v>
      </c>
      <c r="L115" s="251"/>
      <c r="M115" s="251"/>
      <c r="N115" s="251"/>
      <c r="O115" s="251"/>
      <c r="P115" s="251"/>
      <c r="Q115" s="251"/>
      <c r="R115" s="251"/>
      <c r="S115" s="251"/>
      <c r="T115" s="251"/>
      <c r="U115" s="251"/>
      <c r="V115" s="251"/>
      <c r="W115" s="251"/>
      <c r="X115" s="251"/>
      <c r="Y115" s="251"/>
      <c r="Z115" s="251"/>
      <c r="AA115" s="251"/>
    </row>
    <row r="116" ht="14.25" customHeight="1">
      <c r="A116" s="98" t="s">
        <v>14073</v>
      </c>
      <c r="B116" s="108"/>
      <c r="C116" s="496" t="s">
        <v>14079</v>
      </c>
      <c r="D116" s="98" t="s">
        <v>271</v>
      </c>
      <c r="E116" s="254" t="s">
        <v>14075</v>
      </c>
      <c r="F116" s="137" t="s">
        <v>8721</v>
      </c>
      <c r="G116" s="137" t="s">
        <v>14077</v>
      </c>
      <c r="H116" s="137" t="s">
        <v>8686</v>
      </c>
      <c r="I116" s="497" t="s">
        <v>36</v>
      </c>
      <c r="J116" s="498" t="s">
        <v>4162</v>
      </c>
      <c r="K116" s="498" t="s">
        <v>1784</v>
      </c>
      <c r="L116" s="251"/>
      <c r="M116" s="251"/>
      <c r="N116" s="251"/>
      <c r="O116" s="251"/>
      <c r="P116" s="251"/>
      <c r="Q116" s="251"/>
      <c r="R116" s="251"/>
      <c r="S116" s="251"/>
      <c r="T116" s="251"/>
      <c r="U116" s="251"/>
      <c r="V116" s="251"/>
      <c r="W116" s="251"/>
      <c r="X116" s="251"/>
      <c r="Y116" s="251"/>
      <c r="Z116" s="251"/>
      <c r="AA116" s="251"/>
    </row>
    <row r="117" ht="14.25" customHeight="1">
      <c r="A117" s="98" t="s">
        <v>14073</v>
      </c>
      <c r="B117" s="108"/>
      <c r="C117" s="496" t="s">
        <v>14080</v>
      </c>
      <c r="D117" s="98" t="s">
        <v>271</v>
      </c>
      <c r="E117" s="254" t="s">
        <v>14075</v>
      </c>
      <c r="F117" s="137" t="s">
        <v>14081</v>
      </c>
      <c r="G117" s="137" t="s">
        <v>14082</v>
      </c>
      <c r="H117" s="137" t="s">
        <v>14083</v>
      </c>
      <c r="I117" s="497" t="s">
        <v>36</v>
      </c>
      <c r="J117" s="498" t="s">
        <v>4162</v>
      </c>
      <c r="K117" s="498" t="s">
        <v>2034</v>
      </c>
      <c r="L117" s="251"/>
      <c r="M117" s="251"/>
      <c r="N117" s="251"/>
      <c r="O117" s="251"/>
      <c r="P117" s="251"/>
      <c r="Q117" s="251"/>
      <c r="R117" s="251"/>
      <c r="S117" s="251"/>
      <c r="T117" s="251"/>
      <c r="U117" s="251"/>
      <c r="V117" s="251"/>
      <c r="W117" s="251"/>
      <c r="X117" s="251"/>
      <c r="Y117" s="251"/>
      <c r="Z117" s="251"/>
      <c r="AA117" s="251"/>
    </row>
    <row r="118" ht="14.25" customHeight="1">
      <c r="A118" s="98" t="s">
        <v>14073</v>
      </c>
      <c r="B118" s="108"/>
      <c r="C118" s="496" t="s">
        <v>14084</v>
      </c>
      <c r="D118" s="98" t="s">
        <v>271</v>
      </c>
      <c r="E118" s="254" t="s">
        <v>14075</v>
      </c>
      <c r="F118" s="137" t="s">
        <v>8695</v>
      </c>
      <c r="G118" s="137" t="s">
        <v>14085</v>
      </c>
      <c r="H118" s="137" t="s">
        <v>8696</v>
      </c>
      <c r="I118" s="497" t="s">
        <v>36</v>
      </c>
      <c r="J118" s="498" t="s">
        <v>4162</v>
      </c>
      <c r="K118" s="498" t="s">
        <v>2034</v>
      </c>
      <c r="L118" s="251"/>
      <c r="M118" s="251"/>
      <c r="N118" s="251"/>
      <c r="O118" s="251"/>
      <c r="P118" s="251"/>
      <c r="Q118" s="251"/>
      <c r="R118" s="251"/>
      <c r="S118" s="251"/>
      <c r="T118" s="251"/>
      <c r="U118" s="251"/>
      <c r="V118" s="251"/>
      <c r="W118" s="251"/>
      <c r="X118" s="251"/>
      <c r="Y118" s="251"/>
      <c r="Z118" s="251"/>
      <c r="AA118" s="251"/>
    </row>
    <row r="119" ht="14.25" customHeight="1">
      <c r="A119" s="98" t="s">
        <v>14073</v>
      </c>
      <c r="B119" s="108"/>
      <c r="C119" s="496" t="s">
        <v>14086</v>
      </c>
      <c r="D119" s="98" t="s">
        <v>271</v>
      </c>
      <c r="E119" s="254" t="s">
        <v>14075</v>
      </c>
      <c r="F119" s="137" t="s">
        <v>8700</v>
      </c>
      <c r="G119" s="137" t="s">
        <v>14082</v>
      </c>
      <c r="H119" s="137" t="s">
        <v>8686</v>
      </c>
      <c r="I119" s="497" t="s">
        <v>36</v>
      </c>
      <c r="J119" s="498" t="s">
        <v>4162</v>
      </c>
      <c r="K119" s="263"/>
      <c r="L119" s="251"/>
      <c r="M119" s="251"/>
      <c r="N119" s="251"/>
      <c r="O119" s="251"/>
      <c r="P119" s="251"/>
      <c r="Q119" s="251"/>
      <c r="R119" s="251"/>
      <c r="S119" s="251"/>
      <c r="T119" s="251"/>
      <c r="U119" s="251"/>
      <c r="V119" s="251"/>
      <c r="W119" s="251"/>
      <c r="X119" s="251"/>
      <c r="Y119" s="251"/>
      <c r="Z119" s="251"/>
      <c r="AA119" s="251"/>
    </row>
    <row r="120" ht="14.25" customHeight="1">
      <c r="A120" s="98" t="s">
        <v>14073</v>
      </c>
      <c r="B120" s="108"/>
      <c r="C120" s="496" t="s">
        <v>14087</v>
      </c>
      <c r="D120" s="98" t="s">
        <v>271</v>
      </c>
      <c r="E120" s="254" t="s">
        <v>14075</v>
      </c>
      <c r="F120" s="137" t="s">
        <v>14076</v>
      </c>
      <c r="G120" s="137" t="s">
        <v>14088</v>
      </c>
      <c r="H120" s="137" t="s">
        <v>14078</v>
      </c>
      <c r="I120" s="497" t="s">
        <v>36</v>
      </c>
      <c r="J120" s="498" t="s">
        <v>4162</v>
      </c>
      <c r="K120" s="263"/>
      <c r="L120" s="251"/>
      <c r="M120" s="251"/>
      <c r="N120" s="251"/>
      <c r="O120" s="251"/>
      <c r="P120" s="251"/>
      <c r="Q120" s="251"/>
      <c r="R120" s="251"/>
      <c r="S120" s="251"/>
      <c r="T120" s="251"/>
      <c r="U120" s="251"/>
      <c r="V120" s="251"/>
      <c r="W120" s="251"/>
      <c r="X120" s="251"/>
      <c r="Y120" s="251"/>
      <c r="Z120" s="251"/>
      <c r="AA120" s="251"/>
    </row>
    <row r="121" ht="14.25" customHeight="1">
      <c r="A121" s="98" t="s">
        <v>14073</v>
      </c>
      <c r="B121" s="108"/>
      <c r="C121" s="496" t="s">
        <v>14089</v>
      </c>
      <c r="D121" s="98" t="s">
        <v>271</v>
      </c>
      <c r="E121" s="254" t="s">
        <v>14075</v>
      </c>
      <c r="F121" s="137" t="s">
        <v>8721</v>
      </c>
      <c r="G121" s="137" t="s">
        <v>14090</v>
      </c>
      <c r="H121" s="137" t="s">
        <v>8686</v>
      </c>
      <c r="I121" s="497" t="s">
        <v>36</v>
      </c>
      <c r="J121" s="498" t="s">
        <v>4162</v>
      </c>
      <c r="K121" s="263"/>
      <c r="L121" s="251"/>
      <c r="M121" s="251"/>
      <c r="N121" s="251"/>
      <c r="O121" s="251"/>
      <c r="P121" s="251"/>
      <c r="Q121" s="251"/>
      <c r="R121" s="251"/>
      <c r="S121" s="251"/>
      <c r="T121" s="251"/>
      <c r="U121" s="251"/>
      <c r="V121" s="251"/>
      <c r="W121" s="251"/>
      <c r="X121" s="251"/>
      <c r="Y121" s="251"/>
      <c r="Z121" s="251"/>
      <c r="AA121" s="251"/>
    </row>
    <row r="122" ht="14.25" customHeight="1">
      <c r="A122" s="98" t="s">
        <v>14073</v>
      </c>
      <c r="B122" s="108"/>
      <c r="C122" s="496" t="s">
        <v>14091</v>
      </c>
      <c r="D122" s="98" t="s">
        <v>271</v>
      </c>
      <c r="E122" s="254" t="s">
        <v>14075</v>
      </c>
      <c r="F122" s="137" t="s">
        <v>8690</v>
      </c>
      <c r="G122" s="137" t="s">
        <v>14090</v>
      </c>
      <c r="H122" s="137" t="s">
        <v>14092</v>
      </c>
      <c r="I122" s="497" t="s">
        <v>36</v>
      </c>
      <c r="J122" s="498" t="s">
        <v>4162</v>
      </c>
      <c r="K122" s="263"/>
      <c r="L122" s="251"/>
      <c r="M122" s="251"/>
      <c r="N122" s="251"/>
      <c r="O122" s="251"/>
      <c r="P122" s="251"/>
      <c r="Q122" s="251"/>
      <c r="R122" s="251"/>
      <c r="S122" s="251"/>
      <c r="T122" s="251"/>
      <c r="U122" s="251"/>
      <c r="V122" s="251"/>
      <c r="W122" s="251"/>
      <c r="X122" s="251"/>
      <c r="Y122" s="251"/>
      <c r="Z122" s="251"/>
      <c r="AA122" s="251"/>
    </row>
    <row r="123" ht="14.25" customHeight="1">
      <c r="A123" s="98" t="s">
        <v>14073</v>
      </c>
      <c r="B123" s="108"/>
      <c r="C123" s="496" t="s">
        <v>14093</v>
      </c>
      <c r="D123" s="98" t="s">
        <v>271</v>
      </c>
      <c r="E123" s="254" t="s">
        <v>14075</v>
      </c>
      <c r="F123" s="137" t="s">
        <v>8695</v>
      </c>
      <c r="G123" s="137" t="s">
        <v>14090</v>
      </c>
      <c r="H123" s="137" t="s">
        <v>8696</v>
      </c>
      <c r="I123" s="497" t="s">
        <v>36</v>
      </c>
      <c r="J123" s="498" t="s">
        <v>4162</v>
      </c>
      <c r="K123" s="263"/>
      <c r="L123" s="251"/>
      <c r="M123" s="251"/>
      <c r="N123" s="251"/>
      <c r="O123" s="251"/>
      <c r="P123" s="251"/>
      <c r="Q123" s="251"/>
      <c r="R123" s="251"/>
      <c r="S123" s="251"/>
      <c r="T123" s="251"/>
      <c r="U123" s="251"/>
      <c r="V123" s="251"/>
      <c r="W123" s="251"/>
      <c r="X123" s="251"/>
      <c r="Y123" s="251"/>
      <c r="Z123" s="251"/>
      <c r="AA123" s="251"/>
    </row>
    <row r="124" ht="14.25" customHeight="1">
      <c r="A124" s="98" t="s">
        <v>14073</v>
      </c>
      <c r="B124" s="108"/>
      <c r="C124" s="496" t="s">
        <v>14094</v>
      </c>
      <c r="D124" s="98" t="s">
        <v>271</v>
      </c>
      <c r="E124" s="254" t="s">
        <v>14075</v>
      </c>
      <c r="F124" s="137" t="s">
        <v>14095</v>
      </c>
      <c r="G124" s="137" t="s">
        <v>14090</v>
      </c>
      <c r="H124" s="137" t="s">
        <v>8686</v>
      </c>
      <c r="I124" s="497" t="s">
        <v>36</v>
      </c>
      <c r="J124" s="498" t="s">
        <v>4162</v>
      </c>
      <c r="K124" s="263"/>
      <c r="L124" s="251"/>
      <c r="M124" s="251"/>
      <c r="N124" s="251"/>
      <c r="O124" s="251"/>
      <c r="P124" s="251"/>
      <c r="Q124" s="251"/>
      <c r="R124" s="251"/>
      <c r="S124" s="251"/>
      <c r="T124" s="251"/>
      <c r="U124" s="251"/>
      <c r="V124" s="251"/>
      <c r="W124" s="251"/>
      <c r="X124" s="251"/>
      <c r="Y124" s="251"/>
      <c r="Z124" s="251"/>
      <c r="AA124" s="251"/>
    </row>
    <row r="125" ht="14.25" customHeight="1">
      <c r="A125" s="98" t="s">
        <v>14073</v>
      </c>
      <c r="B125" s="108"/>
      <c r="C125" s="496" t="s">
        <v>14096</v>
      </c>
      <c r="D125" s="98" t="s">
        <v>271</v>
      </c>
      <c r="E125" s="254" t="s">
        <v>14075</v>
      </c>
      <c r="F125" s="137" t="s">
        <v>14076</v>
      </c>
      <c r="G125" s="137" t="s">
        <v>14097</v>
      </c>
      <c r="H125" s="137" t="s">
        <v>14078</v>
      </c>
      <c r="I125" s="497" t="s">
        <v>36</v>
      </c>
      <c r="J125" s="498" t="s">
        <v>4162</v>
      </c>
      <c r="K125" s="263"/>
      <c r="L125" s="251"/>
      <c r="M125" s="251"/>
      <c r="N125" s="251"/>
      <c r="O125" s="251"/>
      <c r="P125" s="251"/>
      <c r="Q125" s="251"/>
      <c r="R125" s="251"/>
      <c r="S125" s="251"/>
      <c r="T125" s="251"/>
      <c r="U125" s="251"/>
      <c r="V125" s="251"/>
      <c r="W125" s="251"/>
      <c r="X125" s="251"/>
      <c r="Y125" s="251"/>
      <c r="Z125" s="251"/>
      <c r="AA125" s="251"/>
    </row>
    <row r="126" ht="14.25" customHeight="1">
      <c r="A126" s="98" t="s">
        <v>14073</v>
      </c>
      <c r="B126" s="108"/>
      <c r="C126" s="496" t="s">
        <v>14098</v>
      </c>
      <c r="D126" s="98" t="s">
        <v>271</v>
      </c>
      <c r="E126" s="254" t="s">
        <v>14075</v>
      </c>
      <c r="F126" s="137" t="s">
        <v>8721</v>
      </c>
      <c r="G126" s="137" t="s">
        <v>14099</v>
      </c>
      <c r="H126" s="137" t="s">
        <v>8686</v>
      </c>
      <c r="I126" s="497" t="s">
        <v>36</v>
      </c>
      <c r="J126" s="498" t="s">
        <v>4162</v>
      </c>
      <c r="K126" s="263"/>
      <c r="L126" s="251"/>
      <c r="M126" s="251"/>
      <c r="N126" s="251"/>
      <c r="O126" s="251"/>
      <c r="P126" s="251"/>
      <c r="Q126" s="251"/>
      <c r="R126" s="251"/>
      <c r="S126" s="251"/>
      <c r="T126" s="251"/>
      <c r="U126" s="251"/>
      <c r="V126" s="251"/>
      <c r="W126" s="251"/>
      <c r="X126" s="251"/>
      <c r="Y126" s="251"/>
      <c r="Z126" s="251"/>
      <c r="AA126" s="251"/>
    </row>
    <row r="127" ht="14.25" customHeight="1">
      <c r="A127" s="98" t="s">
        <v>14073</v>
      </c>
      <c r="B127" s="108"/>
      <c r="C127" s="496" t="s">
        <v>14100</v>
      </c>
      <c r="D127" s="98" t="s">
        <v>271</v>
      </c>
      <c r="E127" s="254" t="s">
        <v>14075</v>
      </c>
      <c r="F127" s="137" t="s">
        <v>8690</v>
      </c>
      <c r="G127" s="137" t="s">
        <v>14097</v>
      </c>
      <c r="H127" s="137" t="s">
        <v>14092</v>
      </c>
      <c r="I127" s="497" t="s">
        <v>36</v>
      </c>
      <c r="J127" s="498" t="s">
        <v>4162</v>
      </c>
      <c r="K127" s="263"/>
      <c r="L127" s="251"/>
      <c r="M127" s="251"/>
      <c r="N127" s="251"/>
      <c r="O127" s="251"/>
      <c r="P127" s="251"/>
      <c r="Q127" s="251"/>
      <c r="R127" s="251"/>
      <c r="S127" s="251"/>
      <c r="T127" s="251"/>
      <c r="U127" s="251"/>
      <c r="V127" s="251"/>
      <c r="W127" s="251"/>
      <c r="X127" s="251"/>
      <c r="Y127" s="251"/>
      <c r="Z127" s="251"/>
      <c r="AA127" s="251"/>
    </row>
    <row r="128" ht="14.25" customHeight="1">
      <c r="A128" s="98" t="s">
        <v>14073</v>
      </c>
      <c r="B128" s="108"/>
      <c r="C128" s="496" t="s">
        <v>14101</v>
      </c>
      <c r="D128" s="98" t="s">
        <v>271</v>
      </c>
      <c r="E128" s="254" t="s">
        <v>14075</v>
      </c>
      <c r="F128" s="137" t="s">
        <v>8695</v>
      </c>
      <c r="G128" s="137" t="s">
        <v>14099</v>
      </c>
      <c r="H128" s="137" t="s">
        <v>8696</v>
      </c>
      <c r="I128" s="497" t="s">
        <v>36</v>
      </c>
      <c r="J128" s="498" t="s">
        <v>4162</v>
      </c>
      <c r="K128" s="263"/>
      <c r="L128" s="251"/>
      <c r="M128" s="251"/>
      <c r="N128" s="251"/>
      <c r="O128" s="251"/>
      <c r="P128" s="251"/>
      <c r="Q128" s="251"/>
      <c r="R128" s="251"/>
      <c r="S128" s="251"/>
      <c r="T128" s="251"/>
      <c r="U128" s="251"/>
      <c r="V128" s="251"/>
      <c r="W128" s="251"/>
      <c r="X128" s="251"/>
      <c r="Y128" s="251"/>
      <c r="Z128" s="251"/>
      <c r="AA128" s="251"/>
    </row>
    <row r="129" ht="14.25" customHeight="1">
      <c r="A129" s="98" t="s">
        <v>14073</v>
      </c>
      <c r="B129" s="108"/>
      <c r="C129" s="496" t="s">
        <v>14102</v>
      </c>
      <c r="D129" s="98" t="s">
        <v>271</v>
      </c>
      <c r="E129" s="254" t="s">
        <v>14075</v>
      </c>
      <c r="F129" s="137" t="s">
        <v>14095</v>
      </c>
      <c r="G129" s="137" t="s">
        <v>14097</v>
      </c>
      <c r="H129" s="137" t="s">
        <v>8686</v>
      </c>
      <c r="I129" s="497" t="s">
        <v>36</v>
      </c>
      <c r="J129" s="498" t="s">
        <v>4162</v>
      </c>
      <c r="K129" s="263"/>
      <c r="L129" s="251"/>
      <c r="M129" s="251"/>
      <c r="N129" s="251"/>
      <c r="O129" s="251"/>
      <c r="P129" s="251"/>
      <c r="Q129" s="251"/>
      <c r="R129" s="251"/>
      <c r="S129" s="251"/>
      <c r="T129" s="251"/>
      <c r="U129" s="251"/>
      <c r="V129" s="251"/>
      <c r="W129" s="251"/>
      <c r="X129" s="251"/>
      <c r="Y129" s="251"/>
      <c r="Z129" s="251"/>
      <c r="AA129" s="251"/>
    </row>
    <row r="130" ht="14.25" customHeight="1">
      <c r="A130" s="98" t="s">
        <v>14073</v>
      </c>
      <c r="B130" s="108"/>
      <c r="C130" s="496" t="s">
        <v>14103</v>
      </c>
      <c r="D130" s="98" t="s">
        <v>271</v>
      </c>
      <c r="E130" s="254" t="s">
        <v>14075</v>
      </c>
      <c r="F130" s="137" t="s">
        <v>14076</v>
      </c>
      <c r="G130" s="137" t="s">
        <v>14104</v>
      </c>
      <c r="H130" s="137" t="s">
        <v>14078</v>
      </c>
      <c r="I130" s="497" t="s">
        <v>36</v>
      </c>
      <c r="J130" s="498" t="s">
        <v>4162</v>
      </c>
      <c r="K130" s="263"/>
      <c r="L130" s="251"/>
      <c r="M130" s="251"/>
      <c r="N130" s="251"/>
      <c r="O130" s="251"/>
      <c r="P130" s="251"/>
      <c r="Q130" s="251"/>
      <c r="R130" s="251"/>
      <c r="S130" s="251"/>
      <c r="T130" s="251"/>
      <c r="U130" s="251"/>
      <c r="V130" s="251"/>
      <c r="W130" s="251"/>
      <c r="X130" s="251"/>
      <c r="Y130" s="251"/>
      <c r="Z130" s="251"/>
      <c r="AA130" s="251"/>
    </row>
    <row r="131" ht="14.25" customHeight="1">
      <c r="A131" s="98" t="s">
        <v>14073</v>
      </c>
      <c r="B131" s="108"/>
      <c r="C131" s="496" t="s">
        <v>14105</v>
      </c>
      <c r="D131" s="98" t="s">
        <v>271</v>
      </c>
      <c r="E131" s="254" t="s">
        <v>14075</v>
      </c>
      <c r="F131" s="137" t="s">
        <v>8721</v>
      </c>
      <c r="G131" s="137" t="s">
        <v>14106</v>
      </c>
      <c r="H131" s="137" t="s">
        <v>8686</v>
      </c>
      <c r="I131" s="497" t="s">
        <v>36</v>
      </c>
      <c r="J131" s="498" t="s">
        <v>4162</v>
      </c>
      <c r="K131" s="263"/>
      <c r="L131" s="251"/>
      <c r="M131" s="251"/>
      <c r="N131" s="251"/>
      <c r="O131" s="251"/>
      <c r="P131" s="251"/>
      <c r="Q131" s="251"/>
      <c r="R131" s="251"/>
      <c r="S131" s="251"/>
      <c r="T131" s="251"/>
      <c r="U131" s="251"/>
      <c r="V131" s="251"/>
      <c r="W131" s="251"/>
      <c r="X131" s="251"/>
      <c r="Y131" s="251"/>
      <c r="Z131" s="251"/>
      <c r="AA131" s="251"/>
    </row>
    <row r="132" ht="14.25" customHeight="1">
      <c r="A132" s="98" t="s">
        <v>14073</v>
      </c>
      <c r="B132" s="108"/>
      <c r="C132" s="496" t="s">
        <v>14107</v>
      </c>
      <c r="D132" s="98" t="s">
        <v>271</v>
      </c>
      <c r="E132" s="254" t="s">
        <v>14075</v>
      </c>
      <c r="F132" s="137" t="s">
        <v>8690</v>
      </c>
      <c r="G132" s="137" t="s">
        <v>14106</v>
      </c>
      <c r="H132" s="137" t="s">
        <v>14092</v>
      </c>
      <c r="I132" s="497" t="s">
        <v>36</v>
      </c>
      <c r="J132" s="498" t="s">
        <v>4162</v>
      </c>
      <c r="K132" s="263"/>
      <c r="L132" s="251"/>
      <c r="M132" s="251"/>
      <c r="N132" s="251"/>
      <c r="O132" s="251"/>
      <c r="P132" s="251"/>
      <c r="Q132" s="251"/>
      <c r="R132" s="251"/>
      <c r="S132" s="251"/>
      <c r="T132" s="251"/>
      <c r="U132" s="251"/>
      <c r="V132" s="251"/>
      <c r="W132" s="251"/>
      <c r="X132" s="251"/>
      <c r="Y132" s="251"/>
      <c r="Z132" s="251"/>
      <c r="AA132" s="251"/>
    </row>
    <row r="133" ht="14.25" customHeight="1">
      <c r="A133" s="98" t="s">
        <v>14073</v>
      </c>
      <c r="B133" s="108"/>
      <c r="C133" s="496" t="s">
        <v>14108</v>
      </c>
      <c r="D133" s="98" t="s">
        <v>271</v>
      </c>
      <c r="E133" s="254" t="s">
        <v>14075</v>
      </c>
      <c r="F133" s="137" t="s">
        <v>8695</v>
      </c>
      <c r="G133" s="137" t="s">
        <v>14106</v>
      </c>
      <c r="H133" s="137" t="s">
        <v>8696</v>
      </c>
      <c r="I133" s="497" t="s">
        <v>36</v>
      </c>
      <c r="J133" s="498" t="s">
        <v>4162</v>
      </c>
      <c r="K133" s="263"/>
      <c r="L133" s="251"/>
      <c r="M133" s="251"/>
      <c r="N133" s="251"/>
      <c r="O133" s="251"/>
      <c r="P133" s="251"/>
      <c r="Q133" s="251"/>
      <c r="R133" s="251"/>
      <c r="S133" s="251"/>
      <c r="T133" s="251"/>
      <c r="U133" s="251"/>
      <c r="V133" s="251"/>
      <c r="W133" s="251"/>
      <c r="X133" s="251"/>
      <c r="Y133" s="251"/>
      <c r="Z133" s="251"/>
      <c r="AA133" s="251"/>
    </row>
    <row r="134" ht="14.25" customHeight="1">
      <c r="A134" s="98" t="s">
        <v>14073</v>
      </c>
      <c r="B134" s="109"/>
      <c r="C134" s="496" t="s">
        <v>14109</v>
      </c>
      <c r="D134" s="98" t="s">
        <v>271</v>
      </c>
      <c r="E134" s="254" t="s">
        <v>14075</v>
      </c>
      <c r="F134" s="137" t="s">
        <v>14095</v>
      </c>
      <c r="G134" s="137" t="s">
        <v>14110</v>
      </c>
      <c r="H134" s="137" t="s">
        <v>8686</v>
      </c>
      <c r="I134" s="497" t="s">
        <v>36</v>
      </c>
      <c r="J134" s="498" t="s">
        <v>4162</v>
      </c>
      <c r="K134" s="263"/>
      <c r="L134" s="251"/>
      <c r="M134" s="251"/>
      <c r="N134" s="251"/>
      <c r="O134" s="251"/>
      <c r="P134" s="251"/>
      <c r="Q134" s="251"/>
      <c r="R134" s="251"/>
      <c r="S134" s="251"/>
      <c r="T134" s="251"/>
      <c r="U134" s="251"/>
      <c r="V134" s="251"/>
      <c r="W134" s="251"/>
      <c r="X134" s="251"/>
      <c r="Y134" s="251"/>
      <c r="Z134" s="251"/>
      <c r="AA134" s="251"/>
    </row>
    <row r="135" ht="14.25" customHeight="1">
      <c r="A135" s="98" t="s">
        <v>14111</v>
      </c>
      <c r="B135" s="250" t="s">
        <v>14112</v>
      </c>
      <c r="C135" s="496" t="s">
        <v>14113</v>
      </c>
      <c r="D135" s="98" t="s">
        <v>271</v>
      </c>
      <c r="E135" s="254" t="s">
        <v>14114</v>
      </c>
      <c r="F135" s="137" t="s">
        <v>14115</v>
      </c>
      <c r="G135" s="137" t="s">
        <v>14116</v>
      </c>
      <c r="H135" s="137" t="s">
        <v>14117</v>
      </c>
      <c r="I135" s="497" t="s">
        <v>36</v>
      </c>
      <c r="J135" s="263"/>
      <c r="K135" s="263"/>
      <c r="L135" s="251"/>
      <c r="M135" s="251"/>
      <c r="N135" s="251"/>
      <c r="O135" s="251"/>
      <c r="P135" s="251"/>
      <c r="Q135" s="251"/>
      <c r="R135" s="251"/>
      <c r="S135" s="251"/>
      <c r="T135" s="251"/>
      <c r="U135" s="251"/>
      <c r="V135" s="251"/>
      <c r="W135" s="251"/>
      <c r="X135" s="251"/>
      <c r="Y135" s="251"/>
      <c r="Z135" s="251"/>
      <c r="AA135" s="251"/>
    </row>
    <row r="136" ht="14.25" customHeight="1">
      <c r="A136" s="98" t="s">
        <v>14111</v>
      </c>
      <c r="B136" s="108"/>
      <c r="C136" s="496" t="s">
        <v>14118</v>
      </c>
      <c r="D136" s="98" t="s">
        <v>271</v>
      </c>
      <c r="E136" s="254" t="s">
        <v>14114</v>
      </c>
      <c r="F136" s="137" t="s">
        <v>14119</v>
      </c>
      <c r="G136" s="137" t="s">
        <v>14120</v>
      </c>
      <c r="H136" s="137" t="s">
        <v>14121</v>
      </c>
      <c r="I136" s="497" t="s">
        <v>36</v>
      </c>
      <c r="J136" s="263"/>
      <c r="K136" s="263"/>
      <c r="L136" s="251"/>
      <c r="M136" s="251"/>
      <c r="N136" s="251"/>
      <c r="O136" s="251"/>
      <c r="P136" s="251"/>
      <c r="Q136" s="251"/>
      <c r="R136" s="251"/>
      <c r="S136" s="251"/>
      <c r="T136" s="251"/>
      <c r="U136" s="251"/>
      <c r="V136" s="251"/>
      <c r="W136" s="251"/>
      <c r="X136" s="251"/>
      <c r="Y136" s="251"/>
      <c r="Z136" s="251"/>
      <c r="AA136" s="251"/>
    </row>
    <row r="137" ht="14.25" customHeight="1">
      <c r="A137" s="98" t="s">
        <v>14111</v>
      </c>
      <c r="B137" s="108"/>
      <c r="C137" s="496" t="s">
        <v>14122</v>
      </c>
      <c r="D137" s="98" t="s">
        <v>271</v>
      </c>
      <c r="E137" s="254" t="s">
        <v>14114</v>
      </c>
      <c r="F137" s="137" t="s">
        <v>14123</v>
      </c>
      <c r="G137" s="137" t="s">
        <v>14120</v>
      </c>
      <c r="H137" s="137" t="s">
        <v>14117</v>
      </c>
      <c r="I137" s="497" t="s">
        <v>36</v>
      </c>
      <c r="J137" s="263"/>
      <c r="K137" s="263"/>
      <c r="L137" s="251"/>
      <c r="M137" s="251"/>
      <c r="N137" s="251"/>
      <c r="O137" s="251"/>
      <c r="P137" s="251"/>
      <c r="Q137" s="251"/>
      <c r="R137" s="251"/>
      <c r="S137" s="251"/>
      <c r="T137" s="251"/>
      <c r="U137" s="251"/>
      <c r="V137" s="251"/>
      <c r="W137" s="251"/>
      <c r="X137" s="251"/>
      <c r="Y137" s="251"/>
      <c r="Z137" s="251"/>
      <c r="AA137" s="251"/>
    </row>
    <row r="138" ht="14.25" customHeight="1">
      <c r="A138" s="98" t="s">
        <v>14111</v>
      </c>
      <c r="B138" s="109"/>
      <c r="C138" s="496" t="s">
        <v>14124</v>
      </c>
      <c r="D138" s="98" t="s">
        <v>271</v>
      </c>
      <c r="E138" s="254" t="s">
        <v>14125</v>
      </c>
      <c r="F138" s="137" t="s">
        <v>14126</v>
      </c>
      <c r="G138" s="137" t="s">
        <v>14127</v>
      </c>
      <c r="H138" s="137" t="s">
        <v>14128</v>
      </c>
      <c r="I138" s="497" t="s">
        <v>36</v>
      </c>
      <c r="J138" s="263"/>
      <c r="K138" s="263"/>
      <c r="L138" s="251"/>
      <c r="M138" s="251"/>
      <c r="N138" s="251"/>
      <c r="O138" s="251"/>
      <c r="P138" s="251"/>
      <c r="Q138" s="251"/>
      <c r="R138" s="251"/>
      <c r="S138" s="251"/>
      <c r="T138" s="251"/>
      <c r="U138" s="251"/>
      <c r="V138" s="251"/>
      <c r="W138" s="251"/>
      <c r="X138" s="251"/>
      <c r="Y138" s="251"/>
      <c r="Z138" s="251"/>
      <c r="AA138" s="251"/>
    </row>
    <row r="139" ht="14.25" customHeight="1">
      <c r="A139" s="98" t="s">
        <v>14129</v>
      </c>
      <c r="B139" s="250" t="s">
        <v>14130</v>
      </c>
      <c r="C139" s="496" t="s">
        <v>14131</v>
      </c>
      <c r="D139" s="98" t="s">
        <v>271</v>
      </c>
      <c r="E139" s="503" t="s">
        <v>14132</v>
      </c>
      <c r="F139" s="137" t="s">
        <v>14133</v>
      </c>
      <c r="G139" s="137" t="s">
        <v>14134</v>
      </c>
      <c r="H139" s="137" t="s">
        <v>14135</v>
      </c>
      <c r="I139" s="497" t="s">
        <v>36</v>
      </c>
      <c r="J139" s="263"/>
      <c r="K139" s="263"/>
      <c r="L139" s="251"/>
      <c r="M139" s="251"/>
      <c r="N139" s="251"/>
      <c r="O139" s="251"/>
      <c r="P139" s="251"/>
      <c r="Q139" s="251"/>
      <c r="R139" s="251"/>
      <c r="S139" s="251"/>
      <c r="T139" s="251"/>
      <c r="U139" s="251"/>
      <c r="V139" s="251"/>
      <c r="W139" s="251"/>
      <c r="X139" s="251"/>
      <c r="Y139" s="251"/>
      <c r="Z139" s="251"/>
      <c r="AA139" s="251"/>
    </row>
    <row r="140" ht="14.25" customHeight="1">
      <c r="A140" s="98" t="s">
        <v>14129</v>
      </c>
      <c r="B140" s="108"/>
      <c r="C140" s="496" t="s">
        <v>14136</v>
      </c>
      <c r="D140" s="98" t="s">
        <v>271</v>
      </c>
      <c r="E140" s="503" t="s">
        <v>14132</v>
      </c>
      <c r="F140" s="137" t="s">
        <v>14137</v>
      </c>
      <c r="G140" s="137" t="s">
        <v>14134</v>
      </c>
      <c r="H140" s="137" t="s">
        <v>14138</v>
      </c>
      <c r="I140" s="497" t="s">
        <v>36</v>
      </c>
      <c r="J140" s="263"/>
      <c r="K140" s="263"/>
      <c r="L140" s="251"/>
      <c r="M140" s="251"/>
      <c r="N140" s="251"/>
      <c r="O140" s="251"/>
      <c r="P140" s="251"/>
      <c r="Q140" s="251"/>
      <c r="R140" s="251"/>
      <c r="S140" s="251"/>
      <c r="T140" s="251"/>
      <c r="U140" s="251"/>
      <c r="V140" s="251"/>
      <c r="W140" s="251"/>
      <c r="X140" s="251"/>
      <c r="Y140" s="251"/>
      <c r="Z140" s="251"/>
      <c r="AA140" s="251"/>
    </row>
    <row r="141" ht="14.25" customHeight="1">
      <c r="A141" s="98" t="s">
        <v>14129</v>
      </c>
      <c r="B141" s="109"/>
      <c r="C141" s="496" t="s">
        <v>14139</v>
      </c>
      <c r="D141" s="98" t="s">
        <v>271</v>
      </c>
      <c r="E141" s="503" t="s">
        <v>14132</v>
      </c>
      <c r="F141" s="137" t="s">
        <v>14140</v>
      </c>
      <c r="G141" s="137" t="s">
        <v>14141</v>
      </c>
      <c r="H141" s="137" t="s">
        <v>14142</v>
      </c>
      <c r="I141" s="497" t="s">
        <v>36</v>
      </c>
      <c r="J141" s="263"/>
      <c r="K141" s="263"/>
      <c r="L141" s="251"/>
      <c r="M141" s="251"/>
      <c r="N141" s="251"/>
      <c r="O141" s="251"/>
      <c r="P141" s="251"/>
      <c r="Q141" s="251"/>
      <c r="R141" s="251"/>
      <c r="S141" s="251"/>
      <c r="T141" s="251"/>
      <c r="U141" s="251"/>
      <c r="V141" s="251"/>
      <c r="W141" s="251"/>
      <c r="X141" s="251"/>
      <c r="Y141" s="251"/>
      <c r="Z141" s="251"/>
      <c r="AA141" s="251"/>
    </row>
    <row r="142" ht="14.25" customHeight="1">
      <c r="A142" s="98" t="s">
        <v>14143</v>
      </c>
      <c r="B142" s="250" t="s">
        <v>14144</v>
      </c>
      <c r="C142" s="496" t="s">
        <v>14145</v>
      </c>
      <c r="D142" s="98" t="s">
        <v>271</v>
      </c>
      <c r="E142" s="254" t="s">
        <v>14146</v>
      </c>
      <c r="F142" s="504" t="s">
        <v>14147</v>
      </c>
      <c r="G142" s="137" t="s">
        <v>14148</v>
      </c>
      <c r="H142" s="504" t="s">
        <v>14149</v>
      </c>
      <c r="I142" s="497" t="s">
        <v>36</v>
      </c>
      <c r="J142" s="498" t="s">
        <v>4162</v>
      </c>
      <c r="K142" s="498" t="s">
        <v>1784</v>
      </c>
      <c r="L142" s="251"/>
      <c r="M142" s="251"/>
      <c r="N142" s="251"/>
      <c r="O142" s="251"/>
      <c r="P142" s="251"/>
      <c r="Q142" s="251"/>
      <c r="R142" s="251"/>
      <c r="S142" s="251"/>
      <c r="T142" s="251"/>
      <c r="U142" s="251"/>
      <c r="V142" s="251"/>
      <c r="W142" s="251"/>
      <c r="X142" s="251"/>
      <c r="Y142" s="251"/>
      <c r="Z142" s="251"/>
      <c r="AA142" s="251"/>
    </row>
    <row r="143" ht="14.25" customHeight="1">
      <c r="A143" s="98" t="s">
        <v>14143</v>
      </c>
      <c r="B143" s="108"/>
      <c r="C143" s="496" t="s">
        <v>14150</v>
      </c>
      <c r="D143" s="98" t="s">
        <v>271</v>
      </c>
      <c r="E143" s="254" t="s">
        <v>14146</v>
      </c>
      <c r="F143" s="137" t="s">
        <v>14151</v>
      </c>
      <c r="G143" s="137" t="s">
        <v>14152</v>
      </c>
      <c r="H143" s="137" t="s">
        <v>14153</v>
      </c>
      <c r="I143" s="497" t="s">
        <v>36</v>
      </c>
      <c r="J143" s="498" t="s">
        <v>4162</v>
      </c>
      <c r="K143" s="498" t="s">
        <v>1784</v>
      </c>
      <c r="L143" s="251"/>
      <c r="M143" s="251"/>
      <c r="N143" s="251"/>
      <c r="O143" s="251"/>
      <c r="P143" s="251"/>
      <c r="Q143" s="251"/>
      <c r="R143" s="251"/>
      <c r="S143" s="251"/>
      <c r="T143" s="251"/>
      <c r="U143" s="251"/>
      <c r="V143" s="251"/>
      <c r="W143" s="251"/>
      <c r="X143" s="251"/>
      <c r="Y143" s="251"/>
      <c r="Z143" s="251"/>
      <c r="AA143" s="251"/>
    </row>
    <row r="144" ht="14.25" customHeight="1">
      <c r="A144" s="98" t="s">
        <v>14143</v>
      </c>
      <c r="B144" s="108"/>
      <c r="C144" s="496" t="s">
        <v>14154</v>
      </c>
      <c r="D144" s="98" t="s">
        <v>271</v>
      </c>
      <c r="E144" s="254" t="s">
        <v>14146</v>
      </c>
      <c r="F144" s="137" t="s">
        <v>14155</v>
      </c>
      <c r="G144" s="137" t="s">
        <v>14148</v>
      </c>
      <c r="H144" s="137" t="s">
        <v>14156</v>
      </c>
      <c r="I144" s="497" t="s">
        <v>36</v>
      </c>
      <c r="J144" s="498" t="s">
        <v>4162</v>
      </c>
      <c r="K144" s="498" t="s">
        <v>1784</v>
      </c>
      <c r="L144" s="251"/>
      <c r="M144" s="251"/>
      <c r="N144" s="251"/>
      <c r="O144" s="251"/>
      <c r="P144" s="251"/>
      <c r="Q144" s="251"/>
      <c r="R144" s="251"/>
      <c r="S144" s="251"/>
      <c r="T144" s="251"/>
      <c r="U144" s="251"/>
      <c r="V144" s="251"/>
      <c r="W144" s="251"/>
      <c r="X144" s="251"/>
      <c r="Y144" s="251"/>
      <c r="Z144" s="251"/>
      <c r="AA144" s="251"/>
    </row>
    <row r="145" ht="14.25" customHeight="1">
      <c r="A145" s="98" t="s">
        <v>14143</v>
      </c>
      <c r="B145" s="109"/>
      <c r="C145" s="496" t="s">
        <v>14157</v>
      </c>
      <c r="D145" s="98" t="s">
        <v>271</v>
      </c>
      <c r="E145" s="254" t="s">
        <v>14146</v>
      </c>
      <c r="F145" s="137" t="s">
        <v>14158</v>
      </c>
      <c r="G145" s="137" t="s">
        <v>14152</v>
      </c>
      <c r="H145" s="137" t="s">
        <v>14153</v>
      </c>
      <c r="I145" s="497" t="s">
        <v>36</v>
      </c>
      <c r="J145" s="498" t="s">
        <v>4162</v>
      </c>
      <c r="K145" s="498" t="s">
        <v>1784</v>
      </c>
      <c r="L145" s="251"/>
      <c r="M145" s="251"/>
      <c r="N145" s="251"/>
      <c r="O145" s="251"/>
      <c r="P145" s="251"/>
      <c r="Q145" s="251"/>
      <c r="R145" s="251"/>
      <c r="S145" s="251"/>
      <c r="T145" s="251"/>
      <c r="U145" s="251"/>
      <c r="V145" s="251"/>
      <c r="W145" s="251"/>
      <c r="X145" s="251"/>
      <c r="Y145" s="251"/>
      <c r="Z145" s="251"/>
      <c r="AA145" s="251"/>
    </row>
    <row r="146" ht="14.25" customHeight="1">
      <c r="A146" s="98" t="s">
        <v>14159</v>
      </c>
      <c r="B146" s="250" t="s">
        <v>14160</v>
      </c>
      <c r="C146" s="496" t="s">
        <v>14161</v>
      </c>
      <c r="D146" s="98" t="s">
        <v>271</v>
      </c>
      <c r="E146" s="254" t="s">
        <v>14160</v>
      </c>
      <c r="F146" s="137" t="s">
        <v>14162</v>
      </c>
      <c r="G146" s="137" t="s">
        <v>14163</v>
      </c>
      <c r="H146" s="137" t="s">
        <v>14164</v>
      </c>
      <c r="I146" s="497" t="s">
        <v>36</v>
      </c>
      <c r="J146" s="498" t="s">
        <v>4162</v>
      </c>
      <c r="K146" s="498" t="s">
        <v>8647</v>
      </c>
      <c r="L146" s="251"/>
      <c r="M146" s="251"/>
      <c r="N146" s="251"/>
      <c r="O146" s="251"/>
      <c r="P146" s="251"/>
      <c r="Q146" s="251"/>
      <c r="R146" s="251"/>
      <c r="S146" s="251"/>
      <c r="T146" s="251"/>
      <c r="U146" s="251"/>
      <c r="V146" s="251"/>
      <c r="W146" s="251"/>
      <c r="X146" s="251"/>
      <c r="Y146" s="251"/>
      <c r="Z146" s="251"/>
      <c r="AA146" s="251"/>
    </row>
    <row r="147" ht="14.25" customHeight="1">
      <c r="A147" s="98" t="s">
        <v>14159</v>
      </c>
      <c r="B147" s="108"/>
      <c r="C147" s="496" t="s">
        <v>14165</v>
      </c>
      <c r="D147" s="251"/>
      <c r="E147" s="254" t="s">
        <v>14160</v>
      </c>
      <c r="F147" s="137" t="s">
        <v>14166</v>
      </c>
      <c r="G147" s="137" t="s">
        <v>14167</v>
      </c>
      <c r="H147" s="137" t="s">
        <v>14168</v>
      </c>
      <c r="I147" s="497" t="s">
        <v>36</v>
      </c>
      <c r="J147" s="498" t="s">
        <v>4162</v>
      </c>
      <c r="K147" s="498" t="s">
        <v>8647</v>
      </c>
      <c r="L147" s="251"/>
      <c r="M147" s="251"/>
      <c r="N147" s="251"/>
      <c r="O147" s="251"/>
      <c r="P147" s="251"/>
      <c r="Q147" s="251"/>
      <c r="R147" s="251"/>
      <c r="S147" s="251"/>
      <c r="T147" s="251"/>
      <c r="U147" s="251"/>
      <c r="V147" s="251"/>
      <c r="W147" s="251"/>
      <c r="X147" s="251"/>
      <c r="Y147" s="251"/>
      <c r="Z147" s="251"/>
      <c r="AA147" s="251"/>
    </row>
    <row r="148" ht="14.25" customHeight="1">
      <c r="A148" s="98" t="s">
        <v>14159</v>
      </c>
      <c r="B148" s="108"/>
      <c r="C148" s="496" t="s">
        <v>14169</v>
      </c>
      <c r="D148" s="98" t="s">
        <v>271</v>
      </c>
      <c r="E148" s="254" t="s">
        <v>14160</v>
      </c>
      <c r="F148" s="137" t="s">
        <v>14170</v>
      </c>
      <c r="G148" s="137" t="s">
        <v>14171</v>
      </c>
      <c r="H148" s="137" t="s">
        <v>14172</v>
      </c>
      <c r="I148" s="497" t="s">
        <v>36</v>
      </c>
      <c r="J148" s="498" t="s">
        <v>4162</v>
      </c>
      <c r="K148" s="498" t="s">
        <v>8647</v>
      </c>
      <c r="L148" s="251"/>
      <c r="M148" s="251"/>
      <c r="N148" s="251"/>
      <c r="O148" s="251"/>
      <c r="P148" s="251"/>
      <c r="Q148" s="251"/>
      <c r="R148" s="251"/>
      <c r="S148" s="251"/>
      <c r="T148" s="251"/>
      <c r="U148" s="251"/>
      <c r="V148" s="251"/>
      <c r="W148" s="251"/>
      <c r="X148" s="251"/>
      <c r="Y148" s="251"/>
      <c r="Z148" s="251"/>
      <c r="AA148" s="251"/>
    </row>
    <row r="149" ht="14.25" customHeight="1">
      <c r="A149" s="98" t="s">
        <v>14159</v>
      </c>
      <c r="B149" s="108"/>
      <c r="C149" s="496" t="s">
        <v>14173</v>
      </c>
      <c r="D149" s="98" t="s">
        <v>271</v>
      </c>
      <c r="E149" s="254" t="s">
        <v>14160</v>
      </c>
      <c r="F149" s="137" t="s">
        <v>14174</v>
      </c>
      <c r="G149" s="137" t="s">
        <v>14175</v>
      </c>
      <c r="H149" s="137" t="s">
        <v>14176</v>
      </c>
      <c r="I149" s="497" t="s">
        <v>36</v>
      </c>
      <c r="J149" s="498" t="s">
        <v>4162</v>
      </c>
      <c r="K149" s="498" t="s">
        <v>8647</v>
      </c>
      <c r="L149" s="251"/>
      <c r="M149" s="251"/>
      <c r="N149" s="251"/>
      <c r="O149" s="251"/>
      <c r="P149" s="251"/>
      <c r="Q149" s="251"/>
      <c r="R149" s="251"/>
      <c r="S149" s="251"/>
      <c r="T149" s="251"/>
      <c r="U149" s="251"/>
      <c r="V149" s="251"/>
      <c r="W149" s="251"/>
      <c r="X149" s="251"/>
      <c r="Y149" s="251"/>
      <c r="Z149" s="251"/>
      <c r="AA149" s="251"/>
    </row>
    <row r="150" ht="14.25" customHeight="1">
      <c r="A150" s="98" t="s">
        <v>14159</v>
      </c>
      <c r="B150" s="108"/>
      <c r="C150" s="496" t="s">
        <v>14177</v>
      </c>
      <c r="D150" s="98" t="s">
        <v>271</v>
      </c>
      <c r="E150" s="254" t="s">
        <v>14160</v>
      </c>
      <c r="F150" s="137" t="s">
        <v>14178</v>
      </c>
      <c r="G150" s="137" t="s">
        <v>14179</v>
      </c>
      <c r="H150" s="137" t="s">
        <v>14180</v>
      </c>
      <c r="I150" s="497" t="s">
        <v>36</v>
      </c>
      <c r="J150" s="498" t="s">
        <v>4162</v>
      </c>
      <c r="K150" s="498" t="s">
        <v>8647</v>
      </c>
      <c r="L150" s="251"/>
      <c r="M150" s="251"/>
      <c r="N150" s="251"/>
      <c r="O150" s="251"/>
      <c r="P150" s="251"/>
      <c r="Q150" s="251"/>
      <c r="R150" s="251"/>
      <c r="S150" s="251"/>
      <c r="T150" s="251"/>
      <c r="U150" s="251"/>
      <c r="V150" s="251"/>
      <c r="W150" s="251"/>
      <c r="X150" s="251"/>
      <c r="Y150" s="251"/>
      <c r="Z150" s="251"/>
      <c r="AA150" s="251"/>
    </row>
    <row r="151" ht="14.25" customHeight="1">
      <c r="A151" s="98" t="s">
        <v>14159</v>
      </c>
      <c r="B151" s="108"/>
      <c r="C151" s="496" t="s">
        <v>14181</v>
      </c>
      <c r="D151" s="98" t="s">
        <v>271</v>
      </c>
      <c r="E151" s="254" t="s">
        <v>14160</v>
      </c>
      <c r="F151" s="137" t="s">
        <v>14182</v>
      </c>
      <c r="G151" s="137" t="s">
        <v>14183</v>
      </c>
      <c r="H151" s="137" t="s">
        <v>14184</v>
      </c>
      <c r="I151" s="497" t="s">
        <v>317</v>
      </c>
      <c r="J151" s="498" t="s">
        <v>4162</v>
      </c>
      <c r="K151" s="498" t="s">
        <v>8647</v>
      </c>
      <c r="L151" s="251"/>
      <c r="M151" s="251"/>
      <c r="N151" s="251"/>
      <c r="O151" s="251"/>
      <c r="P151" s="251"/>
      <c r="Q151" s="251"/>
      <c r="R151" s="251"/>
      <c r="S151" s="251"/>
      <c r="T151" s="251"/>
      <c r="U151" s="251"/>
      <c r="V151" s="251"/>
      <c r="W151" s="251"/>
      <c r="X151" s="251"/>
      <c r="Y151" s="251"/>
      <c r="Z151" s="251"/>
      <c r="AA151" s="251"/>
    </row>
    <row r="152" ht="14.25" customHeight="1">
      <c r="A152" s="98" t="s">
        <v>14159</v>
      </c>
      <c r="B152" s="109"/>
      <c r="C152" s="496" t="s">
        <v>14185</v>
      </c>
      <c r="D152" s="98" t="s">
        <v>271</v>
      </c>
      <c r="E152" s="254" t="s">
        <v>14160</v>
      </c>
      <c r="F152" s="137" t="s">
        <v>14186</v>
      </c>
      <c r="G152" s="137" t="s">
        <v>14187</v>
      </c>
      <c r="H152" s="137" t="s">
        <v>14188</v>
      </c>
      <c r="I152" s="497" t="s">
        <v>317</v>
      </c>
      <c r="J152" s="498" t="s">
        <v>4162</v>
      </c>
      <c r="K152" s="498" t="s">
        <v>8647</v>
      </c>
      <c r="L152" s="251"/>
      <c r="M152" s="251"/>
      <c r="N152" s="251"/>
      <c r="O152" s="251"/>
      <c r="P152" s="251"/>
      <c r="Q152" s="251"/>
      <c r="R152" s="251"/>
      <c r="S152" s="251"/>
      <c r="T152" s="251"/>
      <c r="U152" s="251"/>
      <c r="V152" s="251"/>
      <c r="W152" s="251"/>
      <c r="X152" s="251"/>
      <c r="Y152" s="251"/>
      <c r="Z152" s="251"/>
      <c r="AA152" s="251"/>
    </row>
    <row r="153" ht="14.25" customHeight="1">
      <c r="A153" s="98" t="s">
        <v>14189</v>
      </c>
      <c r="B153" s="499"/>
      <c r="C153" s="496" t="s">
        <v>14190</v>
      </c>
      <c r="D153" s="98" t="s">
        <v>271</v>
      </c>
      <c r="E153" s="254" t="s">
        <v>14191</v>
      </c>
      <c r="F153" s="137" t="s">
        <v>14192</v>
      </c>
      <c r="G153" s="137" t="s">
        <v>14193</v>
      </c>
      <c r="H153" s="365" t="s">
        <v>14194</v>
      </c>
      <c r="I153" s="497" t="s">
        <v>36</v>
      </c>
      <c r="J153" s="498" t="s">
        <v>4162</v>
      </c>
      <c r="K153" s="498" t="s">
        <v>8647</v>
      </c>
      <c r="L153" s="251"/>
      <c r="M153" s="251"/>
      <c r="N153" s="251"/>
      <c r="O153" s="251"/>
      <c r="P153" s="251"/>
      <c r="Q153" s="251"/>
      <c r="R153" s="251"/>
      <c r="S153" s="251"/>
      <c r="T153" s="251"/>
      <c r="U153" s="251"/>
      <c r="V153" s="251"/>
      <c r="W153" s="251"/>
      <c r="X153" s="251"/>
      <c r="Y153" s="251"/>
      <c r="Z153" s="251"/>
      <c r="AA153" s="251"/>
    </row>
    <row r="154" ht="14.25" customHeight="1">
      <c r="A154" s="98" t="s">
        <v>14189</v>
      </c>
      <c r="B154" s="108"/>
      <c r="C154" s="496" t="s">
        <v>14195</v>
      </c>
      <c r="D154" s="98" t="s">
        <v>271</v>
      </c>
      <c r="E154" s="254" t="s">
        <v>14191</v>
      </c>
      <c r="F154" s="137" t="s">
        <v>14196</v>
      </c>
      <c r="G154" s="137" t="s">
        <v>14197</v>
      </c>
      <c r="H154" s="365" t="s">
        <v>14194</v>
      </c>
      <c r="I154" s="497" t="s">
        <v>36</v>
      </c>
      <c r="J154" s="498" t="s">
        <v>4162</v>
      </c>
      <c r="K154" s="498" t="s">
        <v>8647</v>
      </c>
      <c r="L154" s="251"/>
      <c r="M154" s="251"/>
      <c r="N154" s="251"/>
      <c r="O154" s="251"/>
      <c r="P154" s="251"/>
      <c r="Q154" s="251"/>
      <c r="R154" s="251"/>
      <c r="S154" s="251"/>
      <c r="T154" s="251"/>
      <c r="U154" s="251"/>
      <c r="V154" s="251"/>
      <c r="W154" s="251"/>
      <c r="X154" s="251"/>
      <c r="Y154" s="251"/>
      <c r="Z154" s="251"/>
      <c r="AA154" s="251"/>
    </row>
    <row r="155" ht="14.25" customHeight="1">
      <c r="A155" s="98" t="s">
        <v>14189</v>
      </c>
      <c r="B155" s="108"/>
      <c r="C155" s="496" t="s">
        <v>14198</v>
      </c>
      <c r="D155" s="98" t="s">
        <v>271</v>
      </c>
      <c r="E155" s="254" t="s">
        <v>14191</v>
      </c>
      <c r="F155" s="137" t="s">
        <v>14196</v>
      </c>
      <c r="G155" s="137" t="s">
        <v>14199</v>
      </c>
      <c r="H155" s="365" t="s">
        <v>14194</v>
      </c>
      <c r="I155" s="497" t="s">
        <v>36</v>
      </c>
      <c r="J155" s="498" t="s">
        <v>4162</v>
      </c>
      <c r="K155" s="498" t="s">
        <v>8647</v>
      </c>
      <c r="L155" s="251"/>
      <c r="M155" s="251"/>
      <c r="N155" s="251"/>
      <c r="O155" s="251"/>
      <c r="P155" s="251"/>
      <c r="Q155" s="251"/>
      <c r="R155" s="251"/>
      <c r="S155" s="251"/>
      <c r="T155" s="251"/>
      <c r="U155" s="251"/>
      <c r="V155" s="251"/>
      <c r="W155" s="251"/>
      <c r="X155" s="251"/>
      <c r="Y155" s="251"/>
      <c r="Z155" s="251"/>
      <c r="AA155" s="251"/>
    </row>
    <row r="156" ht="14.25" customHeight="1">
      <c r="A156" s="98" t="s">
        <v>14189</v>
      </c>
      <c r="B156" s="108"/>
      <c r="C156" s="496" t="s">
        <v>14200</v>
      </c>
      <c r="D156" s="98" t="s">
        <v>271</v>
      </c>
      <c r="E156" s="254" t="s">
        <v>14191</v>
      </c>
      <c r="F156" s="137" t="s">
        <v>14196</v>
      </c>
      <c r="G156" s="137" t="s">
        <v>14201</v>
      </c>
      <c r="H156" s="365" t="s">
        <v>14194</v>
      </c>
      <c r="I156" s="497" t="s">
        <v>36</v>
      </c>
      <c r="J156" s="498" t="s">
        <v>4162</v>
      </c>
      <c r="K156" s="498" t="s">
        <v>8647</v>
      </c>
      <c r="L156" s="251"/>
      <c r="M156" s="251"/>
      <c r="N156" s="251"/>
      <c r="O156" s="251"/>
      <c r="P156" s="251"/>
      <c r="Q156" s="251"/>
      <c r="R156" s="251"/>
      <c r="S156" s="251"/>
      <c r="T156" s="251"/>
      <c r="U156" s="251"/>
      <c r="V156" s="251"/>
      <c r="W156" s="251"/>
      <c r="X156" s="251"/>
      <c r="Y156" s="251"/>
      <c r="Z156" s="251"/>
      <c r="AA156" s="251"/>
    </row>
    <row r="157" ht="14.25" customHeight="1">
      <c r="A157" s="98" t="s">
        <v>14189</v>
      </c>
      <c r="B157" s="109"/>
      <c r="C157" s="496" t="s">
        <v>14202</v>
      </c>
      <c r="D157" s="98" t="s">
        <v>271</v>
      </c>
      <c r="E157" s="254" t="s">
        <v>14191</v>
      </c>
      <c r="F157" s="137" t="s">
        <v>14196</v>
      </c>
      <c r="G157" s="137" t="s">
        <v>14203</v>
      </c>
      <c r="H157" s="365" t="s">
        <v>14194</v>
      </c>
      <c r="I157" s="497" t="s">
        <v>36</v>
      </c>
      <c r="J157" s="498" t="s">
        <v>4162</v>
      </c>
      <c r="K157" s="498" t="s">
        <v>8647</v>
      </c>
      <c r="L157" s="251"/>
      <c r="M157" s="251"/>
      <c r="N157" s="251"/>
      <c r="O157" s="251"/>
      <c r="P157" s="251"/>
      <c r="Q157" s="251"/>
      <c r="R157" s="251"/>
      <c r="S157" s="251"/>
      <c r="T157" s="251"/>
      <c r="U157" s="251"/>
      <c r="V157" s="251"/>
      <c r="W157" s="251"/>
      <c r="X157" s="251"/>
      <c r="Y157" s="251"/>
      <c r="Z157" s="251"/>
      <c r="AA157" s="251"/>
    </row>
    <row r="158" ht="14.25" customHeight="1">
      <c r="A158" s="98" t="s">
        <v>5994</v>
      </c>
      <c r="B158" s="501" t="s">
        <v>14204</v>
      </c>
      <c r="C158" s="496" t="s">
        <v>14205</v>
      </c>
      <c r="D158" s="251"/>
      <c r="E158" s="500"/>
      <c r="F158" s="137" t="s">
        <v>14206</v>
      </c>
      <c r="G158" s="365" t="s">
        <v>6062</v>
      </c>
      <c r="H158" s="137" t="s">
        <v>14207</v>
      </c>
      <c r="I158" s="497" t="s">
        <v>36</v>
      </c>
      <c r="J158" s="498" t="s">
        <v>4162</v>
      </c>
      <c r="K158" s="498" t="s">
        <v>8647</v>
      </c>
      <c r="L158" s="251"/>
      <c r="M158" s="251"/>
      <c r="N158" s="251"/>
      <c r="O158" s="251"/>
      <c r="P158" s="251"/>
      <c r="Q158" s="251"/>
      <c r="R158" s="251"/>
      <c r="S158" s="251"/>
      <c r="T158" s="251"/>
      <c r="U158" s="251"/>
      <c r="V158" s="251"/>
      <c r="W158" s="251"/>
      <c r="X158" s="251"/>
      <c r="Y158" s="251"/>
      <c r="Z158" s="251"/>
      <c r="AA158" s="251"/>
    </row>
    <row r="159" ht="14.25" customHeight="1">
      <c r="A159" s="98" t="s">
        <v>5994</v>
      </c>
      <c r="B159" s="108"/>
      <c r="C159" s="496" t="s">
        <v>14208</v>
      </c>
      <c r="D159" s="251"/>
      <c r="E159" s="500"/>
      <c r="F159" s="137" t="s">
        <v>14209</v>
      </c>
      <c r="G159" s="365" t="s">
        <v>6039</v>
      </c>
      <c r="H159" s="137" t="s">
        <v>6040</v>
      </c>
      <c r="I159" s="497" t="s">
        <v>36</v>
      </c>
      <c r="J159" s="498" t="s">
        <v>4162</v>
      </c>
      <c r="K159" s="498" t="s">
        <v>8647</v>
      </c>
      <c r="L159" s="251"/>
      <c r="M159" s="251"/>
      <c r="N159" s="251"/>
      <c r="O159" s="251"/>
      <c r="P159" s="251"/>
      <c r="Q159" s="251"/>
      <c r="R159" s="251"/>
      <c r="S159" s="251"/>
      <c r="T159" s="251"/>
      <c r="U159" s="251"/>
      <c r="V159" s="251"/>
      <c r="W159" s="251"/>
      <c r="X159" s="251"/>
      <c r="Y159" s="251"/>
      <c r="Z159" s="251"/>
      <c r="AA159" s="251"/>
    </row>
    <row r="160" ht="14.25" customHeight="1">
      <c r="A160" s="98" t="s">
        <v>5994</v>
      </c>
      <c r="B160" s="108"/>
      <c r="C160" s="496" t="s">
        <v>14210</v>
      </c>
      <c r="D160" s="251"/>
      <c r="E160" s="500"/>
      <c r="F160" s="137" t="s">
        <v>14211</v>
      </c>
      <c r="G160" s="365" t="s">
        <v>6002</v>
      </c>
      <c r="H160" s="137" t="s">
        <v>14212</v>
      </c>
      <c r="I160" s="497" t="s">
        <v>36</v>
      </c>
      <c r="J160" s="498" t="s">
        <v>4162</v>
      </c>
      <c r="K160" s="498" t="s">
        <v>8647</v>
      </c>
      <c r="L160" s="251"/>
      <c r="M160" s="251"/>
      <c r="N160" s="251"/>
      <c r="O160" s="251"/>
      <c r="P160" s="251"/>
      <c r="Q160" s="251"/>
      <c r="R160" s="251"/>
      <c r="S160" s="251"/>
      <c r="T160" s="251"/>
      <c r="U160" s="251"/>
      <c r="V160" s="251"/>
      <c r="W160" s="251"/>
      <c r="X160" s="251"/>
      <c r="Y160" s="251"/>
      <c r="Z160" s="251"/>
      <c r="AA160" s="251"/>
    </row>
    <row r="161" ht="14.25" customHeight="1">
      <c r="A161" s="98" t="s">
        <v>5994</v>
      </c>
      <c r="B161" s="108"/>
      <c r="C161" s="496" t="s">
        <v>14213</v>
      </c>
      <c r="D161" s="251"/>
      <c r="E161" s="500"/>
      <c r="F161" s="137" t="s">
        <v>14214</v>
      </c>
      <c r="G161" s="365" t="s">
        <v>6006</v>
      </c>
      <c r="H161" s="137" t="s">
        <v>6007</v>
      </c>
      <c r="I161" s="497" t="s">
        <v>36</v>
      </c>
      <c r="J161" s="498" t="s">
        <v>4162</v>
      </c>
      <c r="K161" s="498" t="s">
        <v>8647</v>
      </c>
      <c r="L161" s="251"/>
      <c r="M161" s="251"/>
      <c r="N161" s="251"/>
      <c r="O161" s="251"/>
      <c r="P161" s="251"/>
      <c r="Q161" s="251"/>
      <c r="R161" s="251"/>
      <c r="S161" s="251"/>
      <c r="T161" s="251"/>
      <c r="U161" s="251"/>
      <c r="V161" s="251"/>
      <c r="W161" s="251"/>
      <c r="X161" s="251"/>
      <c r="Y161" s="251"/>
      <c r="Z161" s="251"/>
      <c r="AA161" s="251"/>
    </row>
    <row r="162" ht="14.25" customHeight="1">
      <c r="A162" s="98" t="s">
        <v>5994</v>
      </c>
      <c r="B162" s="108"/>
      <c r="C162" s="496" t="s">
        <v>14215</v>
      </c>
      <c r="D162" s="251"/>
      <c r="E162" s="500"/>
      <c r="F162" s="137" t="s">
        <v>14216</v>
      </c>
      <c r="G162" s="365" t="s">
        <v>6010</v>
      </c>
      <c r="H162" s="137" t="s">
        <v>6011</v>
      </c>
      <c r="I162" s="497" t="s">
        <v>36</v>
      </c>
      <c r="J162" s="498" t="s">
        <v>4162</v>
      </c>
      <c r="K162" s="498" t="s">
        <v>8647</v>
      </c>
      <c r="L162" s="251"/>
      <c r="M162" s="251"/>
      <c r="N162" s="251"/>
      <c r="O162" s="251"/>
      <c r="P162" s="251"/>
      <c r="Q162" s="251"/>
      <c r="R162" s="251"/>
      <c r="S162" s="251"/>
      <c r="T162" s="251"/>
      <c r="U162" s="251"/>
      <c r="V162" s="251"/>
      <c r="W162" s="251"/>
      <c r="X162" s="251"/>
      <c r="Y162" s="251"/>
      <c r="Z162" s="251"/>
      <c r="AA162" s="251"/>
    </row>
    <row r="163" ht="14.25" customHeight="1">
      <c r="A163" s="98" t="s">
        <v>5994</v>
      </c>
      <c r="B163" s="108"/>
      <c r="C163" s="496" t="s">
        <v>14217</v>
      </c>
      <c r="D163" s="251"/>
      <c r="E163" s="500"/>
      <c r="F163" s="137" t="s">
        <v>14218</v>
      </c>
      <c r="G163" s="365" t="s">
        <v>6010</v>
      </c>
      <c r="H163" s="137" t="s">
        <v>6014</v>
      </c>
      <c r="I163" s="497" t="s">
        <v>36</v>
      </c>
      <c r="J163" s="498" t="s">
        <v>4162</v>
      </c>
      <c r="K163" s="498" t="s">
        <v>8647</v>
      </c>
      <c r="L163" s="251"/>
      <c r="M163" s="251"/>
      <c r="N163" s="251"/>
      <c r="O163" s="251"/>
      <c r="P163" s="251"/>
      <c r="Q163" s="251"/>
      <c r="R163" s="251"/>
      <c r="S163" s="251"/>
      <c r="T163" s="251"/>
      <c r="U163" s="251"/>
      <c r="V163" s="251"/>
      <c r="W163" s="251"/>
      <c r="X163" s="251"/>
      <c r="Y163" s="251"/>
      <c r="Z163" s="251"/>
      <c r="AA163" s="251"/>
    </row>
    <row r="164" ht="14.25" customHeight="1">
      <c r="A164" s="98" t="s">
        <v>5994</v>
      </c>
      <c r="B164" s="108"/>
      <c r="C164" s="496" t="s">
        <v>14219</v>
      </c>
      <c r="D164" s="251"/>
      <c r="E164" s="500"/>
      <c r="F164" s="137" t="s">
        <v>14220</v>
      </c>
      <c r="G164" s="365" t="s">
        <v>6017</v>
      </c>
      <c r="H164" s="137" t="s">
        <v>6018</v>
      </c>
      <c r="I164" s="497" t="s">
        <v>36</v>
      </c>
      <c r="J164" s="498" t="s">
        <v>4162</v>
      </c>
      <c r="K164" s="498" t="s">
        <v>8647</v>
      </c>
      <c r="L164" s="251"/>
      <c r="M164" s="251"/>
      <c r="N164" s="251"/>
      <c r="O164" s="251"/>
      <c r="P164" s="251"/>
      <c r="Q164" s="251"/>
      <c r="R164" s="251"/>
      <c r="S164" s="251"/>
      <c r="T164" s="251"/>
      <c r="U164" s="251"/>
      <c r="V164" s="251"/>
      <c r="W164" s="251"/>
      <c r="X164" s="251"/>
      <c r="Y164" s="251"/>
      <c r="Z164" s="251"/>
      <c r="AA164" s="251"/>
    </row>
    <row r="165" ht="14.25" customHeight="1">
      <c r="A165" s="98" t="s">
        <v>5994</v>
      </c>
      <c r="B165" s="108"/>
      <c r="C165" s="496" t="s">
        <v>14221</v>
      </c>
      <c r="D165" s="251"/>
      <c r="E165" s="500"/>
      <c r="F165" s="137" t="s">
        <v>14222</v>
      </c>
      <c r="G165" s="365" t="s">
        <v>6023</v>
      </c>
      <c r="H165" s="137" t="s">
        <v>6024</v>
      </c>
      <c r="I165" s="497" t="s">
        <v>36</v>
      </c>
      <c r="J165" s="498" t="s">
        <v>4162</v>
      </c>
      <c r="K165" s="498" t="s">
        <v>8647</v>
      </c>
      <c r="L165" s="251"/>
      <c r="M165" s="251"/>
      <c r="N165" s="251"/>
      <c r="O165" s="251"/>
      <c r="P165" s="251"/>
      <c r="Q165" s="251"/>
      <c r="R165" s="251"/>
      <c r="S165" s="251"/>
      <c r="T165" s="251"/>
      <c r="U165" s="251"/>
      <c r="V165" s="251"/>
      <c r="W165" s="251"/>
      <c r="X165" s="251"/>
      <c r="Y165" s="251"/>
      <c r="Z165" s="251"/>
      <c r="AA165" s="251"/>
    </row>
    <row r="166" ht="14.25" customHeight="1">
      <c r="A166" s="98" t="s">
        <v>5994</v>
      </c>
      <c r="B166" s="108"/>
      <c r="C166" s="496" t="s">
        <v>14223</v>
      </c>
      <c r="D166" s="251"/>
      <c r="E166" s="500"/>
      <c r="F166" s="137" t="s">
        <v>14224</v>
      </c>
      <c r="G166" s="365" t="s">
        <v>6027</v>
      </c>
      <c r="H166" s="137" t="s">
        <v>6028</v>
      </c>
      <c r="I166" s="497" t="s">
        <v>36</v>
      </c>
      <c r="J166" s="498" t="s">
        <v>4162</v>
      </c>
      <c r="K166" s="498" t="s">
        <v>8647</v>
      </c>
      <c r="L166" s="251"/>
      <c r="M166" s="251"/>
      <c r="N166" s="251"/>
      <c r="O166" s="251"/>
      <c r="P166" s="251"/>
      <c r="Q166" s="251"/>
      <c r="R166" s="251"/>
      <c r="S166" s="251"/>
      <c r="T166" s="251"/>
      <c r="U166" s="251"/>
      <c r="V166" s="251"/>
      <c r="W166" s="251"/>
      <c r="X166" s="251"/>
      <c r="Y166" s="251"/>
      <c r="Z166" s="251"/>
      <c r="AA166" s="251"/>
    </row>
    <row r="167" ht="14.25" customHeight="1">
      <c r="A167" s="98" t="s">
        <v>5994</v>
      </c>
      <c r="B167" s="108"/>
      <c r="C167" s="496" t="s">
        <v>14225</v>
      </c>
      <c r="D167" s="251"/>
      <c r="E167" s="500"/>
      <c r="F167" s="137" t="s">
        <v>14224</v>
      </c>
      <c r="G167" s="365" t="s">
        <v>6031</v>
      </c>
      <c r="H167" s="137" t="s">
        <v>6032</v>
      </c>
      <c r="I167" s="497" t="s">
        <v>36</v>
      </c>
      <c r="J167" s="498" t="s">
        <v>4162</v>
      </c>
      <c r="K167" s="498" t="s">
        <v>8647</v>
      </c>
      <c r="L167" s="251"/>
      <c r="M167" s="251"/>
      <c r="N167" s="251"/>
      <c r="O167" s="251"/>
      <c r="P167" s="251"/>
      <c r="Q167" s="251"/>
      <c r="R167" s="251"/>
      <c r="S167" s="251"/>
      <c r="T167" s="251"/>
      <c r="U167" s="251"/>
      <c r="V167" s="251"/>
      <c r="W167" s="251"/>
      <c r="X167" s="251"/>
      <c r="Y167" s="251"/>
      <c r="Z167" s="251"/>
      <c r="AA167" s="251"/>
    </row>
    <row r="168" ht="14.25" customHeight="1">
      <c r="A168" s="98" t="s">
        <v>5994</v>
      </c>
      <c r="B168" s="108"/>
      <c r="C168" s="496" t="s">
        <v>14226</v>
      </c>
      <c r="D168" s="251"/>
      <c r="E168" s="500"/>
      <c r="F168" s="137" t="s">
        <v>14227</v>
      </c>
      <c r="G168" s="365" t="s">
        <v>6062</v>
      </c>
      <c r="H168" s="137" t="s">
        <v>14207</v>
      </c>
      <c r="I168" s="497" t="s">
        <v>36</v>
      </c>
      <c r="J168" s="498" t="s">
        <v>4162</v>
      </c>
      <c r="K168" s="498" t="s">
        <v>1784</v>
      </c>
      <c r="L168" s="251"/>
      <c r="M168" s="251"/>
      <c r="N168" s="251"/>
      <c r="O168" s="251"/>
      <c r="P168" s="251"/>
      <c r="Q168" s="251"/>
      <c r="R168" s="251"/>
      <c r="S168" s="251"/>
      <c r="T168" s="251"/>
      <c r="U168" s="251"/>
      <c r="V168" s="251"/>
      <c r="W168" s="251"/>
      <c r="X168" s="251"/>
      <c r="Y168" s="251"/>
      <c r="Z168" s="251"/>
      <c r="AA168" s="251"/>
    </row>
    <row r="169" ht="14.25" customHeight="1">
      <c r="A169" s="98" t="s">
        <v>5994</v>
      </c>
      <c r="B169" s="108"/>
      <c r="C169" s="496" t="s">
        <v>14228</v>
      </c>
      <c r="D169" s="251"/>
      <c r="E169" s="500"/>
      <c r="F169" s="137" t="s">
        <v>14227</v>
      </c>
      <c r="G169" s="365" t="s">
        <v>6039</v>
      </c>
      <c r="H169" s="137" t="s">
        <v>6040</v>
      </c>
      <c r="I169" s="497" t="s">
        <v>36</v>
      </c>
      <c r="J169" s="498" t="s">
        <v>4162</v>
      </c>
      <c r="K169" s="498" t="s">
        <v>1784</v>
      </c>
      <c r="L169" s="251"/>
      <c r="M169" s="251"/>
      <c r="N169" s="251"/>
      <c r="O169" s="251"/>
      <c r="P169" s="251"/>
      <c r="Q169" s="251"/>
      <c r="R169" s="251"/>
      <c r="S169" s="251"/>
      <c r="T169" s="251"/>
      <c r="U169" s="251"/>
      <c r="V169" s="251"/>
      <c r="W169" s="251"/>
      <c r="X169" s="251"/>
      <c r="Y169" s="251"/>
      <c r="Z169" s="251"/>
      <c r="AA169" s="251"/>
    </row>
    <row r="170" ht="14.25" customHeight="1">
      <c r="A170" s="98" t="s">
        <v>5994</v>
      </c>
      <c r="B170" s="108"/>
      <c r="C170" s="496" t="s">
        <v>14229</v>
      </c>
      <c r="D170" s="251"/>
      <c r="E170" s="500"/>
      <c r="F170" s="137" t="s">
        <v>14230</v>
      </c>
      <c r="G170" s="365" t="s">
        <v>6002</v>
      </c>
      <c r="H170" s="137" t="s">
        <v>14212</v>
      </c>
      <c r="I170" s="497" t="s">
        <v>36</v>
      </c>
      <c r="J170" s="498" t="s">
        <v>4162</v>
      </c>
      <c r="K170" s="498" t="s">
        <v>1784</v>
      </c>
      <c r="L170" s="251"/>
      <c r="M170" s="251"/>
      <c r="N170" s="251"/>
      <c r="O170" s="251"/>
      <c r="P170" s="251"/>
      <c r="Q170" s="251"/>
      <c r="R170" s="251"/>
      <c r="S170" s="251"/>
      <c r="T170" s="251"/>
      <c r="U170" s="251"/>
      <c r="V170" s="251"/>
      <c r="W170" s="251"/>
      <c r="X170" s="251"/>
      <c r="Y170" s="251"/>
      <c r="Z170" s="251"/>
      <c r="AA170" s="251"/>
    </row>
    <row r="171" ht="14.25" customHeight="1">
      <c r="A171" s="98" t="s">
        <v>5994</v>
      </c>
      <c r="B171" s="108"/>
      <c r="C171" s="496" t="s">
        <v>14231</v>
      </c>
      <c r="D171" s="251"/>
      <c r="E171" s="500"/>
      <c r="F171" s="137" t="s">
        <v>14232</v>
      </c>
      <c r="G171" s="365" t="s">
        <v>6006</v>
      </c>
      <c r="H171" s="137" t="s">
        <v>14233</v>
      </c>
      <c r="I171" s="497" t="s">
        <v>36</v>
      </c>
      <c r="J171" s="498" t="s">
        <v>4162</v>
      </c>
      <c r="K171" s="498" t="s">
        <v>1784</v>
      </c>
      <c r="L171" s="251"/>
      <c r="M171" s="251"/>
      <c r="N171" s="251"/>
      <c r="O171" s="251"/>
      <c r="P171" s="251"/>
      <c r="Q171" s="251"/>
      <c r="R171" s="251"/>
      <c r="S171" s="251"/>
      <c r="T171" s="251"/>
      <c r="U171" s="251"/>
      <c r="V171" s="251"/>
      <c r="W171" s="251"/>
      <c r="X171" s="251"/>
      <c r="Y171" s="251"/>
      <c r="Z171" s="251"/>
      <c r="AA171" s="251"/>
    </row>
    <row r="172" ht="14.25" customHeight="1">
      <c r="A172" s="98" t="s">
        <v>5994</v>
      </c>
      <c r="B172" s="108"/>
      <c r="C172" s="496" t="s">
        <v>14234</v>
      </c>
      <c r="D172" s="251"/>
      <c r="E172" s="500"/>
      <c r="F172" s="137" t="s">
        <v>14235</v>
      </c>
      <c r="G172" s="365" t="s">
        <v>6010</v>
      </c>
      <c r="H172" s="137" t="s">
        <v>6011</v>
      </c>
      <c r="I172" s="497" t="s">
        <v>36</v>
      </c>
      <c r="J172" s="498" t="s">
        <v>4162</v>
      </c>
      <c r="K172" s="498" t="s">
        <v>1784</v>
      </c>
      <c r="L172" s="251"/>
      <c r="M172" s="251"/>
      <c r="N172" s="251"/>
      <c r="O172" s="251"/>
      <c r="P172" s="251"/>
      <c r="Q172" s="251"/>
      <c r="R172" s="251"/>
      <c r="S172" s="251"/>
      <c r="T172" s="251"/>
      <c r="U172" s="251"/>
      <c r="V172" s="251"/>
      <c r="W172" s="251"/>
      <c r="X172" s="251"/>
      <c r="Y172" s="251"/>
      <c r="Z172" s="251"/>
      <c r="AA172" s="251"/>
    </row>
    <row r="173" ht="14.25" customHeight="1">
      <c r="A173" s="98" t="s">
        <v>5994</v>
      </c>
      <c r="B173" s="108"/>
      <c r="C173" s="496" t="s">
        <v>14236</v>
      </c>
      <c r="D173" s="251"/>
      <c r="E173" s="500"/>
      <c r="F173" s="137" t="s">
        <v>14237</v>
      </c>
      <c r="G173" s="365" t="s">
        <v>6010</v>
      </c>
      <c r="H173" s="137" t="s">
        <v>6014</v>
      </c>
      <c r="I173" s="497" t="s">
        <v>36</v>
      </c>
      <c r="J173" s="498" t="s">
        <v>4162</v>
      </c>
      <c r="K173" s="498" t="s">
        <v>1784</v>
      </c>
      <c r="L173" s="251"/>
      <c r="M173" s="251"/>
      <c r="N173" s="251"/>
      <c r="O173" s="251"/>
      <c r="P173" s="251"/>
      <c r="Q173" s="251"/>
      <c r="R173" s="251"/>
      <c r="S173" s="251"/>
      <c r="T173" s="251"/>
      <c r="U173" s="251"/>
      <c r="V173" s="251"/>
      <c r="W173" s="251"/>
      <c r="X173" s="251"/>
      <c r="Y173" s="251"/>
      <c r="Z173" s="251"/>
      <c r="AA173" s="251"/>
    </row>
    <row r="174" ht="14.25" customHeight="1">
      <c r="A174" s="98" t="s">
        <v>5994</v>
      </c>
      <c r="B174" s="108"/>
      <c r="C174" s="496" t="s">
        <v>14238</v>
      </c>
      <c r="D174" s="251"/>
      <c r="E174" s="500"/>
      <c r="F174" s="137" t="s">
        <v>14239</v>
      </c>
      <c r="G174" s="365" t="s">
        <v>6017</v>
      </c>
      <c r="H174" s="137" t="s">
        <v>6018</v>
      </c>
      <c r="I174" s="497" t="s">
        <v>36</v>
      </c>
      <c r="J174" s="498" t="s">
        <v>4162</v>
      </c>
      <c r="K174" s="498" t="s">
        <v>1784</v>
      </c>
      <c r="L174" s="251"/>
      <c r="M174" s="251"/>
      <c r="N174" s="251"/>
      <c r="O174" s="251"/>
      <c r="P174" s="251"/>
      <c r="Q174" s="251"/>
      <c r="R174" s="251"/>
      <c r="S174" s="251"/>
      <c r="T174" s="251"/>
      <c r="U174" s="251"/>
      <c r="V174" s="251"/>
      <c r="W174" s="251"/>
      <c r="X174" s="251"/>
      <c r="Y174" s="251"/>
      <c r="Z174" s="251"/>
      <c r="AA174" s="251"/>
    </row>
    <row r="175" ht="14.25" customHeight="1">
      <c r="A175" s="98" t="s">
        <v>5994</v>
      </c>
      <c r="B175" s="108"/>
      <c r="C175" s="496" t="s">
        <v>14240</v>
      </c>
      <c r="D175" s="251"/>
      <c r="E175" s="500"/>
      <c r="F175" s="137" t="s">
        <v>14239</v>
      </c>
      <c r="G175" s="365" t="s">
        <v>6023</v>
      </c>
      <c r="H175" s="137" t="s">
        <v>6024</v>
      </c>
      <c r="I175" s="497" t="s">
        <v>36</v>
      </c>
      <c r="J175" s="498" t="s">
        <v>4162</v>
      </c>
      <c r="K175" s="498" t="s">
        <v>1784</v>
      </c>
      <c r="L175" s="251"/>
      <c r="M175" s="251"/>
      <c r="N175" s="251"/>
      <c r="O175" s="251"/>
      <c r="P175" s="251"/>
      <c r="Q175" s="251"/>
      <c r="R175" s="251"/>
      <c r="S175" s="251"/>
      <c r="T175" s="251"/>
      <c r="U175" s="251"/>
      <c r="V175" s="251"/>
      <c r="W175" s="251"/>
      <c r="X175" s="251"/>
      <c r="Y175" s="251"/>
      <c r="Z175" s="251"/>
      <c r="AA175" s="251"/>
    </row>
    <row r="176" ht="14.25" customHeight="1">
      <c r="A176" s="98" t="s">
        <v>5994</v>
      </c>
      <c r="B176" s="108"/>
      <c r="C176" s="496" t="s">
        <v>14241</v>
      </c>
      <c r="D176" s="251"/>
      <c r="E176" s="500"/>
      <c r="F176" s="137" t="s">
        <v>14242</v>
      </c>
      <c r="G176" s="365" t="s">
        <v>6027</v>
      </c>
      <c r="H176" s="137" t="s">
        <v>6028</v>
      </c>
      <c r="I176" s="497" t="s">
        <v>36</v>
      </c>
      <c r="J176" s="498" t="s">
        <v>4162</v>
      </c>
      <c r="K176" s="498" t="s">
        <v>1784</v>
      </c>
      <c r="L176" s="251"/>
      <c r="M176" s="251"/>
      <c r="N176" s="251"/>
      <c r="O176" s="251"/>
      <c r="P176" s="251"/>
      <c r="Q176" s="251"/>
      <c r="R176" s="251"/>
      <c r="S176" s="251"/>
      <c r="T176" s="251"/>
      <c r="U176" s="251"/>
      <c r="V176" s="251"/>
      <c r="W176" s="251"/>
      <c r="X176" s="251"/>
      <c r="Y176" s="251"/>
      <c r="Z176" s="251"/>
      <c r="AA176" s="251"/>
    </row>
    <row r="177" ht="14.25" customHeight="1">
      <c r="A177" s="98" t="s">
        <v>5994</v>
      </c>
      <c r="B177" s="108"/>
      <c r="C177" s="496" t="s">
        <v>14243</v>
      </c>
      <c r="D177" s="251"/>
      <c r="E177" s="500"/>
      <c r="F177" s="137" t="s">
        <v>14242</v>
      </c>
      <c r="G177" s="365" t="s">
        <v>6031</v>
      </c>
      <c r="H177" s="137" t="s">
        <v>6032</v>
      </c>
      <c r="I177" s="497" t="s">
        <v>36</v>
      </c>
      <c r="J177" s="498" t="s">
        <v>4162</v>
      </c>
      <c r="K177" s="498" t="s">
        <v>1784</v>
      </c>
      <c r="L177" s="251"/>
      <c r="M177" s="251"/>
      <c r="N177" s="251"/>
      <c r="O177" s="251"/>
      <c r="P177" s="251"/>
      <c r="Q177" s="251"/>
      <c r="R177" s="251"/>
      <c r="S177" s="251"/>
      <c r="T177" s="251"/>
      <c r="U177" s="251"/>
      <c r="V177" s="251"/>
      <c r="W177" s="251"/>
      <c r="X177" s="251"/>
      <c r="Y177" s="251"/>
      <c r="Z177" s="251"/>
      <c r="AA177" s="251"/>
    </row>
    <row r="178" ht="14.25" customHeight="1">
      <c r="A178" s="98" t="s">
        <v>5994</v>
      </c>
      <c r="B178" s="108"/>
      <c r="C178" s="496" t="s">
        <v>14244</v>
      </c>
      <c r="D178" s="251"/>
      <c r="E178" s="500"/>
      <c r="F178" s="137" t="s">
        <v>14245</v>
      </c>
      <c r="G178" s="365" t="s">
        <v>6062</v>
      </c>
      <c r="H178" s="137" t="s">
        <v>6036</v>
      </c>
      <c r="I178" s="497" t="s">
        <v>36</v>
      </c>
      <c r="J178" s="498" t="s">
        <v>4162</v>
      </c>
      <c r="K178" s="498" t="s">
        <v>1784</v>
      </c>
      <c r="L178" s="251"/>
      <c r="M178" s="251"/>
      <c r="N178" s="251"/>
      <c r="O178" s="251"/>
      <c r="P178" s="251"/>
      <c r="Q178" s="251"/>
      <c r="R178" s="251"/>
      <c r="S178" s="251"/>
      <c r="T178" s="251"/>
      <c r="U178" s="251"/>
      <c r="V178" s="251"/>
      <c r="W178" s="251"/>
      <c r="X178" s="251"/>
      <c r="Y178" s="251"/>
      <c r="Z178" s="251"/>
      <c r="AA178" s="251"/>
    </row>
    <row r="179" ht="14.25" customHeight="1">
      <c r="A179" s="98" t="s">
        <v>5994</v>
      </c>
      <c r="B179" s="108"/>
      <c r="C179" s="496" t="s">
        <v>14246</v>
      </c>
      <c r="D179" s="251"/>
      <c r="E179" s="500"/>
      <c r="F179" s="137" t="s">
        <v>6038</v>
      </c>
      <c r="G179" s="365" t="s">
        <v>6039</v>
      </c>
      <c r="H179" s="137" t="s">
        <v>6040</v>
      </c>
      <c r="I179" s="497" t="s">
        <v>36</v>
      </c>
      <c r="J179" s="498" t="s">
        <v>4162</v>
      </c>
      <c r="K179" s="498" t="s">
        <v>1784</v>
      </c>
      <c r="L179" s="251"/>
      <c r="M179" s="251"/>
      <c r="N179" s="251"/>
      <c r="O179" s="251"/>
      <c r="P179" s="251"/>
      <c r="Q179" s="251"/>
      <c r="R179" s="251"/>
      <c r="S179" s="251"/>
      <c r="T179" s="251"/>
      <c r="U179" s="251"/>
      <c r="V179" s="251"/>
      <c r="W179" s="251"/>
      <c r="X179" s="251"/>
      <c r="Y179" s="251"/>
      <c r="Z179" s="251"/>
      <c r="AA179" s="251"/>
    </row>
    <row r="180" ht="14.25" customHeight="1">
      <c r="A180" s="98" t="s">
        <v>5994</v>
      </c>
      <c r="B180" s="108"/>
      <c r="C180" s="496" t="s">
        <v>14247</v>
      </c>
      <c r="D180" s="251"/>
      <c r="E180" s="500"/>
      <c r="F180" s="137" t="s">
        <v>6042</v>
      </c>
      <c r="G180" s="365" t="s">
        <v>6002</v>
      </c>
      <c r="H180" s="137" t="s">
        <v>6044</v>
      </c>
      <c r="I180" s="497" t="s">
        <v>36</v>
      </c>
      <c r="J180" s="498" t="s">
        <v>4162</v>
      </c>
      <c r="K180" s="498" t="s">
        <v>1784</v>
      </c>
      <c r="L180" s="251"/>
      <c r="M180" s="251"/>
      <c r="N180" s="251"/>
      <c r="O180" s="251"/>
      <c r="P180" s="251"/>
      <c r="Q180" s="251"/>
      <c r="R180" s="251"/>
      <c r="S180" s="251"/>
      <c r="T180" s="251"/>
      <c r="U180" s="251"/>
      <c r="V180" s="251"/>
      <c r="W180" s="251"/>
      <c r="X180" s="251"/>
      <c r="Y180" s="251"/>
      <c r="Z180" s="251"/>
      <c r="AA180" s="251"/>
    </row>
    <row r="181" ht="14.25" customHeight="1">
      <c r="A181" s="98" t="s">
        <v>5994</v>
      </c>
      <c r="B181" s="108"/>
      <c r="C181" s="496" t="s">
        <v>14248</v>
      </c>
      <c r="D181" s="251"/>
      <c r="E181" s="500"/>
      <c r="F181" s="137" t="s">
        <v>6046</v>
      </c>
      <c r="G181" s="365" t="s">
        <v>6006</v>
      </c>
      <c r="H181" s="137" t="s">
        <v>6007</v>
      </c>
      <c r="I181" s="497" t="s">
        <v>36</v>
      </c>
      <c r="J181" s="498" t="s">
        <v>4162</v>
      </c>
      <c r="K181" s="498" t="s">
        <v>1784</v>
      </c>
      <c r="L181" s="251"/>
      <c r="M181" s="251"/>
      <c r="N181" s="251"/>
      <c r="O181" s="251"/>
      <c r="P181" s="251"/>
      <c r="Q181" s="251"/>
      <c r="R181" s="251"/>
      <c r="S181" s="251"/>
      <c r="T181" s="251"/>
      <c r="U181" s="251"/>
      <c r="V181" s="251"/>
      <c r="W181" s="251"/>
      <c r="X181" s="251"/>
      <c r="Y181" s="251"/>
      <c r="Z181" s="251"/>
      <c r="AA181" s="251"/>
    </row>
    <row r="182" ht="14.25" customHeight="1">
      <c r="A182" s="98" t="s">
        <v>5994</v>
      </c>
      <c r="B182" s="108"/>
      <c r="C182" s="496" t="s">
        <v>14249</v>
      </c>
      <c r="D182" s="251"/>
      <c r="E182" s="500"/>
      <c r="F182" s="137" t="s">
        <v>6048</v>
      </c>
      <c r="G182" s="365" t="s">
        <v>6010</v>
      </c>
      <c r="H182" s="137" t="s">
        <v>6011</v>
      </c>
      <c r="I182" s="497" t="s">
        <v>36</v>
      </c>
      <c r="J182" s="498" t="s">
        <v>4162</v>
      </c>
      <c r="K182" s="498" t="s">
        <v>1784</v>
      </c>
      <c r="L182" s="251"/>
      <c r="M182" s="251"/>
      <c r="N182" s="251"/>
      <c r="O182" s="251"/>
      <c r="P182" s="251"/>
      <c r="Q182" s="251"/>
      <c r="R182" s="251"/>
      <c r="S182" s="251"/>
      <c r="T182" s="251"/>
      <c r="U182" s="251"/>
      <c r="V182" s="251"/>
      <c r="W182" s="251"/>
      <c r="X182" s="251"/>
      <c r="Y182" s="251"/>
      <c r="Z182" s="251"/>
      <c r="AA182" s="251"/>
    </row>
    <row r="183" ht="14.25" customHeight="1">
      <c r="A183" s="98" t="s">
        <v>5994</v>
      </c>
      <c r="B183" s="108"/>
      <c r="C183" s="496" t="s">
        <v>14250</v>
      </c>
      <c r="D183" s="251"/>
      <c r="E183" s="500"/>
      <c r="F183" s="137" t="s">
        <v>6050</v>
      </c>
      <c r="G183" s="365" t="s">
        <v>6010</v>
      </c>
      <c r="H183" s="137" t="s">
        <v>6014</v>
      </c>
      <c r="I183" s="497" t="s">
        <v>36</v>
      </c>
      <c r="J183" s="498" t="s">
        <v>4162</v>
      </c>
      <c r="K183" s="498" t="s">
        <v>1784</v>
      </c>
      <c r="L183" s="251"/>
      <c r="M183" s="251"/>
      <c r="N183" s="251"/>
      <c r="O183" s="251"/>
      <c r="P183" s="251"/>
      <c r="Q183" s="251"/>
      <c r="R183" s="251"/>
      <c r="S183" s="251"/>
      <c r="T183" s="251"/>
      <c r="U183" s="251"/>
      <c r="V183" s="251"/>
      <c r="W183" s="251"/>
      <c r="X183" s="251"/>
      <c r="Y183" s="251"/>
      <c r="Z183" s="251"/>
      <c r="AA183" s="251"/>
    </row>
    <row r="184" ht="14.25" customHeight="1">
      <c r="A184" s="98" t="s">
        <v>5994</v>
      </c>
      <c r="B184" s="108"/>
      <c r="C184" s="496" t="s">
        <v>14251</v>
      </c>
      <c r="D184" s="251"/>
      <c r="E184" s="500"/>
      <c r="F184" s="137" t="s">
        <v>6052</v>
      </c>
      <c r="G184" s="365" t="s">
        <v>6017</v>
      </c>
      <c r="H184" s="137" t="s">
        <v>14252</v>
      </c>
      <c r="I184" s="497" t="s">
        <v>36</v>
      </c>
      <c r="J184" s="498" t="s">
        <v>4162</v>
      </c>
      <c r="K184" s="498" t="s">
        <v>1784</v>
      </c>
      <c r="L184" s="251"/>
      <c r="M184" s="251"/>
      <c r="N184" s="251"/>
      <c r="O184" s="251"/>
      <c r="P184" s="251"/>
      <c r="Q184" s="251"/>
      <c r="R184" s="251"/>
      <c r="S184" s="251"/>
      <c r="T184" s="251"/>
      <c r="U184" s="251"/>
      <c r="V184" s="251"/>
      <c r="W184" s="251"/>
      <c r="X184" s="251"/>
      <c r="Y184" s="251"/>
      <c r="Z184" s="251"/>
      <c r="AA184" s="251"/>
    </row>
    <row r="185" ht="14.25" customHeight="1">
      <c r="A185" s="98" t="s">
        <v>5994</v>
      </c>
      <c r="B185" s="108"/>
      <c r="C185" s="496" t="s">
        <v>14253</v>
      </c>
      <c r="D185" s="251"/>
      <c r="E185" s="500"/>
      <c r="F185" s="137" t="s">
        <v>6052</v>
      </c>
      <c r="G185" s="365" t="s">
        <v>6023</v>
      </c>
      <c r="H185" s="137" t="s">
        <v>6024</v>
      </c>
      <c r="I185" s="497" t="s">
        <v>36</v>
      </c>
      <c r="J185" s="498" t="s">
        <v>4162</v>
      </c>
      <c r="K185" s="498" t="s">
        <v>1784</v>
      </c>
      <c r="L185" s="251"/>
      <c r="M185" s="251"/>
      <c r="N185" s="251"/>
      <c r="O185" s="251"/>
      <c r="P185" s="251"/>
      <c r="Q185" s="251"/>
      <c r="R185" s="251"/>
      <c r="S185" s="251"/>
      <c r="T185" s="251"/>
      <c r="U185" s="251"/>
      <c r="V185" s="251"/>
      <c r="W185" s="251"/>
      <c r="X185" s="251"/>
      <c r="Y185" s="251"/>
      <c r="Z185" s="251"/>
      <c r="AA185" s="251"/>
    </row>
    <row r="186" ht="14.25" customHeight="1">
      <c r="A186" s="98" t="s">
        <v>5994</v>
      </c>
      <c r="B186" s="108"/>
      <c r="C186" s="496" t="s">
        <v>14254</v>
      </c>
      <c r="D186" s="251"/>
      <c r="E186" s="500"/>
      <c r="F186" s="137" t="s">
        <v>6056</v>
      </c>
      <c r="G186" s="365" t="s">
        <v>6027</v>
      </c>
      <c r="H186" s="137" t="s">
        <v>6028</v>
      </c>
      <c r="I186" s="497" t="s">
        <v>36</v>
      </c>
      <c r="J186" s="498" t="s">
        <v>4162</v>
      </c>
      <c r="K186" s="498" t="s">
        <v>1784</v>
      </c>
      <c r="L186" s="251"/>
      <c r="M186" s="251"/>
      <c r="N186" s="251"/>
      <c r="O186" s="251"/>
      <c r="P186" s="251"/>
      <c r="Q186" s="251"/>
      <c r="R186" s="251"/>
      <c r="S186" s="251"/>
      <c r="T186" s="251"/>
      <c r="U186" s="251"/>
      <c r="V186" s="251"/>
      <c r="W186" s="251"/>
      <c r="X186" s="251"/>
      <c r="Y186" s="251"/>
      <c r="Z186" s="251"/>
      <c r="AA186" s="251"/>
    </row>
    <row r="187" ht="14.25" customHeight="1">
      <c r="A187" s="98" t="s">
        <v>5994</v>
      </c>
      <c r="B187" s="108"/>
      <c r="C187" s="496" t="s">
        <v>14255</v>
      </c>
      <c r="D187" s="251"/>
      <c r="E187" s="502" t="s">
        <v>14204</v>
      </c>
      <c r="F187" s="137" t="s">
        <v>6056</v>
      </c>
      <c r="G187" s="137" t="s">
        <v>6031</v>
      </c>
      <c r="H187" s="137" t="s">
        <v>6032</v>
      </c>
      <c r="I187" s="497" t="s">
        <v>36</v>
      </c>
      <c r="J187" s="498" t="s">
        <v>4162</v>
      </c>
      <c r="K187" s="498" t="s">
        <v>1784</v>
      </c>
      <c r="L187" s="251"/>
      <c r="M187" s="251"/>
      <c r="N187" s="251"/>
      <c r="O187" s="251"/>
      <c r="P187" s="251"/>
      <c r="Q187" s="251"/>
      <c r="R187" s="251"/>
      <c r="S187" s="251"/>
      <c r="T187" s="251"/>
      <c r="U187" s="251"/>
      <c r="V187" s="251"/>
      <c r="W187" s="251"/>
      <c r="X187" s="251"/>
      <c r="Y187" s="251"/>
      <c r="Z187" s="251"/>
      <c r="AA187" s="251"/>
    </row>
    <row r="188" ht="14.25" customHeight="1">
      <c r="A188" s="98" t="s">
        <v>5994</v>
      </c>
      <c r="B188" s="108"/>
      <c r="C188" s="496" t="s">
        <v>14256</v>
      </c>
      <c r="D188" s="251"/>
      <c r="E188" s="502" t="s">
        <v>14204</v>
      </c>
      <c r="F188" s="137" t="s">
        <v>14257</v>
      </c>
      <c r="G188" s="137" t="s">
        <v>6062</v>
      </c>
      <c r="H188" s="137" t="s">
        <v>6036</v>
      </c>
      <c r="I188" s="497" t="s">
        <v>36</v>
      </c>
      <c r="J188" s="498" t="s">
        <v>4162</v>
      </c>
      <c r="K188" s="498" t="s">
        <v>1784</v>
      </c>
      <c r="L188" s="251"/>
      <c r="M188" s="251"/>
      <c r="N188" s="251"/>
      <c r="O188" s="251"/>
      <c r="P188" s="251"/>
      <c r="Q188" s="251"/>
      <c r="R188" s="251"/>
      <c r="S188" s="251"/>
      <c r="T188" s="251"/>
      <c r="U188" s="251"/>
      <c r="V188" s="251"/>
      <c r="W188" s="251"/>
      <c r="X188" s="251"/>
      <c r="Y188" s="251"/>
      <c r="Z188" s="251"/>
      <c r="AA188" s="251"/>
    </row>
    <row r="189" ht="14.25" customHeight="1">
      <c r="A189" s="98" t="s">
        <v>5994</v>
      </c>
      <c r="B189" s="108"/>
      <c r="C189" s="496" t="s">
        <v>14258</v>
      </c>
      <c r="D189" s="251"/>
      <c r="E189" s="502" t="s">
        <v>14204</v>
      </c>
      <c r="F189" s="137" t="s">
        <v>14257</v>
      </c>
      <c r="G189" s="137" t="s">
        <v>6039</v>
      </c>
      <c r="H189" s="137" t="s">
        <v>6040</v>
      </c>
      <c r="I189" s="497" t="s">
        <v>36</v>
      </c>
      <c r="J189" s="498" t="s">
        <v>4162</v>
      </c>
      <c r="K189" s="498" t="s">
        <v>1784</v>
      </c>
      <c r="L189" s="251"/>
      <c r="M189" s="251"/>
      <c r="N189" s="251"/>
      <c r="O189" s="251"/>
      <c r="P189" s="251"/>
      <c r="Q189" s="251"/>
      <c r="R189" s="251"/>
      <c r="S189" s="251"/>
      <c r="T189" s="251"/>
      <c r="U189" s="251"/>
      <c r="V189" s="251"/>
      <c r="W189" s="251"/>
      <c r="X189" s="251"/>
      <c r="Y189" s="251"/>
      <c r="Z189" s="251"/>
      <c r="AA189" s="251"/>
    </row>
    <row r="190" ht="14.25" customHeight="1">
      <c r="A190" s="98" t="s">
        <v>5994</v>
      </c>
      <c r="B190" s="108"/>
      <c r="C190" s="496" t="s">
        <v>14259</v>
      </c>
      <c r="D190" s="251"/>
      <c r="E190" s="502" t="s">
        <v>14204</v>
      </c>
      <c r="F190" s="137" t="s">
        <v>14260</v>
      </c>
      <c r="G190" s="137" t="s">
        <v>6062</v>
      </c>
      <c r="H190" s="137" t="s">
        <v>6036</v>
      </c>
      <c r="I190" s="497" t="s">
        <v>36</v>
      </c>
      <c r="J190" s="498" t="s">
        <v>4162</v>
      </c>
      <c r="K190" s="498" t="s">
        <v>1784</v>
      </c>
      <c r="L190" s="251"/>
      <c r="M190" s="251"/>
      <c r="N190" s="251"/>
      <c r="O190" s="251"/>
      <c r="P190" s="251"/>
      <c r="Q190" s="251"/>
      <c r="R190" s="251"/>
      <c r="S190" s="251"/>
      <c r="T190" s="251"/>
      <c r="U190" s="251"/>
      <c r="V190" s="251"/>
      <c r="W190" s="251"/>
      <c r="X190" s="251"/>
      <c r="Y190" s="251"/>
      <c r="Z190" s="251"/>
      <c r="AA190" s="251"/>
    </row>
    <row r="191" ht="14.25" customHeight="1">
      <c r="A191" s="98" t="s">
        <v>5994</v>
      </c>
      <c r="B191" s="108"/>
      <c r="C191" s="496" t="s">
        <v>14261</v>
      </c>
      <c r="D191" s="251"/>
      <c r="E191" s="502" t="s">
        <v>14204</v>
      </c>
      <c r="F191" s="137" t="s">
        <v>14260</v>
      </c>
      <c r="G191" s="137" t="s">
        <v>6039</v>
      </c>
      <c r="H191" s="137" t="s">
        <v>6040</v>
      </c>
      <c r="I191" s="497" t="s">
        <v>36</v>
      </c>
      <c r="J191" s="498" t="s">
        <v>4162</v>
      </c>
      <c r="K191" s="498" t="s">
        <v>1784</v>
      </c>
      <c r="L191" s="251"/>
      <c r="M191" s="251"/>
      <c r="N191" s="251"/>
      <c r="O191" s="251"/>
      <c r="P191" s="251"/>
      <c r="Q191" s="251"/>
      <c r="R191" s="251"/>
      <c r="S191" s="251"/>
      <c r="T191" s="251"/>
      <c r="U191" s="251"/>
      <c r="V191" s="251"/>
      <c r="W191" s="251"/>
      <c r="X191" s="251"/>
      <c r="Y191" s="251"/>
      <c r="Z191" s="251"/>
      <c r="AA191" s="251"/>
    </row>
    <row r="192" ht="14.25" customHeight="1">
      <c r="A192" s="98" t="s">
        <v>5994</v>
      </c>
      <c r="B192" s="108"/>
      <c r="C192" s="496" t="s">
        <v>14262</v>
      </c>
      <c r="D192" s="251"/>
      <c r="E192" s="502" t="s">
        <v>14204</v>
      </c>
      <c r="F192" s="137" t="s">
        <v>14263</v>
      </c>
      <c r="G192" s="137" t="s">
        <v>6062</v>
      </c>
      <c r="H192" s="137" t="s">
        <v>6036</v>
      </c>
      <c r="I192" s="497" t="s">
        <v>36</v>
      </c>
      <c r="J192" s="498" t="s">
        <v>4162</v>
      </c>
      <c r="K192" s="498" t="s">
        <v>1784</v>
      </c>
      <c r="L192" s="251"/>
      <c r="M192" s="251"/>
      <c r="N192" s="251"/>
      <c r="O192" s="251"/>
      <c r="P192" s="251"/>
      <c r="Q192" s="251"/>
      <c r="R192" s="251"/>
      <c r="S192" s="251"/>
      <c r="T192" s="251"/>
      <c r="U192" s="251"/>
      <c r="V192" s="251"/>
      <c r="W192" s="251"/>
      <c r="X192" s="251"/>
      <c r="Y192" s="251"/>
      <c r="Z192" s="251"/>
      <c r="AA192" s="251"/>
    </row>
    <row r="193" ht="14.25" customHeight="1">
      <c r="A193" s="98" t="s">
        <v>5994</v>
      </c>
      <c r="B193" s="108"/>
      <c r="C193" s="496" t="s">
        <v>14264</v>
      </c>
      <c r="D193" s="251"/>
      <c r="E193" s="502" t="s">
        <v>14204</v>
      </c>
      <c r="F193" s="137" t="s">
        <v>14263</v>
      </c>
      <c r="G193" s="137" t="s">
        <v>6039</v>
      </c>
      <c r="H193" s="137" t="s">
        <v>6040</v>
      </c>
      <c r="I193" s="497" t="s">
        <v>36</v>
      </c>
      <c r="J193" s="498" t="s">
        <v>4162</v>
      </c>
      <c r="K193" s="498" t="s">
        <v>1784</v>
      </c>
      <c r="L193" s="251"/>
      <c r="M193" s="251"/>
      <c r="N193" s="251"/>
      <c r="O193" s="251"/>
      <c r="P193" s="251"/>
      <c r="Q193" s="251"/>
      <c r="R193" s="251"/>
      <c r="S193" s="251"/>
      <c r="T193" s="251"/>
      <c r="U193" s="251"/>
      <c r="V193" s="251"/>
      <c r="W193" s="251"/>
      <c r="X193" s="251"/>
      <c r="Y193" s="251"/>
      <c r="Z193" s="251"/>
      <c r="AA193" s="251"/>
    </row>
    <row r="194" ht="14.25" customHeight="1">
      <c r="A194" s="98" t="s">
        <v>5994</v>
      </c>
      <c r="B194" s="108"/>
      <c r="C194" s="496" t="s">
        <v>14265</v>
      </c>
      <c r="D194" s="251"/>
      <c r="E194" s="502" t="s">
        <v>14204</v>
      </c>
      <c r="F194" s="137" t="s">
        <v>14266</v>
      </c>
      <c r="G194" s="137" t="s">
        <v>6070</v>
      </c>
      <c r="H194" s="137" t="s">
        <v>6071</v>
      </c>
      <c r="I194" s="497" t="s">
        <v>36</v>
      </c>
      <c r="J194" s="498" t="s">
        <v>4162</v>
      </c>
      <c r="K194" s="498" t="s">
        <v>1784</v>
      </c>
      <c r="L194" s="251"/>
      <c r="M194" s="251"/>
      <c r="N194" s="251"/>
      <c r="O194" s="251"/>
      <c r="P194" s="251"/>
      <c r="Q194" s="251"/>
      <c r="R194" s="251"/>
      <c r="S194" s="251"/>
      <c r="T194" s="251"/>
      <c r="U194" s="251"/>
      <c r="V194" s="251"/>
      <c r="W194" s="251"/>
      <c r="X194" s="251"/>
      <c r="Y194" s="251"/>
      <c r="Z194" s="251"/>
      <c r="AA194" s="251"/>
    </row>
    <row r="195" ht="14.25" customHeight="1">
      <c r="A195" s="98" t="s">
        <v>5994</v>
      </c>
      <c r="B195" s="108"/>
      <c r="C195" s="496" t="s">
        <v>14267</v>
      </c>
      <c r="D195" s="251"/>
      <c r="E195" s="502" t="s">
        <v>14204</v>
      </c>
      <c r="F195" s="137" t="s">
        <v>14266</v>
      </c>
      <c r="G195" s="137" t="s">
        <v>6073</v>
      </c>
      <c r="H195" s="137" t="s">
        <v>6074</v>
      </c>
      <c r="I195" s="497" t="s">
        <v>36</v>
      </c>
      <c r="J195" s="498" t="s">
        <v>4162</v>
      </c>
      <c r="K195" s="498" t="s">
        <v>1784</v>
      </c>
      <c r="L195" s="251"/>
      <c r="M195" s="251"/>
      <c r="N195" s="251"/>
      <c r="O195" s="251"/>
      <c r="P195" s="251"/>
      <c r="Q195" s="251"/>
      <c r="R195" s="251"/>
      <c r="S195" s="251"/>
      <c r="T195" s="251"/>
      <c r="U195" s="251"/>
      <c r="V195" s="251"/>
      <c r="W195" s="251"/>
      <c r="X195" s="251"/>
      <c r="Y195" s="251"/>
      <c r="Z195" s="251"/>
      <c r="AA195" s="251"/>
    </row>
    <row r="196" ht="14.25" customHeight="1">
      <c r="A196" s="98" t="s">
        <v>5994</v>
      </c>
      <c r="B196" s="108"/>
      <c r="C196" s="496" t="s">
        <v>14268</v>
      </c>
      <c r="D196" s="251"/>
      <c r="E196" s="502" t="s">
        <v>14204</v>
      </c>
      <c r="F196" s="137" t="s">
        <v>14266</v>
      </c>
      <c r="G196" s="137" t="s">
        <v>6006</v>
      </c>
      <c r="H196" s="137" t="s">
        <v>6076</v>
      </c>
      <c r="I196" s="497" t="s">
        <v>36</v>
      </c>
      <c r="J196" s="498" t="s">
        <v>4162</v>
      </c>
      <c r="K196" s="498" t="s">
        <v>1784</v>
      </c>
      <c r="L196" s="251"/>
      <c r="M196" s="251"/>
      <c r="N196" s="251"/>
      <c r="O196" s="251"/>
      <c r="P196" s="251"/>
      <c r="Q196" s="251"/>
      <c r="R196" s="251"/>
      <c r="S196" s="251"/>
      <c r="T196" s="251"/>
      <c r="U196" s="251"/>
      <c r="V196" s="251"/>
      <c r="W196" s="251"/>
      <c r="X196" s="251"/>
      <c r="Y196" s="251"/>
      <c r="Z196" s="251"/>
      <c r="AA196" s="251"/>
    </row>
    <row r="197" ht="14.25" customHeight="1">
      <c r="A197" s="98" t="s">
        <v>5994</v>
      </c>
      <c r="B197" s="108"/>
      <c r="C197" s="496" t="s">
        <v>14269</v>
      </c>
      <c r="D197" s="251"/>
      <c r="E197" s="502" t="s">
        <v>14204</v>
      </c>
      <c r="F197" s="137" t="s">
        <v>14270</v>
      </c>
      <c r="G197" s="137" t="s">
        <v>6017</v>
      </c>
      <c r="H197" s="137" t="s">
        <v>6053</v>
      </c>
      <c r="I197" s="497" t="s">
        <v>36</v>
      </c>
      <c r="J197" s="498" t="s">
        <v>4162</v>
      </c>
      <c r="K197" s="498" t="s">
        <v>1784</v>
      </c>
      <c r="L197" s="251"/>
      <c r="M197" s="251"/>
      <c r="N197" s="251"/>
      <c r="O197" s="251"/>
      <c r="P197" s="251"/>
      <c r="Q197" s="251"/>
      <c r="R197" s="251"/>
      <c r="S197" s="251"/>
      <c r="T197" s="251"/>
      <c r="U197" s="251"/>
      <c r="V197" s="251"/>
      <c r="W197" s="251"/>
      <c r="X197" s="251"/>
      <c r="Y197" s="251"/>
      <c r="Z197" s="251"/>
      <c r="AA197" s="251"/>
    </row>
    <row r="198" ht="14.25" customHeight="1">
      <c r="A198" s="98" t="s">
        <v>5994</v>
      </c>
      <c r="B198" s="108"/>
      <c r="C198" s="496" t="s">
        <v>14271</v>
      </c>
      <c r="D198" s="251"/>
      <c r="E198" s="502" t="s">
        <v>14204</v>
      </c>
      <c r="F198" s="137" t="s">
        <v>14270</v>
      </c>
      <c r="G198" s="137" t="s">
        <v>6023</v>
      </c>
      <c r="H198" s="137" t="s">
        <v>6024</v>
      </c>
      <c r="I198" s="497" t="s">
        <v>36</v>
      </c>
      <c r="J198" s="498" t="s">
        <v>4162</v>
      </c>
      <c r="K198" s="498" t="s">
        <v>1784</v>
      </c>
      <c r="L198" s="251"/>
      <c r="M198" s="251"/>
      <c r="N198" s="251"/>
      <c r="O198" s="251"/>
      <c r="P198" s="251"/>
      <c r="Q198" s="251"/>
      <c r="R198" s="251"/>
      <c r="S198" s="251"/>
      <c r="T198" s="251"/>
      <c r="U198" s="251"/>
      <c r="V198" s="251"/>
      <c r="W198" s="251"/>
      <c r="X198" s="251"/>
      <c r="Y198" s="251"/>
      <c r="Z198" s="251"/>
      <c r="AA198" s="251"/>
    </row>
    <row r="199" ht="14.25" customHeight="1">
      <c r="A199" s="98" t="s">
        <v>5994</v>
      </c>
      <c r="B199" s="108"/>
      <c r="C199" s="496" t="s">
        <v>14272</v>
      </c>
      <c r="D199" s="251"/>
      <c r="E199" s="502" t="s">
        <v>14204</v>
      </c>
      <c r="F199" s="137" t="s">
        <v>14273</v>
      </c>
      <c r="G199" s="137" t="s">
        <v>6082</v>
      </c>
      <c r="H199" s="137" t="s">
        <v>6083</v>
      </c>
      <c r="I199" s="497" t="s">
        <v>36</v>
      </c>
      <c r="J199" s="498" t="s">
        <v>4162</v>
      </c>
      <c r="K199" s="498" t="s">
        <v>1784</v>
      </c>
      <c r="L199" s="251"/>
      <c r="M199" s="251"/>
      <c r="N199" s="251"/>
      <c r="O199" s="251"/>
      <c r="P199" s="251"/>
      <c r="Q199" s="251"/>
      <c r="R199" s="251"/>
      <c r="S199" s="251"/>
      <c r="T199" s="251"/>
      <c r="U199" s="251"/>
      <c r="V199" s="251"/>
      <c r="W199" s="251"/>
      <c r="X199" s="251"/>
      <c r="Y199" s="251"/>
      <c r="Z199" s="251"/>
      <c r="AA199" s="251"/>
    </row>
    <row r="200" ht="14.25" customHeight="1">
      <c r="A200" s="98" t="s">
        <v>5994</v>
      </c>
      <c r="B200" s="108"/>
      <c r="C200" s="496" t="s">
        <v>14274</v>
      </c>
      <c r="D200" s="251"/>
      <c r="E200" s="502" t="s">
        <v>14204</v>
      </c>
      <c r="F200" s="137" t="s">
        <v>14275</v>
      </c>
      <c r="G200" s="137" t="s">
        <v>6086</v>
      </c>
      <c r="H200" s="137" t="s">
        <v>6087</v>
      </c>
      <c r="I200" s="497" t="s">
        <v>36</v>
      </c>
      <c r="J200" s="498" t="s">
        <v>4162</v>
      </c>
      <c r="K200" s="498" t="s">
        <v>1784</v>
      </c>
      <c r="L200" s="251"/>
      <c r="M200" s="251"/>
      <c r="N200" s="251"/>
      <c r="O200" s="251"/>
      <c r="P200" s="251"/>
      <c r="Q200" s="251"/>
      <c r="R200" s="251"/>
      <c r="S200" s="251"/>
      <c r="T200" s="251"/>
      <c r="U200" s="251"/>
      <c r="V200" s="251"/>
      <c r="W200" s="251"/>
      <c r="X200" s="251"/>
      <c r="Y200" s="251"/>
      <c r="Z200" s="251"/>
      <c r="AA200" s="251"/>
    </row>
    <row r="201" ht="14.25" customHeight="1">
      <c r="A201" s="98" t="s">
        <v>5994</v>
      </c>
      <c r="B201" s="108"/>
      <c r="C201" s="496" t="s">
        <v>14276</v>
      </c>
      <c r="D201" s="251"/>
      <c r="E201" s="502" t="s">
        <v>14204</v>
      </c>
      <c r="F201" s="137" t="s">
        <v>14277</v>
      </c>
      <c r="G201" s="137" t="s">
        <v>6086</v>
      </c>
      <c r="H201" s="137" t="s">
        <v>6087</v>
      </c>
      <c r="I201" s="497" t="s">
        <v>36</v>
      </c>
      <c r="J201" s="498" t="s">
        <v>4162</v>
      </c>
      <c r="K201" s="498" t="s">
        <v>1784</v>
      </c>
      <c r="L201" s="251"/>
      <c r="M201" s="251"/>
      <c r="N201" s="251"/>
      <c r="O201" s="251"/>
      <c r="P201" s="251"/>
      <c r="Q201" s="251"/>
      <c r="R201" s="251"/>
      <c r="S201" s="251"/>
      <c r="T201" s="251"/>
      <c r="U201" s="251"/>
      <c r="V201" s="251"/>
      <c r="W201" s="251"/>
      <c r="X201" s="251"/>
      <c r="Y201" s="251"/>
      <c r="Z201" s="251"/>
      <c r="AA201" s="251"/>
    </row>
    <row r="202" ht="14.25" customHeight="1">
      <c r="A202" s="98" t="s">
        <v>5994</v>
      </c>
      <c r="B202" s="108"/>
      <c r="C202" s="496" t="s">
        <v>14278</v>
      </c>
      <c r="D202" s="251"/>
      <c r="E202" s="502" t="s">
        <v>14204</v>
      </c>
      <c r="F202" s="137" t="s">
        <v>14279</v>
      </c>
      <c r="G202" s="137" t="s">
        <v>6086</v>
      </c>
      <c r="H202" s="137" t="s">
        <v>6087</v>
      </c>
      <c r="I202" s="497" t="s">
        <v>36</v>
      </c>
      <c r="J202" s="498" t="s">
        <v>4162</v>
      </c>
      <c r="K202" s="498" t="s">
        <v>1784</v>
      </c>
      <c r="L202" s="251"/>
      <c r="M202" s="251"/>
      <c r="N202" s="251"/>
      <c r="O202" s="251"/>
      <c r="P202" s="251"/>
      <c r="Q202" s="251"/>
      <c r="R202" s="251"/>
      <c r="S202" s="251"/>
      <c r="T202" s="251"/>
      <c r="U202" s="251"/>
      <c r="V202" s="251"/>
      <c r="W202" s="251"/>
      <c r="X202" s="251"/>
      <c r="Y202" s="251"/>
      <c r="Z202" s="251"/>
      <c r="AA202" s="251"/>
    </row>
    <row r="203" ht="14.25" customHeight="1">
      <c r="A203" s="98" t="s">
        <v>5994</v>
      </c>
      <c r="B203" s="109"/>
      <c r="C203" s="496" t="s">
        <v>14280</v>
      </c>
      <c r="D203" s="251"/>
      <c r="E203" s="502" t="s">
        <v>14204</v>
      </c>
      <c r="F203" s="137" t="s">
        <v>14281</v>
      </c>
      <c r="G203" s="137" t="s">
        <v>6010</v>
      </c>
      <c r="H203" s="137" t="s">
        <v>6014</v>
      </c>
      <c r="I203" s="497" t="s">
        <v>36</v>
      </c>
      <c r="J203" s="498" t="s">
        <v>4162</v>
      </c>
      <c r="K203" s="498" t="s">
        <v>2062</v>
      </c>
      <c r="L203" s="251"/>
      <c r="M203" s="251"/>
      <c r="N203" s="251"/>
      <c r="O203" s="251"/>
      <c r="P203" s="251"/>
      <c r="Q203" s="251"/>
      <c r="R203" s="251"/>
      <c r="S203" s="251"/>
      <c r="T203" s="251"/>
      <c r="U203" s="251"/>
      <c r="V203" s="251"/>
      <c r="W203" s="251"/>
      <c r="X203" s="251"/>
      <c r="Y203" s="251"/>
      <c r="Z203" s="251"/>
      <c r="AA203" s="251"/>
    </row>
    <row r="204" ht="14.25" customHeight="1">
      <c r="A204" s="98" t="s">
        <v>14282</v>
      </c>
      <c r="B204" s="250" t="s">
        <v>14283</v>
      </c>
      <c r="C204" s="496" t="s">
        <v>14284</v>
      </c>
      <c r="D204" s="251"/>
      <c r="E204" s="254" t="s">
        <v>14283</v>
      </c>
      <c r="F204" s="137" t="s">
        <v>14285</v>
      </c>
      <c r="G204" s="365" t="s">
        <v>14286</v>
      </c>
      <c r="H204" s="365" t="s">
        <v>14287</v>
      </c>
      <c r="I204" s="497" t="s">
        <v>36</v>
      </c>
      <c r="J204" s="498" t="s">
        <v>4162</v>
      </c>
      <c r="K204" s="498" t="s">
        <v>2062</v>
      </c>
      <c r="L204" s="251"/>
      <c r="M204" s="251"/>
      <c r="N204" s="251"/>
      <c r="O204" s="251"/>
      <c r="P204" s="251"/>
      <c r="Q204" s="251"/>
      <c r="R204" s="251"/>
      <c r="S204" s="251"/>
      <c r="T204" s="251"/>
      <c r="U204" s="251"/>
      <c r="V204" s="251"/>
      <c r="W204" s="251"/>
      <c r="X204" s="251"/>
      <c r="Y204" s="251"/>
      <c r="Z204" s="251"/>
      <c r="AA204" s="251"/>
    </row>
    <row r="205" ht="14.25" customHeight="1">
      <c r="A205" s="98" t="s">
        <v>14282</v>
      </c>
      <c r="B205" s="108"/>
      <c r="C205" s="496" t="s">
        <v>14288</v>
      </c>
      <c r="D205" s="251"/>
      <c r="E205" s="254" t="s">
        <v>14283</v>
      </c>
      <c r="F205" s="137" t="s">
        <v>14289</v>
      </c>
      <c r="G205" s="365" t="s">
        <v>14286</v>
      </c>
      <c r="H205" s="365" t="s">
        <v>14290</v>
      </c>
      <c r="I205" s="497" t="s">
        <v>36</v>
      </c>
      <c r="J205" s="498" t="s">
        <v>4162</v>
      </c>
      <c r="K205" s="498" t="s">
        <v>2062</v>
      </c>
      <c r="L205" s="251"/>
      <c r="M205" s="251"/>
      <c r="N205" s="251"/>
      <c r="O205" s="251"/>
      <c r="P205" s="251"/>
      <c r="Q205" s="251"/>
      <c r="R205" s="251"/>
      <c r="S205" s="251"/>
      <c r="T205" s="251"/>
      <c r="U205" s="251"/>
      <c r="V205" s="251"/>
      <c r="W205" s="251"/>
      <c r="X205" s="251"/>
      <c r="Y205" s="251"/>
      <c r="Z205" s="251"/>
      <c r="AA205" s="251"/>
    </row>
    <row r="206" ht="14.25" customHeight="1">
      <c r="A206" s="98" t="s">
        <v>14282</v>
      </c>
      <c r="B206" s="108"/>
      <c r="C206" s="496" t="s">
        <v>14291</v>
      </c>
      <c r="D206" s="251"/>
      <c r="E206" s="254" t="s">
        <v>14283</v>
      </c>
      <c r="F206" s="137" t="s">
        <v>14292</v>
      </c>
      <c r="G206" s="365" t="s">
        <v>14286</v>
      </c>
      <c r="H206" s="365" t="s">
        <v>14293</v>
      </c>
      <c r="I206" s="497" t="s">
        <v>36</v>
      </c>
      <c r="J206" s="498" t="s">
        <v>4162</v>
      </c>
      <c r="K206" s="498" t="s">
        <v>2062</v>
      </c>
      <c r="L206" s="251"/>
      <c r="M206" s="251"/>
      <c r="N206" s="251"/>
      <c r="O206" s="251"/>
      <c r="P206" s="251"/>
      <c r="Q206" s="251"/>
      <c r="R206" s="251"/>
      <c r="S206" s="251"/>
      <c r="T206" s="251"/>
      <c r="U206" s="251"/>
      <c r="V206" s="251"/>
      <c r="W206" s="251"/>
      <c r="X206" s="251"/>
      <c r="Y206" s="251"/>
      <c r="Z206" s="251"/>
      <c r="AA206" s="251"/>
    </row>
    <row r="207" ht="14.25" customHeight="1">
      <c r="A207" s="98" t="s">
        <v>14282</v>
      </c>
      <c r="B207" s="108"/>
      <c r="C207" s="496" t="s">
        <v>14294</v>
      </c>
      <c r="D207" s="251"/>
      <c r="E207" s="254" t="s">
        <v>14283</v>
      </c>
      <c r="F207" s="137" t="s">
        <v>14295</v>
      </c>
      <c r="G207" s="365" t="s">
        <v>14296</v>
      </c>
      <c r="H207" s="365" t="s">
        <v>14297</v>
      </c>
      <c r="I207" s="497" t="s">
        <v>36</v>
      </c>
      <c r="J207" s="498" t="s">
        <v>4162</v>
      </c>
      <c r="K207" s="498" t="s">
        <v>2062</v>
      </c>
      <c r="L207" s="251"/>
      <c r="M207" s="251"/>
      <c r="N207" s="251"/>
      <c r="O207" s="251"/>
      <c r="P207" s="251"/>
      <c r="Q207" s="251"/>
      <c r="R207" s="251"/>
      <c r="S207" s="251"/>
      <c r="T207" s="251"/>
      <c r="U207" s="251"/>
      <c r="V207" s="251"/>
      <c r="W207" s="251"/>
      <c r="X207" s="251"/>
      <c r="Y207" s="251"/>
      <c r="Z207" s="251"/>
      <c r="AA207" s="251"/>
    </row>
    <row r="208" ht="14.25" customHeight="1">
      <c r="A208" s="98" t="s">
        <v>14282</v>
      </c>
      <c r="B208" s="108"/>
      <c r="C208" s="496" t="s">
        <v>14298</v>
      </c>
      <c r="D208" s="251"/>
      <c r="E208" s="254" t="s">
        <v>14283</v>
      </c>
      <c r="F208" s="137" t="s">
        <v>14299</v>
      </c>
      <c r="G208" s="365" t="s">
        <v>14300</v>
      </c>
      <c r="H208" s="365" t="s">
        <v>14301</v>
      </c>
      <c r="I208" s="497" t="s">
        <v>36</v>
      </c>
      <c r="J208" s="498" t="s">
        <v>4162</v>
      </c>
      <c r="K208" s="498" t="s">
        <v>2062</v>
      </c>
      <c r="L208" s="251"/>
      <c r="M208" s="251"/>
      <c r="N208" s="251"/>
      <c r="O208" s="251"/>
      <c r="P208" s="251"/>
      <c r="Q208" s="251"/>
      <c r="R208" s="251"/>
      <c r="S208" s="251"/>
      <c r="T208" s="251"/>
      <c r="U208" s="251"/>
      <c r="V208" s="251"/>
      <c r="W208" s="251"/>
      <c r="X208" s="251"/>
      <c r="Y208" s="251"/>
      <c r="Z208" s="251"/>
      <c r="AA208" s="251"/>
    </row>
    <row r="209" ht="14.25" customHeight="1">
      <c r="A209" s="98" t="s">
        <v>14282</v>
      </c>
      <c r="B209" s="108"/>
      <c r="C209" s="496" t="s">
        <v>14302</v>
      </c>
      <c r="D209" s="251"/>
      <c r="E209" s="254" t="s">
        <v>14283</v>
      </c>
      <c r="F209" s="137" t="s">
        <v>14299</v>
      </c>
      <c r="G209" s="365" t="s">
        <v>14296</v>
      </c>
      <c r="H209" s="365" t="s">
        <v>14297</v>
      </c>
      <c r="I209" s="497" t="s">
        <v>317</v>
      </c>
      <c r="J209" s="498" t="s">
        <v>4162</v>
      </c>
      <c r="K209" s="498" t="s">
        <v>2062</v>
      </c>
      <c r="L209" s="98" t="s">
        <v>14303</v>
      </c>
      <c r="M209" s="251"/>
      <c r="N209" s="251"/>
      <c r="O209" s="251"/>
      <c r="P209" s="251"/>
      <c r="Q209" s="251"/>
      <c r="R209" s="251"/>
      <c r="S209" s="251"/>
      <c r="T209" s="251"/>
      <c r="U209" s="251"/>
      <c r="V209" s="251"/>
      <c r="W209" s="251"/>
      <c r="X209" s="251"/>
      <c r="Y209" s="251"/>
      <c r="Z209" s="251"/>
      <c r="AA209" s="251"/>
    </row>
    <row r="210" ht="14.25" customHeight="1">
      <c r="A210" s="98" t="s">
        <v>14282</v>
      </c>
      <c r="B210" s="108"/>
      <c r="C210" s="496" t="s">
        <v>14304</v>
      </c>
      <c r="D210" s="251"/>
      <c r="E210" s="254" t="s">
        <v>14283</v>
      </c>
      <c r="F210" s="137" t="s">
        <v>14305</v>
      </c>
      <c r="G210" s="365" t="s">
        <v>14300</v>
      </c>
      <c r="H210" s="365" t="s">
        <v>14301</v>
      </c>
      <c r="I210" s="497" t="s">
        <v>36</v>
      </c>
      <c r="J210" s="498" t="s">
        <v>4162</v>
      </c>
      <c r="K210" s="498" t="s">
        <v>2062</v>
      </c>
      <c r="L210" s="251"/>
      <c r="M210" s="251"/>
      <c r="N210" s="251"/>
      <c r="O210" s="251"/>
      <c r="P210" s="251"/>
      <c r="Q210" s="251"/>
      <c r="R210" s="251"/>
      <c r="S210" s="251"/>
      <c r="T210" s="251"/>
      <c r="U210" s="251"/>
      <c r="V210" s="251"/>
      <c r="W210" s="251"/>
      <c r="X210" s="251"/>
      <c r="Y210" s="251"/>
      <c r="Z210" s="251"/>
      <c r="AA210" s="251"/>
    </row>
    <row r="211" ht="14.25" customHeight="1">
      <c r="A211" s="98" t="s">
        <v>14282</v>
      </c>
      <c r="B211" s="109"/>
      <c r="C211" s="496" t="s">
        <v>14306</v>
      </c>
      <c r="D211" s="251"/>
      <c r="E211" s="254" t="s">
        <v>14283</v>
      </c>
      <c r="F211" s="137" t="s">
        <v>14305</v>
      </c>
      <c r="G211" s="365" t="s">
        <v>14296</v>
      </c>
      <c r="H211" s="365" t="s">
        <v>14297</v>
      </c>
      <c r="I211" s="497" t="s">
        <v>36</v>
      </c>
      <c r="J211" s="498" t="s">
        <v>4162</v>
      </c>
      <c r="K211" s="498" t="s">
        <v>2062</v>
      </c>
      <c r="L211" s="251"/>
      <c r="M211" s="251"/>
      <c r="N211" s="251"/>
      <c r="O211" s="251"/>
      <c r="P211" s="251"/>
      <c r="Q211" s="251"/>
      <c r="R211" s="251"/>
      <c r="S211" s="251"/>
      <c r="T211" s="251"/>
      <c r="U211" s="251"/>
      <c r="V211" s="251"/>
      <c r="W211" s="251"/>
      <c r="X211" s="251"/>
      <c r="Y211" s="251"/>
      <c r="Z211" s="251"/>
      <c r="AA211" s="251"/>
    </row>
    <row r="212" ht="14.25" customHeight="1">
      <c r="A212" s="98" t="s">
        <v>14307</v>
      </c>
      <c r="B212" s="499"/>
      <c r="C212" s="496" t="s">
        <v>14308</v>
      </c>
      <c r="D212" s="251"/>
      <c r="E212" s="137" t="s">
        <v>14309</v>
      </c>
      <c r="F212" s="137" t="s">
        <v>14310</v>
      </c>
      <c r="G212" s="365" t="s">
        <v>14311</v>
      </c>
      <c r="H212" s="137" t="s">
        <v>14312</v>
      </c>
      <c r="I212" s="497" t="s">
        <v>36</v>
      </c>
      <c r="J212" s="498" t="s">
        <v>4162</v>
      </c>
      <c r="K212" s="498" t="s">
        <v>2062</v>
      </c>
      <c r="L212" s="251"/>
      <c r="M212" s="251"/>
      <c r="N212" s="251"/>
      <c r="O212" s="251"/>
      <c r="P212" s="251"/>
      <c r="Q212" s="251"/>
      <c r="R212" s="251"/>
      <c r="S212" s="251"/>
      <c r="T212" s="251"/>
      <c r="U212" s="251"/>
      <c r="V212" s="251"/>
      <c r="W212" s="251"/>
      <c r="X212" s="251"/>
      <c r="Y212" s="251"/>
      <c r="Z212" s="251"/>
      <c r="AA212" s="251"/>
    </row>
    <row r="213" ht="14.25" customHeight="1">
      <c r="A213" s="98" t="s">
        <v>14307</v>
      </c>
      <c r="B213" s="108"/>
      <c r="C213" s="496" t="s">
        <v>14313</v>
      </c>
      <c r="D213" s="251"/>
      <c r="E213" s="137" t="s">
        <v>14309</v>
      </c>
      <c r="F213" s="137" t="s">
        <v>14310</v>
      </c>
      <c r="G213" s="365" t="s">
        <v>14314</v>
      </c>
      <c r="H213" s="137" t="s">
        <v>14315</v>
      </c>
      <c r="I213" s="497" t="s">
        <v>36</v>
      </c>
      <c r="J213" s="498" t="s">
        <v>4162</v>
      </c>
      <c r="K213" s="498" t="s">
        <v>2062</v>
      </c>
      <c r="L213" s="251"/>
      <c r="M213" s="251"/>
      <c r="N213" s="251"/>
      <c r="O213" s="251"/>
      <c r="P213" s="251"/>
      <c r="Q213" s="251"/>
      <c r="R213" s="251"/>
      <c r="S213" s="251"/>
      <c r="T213" s="251"/>
      <c r="U213" s="251"/>
      <c r="V213" s="251"/>
      <c r="W213" s="251"/>
      <c r="X213" s="251"/>
      <c r="Y213" s="251"/>
      <c r="Z213" s="251"/>
      <c r="AA213" s="251"/>
    </row>
    <row r="214" ht="14.25" customHeight="1">
      <c r="A214" s="98" t="s">
        <v>14307</v>
      </c>
      <c r="B214" s="108"/>
      <c r="C214" s="496" t="s">
        <v>14316</v>
      </c>
      <c r="D214" s="251"/>
      <c r="E214" s="137" t="s">
        <v>14309</v>
      </c>
      <c r="F214" s="137" t="s">
        <v>14317</v>
      </c>
      <c r="G214" s="365" t="s">
        <v>14318</v>
      </c>
      <c r="H214" s="137" t="s">
        <v>14319</v>
      </c>
      <c r="I214" s="497" t="s">
        <v>36</v>
      </c>
      <c r="J214" s="498" t="s">
        <v>4162</v>
      </c>
      <c r="K214" s="498" t="s">
        <v>2062</v>
      </c>
      <c r="L214" s="251"/>
      <c r="M214" s="251"/>
      <c r="N214" s="251"/>
      <c r="O214" s="251"/>
      <c r="P214" s="251"/>
      <c r="Q214" s="251"/>
      <c r="R214" s="251"/>
      <c r="S214" s="251"/>
      <c r="T214" s="251"/>
      <c r="U214" s="251"/>
      <c r="V214" s="251"/>
      <c r="W214" s="251"/>
      <c r="X214" s="251"/>
      <c r="Y214" s="251"/>
      <c r="Z214" s="251"/>
      <c r="AA214" s="251"/>
    </row>
    <row r="215" ht="14.25" customHeight="1">
      <c r="A215" s="98" t="s">
        <v>14307</v>
      </c>
      <c r="B215" s="108"/>
      <c r="C215" s="496" t="s">
        <v>14320</v>
      </c>
      <c r="D215" s="251"/>
      <c r="E215" s="137" t="s">
        <v>14309</v>
      </c>
      <c r="F215" s="137" t="s">
        <v>14321</v>
      </c>
      <c r="G215" s="365" t="s">
        <v>14314</v>
      </c>
      <c r="H215" s="137" t="s">
        <v>14322</v>
      </c>
      <c r="I215" s="497" t="s">
        <v>36</v>
      </c>
      <c r="J215" s="498" t="s">
        <v>4162</v>
      </c>
      <c r="K215" s="498" t="s">
        <v>2062</v>
      </c>
      <c r="L215" s="251"/>
      <c r="M215" s="251"/>
      <c r="N215" s="251"/>
      <c r="O215" s="251"/>
      <c r="P215" s="251"/>
      <c r="Q215" s="251"/>
      <c r="R215" s="251"/>
      <c r="S215" s="251"/>
      <c r="T215" s="251"/>
      <c r="U215" s="251"/>
      <c r="V215" s="251"/>
      <c r="W215" s="251"/>
      <c r="X215" s="251"/>
      <c r="Y215" s="251"/>
      <c r="Z215" s="251"/>
      <c r="AA215" s="251"/>
    </row>
    <row r="216" ht="14.25" customHeight="1">
      <c r="A216" s="98" t="s">
        <v>14307</v>
      </c>
      <c r="B216" s="108"/>
      <c r="C216" s="496" t="s">
        <v>14323</v>
      </c>
      <c r="D216" s="251"/>
      <c r="E216" s="137" t="s">
        <v>14309</v>
      </c>
      <c r="F216" s="137" t="s">
        <v>14324</v>
      </c>
      <c r="G216" s="365" t="s">
        <v>14311</v>
      </c>
      <c r="H216" s="137" t="s">
        <v>14312</v>
      </c>
      <c r="I216" s="497" t="s">
        <v>36</v>
      </c>
      <c r="J216" s="498" t="s">
        <v>4162</v>
      </c>
      <c r="K216" s="498" t="s">
        <v>2062</v>
      </c>
      <c r="L216" s="251"/>
      <c r="M216" s="251"/>
      <c r="N216" s="251"/>
      <c r="O216" s="251"/>
      <c r="P216" s="251"/>
      <c r="Q216" s="251"/>
      <c r="R216" s="251"/>
      <c r="S216" s="251"/>
      <c r="T216" s="251"/>
      <c r="U216" s="251"/>
      <c r="V216" s="251"/>
      <c r="W216" s="251"/>
      <c r="X216" s="251"/>
      <c r="Y216" s="251"/>
      <c r="Z216" s="251"/>
      <c r="AA216" s="251"/>
    </row>
    <row r="217" ht="14.25" customHeight="1">
      <c r="A217" s="98" t="s">
        <v>14307</v>
      </c>
      <c r="B217" s="108"/>
      <c r="C217" s="496" t="s">
        <v>14325</v>
      </c>
      <c r="D217" s="251"/>
      <c r="E217" s="137" t="s">
        <v>14309</v>
      </c>
      <c r="F217" s="137" t="s">
        <v>14326</v>
      </c>
      <c r="G217" s="365" t="s">
        <v>14318</v>
      </c>
      <c r="H217" s="137" t="s">
        <v>14319</v>
      </c>
      <c r="I217" s="497" t="s">
        <v>36</v>
      </c>
      <c r="J217" s="498" t="s">
        <v>4162</v>
      </c>
      <c r="K217" s="498" t="s">
        <v>2062</v>
      </c>
      <c r="L217" s="251"/>
      <c r="M217" s="251"/>
      <c r="N217" s="251"/>
      <c r="O217" s="251"/>
      <c r="P217" s="251"/>
      <c r="Q217" s="251"/>
      <c r="R217" s="251"/>
      <c r="S217" s="251"/>
      <c r="T217" s="251"/>
      <c r="U217" s="251"/>
      <c r="V217" s="251"/>
      <c r="W217" s="251"/>
      <c r="X217" s="251"/>
      <c r="Y217" s="251"/>
      <c r="Z217" s="251"/>
      <c r="AA217" s="251"/>
    </row>
    <row r="218" ht="14.25" customHeight="1">
      <c r="A218" s="98" t="s">
        <v>14307</v>
      </c>
      <c r="B218" s="108"/>
      <c r="C218" s="496" t="s">
        <v>14327</v>
      </c>
      <c r="D218" s="251"/>
      <c r="E218" s="137" t="s">
        <v>14309</v>
      </c>
      <c r="F218" s="137" t="s">
        <v>14328</v>
      </c>
      <c r="G218" s="365" t="s">
        <v>14311</v>
      </c>
      <c r="H218" s="137" t="s">
        <v>14312</v>
      </c>
      <c r="I218" s="497" t="s">
        <v>36</v>
      </c>
      <c r="J218" s="498" t="s">
        <v>4162</v>
      </c>
      <c r="K218" s="498" t="s">
        <v>2062</v>
      </c>
      <c r="L218" s="251"/>
      <c r="M218" s="251"/>
      <c r="N218" s="251"/>
      <c r="O218" s="251"/>
      <c r="P218" s="251"/>
      <c r="Q218" s="251"/>
      <c r="R218" s="251"/>
      <c r="S218" s="251"/>
      <c r="T218" s="251"/>
      <c r="U218" s="251"/>
      <c r="V218" s="251"/>
      <c r="W218" s="251"/>
      <c r="X218" s="251"/>
      <c r="Y218" s="251"/>
      <c r="Z218" s="251"/>
      <c r="AA218" s="251"/>
    </row>
    <row r="219" ht="14.25" customHeight="1">
      <c r="A219" s="98" t="s">
        <v>14307</v>
      </c>
      <c r="B219" s="108"/>
      <c r="C219" s="496" t="s">
        <v>14329</v>
      </c>
      <c r="D219" s="251"/>
      <c r="E219" s="137" t="s">
        <v>14309</v>
      </c>
      <c r="F219" s="137" t="s">
        <v>14330</v>
      </c>
      <c r="G219" s="365" t="s">
        <v>14318</v>
      </c>
      <c r="H219" s="137" t="s">
        <v>14319</v>
      </c>
      <c r="I219" s="497" t="s">
        <v>36</v>
      </c>
      <c r="J219" s="498" t="s">
        <v>4162</v>
      </c>
      <c r="K219" s="498" t="s">
        <v>2062</v>
      </c>
      <c r="L219" s="251"/>
      <c r="M219" s="251"/>
      <c r="N219" s="251"/>
      <c r="O219" s="251"/>
      <c r="P219" s="251"/>
      <c r="Q219" s="251"/>
      <c r="R219" s="251"/>
      <c r="S219" s="251"/>
      <c r="T219" s="251"/>
      <c r="U219" s="251"/>
      <c r="V219" s="251"/>
      <c r="W219" s="251"/>
      <c r="X219" s="251"/>
      <c r="Y219" s="251"/>
      <c r="Z219" s="251"/>
      <c r="AA219" s="251"/>
    </row>
    <row r="220" ht="14.25" customHeight="1">
      <c r="A220" s="98" t="s">
        <v>14307</v>
      </c>
      <c r="B220" s="108"/>
      <c r="C220" s="496" t="s">
        <v>14331</v>
      </c>
      <c r="D220" s="251"/>
      <c r="E220" s="137" t="s">
        <v>14309</v>
      </c>
      <c r="F220" s="137" t="s">
        <v>14332</v>
      </c>
      <c r="G220" s="365" t="s">
        <v>14333</v>
      </c>
      <c r="H220" s="137" t="s">
        <v>14334</v>
      </c>
      <c r="I220" s="497" t="s">
        <v>36</v>
      </c>
      <c r="J220" s="498" t="s">
        <v>4162</v>
      </c>
      <c r="K220" s="498" t="s">
        <v>2062</v>
      </c>
      <c r="L220" s="251"/>
      <c r="M220" s="251"/>
      <c r="N220" s="251"/>
      <c r="O220" s="251"/>
      <c r="P220" s="251"/>
      <c r="Q220" s="251"/>
      <c r="R220" s="251"/>
      <c r="S220" s="251"/>
      <c r="T220" s="251"/>
      <c r="U220" s="251"/>
      <c r="V220" s="251"/>
      <c r="W220" s="251"/>
      <c r="X220" s="251"/>
      <c r="Y220" s="251"/>
      <c r="Z220" s="251"/>
      <c r="AA220" s="251"/>
    </row>
    <row r="221" ht="14.25" customHeight="1">
      <c r="A221" s="98" t="s">
        <v>14307</v>
      </c>
      <c r="B221" s="108"/>
      <c r="C221" s="496" t="s">
        <v>14335</v>
      </c>
      <c r="D221" s="251"/>
      <c r="E221" s="137" t="s">
        <v>14309</v>
      </c>
      <c r="F221" s="137" t="s">
        <v>14336</v>
      </c>
      <c r="G221" s="365" t="s">
        <v>14318</v>
      </c>
      <c r="H221" s="137" t="s">
        <v>14319</v>
      </c>
      <c r="I221" s="497" t="s">
        <v>36</v>
      </c>
      <c r="J221" s="498" t="s">
        <v>4162</v>
      </c>
      <c r="K221" s="498" t="s">
        <v>2062</v>
      </c>
      <c r="L221" s="251"/>
      <c r="M221" s="251"/>
      <c r="N221" s="251"/>
      <c r="O221" s="251"/>
      <c r="P221" s="251"/>
      <c r="Q221" s="251"/>
      <c r="R221" s="251"/>
      <c r="S221" s="251"/>
      <c r="T221" s="251"/>
      <c r="U221" s="251"/>
      <c r="V221" s="251"/>
      <c r="W221" s="251"/>
      <c r="X221" s="251"/>
      <c r="Y221" s="251"/>
      <c r="Z221" s="251"/>
      <c r="AA221" s="251"/>
    </row>
    <row r="222" ht="14.25" customHeight="1">
      <c r="A222" s="98" t="s">
        <v>14307</v>
      </c>
      <c r="B222" s="108"/>
      <c r="C222" s="496" t="s">
        <v>14337</v>
      </c>
      <c r="D222" s="251"/>
      <c r="E222" s="137" t="s">
        <v>14309</v>
      </c>
      <c r="F222" s="137" t="s">
        <v>14338</v>
      </c>
      <c r="G222" s="365" t="s">
        <v>14339</v>
      </c>
      <c r="H222" s="137" t="s">
        <v>14340</v>
      </c>
      <c r="I222" s="497" t="s">
        <v>36</v>
      </c>
      <c r="J222" s="498" t="s">
        <v>4162</v>
      </c>
      <c r="K222" s="498" t="s">
        <v>2062</v>
      </c>
      <c r="L222" s="251"/>
      <c r="M222" s="251"/>
      <c r="N222" s="251"/>
      <c r="O222" s="251"/>
      <c r="P222" s="251"/>
      <c r="Q222" s="251"/>
      <c r="R222" s="251"/>
      <c r="S222" s="251"/>
      <c r="T222" s="251"/>
      <c r="U222" s="251"/>
      <c r="V222" s="251"/>
      <c r="W222" s="251"/>
      <c r="X222" s="251"/>
      <c r="Y222" s="251"/>
      <c r="Z222" s="251"/>
      <c r="AA222" s="251"/>
    </row>
    <row r="223" ht="14.25" customHeight="1">
      <c r="A223" s="98" t="s">
        <v>14307</v>
      </c>
      <c r="B223" s="108"/>
      <c r="C223" s="496" t="s">
        <v>14341</v>
      </c>
      <c r="D223" s="251"/>
      <c r="E223" s="137" t="s">
        <v>14309</v>
      </c>
      <c r="F223" s="137" t="s">
        <v>14324</v>
      </c>
      <c r="G223" s="365" t="s">
        <v>14311</v>
      </c>
      <c r="H223" s="137" t="s">
        <v>14312</v>
      </c>
      <c r="I223" s="497" t="s">
        <v>36</v>
      </c>
      <c r="J223" s="498" t="s">
        <v>4162</v>
      </c>
      <c r="K223" s="498" t="s">
        <v>2062</v>
      </c>
      <c r="L223" s="251"/>
      <c r="M223" s="251"/>
      <c r="N223" s="251"/>
      <c r="O223" s="251"/>
      <c r="P223" s="251"/>
      <c r="Q223" s="251"/>
      <c r="R223" s="251"/>
      <c r="S223" s="251"/>
      <c r="T223" s="251"/>
      <c r="U223" s="251"/>
      <c r="V223" s="251"/>
      <c r="W223" s="251"/>
      <c r="X223" s="251"/>
      <c r="Y223" s="251"/>
      <c r="Z223" s="251"/>
      <c r="AA223" s="251"/>
    </row>
    <row r="224" ht="14.25" customHeight="1">
      <c r="A224" s="98" t="s">
        <v>14307</v>
      </c>
      <c r="B224" s="108"/>
      <c r="C224" s="496" t="s">
        <v>14342</v>
      </c>
      <c r="D224" s="251"/>
      <c r="E224" s="137" t="s">
        <v>14309</v>
      </c>
      <c r="F224" s="137" t="s">
        <v>14326</v>
      </c>
      <c r="G224" s="365" t="s">
        <v>14318</v>
      </c>
      <c r="H224" s="137" t="s">
        <v>14319</v>
      </c>
      <c r="I224" s="497" t="s">
        <v>36</v>
      </c>
      <c r="J224" s="498" t="s">
        <v>4162</v>
      </c>
      <c r="K224" s="498" t="s">
        <v>2062</v>
      </c>
      <c r="L224" s="251"/>
      <c r="M224" s="251"/>
      <c r="N224" s="251"/>
      <c r="O224" s="251"/>
      <c r="P224" s="251"/>
      <c r="Q224" s="251"/>
      <c r="R224" s="251"/>
      <c r="S224" s="251"/>
      <c r="T224" s="251"/>
      <c r="U224" s="251"/>
      <c r="V224" s="251"/>
      <c r="W224" s="251"/>
      <c r="X224" s="251"/>
      <c r="Y224" s="251"/>
      <c r="Z224" s="251"/>
      <c r="AA224" s="251"/>
    </row>
    <row r="225" ht="14.25" customHeight="1">
      <c r="A225" s="98" t="s">
        <v>14307</v>
      </c>
      <c r="B225" s="108"/>
      <c r="C225" s="496" t="s">
        <v>14343</v>
      </c>
      <c r="D225" s="251"/>
      <c r="E225" s="137" t="s">
        <v>14309</v>
      </c>
      <c r="F225" s="137" t="s">
        <v>14344</v>
      </c>
      <c r="G225" s="365" t="s">
        <v>14333</v>
      </c>
      <c r="H225" s="137" t="s">
        <v>14334</v>
      </c>
      <c r="I225" s="497" t="s">
        <v>36</v>
      </c>
      <c r="J225" s="498" t="s">
        <v>4162</v>
      </c>
      <c r="K225" s="498" t="s">
        <v>2062</v>
      </c>
      <c r="L225" s="251"/>
      <c r="M225" s="251"/>
      <c r="N225" s="251"/>
      <c r="O225" s="251"/>
      <c r="P225" s="251"/>
      <c r="Q225" s="251"/>
      <c r="R225" s="251"/>
      <c r="S225" s="251"/>
      <c r="T225" s="251"/>
      <c r="U225" s="251"/>
      <c r="V225" s="251"/>
      <c r="W225" s="251"/>
      <c r="X225" s="251"/>
      <c r="Y225" s="251"/>
      <c r="Z225" s="251"/>
      <c r="AA225" s="251"/>
    </row>
    <row r="226" ht="14.25" customHeight="1">
      <c r="A226" s="98" t="s">
        <v>14307</v>
      </c>
      <c r="B226" s="108"/>
      <c r="C226" s="496" t="s">
        <v>14345</v>
      </c>
      <c r="D226" s="251"/>
      <c r="E226" s="137" t="s">
        <v>14309</v>
      </c>
      <c r="F226" s="137" t="s">
        <v>14346</v>
      </c>
      <c r="G226" s="365" t="s">
        <v>14318</v>
      </c>
      <c r="H226" s="137" t="s">
        <v>14319</v>
      </c>
      <c r="I226" s="497" t="s">
        <v>36</v>
      </c>
      <c r="J226" s="498" t="s">
        <v>4162</v>
      </c>
      <c r="K226" s="498" t="s">
        <v>2062</v>
      </c>
      <c r="L226" s="251"/>
      <c r="M226" s="251"/>
      <c r="N226" s="251"/>
      <c r="O226" s="251"/>
      <c r="P226" s="251"/>
      <c r="Q226" s="251"/>
      <c r="R226" s="251"/>
      <c r="S226" s="251"/>
      <c r="T226" s="251"/>
      <c r="U226" s="251"/>
      <c r="V226" s="251"/>
      <c r="W226" s="251"/>
      <c r="X226" s="251"/>
      <c r="Y226" s="251"/>
      <c r="Z226" s="251"/>
      <c r="AA226" s="251"/>
    </row>
    <row r="227" ht="14.25" customHeight="1">
      <c r="A227" s="98" t="s">
        <v>14307</v>
      </c>
      <c r="B227" s="108"/>
      <c r="C227" s="496" t="s">
        <v>14347</v>
      </c>
      <c r="D227" s="251"/>
      <c r="E227" s="137" t="s">
        <v>14309</v>
      </c>
      <c r="F227" s="137" t="s">
        <v>14348</v>
      </c>
      <c r="G227" s="365" t="s">
        <v>14339</v>
      </c>
      <c r="H227" s="137" t="s">
        <v>14340</v>
      </c>
      <c r="I227" s="497" t="s">
        <v>36</v>
      </c>
      <c r="J227" s="498" t="s">
        <v>4162</v>
      </c>
      <c r="K227" s="498" t="s">
        <v>2062</v>
      </c>
      <c r="L227" s="251"/>
      <c r="M227" s="251"/>
      <c r="N227" s="251"/>
      <c r="O227" s="251"/>
      <c r="P227" s="251"/>
      <c r="Q227" s="251"/>
      <c r="R227" s="251"/>
      <c r="S227" s="251"/>
      <c r="T227" s="251"/>
      <c r="U227" s="251"/>
      <c r="V227" s="251"/>
      <c r="W227" s="251"/>
      <c r="X227" s="251"/>
      <c r="Y227" s="251"/>
      <c r="Z227" s="251"/>
      <c r="AA227" s="251"/>
    </row>
    <row r="228" ht="14.25" customHeight="1">
      <c r="A228" s="98" t="s">
        <v>14307</v>
      </c>
      <c r="B228" s="108"/>
      <c r="C228" s="496" t="s">
        <v>14349</v>
      </c>
      <c r="D228" s="251"/>
      <c r="E228" s="137" t="s">
        <v>14309</v>
      </c>
      <c r="F228" s="137" t="s">
        <v>14350</v>
      </c>
      <c r="G228" s="365" t="s">
        <v>14311</v>
      </c>
      <c r="H228" s="137" t="s">
        <v>14312</v>
      </c>
      <c r="I228" s="497" t="s">
        <v>36</v>
      </c>
      <c r="J228" s="498" t="s">
        <v>4162</v>
      </c>
      <c r="K228" s="498" t="s">
        <v>2062</v>
      </c>
      <c r="L228" s="251"/>
      <c r="M228" s="251"/>
      <c r="N228" s="251"/>
      <c r="O228" s="251"/>
      <c r="P228" s="251"/>
      <c r="Q228" s="251"/>
      <c r="R228" s="251"/>
      <c r="S228" s="251"/>
      <c r="T228" s="251"/>
      <c r="U228" s="251"/>
      <c r="V228" s="251"/>
      <c r="W228" s="251"/>
      <c r="X228" s="251"/>
      <c r="Y228" s="251"/>
      <c r="Z228" s="251"/>
      <c r="AA228" s="251"/>
    </row>
    <row r="229" ht="14.25" customHeight="1">
      <c r="A229" s="98" t="s">
        <v>14307</v>
      </c>
      <c r="B229" s="108"/>
      <c r="C229" s="496" t="s">
        <v>14351</v>
      </c>
      <c r="D229" s="251"/>
      <c r="E229" s="137" t="s">
        <v>14309</v>
      </c>
      <c r="F229" s="137" t="s">
        <v>14350</v>
      </c>
      <c r="G229" s="365" t="s">
        <v>14314</v>
      </c>
      <c r="H229" s="137" t="s">
        <v>14315</v>
      </c>
      <c r="I229" s="497" t="s">
        <v>36</v>
      </c>
      <c r="J229" s="498" t="s">
        <v>4162</v>
      </c>
      <c r="K229" s="498" t="s">
        <v>2062</v>
      </c>
      <c r="L229" s="251"/>
      <c r="M229" s="251"/>
      <c r="N229" s="251"/>
      <c r="O229" s="251"/>
      <c r="P229" s="251"/>
      <c r="Q229" s="251"/>
      <c r="R229" s="251"/>
      <c r="S229" s="251"/>
      <c r="T229" s="251"/>
      <c r="U229" s="251"/>
      <c r="V229" s="251"/>
      <c r="W229" s="251"/>
      <c r="X229" s="251"/>
      <c r="Y229" s="251"/>
      <c r="Z229" s="251"/>
      <c r="AA229" s="251"/>
    </row>
    <row r="230" ht="14.25" customHeight="1">
      <c r="A230" s="98" t="s">
        <v>14307</v>
      </c>
      <c r="B230" s="108"/>
      <c r="C230" s="496" t="s">
        <v>14352</v>
      </c>
      <c r="D230" s="251"/>
      <c r="E230" s="137" t="s">
        <v>14309</v>
      </c>
      <c r="F230" s="137" t="s">
        <v>14353</v>
      </c>
      <c r="G230" s="365" t="s">
        <v>14318</v>
      </c>
      <c r="H230" s="137" t="s">
        <v>14319</v>
      </c>
      <c r="I230" s="497" t="s">
        <v>36</v>
      </c>
      <c r="J230" s="498" t="s">
        <v>4162</v>
      </c>
      <c r="K230" s="498" t="s">
        <v>2062</v>
      </c>
      <c r="L230" s="251"/>
      <c r="M230" s="251"/>
      <c r="N230" s="251"/>
      <c r="O230" s="251"/>
      <c r="P230" s="251"/>
      <c r="Q230" s="251"/>
      <c r="R230" s="251"/>
      <c r="S230" s="251"/>
      <c r="T230" s="251"/>
      <c r="U230" s="251"/>
      <c r="V230" s="251"/>
      <c r="W230" s="251"/>
      <c r="X230" s="251"/>
      <c r="Y230" s="251"/>
      <c r="Z230" s="251"/>
      <c r="AA230" s="251"/>
    </row>
    <row r="231" ht="14.25" customHeight="1">
      <c r="A231" s="98" t="s">
        <v>14307</v>
      </c>
      <c r="B231" s="108"/>
      <c r="C231" s="496" t="s">
        <v>14354</v>
      </c>
      <c r="D231" s="251"/>
      <c r="E231" s="137" t="s">
        <v>14309</v>
      </c>
      <c r="F231" s="137" t="s">
        <v>14355</v>
      </c>
      <c r="G231" s="365" t="s">
        <v>14314</v>
      </c>
      <c r="H231" s="137" t="s">
        <v>14322</v>
      </c>
      <c r="I231" s="497" t="s">
        <v>36</v>
      </c>
      <c r="J231" s="498" t="s">
        <v>4162</v>
      </c>
      <c r="K231" s="498" t="s">
        <v>2062</v>
      </c>
      <c r="L231" s="251"/>
      <c r="M231" s="251"/>
      <c r="N231" s="251"/>
      <c r="O231" s="251"/>
      <c r="P231" s="251"/>
      <c r="Q231" s="251"/>
      <c r="R231" s="251"/>
      <c r="S231" s="251"/>
      <c r="T231" s="251"/>
      <c r="U231" s="251"/>
      <c r="V231" s="251"/>
      <c r="W231" s="251"/>
      <c r="X231" s="251"/>
      <c r="Y231" s="251"/>
      <c r="Z231" s="251"/>
      <c r="AA231" s="251"/>
    </row>
    <row r="232" ht="14.25" customHeight="1">
      <c r="A232" s="98" t="s">
        <v>14307</v>
      </c>
      <c r="B232" s="108"/>
      <c r="C232" s="496" t="s">
        <v>14356</v>
      </c>
      <c r="D232" s="251"/>
      <c r="E232" s="137" t="s">
        <v>14309</v>
      </c>
      <c r="F232" s="137" t="s">
        <v>14350</v>
      </c>
      <c r="G232" s="365" t="s">
        <v>14311</v>
      </c>
      <c r="H232" s="137" t="s">
        <v>14312</v>
      </c>
      <c r="I232" s="497" t="s">
        <v>36</v>
      </c>
      <c r="J232" s="498" t="s">
        <v>4162</v>
      </c>
      <c r="K232" s="498" t="s">
        <v>2062</v>
      </c>
      <c r="L232" s="251"/>
      <c r="M232" s="251"/>
      <c r="N232" s="251"/>
      <c r="O232" s="251"/>
      <c r="P232" s="251"/>
      <c r="Q232" s="251"/>
      <c r="R232" s="251"/>
      <c r="S232" s="251"/>
      <c r="T232" s="251"/>
      <c r="U232" s="251"/>
      <c r="V232" s="251"/>
      <c r="W232" s="251"/>
      <c r="X232" s="251"/>
      <c r="Y232" s="251"/>
      <c r="Z232" s="251"/>
      <c r="AA232" s="251"/>
    </row>
    <row r="233" ht="14.25" customHeight="1">
      <c r="A233" s="98" t="s">
        <v>14307</v>
      </c>
      <c r="B233" s="108"/>
      <c r="C233" s="496" t="s">
        <v>14357</v>
      </c>
      <c r="D233" s="251"/>
      <c r="E233" s="137" t="s">
        <v>14309</v>
      </c>
      <c r="F233" s="137" t="s">
        <v>14353</v>
      </c>
      <c r="G233" s="365" t="s">
        <v>14318</v>
      </c>
      <c r="H233" s="137" t="s">
        <v>14319</v>
      </c>
      <c r="I233" s="497" t="s">
        <v>36</v>
      </c>
      <c r="J233" s="498" t="s">
        <v>4162</v>
      </c>
      <c r="K233" s="498" t="s">
        <v>2062</v>
      </c>
      <c r="L233" s="251"/>
      <c r="M233" s="251"/>
      <c r="N233" s="251"/>
      <c r="O233" s="251"/>
      <c r="P233" s="251"/>
      <c r="Q233" s="251"/>
      <c r="R233" s="251"/>
      <c r="S233" s="251"/>
      <c r="T233" s="251"/>
      <c r="U233" s="251"/>
      <c r="V233" s="251"/>
      <c r="W233" s="251"/>
      <c r="X233" s="251"/>
      <c r="Y233" s="251"/>
      <c r="Z233" s="251"/>
      <c r="AA233" s="251"/>
    </row>
    <row r="234" ht="14.25" customHeight="1">
      <c r="A234" s="98" t="s">
        <v>14307</v>
      </c>
      <c r="B234" s="108"/>
      <c r="C234" s="496" t="s">
        <v>14358</v>
      </c>
      <c r="D234" s="251"/>
      <c r="E234" s="137" t="s">
        <v>14309</v>
      </c>
      <c r="F234" s="137" t="s">
        <v>14359</v>
      </c>
      <c r="G234" s="365" t="s">
        <v>14311</v>
      </c>
      <c r="H234" s="137" t="s">
        <v>14312</v>
      </c>
      <c r="I234" s="497" t="s">
        <v>36</v>
      </c>
      <c r="J234" s="498" t="s">
        <v>4162</v>
      </c>
      <c r="K234" s="498" t="s">
        <v>2062</v>
      </c>
      <c r="L234" s="251"/>
      <c r="M234" s="251"/>
      <c r="N234" s="251"/>
      <c r="O234" s="251"/>
      <c r="P234" s="251"/>
      <c r="Q234" s="251"/>
      <c r="R234" s="251"/>
      <c r="S234" s="251"/>
      <c r="T234" s="251"/>
      <c r="U234" s="251"/>
      <c r="V234" s="251"/>
      <c r="W234" s="251"/>
      <c r="X234" s="251"/>
      <c r="Y234" s="251"/>
      <c r="Z234" s="251"/>
      <c r="AA234" s="251"/>
    </row>
    <row r="235" ht="14.25" customHeight="1">
      <c r="A235" s="98" t="s">
        <v>14307</v>
      </c>
      <c r="B235" s="108"/>
      <c r="C235" s="496" t="s">
        <v>14360</v>
      </c>
      <c r="D235" s="251"/>
      <c r="E235" s="137" t="s">
        <v>14309</v>
      </c>
      <c r="F235" s="137" t="s">
        <v>14361</v>
      </c>
      <c r="G235" s="365" t="s">
        <v>14318</v>
      </c>
      <c r="H235" s="137" t="s">
        <v>14319</v>
      </c>
      <c r="I235" s="497" t="s">
        <v>36</v>
      </c>
      <c r="J235" s="498" t="s">
        <v>4162</v>
      </c>
      <c r="K235" s="498" t="s">
        <v>2062</v>
      </c>
      <c r="L235" s="251"/>
      <c r="M235" s="251"/>
      <c r="N235" s="251"/>
      <c r="O235" s="251"/>
      <c r="P235" s="251"/>
      <c r="Q235" s="251"/>
      <c r="R235" s="251"/>
      <c r="S235" s="251"/>
      <c r="T235" s="251"/>
      <c r="U235" s="251"/>
      <c r="V235" s="251"/>
      <c r="W235" s="251"/>
      <c r="X235" s="251"/>
      <c r="Y235" s="251"/>
      <c r="Z235" s="251"/>
      <c r="AA235" s="251"/>
    </row>
    <row r="236" ht="14.25" customHeight="1">
      <c r="A236" s="98" t="s">
        <v>14307</v>
      </c>
      <c r="B236" s="108"/>
      <c r="C236" s="496" t="s">
        <v>14362</v>
      </c>
      <c r="D236" s="251"/>
      <c r="E236" s="137" t="s">
        <v>14309</v>
      </c>
      <c r="F236" s="137" t="s">
        <v>14363</v>
      </c>
      <c r="G236" s="365" t="s">
        <v>14333</v>
      </c>
      <c r="H236" s="137" t="s">
        <v>14334</v>
      </c>
      <c r="I236" s="497" t="s">
        <v>36</v>
      </c>
      <c r="J236" s="498" t="s">
        <v>4162</v>
      </c>
      <c r="K236" s="498" t="s">
        <v>2062</v>
      </c>
      <c r="L236" s="251"/>
      <c r="M236" s="251"/>
      <c r="N236" s="251"/>
      <c r="O236" s="251"/>
      <c r="P236" s="251"/>
      <c r="Q236" s="251"/>
      <c r="R236" s="251"/>
      <c r="S236" s="251"/>
      <c r="T236" s="251"/>
      <c r="U236" s="251"/>
      <c r="V236" s="251"/>
      <c r="W236" s="251"/>
      <c r="X236" s="251"/>
      <c r="Y236" s="251"/>
      <c r="Z236" s="251"/>
      <c r="AA236" s="251"/>
    </row>
    <row r="237" ht="14.25" customHeight="1">
      <c r="A237" s="98" t="s">
        <v>14307</v>
      </c>
      <c r="B237" s="108"/>
      <c r="C237" s="496" t="s">
        <v>14364</v>
      </c>
      <c r="D237" s="251"/>
      <c r="E237" s="137" t="s">
        <v>14309</v>
      </c>
      <c r="F237" s="137" t="s">
        <v>14365</v>
      </c>
      <c r="G237" s="365" t="s">
        <v>14318</v>
      </c>
      <c r="H237" s="137" t="s">
        <v>14319</v>
      </c>
      <c r="I237" s="497" t="s">
        <v>36</v>
      </c>
      <c r="J237" s="498" t="s">
        <v>4162</v>
      </c>
      <c r="K237" s="498" t="s">
        <v>2062</v>
      </c>
      <c r="L237" s="251"/>
      <c r="M237" s="251"/>
      <c r="N237" s="251"/>
      <c r="O237" s="251"/>
      <c r="P237" s="251"/>
      <c r="Q237" s="251"/>
      <c r="R237" s="251"/>
      <c r="S237" s="251"/>
      <c r="T237" s="251"/>
      <c r="U237" s="251"/>
      <c r="V237" s="251"/>
      <c r="W237" s="251"/>
      <c r="X237" s="251"/>
      <c r="Y237" s="251"/>
      <c r="Z237" s="251"/>
      <c r="AA237" s="251"/>
    </row>
    <row r="238" ht="14.25" customHeight="1">
      <c r="A238" s="98" t="s">
        <v>14307</v>
      </c>
      <c r="B238" s="108"/>
      <c r="C238" s="496" t="s">
        <v>14366</v>
      </c>
      <c r="D238" s="251"/>
      <c r="E238" s="137" t="s">
        <v>14309</v>
      </c>
      <c r="F238" s="137" t="s">
        <v>14367</v>
      </c>
      <c r="G238" s="365" t="s">
        <v>14339</v>
      </c>
      <c r="H238" s="137" t="s">
        <v>14340</v>
      </c>
      <c r="I238" s="497" t="s">
        <v>36</v>
      </c>
      <c r="J238" s="498" t="s">
        <v>4162</v>
      </c>
      <c r="K238" s="498" t="s">
        <v>2062</v>
      </c>
      <c r="L238" s="251"/>
      <c r="M238" s="251"/>
      <c r="N238" s="251"/>
      <c r="O238" s="251"/>
      <c r="P238" s="251"/>
      <c r="Q238" s="251"/>
      <c r="R238" s="251"/>
      <c r="S238" s="251"/>
      <c r="T238" s="251"/>
      <c r="U238" s="251"/>
      <c r="V238" s="251"/>
      <c r="W238" s="251"/>
      <c r="X238" s="251"/>
      <c r="Y238" s="251"/>
      <c r="Z238" s="251"/>
      <c r="AA238" s="251"/>
    </row>
    <row r="239" ht="14.25" customHeight="1">
      <c r="A239" s="98" t="s">
        <v>14307</v>
      </c>
      <c r="B239" s="108"/>
      <c r="C239" s="496" t="s">
        <v>14368</v>
      </c>
      <c r="D239" s="251"/>
      <c r="E239" s="137" t="s">
        <v>14309</v>
      </c>
      <c r="F239" s="137" t="s">
        <v>14369</v>
      </c>
      <c r="G239" s="365" t="s">
        <v>14311</v>
      </c>
      <c r="H239" s="137" t="s">
        <v>14312</v>
      </c>
      <c r="I239" s="497" t="s">
        <v>36</v>
      </c>
      <c r="J239" s="498" t="s">
        <v>4162</v>
      </c>
      <c r="K239" s="498" t="s">
        <v>2062</v>
      </c>
      <c r="L239" s="251"/>
      <c r="M239" s="251"/>
      <c r="N239" s="251"/>
      <c r="O239" s="251"/>
      <c r="P239" s="251"/>
      <c r="Q239" s="251"/>
      <c r="R239" s="251"/>
      <c r="S239" s="251"/>
      <c r="T239" s="251"/>
      <c r="U239" s="251"/>
      <c r="V239" s="251"/>
      <c r="W239" s="251"/>
      <c r="X239" s="251"/>
      <c r="Y239" s="251"/>
      <c r="Z239" s="251"/>
      <c r="AA239" s="251"/>
    </row>
    <row r="240" ht="14.25" customHeight="1">
      <c r="A240" s="98" t="s">
        <v>14307</v>
      </c>
      <c r="B240" s="108"/>
      <c r="C240" s="496" t="s">
        <v>14370</v>
      </c>
      <c r="D240" s="251"/>
      <c r="E240" s="137" t="s">
        <v>14309</v>
      </c>
      <c r="F240" s="137" t="s">
        <v>14371</v>
      </c>
      <c r="G240" s="365" t="s">
        <v>14314</v>
      </c>
      <c r="H240" s="137" t="s">
        <v>14315</v>
      </c>
      <c r="I240" s="497" t="s">
        <v>36</v>
      </c>
      <c r="J240" s="498" t="s">
        <v>4162</v>
      </c>
      <c r="K240" s="498" t="s">
        <v>2062</v>
      </c>
      <c r="L240" s="251"/>
      <c r="M240" s="251"/>
      <c r="N240" s="251"/>
      <c r="O240" s="251"/>
      <c r="P240" s="251"/>
      <c r="Q240" s="251"/>
      <c r="R240" s="251"/>
      <c r="S240" s="251"/>
      <c r="T240" s="251"/>
      <c r="U240" s="251"/>
      <c r="V240" s="251"/>
      <c r="W240" s="251"/>
      <c r="X240" s="251"/>
      <c r="Y240" s="251"/>
      <c r="Z240" s="251"/>
      <c r="AA240" s="251"/>
    </row>
    <row r="241" ht="14.25" customHeight="1">
      <c r="A241" s="98" t="s">
        <v>14307</v>
      </c>
      <c r="B241" s="108"/>
      <c r="C241" s="496" t="s">
        <v>14372</v>
      </c>
      <c r="D241" s="251"/>
      <c r="E241" s="137" t="s">
        <v>14309</v>
      </c>
      <c r="F241" s="137" t="s">
        <v>14373</v>
      </c>
      <c r="G241" s="365" t="s">
        <v>14318</v>
      </c>
      <c r="H241" s="137" t="s">
        <v>14319</v>
      </c>
      <c r="I241" s="497" t="s">
        <v>36</v>
      </c>
      <c r="J241" s="498" t="s">
        <v>4162</v>
      </c>
      <c r="K241" s="498" t="s">
        <v>2062</v>
      </c>
      <c r="L241" s="251"/>
      <c r="M241" s="251"/>
      <c r="N241" s="251"/>
      <c r="O241" s="251"/>
      <c r="P241" s="251"/>
      <c r="Q241" s="251"/>
      <c r="R241" s="251"/>
      <c r="S241" s="251"/>
      <c r="T241" s="251"/>
      <c r="U241" s="251"/>
      <c r="V241" s="251"/>
      <c r="W241" s="251"/>
      <c r="X241" s="251"/>
      <c r="Y241" s="251"/>
      <c r="Z241" s="251"/>
      <c r="AA241" s="251"/>
    </row>
    <row r="242" ht="14.25" customHeight="1">
      <c r="A242" s="98" t="s">
        <v>14307</v>
      </c>
      <c r="B242" s="108"/>
      <c r="C242" s="496" t="s">
        <v>14374</v>
      </c>
      <c r="D242" s="251"/>
      <c r="E242" s="137" t="s">
        <v>14309</v>
      </c>
      <c r="F242" s="137" t="s">
        <v>14375</v>
      </c>
      <c r="G242" s="365" t="s">
        <v>14314</v>
      </c>
      <c r="H242" s="137" t="s">
        <v>14322</v>
      </c>
      <c r="I242" s="497" t="s">
        <v>36</v>
      </c>
      <c r="J242" s="498" t="s">
        <v>4162</v>
      </c>
      <c r="K242" s="498" t="s">
        <v>2062</v>
      </c>
      <c r="L242" s="251"/>
      <c r="M242" s="251"/>
      <c r="N242" s="251"/>
      <c r="O242" s="251"/>
      <c r="P242" s="251"/>
      <c r="Q242" s="251"/>
      <c r="R242" s="251"/>
      <c r="S242" s="251"/>
      <c r="T242" s="251"/>
      <c r="U242" s="251"/>
      <c r="V242" s="251"/>
      <c r="W242" s="251"/>
      <c r="X242" s="251"/>
      <c r="Y242" s="251"/>
      <c r="Z242" s="251"/>
      <c r="AA242" s="251"/>
    </row>
    <row r="243" ht="14.25" customHeight="1">
      <c r="A243" s="98" t="s">
        <v>14307</v>
      </c>
      <c r="B243" s="109"/>
      <c r="C243" s="496" t="s">
        <v>14376</v>
      </c>
      <c r="D243" s="251"/>
      <c r="E243" s="137" t="s">
        <v>14309</v>
      </c>
      <c r="F243" s="137" t="s">
        <v>14371</v>
      </c>
      <c r="G243" s="365" t="s">
        <v>14311</v>
      </c>
      <c r="H243" s="137" t="s">
        <v>14312</v>
      </c>
      <c r="I243" s="497" t="s">
        <v>36</v>
      </c>
      <c r="J243" s="498" t="s">
        <v>4162</v>
      </c>
      <c r="K243" s="498" t="s">
        <v>2062</v>
      </c>
      <c r="L243" s="251"/>
      <c r="M243" s="251"/>
      <c r="N243" s="251"/>
      <c r="O243" s="251"/>
      <c r="P243" s="251"/>
      <c r="Q243" s="251"/>
      <c r="R243" s="251"/>
      <c r="S243" s="251"/>
      <c r="T243" s="251"/>
      <c r="U243" s="251"/>
      <c r="V243" s="251"/>
      <c r="W243" s="251"/>
      <c r="X243" s="251"/>
      <c r="Y243" s="251"/>
      <c r="Z243" s="251"/>
      <c r="AA243" s="251"/>
    </row>
    <row r="244" ht="14.25" customHeight="1">
      <c r="A244" s="98" t="s">
        <v>14377</v>
      </c>
      <c r="B244" s="499"/>
      <c r="C244" s="496" t="s">
        <v>14378</v>
      </c>
      <c r="D244" s="251"/>
      <c r="E244" s="502" t="s">
        <v>14379</v>
      </c>
      <c r="F244" s="137" t="s">
        <v>14380</v>
      </c>
      <c r="G244" s="137" t="s">
        <v>14381</v>
      </c>
      <c r="H244" s="137" t="s">
        <v>14382</v>
      </c>
      <c r="I244" s="497" t="s">
        <v>317</v>
      </c>
      <c r="J244" s="498" t="s">
        <v>4162</v>
      </c>
      <c r="K244" s="498" t="s">
        <v>1784</v>
      </c>
      <c r="L244" s="98" t="s">
        <v>14383</v>
      </c>
      <c r="M244" s="251"/>
      <c r="N244" s="251"/>
      <c r="O244" s="251"/>
      <c r="P244" s="251"/>
      <c r="Q244" s="251"/>
      <c r="R244" s="251"/>
      <c r="S244" s="251"/>
      <c r="T244" s="251"/>
      <c r="U244" s="251"/>
      <c r="V244" s="251"/>
      <c r="W244" s="251"/>
      <c r="X244" s="251"/>
      <c r="Y244" s="251"/>
      <c r="Z244" s="251"/>
      <c r="AA244" s="251"/>
    </row>
    <row r="245" ht="14.25" customHeight="1">
      <c r="A245" s="98" t="s">
        <v>14377</v>
      </c>
      <c r="B245" s="108"/>
      <c r="C245" s="496" t="s">
        <v>14384</v>
      </c>
      <c r="D245" s="251"/>
      <c r="E245" s="502" t="s">
        <v>14379</v>
      </c>
      <c r="F245" s="137" t="s">
        <v>14385</v>
      </c>
      <c r="G245" s="137" t="s">
        <v>14381</v>
      </c>
      <c r="H245" s="137" t="s">
        <v>14386</v>
      </c>
      <c r="I245" s="497" t="s">
        <v>317</v>
      </c>
      <c r="J245" s="498" t="s">
        <v>4162</v>
      </c>
      <c r="K245" s="498" t="s">
        <v>1784</v>
      </c>
      <c r="L245" s="251"/>
      <c r="M245" s="251"/>
      <c r="N245" s="251"/>
      <c r="O245" s="251"/>
      <c r="P245" s="251"/>
      <c r="Q245" s="251"/>
      <c r="R245" s="251"/>
      <c r="S245" s="251"/>
      <c r="T245" s="251"/>
      <c r="U245" s="251"/>
      <c r="V245" s="251"/>
      <c r="W245" s="251"/>
      <c r="X245" s="251"/>
      <c r="Y245" s="251"/>
      <c r="Z245" s="251"/>
      <c r="AA245" s="251"/>
    </row>
    <row r="246" ht="14.25" customHeight="1">
      <c r="A246" s="98" t="s">
        <v>14377</v>
      </c>
      <c r="B246" s="108"/>
      <c r="C246" s="496" t="s">
        <v>14387</v>
      </c>
      <c r="D246" s="251"/>
      <c r="E246" s="502" t="s">
        <v>14379</v>
      </c>
      <c r="F246" s="137" t="s">
        <v>14388</v>
      </c>
      <c r="G246" s="137" t="s">
        <v>14381</v>
      </c>
      <c r="H246" s="137" t="s">
        <v>14389</v>
      </c>
      <c r="I246" s="497" t="s">
        <v>317</v>
      </c>
      <c r="J246" s="498" t="s">
        <v>4162</v>
      </c>
      <c r="K246" s="498" t="s">
        <v>1784</v>
      </c>
      <c r="L246" s="251"/>
      <c r="M246" s="251"/>
      <c r="N246" s="251"/>
      <c r="O246" s="251"/>
      <c r="P246" s="251"/>
      <c r="Q246" s="251"/>
      <c r="R246" s="251"/>
      <c r="S246" s="251"/>
      <c r="T246" s="251"/>
      <c r="U246" s="251"/>
      <c r="V246" s="251"/>
      <c r="W246" s="251"/>
      <c r="X246" s="251"/>
      <c r="Y246" s="251"/>
      <c r="Z246" s="251"/>
      <c r="AA246" s="251"/>
    </row>
    <row r="247" ht="14.25" customHeight="1">
      <c r="A247" s="98" t="s">
        <v>14377</v>
      </c>
      <c r="B247" s="108"/>
      <c r="C247" s="496" t="s">
        <v>14390</v>
      </c>
      <c r="D247" s="251"/>
      <c r="E247" s="502" t="s">
        <v>14379</v>
      </c>
      <c r="F247" s="137" t="s">
        <v>14391</v>
      </c>
      <c r="G247" s="137" t="s">
        <v>14381</v>
      </c>
      <c r="H247" s="137" t="s">
        <v>14392</v>
      </c>
      <c r="I247" s="497" t="s">
        <v>317</v>
      </c>
      <c r="J247" s="498" t="s">
        <v>4162</v>
      </c>
      <c r="K247" s="498" t="s">
        <v>1784</v>
      </c>
      <c r="L247" s="251"/>
      <c r="M247" s="251"/>
      <c r="N247" s="251"/>
      <c r="O247" s="251"/>
      <c r="P247" s="251"/>
      <c r="Q247" s="251"/>
      <c r="R247" s="251"/>
      <c r="S247" s="251"/>
      <c r="T247" s="251"/>
      <c r="U247" s="251"/>
      <c r="V247" s="251"/>
      <c r="W247" s="251"/>
      <c r="X247" s="251"/>
      <c r="Y247" s="251"/>
      <c r="Z247" s="251"/>
      <c r="AA247" s="251"/>
    </row>
    <row r="248" ht="14.25" customHeight="1">
      <c r="A248" s="98" t="s">
        <v>14377</v>
      </c>
      <c r="B248" s="109"/>
      <c r="C248" s="496" t="s">
        <v>14393</v>
      </c>
      <c r="D248" s="251"/>
      <c r="E248" s="502" t="s">
        <v>14379</v>
      </c>
      <c r="F248" s="137" t="s">
        <v>14394</v>
      </c>
      <c r="G248" s="137" t="s">
        <v>14381</v>
      </c>
      <c r="H248" s="137" t="s">
        <v>14395</v>
      </c>
      <c r="I248" s="497" t="s">
        <v>317</v>
      </c>
      <c r="J248" s="498" t="s">
        <v>4162</v>
      </c>
      <c r="K248" s="498" t="s">
        <v>1784</v>
      </c>
      <c r="L248" s="251"/>
      <c r="M248" s="251"/>
      <c r="N248" s="251"/>
      <c r="O248" s="251"/>
      <c r="P248" s="251"/>
      <c r="Q248" s="251"/>
      <c r="R248" s="251"/>
      <c r="S248" s="251"/>
      <c r="T248" s="251"/>
      <c r="U248" s="251"/>
      <c r="V248" s="251"/>
      <c r="W248" s="251"/>
      <c r="X248" s="251"/>
      <c r="Y248" s="251"/>
      <c r="Z248" s="251"/>
      <c r="AA248" s="251"/>
    </row>
    <row r="249" ht="14.25" customHeight="1">
      <c r="A249" s="98" t="s">
        <v>4261</v>
      </c>
      <c r="B249" s="499"/>
      <c r="C249" s="496" t="s">
        <v>4263</v>
      </c>
      <c r="D249" s="251"/>
      <c r="E249" s="365" t="s">
        <v>14396</v>
      </c>
      <c r="F249" s="137" t="s">
        <v>4264</v>
      </c>
      <c r="G249" s="365" t="s">
        <v>4265</v>
      </c>
      <c r="H249" s="365" t="s">
        <v>4266</v>
      </c>
      <c r="I249" s="497" t="s">
        <v>36</v>
      </c>
      <c r="J249" s="498" t="s">
        <v>4162</v>
      </c>
      <c r="K249" s="498" t="s">
        <v>2062</v>
      </c>
      <c r="L249" s="251"/>
      <c r="M249" s="251"/>
      <c r="N249" s="251"/>
      <c r="O249" s="251"/>
      <c r="P249" s="251"/>
      <c r="Q249" s="251"/>
      <c r="R249" s="251"/>
      <c r="S249" s="251"/>
      <c r="T249" s="251"/>
      <c r="U249" s="251"/>
      <c r="V249" s="251"/>
      <c r="W249" s="251"/>
      <c r="X249" s="251"/>
      <c r="Y249" s="251"/>
      <c r="Z249" s="251"/>
      <c r="AA249" s="251"/>
    </row>
    <row r="250" ht="14.25" customHeight="1">
      <c r="A250" s="98" t="s">
        <v>4261</v>
      </c>
      <c r="B250" s="108"/>
      <c r="C250" s="496" t="s">
        <v>4267</v>
      </c>
      <c r="D250" s="251"/>
      <c r="E250" s="365" t="s">
        <v>14396</v>
      </c>
      <c r="F250" s="137" t="s">
        <v>4264</v>
      </c>
      <c r="G250" s="365" t="s">
        <v>4268</v>
      </c>
      <c r="H250" s="365" t="s">
        <v>4269</v>
      </c>
      <c r="I250" s="497" t="s">
        <v>36</v>
      </c>
      <c r="J250" s="498" t="s">
        <v>4162</v>
      </c>
      <c r="K250" s="498" t="s">
        <v>2062</v>
      </c>
      <c r="L250" s="251"/>
      <c r="M250" s="251"/>
      <c r="N250" s="251"/>
      <c r="O250" s="251"/>
      <c r="P250" s="251"/>
      <c r="Q250" s="251"/>
      <c r="R250" s="251"/>
      <c r="S250" s="251"/>
      <c r="T250" s="251"/>
      <c r="U250" s="251"/>
      <c r="V250" s="251"/>
      <c r="W250" s="251"/>
      <c r="X250" s="251"/>
      <c r="Y250" s="251"/>
      <c r="Z250" s="251"/>
      <c r="AA250" s="251"/>
    </row>
    <row r="251" ht="14.25" customHeight="1">
      <c r="A251" s="98" t="s">
        <v>4261</v>
      </c>
      <c r="B251" s="108"/>
      <c r="C251" s="496" t="s">
        <v>4270</v>
      </c>
      <c r="D251" s="251"/>
      <c r="E251" s="365" t="s">
        <v>14396</v>
      </c>
      <c r="F251" s="137" t="s">
        <v>4271</v>
      </c>
      <c r="G251" s="365" t="s">
        <v>4265</v>
      </c>
      <c r="H251" s="365" t="s">
        <v>4272</v>
      </c>
      <c r="I251" s="497" t="s">
        <v>36</v>
      </c>
      <c r="J251" s="498" t="s">
        <v>4162</v>
      </c>
      <c r="K251" s="498" t="s">
        <v>2062</v>
      </c>
      <c r="L251" s="251"/>
      <c r="M251" s="251"/>
      <c r="N251" s="251"/>
      <c r="O251" s="251"/>
      <c r="P251" s="251"/>
      <c r="Q251" s="251"/>
      <c r="R251" s="251"/>
      <c r="S251" s="251"/>
      <c r="T251" s="251"/>
      <c r="U251" s="251"/>
      <c r="V251" s="251"/>
      <c r="W251" s="251"/>
      <c r="X251" s="251"/>
      <c r="Y251" s="251"/>
      <c r="Z251" s="251"/>
      <c r="AA251" s="251"/>
    </row>
    <row r="252" ht="14.25" customHeight="1">
      <c r="A252" s="98" t="s">
        <v>4261</v>
      </c>
      <c r="B252" s="108"/>
      <c r="C252" s="496" t="s">
        <v>4273</v>
      </c>
      <c r="D252" s="251"/>
      <c r="E252" s="365" t="s">
        <v>14396</v>
      </c>
      <c r="F252" s="137" t="s">
        <v>4274</v>
      </c>
      <c r="G252" s="365" t="s">
        <v>4268</v>
      </c>
      <c r="H252" s="365" t="s">
        <v>4275</v>
      </c>
      <c r="I252" s="497" t="s">
        <v>36</v>
      </c>
      <c r="J252" s="498" t="s">
        <v>4162</v>
      </c>
      <c r="K252" s="498" t="s">
        <v>2062</v>
      </c>
      <c r="L252" s="251"/>
      <c r="M252" s="251"/>
      <c r="N252" s="251"/>
      <c r="O252" s="251"/>
      <c r="P252" s="251"/>
      <c r="Q252" s="251"/>
      <c r="R252" s="251"/>
      <c r="S252" s="251"/>
      <c r="T252" s="251"/>
      <c r="U252" s="251"/>
      <c r="V252" s="251"/>
      <c r="W252" s="251"/>
      <c r="X252" s="251"/>
      <c r="Y252" s="251"/>
      <c r="Z252" s="251"/>
      <c r="AA252" s="251"/>
    </row>
    <row r="253" ht="14.25" customHeight="1">
      <c r="A253" s="98" t="s">
        <v>4261</v>
      </c>
      <c r="B253" s="108"/>
      <c r="C253" s="496" t="s">
        <v>4276</v>
      </c>
      <c r="D253" s="251"/>
      <c r="E253" s="365" t="s">
        <v>14396</v>
      </c>
      <c r="F253" s="137" t="s">
        <v>4277</v>
      </c>
      <c r="G253" s="365" t="s">
        <v>4265</v>
      </c>
      <c r="H253" s="365" t="s">
        <v>4278</v>
      </c>
      <c r="I253" s="497" t="s">
        <v>36</v>
      </c>
      <c r="J253" s="498" t="s">
        <v>4162</v>
      </c>
      <c r="K253" s="498" t="s">
        <v>2062</v>
      </c>
      <c r="L253" s="251"/>
      <c r="M253" s="251"/>
      <c r="N253" s="251"/>
      <c r="O253" s="251"/>
      <c r="P253" s="251"/>
      <c r="Q253" s="251"/>
      <c r="R253" s="251"/>
      <c r="S253" s="251"/>
      <c r="T253" s="251"/>
      <c r="U253" s="251"/>
      <c r="V253" s="251"/>
      <c r="W253" s="251"/>
      <c r="X253" s="251"/>
      <c r="Y253" s="251"/>
      <c r="Z253" s="251"/>
      <c r="AA253" s="251"/>
    </row>
    <row r="254" ht="14.25" customHeight="1">
      <c r="A254" s="98" t="s">
        <v>4261</v>
      </c>
      <c r="B254" s="108"/>
      <c r="C254" s="496" t="s">
        <v>4279</v>
      </c>
      <c r="D254" s="251"/>
      <c r="E254" s="365" t="s">
        <v>14396</v>
      </c>
      <c r="F254" s="137" t="s">
        <v>4280</v>
      </c>
      <c r="G254" s="365" t="s">
        <v>4281</v>
      </c>
      <c r="H254" s="365" t="s">
        <v>4275</v>
      </c>
      <c r="I254" s="497" t="s">
        <v>36</v>
      </c>
      <c r="J254" s="498" t="s">
        <v>4162</v>
      </c>
      <c r="K254" s="498" t="s">
        <v>2062</v>
      </c>
      <c r="L254" s="251"/>
      <c r="M254" s="251"/>
      <c r="N254" s="251"/>
      <c r="O254" s="251"/>
      <c r="P254" s="251"/>
      <c r="Q254" s="251"/>
      <c r="R254" s="251"/>
      <c r="S254" s="251"/>
      <c r="T254" s="251"/>
      <c r="U254" s="251"/>
      <c r="V254" s="251"/>
      <c r="W254" s="251"/>
      <c r="X254" s="251"/>
      <c r="Y254" s="251"/>
      <c r="Z254" s="251"/>
      <c r="AA254" s="251"/>
    </row>
    <row r="255" ht="14.25" customHeight="1">
      <c r="A255" s="98" t="s">
        <v>4261</v>
      </c>
      <c r="B255" s="108"/>
      <c r="C255" s="496" t="s">
        <v>4282</v>
      </c>
      <c r="D255" s="251"/>
      <c r="E255" s="365" t="s">
        <v>14396</v>
      </c>
      <c r="F255" s="137" t="s">
        <v>4283</v>
      </c>
      <c r="G255" s="365" t="s">
        <v>4265</v>
      </c>
      <c r="H255" s="365" t="s">
        <v>4284</v>
      </c>
      <c r="I255" s="497" t="s">
        <v>36</v>
      </c>
      <c r="J255" s="498" t="s">
        <v>4162</v>
      </c>
      <c r="K255" s="498" t="s">
        <v>2062</v>
      </c>
      <c r="L255" s="251"/>
      <c r="M255" s="251"/>
      <c r="N255" s="251"/>
      <c r="O255" s="251"/>
      <c r="P255" s="251"/>
      <c r="Q255" s="251"/>
      <c r="R255" s="251"/>
      <c r="S255" s="251"/>
      <c r="T255" s="251"/>
      <c r="U255" s="251"/>
      <c r="V255" s="251"/>
      <c r="W255" s="251"/>
      <c r="X255" s="251"/>
      <c r="Y255" s="251"/>
      <c r="Z255" s="251"/>
      <c r="AA255" s="251"/>
    </row>
    <row r="256" ht="14.25" customHeight="1">
      <c r="A256" s="98" t="s">
        <v>4261</v>
      </c>
      <c r="B256" s="108"/>
      <c r="C256" s="496" t="s">
        <v>4285</v>
      </c>
      <c r="D256" s="251"/>
      <c r="E256" s="365" t="s">
        <v>14396</v>
      </c>
      <c r="F256" s="137" t="s">
        <v>4286</v>
      </c>
      <c r="G256" s="365" t="s">
        <v>4287</v>
      </c>
      <c r="H256" s="365" t="s">
        <v>4275</v>
      </c>
      <c r="I256" s="497" t="s">
        <v>36</v>
      </c>
      <c r="J256" s="498" t="s">
        <v>4162</v>
      </c>
      <c r="K256" s="498" t="s">
        <v>2062</v>
      </c>
      <c r="L256" s="251"/>
      <c r="M256" s="251"/>
      <c r="N256" s="251"/>
      <c r="O256" s="251"/>
      <c r="P256" s="251"/>
      <c r="Q256" s="251"/>
      <c r="R256" s="251"/>
      <c r="S256" s="251"/>
      <c r="T256" s="251"/>
      <c r="U256" s="251"/>
      <c r="V256" s="251"/>
      <c r="W256" s="251"/>
      <c r="X256" s="251"/>
      <c r="Y256" s="251"/>
      <c r="Z256" s="251"/>
      <c r="AA256" s="251"/>
    </row>
    <row r="257" ht="14.25" customHeight="1">
      <c r="A257" s="98" t="s">
        <v>4261</v>
      </c>
      <c r="B257" s="108"/>
      <c r="C257" s="496" t="s">
        <v>4288</v>
      </c>
      <c r="D257" s="251"/>
      <c r="E257" s="365" t="s">
        <v>14396</v>
      </c>
      <c r="F257" s="137" t="s">
        <v>4289</v>
      </c>
      <c r="G257" s="365" t="s">
        <v>4265</v>
      </c>
      <c r="H257" s="365" t="s">
        <v>4290</v>
      </c>
      <c r="I257" s="497" t="s">
        <v>36</v>
      </c>
      <c r="J257" s="498" t="s">
        <v>4162</v>
      </c>
      <c r="K257" s="498" t="s">
        <v>2062</v>
      </c>
      <c r="L257" s="251"/>
      <c r="M257" s="251"/>
      <c r="N257" s="251"/>
      <c r="O257" s="251"/>
      <c r="P257" s="251"/>
      <c r="Q257" s="251"/>
      <c r="R257" s="251"/>
      <c r="S257" s="251"/>
      <c r="T257" s="251"/>
      <c r="U257" s="251"/>
      <c r="V257" s="251"/>
      <c r="W257" s="251"/>
      <c r="X257" s="251"/>
      <c r="Y257" s="251"/>
      <c r="Z257" s="251"/>
      <c r="AA257" s="251"/>
    </row>
    <row r="258" ht="14.25" customHeight="1">
      <c r="A258" s="98" t="s">
        <v>4261</v>
      </c>
      <c r="B258" s="108"/>
      <c r="C258" s="496" t="s">
        <v>4291</v>
      </c>
      <c r="D258" s="251"/>
      <c r="E258" s="365" t="s">
        <v>14396</v>
      </c>
      <c r="F258" s="137" t="s">
        <v>4292</v>
      </c>
      <c r="G258" s="365" t="s">
        <v>4293</v>
      </c>
      <c r="H258" s="365" t="s">
        <v>4275</v>
      </c>
      <c r="I258" s="497" t="s">
        <v>36</v>
      </c>
      <c r="J258" s="498" t="s">
        <v>4162</v>
      </c>
      <c r="K258" s="498" t="s">
        <v>2062</v>
      </c>
      <c r="L258" s="251"/>
      <c r="M258" s="251"/>
      <c r="N258" s="251"/>
      <c r="O258" s="251"/>
      <c r="P258" s="251"/>
      <c r="Q258" s="251"/>
      <c r="R258" s="251"/>
      <c r="S258" s="251"/>
      <c r="T258" s="251"/>
      <c r="U258" s="251"/>
      <c r="V258" s="251"/>
      <c r="W258" s="251"/>
      <c r="X258" s="251"/>
      <c r="Y258" s="251"/>
      <c r="Z258" s="251"/>
      <c r="AA258" s="251"/>
    </row>
    <row r="259" ht="14.25" customHeight="1">
      <c r="A259" s="98" t="s">
        <v>4261</v>
      </c>
      <c r="B259" s="109"/>
      <c r="C259" s="496" t="s">
        <v>4294</v>
      </c>
      <c r="D259" s="251"/>
      <c r="E259" s="365" t="s">
        <v>14396</v>
      </c>
      <c r="F259" s="137" t="s">
        <v>4295</v>
      </c>
      <c r="G259" s="365" t="s">
        <v>4296</v>
      </c>
      <c r="H259" s="365" t="s">
        <v>4297</v>
      </c>
      <c r="I259" s="497" t="s">
        <v>36</v>
      </c>
      <c r="J259" s="498" t="s">
        <v>4162</v>
      </c>
      <c r="K259" s="498" t="s">
        <v>2062</v>
      </c>
      <c r="L259" s="251"/>
      <c r="M259" s="251"/>
      <c r="N259" s="251"/>
      <c r="O259" s="251"/>
      <c r="P259" s="251"/>
      <c r="Q259" s="251"/>
      <c r="R259" s="251"/>
      <c r="S259" s="251"/>
      <c r="T259" s="251"/>
      <c r="U259" s="251"/>
      <c r="V259" s="251"/>
      <c r="W259" s="251"/>
      <c r="X259" s="251"/>
      <c r="Y259" s="251"/>
      <c r="Z259" s="251"/>
      <c r="AA259" s="251"/>
    </row>
    <row r="260" ht="14.25" customHeight="1">
      <c r="A260" s="98" t="s">
        <v>5891</v>
      </c>
      <c r="B260" s="499"/>
      <c r="C260" s="496" t="s">
        <v>5892</v>
      </c>
      <c r="D260" s="251"/>
      <c r="E260" s="365" t="s">
        <v>14397</v>
      </c>
      <c r="F260" s="137" t="s">
        <v>14398</v>
      </c>
      <c r="G260" s="365" t="s">
        <v>14399</v>
      </c>
      <c r="H260" s="365" t="s">
        <v>14400</v>
      </c>
      <c r="I260" s="497" t="s">
        <v>36</v>
      </c>
      <c r="J260" s="498" t="s">
        <v>4162</v>
      </c>
      <c r="K260" s="498" t="s">
        <v>1784</v>
      </c>
      <c r="L260" s="251"/>
      <c r="M260" s="251"/>
      <c r="N260" s="251"/>
      <c r="O260" s="251"/>
      <c r="P260" s="251"/>
      <c r="Q260" s="251"/>
      <c r="R260" s="251"/>
      <c r="S260" s="251"/>
      <c r="T260" s="251"/>
      <c r="U260" s="251"/>
      <c r="V260" s="251"/>
      <c r="W260" s="251"/>
      <c r="X260" s="251"/>
      <c r="Y260" s="251"/>
      <c r="Z260" s="251"/>
      <c r="AA260" s="251"/>
    </row>
    <row r="261" ht="14.25" customHeight="1">
      <c r="A261" s="98" t="s">
        <v>5891</v>
      </c>
      <c r="B261" s="108"/>
      <c r="C261" s="496" t="s">
        <v>5896</v>
      </c>
      <c r="D261" s="251"/>
      <c r="E261" s="365" t="s">
        <v>14397</v>
      </c>
      <c r="F261" s="137" t="s">
        <v>14401</v>
      </c>
      <c r="G261" s="365" t="s">
        <v>14399</v>
      </c>
      <c r="H261" s="365" t="s">
        <v>14400</v>
      </c>
      <c r="I261" s="497" t="s">
        <v>36</v>
      </c>
      <c r="J261" s="498" t="s">
        <v>4162</v>
      </c>
      <c r="K261" s="498" t="s">
        <v>1784</v>
      </c>
      <c r="L261" s="251"/>
      <c r="M261" s="251"/>
      <c r="N261" s="251"/>
      <c r="O261" s="251"/>
      <c r="P261" s="251"/>
      <c r="Q261" s="251"/>
      <c r="R261" s="251"/>
      <c r="S261" s="251"/>
      <c r="T261" s="251"/>
      <c r="U261" s="251"/>
      <c r="V261" s="251"/>
      <c r="W261" s="251"/>
      <c r="X261" s="251"/>
      <c r="Y261" s="251"/>
      <c r="Z261" s="251"/>
      <c r="AA261" s="251"/>
    </row>
    <row r="262" ht="14.25" customHeight="1">
      <c r="A262" s="98" t="s">
        <v>5891</v>
      </c>
      <c r="B262" s="108"/>
      <c r="C262" s="496" t="s">
        <v>5899</v>
      </c>
      <c r="D262" s="251"/>
      <c r="E262" s="365" t="s">
        <v>14397</v>
      </c>
      <c r="F262" s="137" t="s">
        <v>14402</v>
      </c>
      <c r="G262" s="365" t="s">
        <v>14399</v>
      </c>
      <c r="H262" s="365" t="s">
        <v>14403</v>
      </c>
      <c r="I262" s="497" t="s">
        <v>36</v>
      </c>
      <c r="J262" s="498" t="s">
        <v>4162</v>
      </c>
      <c r="K262" s="498" t="s">
        <v>1784</v>
      </c>
      <c r="L262" s="251"/>
      <c r="M262" s="251"/>
      <c r="N262" s="251"/>
      <c r="O262" s="251"/>
      <c r="P262" s="251"/>
      <c r="Q262" s="251"/>
      <c r="R262" s="251"/>
      <c r="S262" s="251"/>
      <c r="T262" s="251"/>
      <c r="U262" s="251"/>
      <c r="V262" s="251"/>
      <c r="W262" s="251"/>
      <c r="X262" s="251"/>
      <c r="Y262" s="251"/>
      <c r="Z262" s="251"/>
      <c r="AA262" s="251"/>
    </row>
    <row r="263" ht="14.25" customHeight="1">
      <c r="A263" s="98" t="s">
        <v>5891</v>
      </c>
      <c r="B263" s="108"/>
      <c r="C263" s="496" t="s">
        <v>5902</v>
      </c>
      <c r="D263" s="251"/>
      <c r="E263" s="365" t="s">
        <v>14397</v>
      </c>
      <c r="F263" s="137" t="s">
        <v>14404</v>
      </c>
      <c r="G263" s="365" t="s">
        <v>14399</v>
      </c>
      <c r="H263" s="365" t="s">
        <v>14403</v>
      </c>
      <c r="I263" s="497" t="s">
        <v>36</v>
      </c>
      <c r="J263" s="498" t="s">
        <v>4162</v>
      </c>
      <c r="K263" s="498" t="s">
        <v>1784</v>
      </c>
      <c r="L263" s="251"/>
      <c r="M263" s="251"/>
      <c r="N263" s="251"/>
      <c r="O263" s="251"/>
      <c r="P263" s="251"/>
      <c r="Q263" s="251"/>
      <c r="R263" s="251"/>
      <c r="S263" s="251"/>
      <c r="T263" s="251"/>
      <c r="U263" s="251"/>
      <c r="V263" s="251"/>
      <c r="W263" s="251"/>
      <c r="X263" s="251"/>
      <c r="Y263" s="251"/>
      <c r="Z263" s="251"/>
      <c r="AA263" s="251"/>
    </row>
    <row r="264" ht="14.25" customHeight="1">
      <c r="A264" s="98" t="s">
        <v>5891</v>
      </c>
      <c r="B264" s="108"/>
      <c r="C264" s="496" t="s">
        <v>5903</v>
      </c>
      <c r="D264" s="251"/>
      <c r="E264" s="365" t="s">
        <v>14397</v>
      </c>
      <c r="F264" s="137" t="s">
        <v>14404</v>
      </c>
      <c r="G264" s="365" t="s">
        <v>14405</v>
      </c>
      <c r="H264" s="365" t="s">
        <v>14406</v>
      </c>
      <c r="I264" s="497" t="s">
        <v>36</v>
      </c>
      <c r="J264" s="498" t="s">
        <v>4162</v>
      </c>
      <c r="K264" s="498" t="s">
        <v>1784</v>
      </c>
      <c r="L264" s="251"/>
      <c r="M264" s="251"/>
      <c r="N264" s="251"/>
      <c r="O264" s="251"/>
      <c r="P264" s="251"/>
      <c r="Q264" s="251"/>
      <c r="R264" s="251"/>
      <c r="S264" s="251"/>
      <c r="T264" s="251"/>
      <c r="U264" s="251"/>
      <c r="V264" s="251"/>
      <c r="W264" s="251"/>
      <c r="X264" s="251"/>
      <c r="Y264" s="251"/>
      <c r="Z264" s="251"/>
      <c r="AA264" s="251"/>
    </row>
    <row r="265" ht="14.25" customHeight="1">
      <c r="A265" s="98" t="s">
        <v>5891</v>
      </c>
      <c r="B265" s="108"/>
      <c r="C265" s="496" t="s">
        <v>5905</v>
      </c>
      <c r="D265" s="251"/>
      <c r="E265" s="365" t="s">
        <v>14397</v>
      </c>
      <c r="F265" s="137" t="s">
        <v>14402</v>
      </c>
      <c r="G265" s="365" t="s">
        <v>14407</v>
      </c>
      <c r="H265" s="365" t="s">
        <v>14408</v>
      </c>
      <c r="I265" s="497" t="s">
        <v>36</v>
      </c>
      <c r="J265" s="498" t="s">
        <v>4162</v>
      </c>
      <c r="K265" s="263"/>
      <c r="L265" s="251"/>
      <c r="M265" s="251"/>
      <c r="N265" s="251"/>
      <c r="O265" s="251"/>
      <c r="P265" s="251"/>
      <c r="Q265" s="251"/>
      <c r="R265" s="251"/>
      <c r="S265" s="251"/>
      <c r="T265" s="251"/>
      <c r="U265" s="251"/>
      <c r="V265" s="251"/>
      <c r="W265" s="251"/>
      <c r="X265" s="251"/>
      <c r="Y265" s="251"/>
      <c r="Z265" s="251"/>
      <c r="AA265" s="251"/>
    </row>
    <row r="266" ht="14.25" customHeight="1">
      <c r="A266" s="98" t="s">
        <v>5891</v>
      </c>
      <c r="B266" s="108"/>
      <c r="C266" s="496" t="s">
        <v>14409</v>
      </c>
      <c r="D266" s="251"/>
      <c r="E266" s="365" t="s">
        <v>14397</v>
      </c>
      <c r="F266" s="137" t="s">
        <v>14410</v>
      </c>
      <c r="G266" s="365" t="s">
        <v>14399</v>
      </c>
      <c r="H266" s="365" t="s">
        <v>14400</v>
      </c>
      <c r="I266" s="497" t="s">
        <v>36</v>
      </c>
      <c r="J266" s="498" t="s">
        <v>4162</v>
      </c>
      <c r="K266" s="498" t="s">
        <v>1784</v>
      </c>
      <c r="L266" s="251"/>
      <c r="M266" s="251"/>
      <c r="N266" s="251"/>
      <c r="O266" s="251"/>
      <c r="P266" s="251"/>
      <c r="Q266" s="251"/>
      <c r="R266" s="251"/>
      <c r="S266" s="251"/>
      <c r="T266" s="251"/>
      <c r="U266" s="251"/>
      <c r="V266" s="251"/>
      <c r="W266" s="251"/>
      <c r="X266" s="251"/>
      <c r="Y266" s="251"/>
      <c r="Z266" s="251"/>
      <c r="AA266" s="251"/>
    </row>
    <row r="267" ht="14.25" customHeight="1">
      <c r="A267" s="98" t="s">
        <v>5891</v>
      </c>
      <c r="B267" s="108"/>
      <c r="C267" s="496" t="s">
        <v>14411</v>
      </c>
      <c r="D267" s="251"/>
      <c r="E267" s="365" t="s">
        <v>14397</v>
      </c>
      <c r="F267" s="137" t="s">
        <v>14412</v>
      </c>
      <c r="G267" s="365" t="s">
        <v>14399</v>
      </c>
      <c r="H267" s="365" t="s">
        <v>14400</v>
      </c>
      <c r="I267" s="497" t="s">
        <v>36</v>
      </c>
      <c r="J267" s="498" t="s">
        <v>4162</v>
      </c>
      <c r="K267" s="498" t="s">
        <v>1784</v>
      </c>
      <c r="L267" s="251"/>
      <c r="M267" s="251"/>
      <c r="N267" s="251"/>
      <c r="O267" s="251"/>
      <c r="P267" s="251"/>
      <c r="Q267" s="251"/>
      <c r="R267" s="251"/>
      <c r="S267" s="251"/>
      <c r="T267" s="251"/>
      <c r="U267" s="251"/>
      <c r="V267" s="251"/>
      <c r="W267" s="251"/>
      <c r="X267" s="251"/>
      <c r="Y267" s="251"/>
      <c r="Z267" s="251"/>
      <c r="AA267" s="251"/>
    </row>
    <row r="268" ht="14.25" customHeight="1">
      <c r="A268" s="98" t="s">
        <v>5891</v>
      </c>
      <c r="B268" s="108"/>
      <c r="C268" s="496" t="s">
        <v>14413</v>
      </c>
      <c r="D268" s="251"/>
      <c r="E268" s="365" t="s">
        <v>14397</v>
      </c>
      <c r="F268" s="137" t="s">
        <v>14414</v>
      </c>
      <c r="G268" s="365" t="s">
        <v>14399</v>
      </c>
      <c r="H268" s="365" t="s">
        <v>14403</v>
      </c>
      <c r="I268" s="497" t="s">
        <v>36</v>
      </c>
      <c r="J268" s="498" t="s">
        <v>4162</v>
      </c>
      <c r="K268" s="498" t="s">
        <v>1784</v>
      </c>
      <c r="L268" s="251"/>
      <c r="M268" s="251"/>
      <c r="N268" s="251"/>
      <c r="O268" s="251"/>
      <c r="P268" s="251"/>
      <c r="Q268" s="251"/>
      <c r="R268" s="251"/>
      <c r="S268" s="251"/>
      <c r="T268" s="251"/>
      <c r="U268" s="251"/>
      <c r="V268" s="251"/>
      <c r="W268" s="251"/>
      <c r="X268" s="251"/>
      <c r="Y268" s="251"/>
      <c r="Z268" s="251"/>
      <c r="AA268" s="251"/>
    </row>
    <row r="269" ht="14.25" customHeight="1">
      <c r="A269" s="98" t="s">
        <v>5891</v>
      </c>
      <c r="B269" s="108"/>
      <c r="C269" s="496" t="s">
        <v>14415</v>
      </c>
      <c r="D269" s="251"/>
      <c r="E269" s="365" t="s">
        <v>14397</v>
      </c>
      <c r="F269" s="137" t="s">
        <v>14416</v>
      </c>
      <c r="G269" s="365" t="s">
        <v>14399</v>
      </c>
      <c r="H269" s="365" t="s">
        <v>14403</v>
      </c>
      <c r="I269" s="497" t="s">
        <v>36</v>
      </c>
      <c r="J269" s="498" t="s">
        <v>4162</v>
      </c>
      <c r="K269" s="498" t="s">
        <v>1784</v>
      </c>
      <c r="L269" s="251"/>
      <c r="M269" s="251"/>
      <c r="N269" s="251"/>
      <c r="O269" s="251"/>
      <c r="P269" s="251"/>
      <c r="Q269" s="251"/>
      <c r="R269" s="251"/>
      <c r="S269" s="251"/>
      <c r="T269" s="251"/>
      <c r="U269" s="251"/>
      <c r="V269" s="251"/>
      <c r="W269" s="251"/>
      <c r="X269" s="251"/>
      <c r="Y269" s="251"/>
      <c r="Z269" s="251"/>
      <c r="AA269" s="251"/>
    </row>
    <row r="270" ht="14.25" customHeight="1">
      <c r="A270" s="98" t="s">
        <v>5891</v>
      </c>
      <c r="B270" s="108"/>
      <c r="C270" s="496" t="s">
        <v>14417</v>
      </c>
      <c r="D270" s="251"/>
      <c r="E270" s="365" t="s">
        <v>14397</v>
      </c>
      <c r="F270" s="137" t="s">
        <v>14416</v>
      </c>
      <c r="G270" s="365" t="s">
        <v>14405</v>
      </c>
      <c r="H270" s="365" t="s">
        <v>14406</v>
      </c>
      <c r="I270" s="497" t="s">
        <v>36</v>
      </c>
      <c r="J270" s="498" t="s">
        <v>4162</v>
      </c>
      <c r="K270" s="498" t="s">
        <v>1784</v>
      </c>
      <c r="L270" s="251"/>
      <c r="M270" s="251"/>
      <c r="N270" s="251"/>
      <c r="O270" s="251"/>
      <c r="P270" s="251"/>
      <c r="Q270" s="251"/>
      <c r="R270" s="251"/>
      <c r="S270" s="251"/>
      <c r="T270" s="251"/>
      <c r="U270" s="251"/>
      <c r="V270" s="251"/>
      <c r="W270" s="251"/>
      <c r="X270" s="251"/>
      <c r="Y270" s="251"/>
      <c r="Z270" s="251"/>
      <c r="AA270" s="251"/>
    </row>
    <row r="271" ht="14.25" customHeight="1">
      <c r="A271" s="98" t="s">
        <v>5891</v>
      </c>
      <c r="B271" s="108"/>
      <c r="C271" s="496" t="s">
        <v>14418</v>
      </c>
      <c r="D271" s="251"/>
      <c r="E271" s="365" t="s">
        <v>14397</v>
      </c>
      <c r="F271" s="137" t="s">
        <v>14414</v>
      </c>
      <c r="G271" s="365" t="s">
        <v>14407</v>
      </c>
      <c r="H271" s="365" t="s">
        <v>14408</v>
      </c>
      <c r="I271" s="497" t="s">
        <v>36</v>
      </c>
      <c r="J271" s="498" t="s">
        <v>4162</v>
      </c>
      <c r="K271" s="498" t="s">
        <v>1784</v>
      </c>
      <c r="L271" s="251"/>
      <c r="M271" s="251"/>
      <c r="N271" s="251"/>
      <c r="O271" s="251"/>
      <c r="P271" s="251"/>
      <c r="Q271" s="251"/>
      <c r="R271" s="251"/>
      <c r="S271" s="251"/>
      <c r="T271" s="251"/>
      <c r="U271" s="251"/>
      <c r="V271" s="251"/>
      <c r="W271" s="251"/>
      <c r="X271" s="251"/>
      <c r="Y271" s="251"/>
      <c r="Z271" s="251"/>
      <c r="AA271" s="251"/>
    </row>
    <row r="272" ht="14.25" customHeight="1">
      <c r="A272" s="98" t="s">
        <v>5891</v>
      </c>
      <c r="B272" s="108"/>
      <c r="C272" s="496" t="s">
        <v>14419</v>
      </c>
      <c r="D272" s="251"/>
      <c r="E272" s="365" t="s">
        <v>14397</v>
      </c>
      <c r="F272" s="137" t="s">
        <v>14420</v>
      </c>
      <c r="G272" s="365" t="s">
        <v>14399</v>
      </c>
      <c r="H272" s="365" t="s">
        <v>14400</v>
      </c>
      <c r="I272" s="497" t="s">
        <v>36</v>
      </c>
      <c r="J272" s="498" t="s">
        <v>4162</v>
      </c>
      <c r="K272" s="498" t="s">
        <v>1784</v>
      </c>
      <c r="L272" s="251"/>
      <c r="M272" s="251"/>
      <c r="N272" s="251"/>
      <c r="O272" s="251"/>
      <c r="P272" s="251"/>
      <c r="Q272" s="251"/>
      <c r="R272" s="251"/>
      <c r="S272" s="251"/>
      <c r="T272" s="251"/>
      <c r="U272" s="251"/>
      <c r="V272" s="251"/>
      <c r="W272" s="251"/>
      <c r="X272" s="251"/>
      <c r="Y272" s="251"/>
      <c r="Z272" s="251"/>
      <c r="AA272" s="251"/>
    </row>
    <row r="273" ht="14.25" customHeight="1">
      <c r="A273" s="98" t="s">
        <v>5891</v>
      </c>
      <c r="B273" s="108"/>
      <c r="C273" s="496" t="s">
        <v>14421</v>
      </c>
      <c r="D273" s="251"/>
      <c r="E273" s="365" t="s">
        <v>14397</v>
      </c>
      <c r="F273" s="137" t="s">
        <v>14422</v>
      </c>
      <c r="G273" s="365" t="s">
        <v>14399</v>
      </c>
      <c r="H273" s="365" t="s">
        <v>14400</v>
      </c>
      <c r="I273" s="497" t="s">
        <v>36</v>
      </c>
      <c r="J273" s="498" t="s">
        <v>4162</v>
      </c>
      <c r="K273" s="498" t="s">
        <v>1784</v>
      </c>
      <c r="L273" s="251"/>
      <c r="M273" s="251"/>
      <c r="N273" s="251"/>
      <c r="O273" s="251"/>
      <c r="P273" s="251"/>
      <c r="Q273" s="251"/>
      <c r="R273" s="251"/>
      <c r="S273" s="251"/>
      <c r="T273" s="251"/>
      <c r="U273" s="251"/>
      <c r="V273" s="251"/>
      <c r="W273" s="251"/>
      <c r="X273" s="251"/>
      <c r="Y273" s="251"/>
      <c r="Z273" s="251"/>
      <c r="AA273" s="251"/>
    </row>
    <row r="274" ht="14.25" customHeight="1">
      <c r="A274" s="98" t="s">
        <v>5891</v>
      </c>
      <c r="B274" s="108"/>
      <c r="C274" s="496" t="s">
        <v>14423</v>
      </c>
      <c r="D274" s="251"/>
      <c r="E274" s="365" t="s">
        <v>14397</v>
      </c>
      <c r="F274" s="137" t="s">
        <v>14424</v>
      </c>
      <c r="G274" s="365" t="s">
        <v>14399</v>
      </c>
      <c r="H274" s="365" t="s">
        <v>14403</v>
      </c>
      <c r="I274" s="497" t="s">
        <v>36</v>
      </c>
      <c r="J274" s="498" t="s">
        <v>4162</v>
      </c>
      <c r="K274" s="498" t="s">
        <v>1784</v>
      </c>
      <c r="L274" s="251"/>
      <c r="M274" s="251"/>
      <c r="N274" s="251"/>
      <c r="O274" s="251"/>
      <c r="P274" s="251"/>
      <c r="Q274" s="251"/>
      <c r="R274" s="251"/>
      <c r="S274" s="251"/>
      <c r="T274" s="251"/>
      <c r="U274" s="251"/>
      <c r="V274" s="251"/>
      <c r="W274" s="251"/>
      <c r="X274" s="251"/>
      <c r="Y274" s="251"/>
      <c r="Z274" s="251"/>
      <c r="AA274" s="251"/>
    </row>
    <row r="275" ht="14.25" customHeight="1">
      <c r="A275" s="98" t="s">
        <v>5891</v>
      </c>
      <c r="B275" s="108"/>
      <c r="C275" s="496" t="s">
        <v>14425</v>
      </c>
      <c r="D275" s="251"/>
      <c r="E275" s="365" t="s">
        <v>14397</v>
      </c>
      <c r="F275" s="137" t="s">
        <v>14426</v>
      </c>
      <c r="G275" s="365" t="s">
        <v>14399</v>
      </c>
      <c r="H275" s="365" t="s">
        <v>14403</v>
      </c>
      <c r="I275" s="497" t="s">
        <v>36</v>
      </c>
      <c r="J275" s="498" t="s">
        <v>4162</v>
      </c>
      <c r="K275" s="498" t="s">
        <v>1784</v>
      </c>
      <c r="L275" s="251"/>
      <c r="M275" s="251"/>
      <c r="N275" s="251"/>
      <c r="O275" s="251"/>
      <c r="P275" s="251"/>
      <c r="Q275" s="251"/>
      <c r="R275" s="251"/>
      <c r="S275" s="251"/>
      <c r="T275" s="251"/>
      <c r="U275" s="251"/>
      <c r="V275" s="251"/>
      <c r="W275" s="251"/>
      <c r="X275" s="251"/>
      <c r="Y275" s="251"/>
      <c r="Z275" s="251"/>
      <c r="AA275" s="251"/>
    </row>
    <row r="276" ht="14.25" customHeight="1">
      <c r="A276" s="98" t="s">
        <v>5891</v>
      </c>
      <c r="B276" s="108"/>
      <c r="C276" s="496" t="s">
        <v>14427</v>
      </c>
      <c r="D276" s="251"/>
      <c r="E276" s="365" t="s">
        <v>14397</v>
      </c>
      <c r="F276" s="137" t="s">
        <v>14426</v>
      </c>
      <c r="G276" s="365" t="s">
        <v>14405</v>
      </c>
      <c r="H276" s="365" t="s">
        <v>14406</v>
      </c>
      <c r="I276" s="497" t="s">
        <v>36</v>
      </c>
      <c r="J276" s="498" t="s">
        <v>4162</v>
      </c>
      <c r="K276" s="498" t="s">
        <v>1784</v>
      </c>
      <c r="L276" s="251"/>
      <c r="M276" s="251"/>
      <c r="N276" s="251"/>
      <c r="O276" s="251"/>
      <c r="P276" s="251"/>
      <c r="Q276" s="251"/>
      <c r="R276" s="251"/>
      <c r="S276" s="251"/>
      <c r="T276" s="251"/>
      <c r="U276" s="251"/>
      <c r="V276" s="251"/>
      <c r="W276" s="251"/>
      <c r="X276" s="251"/>
      <c r="Y276" s="251"/>
      <c r="Z276" s="251"/>
      <c r="AA276" s="251"/>
    </row>
    <row r="277" ht="14.25" customHeight="1">
      <c r="A277" s="98" t="s">
        <v>5891</v>
      </c>
      <c r="B277" s="108"/>
      <c r="C277" s="496" t="s">
        <v>14428</v>
      </c>
      <c r="D277" s="251"/>
      <c r="E277" s="365" t="s">
        <v>14397</v>
      </c>
      <c r="F277" s="137" t="s">
        <v>14424</v>
      </c>
      <c r="G277" s="365" t="s">
        <v>14407</v>
      </c>
      <c r="H277" s="365" t="s">
        <v>14408</v>
      </c>
      <c r="I277" s="497" t="s">
        <v>36</v>
      </c>
      <c r="J277" s="498" t="s">
        <v>151</v>
      </c>
      <c r="K277" s="498" t="s">
        <v>1784</v>
      </c>
      <c r="L277" s="251"/>
      <c r="M277" s="251"/>
      <c r="N277" s="251"/>
      <c r="O277" s="251"/>
      <c r="P277" s="251"/>
      <c r="Q277" s="251"/>
      <c r="R277" s="251"/>
      <c r="S277" s="251"/>
      <c r="T277" s="251"/>
      <c r="U277" s="251"/>
      <c r="V277" s="251"/>
      <c r="W277" s="251"/>
      <c r="X277" s="251"/>
      <c r="Y277" s="251"/>
      <c r="Z277" s="251"/>
      <c r="AA277" s="251"/>
    </row>
    <row r="278" ht="14.25" customHeight="1">
      <c r="A278" s="98" t="s">
        <v>5891</v>
      </c>
      <c r="B278" s="108"/>
      <c r="C278" s="496" t="s">
        <v>14429</v>
      </c>
      <c r="D278" s="251"/>
      <c r="E278" s="365" t="s">
        <v>14397</v>
      </c>
      <c r="F278" s="137" t="s">
        <v>14430</v>
      </c>
      <c r="G278" s="365" t="s">
        <v>14431</v>
      </c>
      <c r="H278" s="365" t="s">
        <v>14408</v>
      </c>
      <c r="I278" s="497" t="s">
        <v>36</v>
      </c>
      <c r="J278" s="498" t="s">
        <v>4162</v>
      </c>
      <c r="K278" s="498" t="s">
        <v>1784</v>
      </c>
      <c r="L278" s="251"/>
      <c r="M278" s="251"/>
      <c r="N278" s="251"/>
      <c r="O278" s="251"/>
      <c r="P278" s="251"/>
      <c r="Q278" s="251"/>
      <c r="R278" s="251"/>
      <c r="S278" s="251"/>
      <c r="T278" s="251"/>
      <c r="U278" s="251"/>
      <c r="V278" s="251"/>
      <c r="W278" s="251"/>
      <c r="X278" s="251"/>
      <c r="Y278" s="251"/>
      <c r="Z278" s="251"/>
      <c r="AA278" s="251"/>
    </row>
    <row r="279" ht="14.25" customHeight="1">
      <c r="A279" s="98" t="s">
        <v>5891</v>
      </c>
      <c r="B279" s="109"/>
      <c r="C279" s="496" t="s">
        <v>14432</v>
      </c>
      <c r="D279" s="251"/>
      <c r="E279" s="365" t="s">
        <v>14397</v>
      </c>
      <c r="F279" s="137" t="s">
        <v>14433</v>
      </c>
      <c r="G279" s="365" t="s">
        <v>14434</v>
      </c>
      <c r="H279" s="365" t="s">
        <v>14408</v>
      </c>
      <c r="I279" s="497" t="s">
        <v>36</v>
      </c>
      <c r="J279" s="498" t="s">
        <v>4162</v>
      </c>
      <c r="K279" s="498" t="s">
        <v>1784</v>
      </c>
      <c r="L279" s="251"/>
      <c r="M279" s="251"/>
      <c r="N279" s="251"/>
      <c r="O279" s="251"/>
      <c r="P279" s="251"/>
      <c r="Q279" s="251"/>
      <c r="R279" s="251"/>
      <c r="S279" s="251"/>
      <c r="T279" s="251"/>
      <c r="U279" s="251"/>
      <c r="V279" s="251"/>
      <c r="W279" s="251"/>
      <c r="X279" s="251"/>
      <c r="Y279" s="251"/>
      <c r="Z279" s="251"/>
      <c r="AA279" s="251"/>
    </row>
    <row r="280" ht="14.25" customHeight="1">
      <c r="A280" s="98" t="s">
        <v>14435</v>
      </c>
      <c r="B280" s="499"/>
      <c r="C280" s="496" t="s">
        <v>14436</v>
      </c>
      <c r="D280" s="251"/>
      <c r="E280" s="502" t="s">
        <v>14437</v>
      </c>
      <c r="F280" s="137" t="s">
        <v>14438</v>
      </c>
      <c r="G280" s="365" t="s">
        <v>14439</v>
      </c>
      <c r="H280" s="365" t="s">
        <v>14440</v>
      </c>
      <c r="I280" s="497" t="s">
        <v>36</v>
      </c>
      <c r="J280" s="498" t="s">
        <v>4162</v>
      </c>
      <c r="K280" s="498" t="s">
        <v>1784</v>
      </c>
      <c r="L280" s="251"/>
      <c r="M280" s="251"/>
      <c r="N280" s="251"/>
      <c r="O280" s="251"/>
      <c r="P280" s="251"/>
      <c r="Q280" s="251"/>
      <c r="R280" s="251"/>
      <c r="S280" s="251"/>
      <c r="T280" s="251"/>
      <c r="U280" s="251"/>
      <c r="V280" s="251"/>
      <c r="W280" s="251"/>
      <c r="X280" s="251"/>
      <c r="Y280" s="251"/>
      <c r="Z280" s="251"/>
      <c r="AA280" s="251"/>
    </row>
    <row r="281" ht="14.25" customHeight="1">
      <c r="A281" s="98" t="s">
        <v>14435</v>
      </c>
      <c r="B281" s="108"/>
      <c r="C281" s="496" t="s">
        <v>14441</v>
      </c>
      <c r="D281" s="251"/>
      <c r="E281" s="502" t="s">
        <v>14437</v>
      </c>
      <c r="F281" s="137" t="s">
        <v>14438</v>
      </c>
      <c r="G281" s="365" t="s">
        <v>14442</v>
      </c>
      <c r="H281" s="365" t="s">
        <v>14443</v>
      </c>
      <c r="I281" s="497" t="s">
        <v>36</v>
      </c>
      <c r="J281" s="498" t="s">
        <v>4162</v>
      </c>
      <c r="K281" s="498" t="s">
        <v>1784</v>
      </c>
      <c r="L281" s="251"/>
      <c r="M281" s="251"/>
      <c r="N281" s="251"/>
      <c r="O281" s="251"/>
      <c r="P281" s="251"/>
      <c r="Q281" s="251"/>
      <c r="R281" s="251"/>
      <c r="S281" s="251"/>
      <c r="T281" s="251"/>
      <c r="U281" s="251"/>
      <c r="V281" s="251"/>
      <c r="W281" s="251"/>
      <c r="X281" s="251"/>
      <c r="Y281" s="251"/>
      <c r="Z281" s="251"/>
      <c r="AA281" s="251"/>
    </row>
    <row r="282" ht="14.25" customHeight="1">
      <c r="A282" s="98" t="s">
        <v>14435</v>
      </c>
      <c r="B282" s="108"/>
      <c r="C282" s="496" t="s">
        <v>14444</v>
      </c>
      <c r="D282" s="251"/>
      <c r="E282" s="502" t="s">
        <v>14437</v>
      </c>
      <c r="F282" s="137" t="s">
        <v>14445</v>
      </c>
      <c r="G282" s="365" t="s">
        <v>14446</v>
      </c>
      <c r="H282" s="365" t="s">
        <v>14447</v>
      </c>
      <c r="I282" s="497" t="s">
        <v>36</v>
      </c>
      <c r="J282" s="498" t="s">
        <v>4162</v>
      </c>
      <c r="K282" s="498" t="s">
        <v>1784</v>
      </c>
      <c r="L282" s="251"/>
      <c r="M282" s="251"/>
      <c r="N282" s="251"/>
      <c r="O282" s="251"/>
      <c r="P282" s="251"/>
      <c r="Q282" s="251"/>
      <c r="R282" s="251"/>
      <c r="S282" s="251"/>
      <c r="T282" s="251"/>
      <c r="U282" s="251"/>
      <c r="V282" s="251"/>
      <c r="W282" s="251"/>
      <c r="X282" s="251"/>
      <c r="Y282" s="251"/>
      <c r="Z282" s="251"/>
      <c r="AA282" s="251"/>
    </row>
    <row r="283" ht="14.25" customHeight="1">
      <c r="A283" s="98" t="s">
        <v>14435</v>
      </c>
      <c r="B283" s="109"/>
      <c r="C283" s="496" t="s">
        <v>14448</v>
      </c>
      <c r="D283" s="251"/>
      <c r="E283" s="502" t="s">
        <v>14437</v>
      </c>
      <c r="F283" s="137" t="s">
        <v>14449</v>
      </c>
      <c r="G283" s="365" t="s">
        <v>14450</v>
      </c>
      <c r="H283" s="365" t="s">
        <v>14451</v>
      </c>
      <c r="I283" s="497" t="s">
        <v>36</v>
      </c>
      <c r="J283" s="498" t="s">
        <v>4162</v>
      </c>
      <c r="K283" s="498" t="s">
        <v>1784</v>
      </c>
      <c r="L283" s="251"/>
      <c r="M283" s="251"/>
      <c r="N283" s="251"/>
      <c r="O283" s="251"/>
      <c r="P283" s="251"/>
      <c r="Q283" s="251"/>
      <c r="R283" s="251"/>
      <c r="S283" s="251"/>
      <c r="T283" s="251"/>
      <c r="U283" s="251"/>
      <c r="V283" s="251"/>
      <c r="W283" s="251"/>
      <c r="X283" s="251"/>
      <c r="Y283" s="251"/>
      <c r="Z283" s="251"/>
      <c r="AA283" s="251"/>
    </row>
    <row r="284" ht="14.25" customHeight="1">
      <c r="A284" s="98" t="s">
        <v>14452</v>
      </c>
      <c r="B284" s="499"/>
      <c r="C284" s="496" t="s">
        <v>14453</v>
      </c>
      <c r="D284" s="251"/>
      <c r="E284" s="502" t="s">
        <v>14454</v>
      </c>
      <c r="F284" s="500"/>
      <c r="G284" s="137" t="s">
        <v>14455</v>
      </c>
      <c r="H284" s="137" t="s">
        <v>14456</v>
      </c>
      <c r="I284" s="497" t="s">
        <v>36</v>
      </c>
      <c r="J284" s="498" t="s">
        <v>4162</v>
      </c>
      <c r="K284" s="498" t="s">
        <v>1784</v>
      </c>
      <c r="L284" s="251"/>
      <c r="M284" s="251"/>
      <c r="N284" s="251"/>
      <c r="O284" s="251"/>
      <c r="P284" s="251"/>
      <c r="Q284" s="251"/>
      <c r="R284" s="251"/>
      <c r="S284" s="251"/>
      <c r="T284" s="251"/>
      <c r="U284" s="251"/>
      <c r="V284" s="251"/>
      <c r="W284" s="251"/>
      <c r="X284" s="251"/>
      <c r="Y284" s="251"/>
      <c r="Z284" s="251"/>
      <c r="AA284" s="251"/>
    </row>
    <row r="285" ht="14.25" customHeight="1">
      <c r="A285" s="98" t="s">
        <v>14452</v>
      </c>
      <c r="B285" s="108"/>
      <c r="C285" s="496" t="s">
        <v>14457</v>
      </c>
      <c r="D285" s="251"/>
      <c r="E285" s="502" t="s">
        <v>14454</v>
      </c>
      <c r="F285" s="500"/>
      <c r="G285" s="137" t="s">
        <v>14458</v>
      </c>
      <c r="H285" s="137" t="s">
        <v>14459</v>
      </c>
      <c r="I285" s="497" t="s">
        <v>36</v>
      </c>
      <c r="J285" s="498" t="s">
        <v>4162</v>
      </c>
      <c r="K285" s="498" t="s">
        <v>1784</v>
      </c>
      <c r="L285" s="251"/>
      <c r="M285" s="251"/>
      <c r="N285" s="251"/>
      <c r="O285" s="251"/>
      <c r="P285" s="251"/>
      <c r="Q285" s="251"/>
      <c r="R285" s="251"/>
      <c r="S285" s="251"/>
      <c r="T285" s="251"/>
      <c r="U285" s="251"/>
      <c r="V285" s="251"/>
      <c r="W285" s="251"/>
      <c r="X285" s="251"/>
      <c r="Y285" s="251"/>
      <c r="Z285" s="251"/>
      <c r="AA285" s="251"/>
    </row>
    <row r="286" ht="14.25" customHeight="1">
      <c r="A286" s="98" t="s">
        <v>14452</v>
      </c>
      <c r="B286" s="108"/>
      <c r="C286" s="496" t="s">
        <v>14460</v>
      </c>
      <c r="D286" s="251"/>
      <c r="E286" s="502" t="s">
        <v>14454</v>
      </c>
      <c r="F286" s="500"/>
      <c r="G286" s="137" t="s">
        <v>14461</v>
      </c>
      <c r="H286" s="137" t="s">
        <v>14462</v>
      </c>
      <c r="I286" s="497" t="s">
        <v>36</v>
      </c>
      <c r="J286" s="498" t="s">
        <v>4162</v>
      </c>
      <c r="K286" s="498" t="s">
        <v>1784</v>
      </c>
      <c r="L286" s="251"/>
      <c r="M286" s="251"/>
      <c r="N286" s="251"/>
      <c r="O286" s="251"/>
      <c r="P286" s="251"/>
      <c r="Q286" s="251"/>
      <c r="R286" s="251"/>
      <c r="S286" s="251"/>
      <c r="T286" s="251"/>
      <c r="U286" s="251"/>
      <c r="V286" s="251"/>
      <c r="W286" s="251"/>
      <c r="X286" s="251"/>
      <c r="Y286" s="251"/>
      <c r="Z286" s="251"/>
      <c r="AA286" s="251"/>
    </row>
    <row r="287" ht="14.25" customHeight="1">
      <c r="A287" s="98" t="s">
        <v>14452</v>
      </c>
      <c r="B287" s="109"/>
      <c r="C287" s="496" t="s">
        <v>14463</v>
      </c>
      <c r="D287" s="251"/>
      <c r="E287" s="502" t="s">
        <v>14454</v>
      </c>
      <c r="F287" s="500"/>
      <c r="G287" s="137" t="s">
        <v>14464</v>
      </c>
      <c r="H287" s="137" t="s">
        <v>14465</v>
      </c>
      <c r="I287" s="497" t="s">
        <v>36</v>
      </c>
      <c r="J287" s="498" t="s">
        <v>4162</v>
      </c>
      <c r="K287" s="498" t="s">
        <v>1784</v>
      </c>
      <c r="L287" s="251"/>
      <c r="M287" s="251"/>
      <c r="N287" s="251"/>
      <c r="O287" s="251"/>
      <c r="P287" s="251"/>
      <c r="Q287" s="251"/>
      <c r="R287" s="251"/>
      <c r="S287" s="251"/>
      <c r="T287" s="251"/>
      <c r="U287" s="251"/>
      <c r="V287" s="251"/>
      <c r="W287" s="251"/>
      <c r="X287" s="251"/>
      <c r="Y287" s="251"/>
      <c r="Z287" s="251"/>
      <c r="AA287" s="251"/>
    </row>
    <row r="288" ht="14.25" customHeight="1">
      <c r="A288" s="98" t="s">
        <v>14466</v>
      </c>
      <c r="B288" s="499"/>
      <c r="C288" s="496" t="s">
        <v>14467</v>
      </c>
      <c r="D288" s="251"/>
      <c r="E288" s="502" t="s">
        <v>14468</v>
      </c>
      <c r="F288" s="500"/>
      <c r="G288" s="137" t="s">
        <v>14469</v>
      </c>
      <c r="H288" s="137" t="s">
        <v>14470</v>
      </c>
      <c r="I288" s="497" t="s">
        <v>36</v>
      </c>
      <c r="J288" s="498" t="s">
        <v>4162</v>
      </c>
      <c r="K288" s="263"/>
      <c r="L288" s="251"/>
      <c r="M288" s="251"/>
      <c r="N288" s="251"/>
      <c r="O288" s="251"/>
      <c r="P288" s="251"/>
      <c r="Q288" s="251"/>
      <c r="R288" s="251"/>
      <c r="S288" s="251"/>
      <c r="T288" s="251"/>
      <c r="U288" s="251"/>
      <c r="V288" s="251"/>
      <c r="W288" s="251"/>
      <c r="X288" s="251"/>
      <c r="Y288" s="251"/>
      <c r="Z288" s="251"/>
      <c r="AA288" s="251"/>
    </row>
    <row r="289" ht="14.25" customHeight="1">
      <c r="A289" s="98" t="s">
        <v>14466</v>
      </c>
      <c r="B289" s="108"/>
      <c r="C289" s="496" t="s">
        <v>14471</v>
      </c>
      <c r="D289" s="251"/>
      <c r="E289" s="502" t="s">
        <v>14468</v>
      </c>
      <c r="F289" s="254" t="s">
        <v>14472</v>
      </c>
      <c r="G289" s="137" t="s">
        <v>14473</v>
      </c>
      <c r="H289" s="137" t="s">
        <v>14474</v>
      </c>
      <c r="I289" s="497" t="s">
        <v>36</v>
      </c>
      <c r="J289" s="498" t="s">
        <v>4162</v>
      </c>
      <c r="K289" s="263"/>
      <c r="L289" s="251"/>
      <c r="M289" s="251"/>
      <c r="N289" s="251"/>
      <c r="O289" s="251"/>
      <c r="P289" s="251"/>
      <c r="Q289" s="251"/>
      <c r="R289" s="251"/>
      <c r="S289" s="251"/>
      <c r="T289" s="251"/>
      <c r="U289" s="251"/>
      <c r="V289" s="251"/>
      <c r="W289" s="251"/>
      <c r="X289" s="251"/>
      <c r="Y289" s="251"/>
      <c r="Z289" s="251"/>
      <c r="AA289" s="251"/>
    </row>
    <row r="290" ht="14.25" customHeight="1">
      <c r="A290" s="98" t="s">
        <v>14466</v>
      </c>
      <c r="B290" s="108"/>
      <c r="C290" s="496" t="s">
        <v>14475</v>
      </c>
      <c r="D290" s="251"/>
      <c r="E290" s="502" t="s">
        <v>14468</v>
      </c>
      <c r="F290" s="500"/>
      <c r="G290" s="137" t="s">
        <v>14476</v>
      </c>
      <c r="H290" s="137" t="s">
        <v>14470</v>
      </c>
      <c r="I290" s="497" t="s">
        <v>317</v>
      </c>
      <c r="J290" s="498" t="s">
        <v>4162</v>
      </c>
      <c r="K290" s="263"/>
      <c r="L290" s="98" t="s">
        <v>14477</v>
      </c>
      <c r="M290" s="251"/>
      <c r="N290" s="251"/>
      <c r="O290" s="251"/>
      <c r="P290" s="251"/>
      <c r="Q290" s="251"/>
      <c r="R290" s="251"/>
      <c r="S290" s="251"/>
      <c r="T290" s="251"/>
      <c r="U290" s="251"/>
      <c r="V290" s="251"/>
      <c r="W290" s="251"/>
      <c r="X290" s="251"/>
      <c r="Y290" s="251"/>
      <c r="Z290" s="251"/>
      <c r="AA290" s="251"/>
    </row>
    <row r="291" ht="14.25" customHeight="1">
      <c r="A291" s="98" t="s">
        <v>14466</v>
      </c>
      <c r="B291" s="109"/>
      <c r="C291" s="496" t="s">
        <v>14478</v>
      </c>
      <c r="D291" s="251"/>
      <c r="E291" s="502" t="s">
        <v>14468</v>
      </c>
      <c r="F291" s="137" t="s">
        <v>14479</v>
      </c>
      <c r="G291" s="137" t="s">
        <v>14480</v>
      </c>
      <c r="H291" s="137" t="s">
        <v>14481</v>
      </c>
      <c r="I291" s="497" t="s">
        <v>317</v>
      </c>
      <c r="J291" s="263"/>
      <c r="K291" s="263"/>
      <c r="L291" s="98" t="s">
        <v>14477</v>
      </c>
      <c r="M291" s="251"/>
      <c r="N291" s="251"/>
      <c r="O291" s="251"/>
      <c r="P291" s="251"/>
      <c r="Q291" s="251"/>
      <c r="R291" s="251"/>
      <c r="S291" s="251"/>
      <c r="T291" s="251"/>
      <c r="U291" s="251"/>
      <c r="V291" s="251"/>
      <c r="W291" s="251"/>
      <c r="X291" s="251"/>
      <c r="Y291" s="251"/>
      <c r="Z291" s="251"/>
      <c r="AA291" s="251"/>
    </row>
    <row r="292" ht="14.25" customHeight="1">
      <c r="A292" s="98" t="s">
        <v>14482</v>
      </c>
      <c r="B292" s="499"/>
      <c r="C292" s="496" t="s">
        <v>14483</v>
      </c>
      <c r="D292" s="251"/>
      <c r="E292" s="502" t="s">
        <v>14484</v>
      </c>
      <c r="F292" s="500"/>
      <c r="G292" s="137" t="s">
        <v>14485</v>
      </c>
      <c r="H292" s="137" t="s">
        <v>14486</v>
      </c>
      <c r="I292" s="497" t="s">
        <v>36</v>
      </c>
      <c r="J292" s="263"/>
      <c r="K292" s="498" t="s">
        <v>1784</v>
      </c>
      <c r="L292" s="251"/>
      <c r="M292" s="251"/>
      <c r="N292" s="251"/>
      <c r="O292" s="251"/>
      <c r="P292" s="251"/>
      <c r="Q292" s="251"/>
      <c r="R292" s="251"/>
      <c r="S292" s="251"/>
      <c r="T292" s="251"/>
      <c r="U292" s="251"/>
      <c r="V292" s="251"/>
      <c r="W292" s="251"/>
      <c r="X292" s="251"/>
      <c r="Y292" s="251"/>
      <c r="Z292" s="251"/>
      <c r="AA292" s="251"/>
    </row>
    <row r="293" ht="14.25" customHeight="1">
      <c r="A293" s="98" t="s">
        <v>14482</v>
      </c>
      <c r="B293" s="108"/>
      <c r="C293" s="496" t="s">
        <v>14487</v>
      </c>
      <c r="D293" s="251"/>
      <c r="E293" s="502" t="s">
        <v>14484</v>
      </c>
      <c r="F293" s="500"/>
      <c r="G293" s="137" t="s">
        <v>14488</v>
      </c>
      <c r="H293" s="137" t="s">
        <v>14489</v>
      </c>
      <c r="I293" s="497" t="s">
        <v>36</v>
      </c>
      <c r="J293" s="263"/>
      <c r="K293" s="498" t="s">
        <v>1784</v>
      </c>
      <c r="L293" s="251"/>
      <c r="M293" s="251"/>
      <c r="N293" s="251"/>
      <c r="O293" s="251"/>
      <c r="P293" s="251"/>
      <c r="Q293" s="251"/>
      <c r="R293" s="251"/>
      <c r="S293" s="251"/>
      <c r="T293" s="251"/>
      <c r="U293" s="251"/>
      <c r="V293" s="251"/>
      <c r="W293" s="251"/>
      <c r="X293" s="251"/>
      <c r="Y293" s="251"/>
      <c r="Z293" s="251"/>
      <c r="AA293" s="251"/>
    </row>
    <row r="294" ht="14.25" customHeight="1">
      <c r="A294" s="98" t="s">
        <v>14482</v>
      </c>
      <c r="B294" s="108"/>
      <c r="C294" s="496" t="s">
        <v>14490</v>
      </c>
      <c r="D294" s="251"/>
      <c r="E294" s="502" t="s">
        <v>14484</v>
      </c>
      <c r="F294" s="500"/>
      <c r="G294" s="137" t="s">
        <v>14491</v>
      </c>
      <c r="H294" s="137" t="s">
        <v>14492</v>
      </c>
      <c r="I294" s="497" t="s">
        <v>36</v>
      </c>
      <c r="J294" s="263"/>
      <c r="K294" s="498" t="s">
        <v>1784</v>
      </c>
      <c r="L294" s="251"/>
      <c r="M294" s="251"/>
      <c r="N294" s="251"/>
      <c r="O294" s="251"/>
      <c r="P294" s="251"/>
      <c r="Q294" s="251"/>
      <c r="R294" s="251"/>
      <c r="S294" s="251"/>
      <c r="T294" s="251"/>
      <c r="U294" s="251"/>
      <c r="V294" s="251"/>
      <c r="W294" s="251"/>
      <c r="X294" s="251"/>
      <c r="Y294" s="251"/>
      <c r="Z294" s="251"/>
      <c r="AA294" s="251"/>
    </row>
    <row r="295" ht="14.25" customHeight="1">
      <c r="A295" s="98" t="s">
        <v>14482</v>
      </c>
      <c r="B295" s="108"/>
      <c r="C295" s="496" t="s">
        <v>14493</v>
      </c>
      <c r="D295" s="251"/>
      <c r="E295" s="502" t="s">
        <v>14484</v>
      </c>
      <c r="F295" s="500"/>
      <c r="G295" s="137" t="s">
        <v>14494</v>
      </c>
      <c r="H295" s="137" t="s">
        <v>14495</v>
      </c>
      <c r="I295" s="497" t="s">
        <v>36</v>
      </c>
      <c r="J295" s="263"/>
      <c r="K295" s="498" t="s">
        <v>1784</v>
      </c>
      <c r="L295" s="251"/>
      <c r="M295" s="251"/>
      <c r="N295" s="251"/>
      <c r="O295" s="251"/>
      <c r="P295" s="251"/>
      <c r="Q295" s="251"/>
      <c r="R295" s="251"/>
      <c r="S295" s="251"/>
      <c r="T295" s="251"/>
      <c r="U295" s="251"/>
      <c r="V295" s="251"/>
      <c r="W295" s="251"/>
      <c r="X295" s="251"/>
      <c r="Y295" s="251"/>
      <c r="Z295" s="251"/>
      <c r="AA295" s="251"/>
    </row>
    <row r="296" ht="14.25" customHeight="1">
      <c r="A296" s="98" t="s">
        <v>14482</v>
      </c>
      <c r="B296" s="108"/>
      <c r="C296" s="496" t="s">
        <v>14496</v>
      </c>
      <c r="D296" s="251"/>
      <c r="E296" s="502" t="s">
        <v>14484</v>
      </c>
      <c r="F296" s="500"/>
      <c r="G296" s="137" t="s">
        <v>14497</v>
      </c>
      <c r="H296" s="137" t="s">
        <v>14498</v>
      </c>
      <c r="I296" s="497" t="s">
        <v>36</v>
      </c>
      <c r="J296" s="263"/>
      <c r="K296" s="263"/>
      <c r="L296" s="251"/>
      <c r="M296" s="251"/>
      <c r="N296" s="251"/>
      <c r="O296" s="251"/>
      <c r="P296" s="251"/>
      <c r="Q296" s="251"/>
      <c r="R296" s="251"/>
      <c r="S296" s="251"/>
      <c r="T296" s="251"/>
      <c r="U296" s="251"/>
      <c r="V296" s="251"/>
      <c r="W296" s="251"/>
      <c r="X296" s="251"/>
      <c r="Y296" s="251"/>
      <c r="Z296" s="251"/>
      <c r="AA296" s="251"/>
    </row>
    <row r="297" ht="14.25" customHeight="1">
      <c r="A297" s="98" t="s">
        <v>14482</v>
      </c>
      <c r="B297" s="108"/>
      <c r="C297" s="496" t="s">
        <v>14499</v>
      </c>
      <c r="D297" s="251"/>
      <c r="E297" s="502" t="s">
        <v>14484</v>
      </c>
      <c r="F297" s="500"/>
      <c r="G297" s="137" t="s">
        <v>14500</v>
      </c>
      <c r="H297" s="137" t="s">
        <v>14501</v>
      </c>
      <c r="I297" s="497" t="s">
        <v>36</v>
      </c>
      <c r="J297" s="263"/>
      <c r="K297" s="263"/>
      <c r="L297" s="251"/>
      <c r="M297" s="251"/>
      <c r="N297" s="251"/>
      <c r="O297" s="251"/>
      <c r="P297" s="251"/>
      <c r="Q297" s="251"/>
      <c r="R297" s="251"/>
      <c r="S297" s="251"/>
      <c r="T297" s="251"/>
      <c r="U297" s="251"/>
      <c r="V297" s="251"/>
      <c r="W297" s="251"/>
      <c r="X297" s="251"/>
      <c r="Y297" s="251"/>
      <c r="Z297" s="251"/>
      <c r="AA297" s="251"/>
    </row>
    <row r="298" ht="14.25" customHeight="1">
      <c r="A298" s="98" t="s">
        <v>14482</v>
      </c>
      <c r="B298" s="108"/>
      <c r="C298" s="496" t="s">
        <v>14502</v>
      </c>
      <c r="D298" s="251"/>
      <c r="E298" s="502" t="s">
        <v>14484</v>
      </c>
      <c r="F298" s="500"/>
      <c r="G298" s="137" t="s">
        <v>14503</v>
      </c>
      <c r="H298" s="137" t="s">
        <v>14501</v>
      </c>
      <c r="I298" s="497" t="s">
        <v>36</v>
      </c>
      <c r="J298" s="263"/>
      <c r="K298" s="263"/>
      <c r="L298" s="251"/>
      <c r="M298" s="251"/>
      <c r="N298" s="251"/>
      <c r="O298" s="251"/>
      <c r="P298" s="251"/>
      <c r="Q298" s="251"/>
      <c r="R298" s="251"/>
      <c r="S298" s="251"/>
      <c r="T298" s="251"/>
      <c r="U298" s="251"/>
      <c r="V298" s="251"/>
      <c r="W298" s="251"/>
      <c r="X298" s="251"/>
      <c r="Y298" s="251"/>
      <c r="Z298" s="251"/>
      <c r="AA298" s="251"/>
    </row>
    <row r="299" ht="14.25" customHeight="1">
      <c r="A299" s="98" t="s">
        <v>14482</v>
      </c>
      <c r="B299" s="109"/>
      <c r="C299" s="496" t="s">
        <v>14504</v>
      </c>
      <c r="D299" s="251"/>
      <c r="E299" s="502" t="s">
        <v>14484</v>
      </c>
      <c r="F299" s="500"/>
      <c r="G299" s="137" t="s">
        <v>14505</v>
      </c>
      <c r="H299" s="137" t="s">
        <v>14501</v>
      </c>
      <c r="I299" s="497" t="s">
        <v>36</v>
      </c>
      <c r="J299" s="263"/>
      <c r="K299" s="263"/>
      <c r="L299" s="251"/>
      <c r="M299" s="251"/>
      <c r="N299" s="251"/>
      <c r="O299" s="251"/>
      <c r="P299" s="251"/>
      <c r="Q299" s="251"/>
      <c r="R299" s="251"/>
      <c r="S299" s="251"/>
      <c r="T299" s="251"/>
      <c r="U299" s="251"/>
      <c r="V299" s="251"/>
      <c r="W299" s="251"/>
      <c r="X299" s="251"/>
      <c r="Y299" s="251"/>
      <c r="Z299" s="251"/>
      <c r="AA299" s="251"/>
    </row>
    <row r="300" ht="14.25" customHeight="1">
      <c r="A300" s="98" t="s">
        <v>14506</v>
      </c>
      <c r="B300" s="499"/>
      <c r="C300" s="496" t="s">
        <v>14507</v>
      </c>
      <c r="D300" s="251"/>
      <c r="E300" s="502" t="s">
        <v>14508</v>
      </c>
      <c r="F300" s="500"/>
      <c r="G300" s="137" t="s">
        <v>14509</v>
      </c>
      <c r="H300" s="137" t="s">
        <v>14510</v>
      </c>
      <c r="I300" s="497" t="s">
        <v>36</v>
      </c>
      <c r="J300" s="263"/>
      <c r="K300" s="263"/>
      <c r="L300" s="251"/>
      <c r="M300" s="251"/>
      <c r="N300" s="251"/>
      <c r="O300" s="251"/>
      <c r="P300" s="251"/>
      <c r="Q300" s="251"/>
      <c r="R300" s="251"/>
      <c r="S300" s="251"/>
      <c r="T300" s="251"/>
      <c r="U300" s="251"/>
      <c r="V300" s="251"/>
      <c r="W300" s="251"/>
      <c r="X300" s="251"/>
      <c r="Y300" s="251"/>
      <c r="Z300" s="251"/>
      <c r="AA300" s="251"/>
    </row>
    <row r="301" ht="14.25" customHeight="1">
      <c r="A301" s="98" t="s">
        <v>14506</v>
      </c>
      <c r="B301" s="108"/>
      <c r="C301" s="496" t="s">
        <v>14511</v>
      </c>
      <c r="D301" s="251"/>
      <c r="E301" s="502" t="s">
        <v>14508</v>
      </c>
      <c r="F301" s="500"/>
      <c r="G301" s="137" t="s">
        <v>14512</v>
      </c>
      <c r="H301" s="137" t="s">
        <v>14510</v>
      </c>
      <c r="I301" s="497" t="s">
        <v>36</v>
      </c>
      <c r="J301" s="263"/>
      <c r="K301" s="263"/>
      <c r="L301" s="251"/>
      <c r="M301" s="251"/>
      <c r="N301" s="251"/>
      <c r="O301" s="251"/>
      <c r="P301" s="251"/>
      <c r="Q301" s="251"/>
      <c r="R301" s="251"/>
      <c r="S301" s="251"/>
      <c r="T301" s="251"/>
      <c r="U301" s="251"/>
      <c r="V301" s="251"/>
      <c r="W301" s="251"/>
      <c r="X301" s="251"/>
      <c r="Y301" s="251"/>
      <c r="Z301" s="251"/>
      <c r="AA301" s="251"/>
    </row>
    <row r="302" ht="14.25" customHeight="1">
      <c r="A302" s="98" t="s">
        <v>14506</v>
      </c>
      <c r="B302" s="108"/>
      <c r="C302" s="496" t="s">
        <v>14513</v>
      </c>
      <c r="D302" s="251"/>
      <c r="E302" s="502" t="s">
        <v>14508</v>
      </c>
      <c r="F302" s="500"/>
      <c r="G302" s="137" t="s">
        <v>14514</v>
      </c>
      <c r="H302" s="137" t="s">
        <v>14510</v>
      </c>
      <c r="I302" s="497" t="s">
        <v>36</v>
      </c>
      <c r="J302" s="263"/>
      <c r="K302" s="263"/>
      <c r="L302" s="251"/>
      <c r="M302" s="251"/>
      <c r="N302" s="251"/>
      <c r="O302" s="251"/>
      <c r="P302" s="251"/>
      <c r="Q302" s="251"/>
      <c r="R302" s="251"/>
      <c r="S302" s="251"/>
      <c r="T302" s="251"/>
      <c r="U302" s="251"/>
      <c r="V302" s="251"/>
      <c r="W302" s="251"/>
      <c r="X302" s="251"/>
      <c r="Y302" s="251"/>
      <c r="Z302" s="251"/>
      <c r="AA302" s="251"/>
    </row>
    <row r="303" ht="14.25" customHeight="1">
      <c r="A303" s="98" t="s">
        <v>14506</v>
      </c>
      <c r="B303" s="108"/>
      <c r="C303" s="496" t="s">
        <v>14515</v>
      </c>
      <c r="D303" s="251"/>
      <c r="E303" s="502" t="s">
        <v>14508</v>
      </c>
      <c r="F303" s="500"/>
      <c r="G303" s="137" t="s">
        <v>14516</v>
      </c>
      <c r="H303" s="137" t="s">
        <v>14510</v>
      </c>
      <c r="I303" s="497" t="s">
        <v>36</v>
      </c>
      <c r="J303" s="263"/>
      <c r="K303" s="263"/>
      <c r="L303" s="251"/>
      <c r="M303" s="251"/>
      <c r="N303" s="251"/>
      <c r="O303" s="251"/>
      <c r="P303" s="251"/>
      <c r="Q303" s="251"/>
      <c r="R303" s="251"/>
      <c r="S303" s="251"/>
      <c r="T303" s="251"/>
      <c r="U303" s="251"/>
      <c r="V303" s="251"/>
      <c r="W303" s="251"/>
      <c r="X303" s="251"/>
      <c r="Y303" s="251"/>
      <c r="Z303" s="251"/>
      <c r="AA303" s="251"/>
    </row>
    <row r="304" ht="14.25" customHeight="1">
      <c r="A304" s="98" t="s">
        <v>14506</v>
      </c>
      <c r="B304" s="108"/>
      <c r="C304" s="496" t="s">
        <v>14517</v>
      </c>
      <c r="D304" s="251"/>
      <c r="E304" s="502" t="s">
        <v>14508</v>
      </c>
      <c r="F304" s="500"/>
      <c r="G304" s="137" t="s">
        <v>14518</v>
      </c>
      <c r="H304" s="137" t="s">
        <v>14510</v>
      </c>
      <c r="I304" s="497" t="s">
        <v>36</v>
      </c>
      <c r="J304" s="263"/>
      <c r="K304" s="263"/>
      <c r="L304" s="251"/>
      <c r="M304" s="251"/>
      <c r="N304" s="251"/>
      <c r="O304" s="251"/>
      <c r="P304" s="251"/>
      <c r="Q304" s="251"/>
      <c r="R304" s="251"/>
      <c r="S304" s="251"/>
      <c r="T304" s="251"/>
      <c r="U304" s="251"/>
      <c r="V304" s="251"/>
      <c r="W304" s="251"/>
      <c r="X304" s="251"/>
      <c r="Y304" s="251"/>
      <c r="Z304" s="251"/>
      <c r="AA304" s="251"/>
    </row>
    <row r="305" ht="14.25" customHeight="1">
      <c r="A305" s="98" t="s">
        <v>14506</v>
      </c>
      <c r="B305" s="108"/>
      <c r="C305" s="496" t="s">
        <v>14519</v>
      </c>
      <c r="D305" s="251"/>
      <c r="E305" s="502" t="s">
        <v>14508</v>
      </c>
      <c r="F305" s="500"/>
      <c r="G305" s="137" t="s">
        <v>14520</v>
      </c>
      <c r="H305" s="137" t="s">
        <v>14510</v>
      </c>
      <c r="I305" s="497" t="s">
        <v>36</v>
      </c>
      <c r="J305" s="263"/>
      <c r="K305" s="263"/>
      <c r="L305" s="251"/>
      <c r="M305" s="251"/>
      <c r="N305" s="251"/>
      <c r="O305" s="251"/>
      <c r="P305" s="251"/>
      <c r="Q305" s="251"/>
      <c r="R305" s="251"/>
      <c r="S305" s="251"/>
      <c r="T305" s="251"/>
      <c r="U305" s="251"/>
      <c r="V305" s="251"/>
      <c r="W305" s="251"/>
      <c r="X305" s="251"/>
      <c r="Y305" s="251"/>
      <c r="Z305" s="251"/>
      <c r="AA305" s="251"/>
    </row>
    <row r="306" ht="14.25" customHeight="1">
      <c r="A306" s="98" t="s">
        <v>14506</v>
      </c>
      <c r="B306" s="109"/>
      <c r="C306" s="496" t="s">
        <v>14521</v>
      </c>
      <c r="D306" s="251"/>
      <c r="E306" s="502" t="s">
        <v>14508</v>
      </c>
      <c r="F306" s="500"/>
      <c r="G306" s="137" t="s">
        <v>14522</v>
      </c>
      <c r="H306" s="137" t="s">
        <v>14523</v>
      </c>
      <c r="I306" s="497" t="s">
        <v>36</v>
      </c>
      <c r="J306" s="263"/>
      <c r="K306" s="263"/>
      <c r="L306" s="251"/>
      <c r="M306" s="251"/>
      <c r="N306" s="251"/>
      <c r="O306" s="251"/>
      <c r="P306" s="251"/>
      <c r="Q306" s="251"/>
      <c r="R306" s="251"/>
      <c r="S306" s="251"/>
      <c r="T306" s="251"/>
      <c r="U306" s="251"/>
      <c r="V306" s="251"/>
      <c r="W306" s="251"/>
      <c r="X306" s="251"/>
      <c r="Y306" s="251"/>
      <c r="Z306" s="251"/>
      <c r="AA306" s="251"/>
    </row>
    <row r="307" ht="14.25" customHeight="1">
      <c r="A307" s="98" t="s">
        <v>14524</v>
      </c>
      <c r="B307" s="499"/>
      <c r="C307" s="496" t="s">
        <v>14525</v>
      </c>
      <c r="D307" s="251"/>
      <c r="E307" s="254" t="s">
        <v>14526</v>
      </c>
      <c r="F307" s="500"/>
      <c r="G307" s="137" t="s">
        <v>14527</v>
      </c>
      <c r="H307" s="137" t="s">
        <v>14528</v>
      </c>
      <c r="I307" s="497" t="s">
        <v>317</v>
      </c>
      <c r="J307" s="498" t="s">
        <v>4162</v>
      </c>
      <c r="K307" s="498" t="s">
        <v>1784</v>
      </c>
      <c r="L307" s="98" t="s">
        <v>14477</v>
      </c>
      <c r="M307" s="251"/>
      <c r="N307" s="251"/>
      <c r="O307" s="251"/>
      <c r="P307" s="251"/>
      <c r="Q307" s="251"/>
      <c r="R307" s="251"/>
      <c r="S307" s="251"/>
      <c r="T307" s="251"/>
      <c r="U307" s="251"/>
      <c r="V307" s="251"/>
      <c r="W307" s="251"/>
      <c r="X307" s="251"/>
      <c r="Y307" s="251"/>
      <c r="Z307" s="251"/>
      <c r="AA307" s="251"/>
    </row>
    <row r="308" ht="14.25" customHeight="1">
      <c r="A308" s="98" t="s">
        <v>14524</v>
      </c>
      <c r="B308" s="108"/>
      <c r="C308" s="496" t="s">
        <v>14529</v>
      </c>
      <c r="D308" s="251"/>
      <c r="E308" s="254" t="s">
        <v>14526</v>
      </c>
      <c r="F308" s="500"/>
      <c r="G308" s="137" t="s">
        <v>14530</v>
      </c>
      <c r="H308" s="137" t="s">
        <v>14531</v>
      </c>
      <c r="I308" s="497" t="s">
        <v>36</v>
      </c>
      <c r="J308" s="263"/>
      <c r="K308" s="263"/>
      <c r="L308" s="251"/>
      <c r="M308" s="251"/>
      <c r="N308" s="251"/>
      <c r="O308" s="251"/>
      <c r="P308" s="251"/>
      <c r="Q308" s="251"/>
      <c r="R308" s="251"/>
      <c r="S308" s="251"/>
      <c r="T308" s="251"/>
      <c r="U308" s="251"/>
      <c r="V308" s="251"/>
      <c r="W308" s="251"/>
      <c r="X308" s="251"/>
      <c r="Y308" s="251"/>
      <c r="Z308" s="251"/>
      <c r="AA308" s="251"/>
    </row>
    <row r="309" ht="14.25" customHeight="1">
      <c r="A309" s="98" t="s">
        <v>14524</v>
      </c>
      <c r="B309" s="108"/>
      <c r="C309" s="496" t="s">
        <v>14532</v>
      </c>
      <c r="D309" s="251"/>
      <c r="E309" s="254" t="s">
        <v>14526</v>
      </c>
      <c r="F309" s="500"/>
      <c r="G309" s="137" t="s">
        <v>14533</v>
      </c>
      <c r="H309" s="137" t="s">
        <v>14534</v>
      </c>
      <c r="I309" s="497" t="s">
        <v>36</v>
      </c>
      <c r="J309" s="263"/>
      <c r="K309" s="263"/>
      <c r="L309" s="251"/>
      <c r="M309" s="251"/>
      <c r="N309" s="251"/>
      <c r="O309" s="251"/>
      <c r="P309" s="251"/>
      <c r="Q309" s="251"/>
      <c r="R309" s="251"/>
      <c r="S309" s="251"/>
      <c r="T309" s="251"/>
      <c r="U309" s="251"/>
      <c r="V309" s="251"/>
      <c r="W309" s="251"/>
      <c r="X309" s="251"/>
      <c r="Y309" s="251"/>
      <c r="Z309" s="251"/>
      <c r="AA309" s="251"/>
    </row>
    <row r="310" ht="14.25" customHeight="1">
      <c r="A310" s="98" t="s">
        <v>14524</v>
      </c>
      <c r="B310" s="108"/>
      <c r="C310" s="496" t="s">
        <v>14535</v>
      </c>
      <c r="D310" s="251"/>
      <c r="E310" s="254" t="s">
        <v>14526</v>
      </c>
      <c r="F310" s="500"/>
      <c r="G310" s="137" t="s">
        <v>14536</v>
      </c>
      <c r="H310" s="137" t="s">
        <v>14531</v>
      </c>
      <c r="I310" s="497" t="s">
        <v>36</v>
      </c>
      <c r="J310" s="263"/>
      <c r="K310" s="263"/>
      <c r="L310" s="251"/>
      <c r="M310" s="251"/>
      <c r="N310" s="251"/>
      <c r="O310" s="251"/>
      <c r="P310" s="251"/>
      <c r="Q310" s="251"/>
      <c r="R310" s="251"/>
      <c r="S310" s="251"/>
      <c r="T310" s="251"/>
      <c r="U310" s="251"/>
      <c r="V310" s="251"/>
      <c r="W310" s="251"/>
      <c r="X310" s="251"/>
      <c r="Y310" s="251"/>
      <c r="Z310" s="251"/>
      <c r="AA310" s="251"/>
    </row>
    <row r="311" ht="14.25" customHeight="1">
      <c r="A311" s="98" t="s">
        <v>14524</v>
      </c>
      <c r="B311" s="108"/>
      <c r="C311" s="496" t="s">
        <v>14537</v>
      </c>
      <c r="D311" s="251"/>
      <c r="E311" s="254" t="s">
        <v>14526</v>
      </c>
      <c r="F311" s="500"/>
      <c r="G311" s="137" t="s">
        <v>14538</v>
      </c>
      <c r="H311" s="137" t="s">
        <v>14539</v>
      </c>
      <c r="I311" s="497" t="s">
        <v>36</v>
      </c>
      <c r="J311" s="263"/>
      <c r="K311" s="263"/>
      <c r="L311" s="251"/>
      <c r="M311" s="251"/>
      <c r="N311" s="251"/>
      <c r="O311" s="251"/>
      <c r="P311" s="251"/>
      <c r="Q311" s="251"/>
      <c r="R311" s="251"/>
      <c r="S311" s="251"/>
      <c r="T311" s="251"/>
      <c r="U311" s="251"/>
      <c r="V311" s="251"/>
      <c r="W311" s="251"/>
      <c r="X311" s="251"/>
      <c r="Y311" s="251"/>
      <c r="Z311" s="251"/>
      <c r="AA311" s="251"/>
    </row>
    <row r="312" ht="14.25" customHeight="1">
      <c r="A312" s="98" t="s">
        <v>14524</v>
      </c>
      <c r="B312" s="108"/>
      <c r="C312" s="496" t="s">
        <v>14540</v>
      </c>
      <c r="D312" s="251"/>
      <c r="E312" s="254" t="s">
        <v>14526</v>
      </c>
      <c r="F312" s="500"/>
      <c r="G312" s="137" t="s">
        <v>14541</v>
      </c>
      <c r="H312" s="137" t="s">
        <v>14542</v>
      </c>
      <c r="I312" s="497" t="s">
        <v>36</v>
      </c>
      <c r="J312" s="263"/>
      <c r="K312" s="263"/>
      <c r="L312" s="251"/>
      <c r="M312" s="251"/>
      <c r="N312" s="251"/>
      <c r="O312" s="251"/>
      <c r="P312" s="251"/>
      <c r="Q312" s="251"/>
      <c r="R312" s="251"/>
      <c r="S312" s="251"/>
      <c r="T312" s="251"/>
      <c r="U312" s="251"/>
      <c r="V312" s="251"/>
      <c r="W312" s="251"/>
      <c r="X312" s="251"/>
      <c r="Y312" s="251"/>
      <c r="Z312" s="251"/>
      <c r="AA312" s="251"/>
    </row>
    <row r="313" ht="14.25" customHeight="1">
      <c r="A313" s="98" t="s">
        <v>14524</v>
      </c>
      <c r="B313" s="109"/>
      <c r="C313" s="496" t="s">
        <v>14543</v>
      </c>
      <c r="D313" s="251"/>
      <c r="E313" s="254" t="s">
        <v>14526</v>
      </c>
      <c r="F313" s="500"/>
      <c r="G313" s="137" t="s">
        <v>14544</v>
      </c>
      <c r="H313" s="137" t="s">
        <v>14545</v>
      </c>
      <c r="I313" s="497" t="s">
        <v>36</v>
      </c>
      <c r="J313" s="263"/>
      <c r="K313" s="263"/>
      <c r="L313" s="251"/>
      <c r="M313" s="251"/>
      <c r="N313" s="251"/>
      <c r="O313" s="251"/>
      <c r="P313" s="251"/>
      <c r="Q313" s="251"/>
      <c r="R313" s="251"/>
      <c r="S313" s="251"/>
      <c r="T313" s="251"/>
      <c r="U313" s="251"/>
      <c r="V313" s="251"/>
      <c r="W313" s="251"/>
      <c r="X313" s="251"/>
      <c r="Y313" s="251"/>
      <c r="Z313" s="251"/>
      <c r="AA313" s="251"/>
    </row>
    <row r="314" ht="14.25" customHeight="1">
      <c r="A314" s="98" t="s">
        <v>11405</v>
      </c>
      <c r="B314" s="499"/>
      <c r="C314" s="496" t="s">
        <v>14546</v>
      </c>
      <c r="D314" s="251"/>
      <c r="E314" s="254" t="s">
        <v>14547</v>
      </c>
      <c r="F314" s="500"/>
      <c r="G314" s="137" t="s">
        <v>11409</v>
      </c>
      <c r="H314" s="137" t="s">
        <v>11410</v>
      </c>
      <c r="I314" s="497" t="s">
        <v>36</v>
      </c>
      <c r="J314" s="263"/>
      <c r="K314" s="263"/>
      <c r="L314" s="251"/>
      <c r="M314" s="251"/>
      <c r="N314" s="251"/>
      <c r="O314" s="251"/>
      <c r="P314" s="251"/>
      <c r="Q314" s="251"/>
      <c r="R314" s="251"/>
      <c r="S314" s="251"/>
      <c r="T314" s="251"/>
      <c r="U314" s="251"/>
      <c r="V314" s="251"/>
      <c r="W314" s="251"/>
      <c r="X314" s="251"/>
      <c r="Y314" s="251"/>
      <c r="Z314" s="251"/>
      <c r="AA314" s="251"/>
    </row>
    <row r="315" ht="14.25" customHeight="1">
      <c r="A315" s="98" t="s">
        <v>11405</v>
      </c>
      <c r="B315" s="108"/>
      <c r="C315" s="496" t="s">
        <v>14548</v>
      </c>
      <c r="D315" s="251"/>
      <c r="E315" s="254" t="s">
        <v>14547</v>
      </c>
      <c r="F315" s="500"/>
      <c r="G315" s="137" t="s">
        <v>11413</v>
      </c>
      <c r="H315" s="137" t="s">
        <v>11410</v>
      </c>
      <c r="I315" s="497" t="s">
        <v>36</v>
      </c>
      <c r="J315" s="263"/>
      <c r="K315" s="263"/>
      <c r="L315" s="251"/>
      <c r="M315" s="251"/>
      <c r="N315" s="251"/>
      <c r="O315" s="251"/>
      <c r="P315" s="251"/>
      <c r="Q315" s="251"/>
      <c r="R315" s="251"/>
      <c r="S315" s="251"/>
      <c r="T315" s="251"/>
      <c r="U315" s="251"/>
      <c r="V315" s="251"/>
      <c r="W315" s="251"/>
      <c r="X315" s="251"/>
      <c r="Y315" s="251"/>
      <c r="Z315" s="251"/>
      <c r="AA315" s="251"/>
    </row>
    <row r="316" ht="14.25" customHeight="1">
      <c r="A316" s="98" t="s">
        <v>11405</v>
      </c>
      <c r="B316" s="108"/>
      <c r="C316" s="496" t="s">
        <v>14549</v>
      </c>
      <c r="D316" s="251"/>
      <c r="E316" s="254" t="s">
        <v>14547</v>
      </c>
      <c r="F316" s="500"/>
      <c r="G316" s="137" t="s">
        <v>14550</v>
      </c>
      <c r="H316" s="137" t="s">
        <v>11416</v>
      </c>
      <c r="I316" s="497" t="s">
        <v>36</v>
      </c>
      <c r="J316" s="263"/>
      <c r="K316" s="263"/>
      <c r="L316" s="251"/>
      <c r="M316" s="251"/>
      <c r="N316" s="251"/>
      <c r="O316" s="251"/>
      <c r="P316" s="251"/>
      <c r="Q316" s="251"/>
      <c r="R316" s="251"/>
      <c r="S316" s="251"/>
      <c r="T316" s="251"/>
      <c r="U316" s="251"/>
      <c r="V316" s="251"/>
      <c r="W316" s="251"/>
      <c r="X316" s="251"/>
      <c r="Y316" s="251"/>
      <c r="Z316" s="251"/>
      <c r="AA316" s="251"/>
    </row>
    <row r="317" ht="14.25" customHeight="1">
      <c r="A317" s="98" t="s">
        <v>11405</v>
      </c>
      <c r="B317" s="109"/>
      <c r="C317" s="496" t="s">
        <v>14551</v>
      </c>
      <c r="D317" s="251"/>
      <c r="E317" s="254" t="s">
        <v>14547</v>
      </c>
      <c r="F317" s="500"/>
      <c r="G317" s="137" t="s">
        <v>11418</v>
      </c>
      <c r="H317" s="137" t="s">
        <v>11419</v>
      </c>
      <c r="I317" s="497" t="s">
        <v>36</v>
      </c>
      <c r="J317" s="263"/>
      <c r="K317" s="263"/>
      <c r="L317" s="251"/>
      <c r="M317" s="251"/>
      <c r="N317" s="251"/>
      <c r="O317" s="251"/>
      <c r="P317" s="251"/>
      <c r="Q317" s="251"/>
      <c r="R317" s="251"/>
      <c r="S317" s="251"/>
      <c r="T317" s="251"/>
      <c r="U317" s="251"/>
      <c r="V317" s="251"/>
      <c r="W317" s="251"/>
      <c r="X317" s="251"/>
      <c r="Y317" s="251"/>
      <c r="Z317" s="251"/>
      <c r="AA317" s="251"/>
    </row>
    <row r="318" ht="14.25" customHeight="1">
      <c r="A318" s="98" t="s">
        <v>14552</v>
      </c>
      <c r="B318" s="499"/>
      <c r="C318" s="496" t="s">
        <v>14553</v>
      </c>
      <c r="D318" s="251"/>
      <c r="E318" s="254" t="s">
        <v>14554</v>
      </c>
      <c r="F318" s="137" t="s">
        <v>14555</v>
      </c>
      <c r="G318" s="137" t="s">
        <v>14556</v>
      </c>
      <c r="H318" s="137" t="s">
        <v>14557</v>
      </c>
      <c r="I318" s="497" t="s">
        <v>36</v>
      </c>
      <c r="J318" s="498" t="s">
        <v>4162</v>
      </c>
      <c r="K318" s="498" t="s">
        <v>1784</v>
      </c>
      <c r="L318" s="251"/>
      <c r="M318" s="251"/>
      <c r="N318" s="251"/>
      <c r="O318" s="251"/>
      <c r="P318" s="251"/>
      <c r="Q318" s="251"/>
      <c r="R318" s="251"/>
      <c r="S318" s="251"/>
      <c r="T318" s="251"/>
      <c r="U318" s="251"/>
      <c r="V318" s="251"/>
      <c r="W318" s="251"/>
      <c r="X318" s="251"/>
      <c r="Y318" s="251"/>
      <c r="Z318" s="251"/>
      <c r="AA318" s="251"/>
    </row>
    <row r="319" ht="14.25" customHeight="1">
      <c r="A319" s="98" t="s">
        <v>14552</v>
      </c>
      <c r="B319" s="109"/>
      <c r="C319" s="496" t="s">
        <v>14558</v>
      </c>
      <c r="D319" s="251"/>
      <c r="E319" s="254" t="s">
        <v>14554</v>
      </c>
      <c r="F319" s="137" t="s">
        <v>14559</v>
      </c>
      <c r="G319" s="137" t="s">
        <v>14560</v>
      </c>
      <c r="H319" s="137" t="s">
        <v>14561</v>
      </c>
      <c r="I319" s="497" t="s">
        <v>36</v>
      </c>
      <c r="J319" s="498" t="s">
        <v>4162</v>
      </c>
      <c r="K319" s="498" t="s">
        <v>1784</v>
      </c>
      <c r="L319" s="251"/>
      <c r="M319" s="251"/>
      <c r="N319" s="251"/>
      <c r="O319" s="251"/>
      <c r="P319" s="251"/>
      <c r="Q319" s="251"/>
      <c r="R319" s="251"/>
      <c r="S319" s="251"/>
      <c r="T319" s="251"/>
      <c r="U319" s="251"/>
      <c r="V319" s="251"/>
      <c r="W319" s="251"/>
      <c r="X319" s="251"/>
      <c r="Y319" s="251"/>
      <c r="Z319" s="251"/>
      <c r="AA319" s="251"/>
    </row>
    <row r="320" ht="14.25" customHeight="1">
      <c r="A320" s="98" t="s">
        <v>14562</v>
      </c>
      <c r="B320" s="499"/>
      <c r="C320" s="496" t="s">
        <v>14563</v>
      </c>
      <c r="D320" s="251"/>
      <c r="E320" s="502" t="s">
        <v>8677</v>
      </c>
      <c r="F320" s="137" t="s">
        <v>14564</v>
      </c>
      <c r="G320" s="137" t="s">
        <v>14565</v>
      </c>
      <c r="H320" s="137" t="s">
        <v>14566</v>
      </c>
      <c r="I320" s="497" t="s">
        <v>36</v>
      </c>
      <c r="J320" s="498" t="s">
        <v>4162</v>
      </c>
      <c r="K320" s="498" t="s">
        <v>1784</v>
      </c>
      <c r="L320" s="251"/>
      <c r="M320" s="251"/>
      <c r="N320" s="251"/>
      <c r="O320" s="251"/>
      <c r="P320" s="251"/>
      <c r="Q320" s="251"/>
      <c r="R320" s="251"/>
      <c r="S320" s="251"/>
      <c r="T320" s="251"/>
      <c r="U320" s="251"/>
      <c r="V320" s="251"/>
      <c r="W320" s="251"/>
      <c r="X320" s="251"/>
      <c r="Y320" s="251"/>
      <c r="Z320" s="251"/>
      <c r="AA320" s="251"/>
    </row>
    <row r="321" ht="14.25" customHeight="1">
      <c r="A321" s="98" t="s">
        <v>14562</v>
      </c>
      <c r="B321" s="108"/>
      <c r="C321" s="496" t="s">
        <v>14567</v>
      </c>
      <c r="D321" s="251"/>
      <c r="E321" s="502" t="s">
        <v>8677</v>
      </c>
      <c r="F321" s="137" t="s">
        <v>14568</v>
      </c>
      <c r="G321" s="137" t="s">
        <v>14569</v>
      </c>
      <c r="H321" s="137" t="s">
        <v>14566</v>
      </c>
      <c r="I321" s="497" t="s">
        <v>36</v>
      </c>
      <c r="J321" s="498" t="s">
        <v>4162</v>
      </c>
      <c r="K321" s="498" t="s">
        <v>1784</v>
      </c>
      <c r="L321" s="251"/>
      <c r="M321" s="251"/>
      <c r="N321" s="251"/>
      <c r="O321" s="251"/>
      <c r="P321" s="251"/>
      <c r="Q321" s="251"/>
      <c r="R321" s="251"/>
      <c r="S321" s="251"/>
      <c r="T321" s="251"/>
      <c r="U321" s="251"/>
      <c r="V321" s="251"/>
      <c r="W321" s="251"/>
      <c r="X321" s="251"/>
      <c r="Y321" s="251"/>
      <c r="Z321" s="251"/>
      <c r="AA321" s="251"/>
    </row>
    <row r="322" ht="14.25" customHeight="1">
      <c r="A322" s="98" t="s">
        <v>14562</v>
      </c>
      <c r="B322" s="108"/>
      <c r="C322" s="496" t="s">
        <v>14570</v>
      </c>
      <c r="D322" s="251"/>
      <c r="E322" s="502" t="s">
        <v>8677</v>
      </c>
      <c r="F322" s="137" t="s">
        <v>14568</v>
      </c>
      <c r="G322" s="137" t="s">
        <v>14571</v>
      </c>
      <c r="H322" s="137" t="s">
        <v>14566</v>
      </c>
      <c r="I322" s="497" t="s">
        <v>36</v>
      </c>
      <c r="J322" s="498" t="s">
        <v>4162</v>
      </c>
      <c r="K322" s="498" t="s">
        <v>1784</v>
      </c>
      <c r="L322" s="251"/>
      <c r="M322" s="251"/>
      <c r="N322" s="251"/>
      <c r="O322" s="251"/>
      <c r="P322" s="251"/>
      <c r="Q322" s="251"/>
      <c r="R322" s="251"/>
      <c r="S322" s="251"/>
      <c r="T322" s="251"/>
      <c r="U322" s="251"/>
      <c r="V322" s="251"/>
      <c r="W322" s="251"/>
      <c r="X322" s="251"/>
      <c r="Y322" s="251"/>
      <c r="Z322" s="251"/>
      <c r="AA322" s="251"/>
    </row>
    <row r="323" ht="14.25" customHeight="1">
      <c r="A323" s="98" t="s">
        <v>14562</v>
      </c>
      <c r="B323" s="108"/>
      <c r="C323" s="496" t="s">
        <v>14572</v>
      </c>
      <c r="D323" s="251"/>
      <c r="E323" s="502" t="s">
        <v>8677</v>
      </c>
      <c r="F323" s="137" t="s">
        <v>14568</v>
      </c>
      <c r="G323" s="137" t="s">
        <v>14573</v>
      </c>
      <c r="H323" s="137" t="s">
        <v>14566</v>
      </c>
      <c r="I323" s="497" t="s">
        <v>36</v>
      </c>
      <c r="J323" s="498" t="s">
        <v>4162</v>
      </c>
      <c r="K323" s="498" t="s">
        <v>1784</v>
      </c>
      <c r="L323" s="251"/>
      <c r="M323" s="251"/>
      <c r="N323" s="251"/>
      <c r="O323" s="251"/>
      <c r="P323" s="251"/>
      <c r="Q323" s="251"/>
      <c r="R323" s="251"/>
      <c r="S323" s="251"/>
      <c r="T323" s="251"/>
      <c r="U323" s="251"/>
      <c r="V323" s="251"/>
      <c r="W323" s="251"/>
      <c r="X323" s="251"/>
      <c r="Y323" s="251"/>
      <c r="Z323" s="251"/>
      <c r="AA323" s="251"/>
    </row>
    <row r="324" ht="14.25" customHeight="1">
      <c r="A324" s="98" t="s">
        <v>14562</v>
      </c>
      <c r="B324" s="108"/>
      <c r="C324" s="496" t="s">
        <v>14574</v>
      </c>
      <c r="D324" s="251"/>
      <c r="E324" s="502" t="s">
        <v>8677</v>
      </c>
      <c r="F324" s="137" t="s">
        <v>14568</v>
      </c>
      <c r="G324" s="137" t="s">
        <v>14575</v>
      </c>
      <c r="H324" s="137" t="s">
        <v>14576</v>
      </c>
      <c r="I324" s="497" t="s">
        <v>36</v>
      </c>
      <c r="J324" s="498" t="s">
        <v>4162</v>
      </c>
      <c r="K324" s="498" t="s">
        <v>1784</v>
      </c>
      <c r="L324" s="251"/>
      <c r="M324" s="251"/>
      <c r="N324" s="251"/>
      <c r="O324" s="251"/>
      <c r="P324" s="251"/>
      <c r="Q324" s="251"/>
      <c r="R324" s="251"/>
      <c r="S324" s="251"/>
      <c r="T324" s="251"/>
      <c r="U324" s="251"/>
      <c r="V324" s="251"/>
      <c r="W324" s="251"/>
      <c r="X324" s="251"/>
      <c r="Y324" s="251"/>
      <c r="Z324" s="251"/>
      <c r="AA324" s="251"/>
    </row>
    <row r="325" ht="14.25" customHeight="1">
      <c r="A325" s="98" t="s">
        <v>14562</v>
      </c>
      <c r="B325" s="108"/>
      <c r="C325" s="496" t="s">
        <v>14577</v>
      </c>
      <c r="D325" s="251"/>
      <c r="E325" s="502" t="s">
        <v>8677</v>
      </c>
      <c r="F325" s="137" t="s">
        <v>14568</v>
      </c>
      <c r="G325" s="137" t="s">
        <v>14578</v>
      </c>
      <c r="H325" s="137" t="s">
        <v>14579</v>
      </c>
      <c r="I325" s="497" t="s">
        <v>36</v>
      </c>
      <c r="J325" s="498" t="s">
        <v>4162</v>
      </c>
      <c r="K325" s="498" t="s">
        <v>1784</v>
      </c>
      <c r="L325" s="251"/>
      <c r="M325" s="251"/>
      <c r="N325" s="251"/>
      <c r="O325" s="251"/>
      <c r="P325" s="251"/>
      <c r="Q325" s="251"/>
      <c r="R325" s="251"/>
      <c r="S325" s="251"/>
      <c r="T325" s="251"/>
      <c r="U325" s="251"/>
      <c r="V325" s="251"/>
      <c r="W325" s="251"/>
      <c r="X325" s="251"/>
      <c r="Y325" s="251"/>
      <c r="Z325" s="251"/>
      <c r="AA325" s="251"/>
    </row>
    <row r="326" ht="14.25" customHeight="1">
      <c r="A326" s="98" t="s">
        <v>14562</v>
      </c>
      <c r="B326" s="108"/>
      <c r="C326" s="496" t="s">
        <v>14580</v>
      </c>
      <c r="D326" s="251"/>
      <c r="E326" s="502" t="s">
        <v>8677</v>
      </c>
      <c r="F326" s="137" t="s">
        <v>14568</v>
      </c>
      <c r="G326" s="137" t="s">
        <v>14581</v>
      </c>
      <c r="H326" s="137" t="s">
        <v>14576</v>
      </c>
      <c r="I326" s="497" t="s">
        <v>36</v>
      </c>
      <c r="J326" s="498" t="s">
        <v>4162</v>
      </c>
      <c r="K326" s="498" t="s">
        <v>1784</v>
      </c>
      <c r="L326" s="251"/>
      <c r="M326" s="251"/>
      <c r="N326" s="251"/>
      <c r="O326" s="251"/>
      <c r="P326" s="251"/>
      <c r="Q326" s="251"/>
      <c r="R326" s="251"/>
      <c r="S326" s="251"/>
      <c r="T326" s="251"/>
      <c r="U326" s="251"/>
      <c r="V326" s="251"/>
      <c r="W326" s="251"/>
      <c r="X326" s="251"/>
      <c r="Y326" s="251"/>
      <c r="Z326" s="251"/>
      <c r="AA326" s="251"/>
    </row>
    <row r="327" ht="14.25" customHeight="1">
      <c r="A327" s="98" t="s">
        <v>14562</v>
      </c>
      <c r="B327" s="108"/>
      <c r="C327" s="496" t="s">
        <v>14582</v>
      </c>
      <c r="D327" s="251"/>
      <c r="E327" s="502" t="s">
        <v>8677</v>
      </c>
      <c r="F327" s="137" t="s">
        <v>14583</v>
      </c>
      <c r="G327" s="137" t="s">
        <v>14573</v>
      </c>
      <c r="H327" s="137" t="s">
        <v>14566</v>
      </c>
      <c r="I327" s="497" t="s">
        <v>36</v>
      </c>
      <c r="J327" s="498" t="s">
        <v>4162</v>
      </c>
      <c r="K327" s="498" t="s">
        <v>1784</v>
      </c>
      <c r="L327" s="251"/>
      <c r="M327" s="251"/>
      <c r="N327" s="251"/>
      <c r="O327" s="251"/>
      <c r="P327" s="251"/>
      <c r="Q327" s="251"/>
      <c r="R327" s="251"/>
      <c r="S327" s="251"/>
      <c r="T327" s="251"/>
      <c r="U327" s="251"/>
      <c r="V327" s="251"/>
      <c r="W327" s="251"/>
      <c r="X327" s="251"/>
      <c r="Y327" s="251"/>
      <c r="Z327" s="251"/>
      <c r="AA327" s="251"/>
    </row>
    <row r="328" ht="14.25" customHeight="1">
      <c r="A328" s="98" t="s">
        <v>14562</v>
      </c>
      <c r="B328" s="108"/>
      <c r="C328" s="496" t="s">
        <v>14584</v>
      </c>
      <c r="D328" s="251"/>
      <c r="E328" s="502" t="s">
        <v>8677</v>
      </c>
      <c r="F328" s="137" t="s">
        <v>14583</v>
      </c>
      <c r="G328" s="137" t="s">
        <v>14575</v>
      </c>
      <c r="H328" s="137" t="s">
        <v>14576</v>
      </c>
      <c r="I328" s="497" t="s">
        <v>36</v>
      </c>
      <c r="J328" s="498" t="s">
        <v>4162</v>
      </c>
      <c r="K328" s="498" t="s">
        <v>1784</v>
      </c>
      <c r="L328" s="251"/>
      <c r="M328" s="251"/>
      <c r="N328" s="251"/>
      <c r="O328" s="251"/>
      <c r="P328" s="251"/>
      <c r="Q328" s="251"/>
      <c r="R328" s="251"/>
      <c r="S328" s="251"/>
      <c r="T328" s="251"/>
      <c r="U328" s="251"/>
      <c r="V328" s="251"/>
      <c r="W328" s="251"/>
      <c r="X328" s="251"/>
      <c r="Y328" s="251"/>
      <c r="Z328" s="251"/>
      <c r="AA328" s="251"/>
    </row>
    <row r="329" ht="14.25" customHeight="1">
      <c r="A329" s="98" t="s">
        <v>14562</v>
      </c>
      <c r="B329" s="108"/>
      <c r="C329" s="496" t="s">
        <v>14585</v>
      </c>
      <c r="D329" s="251"/>
      <c r="E329" s="502" t="s">
        <v>8677</v>
      </c>
      <c r="F329" s="137" t="s">
        <v>14583</v>
      </c>
      <c r="G329" s="137" t="s">
        <v>14578</v>
      </c>
      <c r="H329" s="137" t="s">
        <v>14579</v>
      </c>
      <c r="I329" s="497" t="s">
        <v>36</v>
      </c>
      <c r="J329" s="498" t="s">
        <v>4162</v>
      </c>
      <c r="K329" s="498" t="s">
        <v>1784</v>
      </c>
      <c r="L329" s="251"/>
      <c r="M329" s="251"/>
      <c r="N329" s="251"/>
      <c r="O329" s="251"/>
      <c r="P329" s="251"/>
      <c r="Q329" s="251"/>
      <c r="R329" s="251"/>
      <c r="S329" s="251"/>
      <c r="T329" s="251"/>
      <c r="U329" s="251"/>
      <c r="V329" s="251"/>
      <c r="W329" s="251"/>
      <c r="X329" s="251"/>
      <c r="Y329" s="251"/>
      <c r="Z329" s="251"/>
      <c r="AA329" s="251"/>
    </row>
    <row r="330" ht="14.25" customHeight="1">
      <c r="A330" s="98" t="s">
        <v>14562</v>
      </c>
      <c r="B330" s="108"/>
      <c r="C330" s="496" t="s">
        <v>14586</v>
      </c>
      <c r="D330" s="251"/>
      <c r="E330" s="502" t="s">
        <v>8677</v>
      </c>
      <c r="F330" s="137" t="s">
        <v>14583</v>
      </c>
      <c r="G330" s="137" t="s">
        <v>14581</v>
      </c>
      <c r="H330" s="137" t="s">
        <v>14576</v>
      </c>
      <c r="I330" s="497" t="s">
        <v>36</v>
      </c>
      <c r="J330" s="498" t="s">
        <v>4162</v>
      </c>
      <c r="K330" s="498" t="s">
        <v>1784</v>
      </c>
      <c r="L330" s="251"/>
      <c r="M330" s="251"/>
      <c r="N330" s="251"/>
      <c r="O330" s="251"/>
      <c r="P330" s="251"/>
      <c r="Q330" s="251"/>
      <c r="R330" s="251"/>
      <c r="S330" s="251"/>
      <c r="T330" s="251"/>
      <c r="U330" s="251"/>
      <c r="V330" s="251"/>
      <c r="W330" s="251"/>
      <c r="X330" s="251"/>
      <c r="Y330" s="251"/>
      <c r="Z330" s="251"/>
      <c r="AA330" s="251"/>
    </row>
    <row r="331" ht="14.25" customHeight="1">
      <c r="A331" s="98" t="s">
        <v>14562</v>
      </c>
      <c r="B331" s="108"/>
      <c r="C331" s="496" t="s">
        <v>14587</v>
      </c>
      <c r="D331" s="251"/>
      <c r="E331" s="502" t="s">
        <v>8677</v>
      </c>
      <c r="F331" s="137" t="s">
        <v>14568</v>
      </c>
      <c r="G331" s="137" t="s">
        <v>14588</v>
      </c>
      <c r="H331" s="137" t="s">
        <v>14589</v>
      </c>
      <c r="I331" s="497" t="s">
        <v>36</v>
      </c>
      <c r="J331" s="498" t="s">
        <v>4162</v>
      </c>
      <c r="K331" s="498" t="s">
        <v>1784</v>
      </c>
      <c r="L331" s="251"/>
      <c r="M331" s="251"/>
      <c r="N331" s="251"/>
      <c r="O331" s="251"/>
      <c r="P331" s="251"/>
      <c r="Q331" s="251"/>
      <c r="R331" s="251"/>
      <c r="S331" s="251"/>
      <c r="T331" s="251"/>
      <c r="U331" s="251"/>
      <c r="V331" s="251"/>
      <c r="W331" s="251"/>
      <c r="X331" s="251"/>
      <c r="Y331" s="251"/>
      <c r="Z331" s="251"/>
      <c r="AA331" s="251"/>
    </row>
    <row r="332" ht="14.25" customHeight="1">
      <c r="A332" s="98" t="s">
        <v>14562</v>
      </c>
      <c r="B332" s="109"/>
      <c r="C332" s="496" t="s">
        <v>14590</v>
      </c>
      <c r="D332" s="251"/>
      <c r="E332" s="502" t="s">
        <v>8677</v>
      </c>
      <c r="F332" s="137" t="s">
        <v>14583</v>
      </c>
      <c r="G332" s="137" t="s">
        <v>14591</v>
      </c>
      <c r="H332" s="137" t="s">
        <v>14592</v>
      </c>
      <c r="I332" s="497" t="s">
        <v>36</v>
      </c>
      <c r="J332" s="498" t="s">
        <v>4162</v>
      </c>
      <c r="K332" s="498" t="s">
        <v>1784</v>
      </c>
      <c r="L332" s="251"/>
      <c r="M332" s="251"/>
      <c r="N332" s="251"/>
      <c r="O332" s="251"/>
      <c r="P332" s="251"/>
      <c r="Q332" s="251"/>
      <c r="R332" s="251"/>
      <c r="S332" s="251"/>
      <c r="T332" s="251"/>
      <c r="U332" s="251"/>
      <c r="V332" s="251"/>
      <c r="W332" s="251"/>
      <c r="X332" s="251"/>
      <c r="Y332" s="251"/>
      <c r="Z332" s="251"/>
      <c r="AA332" s="251"/>
    </row>
    <row r="333" ht="14.25" customHeight="1">
      <c r="A333" s="98" t="s">
        <v>14593</v>
      </c>
      <c r="B333" s="250"/>
      <c r="C333" s="496" t="s">
        <v>14594</v>
      </c>
      <c r="D333" s="98" t="s">
        <v>271</v>
      </c>
      <c r="E333" s="500"/>
      <c r="F333" s="137" t="s">
        <v>14595</v>
      </c>
      <c r="G333" s="137" t="s">
        <v>14596</v>
      </c>
      <c r="H333" s="137" t="s">
        <v>14597</v>
      </c>
      <c r="I333" s="497" t="s">
        <v>36</v>
      </c>
      <c r="J333" s="498" t="s">
        <v>4162</v>
      </c>
      <c r="K333" s="498" t="s">
        <v>1784</v>
      </c>
      <c r="L333" s="251"/>
      <c r="M333" s="251"/>
      <c r="N333" s="251"/>
      <c r="O333" s="251"/>
      <c r="P333" s="251"/>
      <c r="Q333" s="251"/>
      <c r="R333" s="251"/>
      <c r="S333" s="251"/>
      <c r="T333" s="251"/>
      <c r="U333" s="251"/>
      <c r="V333" s="251"/>
      <c r="W333" s="251"/>
      <c r="X333" s="251"/>
      <c r="Y333" s="251"/>
      <c r="Z333" s="251"/>
      <c r="AA333" s="251"/>
    </row>
    <row r="334" ht="14.25" customHeight="1">
      <c r="A334" s="98" t="s">
        <v>14593</v>
      </c>
      <c r="B334" s="108"/>
      <c r="C334" s="496" t="s">
        <v>14598</v>
      </c>
      <c r="D334" s="98" t="s">
        <v>271</v>
      </c>
      <c r="E334" s="137" t="s">
        <v>14599</v>
      </c>
      <c r="F334" s="137" t="s">
        <v>14600</v>
      </c>
      <c r="G334" s="137" t="s">
        <v>14601</v>
      </c>
      <c r="H334" s="137" t="s">
        <v>14602</v>
      </c>
      <c r="I334" s="497" t="s">
        <v>36</v>
      </c>
      <c r="J334" s="498" t="s">
        <v>4162</v>
      </c>
      <c r="K334" s="498" t="s">
        <v>1784</v>
      </c>
      <c r="L334" s="251"/>
      <c r="M334" s="251"/>
      <c r="N334" s="251"/>
      <c r="O334" s="251"/>
      <c r="P334" s="251"/>
      <c r="Q334" s="251"/>
      <c r="R334" s="251"/>
      <c r="S334" s="251"/>
      <c r="T334" s="251"/>
      <c r="U334" s="251"/>
      <c r="V334" s="251"/>
      <c r="W334" s="251"/>
      <c r="X334" s="251"/>
      <c r="Y334" s="251"/>
      <c r="Z334" s="251"/>
      <c r="AA334" s="251"/>
    </row>
    <row r="335" ht="14.25" customHeight="1">
      <c r="A335" s="98" t="s">
        <v>14593</v>
      </c>
      <c r="B335" s="108"/>
      <c r="C335" s="496" t="s">
        <v>14603</v>
      </c>
      <c r="D335" s="98" t="s">
        <v>271</v>
      </c>
      <c r="E335" s="137" t="s">
        <v>14599</v>
      </c>
      <c r="F335" s="137" t="s">
        <v>14600</v>
      </c>
      <c r="G335" s="137" t="s">
        <v>14604</v>
      </c>
      <c r="H335" s="137" t="s">
        <v>14602</v>
      </c>
      <c r="I335" s="497" t="s">
        <v>36</v>
      </c>
      <c r="J335" s="498" t="s">
        <v>4162</v>
      </c>
      <c r="K335" s="498" t="s">
        <v>1784</v>
      </c>
      <c r="L335" s="251"/>
      <c r="M335" s="251"/>
      <c r="N335" s="251"/>
      <c r="O335" s="251"/>
      <c r="P335" s="251"/>
      <c r="Q335" s="251"/>
      <c r="R335" s="251"/>
      <c r="S335" s="251"/>
      <c r="T335" s="251"/>
      <c r="U335" s="251"/>
      <c r="V335" s="251"/>
      <c r="W335" s="251"/>
      <c r="X335" s="251"/>
      <c r="Y335" s="251"/>
      <c r="Z335" s="251"/>
      <c r="AA335" s="251"/>
    </row>
    <row r="336" ht="14.25" customHeight="1">
      <c r="A336" s="98" t="s">
        <v>14593</v>
      </c>
      <c r="B336" s="108"/>
      <c r="C336" s="496" t="s">
        <v>14605</v>
      </c>
      <c r="D336" s="98" t="s">
        <v>271</v>
      </c>
      <c r="E336" s="137" t="s">
        <v>14599</v>
      </c>
      <c r="F336" s="137" t="s">
        <v>14600</v>
      </c>
      <c r="G336" s="137" t="s">
        <v>14606</v>
      </c>
      <c r="H336" s="137" t="s">
        <v>14602</v>
      </c>
      <c r="I336" s="497" t="s">
        <v>36</v>
      </c>
      <c r="J336" s="498" t="s">
        <v>4162</v>
      </c>
      <c r="K336" s="498" t="s">
        <v>1784</v>
      </c>
      <c r="L336" s="251"/>
      <c r="M336" s="251"/>
      <c r="N336" s="251"/>
      <c r="O336" s="251"/>
      <c r="P336" s="251"/>
      <c r="Q336" s="251"/>
      <c r="R336" s="251"/>
      <c r="S336" s="251"/>
      <c r="T336" s="251"/>
      <c r="U336" s="251"/>
      <c r="V336" s="251"/>
      <c r="W336" s="251"/>
      <c r="X336" s="251"/>
      <c r="Y336" s="251"/>
      <c r="Z336" s="251"/>
      <c r="AA336" s="251"/>
    </row>
    <row r="337" ht="14.25" customHeight="1">
      <c r="A337" s="98" t="s">
        <v>14593</v>
      </c>
      <c r="B337" s="108"/>
      <c r="C337" s="496" t="s">
        <v>14607</v>
      </c>
      <c r="D337" s="98" t="s">
        <v>271</v>
      </c>
      <c r="E337" s="137" t="s">
        <v>14599</v>
      </c>
      <c r="F337" s="137" t="s">
        <v>14600</v>
      </c>
      <c r="G337" s="137" t="s">
        <v>14608</v>
      </c>
      <c r="H337" s="137" t="s">
        <v>14609</v>
      </c>
      <c r="I337" s="497" t="s">
        <v>36</v>
      </c>
      <c r="J337" s="498" t="s">
        <v>4162</v>
      </c>
      <c r="K337" s="498" t="s">
        <v>1784</v>
      </c>
      <c r="L337" s="251"/>
      <c r="M337" s="251"/>
      <c r="N337" s="251"/>
      <c r="O337" s="251"/>
      <c r="P337" s="251"/>
      <c r="Q337" s="251"/>
      <c r="R337" s="251"/>
      <c r="S337" s="251"/>
      <c r="T337" s="251"/>
      <c r="U337" s="251"/>
      <c r="V337" s="251"/>
      <c r="W337" s="251"/>
      <c r="X337" s="251"/>
      <c r="Y337" s="251"/>
      <c r="Z337" s="251"/>
      <c r="AA337" s="251"/>
    </row>
    <row r="338" ht="14.25" customHeight="1">
      <c r="A338" s="98" t="s">
        <v>14593</v>
      </c>
      <c r="B338" s="108"/>
      <c r="C338" s="496" t="s">
        <v>14610</v>
      </c>
      <c r="D338" s="98" t="s">
        <v>271</v>
      </c>
      <c r="E338" s="137" t="s">
        <v>14599</v>
      </c>
      <c r="F338" s="137" t="s">
        <v>14600</v>
      </c>
      <c r="G338" s="137" t="s">
        <v>14611</v>
      </c>
      <c r="H338" s="137" t="s">
        <v>14609</v>
      </c>
      <c r="I338" s="497" t="s">
        <v>36</v>
      </c>
      <c r="J338" s="498" t="s">
        <v>4162</v>
      </c>
      <c r="K338" s="498" t="s">
        <v>1784</v>
      </c>
      <c r="L338" s="251"/>
      <c r="M338" s="251"/>
      <c r="N338" s="251"/>
      <c r="O338" s="251"/>
      <c r="P338" s="251"/>
      <c r="Q338" s="251"/>
      <c r="R338" s="251"/>
      <c r="S338" s="251"/>
      <c r="T338" s="251"/>
      <c r="U338" s="251"/>
      <c r="V338" s="251"/>
      <c r="W338" s="251"/>
      <c r="X338" s="251"/>
      <c r="Y338" s="251"/>
      <c r="Z338" s="251"/>
      <c r="AA338" s="251"/>
    </row>
    <row r="339" ht="14.25" customHeight="1">
      <c r="A339" s="98" t="s">
        <v>14593</v>
      </c>
      <c r="B339" s="108"/>
      <c r="C339" s="496" t="s">
        <v>14612</v>
      </c>
      <c r="D339" s="98" t="s">
        <v>271</v>
      </c>
      <c r="E339" s="137" t="s">
        <v>14599</v>
      </c>
      <c r="F339" s="137" t="s">
        <v>14600</v>
      </c>
      <c r="G339" s="137" t="s">
        <v>14613</v>
      </c>
      <c r="H339" s="137" t="s">
        <v>14609</v>
      </c>
      <c r="I339" s="497" t="s">
        <v>36</v>
      </c>
      <c r="J339" s="498" t="s">
        <v>4162</v>
      </c>
      <c r="K339" s="498" t="s">
        <v>1784</v>
      </c>
      <c r="L339" s="251"/>
      <c r="M339" s="251"/>
      <c r="N339" s="251"/>
      <c r="O339" s="251"/>
      <c r="P339" s="251"/>
      <c r="Q339" s="251"/>
      <c r="R339" s="251"/>
      <c r="S339" s="251"/>
      <c r="T339" s="251"/>
      <c r="U339" s="251"/>
      <c r="V339" s="251"/>
      <c r="W339" s="251"/>
      <c r="X339" s="251"/>
      <c r="Y339" s="251"/>
      <c r="Z339" s="251"/>
      <c r="AA339" s="251"/>
    </row>
    <row r="340" ht="14.25" customHeight="1">
      <c r="A340" s="98" t="s">
        <v>14593</v>
      </c>
      <c r="B340" s="108"/>
      <c r="C340" s="496" t="s">
        <v>14614</v>
      </c>
      <c r="D340" s="98" t="s">
        <v>271</v>
      </c>
      <c r="E340" s="137" t="s">
        <v>14615</v>
      </c>
      <c r="F340" s="137" t="s">
        <v>14600</v>
      </c>
      <c r="G340" s="137" t="s">
        <v>14608</v>
      </c>
      <c r="H340" s="137" t="s">
        <v>14609</v>
      </c>
      <c r="I340" s="497" t="s">
        <v>36</v>
      </c>
      <c r="J340" s="498" t="s">
        <v>4162</v>
      </c>
      <c r="K340" s="498" t="s">
        <v>1784</v>
      </c>
      <c r="L340" s="251"/>
      <c r="M340" s="251"/>
      <c r="N340" s="251"/>
      <c r="O340" s="251"/>
      <c r="P340" s="251"/>
      <c r="Q340" s="251"/>
      <c r="R340" s="251"/>
      <c r="S340" s="251"/>
      <c r="T340" s="251"/>
      <c r="U340" s="251"/>
      <c r="V340" s="251"/>
      <c r="W340" s="251"/>
      <c r="X340" s="251"/>
      <c r="Y340" s="251"/>
      <c r="Z340" s="251"/>
      <c r="AA340" s="251"/>
    </row>
    <row r="341" ht="14.25" customHeight="1">
      <c r="A341" s="98" t="s">
        <v>14593</v>
      </c>
      <c r="B341" s="108"/>
      <c r="C341" s="496" t="s">
        <v>14616</v>
      </c>
      <c r="D341" s="98" t="s">
        <v>271</v>
      </c>
      <c r="E341" s="137" t="s">
        <v>14615</v>
      </c>
      <c r="F341" s="137" t="s">
        <v>14600</v>
      </c>
      <c r="G341" s="137" t="s">
        <v>14611</v>
      </c>
      <c r="H341" s="137" t="s">
        <v>14609</v>
      </c>
      <c r="I341" s="497" t="s">
        <v>36</v>
      </c>
      <c r="J341" s="498" t="s">
        <v>4162</v>
      </c>
      <c r="K341" s="498" t="s">
        <v>1784</v>
      </c>
      <c r="L341" s="251"/>
      <c r="M341" s="251"/>
      <c r="N341" s="251"/>
      <c r="O341" s="251"/>
      <c r="P341" s="251"/>
      <c r="Q341" s="251"/>
      <c r="R341" s="251"/>
      <c r="S341" s="251"/>
      <c r="T341" s="251"/>
      <c r="U341" s="251"/>
      <c r="V341" s="251"/>
      <c r="W341" s="251"/>
      <c r="X341" s="251"/>
      <c r="Y341" s="251"/>
      <c r="Z341" s="251"/>
      <c r="AA341" s="251"/>
    </row>
    <row r="342" ht="14.25" customHeight="1">
      <c r="A342" s="98" t="s">
        <v>14593</v>
      </c>
      <c r="B342" s="109"/>
      <c r="C342" s="496" t="s">
        <v>14617</v>
      </c>
      <c r="D342" s="98" t="s">
        <v>271</v>
      </c>
      <c r="E342" s="137" t="s">
        <v>14615</v>
      </c>
      <c r="F342" s="137" t="s">
        <v>14600</v>
      </c>
      <c r="G342" s="137" t="s">
        <v>14618</v>
      </c>
      <c r="H342" s="137" t="s">
        <v>14619</v>
      </c>
      <c r="I342" s="497" t="s">
        <v>36</v>
      </c>
      <c r="J342" s="498" t="s">
        <v>4162</v>
      </c>
      <c r="K342" s="498" t="s">
        <v>1784</v>
      </c>
      <c r="L342" s="251"/>
      <c r="M342" s="251"/>
      <c r="N342" s="251"/>
      <c r="O342" s="251"/>
      <c r="P342" s="251"/>
      <c r="Q342" s="251"/>
      <c r="R342" s="251"/>
      <c r="S342" s="251"/>
      <c r="T342" s="251"/>
      <c r="U342" s="251"/>
      <c r="V342" s="251"/>
      <c r="W342" s="251"/>
      <c r="X342" s="251"/>
      <c r="Y342" s="251"/>
      <c r="Z342" s="251"/>
      <c r="AA342" s="251"/>
    </row>
    <row r="343" ht="14.25" customHeight="1">
      <c r="A343" s="98" t="s">
        <v>14620</v>
      </c>
      <c r="B343" s="263"/>
      <c r="C343" s="496" t="s">
        <v>14621</v>
      </c>
      <c r="D343" s="98" t="s">
        <v>271</v>
      </c>
      <c r="E343" s="365" t="s">
        <v>14622</v>
      </c>
      <c r="F343" s="137" t="s">
        <v>14623</v>
      </c>
      <c r="G343" s="137" t="s">
        <v>14624</v>
      </c>
      <c r="H343" s="137" t="s">
        <v>14625</v>
      </c>
      <c r="I343" s="497" t="s">
        <v>36</v>
      </c>
      <c r="J343" s="498" t="s">
        <v>4162</v>
      </c>
      <c r="K343" s="498" t="s">
        <v>1784</v>
      </c>
      <c r="L343" s="251"/>
      <c r="M343" s="251"/>
      <c r="N343" s="251"/>
      <c r="O343" s="251"/>
      <c r="P343" s="251"/>
      <c r="Q343" s="251"/>
      <c r="R343" s="251"/>
      <c r="S343" s="251"/>
      <c r="T343" s="251"/>
      <c r="U343" s="251"/>
      <c r="V343" s="251"/>
      <c r="W343" s="251"/>
      <c r="X343" s="251"/>
      <c r="Y343" s="251"/>
      <c r="Z343" s="251"/>
      <c r="AA343" s="251"/>
    </row>
    <row r="344" ht="14.25" customHeight="1">
      <c r="A344" s="98" t="s">
        <v>14620</v>
      </c>
      <c r="B344" s="263"/>
      <c r="C344" s="496" t="s">
        <v>14626</v>
      </c>
      <c r="D344" s="98" t="s">
        <v>271</v>
      </c>
      <c r="E344" s="365" t="s">
        <v>14622</v>
      </c>
      <c r="F344" s="137" t="s">
        <v>14627</v>
      </c>
      <c r="G344" s="137" t="s">
        <v>14628</v>
      </c>
      <c r="H344" s="137" t="s">
        <v>14629</v>
      </c>
      <c r="I344" s="497" t="s">
        <v>36</v>
      </c>
      <c r="J344" s="498" t="s">
        <v>4162</v>
      </c>
      <c r="K344" s="498" t="s">
        <v>1784</v>
      </c>
      <c r="L344" s="251"/>
      <c r="M344" s="251"/>
      <c r="N344" s="251"/>
      <c r="O344" s="251"/>
      <c r="P344" s="251"/>
      <c r="Q344" s="251"/>
      <c r="R344" s="251"/>
      <c r="S344" s="251"/>
      <c r="T344" s="251"/>
      <c r="U344" s="251"/>
      <c r="V344" s="251"/>
      <c r="W344" s="251"/>
      <c r="X344" s="251"/>
      <c r="Y344" s="251"/>
      <c r="Z344" s="251"/>
      <c r="AA344" s="251"/>
    </row>
    <row r="345" ht="14.25" customHeight="1">
      <c r="A345" s="98" t="s">
        <v>14620</v>
      </c>
      <c r="B345" s="263"/>
      <c r="C345" s="496" t="s">
        <v>14630</v>
      </c>
      <c r="D345" s="98" t="s">
        <v>271</v>
      </c>
      <c r="E345" s="365" t="s">
        <v>14622</v>
      </c>
      <c r="F345" s="137" t="s">
        <v>14631</v>
      </c>
      <c r="G345" s="137" t="s">
        <v>14632</v>
      </c>
      <c r="H345" s="137" t="s">
        <v>14633</v>
      </c>
      <c r="I345" s="497" t="s">
        <v>36</v>
      </c>
      <c r="J345" s="498" t="s">
        <v>4162</v>
      </c>
      <c r="K345" s="498" t="s">
        <v>1784</v>
      </c>
      <c r="L345" s="251"/>
      <c r="M345" s="251"/>
      <c r="N345" s="251"/>
      <c r="O345" s="251"/>
      <c r="P345" s="251"/>
      <c r="Q345" s="251"/>
      <c r="R345" s="251"/>
      <c r="S345" s="251"/>
      <c r="T345" s="251"/>
      <c r="U345" s="251"/>
      <c r="V345" s="251"/>
      <c r="W345" s="251"/>
      <c r="X345" s="251"/>
      <c r="Y345" s="251"/>
      <c r="Z345" s="251"/>
      <c r="AA345" s="251"/>
    </row>
    <row r="346" ht="14.25" customHeight="1">
      <c r="A346" s="98" t="s">
        <v>14620</v>
      </c>
      <c r="B346" s="263"/>
      <c r="C346" s="496" t="s">
        <v>14634</v>
      </c>
      <c r="D346" s="98" t="s">
        <v>271</v>
      </c>
      <c r="E346" s="365" t="s">
        <v>14622</v>
      </c>
      <c r="F346" s="137" t="s">
        <v>14635</v>
      </c>
      <c r="G346" s="137" t="s">
        <v>14636</v>
      </c>
      <c r="H346" s="137" t="s">
        <v>14637</v>
      </c>
      <c r="I346" s="497" t="s">
        <v>36</v>
      </c>
      <c r="J346" s="498" t="s">
        <v>4162</v>
      </c>
      <c r="K346" s="498" t="s">
        <v>1784</v>
      </c>
      <c r="L346" s="251"/>
      <c r="M346" s="251"/>
      <c r="N346" s="251"/>
      <c r="O346" s="251"/>
      <c r="P346" s="251"/>
      <c r="Q346" s="251"/>
      <c r="R346" s="251"/>
      <c r="S346" s="251"/>
      <c r="T346" s="251"/>
      <c r="U346" s="251"/>
      <c r="V346" s="251"/>
      <c r="W346" s="251"/>
      <c r="X346" s="251"/>
      <c r="Y346" s="251"/>
      <c r="Z346" s="251"/>
      <c r="AA346" s="251"/>
    </row>
    <row r="347" ht="14.25" customHeight="1">
      <c r="A347" s="98" t="s">
        <v>14620</v>
      </c>
      <c r="B347" s="263"/>
      <c r="C347" s="496" t="s">
        <v>14638</v>
      </c>
      <c r="D347" s="98" t="s">
        <v>271</v>
      </c>
      <c r="E347" s="365" t="s">
        <v>14622</v>
      </c>
      <c r="F347" s="137" t="s">
        <v>14635</v>
      </c>
      <c r="G347" s="137" t="s">
        <v>14639</v>
      </c>
      <c r="H347" s="137" t="s">
        <v>14640</v>
      </c>
      <c r="I347" s="497" t="s">
        <v>36</v>
      </c>
      <c r="J347" s="498" t="s">
        <v>4162</v>
      </c>
      <c r="K347" s="498" t="s">
        <v>1784</v>
      </c>
      <c r="L347" s="251"/>
      <c r="M347" s="251"/>
      <c r="N347" s="251"/>
      <c r="O347" s="251"/>
      <c r="P347" s="251"/>
      <c r="Q347" s="251"/>
      <c r="R347" s="251"/>
      <c r="S347" s="251"/>
      <c r="T347" s="251"/>
      <c r="U347" s="251"/>
      <c r="V347" s="251"/>
      <c r="W347" s="251"/>
      <c r="X347" s="251"/>
      <c r="Y347" s="251"/>
      <c r="Z347" s="251"/>
      <c r="AA347" s="251"/>
    </row>
    <row r="348" ht="14.25" customHeight="1">
      <c r="A348" s="98" t="s">
        <v>14620</v>
      </c>
      <c r="B348" s="263"/>
      <c r="C348" s="496" t="s">
        <v>14641</v>
      </c>
      <c r="D348" s="98" t="s">
        <v>271</v>
      </c>
      <c r="E348" s="365" t="s">
        <v>14622</v>
      </c>
      <c r="F348" s="137" t="s">
        <v>14635</v>
      </c>
      <c r="G348" s="137" t="s">
        <v>14642</v>
      </c>
      <c r="H348" s="137" t="s">
        <v>14643</v>
      </c>
      <c r="I348" s="497" t="s">
        <v>36</v>
      </c>
      <c r="J348" s="498" t="s">
        <v>4162</v>
      </c>
      <c r="K348" s="498" t="s">
        <v>1784</v>
      </c>
      <c r="L348" s="251"/>
      <c r="M348" s="251"/>
      <c r="N348" s="251"/>
      <c r="O348" s="251"/>
      <c r="P348" s="251"/>
      <c r="Q348" s="251"/>
      <c r="R348" s="251"/>
      <c r="S348" s="251"/>
      <c r="T348" s="251"/>
      <c r="U348" s="251"/>
      <c r="V348" s="251"/>
      <c r="W348" s="251"/>
      <c r="X348" s="251"/>
      <c r="Y348" s="251"/>
      <c r="Z348" s="251"/>
      <c r="AA348" s="251"/>
    </row>
    <row r="349" ht="14.25" customHeight="1">
      <c r="A349" s="460" t="s">
        <v>14644</v>
      </c>
      <c r="B349" s="505"/>
      <c r="C349" s="496" t="s">
        <v>14645</v>
      </c>
      <c r="D349" s="506" t="s">
        <v>271</v>
      </c>
      <c r="E349" s="164" t="s">
        <v>14646</v>
      </c>
      <c r="F349" s="164" t="s">
        <v>14647</v>
      </c>
      <c r="G349" s="507" t="s">
        <v>14648</v>
      </c>
      <c r="H349" s="348" t="s">
        <v>14649</v>
      </c>
      <c r="I349" s="497" t="s">
        <v>36</v>
      </c>
      <c r="J349" s="508" t="s">
        <v>4162</v>
      </c>
      <c r="K349" s="508" t="s">
        <v>2062</v>
      </c>
      <c r="L349" s="460"/>
      <c r="M349" s="460"/>
      <c r="N349" s="460"/>
      <c r="O349" s="460"/>
      <c r="P349" s="460"/>
      <c r="Q349" s="460"/>
      <c r="R349" s="460"/>
      <c r="S349" s="460"/>
      <c r="T349" s="460"/>
      <c r="U349" s="460"/>
      <c r="V349" s="460"/>
      <c r="W349" s="460"/>
      <c r="X349" s="460"/>
      <c r="Y349" s="460"/>
      <c r="Z349" s="460"/>
      <c r="AA349" s="460"/>
    </row>
    <row r="350" ht="14.25" customHeight="1">
      <c r="A350" s="460" t="s">
        <v>14644</v>
      </c>
      <c r="B350" s="108"/>
      <c r="C350" s="496" t="s">
        <v>14650</v>
      </c>
      <c r="D350" s="506" t="s">
        <v>271</v>
      </c>
      <c r="E350" s="502" t="s">
        <v>14651</v>
      </c>
      <c r="F350" s="164" t="s">
        <v>14647</v>
      </c>
      <c r="G350" s="507" t="s">
        <v>14652</v>
      </c>
      <c r="H350" s="348" t="s">
        <v>14653</v>
      </c>
      <c r="I350" s="497" t="s">
        <v>36</v>
      </c>
      <c r="J350" s="508" t="s">
        <v>4162</v>
      </c>
      <c r="K350" s="508" t="s">
        <v>2062</v>
      </c>
      <c r="L350" s="460"/>
      <c r="M350" s="460"/>
      <c r="N350" s="460"/>
      <c r="O350" s="460"/>
      <c r="P350" s="460"/>
      <c r="Q350" s="460"/>
      <c r="R350" s="460"/>
      <c r="S350" s="460"/>
      <c r="T350" s="460"/>
      <c r="U350" s="460"/>
      <c r="V350" s="460"/>
      <c r="W350" s="460"/>
      <c r="X350" s="460"/>
      <c r="Y350" s="460"/>
      <c r="Z350" s="460"/>
      <c r="AA350" s="460"/>
    </row>
    <row r="351" ht="14.25" customHeight="1">
      <c r="A351" s="460" t="s">
        <v>14644</v>
      </c>
      <c r="B351" s="108"/>
      <c r="C351" s="496" t="s">
        <v>14654</v>
      </c>
      <c r="D351" s="506" t="s">
        <v>271</v>
      </c>
      <c r="E351" s="502" t="s">
        <v>14655</v>
      </c>
      <c r="F351" s="164" t="s">
        <v>14647</v>
      </c>
      <c r="G351" s="502" t="s">
        <v>14655</v>
      </c>
      <c r="H351" s="365" t="s">
        <v>14656</v>
      </c>
      <c r="I351" s="497" t="s">
        <v>317</v>
      </c>
      <c r="J351" s="508" t="s">
        <v>4162</v>
      </c>
      <c r="K351" s="508" t="s">
        <v>2062</v>
      </c>
      <c r="L351" s="460"/>
      <c r="M351" s="460"/>
      <c r="N351" s="460"/>
      <c r="O351" s="460"/>
      <c r="P351" s="460"/>
      <c r="Q351" s="460"/>
      <c r="R351" s="460"/>
      <c r="S351" s="460"/>
      <c r="T351" s="460"/>
      <c r="U351" s="460"/>
      <c r="V351" s="460"/>
      <c r="W351" s="460"/>
      <c r="X351" s="460"/>
      <c r="Y351" s="460"/>
      <c r="Z351" s="460"/>
      <c r="AA351" s="460"/>
    </row>
    <row r="352" ht="14.25" customHeight="1">
      <c r="A352" s="460" t="s">
        <v>14644</v>
      </c>
      <c r="B352" s="109"/>
      <c r="C352" s="496" t="s">
        <v>14657</v>
      </c>
      <c r="D352" s="506" t="s">
        <v>271</v>
      </c>
      <c r="E352" s="502" t="s">
        <v>14658</v>
      </c>
      <c r="F352" s="164" t="s">
        <v>14647</v>
      </c>
      <c r="G352" s="502" t="s">
        <v>14658</v>
      </c>
      <c r="H352" s="365" t="s">
        <v>14659</v>
      </c>
      <c r="I352" s="497" t="s">
        <v>36</v>
      </c>
      <c r="J352" s="508" t="s">
        <v>151</v>
      </c>
      <c r="K352" s="508" t="s">
        <v>2062</v>
      </c>
      <c r="L352" s="460"/>
      <c r="M352" s="460"/>
      <c r="N352" s="460"/>
      <c r="O352" s="460"/>
      <c r="P352" s="460"/>
      <c r="Q352" s="460"/>
      <c r="R352" s="460"/>
      <c r="S352" s="460"/>
      <c r="T352" s="460"/>
      <c r="U352" s="460"/>
      <c r="V352" s="460"/>
      <c r="W352" s="460"/>
      <c r="X352" s="460"/>
      <c r="Y352" s="460"/>
      <c r="Z352" s="460"/>
      <c r="AA352" s="460"/>
    </row>
    <row r="353" ht="14.25" customHeight="1">
      <c r="A353" s="98" t="s">
        <v>14552</v>
      </c>
      <c r="B353" s="250" t="s">
        <v>4303</v>
      </c>
      <c r="C353" s="496" t="s">
        <v>14553</v>
      </c>
      <c r="D353" s="251"/>
      <c r="E353" s="502" t="s">
        <v>4303</v>
      </c>
      <c r="F353" s="137" t="s">
        <v>14660</v>
      </c>
      <c r="G353" s="365" t="s">
        <v>14556</v>
      </c>
      <c r="H353" s="365" t="s">
        <v>14557</v>
      </c>
      <c r="I353" s="497" t="s">
        <v>36</v>
      </c>
      <c r="J353" s="498" t="s">
        <v>4162</v>
      </c>
      <c r="K353" s="498" t="s">
        <v>1784</v>
      </c>
      <c r="L353" s="251"/>
      <c r="M353" s="251"/>
      <c r="N353" s="251"/>
      <c r="O353" s="251"/>
      <c r="P353" s="251"/>
      <c r="Q353" s="251"/>
      <c r="R353" s="251"/>
      <c r="S353" s="251"/>
      <c r="T353" s="251"/>
      <c r="U353" s="251"/>
      <c r="V353" s="251"/>
      <c r="W353" s="251"/>
      <c r="X353" s="251"/>
      <c r="Y353" s="251"/>
      <c r="Z353" s="251"/>
      <c r="AA353" s="251"/>
    </row>
    <row r="354" ht="14.25" customHeight="1">
      <c r="A354" s="98" t="s">
        <v>14552</v>
      </c>
      <c r="B354" s="108"/>
      <c r="C354" s="496" t="s">
        <v>14558</v>
      </c>
      <c r="D354" s="251"/>
      <c r="E354" s="502" t="s">
        <v>4303</v>
      </c>
      <c r="F354" s="137" t="s">
        <v>14661</v>
      </c>
      <c r="G354" s="365" t="s">
        <v>14556</v>
      </c>
      <c r="H354" s="365" t="s">
        <v>14557</v>
      </c>
      <c r="I354" s="497" t="s">
        <v>36</v>
      </c>
      <c r="J354" s="498" t="s">
        <v>4162</v>
      </c>
      <c r="K354" s="498" t="s">
        <v>1784</v>
      </c>
      <c r="L354" s="251"/>
      <c r="M354" s="251"/>
      <c r="N354" s="251"/>
      <c r="O354" s="251"/>
      <c r="P354" s="251"/>
      <c r="Q354" s="251"/>
      <c r="R354" s="251"/>
      <c r="S354" s="251"/>
      <c r="T354" s="251"/>
      <c r="U354" s="251"/>
      <c r="V354" s="251"/>
      <c r="W354" s="251"/>
      <c r="X354" s="251"/>
      <c r="Y354" s="251"/>
      <c r="Z354" s="251"/>
      <c r="AA354" s="251"/>
    </row>
    <row r="355" ht="14.25" customHeight="1">
      <c r="A355" s="98" t="s">
        <v>14552</v>
      </c>
      <c r="B355" s="108"/>
      <c r="C355" s="496" t="s">
        <v>14662</v>
      </c>
      <c r="D355" s="251"/>
      <c r="E355" s="502" t="s">
        <v>4303</v>
      </c>
      <c r="F355" s="137" t="s">
        <v>14663</v>
      </c>
      <c r="G355" s="365" t="s">
        <v>14556</v>
      </c>
      <c r="H355" s="365" t="s">
        <v>14557</v>
      </c>
      <c r="I355" s="497" t="s">
        <v>36</v>
      </c>
      <c r="J355" s="498" t="s">
        <v>4162</v>
      </c>
      <c r="K355" s="498" t="s">
        <v>1784</v>
      </c>
      <c r="L355" s="251"/>
      <c r="M355" s="251"/>
      <c r="N355" s="251"/>
      <c r="O355" s="251"/>
      <c r="P355" s="251"/>
      <c r="Q355" s="251"/>
      <c r="R355" s="251"/>
      <c r="S355" s="251"/>
      <c r="T355" s="251"/>
      <c r="U355" s="251"/>
      <c r="V355" s="251"/>
      <c r="W355" s="251"/>
      <c r="X355" s="251"/>
      <c r="Y355" s="251"/>
      <c r="Z355" s="251"/>
      <c r="AA355" s="251"/>
    </row>
    <row r="356" ht="14.25" customHeight="1">
      <c r="A356" s="98" t="s">
        <v>14552</v>
      </c>
      <c r="B356" s="108"/>
      <c r="C356" s="496" t="s">
        <v>14664</v>
      </c>
      <c r="D356" s="251"/>
      <c r="E356" s="502" t="s">
        <v>4303</v>
      </c>
      <c r="F356" s="137" t="s">
        <v>14665</v>
      </c>
      <c r="G356" s="365" t="s">
        <v>14560</v>
      </c>
      <c r="H356" s="365" t="s">
        <v>14561</v>
      </c>
      <c r="I356" s="497" t="s">
        <v>36</v>
      </c>
      <c r="J356" s="498" t="s">
        <v>4162</v>
      </c>
      <c r="K356" s="498" t="s">
        <v>1784</v>
      </c>
      <c r="L356" s="251"/>
      <c r="M356" s="251"/>
      <c r="N356" s="251"/>
      <c r="O356" s="251"/>
      <c r="P356" s="251"/>
      <c r="Q356" s="251"/>
      <c r="R356" s="251"/>
      <c r="S356" s="251"/>
      <c r="T356" s="251"/>
      <c r="U356" s="251"/>
      <c r="V356" s="251"/>
      <c r="W356" s="251"/>
      <c r="X356" s="251"/>
      <c r="Y356" s="251"/>
      <c r="Z356" s="251"/>
      <c r="AA356" s="251"/>
    </row>
    <row r="357" ht="14.25" customHeight="1">
      <c r="A357" s="98" t="s">
        <v>14552</v>
      </c>
      <c r="B357" s="108"/>
      <c r="C357" s="496" t="s">
        <v>14666</v>
      </c>
      <c r="D357" s="251"/>
      <c r="E357" s="502" t="s">
        <v>4303</v>
      </c>
      <c r="F357" s="137" t="s">
        <v>14667</v>
      </c>
      <c r="G357" s="365" t="s">
        <v>14560</v>
      </c>
      <c r="H357" s="365" t="s">
        <v>14561</v>
      </c>
      <c r="I357" s="497" t="s">
        <v>36</v>
      </c>
      <c r="J357" s="498" t="s">
        <v>4162</v>
      </c>
      <c r="K357" s="498" t="s">
        <v>1784</v>
      </c>
      <c r="L357" s="251"/>
      <c r="M357" s="251"/>
      <c r="N357" s="251"/>
      <c r="O357" s="251"/>
      <c r="P357" s="251"/>
      <c r="Q357" s="251"/>
      <c r="R357" s="251"/>
      <c r="S357" s="251"/>
      <c r="T357" s="251"/>
      <c r="U357" s="251"/>
      <c r="V357" s="251"/>
      <c r="W357" s="251"/>
      <c r="X357" s="251"/>
      <c r="Y357" s="251"/>
      <c r="Z357" s="251"/>
      <c r="AA357" s="251"/>
    </row>
    <row r="358" ht="14.25" customHeight="1">
      <c r="A358" s="98" t="s">
        <v>14552</v>
      </c>
      <c r="B358" s="109"/>
      <c r="C358" s="496" t="s">
        <v>14668</v>
      </c>
      <c r="D358" s="251"/>
      <c r="E358" s="502" t="s">
        <v>4303</v>
      </c>
      <c r="F358" s="137" t="s">
        <v>14669</v>
      </c>
      <c r="G358" s="365" t="s">
        <v>14560</v>
      </c>
      <c r="H358" s="365" t="s">
        <v>14561</v>
      </c>
      <c r="I358" s="497" t="s">
        <v>36</v>
      </c>
      <c r="J358" s="498" t="s">
        <v>4162</v>
      </c>
      <c r="K358" s="498" t="s">
        <v>1784</v>
      </c>
      <c r="L358" s="251"/>
      <c r="M358" s="251"/>
      <c r="N358" s="251"/>
      <c r="O358" s="251"/>
      <c r="P358" s="251"/>
      <c r="Q358" s="251"/>
      <c r="R358" s="251"/>
      <c r="S358" s="251"/>
      <c r="T358" s="251"/>
      <c r="U358" s="251"/>
      <c r="V358" s="251"/>
      <c r="W358" s="251"/>
      <c r="X358" s="251"/>
      <c r="Y358" s="251"/>
      <c r="Z358" s="251"/>
      <c r="AA358" s="251"/>
    </row>
    <row r="359" ht="14.25" customHeight="1">
      <c r="A359" s="98" t="s">
        <v>14670</v>
      </c>
      <c r="B359" s="499"/>
      <c r="C359" s="496" t="s">
        <v>14671</v>
      </c>
      <c r="D359" s="98" t="s">
        <v>271</v>
      </c>
      <c r="E359" s="137" t="s">
        <v>14672</v>
      </c>
      <c r="F359" s="365" t="s">
        <v>14673</v>
      </c>
      <c r="G359" s="365" t="s">
        <v>14672</v>
      </c>
      <c r="H359" s="365" t="s">
        <v>14674</v>
      </c>
      <c r="I359" s="497" t="s">
        <v>36</v>
      </c>
      <c r="J359" s="498" t="s">
        <v>4162</v>
      </c>
      <c r="K359" s="498" t="s">
        <v>2034</v>
      </c>
      <c r="L359" s="251"/>
      <c r="M359" s="251"/>
      <c r="N359" s="251"/>
      <c r="O359" s="251"/>
      <c r="P359" s="251"/>
      <c r="Q359" s="251"/>
      <c r="R359" s="251"/>
      <c r="S359" s="251"/>
      <c r="T359" s="251"/>
      <c r="U359" s="251"/>
      <c r="V359" s="251"/>
      <c r="W359" s="251"/>
      <c r="X359" s="251"/>
      <c r="Y359" s="251"/>
      <c r="Z359" s="251"/>
      <c r="AA359" s="251"/>
    </row>
    <row r="360" ht="14.25" customHeight="1">
      <c r="A360" s="98" t="s">
        <v>14670</v>
      </c>
      <c r="B360" s="108"/>
      <c r="C360" s="496" t="s">
        <v>14675</v>
      </c>
      <c r="D360" s="98" t="s">
        <v>271</v>
      </c>
      <c r="E360" s="137" t="s">
        <v>14676</v>
      </c>
      <c r="F360" s="365" t="s">
        <v>14673</v>
      </c>
      <c r="G360" s="365" t="s">
        <v>14676</v>
      </c>
      <c r="H360" s="365" t="s">
        <v>14677</v>
      </c>
      <c r="I360" s="497" t="s">
        <v>36</v>
      </c>
      <c r="J360" s="498" t="s">
        <v>4162</v>
      </c>
      <c r="K360" s="498" t="s">
        <v>2034</v>
      </c>
      <c r="L360" s="251"/>
      <c r="M360" s="251"/>
      <c r="N360" s="251"/>
      <c r="O360" s="251"/>
      <c r="P360" s="251"/>
      <c r="Q360" s="251"/>
      <c r="R360" s="251"/>
      <c r="S360" s="251"/>
      <c r="T360" s="251"/>
      <c r="U360" s="251"/>
      <c r="V360" s="251"/>
      <c r="W360" s="251"/>
      <c r="X360" s="251"/>
      <c r="Y360" s="251"/>
      <c r="Z360" s="251"/>
      <c r="AA360" s="251"/>
    </row>
    <row r="361" ht="14.25" customHeight="1">
      <c r="A361" s="98" t="s">
        <v>14670</v>
      </c>
      <c r="B361" s="108"/>
      <c r="C361" s="496" t="s">
        <v>14678</v>
      </c>
      <c r="D361" s="98" t="s">
        <v>271</v>
      </c>
      <c r="E361" s="137" t="s">
        <v>14672</v>
      </c>
      <c r="F361" s="365" t="s">
        <v>14679</v>
      </c>
      <c r="G361" s="365" t="s">
        <v>14672</v>
      </c>
      <c r="H361" s="365" t="s">
        <v>14674</v>
      </c>
      <c r="I361" s="497" t="s">
        <v>36</v>
      </c>
      <c r="J361" s="498" t="s">
        <v>4162</v>
      </c>
      <c r="K361" s="498" t="s">
        <v>2034</v>
      </c>
      <c r="L361" s="251"/>
      <c r="M361" s="251"/>
      <c r="N361" s="251"/>
      <c r="O361" s="251"/>
      <c r="P361" s="251"/>
      <c r="Q361" s="251"/>
      <c r="R361" s="251"/>
      <c r="S361" s="251"/>
      <c r="T361" s="251"/>
      <c r="U361" s="251"/>
      <c r="V361" s="251"/>
      <c r="W361" s="251"/>
      <c r="X361" s="251"/>
      <c r="Y361" s="251"/>
      <c r="Z361" s="251"/>
      <c r="AA361" s="251"/>
    </row>
    <row r="362" ht="14.25" customHeight="1">
      <c r="A362" s="98" t="s">
        <v>14670</v>
      </c>
      <c r="B362" s="109"/>
      <c r="C362" s="496" t="s">
        <v>14680</v>
      </c>
      <c r="D362" s="98" t="s">
        <v>271</v>
      </c>
      <c r="E362" s="137" t="s">
        <v>14676</v>
      </c>
      <c r="F362" s="365" t="s">
        <v>14679</v>
      </c>
      <c r="G362" s="365" t="s">
        <v>14676</v>
      </c>
      <c r="H362" s="365" t="s">
        <v>14677</v>
      </c>
      <c r="I362" s="497" t="s">
        <v>36</v>
      </c>
      <c r="J362" s="498" t="s">
        <v>4162</v>
      </c>
      <c r="K362" s="498" t="s">
        <v>2034</v>
      </c>
      <c r="L362" s="251"/>
      <c r="M362" s="251"/>
      <c r="N362" s="251"/>
      <c r="O362" s="251"/>
      <c r="P362" s="251"/>
      <c r="Q362" s="251"/>
      <c r="R362" s="251"/>
      <c r="S362" s="251"/>
      <c r="T362" s="251"/>
      <c r="U362" s="251"/>
      <c r="V362" s="251"/>
      <c r="W362" s="251"/>
      <c r="X362" s="251"/>
      <c r="Y362" s="251"/>
      <c r="Z362" s="251"/>
      <c r="AA362" s="251"/>
    </row>
    <row r="363" ht="14.25" customHeight="1">
      <c r="A363" s="98" t="s">
        <v>14681</v>
      </c>
      <c r="B363" s="499"/>
      <c r="C363" s="496" t="s">
        <v>14682</v>
      </c>
      <c r="D363" s="98" t="s">
        <v>271</v>
      </c>
      <c r="E363" s="502" t="s">
        <v>14683</v>
      </c>
      <c r="F363" s="137" t="s">
        <v>14684</v>
      </c>
      <c r="G363" s="137" t="s">
        <v>14685</v>
      </c>
      <c r="H363" s="137" t="s">
        <v>14686</v>
      </c>
      <c r="I363" s="497" t="s">
        <v>36</v>
      </c>
      <c r="J363" s="498" t="s">
        <v>4162</v>
      </c>
      <c r="K363" s="498" t="s">
        <v>2034</v>
      </c>
      <c r="L363" s="251"/>
      <c r="M363" s="251"/>
      <c r="N363" s="251"/>
      <c r="O363" s="251"/>
      <c r="P363" s="251"/>
      <c r="Q363" s="251"/>
      <c r="R363" s="251"/>
      <c r="S363" s="251"/>
      <c r="T363" s="251"/>
      <c r="U363" s="251"/>
      <c r="V363" s="251"/>
      <c r="W363" s="251"/>
      <c r="X363" s="251"/>
      <c r="Y363" s="251"/>
      <c r="Z363" s="251"/>
      <c r="AA363" s="251"/>
    </row>
    <row r="364" ht="14.25" customHeight="1">
      <c r="A364" s="98" t="s">
        <v>14681</v>
      </c>
      <c r="B364" s="108"/>
      <c r="C364" s="496" t="s">
        <v>14687</v>
      </c>
      <c r="D364" s="98" t="s">
        <v>271</v>
      </c>
      <c r="E364" s="502" t="s">
        <v>14683</v>
      </c>
      <c r="F364" s="137" t="s">
        <v>14688</v>
      </c>
      <c r="G364" s="137" t="s">
        <v>14689</v>
      </c>
      <c r="H364" s="137" t="s">
        <v>14690</v>
      </c>
      <c r="I364" s="497" t="s">
        <v>36</v>
      </c>
      <c r="J364" s="498" t="s">
        <v>4162</v>
      </c>
      <c r="K364" s="498" t="s">
        <v>2034</v>
      </c>
      <c r="L364" s="251"/>
      <c r="M364" s="251"/>
      <c r="N364" s="251"/>
      <c r="O364" s="251"/>
      <c r="P364" s="251"/>
      <c r="Q364" s="251"/>
      <c r="R364" s="251"/>
      <c r="S364" s="251"/>
      <c r="T364" s="251"/>
      <c r="U364" s="251"/>
      <c r="V364" s="251"/>
      <c r="W364" s="251"/>
      <c r="X364" s="251"/>
      <c r="Y364" s="251"/>
      <c r="Z364" s="251"/>
      <c r="AA364" s="251"/>
    </row>
    <row r="365" ht="14.25" customHeight="1">
      <c r="A365" s="98" t="s">
        <v>14681</v>
      </c>
      <c r="B365" s="108"/>
      <c r="C365" s="496" t="s">
        <v>14691</v>
      </c>
      <c r="D365" s="98" t="s">
        <v>271</v>
      </c>
      <c r="E365" s="502" t="s">
        <v>14683</v>
      </c>
      <c r="F365" s="137" t="s">
        <v>14692</v>
      </c>
      <c r="G365" s="137" t="s">
        <v>14693</v>
      </c>
      <c r="H365" s="137" t="s">
        <v>14694</v>
      </c>
      <c r="I365" s="497" t="s">
        <v>36</v>
      </c>
      <c r="J365" s="498" t="s">
        <v>4162</v>
      </c>
      <c r="K365" s="498" t="s">
        <v>2034</v>
      </c>
      <c r="L365" s="251"/>
      <c r="M365" s="251"/>
      <c r="N365" s="251"/>
      <c r="O365" s="251"/>
      <c r="P365" s="251"/>
      <c r="Q365" s="251"/>
      <c r="R365" s="251"/>
      <c r="S365" s="251"/>
      <c r="T365" s="251"/>
      <c r="U365" s="251"/>
      <c r="V365" s="251"/>
      <c r="W365" s="251"/>
      <c r="X365" s="251"/>
      <c r="Y365" s="251"/>
      <c r="Z365" s="251"/>
      <c r="AA365" s="251"/>
    </row>
    <row r="366" ht="14.25" customHeight="1">
      <c r="A366" s="98" t="s">
        <v>14681</v>
      </c>
      <c r="B366" s="109"/>
      <c r="C366" s="496" t="s">
        <v>14695</v>
      </c>
      <c r="D366" s="98" t="s">
        <v>271</v>
      </c>
      <c r="E366" s="502" t="s">
        <v>14683</v>
      </c>
      <c r="F366" s="137" t="s">
        <v>14696</v>
      </c>
      <c r="G366" s="137" t="s">
        <v>14689</v>
      </c>
      <c r="H366" s="137" t="s">
        <v>14697</v>
      </c>
      <c r="I366" s="497" t="s">
        <v>36</v>
      </c>
      <c r="J366" s="498" t="s">
        <v>4162</v>
      </c>
      <c r="K366" s="498" t="s">
        <v>2034</v>
      </c>
      <c r="L366" s="251"/>
      <c r="M366" s="251"/>
      <c r="N366" s="251"/>
      <c r="O366" s="251"/>
      <c r="P366" s="251"/>
      <c r="Q366" s="251"/>
      <c r="R366" s="251"/>
      <c r="S366" s="251"/>
      <c r="T366" s="251"/>
      <c r="U366" s="251"/>
      <c r="V366" s="251"/>
      <c r="W366" s="251"/>
      <c r="X366" s="251"/>
      <c r="Y366" s="251"/>
      <c r="Z366" s="251"/>
      <c r="AA366" s="251"/>
    </row>
    <row r="367" ht="14.25" customHeight="1">
      <c r="A367" s="248" t="s">
        <v>14698</v>
      </c>
      <c r="B367" s="499"/>
      <c r="C367" s="496" t="s">
        <v>14699</v>
      </c>
      <c r="D367" s="98" t="s">
        <v>271</v>
      </c>
      <c r="E367" s="509" t="s">
        <v>14700</v>
      </c>
      <c r="F367" s="509" t="s">
        <v>14701</v>
      </c>
      <c r="G367" s="509" t="s">
        <v>14702</v>
      </c>
      <c r="H367" s="509" t="s">
        <v>14703</v>
      </c>
      <c r="I367" s="497" t="s">
        <v>36</v>
      </c>
      <c r="J367" s="498" t="s">
        <v>4162</v>
      </c>
      <c r="K367" s="498" t="s">
        <v>2034</v>
      </c>
      <c r="L367" s="251"/>
      <c r="M367" s="251"/>
      <c r="N367" s="251"/>
      <c r="O367" s="251"/>
      <c r="P367" s="251"/>
      <c r="Q367" s="251"/>
      <c r="R367" s="251"/>
      <c r="S367" s="251"/>
      <c r="T367" s="251"/>
      <c r="U367" s="251"/>
      <c r="V367" s="251"/>
      <c r="W367" s="251"/>
      <c r="X367" s="251"/>
      <c r="Y367" s="251"/>
      <c r="Z367" s="251"/>
      <c r="AA367" s="251"/>
    </row>
    <row r="368" ht="14.25" customHeight="1">
      <c r="A368" s="248" t="s">
        <v>14698</v>
      </c>
      <c r="B368" s="108"/>
      <c r="C368" s="496" t="s">
        <v>14704</v>
      </c>
      <c r="D368" s="98" t="s">
        <v>271</v>
      </c>
      <c r="E368" s="509" t="s">
        <v>14700</v>
      </c>
      <c r="F368" s="509" t="s">
        <v>14705</v>
      </c>
      <c r="G368" s="509" t="s">
        <v>14702</v>
      </c>
      <c r="H368" s="509" t="s">
        <v>14706</v>
      </c>
      <c r="I368" s="497" t="s">
        <v>36</v>
      </c>
      <c r="J368" s="498" t="s">
        <v>4162</v>
      </c>
      <c r="K368" s="498" t="s">
        <v>2034</v>
      </c>
      <c r="L368" s="251"/>
      <c r="M368" s="251"/>
      <c r="N368" s="251"/>
      <c r="O368" s="251"/>
      <c r="P368" s="251"/>
      <c r="Q368" s="251"/>
      <c r="R368" s="251"/>
      <c r="S368" s="251"/>
      <c r="T368" s="251"/>
      <c r="U368" s="251"/>
      <c r="V368" s="251"/>
      <c r="W368" s="251"/>
      <c r="X368" s="251"/>
      <c r="Y368" s="251"/>
      <c r="Z368" s="251"/>
      <c r="AA368" s="251"/>
    </row>
    <row r="369" ht="14.25" customHeight="1">
      <c r="A369" s="248" t="s">
        <v>14698</v>
      </c>
      <c r="B369" s="108"/>
      <c r="C369" s="496" t="s">
        <v>14707</v>
      </c>
      <c r="D369" s="98" t="s">
        <v>271</v>
      </c>
      <c r="E369" s="509" t="s">
        <v>14700</v>
      </c>
      <c r="F369" s="509" t="s">
        <v>14708</v>
      </c>
      <c r="G369" s="509" t="s">
        <v>14702</v>
      </c>
      <c r="H369" s="509" t="s">
        <v>14703</v>
      </c>
      <c r="I369" s="497" t="s">
        <v>36</v>
      </c>
      <c r="J369" s="498" t="s">
        <v>4162</v>
      </c>
      <c r="K369" s="498" t="s">
        <v>2034</v>
      </c>
      <c r="L369" s="251"/>
      <c r="M369" s="251"/>
      <c r="N369" s="251"/>
      <c r="O369" s="251"/>
      <c r="P369" s="251"/>
      <c r="Q369" s="251"/>
      <c r="R369" s="251"/>
      <c r="S369" s="251"/>
      <c r="T369" s="251"/>
      <c r="U369" s="251"/>
      <c r="V369" s="251"/>
      <c r="W369" s="251"/>
      <c r="X369" s="251"/>
      <c r="Y369" s="251"/>
      <c r="Z369" s="251"/>
      <c r="AA369" s="251"/>
    </row>
    <row r="370" ht="14.25" customHeight="1">
      <c r="A370" s="248" t="s">
        <v>14698</v>
      </c>
      <c r="B370" s="108"/>
      <c r="C370" s="496" t="s">
        <v>14709</v>
      </c>
      <c r="D370" s="98" t="s">
        <v>271</v>
      </c>
      <c r="E370" s="509" t="s">
        <v>14700</v>
      </c>
      <c r="F370" s="509" t="s">
        <v>14710</v>
      </c>
      <c r="G370" s="509" t="s">
        <v>14702</v>
      </c>
      <c r="H370" s="509" t="s">
        <v>14706</v>
      </c>
      <c r="I370" s="497" t="s">
        <v>36</v>
      </c>
      <c r="J370" s="498" t="s">
        <v>4162</v>
      </c>
      <c r="K370" s="498" t="s">
        <v>2034</v>
      </c>
      <c r="L370" s="251"/>
      <c r="M370" s="251"/>
      <c r="N370" s="251"/>
      <c r="O370" s="251"/>
      <c r="P370" s="251"/>
      <c r="Q370" s="251"/>
      <c r="R370" s="251"/>
      <c r="S370" s="251"/>
      <c r="T370" s="251"/>
      <c r="U370" s="251"/>
      <c r="V370" s="251"/>
      <c r="W370" s="251"/>
      <c r="X370" s="251"/>
      <c r="Y370" s="251"/>
      <c r="Z370" s="251"/>
      <c r="AA370" s="251"/>
    </row>
    <row r="371" ht="14.25" customHeight="1">
      <c r="A371" s="248" t="s">
        <v>14698</v>
      </c>
      <c r="B371" s="108"/>
      <c r="C371" s="496" t="s">
        <v>14711</v>
      </c>
      <c r="D371" s="98" t="s">
        <v>271</v>
      </c>
      <c r="E371" s="509" t="s">
        <v>14700</v>
      </c>
      <c r="F371" s="509" t="s">
        <v>14712</v>
      </c>
      <c r="G371" s="509" t="s">
        <v>14702</v>
      </c>
      <c r="H371" s="509" t="s">
        <v>14703</v>
      </c>
      <c r="I371" s="497" t="s">
        <v>36</v>
      </c>
      <c r="J371" s="498" t="s">
        <v>4162</v>
      </c>
      <c r="K371" s="498" t="s">
        <v>2034</v>
      </c>
      <c r="L371" s="251"/>
      <c r="M371" s="251"/>
      <c r="N371" s="251"/>
      <c r="O371" s="251"/>
      <c r="P371" s="251"/>
      <c r="Q371" s="251"/>
      <c r="R371" s="251"/>
      <c r="S371" s="251"/>
      <c r="T371" s="251"/>
      <c r="U371" s="251"/>
      <c r="V371" s="251"/>
      <c r="W371" s="251"/>
      <c r="X371" s="251"/>
      <c r="Y371" s="251"/>
      <c r="Z371" s="251"/>
      <c r="AA371" s="251"/>
    </row>
    <row r="372" ht="14.25" customHeight="1">
      <c r="A372" s="248" t="s">
        <v>14698</v>
      </c>
      <c r="B372" s="109"/>
      <c r="C372" s="496" t="s">
        <v>14713</v>
      </c>
      <c r="D372" s="98" t="s">
        <v>271</v>
      </c>
      <c r="E372" s="509" t="s">
        <v>14700</v>
      </c>
      <c r="F372" s="509" t="s">
        <v>14714</v>
      </c>
      <c r="G372" s="509" t="s">
        <v>14702</v>
      </c>
      <c r="H372" s="509" t="s">
        <v>14706</v>
      </c>
      <c r="I372" s="497" t="s">
        <v>36</v>
      </c>
      <c r="J372" s="498" t="s">
        <v>4162</v>
      </c>
      <c r="K372" s="498" t="s">
        <v>2034</v>
      </c>
      <c r="L372" s="251"/>
      <c r="M372" s="251"/>
      <c r="N372" s="251"/>
      <c r="O372" s="251"/>
      <c r="P372" s="251"/>
      <c r="Q372" s="251"/>
      <c r="R372" s="251"/>
      <c r="S372" s="251"/>
      <c r="T372" s="251"/>
      <c r="U372" s="251"/>
      <c r="V372" s="251"/>
      <c r="W372" s="251"/>
      <c r="X372" s="251"/>
      <c r="Y372" s="251"/>
      <c r="Z372" s="251"/>
      <c r="AA372" s="251"/>
    </row>
    <row r="373" ht="14.25" customHeight="1">
      <c r="A373" s="98" t="s">
        <v>14715</v>
      </c>
      <c r="B373" s="499"/>
      <c r="C373" s="496" t="s">
        <v>14716</v>
      </c>
      <c r="D373" s="98" t="s">
        <v>271</v>
      </c>
      <c r="E373" s="510" t="s">
        <v>14717</v>
      </c>
      <c r="F373" s="510" t="s">
        <v>14718</v>
      </c>
      <c r="G373" s="510" t="s">
        <v>14719</v>
      </c>
      <c r="H373" s="510" t="s">
        <v>14720</v>
      </c>
      <c r="I373" s="497" t="s">
        <v>36</v>
      </c>
      <c r="J373" s="498" t="s">
        <v>4162</v>
      </c>
      <c r="K373" s="498" t="s">
        <v>2034</v>
      </c>
      <c r="L373" s="251"/>
      <c r="M373" s="251"/>
      <c r="N373" s="251"/>
      <c r="O373" s="251"/>
      <c r="P373" s="251"/>
      <c r="Q373" s="251"/>
      <c r="R373" s="251"/>
      <c r="S373" s="251"/>
      <c r="T373" s="251"/>
      <c r="U373" s="251"/>
      <c r="V373" s="251"/>
      <c r="W373" s="251"/>
      <c r="X373" s="251"/>
      <c r="Y373" s="251"/>
      <c r="Z373" s="251"/>
      <c r="AA373" s="251"/>
    </row>
    <row r="374" ht="14.25" customHeight="1">
      <c r="A374" s="98" t="s">
        <v>14715</v>
      </c>
      <c r="B374" s="108"/>
      <c r="C374" s="496" t="s">
        <v>14721</v>
      </c>
      <c r="D374" s="98" t="s">
        <v>271</v>
      </c>
      <c r="E374" s="510" t="s">
        <v>14717</v>
      </c>
      <c r="F374" s="510" t="s">
        <v>14722</v>
      </c>
      <c r="G374" s="510" t="s">
        <v>14723</v>
      </c>
      <c r="H374" s="510" t="s">
        <v>14724</v>
      </c>
      <c r="I374" s="497" t="s">
        <v>36</v>
      </c>
      <c r="J374" s="498" t="s">
        <v>4162</v>
      </c>
      <c r="K374" s="498" t="s">
        <v>2034</v>
      </c>
      <c r="L374" s="251"/>
      <c r="M374" s="251"/>
      <c r="N374" s="251"/>
      <c r="O374" s="251"/>
      <c r="P374" s="251"/>
      <c r="Q374" s="251"/>
      <c r="R374" s="251"/>
      <c r="S374" s="251"/>
      <c r="T374" s="251"/>
      <c r="U374" s="251"/>
      <c r="V374" s="251"/>
      <c r="W374" s="251"/>
      <c r="X374" s="251"/>
      <c r="Y374" s="251"/>
      <c r="Z374" s="251"/>
      <c r="AA374" s="251"/>
    </row>
    <row r="375" ht="14.25" customHeight="1">
      <c r="A375" s="98" t="s">
        <v>14715</v>
      </c>
      <c r="B375" s="108"/>
      <c r="C375" s="496" t="s">
        <v>14725</v>
      </c>
      <c r="D375" s="98" t="s">
        <v>271</v>
      </c>
      <c r="E375" s="510" t="s">
        <v>14717</v>
      </c>
      <c r="F375" s="510" t="s">
        <v>14722</v>
      </c>
      <c r="G375" s="510" t="s">
        <v>14719</v>
      </c>
      <c r="H375" s="510" t="s">
        <v>14726</v>
      </c>
      <c r="I375" s="497" t="s">
        <v>36</v>
      </c>
      <c r="J375" s="498" t="s">
        <v>4162</v>
      </c>
      <c r="K375" s="498" t="s">
        <v>2034</v>
      </c>
      <c r="L375" s="251"/>
      <c r="M375" s="251"/>
      <c r="N375" s="251"/>
      <c r="O375" s="251"/>
      <c r="P375" s="251"/>
      <c r="Q375" s="251"/>
      <c r="R375" s="251"/>
      <c r="S375" s="251"/>
      <c r="T375" s="251"/>
      <c r="U375" s="251"/>
      <c r="V375" s="251"/>
      <c r="W375" s="251"/>
      <c r="X375" s="251"/>
      <c r="Y375" s="251"/>
      <c r="Z375" s="251"/>
      <c r="AA375" s="251"/>
    </row>
    <row r="376" ht="14.25" customHeight="1">
      <c r="A376" s="98" t="s">
        <v>14715</v>
      </c>
      <c r="B376" s="109"/>
      <c r="C376" s="496" t="s">
        <v>14727</v>
      </c>
      <c r="D376" s="98" t="s">
        <v>271</v>
      </c>
      <c r="E376" s="510" t="s">
        <v>14717</v>
      </c>
      <c r="F376" s="510" t="s">
        <v>14722</v>
      </c>
      <c r="G376" s="510" t="s">
        <v>14728</v>
      </c>
      <c r="H376" s="510" t="s">
        <v>14729</v>
      </c>
      <c r="I376" s="497" t="s">
        <v>36</v>
      </c>
      <c r="J376" s="498" t="s">
        <v>4162</v>
      </c>
      <c r="K376" s="498" t="s">
        <v>2034</v>
      </c>
      <c r="L376" s="251"/>
      <c r="M376" s="251"/>
      <c r="N376" s="251"/>
      <c r="O376" s="251"/>
      <c r="P376" s="251"/>
      <c r="Q376" s="251"/>
      <c r="R376" s="251"/>
      <c r="S376" s="251"/>
      <c r="T376" s="251"/>
      <c r="U376" s="251"/>
      <c r="V376" s="251"/>
      <c r="W376" s="251"/>
      <c r="X376" s="251"/>
      <c r="Y376" s="251"/>
      <c r="Z376" s="251"/>
      <c r="AA376" s="251"/>
    </row>
    <row r="377" ht="14.25" customHeight="1">
      <c r="A377" s="98" t="s">
        <v>14730</v>
      </c>
      <c r="B377" s="499"/>
      <c r="C377" s="496" t="s">
        <v>14731</v>
      </c>
      <c r="D377" s="98" t="s">
        <v>271</v>
      </c>
      <c r="E377" s="230" t="s">
        <v>14732</v>
      </c>
      <c r="F377" s="230" t="s">
        <v>14733</v>
      </c>
      <c r="G377" s="230" t="s">
        <v>14734</v>
      </c>
      <c r="H377" s="230" t="s">
        <v>14735</v>
      </c>
      <c r="I377" s="497" t="s">
        <v>36</v>
      </c>
      <c r="J377" s="498" t="s">
        <v>4162</v>
      </c>
      <c r="K377" s="498" t="s">
        <v>1784</v>
      </c>
      <c r="L377" s="251"/>
      <c r="M377" s="251"/>
      <c r="N377" s="251"/>
      <c r="O377" s="251"/>
      <c r="P377" s="251"/>
      <c r="Q377" s="251"/>
      <c r="R377" s="251"/>
      <c r="S377" s="251"/>
      <c r="T377" s="251"/>
      <c r="U377" s="251"/>
      <c r="V377" s="251"/>
      <c r="W377" s="251"/>
      <c r="X377" s="251"/>
      <c r="Y377" s="251"/>
      <c r="Z377" s="251"/>
      <c r="AA377" s="251"/>
    </row>
    <row r="378" ht="14.25" customHeight="1">
      <c r="A378" s="98" t="s">
        <v>14730</v>
      </c>
      <c r="B378" s="108"/>
      <c r="C378" s="496" t="s">
        <v>14736</v>
      </c>
      <c r="D378" s="98" t="s">
        <v>271</v>
      </c>
      <c r="E378" s="230" t="s">
        <v>14732</v>
      </c>
      <c r="F378" s="230" t="s">
        <v>14737</v>
      </c>
      <c r="G378" s="230" t="s">
        <v>14738</v>
      </c>
      <c r="H378" s="230" t="s">
        <v>14739</v>
      </c>
      <c r="I378" s="497" t="s">
        <v>36</v>
      </c>
      <c r="J378" s="498" t="s">
        <v>4162</v>
      </c>
      <c r="K378" s="498" t="s">
        <v>1784</v>
      </c>
      <c r="L378" s="251"/>
      <c r="M378" s="251"/>
      <c r="N378" s="251"/>
      <c r="O378" s="251"/>
      <c r="P378" s="251"/>
      <c r="Q378" s="251"/>
      <c r="R378" s="251"/>
      <c r="S378" s="251"/>
      <c r="T378" s="251"/>
      <c r="U378" s="251"/>
      <c r="V378" s="251"/>
      <c r="W378" s="251"/>
      <c r="X378" s="251"/>
      <c r="Y378" s="251"/>
      <c r="Z378" s="251"/>
      <c r="AA378" s="251"/>
    </row>
    <row r="379" ht="14.25" customHeight="1">
      <c r="A379" s="98" t="s">
        <v>14730</v>
      </c>
      <c r="B379" s="108"/>
      <c r="C379" s="496" t="s">
        <v>14740</v>
      </c>
      <c r="D379" s="98" t="s">
        <v>271</v>
      </c>
      <c r="E379" s="230" t="s">
        <v>14732</v>
      </c>
      <c r="F379" s="230" t="s">
        <v>14741</v>
      </c>
      <c r="G379" s="230" t="s">
        <v>14742</v>
      </c>
      <c r="H379" s="230" t="s">
        <v>14735</v>
      </c>
      <c r="I379" s="497" t="s">
        <v>36</v>
      </c>
      <c r="J379" s="498" t="s">
        <v>4162</v>
      </c>
      <c r="K379" s="498" t="s">
        <v>1784</v>
      </c>
      <c r="L379" s="251"/>
      <c r="M379" s="251"/>
      <c r="N379" s="251"/>
      <c r="O379" s="251"/>
      <c r="P379" s="251"/>
      <c r="Q379" s="251"/>
      <c r="R379" s="251"/>
      <c r="S379" s="251"/>
      <c r="T379" s="251"/>
      <c r="U379" s="251"/>
      <c r="V379" s="251"/>
      <c r="W379" s="251"/>
      <c r="X379" s="251"/>
      <c r="Y379" s="251"/>
      <c r="Z379" s="251"/>
      <c r="AA379" s="251"/>
    </row>
    <row r="380" ht="14.25" customHeight="1">
      <c r="A380" s="98" t="s">
        <v>14730</v>
      </c>
      <c r="B380" s="108"/>
      <c r="C380" s="496" t="s">
        <v>14743</v>
      </c>
      <c r="D380" s="98" t="s">
        <v>271</v>
      </c>
      <c r="E380" s="230" t="s">
        <v>14732</v>
      </c>
      <c r="F380" s="230" t="s">
        <v>14744</v>
      </c>
      <c r="G380" s="230" t="s">
        <v>14738</v>
      </c>
      <c r="H380" s="230" t="s">
        <v>14745</v>
      </c>
      <c r="I380" s="497" t="s">
        <v>36</v>
      </c>
      <c r="J380" s="498" t="s">
        <v>4162</v>
      </c>
      <c r="K380" s="498" t="s">
        <v>1784</v>
      </c>
      <c r="L380" s="251"/>
      <c r="M380" s="251"/>
      <c r="N380" s="251"/>
      <c r="O380" s="251"/>
      <c r="P380" s="251"/>
      <c r="Q380" s="251"/>
      <c r="R380" s="251"/>
      <c r="S380" s="251"/>
      <c r="T380" s="251"/>
      <c r="U380" s="251"/>
      <c r="V380" s="251"/>
      <c r="W380" s="251"/>
      <c r="X380" s="251"/>
      <c r="Y380" s="251"/>
      <c r="Z380" s="251"/>
      <c r="AA380" s="251"/>
    </row>
    <row r="381" ht="14.25" customHeight="1">
      <c r="A381" s="98" t="s">
        <v>14730</v>
      </c>
      <c r="B381" s="108"/>
      <c r="C381" s="496" t="s">
        <v>14746</v>
      </c>
      <c r="D381" s="98" t="s">
        <v>271</v>
      </c>
      <c r="E381" s="230" t="s">
        <v>14732</v>
      </c>
      <c r="F381" s="230" t="s">
        <v>14747</v>
      </c>
      <c r="G381" s="230" t="s">
        <v>14748</v>
      </c>
      <c r="H381" s="230" t="s">
        <v>14735</v>
      </c>
      <c r="I381" s="497" t="s">
        <v>36</v>
      </c>
      <c r="J381" s="498" t="s">
        <v>4162</v>
      </c>
      <c r="K381" s="498" t="s">
        <v>1784</v>
      </c>
      <c r="L381" s="251"/>
      <c r="M381" s="251"/>
      <c r="N381" s="251"/>
      <c r="O381" s="251"/>
      <c r="P381" s="251"/>
      <c r="Q381" s="251"/>
      <c r="R381" s="251"/>
      <c r="S381" s="251"/>
      <c r="T381" s="251"/>
      <c r="U381" s="251"/>
      <c r="V381" s="251"/>
      <c r="W381" s="251"/>
      <c r="X381" s="251"/>
      <c r="Y381" s="251"/>
      <c r="Z381" s="251"/>
      <c r="AA381" s="251"/>
    </row>
    <row r="382" ht="14.25" customHeight="1">
      <c r="A382" s="98" t="s">
        <v>14730</v>
      </c>
      <c r="B382" s="109"/>
      <c r="C382" s="496" t="s">
        <v>14749</v>
      </c>
      <c r="D382" s="98" t="s">
        <v>271</v>
      </c>
      <c r="E382" s="230" t="s">
        <v>14732</v>
      </c>
      <c r="F382" s="230" t="s">
        <v>14750</v>
      </c>
      <c r="G382" s="230" t="s">
        <v>14751</v>
      </c>
      <c r="H382" s="230" t="s">
        <v>14739</v>
      </c>
      <c r="I382" s="497" t="s">
        <v>36</v>
      </c>
      <c r="J382" s="498" t="s">
        <v>4162</v>
      </c>
      <c r="K382" s="498" t="s">
        <v>1784</v>
      </c>
      <c r="L382" s="251"/>
      <c r="M382" s="251"/>
      <c r="N382" s="251"/>
      <c r="O382" s="251"/>
      <c r="P382" s="251"/>
      <c r="Q382" s="251"/>
      <c r="R382" s="251"/>
      <c r="S382" s="251"/>
      <c r="T382" s="251"/>
      <c r="U382" s="251"/>
      <c r="V382" s="251"/>
      <c r="W382" s="251"/>
      <c r="X382" s="251"/>
      <c r="Y382" s="251"/>
      <c r="Z382" s="251"/>
      <c r="AA382" s="251"/>
    </row>
    <row r="383" ht="14.25" customHeight="1">
      <c r="A383" s="98" t="s">
        <v>4148</v>
      </c>
      <c r="B383" s="263"/>
      <c r="C383" s="496" t="s">
        <v>4149</v>
      </c>
      <c r="D383" s="98" t="s">
        <v>271</v>
      </c>
      <c r="E383" s="511" t="s">
        <v>14752</v>
      </c>
      <c r="F383" s="132" t="s">
        <v>14753</v>
      </c>
      <c r="G383" s="132" t="s">
        <v>14754</v>
      </c>
      <c r="H383" s="132" t="s">
        <v>14755</v>
      </c>
      <c r="I383" s="497" t="s">
        <v>36</v>
      </c>
      <c r="J383" s="498" t="s">
        <v>4162</v>
      </c>
      <c r="K383" s="498" t="s">
        <v>2034</v>
      </c>
      <c r="L383" s="251"/>
      <c r="M383" s="251"/>
      <c r="N383" s="251"/>
      <c r="O383" s="251"/>
      <c r="P383" s="251"/>
      <c r="Q383" s="251"/>
      <c r="R383" s="251"/>
      <c r="S383" s="251"/>
      <c r="T383" s="251"/>
      <c r="U383" s="251"/>
      <c r="V383" s="251"/>
      <c r="W383" s="251"/>
      <c r="X383" s="251"/>
      <c r="Y383" s="251"/>
      <c r="Z383" s="251"/>
      <c r="AA383" s="251"/>
    </row>
    <row r="384" ht="14.25" customHeight="1">
      <c r="A384" s="98" t="s">
        <v>4148</v>
      </c>
      <c r="B384" s="263"/>
      <c r="C384" s="496" t="s">
        <v>4153</v>
      </c>
      <c r="D384" s="98" t="s">
        <v>271</v>
      </c>
      <c r="E384" s="511" t="s">
        <v>14752</v>
      </c>
      <c r="F384" s="132" t="s">
        <v>14756</v>
      </c>
      <c r="G384" s="132" t="s">
        <v>14757</v>
      </c>
      <c r="H384" s="132" t="s">
        <v>14758</v>
      </c>
      <c r="I384" s="497" t="s">
        <v>36</v>
      </c>
      <c r="J384" s="498" t="s">
        <v>4162</v>
      </c>
      <c r="K384" s="498" t="s">
        <v>2034</v>
      </c>
      <c r="L384" s="251"/>
      <c r="M384" s="251"/>
      <c r="N384" s="251"/>
      <c r="O384" s="251"/>
      <c r="P384" s="251"/>
      <c r="Q384" s="251"/>
      <c r="R384" s="251"/>
      <c r="S384" s="251"/>
      <c r="T384" s="251"/>
      <c r="U384" s="251"/>
      <c r="V384" s="251"/>
      <c r="W384" s="251"/>
      <c r="X384" s="251"/>
      <c r="Y384" s="251"/>
      <c r="Z384" s="251"/>
      <c r="AA384" s="251"/>
    </row>
    <row r="385" ht="14.25" customHeight="1">
      <c r="A385" s="98" t="s">
        <v>4148</v>
      </c>
      <c r="B385" s="263"/>
      <c r="C385" s="496" t="s">
        <v>14759</v>
      </c>
      <c r="D385" s="98" t="s">
        <v>271</v>
      </c>
      <c r="E385" s="511" t="s">
        <v>14752</v>
      </c>
      <c r="F385" s="132" t="s">
        <v>14760</v>
      </c>
      <c r="G385" s="132" t="s">
        <v>14757</v>
      </c>
      <c r="H385" s="132" t="s">
        <v>14761</v>
      </c>
      <c r="I385" s="497" t="s">
        <v>36</v>
      </c>
      <c r="J385" s="498" t="s">
        <v>4162</v>
      </c>
      <c r="K385" s="498" t="s">
        <v>2034</v>
      </c>
      <c r="L385" s="251"/>
      <c r="M385" s="251"/>
      <c r="N385" s="251"/>
      <c r="O385" s="251"/>
      <c r="P385" s="251"/>
      <c r="Q385" s="251"/>
      <c r="R385" s="251"/>
      <c r="S385" s="251"/>
      <c r="T385" s="251"/>
      <c r="U385" s="251"/>
      <c r="V385" s="251"/>
      <c r="W385" s="251"/>
      <c r="X385" s="251"/>
      <c r="Y385" s="251"/>
      <c r="Z385" s="251"/>
      <c r="AA385" s="251"/>
    </row>
    <row r="386" ht="14.25" customHeight="1">
      <c r="A386" s="98" t="s">
        <v>14762</v>
      </c>
      <c r="B386" s="263"/>
      <c r="C386" s="496" t="s">
        <v>14763</v>
      </c>
      <c r="D386" s="251"/>
      <c r="E386" s="509" t="s">
        <v>14764</v>
      </c>
      <c r="F386" s="132" t="s">
        <v>14765</v>
      </c>
      <c r="G386" s="132" t="s">
        <v>14068</v>
      </c>
      <c r="H386" s="132" t="s">
        <v>14766</v>
      </c>
      <c r="I386" s="497" t="s">
        <v>36</v>
      </c>
      <c r="J386" s="498" t="s">
        <v>4162</v>
      </c>
      <c r="K386" s="498" t="s">
        <v>2034</v>
      </c>
      <c r="L386" s="251"/>
      <c r="M386" s="251"/>
      <c r="N386" s="251"/>
      <c r="O386" s="251"/>
      <c r="P386" s="251"/>
      <c r="Q386" s="251"/>
      <c r="R386" s="251"/>
      <c r="S386" s="251"/>
      <c r="T386" s="251"/>
      <c r="U386" s="251"/>
      <c r="V386" s="251"/>
      <c r="W386" s="251"/>
      <c r="X386" s="251"/>
      <c r="Y386" s="251"/>
      <c r="Z386" s="251"/>
      <c r="AA386" s="251"/>
    </row>
    <row r="387" ht="14.25" customHeight="1">
      <c r="A387" s="98" t="s">
        <v>14762</v>
      </c>
      <c r="B387" s="263"/>
      <c r="C387" s="496" t="s">
        <v>14767</v>
      </c>
      <c r="D387" s="251"/>
      <c r="E387" s="509" t="s">
        <v>14764</v>
      </c>
      <c r="F387" s="132" t="s">
        <v>14768</v>
      </c>
      <c r="G387" s="132" t="s">
        <v>14769</v>
      </c>
      <c r="H387" s="132" t="s">
        <v>14770</v>
      </c>
      <c r="I387" s="497" t="s">
        <v>36</v>
      </c>
      <c r="J387" s="498" t="s">
        <v>4162</v>
      </c>
      <c r="K387" s="498" t="s">
        <v>2034</v>
      </c>
      <c r="L387" s="251"/>
      <c r="M387" s="251"/>
      <c r="N387" s="251"/>
      <c r="O387" s="251"/>
      <c r="P387" s="251"/>
      <c r="Q387" s="251"/>
      <c r="R387" s="251"/>
      <c r="S387" s="251"/>
      <c r="T387" s="251"/>
      <c r="U387" s="251"/>
      <c r="V387" s="251"/>
      <c r="W387" s="251"/>
      <c r="X387" s="251"/>
      <c r="Y387" s="251"/>
      <c r="Z387" s="251"/>
      <c r="AA387" s="251"/>
    </row>
    <row r="388" ht="14.25" customHeight="1">
      <c r="A388" s="98" t="s">
        <v>14762</v>
      </c>
      <c r="B388" s="263"/>
      <c r="C388" s="496" t="s">
        <v>14771</v>
      </c>
      <c r="D388" s="251"/>
      <c r="E388" s="509" t="s">
        <v>14764</v>
      </c>
      <c r="F388" s="132" t="s">
        <v>14772</v>
      </c>
      <c r="G388" s="132" t="s">
        <v>14769</v>
      </c>
      <c r="H388" s="132" t="s">
        <v>14773</v>
      </c>
      <c r="I388" s="497" t="s">
        <v>36</v>
      </c>
      <c r="J388" s="498" t="s">
        <v>4162</v>
      </c>
      <c r="K388" s="498" t="s">
        <v>2034</v>
      </c>
      <c r="L388" s="251"/>
      <c r="M388" s="251"/>
      <c r="N388" s="251"/>
      <c r="O388" s="251"/>
      <c r="P388" s="251"/>
      <c r="Q388" s="251"/>
      <c r="R388" s="251"/>
      <c r="S388" s="251"/>
      <c r="T388" s="251"/>
      <c r="U388" s="251"/>
      <c r="V388" s="251"/>
      <c r="W388" s="251"/>
      <c r="X388" s="251"/>
      <c r="Y388" s="251"/>
      <c r="Z388" s="251"/>
      <c r="AA388" s="251"/>
    </row>
    <row r="389" ht="14.25" customHeight="1">
      <c r="A389" s="98" t="s">
        <v>14762</v>
      </c>
      <c r="B389" s="263"/>
      <c r="C389" s="496" t="s">
        <v>14774</v>
      </c>
      <c r="D389" s="251"/>
      <c r="E389" s="509" t="s">
        <v>14764</v>
      </c>
      <c r="F389" s="132" t="s">
        <v>14775</v>
      </c>
      <c r="G389" s="132" t="s">
        <v>14776</v>
      </c>
      <c r="H389" s="132" t="s">
        <v>14777</v>
      </c>
      <c r="I389" s="497" t="s">
        <v>36</v>
      </c>
      <c r="J389" s="498" t="s">
        <v>4162</v>
      </c>
      <c r="K389" s="498" t="s">
        <v>2034</v>
      </c>
      <c r="L389" s="251"/>
      <c r="M389" s="251"/>
      <c r="N389" s="251"/>
      <c r="O389" s="251"/>
      <c r="P389" s="251"/>
      <c r="Q389" s="251"/>
      <c r="R389" s="251"/>
      <c r="S389" s="251"/>
      <c r="T389" s="251"/>
      <c r="U389" s="251"/>
      <c r="V389" s="251"/>
      <c r="W389" s="251"/>
      <c r="X389" s="251"/>
      <c r="Y389" s="251"/>
      <c r="Z389" s="251"/>
      <c r="AA389" s="251"/>
    </row>
    <row r="390" ht="14.25" customHeight="1">
      <c r="A390" s="98" t="s">
        <v>14762</v>
      </c>
      <c r="B390" s="263"/>
      <c r="C390" s="496" t="s">
        <v>14778</v>
      </c>
      <c r="D390" s="251"/>
      <c r="E390" s="509" t="s">
        <v>14764</v>
      </c>
      <c r="F390" s="132" t="s">
        <v>14779</v>
      </c>
      <c r="G390" s="132" t="s">
        <v>14068</v>
      </c>
      <c r="H390" s="132" t="s">
        <v>14766</v>
      </c>
      <c r="I390" s="497" t="s">
        <v>36</v>
      </c>
      <c r="J390" s="498" t="s">
        <v>4162</v>
      </c>
      <c r="K390" s="498" t="s">
        <v>2034</v>
      </c>
      <c r="L390" s="251"/>
      <c r="M390" s="251"/>
      <c r="N390" s="251"/>
      <c r="O390" s="251"/>
      <c r="P390" s="251"/>
      <c r="Q390" s="251"/>
      <c r="R390" s="251"/>
      <c r="S390" s="251"/>
      <c r="T390" s="251"/>
      <c r="U390" s="251"/>
      <c r="V390" s="251"/>
      <c r="W390" s="251"/>
      <c r="X390" s="251"/>
      <c r="Y390" s="251"/>
      <c r="Z390" s="251"/>
      <c r="AA390" s="251"/>
    </row>
    <row r="391" ht="14.25" customHeight="1">
      <c r="A391" s="98" t="s">
        <v>14762</v>
      </c>
      <c r="B391" s="263"/>
      <c r="C391" s="496" t="s">
        <v>14780</v>
      </c>
      <c r="D391" s="251"/>
      <c r="E391" s="509" t="s">
        <v>14764</v>
      </c>
      <c r="F391" s="132" t="s">
        <v>14781</v>
      </c>
      <c r="G391" s="132" t="s">
        <v>14769</v>
      </c>
      <c r="H391" s="132" t="s">
        <v>14770</v>
      </c>
      <c r="I391" s="497" t="s">
        <v>36</v>
      </c>
      <c r="J391" s="498" t="s">
        <v>4162</v>
      </c>
      <c r="K391" s="498" t="s">
        <v>2034</v>
      </c>
      <c r="L391" s="251"/>
      <c r="M391" s="251"/>
      <c r="N391" s="251"/>
      <c r="O391" s="251"/>
      <c r="P391" s="251"/>
      <c r="Q391" s="251"/>
      <c r="R391" s="251"/>
      <c r="S391" s="251"/>
      <c r="T391" s="251"/>
      <c r="U391" s="251"/>
      <c r="V391" s="251"/>
      <c r="W391" s="251"/>
      <c r="X391" s="251"/>
      <c r="Y391" s="251"/>
      <c r="Z391" s="251"/>
      <c r="AA391" s="251"/>
    </row>
    <row r="392" ht="14.25" customHeight="1">
      <c r="A392" s="98" t="s">
        <v>14762</v>
      </c>
      <c r="B392" s="263"/>
      <c r="C392" s="496" t="s">
        <v>14782</v>
      </c>
      <c r="D392" s="251"/>
      <c r="E392" s="509" t="s">
        <v>14764</v>
      </c>
      <c r="F392" s="132" t="s">
        <v>14783</v>
      </c>
      <c r="G392" s="132" t="s">
        <v>14769</v>
      </c>
      <c r="H392" s="132" t="s">
        <v>14773</v>
      </c>
      <c r="I392" s="497" t="s">
        <v>36</v>
      </c>
      <c r="J392" s="498" t="s">
        <v>4162</v>
      </c>
      <c r="K392" s="498" t="s">
        <v>2034</v>
      </c>
      <c r="L392" s="251"/>
      <c r="M392" s="251"/>
      <c r="N392" s="251"/>
      <c r="O392" s="251"/>
      <c r="P392" s="251"/>
      <c r="Q392" s="251"/>
      <c r="R392" s="251"/>
      <c r="S392" s="251"/>
      <c r="T392" s="251"/>
      <c r="U392" s="251"/>
      <c r="V392" s="251"/>
      <c r="W392" s="251"/>
      <c r="X392" s="251"/>
      <c r="Y392" s="251"/>
      <c r="Z392" s="251"/>
      <c r="AA392" s="251"/>
    </row>
    <row r="393" ht="14.25" customHeight="1">
      <c r="A393" s="98" t="s">
        <v>14762</v>
      </c>
      <c r="B393" s="263"/>
      <c r="C393" s="496" t="s">
        <v>14784</v>
      </c>
      <c r="D393" s="251"/>
      <c r="E393" s="509" t="s">
        <v>14764</v>
      </c>
      <c r="F393" s="132" t="s">
        <v>14775</v>
      </c>
      <c r="G393" s="132" t="s">
        <v>14776</v>
      </c>
      <c r="H393" s="132" t="s">
        <v>14777</v>
      </c>
      <c r="I393" s="497" t="s">
        <v>36</v>
      </c>
      <c r="J393" s="498" t="s">
        <v>4162</v>
      </c>
      <c r="K393" s="498" t="s">
        <v>2034</v>
      </c>
      <c r="L393" s="251"/>
      <c r="M393" s="251"/>
      <c r="N393" s="251"/>
      <c r="O393" s="251"/>
      <c r="P393" s="251"/>
      <c r="Q393" s="251"/>
      <c r="R393" s="251"/>
      <c r="S393" s="251"/>
      <c r="T393" s="251"/>
      <c r="U393" s="251"/>
      <c r="V393" s="251"/>
      <c r="W393" s="251"/>
      <c r="X393" s="251"/>
      <c r="Y393" s="251"/>
      <c r="Z393" s="251"/>
      <c r="AA393" s="251"/>
    </row>
    <row r="394" ht="14.25" customHeight="1">
      <c r="A394" s="98" t="s">
        <v>14762</v>
      </c>
      <c r="B394" s="263"/>
      <c r="C394" s="496" t="s">
        <v>14785</v>
      </c>
      <c r="D394" s="251"/>
      <c r="E394" s="509" t="s">
        <v>14764</v>
      </c>
      <c r="F394" s="132" t="s">
        <v>14786</v>
      </c>
      <c r="G394" s="132" t="s">
        <v>14068</v>
      </c>
      <c r="H394" s="132" t="s">
        <v>14766</v>
      </c>
      <c r="I394" s="497" t="s">
        <v>36</v>
      </c>
      <c r="J394" s="498" t="s">
        <v>4162</v>
      </c>
      <c r="K394" s="498" t="s">
        <v>2034</v>
      </c>
      <c r="L394" s="251"/>
      <c r="M394" s="251"/>
      <c r="N394" s="251"/>
      <c r="O394" s="251"/>
      <c r="P394" s="251"/>
      <c r="Q394" s="251"/>
      <c r="R394" s="251"/>
      <c r="S394" s="251"/>
      <c r="T394" s="251"/>
      <c r="U394" s="251"/>
      <c r="V394" s="251"/>
      <c r="W394" s="251"/>
      <c r="X394" s="251"/>
      <c r="Y394" s="251"/>
      <c r="Z394" s="251"/>
      <c r="AA394" s="251"/>
    </row>
    <row r="395" ht="14.25" customHeight="1">
      <c r="A395" s="98" t="s">
        <v>14762</v>
      </c>
      <c r="B395" s="263"/>
      <c r="C395" s="496" t="s">
        <v>14787</v>
      </c>
      <c r="D395" s="251"/>
      <c r="E395" s="509" t="s">
        <v>14764</v>
      </c>
      <c r="F395" s="132" t="s">
        <v>14788</v>
      </c>
      <c r="G395" s="132" t="s">
        <v>14769</v>
      </c>
      <c r="H395" s="132" t="s">
        <v>14770</v>
      </c>
      <c r="I395" s="497" t="s">
        <v>36</v>
      </c>
      <c r="J395" s="498" t="s">
        <v>4162</v>
      </c>
      <c r="K395" s="498" t="s">
        <v>2034</v>
      </c>
      <c r="L395" s="251"/>
      <c r="M395" s="251"/>
      <c r="N395" s="251"/>
      <c r="O395" s="251"/>
      <c r="P395" s="251"/>
      <c r="Q395" s="251"/>
      <c r="R395" s="251"/>
      <c r="S395" s="251"/>
      <c r="T395" s="251"/>
      <c r="U395" s="251"/>
      <c r="V395" s="251"/>
      <c r="W395" s="251"/>
      <c r="X395" s="251"/>
      <c r="Y395" s="251"/>
      <c r="Z395" s="251"/>
      <c r="AA395" s="251"/>
    </row>
    <row r="396" ht="14.25" customHeight="1">
      <c r="A396" s="98" t="s">
        <v>14762</v>
      </c>
      <c r="B396" s="263"/>
      <c r="C396" s="496" t="s">
        <v>14789</v>
      </c>
      <c r="D396" s="251"/>
      <c r="E396" s="509" t="s">
        <v>14764</v>
      </c>
      <c r="F396" s="132" t="s">
        <v>14783</v>
      </c>
      <c r="G396" s="132" t="s">
        <v>14769</v>
      </c>
      <c r="H396" s="132" t="s">
        <v>14773</v>
      </c>
      <c r="I396" s="497" t="s">
        <v>36</v>
      </c>
      <c r="J396" s="498" t="s">
        <v>4162</v>
      </c>
      <c r="K396" s="498" t="s">
        <v>2034</v>
      </c>
      <c r="L396" s="251"/>
      <c r="M396" s="251"/>
      <c r="N396" s="251"/>
      <c r="O396" s="251"/>
      <c r="P396" s="251"/>
      <c r="Q396" s="251"/>
      <c r="R396" s="251"/>
      <c r="S396" s="251"/>
      <c r="T396" s="251"/>
      <c r="U396" s="251"/>
      <c r="V396" s="251"/>
      <c r="W396" s="251"/>
      <c r="X396" s="251"/>
      <c r="Y396" s="251"/>
      <c r="Z396" s="251"/>
      <c r="AA396" s="251"/>
    </row>
    <row r="397" ht="14.25" customHeight="1">
      <c r="A397" s="98" t="s">
        <v>14762</v>
      </c>
      <c r="B397" s="263"/>
      <c r="C397" s="496" t="s">
        <v>14790</v>
      </c>
      <c r="D397" s="251"/>
      <c r="E397" s="509" t="s">
        <v>14764</v>
      </c>
      <c r="F397" s="132" t="s">
        <v>14775</v>
      </c>
      <c r="G397" s="132" t="s">
        <v>14776</v>
      </c>
      <c r="H397" s="132" t="s">
        <v>14777</v>
      </c>
      <c r="I397" s="497" t="s">
        <v>36</v>
      </c>
      <c r="J397" s="498" t="s">
        <v>4162</v>
      </c>
      <c r="K397" s="498" t="s">
        <v>2034</v>
      </c>
      <c r="L397" s="251"/>
      <c r="M397" s="251"/>
      <c r="N397" s="251"/>
      <c r="O397" s="251"/>
      <c r="P397" s="251"/>
      <c r="Q397" s="251"/>
      <c r="R397" s="251"/>
      <c r="S397" s="251"/>
      <c r="T397" s="251"/>
      <c r="U397" s="251"/>
      <c r="V397" s="251"/>
      <c r="W397" s="251"/>
      <c r="X397" s="251"/>
      <c r="Y397" s="251"/>
      <c r="Z397" s="251"/>
      <c r="AA397" s="251"/>
    </row>
    <row r="398" ht="14.25" customHeight="1">
      <c r="A398" s="248" t="s">
        <v>14791</v>
      </c>
      <c r="B398" s="263"/>
      <c r="C398" s="496" t="s">
        <v>14792</v>
      </c>
      <c r="D398" s="98" t="s">
        <v>271</v>
      </c>
      <c r="E398" s="254" t="s">
        <v>14793</v>
      </c>
      <c r="F398" s="132" t="s">
        <v>14794</v>
      </c>
      <c r="G398" s="132" t="s">
        <v>14795</v>
      </c>
      <c r="H398" s="132" t="s">
        <v>14796</v>
      </c>
      <c r="I398" s="497" t="s">
        <v>317</v>
      </c>
      <c r="J398" s="498" t="s">
        <v>4162</v>
      </c>
      <c r="K398" s="498" t="s">
        <v>1784</v>
      </c>
      <c r="L398" s="98" t="s">
        <v>14797</v>
      </c>
      <c r="M398" s="251"/>
      <c r="N398" s="251"/>
      <c r="O398" s="251"/>
      <c r="P398" s="251"/>
      <c r="Q398" s="251"/>
      <c r="R398" s="251"/>
      <c r="S398" s="251"/>
      <c r="T398" s="251"/>
      <c r="U398" s="251"/>
      <c r="V398" s="251"/>
      <c r="W398" s="251"/>
      <c r="X398" s="251"/>
      <c r="Y398" s="251"/>
      <c r="Z398" s="251"/>
      <c r="AA398" s="251"/>
    </row>
    <row r="399" ht="14.25" customHeight="1">
      <c r="A399" s="248" t="s">
        <v>14791</v>
      </c>
      <c r="B399" s="263"/>
      <c r="C399" s="496" t="s">
        <v>14798</v>
      </c>
      <c r="D399" s="98" t="s">
        <v>271</v>
      </c>
      <c r="E399" s="254" t="s">
        <v>14793</v>
      </c>
      <c r="F399" s="132" t="s">
        <v>14799</v>
      </c>
      <c r="G399" s="132" t="s">
        <v>14795</v>
      </c>
      <c r="H399" s="132" t="s">
        <v>14800</v>
      </c>
      <c r="I399" s="497" t="s">
        <v>317</v>
      </c>
      <c r="J399" s="498" t="s">
        <v>4162</v>
      </c>
      <c r="K399" s="498" t="s">
        <v>1784</v>
      </c>
      <c r="L399" s="98" t="s">
        <v>14797</v>
      </c>
      <c r="M399" s="251"/>
      <c r="N399" s="251"/>
      <c r="O399" s="251"/>
      <c r="P399" s="251"/>
      <c r="Q399" s="251"/>
      <c r="R399" s="251"/>
      <c r="S399" s="251"/>
      <c r="T399" s="251"/>
      <c r="U399" s="251"/>
      <c r="V399" s="251"/>
      <c r="W399" s="251"/>
      <c r="X399" s="251"/>
      <c r="Y399" s="251"/>
      <c r="Z399" s="251"/>
      <c r="AA399" s="251"/>
    </row>
    <row r="400" ht="14.25" customHeight="1">
      <c r="A400" s="248" t="s">
        <v>14791</v>
      </c>
      <c r="B400" s="263"/>
      <c r="C400" s="496" t="s">
        <v>14801</v>
      </c>
      <c r="D400" s="98" t="s">
        <v>271</v>
      </c>
      <c r="E400" s="254" t="s">
        <v>14793</v>
      </c>
      <c r="F400" s="132" t="s">
        <v>14802</v>
      </c>
      <c r="G400" s="132" t="s">
        <v>14795</v>
      </c>
      <c r="H400" s="132" t="s">
        <v>14800</v>
      </c>
      <c r="I400" s="497" t="s">
        <v>317</v>
      </c>
      <c r="J400" s="498" t="s">
        <v>4162</v>
      </c>
      <c r="K400" s="498" t="s">
        <v>1784</v>
      </c>
      <c r="L400" s="98" t="s">
        <v>14797</v>
      </c>
      <c r="M400" s="251"/>
      <c r="N400" s="251"/>
      <c r="O400" s="251"/>
      <c r="P400" s="251"/>
      <c r="Q400" s="251"/>
      <c r="R400" s="251"/>
      <c r="S400" s="251"/>
      <c r="T400" s="251"/>
      <c r="U400" s="251"/>
      <c r="V400" s="251"/>
      <c r="W400" s="251"/>
      <c r="X400" s="251"/>
      <c r="Y400" s="251"/>
      <c r="Z400" s="251"/>
      <c r="AA400" s="251"/>
    </row>
    <row r="401" ht="14.25" customHeight="1">
      <c r="A401" s="248" t="s">
        <v>14803</v>
      </c>
      <c r="B401" s="263"/>
      <c r="C401" s="496" t="s">
        <v>14804</v>
      </c>
      <c r="D401" s="98" t="s">
        <v>271</v>
      </c>
      <c r="E401" s="511" t="s">
        <v>14805</v>
      </c>
      <c r="F401" s="132" t="s">
        <v>14806</v>
      </c>
      <c r="G401" s="132" t="s">
        <v>14807</v>
      </c>
      <c r="H401" s="132" t="s">
        <v>14808</v>
      </c>
      <c r="I401" s="497" t="s">
        <v>36</v>
      </c>
      <c r="J401" s="498" t="s">
        <v>4162</v>
      </c>
      <c r="K401" s="498" t="s">
        <v>1784</v>
      </c>
      <c r="L401" s="251"/>
      <c r="M401" s="251"/>
      <c r="N401" s="251"/>
      <c r="O401" s="251"/>
      <c r="P401" s="251"/>
      <c r="Q401" s="251"/>
      <c r="R401" s="251"/>
      <c r="S401" s="251"/>
      <c r="T401" s="251"/>
      <c r="U401" s="251"/>
      <c r="V401" s="251"/>
      <c r="W401" s="251"/>
      <c r="X401" s="251"/>
      <c r="Y401" s="251"/>
      <c r="Z401" s="251"/>
      <c r="AA401" s="251"/>
    </row>
    <row r="402" ht="14.25" customHeight="1">
      <c r="A402" s="248" t="s">
        <v>14803</v>
      </c>
      <c r="B402" s="263"/>
      <c r="C402" s="496" t="s">
        <v>14809</v>
      </c>
      <c r="D402" s="98" t="s">
        <v>271</v>
      </c>
      <c r="E402" s="511" t="s">
        <v>14805</v>
      </c>
      <c r="F402" s="132" t="s">
        <v>14806</v>
      </c>
      <c r="G402" s="132" t="s">
        <v>14810</v>
      </c>
      <c r="H402" s="132" t="s">
        <v>14811</v>
      </c>
      <c r="I402" s="497" t="s">
        <v>36</v>
      </c>
      <c r="J402" s="498" t="s">
        <v>4162</v>
      </c>
      <c r="K402" s="498" t="s">
        <v>1784</v>
      </c>
      <c r="L402" s="251"/>
      <c r="M402" s="251"/>
      <c r="N402" s="251"/>
      <c r="O402" s="251"/>
      <c r="P402" s="251"/>
      <c r="Q402" s="251"/>
      <c r="R402" s="251"/>
      <c r="S402" s="251"/>
      <c r="T402" s="251"/>
      <c r="U402" s="251"/>
      <c r="V402" s="251"/>
      <c r="W402" s="251"/>
      <c r="X402" s="251"/>
      <c r="Y402" s="251"/>
      <c r="Z402" s="251"/>
      <c r="AA402" s="251"/>
    </row>
    <row r="403" ht="14.25" customHeight="1">
      <c r="A403" s="251" t="s">
        <v>14812</v>
      </c>
      <c r="B403" s="512" t="s">
        <v>14813</v>
      </c>
      <c r="C403" s="263" t="s">
        <v>14814</v>
      </c>
      <c r="D403" s="251" t="s">
        <v>2482</v>
      </c>
      <c r="E403" s="500" t="s">
        <v>14815</v>
      </c>
      <c r="F403" s="500" t="s">
        <v>14816</v>
      </c>
      <c r="G403" s="500"/>
      <c r="H403" s="500" t="s">
        <v>14817</v>
      </c>
      <c r="I403" s="513" t="s">
        <v>36</v>
      </c>
      <c r="J403" s="263"/>
      <c r="K403" s="263"/>
      <c r="L403" s="251"/>
      <c r="M403" s="251"/>
      <c r="N403" s="251"/>
      <c r="O403" s="251"/>
      <c r="P403" s="251"/>
      <c r="Q403" s="251"/>
      <c r="R403" s="251"/>
      <c r="S403" s="251"/>
      <c r="T403" s="251"/>
      <c r="U403" s="251"/>
      <c r="V403" s="251"/>
      <c r="W403" s="251"/>
      <c r="X403" s="251"/>
      <c r="Y403" s="251"/>
      <c r="Z403" s="251"/>
      <c r="AA403" s="251"/>
    </row>
    <row r="404" ht="14.25" customHeight="1">
      <c r="A404" s="251" t="s">
        <v>14812</v>
      </c>
      <c r="B404" s="108"/>
      <c r="C404" s="263" t="s">
        <v>14818</v>
      </c>
      <c r="D404" s="251" t="s">
        <v>271</v>
      </c>
      <c r="E404" s="500" t="s">
        <v>14815</v>
      </c>
      <c r="F404" s="500" t="s">
        <v>14819</v>
      </c>
      <c r="G404" s="500"/>
      <c r="H404" s="500" t="s">
        <v>14820</v>
      </c>
      <c r="I404" s="513" t="s">
        <v>36</v>
      </c>
      <c r="J404" s="263"/>
      <c r="K404" s="263"/>
      <c r="L404" s="251"/>
      <c r="M404" s="251"/>
      <c r="N404" s="251"/>
      <c r="O404" s="251"/>
      <c r="P404" s="251"/>
      <c r="Q404" s="251"/>
      <c r="R404" s="251"/>
      <c r="S404" s="251"/>
      <c r="T404" s="251"/>
      <c r="U404" s="251"/>
      <c r="V404" s="251"/>
      <c r="W404" s="251"/>
      <c r="X404" s="251"/>
      <c r="Y404" s="251"/>
      <c r="Z404" s="251"/>
      <c r="AA404" s="251"/>
    </row>
    <row r="405" ht="14.25" customHeight="1">
      <c r="A405" s="251" t="s">
        <v>14812</v>
      </c>
      <c r="B405" s="109"/>
      <c r="C405" s="263" t="s">
        <v>14821</v>
      </c>
      <c r="D405" s="251" t="s">
        <v>271</v>
      </c>
      <c r="E405" s="500" t="s">
        <v>14815</v>
      </c>
      <c r="F405" s="500" t="s">
        <v>14822</v>
      </c>
      <c r="G405" s="500"/>
      <c r="H405" s="500" t="s">
        <v>14823</v>
      </c>
      <c r="I405" s="513" t="s">
        <v>36</v>
      </c>
      <c r="J405" s="263"/>
      <c r="K405" s="263"/>
      <c r="L405" s="251"/>
      <c r="M405" s="251"/>
      <c r="N405" s="251"/>
      <c r="O405" s="251"/>
      <c r="P405" s="251"/>
      <c r="Q405" s="251"/>
      <c r="R405" s="251"/>
      <c r="S405" s="251"/>
      <c r="T405" s="251"/>
      <c r="U405" s="251"/>
      <c r="V405" s="251"/>
      <c r="W405" s="251"/>
      <c r="X405" s="251"/>
      <c r="Y405" s="251"/>
      <c r="Z405" s="251"/>
      <c r="AA405" s="251"/>
    </row>
    <row r="406" ht="14.25" customHeight="1">
      <c r="A406" s="251"/>
      <c r="B406" s="263"/>
      <c r="C406" s="498" t="s">
        <v>14824</v>
      </c>
      <c r="D406" s="251"/>
      <c r="E406" s="514" t="s">
        <v>13697</v>
      </c>
      <c r="F406" s="500" t="s">
        <v>14825</v>
      </c>
      <c r="G406" s="500" t="s">
        <v>14826</v>
      </c>
      <c r="H406" s="515" t="s">
        <v>14827</v>
      </c>
      <c r="I406" s="513" t="s">
        <v>36</v>
      </c>
      <c r="J406" s="263"/>
      <c r="K406" s="263"/>
      <c r="L406" s="251"/>
      <c r="M406" s="251"/>
      <c r="N406" s="251"/>
      <c r="O406" s="251"/>
      <c r="P406" s="251"/>
      <c r="Q406" s="251"/>
      <c r="R406" s="251"/>
      <c r="S406" s="251"/>
      <c r="T406" s="251"/>
      <c r="U406" s="251"/>
      <c r="V406" s="251"/>
      <c r="W406" s="251"/>
      <c r="X406" s="251"/>
      <c r="Y406" s="251"/>
      <c r="Z406" s="251"/>
      <c r="AA406" s="251"/>
    </row>
    <row r="407" ht="14.25" customHeight="1">
      <c r="A407" s="251"/>
      <c r="B407" s="263"/>
      <c r="C407" s="498" t="s">
        <v>14828</v>
      </c>
      <c r="D407" s="251"/>
      <c r="E407" s="514" t="s">
        <v>13697</v>
      </c>
      <c r="F407" s="500" t="s">
        <v>14829</v>
      </c>
      <c r="G407" s="500" t="s">
        <v>14830</v>
      </c>
      <c r="H407" s="500" t="s">
        <v>14831</v>
      </c>
      <c r="I407" s="513" t="s">
        <v>36</v>
      </c>
      <c r="J407" s="263"/>
      <c r="K407" s="263"/>
      <c r="L407" s="251"/>
      <c r="M407" s="251"/>
      <c r="N407" s="251"/>
      <c r="O407" s="251"/>
      <c r="P407" s="251"/>
      <c r="Q407" s="251"/>
      <c r="R407" s="251"/>
      <c r="S407" s="251"/>
      <c r="T407" s="251"/>
      <c r="U407" s="251"/>
      <c r="V407" s="251"/>
      <c r="W407" s="251"/>
      <c r="X407" s="251"/>
      <c r="Y407" s="251"/>
      <c r="Z407" s="251"/>
      <c r="AA407" s="251"/>
    </row>
    <row r="408" ht="14.25" customHeight="1">
      <c r="A408" s="251"/>
      <c r="B408" s="263"/>
      <c r="C408" s="498" t="s">
        <v>14832</v>
      </c>
      <c r="D408" s="251"/>
      <c r="E408" s="514" t="s">
        <v>13697</v>
      </c>
      <c r="F408" s="500" t="s">
        <v>14833</v>
      </c>
      <c r="G408" s="500" t="s">
        <v>14834</v>
      </c>
      <c r="H408" s="515" t="s">
        <v>14835</v>
      </c>
      <c r="I408" s="513" t="s">
        <v>36</v>
      </c>
      <c r="J408" s="263"/>
      <c r="K408" s="263"/>
      <c r="L408" s="251"/>
      <c r="M408" s="251"/>
      <c r="N408" s="251"/>
      <c r="O408" s="251"/>
      <c r="P408" s="251"/>
      <c r="Q408" s="251"/>
      <c r="R408" s="251"/>
      <c r="S408" s="251"/>
      <c r="T408" s="251"/>
      <c r="U408" s="251"/>
      <c r="V408" s="251"/>
      <c r="W408" s="251"/>
      <c r="X408" s="251"/>
      <c r="Y408" s="251"/>
      <c r="Z408" s="251"/>
      <c r="AA408" s="251"/>
    </row>
    <row r="409" ht="14.25" customHeight="1">
      <c r="A409" s="251"/>
      <c r="B409" s="263"/>
      <c r="C409" s="498" t="s">
        <v>14836</v>
      </c>
      <c r="D409" s="251"/>
      <c r="E409" s="514" t="s">
        <v>13697</v>
      </c>
      <c r="F409" s="500" t="s">
        <v>14837</v>
      </c>
      <c r="G409" s="500" t="s">
        <v>14834</v>
      </c>
      <c r="H409" s="500" t="s">
        <v>14831</v>
      </c>
      <c r="I409" s="513" t="s">
        <v>36</v>
      </c>
      <c r="J409" s="263"/>
      <c r="K409" s="263"/>
      <c r="L409" s="251"/>
      <c r="M409" s="251"/>
      <c r="N409" s="251"/>
      <c r="O409" s="251"/>
      <c r="P409" s="251"/>
      <c r="Q409" s="251"/>
      <c r="R409" s="251"/>
      <c r="S409" s="251"/>
      <c r="T409" s="251"/>
      <c r="U409" s="251"/>
      <c r="V409" s="251"/>
      <c r="W409" s="251"/>
      <c r="X409" s="251"/>
      <c r="Y409" s="251"/>
      <c r="Z409" s="251"/>
      <c r="AA409" s="251"/>
    </row>
    <row r="410" ht="14.25" customHeight="1">
      <c r="A410" s="251"/>
      <c r="B410" s="263"/>
      <c r="C410" s="498" t="s">
        <v>14838</v>
      </c>
      <c r="D410" s="251"/>
      <c r="E410" s="514" t="s">
        <v>13697</v>
      </c>
      <c r="F410" s="500" t="s">
        <v>14839</v>
      </c>
      <c r="G410" s="500" t="s">
        <v>14840</v>
      </c>
      <c r="H410" s="500" t="s">
        <v>14831</v>
      </c>
      <c r="I410" s="513" t="s">
        <v>36</v>
      </c>
      <c r="J410" s="263"/>
      <c r="K410" s="263"/>
      <c r="L410" s="251"/>
      <c r="M410" s="251"/>
      <c r="N410" s="251"/>
      <c r="O410" s="251"/>
      <c r="P410" s="251"/>
      <c r="Q410" s="251"/>
      <c r="R410" s="251"/>
      <c r="S410" s="251"/>
      <c r="T410" s="251"/>
      <c r="U410" s="251"/>
      <c r="V410" s="251"/>
      <c r="W410" s="251"/>
      <c r="X410" s="251"/>
      <c r="Y410" s="251"/>
      <c r="Z410" s="251"/>
      <c r="AA410" s="251"/>
    </row>
    <row r="411" ht="14.25" customHeight="1">
      <c r="A411" s="251"/>
      <c r="B411" s="263"/>
      <c r="C411" s="498" t="s">
        <v>14841</v>
      </c>
      <c r="D411" s="251"/>
      <c r="E411" s="514" t="s">
        <v>13697</v>
      </c>
      <c r="F411" s="500" t="s">
        <v>14842</v>
      </c>
      <c r="G411" s="500" t="s">
        <v>14840</v>
      </c>
      <c r="H411" s="515" t="s">
        <v>14843</v>
      </c>
      <c r="I411" s="513" t="s">
        <v>36</v>
      </c>
      <c r="J411" s="263"/>
      <c r="K411" s="263"/>
      <c r="L411" s="251"/>
      <c r="M411" s="251"/>
      <c r="N411" s="251"/>
      <c r="O411" s="251"/>
      <c r="P411" s="251"/>
      <c r="Q411" s="251"/>
      <c r="R411" s="251"/>
      <c r="S411" s="251"/>
      <c r="T411" s="251"/>
      <c r="U411" s="251"/>
      <c r="V411" s="251"/>
      <c r="W411" s="251"/>
      <c r="X411" s="251"/>
      <c r="Y411" s="251"/>
      <c r="Z411" s="251"/>
      <c r="AA411" s="251"/>
    </row>
    <row r="412" ht="14.25" customHeight="1">
      <c r="A412" s="251"/>
      <c r="B412" s="263"/>
      <c r="C412" s="498" t="s">
        <v>14844</v>
      </c>
      <c r="D412" s="251"/>
      <c r="E412" s="514" t="s">
        <v>13697</v>
      </c>
      <c r="F412" s="500" t="s">
        <v>14845</v>
      </c>
      <c r="G412" s="500" t="s">
        <v>14846</v>
      </c>
      <c r="H412" s="515" t="s">
        <v>14847</v>
      </c>
      <c r="I412" s="513" t="s">
        <v>36</v>
      </c>
      <c r="J412" s="263"/>
      <c r="K412" s="263"/>
      <c r="L412" s="251"/>
      <c r="M412" s="251"/>
      <c r="N412" s="251"/>
      <c r="O412" s="251"/>
      <c r="P412" s="251"/>
      <c r="Q412" s="251"/>
      <c r="R412" s="251"/>
      <c r="S412" s="251"/>
      <c r="T412" s="251"/>
      <c r="U412" s="251"/>
      <c r="V412" s="251"/>
      <c r="W412" s="251"/>
      <c r="X412" s="251"/>
      <c r="Y412" s="251"/>
      <c r="Z412" s="251"/>
      <c r="AA412" s="251"/>
    </row>
    <row r="413" ht="14.25" customHeight="1">
      <c r="A413" s="251"/>
      <c r="B413" s="263"/>
      <c r="C413" s="498" t="s">
        <v>14848</v>
      </c>
      <c r="D413" s="251"/>
      <c r="E413" s="514" t="s">
        <v>13697</v>
      </c>
      <c r="F413" s="500" t="s">
        <v>14849</v>
      </c>
      <c r="G413" s="500" t="s">
        <v>14840</v>
      </c>
      <c r="H413" s="515" t="s">
        <v>14843</v>
      </c>
      <c r="I413" s="513" t="s">
        <v>36</v>
      </c>
      <c r="J413" s="263"/>
      <c r="K413" s="263"/>
      <c r="L413" s="251"/>
      <c r="M413" s="251"/>
      <c r="N413" s="251"/>
      <c r="O413" s="251"/>
      <c r="P413" s="251"/>
      <c r="Q413" s="251"/>
      <c r="R413" s="251"/>
      <c r="S413" s="251"/>
      <c r="T413" s="251"/>
      <c r="U413" s="251"/>
      <c r="V413" s="251"/>
      <c r="W413" s="251"/>
      <c r="X413" s="251"/>
      <c r="Y413" s="251"/>
      <c r="Z413" s="251"/>
      <c r="AA413" s="251"/>
    </row>
    <row r="414" ht="14.25" customHeight="1">
      <c r="A414" s="251"/>
      <c r="B414" s="263"/>
      <c r="C414" s="498" t="s">
        <v>14850</v>
      </c>
      <c r="D414" s="251"/>
      <c r="E414" s="514" t="s">
        <v>13697</v>
      </c>
      <c r="F414" s="500" t="s">
        <v>14851</v>
      </c>
      <c r="G414" s="500" t="s">
        <v>14840</v>
      </c>
      <c r="H414" s="516" t="s">
        <v>14852</v>
      </c>
      <c r="I414" s="513" t="s">
        <v>36</v>
      </c>
      <c r="J414" s="263"/>
      <c r="K414" s="263"/>
      <c r="L414" s="251"/>
      <c r="M414" s="251"/>
      <c r="N414" s="251"/>
      <c r="O414" s="251"/>
      <c r="P414" s="251"/>
      <c r="Q414" s="251"/>
      <c r="R414" s="251"/>
      <c r="S414" s="251"/>
      <c r="T414" s="251"/>
      <c r="U414" s="251"/>
      <c r="V414" s="251"/>
      <c r="W414" s="251"/>
      <c r="X414" s="251"/>
      <c r="Y414" s="251"/>
      <c r="Z414" s="251"/>
      <c r="AA414" s="251"/>
    </row>
    <row r="415" ht="14.25" customHeight="1">
      <c r="A415" s="251"/>
      <c r="B415" s="263"/>
      <c r="C415" s="498" t="s">
        <v>14853</v>
      </c>
      <c r="D415" s="251"/>
      <c r="E415" s="514" t="s">
        <v>13697</v>
      </c>
      <c r="F415" s="500" t="s">
        <v>14854</v>
      </c>
      <c r="G415" s="500" t="s">
        <v>14840</v>
      </c>
      <c r="H415" s="516" t="s">
        <v>14855</v>
      </c>
      <c r="I415" s="513" t="s">
        <v>317</v>
      </c>
      <c r="J415" s="263"/>
      <c r="K415" s="263"/>
      <c r="L415" s="251"/>
      <c r="M415" s="251"/>
      <c r="N415" s="251"/>
      <c r="O415" s="251"/>
      <c r="P415" s="251"/>
      <c r="Q415" s="251"/>
      <c r="R415" s="251"/>
      <c r="S415" s="251"/>
      <c r="T415" s="251"/>
      <c r="U415" s="251"/>
      <c r="V415" s="251"/>
      <c r="W415" s="251"/>
      <c r="X415" s="251"/>
      <c r="Y415" s="251"/>
      <c r="Z415" s="251"/>
      <c r="AA415" s="251"/>
    </row>
    <row r="416" ht="14.25" customHeight="1">
      <c r="A416" s="251"/>
      <c r="B416" s="263"/>
      <c r="C416" s="498" t="s">
        <v>14856</v>
      </c>
      <c r="D416" s="251"/>
      <c r="E416" s="514" t="s">
        <v>13699</v>
      </c>
      <c r="F416" s="500" t="s">
        <v>14857</v>
      </c>
      <c r="G416" s="500" t="s">
        <v>14840</v>
      </c>
      <c r="H416" s="500" t="s">
        <v>14858</v>
      </c>
      <c r="I416" s="513" t="s">
        <v>36</v>
      </c>
      <c r="J416" s="263"/>
      <c r="K416" s="263"/>
      <c r="L416" s="251"/>
      <c r="M416" s="251"/>
      <c r="N416" s="251"/>
      <c r="O416" s="251"/>
      <c r="P416" s="251"/>
      <c r="Q416" s="251"/>
      <c r="R416" s="251"/>
      <c r="S416" s="251"/>
      <c r="T416" s="251"/>
      <c r="U416" s="251"/>
      <c r="V416" s="251"/>
      <c r="W416" s="251"/>
      <c r="X416" s="251"/>
      <c r="Y416" s="251"/>
      <c r="Z416" s="251"/>
      <c r="AA416" s="251"/>
    </row>
    <row r="417" ht="14.25" customHeight="1">
      <c r="A417" s="251"/>
      <c r="B417" s="263"/>
      <c r="C417" s="498" t="s">
        <v>14859</v>
      </c>
      <c r="D417" s="251"/>
      <c r="E417" s="514" t="s">
        <v>13699</v>
      </c>
      <c r="F417" s="500" t="s">
        <v>14860</v>
      </c>
      <c r="G417" s="500" t="s">
        <v>14840</v>
      </c>
      <c r="H417" s="500" t="s">
        <v>14861</v>
      </c>
      <c r="I417" s="513" t="s">
        <v>36</v>
      </c>
      <c r="J417" s="263"/>
      <c r="K417" s="263"/>
      <c r="L417" s="251"/>
      <c r="M417" s="251"/>
      <c r="N417" s="251"/>
      <c r="O417" s="251"/>
      <c r="P417" s="251"/>
      <c r="Q417" s="251"/>
      <c r="R417" s="251"/>
      <c r="S417" s="251"/>
      <c r="T417" s="251"/>
      <c r="U417" s="251"/>
      <c r="V417" s="251"/>
      <c r="W417" s="251"/>
      <c r="X417" s="251"/>
      <c r="Y417" s="251"/>
      <c r="Z417" s="251"/>
      <c r="AA417" s="251"/>
    </row>
    <row r="418" ht="14.25" customHeight="1">
      <c r="A418" s="251"/>
      <c r="B418" s="263"/>
      <c r="C418" s="498" t="s">
        <v>14862</v>
      </c>
      <c r="D418" s="251"/>
      <c r="E418" s="514" t="s">
        <v>13699</v>
      </c>
      <c r="F418" s="500" t="s">
        <v>14863</v>
      </c>
      <c r="G418" s="500" t="s">
        <v>14840</v>
      </c>
      <c r="H418" s="500" t="s">
        <v>14858</v>
      </c>
      <c r="I418" s="513" t="s">
        <v>36</v>
      </c>
      <c r="J418" s="263"/>
      <c r="K418" s="263"/>
      <c r="L418" s="251"/>
      <c r="M418" s="251"/>
      <c r="N418" s="251"/>
      <c r="O418" s="251"/>
      <c r="P418" s="251"/>
      <c r="Q418" s="251"/>
      <c r="R418" s="251"/>
      <c r="S418" s="251"/>
      <c r="T418" s="251"/>
      <c r="U418" s="251"/>
      <c r="V418" s="251"/>
      <c r="W418" s="251"/>
      <c r="X418" s="251"/>
      <c r="Y418" s="251"/>
      <c r="Z418" s="251"/>
      <c r="AA418" s="251"/>
    </row>
    <row r="419" ht="14.25" customHeight="1">
      <c r="A419" s="251"/>
      <c r="B419" s="263"/>
      <c r="C419" s="498" t="s">
        <v>14864</v>
      </c>
      <c r="D419" s="251"/>
      <c r="E419" s="514" t="s">
        <v>13699</v>
      </c>
      <c r="F419" s="517" t="s">
        <v>14865</v>
      </c>
      <c r="G419" s="500" t="s">
        <v>14840</v>
      </c>
      <c r="H419" s="500" t="s">
        <v>14858</v>
      </c>
      <c r="I419" s="513" t="s">
        <v>36</v>
      </c>
      <c r="J419" s="263"/>
      <c r="K419" s="263"/>
      <c r="L419" s="251"/>
      <c r="M419" s="251"/>
      <c r="N419" s="251"/>
      <c r="O419" s="251"/>
      <c r="P419" s="251"/>
      <c r="Q419" s="251"/>
      <c r="R419" s="251"/>
      <c r="S419" s="251"/>
      <c r="T419" s="251"/>
      <c r="U419" s="251"/>
      <c r="V419" s="251"/>
      <c r="W419" s="251"/>
      <c r="X419" s="251"/>
      <c r="Y419" s="251"/>
      <c r="Z419" s="251"/>
      <c r="AA419" s="251"/>
    </row>
    <row r="420" ht="14.25" customHeight="1">
      <c r="A420" s="251"/>
      <c r="B420" s="263"/>
      <c r="C420" s="498" t="s">
        <v>14866</v>
      </c>
      <c r="D420" s="251"/>
      <c r="E420" s="514" t="s">
        <v>13699</v>
      </c>
      <c r="F420" s="500" t="s">
        <v>14867</v>
      </c>
      <c r="G420" s="500" t="s">
        <v>14840</v>
      </c>
      <c r="H420" s="500" t="s">
        <v>14861</v>
      </c>
      <c r="I420" s="513" t="s">
        <v>36</v>
      </c>
      <c r="J420" s="263"/>
      <c r="K420" s="263"/>
      <c r="L420" s="251"/>
      <c r="M420" s="251"/>
      <c r="N420" s="251"/>
      <c r="O420" s="251"/>
      <c r="P420" s="251"/>
      <c r="Q420" s="251"/>
      <c r="R420" s="251"/>
      <c r="S420" s="251"/>
      <c r="T420" s="251"/>
      <c r="U420" s="251"/>
      <c r="V420" s="251"/>
      <c r="W420" s="251"/>
      <c r="X420" s="251"/>
      <c r="Y420" s="251"/>
      <c r="Z420" s="251"/>
      <c r="AA420" s="251"/>
    </row>
    <row r="421" ht="14.25" customHeight="1">
      <c r="A421" s="251"/>
      <c r="B421" s="263"/>
      <c r="C421" s="498" t="s">
        <v>14868</v>
      </c>
      <c r="D421" s="251"/>
      <c r="E421" s="514" t="s">
        <v>13699</v>
      </c>
      <c r="F421" s="500" t="s">
        <v>14869</v>
      </c>
      <c r="G421" s="500" t="s">
        <v>14840</v>
      </c>
      <c r="H421" s="500" t="s">
        <v>14861</v>
      </c>
      <c r="I421" s="513" t="s">
        <v>317</v>
      </c>
      <c r="J421" s="263"/>
      <c r="K421" s="263"/>
      <c r="L421" s="251"/>
      <c r="M421" s="251"/>
      <c r="N421" s="251"/>
      <c r="O421" s="251"/>
      <c r="P421" s="251"/>
      <c r="Q421" s="251"/>
      <c r="R421" s="251"/>
      <c r="S421" s="251"/>
      <c r="T421" s="251"/>
      <c r="U421" s="251"/>
      <c r="V421" s="251"/>
      <c r="W421" s="251"/>
      <c r="X421" s="251"/>
      <c r="Y421" s="251"/>
      <c r="Z421" s="251"/>
      <c r="AA421" s="251"/>
    </row>
    <row r="422" ht="14.25" customHeight="1">
      <c r="A422" s="251"/>
      <c r="B422" s="263"/>
      <c r="C422" s="498" t="s">
        <v>14870</v>
      </c>
      <c r="D422" s="251"/>
      <c r="E422" s="514" t="s">
        <v>13699</v>
      </c>
      <c r="F422" s="500" t="s">
        <v>14871</v>
      </c>
      <c r="G422" s="500" t="s">
        <v>14840</v>
      </c>
      <c r="H422" s="500" t="s">
        <v>14858</v>
      </c>
      <c r="I422" s="513" t="s">
        <v>36</v>
      </c>
      <c r="J422" s="263"/>
      <c r="K422" s="263"/>
      <c r="L422" s="251"/>
      <c r="M422" s="251"/>
      <c r="N422" s="251"/>
      <c r="O422" s="251"/>
      <c r="P422" s="251"/>
      <c r="Q422" s="251"/>
      <c r="R422" s="251"/>
      <c r="S422" s="251"/>
      <c r="T422" s="251"/>
      <c r="U422" s="251"/>
      <c r="V422" s="251"/>
      <c r="W422" s="251"/>
      <c r="X422" s="251"/>
      <c r="Y422" s="251"/>
      <c r="Z422" s="251"/>
      <c r="AA422" s="251"/>
    </row>
    <row r="423" ht="14.25" customHeight="1">
      <c r="A423" s="251"/>
      <c r="B423" s="263"/>
      <c r="C423" s="498" t="s">
        <v>14872</v>
      </c>
      <c r="D423" s="251"/>
      <c r="E423" s="514" t="s">
        <v>13699</v>
      </c>
      <c r="F423" s="500" t="s">
        <v>14873</v>
      </c>
      <c r="G423" s="500" t="s">
        <v>14874</v>
      </c>
      <c r="H423" s="500" t="s">
        <v>14861</v>
      </c>
      <c r="I423" s="513" t="s">
        <v>317</v>
      </c>
      <c r="J423" s="263"/>
      <c r="K423" s="263"/>
      <c r="L423" s="251"/>
      <c r="M423" s="251"/>
      <c r="N423" s="251"/>
      <c r="O423" s="251"/>
      <c r="P423" s="251"/>
      <c r="Q423" s="251"/>
      <c r="R423" s="251"/>
      <c r="S423" s="251"/>
      <c r="T423" s="251"/>
      <c r="U423" s="251"/>
      <c r="V423" s="251"/>
      <c r="W423" s="251"/>
      <c r="X423" s="251"/>
      <c r="Y423" s="251"/>
      <c r="Z423" s="251"/>
      <c r="AA423" s="251"/>
    </row>
    <row r="424" ht="14.25" customHeight="1">
      <c r="A424" s="251"/>
      <c r="B424" s="263"/>
      <c r="C424" s="498" t="s">
        <v>14875</v>
      </c>
      <c r="D424" s="251"/>
      <c r="E424" s="514" t="s">
        <v>13699</v>
      </c>
      <c r="F424" s="500" t="s">
        <v>14876</v>
      </c>
      <c r="G424" s="500" t="s">
        <v>14840</v>
      </c>
      <c r="H424" s="500" t="s">
        <v>14861</v>
      </c>
      <c r="I424" s="513" t="s">
        <v>36</v>
      </c>
      <c r="J424" s="263"/>
      <c r="K424" s="263"/>
      <c r="L424" s="251"/>
      <c r="M424" s="251"/>
      <c r="N424" s="251"/>
      <c r="O424" s="251"/>
      <c r="P424" s="251"/>
      <c r="Q424" s="251"/>
      <c r="R424" s="251"/>
      <c r="S424" s="251"/>
      <c r="T424" s="251"/>
      <c r="U424" s="251"/>
      <c r="V424" s="251"/>
      <c r="W424" s="251"/>
      <c r="X424" s="251"/>
      <c r="Y424" s="251"/>
      <c r="Z424" s="251"/>
      <c r="AA424" s="251"/>
    </row>
    <row r="425" ht="14.25" customHeight="1">
      <c r="A425" s="251"/>
      <c r="B425" s="263"/>
      <c r="C425" s="498" t="s">
        <v>14877</v>
      </c>
      <c r="D425" s="251"/>
      <c r="E425" s="514" t="s">
        <v>13699</v>
      </c>
      <c r="F425" s="500" t="s">
        <v>14878</v>
      </c>
      <c r="G425" s="500" t="s">
        <v>14840</v>
      </c>
      <c r="H425" s="500" t="s">
        <v>14879</v>
      </c>
      <c r="I425" s="513" t="s">
        <v>36</v>
      </c>
      <c r="J425" s="263"/>
      <c r="K425" s="263"/>
      <c r="L425" s="251"/>
      <c r="M425" s="251"/>
      <c r="N425" s="251"/>
      <c r="O425" s="251"/>
      <c r="P425" s="251"/>
      <c r="Q425" s="251"/>
      <c r="R425" s="251"/>
      <c r="S425" s="251"/>
      <c r="T425" s="251"/>
      <c r="U425" s="251"/>
      <c r="V425" s="251"/>
      <c r="W425" s="251"/>
      <c r="X425" s="251"/>
      <c r="Y425" s="251"/>
      <c r="Z425" s="251"/>
      <c r="AA425" s="251"/>
    </row>
    <row r="426" ht="14.25" customHeight="1">
      <c r="A426" s="251"/>
      <c r="B426" s="263"/>
      <c r="C426" s="498" t="s">
        <v>14880</v>
      </c>
      <c r="D426" s="251"/>
      <c r="E426" s="514" t="s">
        <v>13699</v>
      </c>
      <c r="F426" s="500" t="s">
        <v>14881</v>
      </c>
      <c r="G426" s="500" t="s">
        <v>14840</v>
      </c>
      <c r="H426" s="500" t="s">
        <v>14882</v>
      </c>
      <c r="I426" s="513" t="s">
        <v>317</v>
      </c>
      <c r="J426" s="263"/>
      <c r="K426" s="263"/>
      <c r="L426" s="251"/>
      <c r="M426" s="251"/>
      <c r="N426" s="251"/>
      <c r="O426" s="251"/>
      <c r="P426" s="251"/>
      <c r="Q426" s="251"/>
      <c r="R426" s="251"/>
      <c r="S426" s="251"/>
      <c r="T426" s="251"/>
      <c r="U426" s="251"/>
      <c r="V426" s="251"/>
      <c r="W426" s="251"/>
      <c r="X426" s="251"/>
      <c r="Y426" s="251"/>
      <c r="Z426" s="251"/>
      <c r="AA426" s="251"/>
    </row>
    <row r="427" ht="14.25" customHeight="1">
      <c r="A427" s="251"/>
      <c r="B427" s="263"/>
      <c r="C427" s="498" t="s">
        <v>14883</v>
      </c>
      <c r="D427" s="251"/>
      <c r="E427" s="514" t="s">
        <v>13699</v>
      </c>
      <c r="F427" s="500" t="s">
        <v>14884</v>
      </c>
      <c r="G427" s="500" t="s">
        <v>14885</v>
      </c>
      <c r="H427" s="500" t="s">
        <v>14861</v>
      </c>
      <c r="I427" s="513" t="s">
        <v>317</v>
      </c>
      <c r="J427" s="263"/>
      <c r="K427" s="263"/>
      <c r="L427" s="251"/>
      <c r="M427" s="251"/>
      <c r="N427" s="251"/>
      <c r="O427" s="251"/>
      <c r="P427" s="251"/>
      <c r="Q427" s="251"/>
      <c r="R427" s="251"/>
      <c r="S427" s="251"/>
      <c r="T427" s="251"/>
      <c r="U427" s="251"/>
      <c r="V427" s="251"/>
      <c r="W427" s="251"/>
      <c r="X427" s="251"/>
      <c r="Y427" s="251"/>
      <c r="Z427" s="251"/>
      <c r="AA427" s="251"/>
    </row>
    <row r="428" ht="14.25" customHeight="1">
      <c r="A428" s="251"/>
      <c r="B428" s="263"/>
      <c r="C428" s="498" t="s">
        <v>14886</v>
      </c>
      <c r="D428" s="251"/>
      <c r="E428" s="514" t="s">
        <v>13699</v>
      </c>
      <c r="F428" s="500" t="s">
        <v>14887</v>
      </c>
      <c r="G428" s="500" t="s">
        <v>14888</v>
      </c>
      <c r="H428" s="500" t="s">
        <v>14889</v>
      </c>
      <c r="I428" s="513" t="s">
        <v>36</v>
      </c>
      <c r="J428" s="263"/>
      <c r="K428" s="263"/>
      <c r="L428" s="251"/>
      <c r="M428" s="251"/>
      <c r="N428" s="251"/>
      <c r="O428" s="251"/>
      <c r="P428" s="251"/>
      <c r="Q428" s="251"/>
      <c r="R428" s="251"/>
      <c r="S428" s="251"/>
      <c r="T428" s="251"/>
      <c r="U428" s="251"/>
      <c r="V428" s="251"/>
      <c r="W428" s="251"/>
      <c r="X428" s="251"/>
      <c r="Y428" s="251"/>
      <c r="Z428" s="251"/>
      <c r="AA428" s="251"/>
    </row>
    <row r="429" ht="14.25" customHeight="1">
      <c r="A429" s="251"/>
      <c r="B429" s="263"/>
      <c r="C429" s="498" t="s">
        <v>14890</v>
      </c>
      <c r="D429" s="251"/>
      <c r="E429" s="514" t="s">
        <v>13699</v>
      </c>
      <c r="F429" s="500" t="s">
        <v>14884</v>
      </c>
      <c r="G429" s="500" t="s">
        <v>14891</v>
      </c>
      <c r="H429" s="500" t="s">
        <v>14892</v>
      </c>
      <c r="I429" s="513" t="s">
        <v>36</v>
      </c>
      <c r="J429" s="263"/>
      <c r="K429" s="263"/>
      <c r="L429" s="251"/>
      <c r="M429" s="251"/>
      <c r="N429" s="251"/>
      <c r="O429" s="251"/>
      <c r="P429" s="251"/>
      <c r="Q429" s="251"/>
      <c r="R429" s="251"/>
      <c r="S429" s="251"/>
      <c r="T429" s="251"/>
      <c r="U429" s="251"/>
      <c r="V429" s="251"/>
      <c r="W429" s="251"/>
      <c r="X429" s="251"/>
      <c r="Y429" s="251"/>
      <c r="Z429" s="251"/>
      <c r="AA429" s="251"/>
    </row>
    <row r="430" ht="14.25" customHeight="1">
      <c r="A430" s="251"/>
      <c r="B430" s="263"/>
      <c r="C430" s="498" t="s">
        <v>14893</v>
      </c>
      <c r="D430" s="251"/>
      <c r="E430" s="514" t="s">
        <v>13699</v>
      </c>
      <c r="F430" s="500" t="s">
        <v>14884</v>
      </c>
      <c r="G430" s="500" t="s">
        <v>14894</v>
      </c>
      <c r="H430" s="518" t="s">
        <v>14895</v>
      </c>
      <c r="I430" s="513" t="s">
        <v>36</v>
      </c>
      <c r="J430" s="263"/>
      <c r="K430" s="263"/>
      <c r="L430" s="251"/>
      <c r="M430" s="251"/>
      <c r="N430" s="251"/>
      <c r="O430" s="251"/>
      <c r="P430" s="251"/>
      <c r="Q430" s="251"/>
      <c r="R430" s="251"/>
      <c r="S430" s="251"/>
      <c r="T430" s="251"/>
      <c r="U430" s="251"/>
      <c r="V430" s="251"/>
      <c r="W430" s="251"/>
      <c r="X430" s="251"/>
      <c r="Y430" s="251"/>
      <c r="Z430" s="251"/>
      <c r="AA430" s="251"/>
    </row>
    <row r="431" ht="14.25" customHeight="1">
      <c r="A431" s="251"/>
      <c r="B431" s="263"/>
      <c r="C431" s="498" t="s">
        <v>14896</v>
      </c>
      <c r="D431" s="251"/>
      <c r="E431" s="500"/>
      <c r="F431" s="500" t="s">
        <v>13816</v>
      </c>
      <c r="G431" s="500" t="s">
        <v>13817</v>
      </c>
      <c r="H431" s="500" t="s">
        <v>13818</v>
      </c>
      <c r="I431" s="513" t="s">
        <v>36</v>
      </c>
      <c r="J431" s="263"/>
      <c r="K431" s="263"/>
      <c r="L431" s="251"/>
      <c r="M431" s="251"/>
      <c r="N431" s="251"/>
      <c r="O431" s="251"/>
      <c r="P431" s="251"/>
      <c r="Q431" s="251"/>
      <c r="R431" s="251"/>
      <c r="S431" s="251"/>
      <c r="T431" s="251"/>
      <c r="U431" s="251"/>
      <c r="V431" s="251"/>
      <c r="W431" s="251"/>
      <c r="X431" s="251"/>
      <c r="Y431" s="251"/>
      <c r="Z431" s="251"/>
      <c r="AA431" s="251"/>
    </row>
    <row r="432" ht="14.25" customHeight="1">
      <c r="A432" s="251"/>
      <c r="B432" s="263"/>
      <c r="C432" s="498" t="s">
        <v>14897</v>
      </c>
      <c r="D432" s="251"/>
      <c r="E432" s="500"/>
      <c r="F432" s="500" t="s">
        <v>13820</v>
      </c>
      <c r="G432" s="500" t="s">
        <v>13821</v>
      </c>
      <c r="H432" s="500" t="s">
        <v>13822</v>
      </c>
      <c r="I432" s="513" t="s">
        <v>36</v>
      </c>
      <c r="J432" s="263"/>
      <c r="K432" s="263"/>
      <c r="L432" s="251"/>
      <c r="M432" s="251"/>
      <c r="N432" s="251"/>
      <c r="O432" s="251"/>
      <c r="P432" s="251"/>
      <c r="Q432" s="251"/>
      <c r="R432" s="251"/>
      <c r="S432" s="251"/>
      <c r="T432" s="251"/>
      <c r="U432" s="251"/>
      <c r="V432" s="251"/>
      <c r="W432" s="251"/>
      <c r="X432" s="251"/>
      <c r="Y432" s="251"/>
      <c r="Z432" s="251"/>
      <c r="AA432" s="251"/>
    </row>
    <row r="433" ht="14.25" customHeight="1">
      <c r="A433" s="251"/>
      <c r="B433" s="263"/>
      <c r="C433" s="498" t="s">
        <v>14898</v>
      </c>
      <c r="D433" s="251"/>
      <c r="E433" s="500"/>
      <c r="F433" s="500" t="s">
        <v>13824</v>
      </c>
      <c r="G433" s="500" t="s">
        <v>13821</v>
      </c>
      <c r="H433" s="500" t="s">
        <v>13825</v>
      </c>
      <c r="I433" s="513" t="s">
        <v>36</v>
      </c>
      <c r="J433" s="263"/>
      <c r="K433" s="263"/>
      <c r="L433" s="251"/>
      <c r="M433" s="251"/>
      <c r="N433" s="251"/>
      <c r="O433" s="251"/>
      <c r="P433" s="251"/>
      <c r="Q433" s="251"/>
      <c r="R433" s="251"/>
      <c r="S433" s="251"/>
      <c r="T433" s="251"/>
      <c r="U433" s="251"/>
      <c r="V433" s="251"/>
      <c r="W433" s="251"/>
      <c r="X433" s="251"/>
      <c r="Y433" s="251"/>
      <c r="Z433" s="251"/>
      <c r="AA433" s="251"/>
    </row>
    <row r="434" ht="14.25" customHeight="1">
      <c r="A434" s="251"/>
      <c r="B434" s="263"/>
      <c r="C434" s="498" t="s">
        <v>14899</v>
      </c>
      <c r="D434" s="251"/>
      <c r="E434" s="500"/>
      <c r="F434" s="500" t="s">
        <v>13827</v>
      </c>
      <c r="G434" s="500" t="s">
        <v>13821</v>
      </c>
      <c r="H434" s="500" t="s">
        <v>13828</v>
      </c>
      <c r="I434" s="513" t="s">
        <v>36</v>
      </c>
      <c r="J434" s="263"/>
      <c r="K434" s="263"/>
      <c r="L434" s="251"/>
      <c r="M434" s="251"/>
      <c r="N434" s="251"/>
      <c r="O434" s="251"/>
      <c r="P434" s="251"/>
      <c r="Q434" s="251"/>
      <c r="R434" s="251"/>
      <c r="S434" s="251"/>
      <c r="T434" s="251"/>
      <c r="U434" s="251"/>
      <c r="V434" s="251"/>
      <c r="W434" s="251"/>
      <c r="X434" s="251"/>
      <c r="Y434" s="251"/>
      <c r="Z434" s="251"/>
      <c r="AA434" s="251"/>
    </row>
    <row r="435" ht="14.25" customHeight="1">
      <c r="A435" s="251"/>
      <c r="B435" s="263"/>
      <c r="C435" s="498" t="s">
        <v>14900</v>
      </c>
      <c r="D435" s="251"/>
      <c r="E435" s="500"/>
      <c r="F435" s="500" t="s">
        <v>13830</v>
      </c>
      <c r="G435" s="500" t="s">
        <v>13817</v>
      </c>
      <c r="H435" s="500" t="s">
        <v>13818</v>
      </c>
      <c r="I435" s="513" t="s">
        <v>36</v>
      </c>
      <c r="J435" s="263"/>
      <c r="K435" s="263"/>
      <c r="L435" s="251"/>
      <c r="M435" s="251"/>
      <c r="N435" s="251"/>
      <c r="O435" s="251"/>
      <c r="P435" s="251"/>
      <c r="Q435" s="251"/>
      <c r="R435" s="251"/>
      <c r="S435" s="251"/>
      <c r="T435" s="251"/>
      <c r="U435" s="251"/>
      <c r="V435" s="251"/>
      <c r="W435" s="251"/>
      <c r="X435" s="251"/>
      <c r="Y435" s="251"/>
      <c r="Z435" s="251"/>
      <c r="AA435" s="251"/>
    </row>
    <row r="436" ht="14.25" customHeight="1">
      <c r="A436" s="251"/>
      <c r="B436" s="263"/>
      <c r="C436" s="498" t="s">
        <v>14901</v>
      </c>
      <c r="D436" s="251"/>
      <c r="E436" s="500"/>
      <c r="F436" s="500" t="s">
        <v>13832</v>
      </c>
      <c r="G436" s="500" t="s">
        <v>13821</v>
      </c>
      <c r="H436" s="500" t="s">
        <v>13822</v>
      </c>
      <c r="I436" s="513" t="s">
        <v>36</v>
      </c>
      <c r="J436" s="263"/>
      <c r="K436" s="263"/>
      <c r="L436" s="251"/>
      <c r="M436" s="251"/>
      <c r="N436" s="251"/>
      <c r="O436" s="251"/>
      <c r="P436" s="251"/>
      <c r="Q436" s="251"/>
      <c r="R436" s="251"/>
      <c r="S436" s="251"/>
      <c r="T436" s="251"/>
      <c r="U436" s="251"/>
      <c r="V436" s="251"/>
      <c r="W436" s="251"/>
      <c r="X436" s="251"/>
      <c r="Y436" s="251"/>
      <c r="Z436" s="251"/>
      <c r="AA436" s="251"/>
    </row>
    <row r="437" ht="14.25" customHeight="1">
      <c r="A437" s="251"/>
      <c r="B437" s="263"/>
      <c r="C437" s="498" t="s">
        <v>14902</v>
      </c>
      <c r="D437" s="251"/>
      <c r="E437" s="500"/>
      <c r="F437" s="500" t="s">
        <v>13834</v>
      </c>
      <c r="G437" s="500" t="s">
        <v>13821</v>
      </c>
      <c r="H437" s="500" t="s">
        <v>13825</v>
      </c>
      <c r="I437" s="513" t="s">
        <v>36</v>
      </c>
      <c r="J437" s="263"/>
      <c r="K437" s="263"/>
      <c r="L437" s="251"/>
      <c r="M437" s="251"/>
      <c r="N437" s="251"/>
      <c r="O437" s="251"/>
      <c r="P437" s="251"/>
      <c r="Q437" s="251"/>
      <c r="R437" s="251"/>
      <c r="S437" s="251"/>
      <c r="T437" s="251"/>
      <c r="U437" s="251"/>
      <c r="V437" s="251"/>
      <c r="W437" s="251"/>
      <c r="X437" s="251"/>
      <c r="Y437" s="251"/>
      <c r="Z437" s="251"/>
      <c r="AA437" s="251"/>
    </row>
    <row r="438" ht="14.25" customHeight="1">
      <c r="A438" s="251"/>
      <c r="B438" s="263"/>
      <c r="C438" s="498" t="s">
        <v>14903</v>
      </c>
      <c r="D438" s="251"/>
      <c r="E438" s="500"/>
      <c r="F438" s="500" t="s">
        <v>13836</v>
      </c>
      <c r="G438" s="500" t="s">
        <v>13821</v>
      </c>
      <c r="H438" s="500" t="s">
        <v>13828</v>
      </c>
      <c r="I438" s="513" t="s">
        <v>36</v>
      </c>
      <c r="J438" s="263"/>
      <c r="K438" s="263"/>
      <c r="L438" s="251"/>
      <c r="M438" s="251"/>
      <c r="N438" s="251"/>
      <c r="O438" s="251"/>
      <c r="P438" s="251"/>
      <c r="Q438" s="251"/>
      <c r="R438" s="251"/>
      <c r="S438" s="251"/>
      <c r="T438" s="251"/>
      <c r="U438" s="251"/>
      <c r="V438" s="251"/>
      <c r="W438" s="251"/>
      <c r="X438" s="251"/>
      <c r="Y438" s="251"/>
      <c r="Z438" s="251"/>
      <c r="AA438" s="251"/>
    </row>
    <row r="439" ht="14.25" customHeight="1">
      <c r="A439" s="251"/>
      <c r="B439" s="263"/>
      <c r="C439" s="498" t="s">
        <v>14904</v>
      </c>
      <c r="D439" s="251"/>
      <c r="E439" s="500"/>
      <c r="F439" s="500" t="s">
        <v>13838</v>
      </c>
      <c r="G439" s="500" t="s">
        <v>13817</v>
      </c>
      <c r="H439" s="500" t="s">
        <v>13818</v>
      </c>
      <c r="I439" s="513" t="s">
        <v>36</v>
      </c>
      <c r="J439" s="263"/>
      <c r="K439" s="263"/>
      <c r="L439" s="251"/>
      <c r="M439" s="251"/>
      <c r="N439" s="251"/>
      <c r="O439" s="251"/>
      <c r="P439" s="251"/>
      <c r="Q439" s="251"/>
      <c r="R439" s="251"/>
      <c r="S439" s="251"/>
      <c r="T439" s="251"/>
      <c r="U439" s="251"/>
      <c r="V439" s="251"/>
      <c r="W439" s="251"/>
      <c r="X439" s="251"/>
      <c r="Y439" s="251"/>
      <c r="Z439" s="251"/>
      <c r="AA439" s="251"/>
    </row>
    <row r="440" ht="14.25" customHeight="1">
      <c r="A440" s="251"/>
      <c r="B440" s="263"/>
      <c r="C440" s="498" t="s">
        <v>14905</v>
      </c>
      <c r="D440" s="251"/>
      <c r="E440" s="500"/>
      <c r="F440" s="500" t="s">
        <v>13840</v>
      </c>
      <c r="G440" s="500" t="s">
        <v>13821</v>
      </c>
      <c r="H440" s="500" t="s">
        <v>13822</v>
      </c>
      <c r="I440" s="513" t="s">
        <v>36</v>
      </c>
      <c r="J440" s="263"/>
      <c r="K440" s="263"/>
      <c r="L440" s="251"/>
      <c r="M440" s="251"/>
      <c r="N440" s="251"/>
      <c r="O440" s="251"/>
      <c r="P440" s="251"/>
      <c r="Q440" s="251"/>
      <c r="R440" s="251"/>
      <c r="S440" s="251"/>
      <c r="T440" s="251"/>
      <c r="U440" s="251"/>
      <c r="V440" s="251"/>
      <c r="W440" s="251"/>
      <c r="X440" s="251"/>
      <c r="Y440" s="251"/>
      <c r="Z440" s="251"/>
      <c r="AA440" s="251"/>
    </row>
    <row r="441" ht="14.25" customHeight="1">
      <c r="A441" s="251"/>
      <c r="B441" s="263"/>
      <c r="C441" s="498" t="s">
        <v>14906</v>
      </c>
      <c r="D441" s="251"/>
      <c r="E441" s="500"/>
      <c r="F441" s="500" t="s">
        <v>13842</v>
      </c>
      <c r="G441" s="500" t="s">
        <v>13821</v>
      </c>
      <c r="H441" s="500" t="s">
        <v>13825</v>
      </c>
      <c r="I441" s="513" t="s">
        <v>36</v>
      </c>
      <c r="J441" s="263"/>
      <c r="K441" s="263"/>
      <c r="L441" s="251"/>
      <c r="M441" s="251"/>
      <c r="N441" s="251"/>
      <c r="O441" s="251"/>
      <c r="P441" s="251"/>
      <c r="Q441" s="251"/>
      <c r="R441" s="251"/>
      <c r="S441" s="251"/>
      <c r="T441" s="251"/>
      <c r="U441" s="251"/>
      <c r="V441" s="251"/>
      <c r="W441" s="251"/>
      <c r="X441" s="251"/>
      <c r="Y441" s="251"/>
      <c r="Z441" s="251"/>
      <c r="AA441" s="251"/>
    </row>
    <row r="442" ht="14.25" customHeight="1">
      <c r="A442" s="251"/>
      <c r="B442" s="263"/>
      <c r="C442" s="498" t="s">
        <v>14907</v>
      </c>
      <c r="D442" s="251"/>
      <c r="E442" s="500"/>
      <c r="F442" s="500" t="s">
        <v>13844</v>
      </c>
      <c r="G442" s="500" t="s">
        <v>13821</v>
      </c>
      <c r="H442" s="500" t="s">
        <v>13828</v>
      </c>
      <c r="I442" s="513" t="s">
        <v>36</v>
      </c>
      <c r="J442" s="263"/>
      <c r="K442" s="263"/>
      <c r="L442" s="251"/>
      <c r="M442" s="251"/>
      <c r="N442" s="251"/>
      <c r="O442" s="251"/>
      <c r="P442" s="251"/>
      <c r="Q442" s="251"/>
      <c r="R442" s="251"/>
      <c r="S442" s="251"/>
      <c r="T442" s="251"/>
      <c r="U442" s="251"/>
      <c r="V442" s="251"/>
      <c r="W442" s="251"/>
      <c r="X442" s="251"/>
      <c r="Y442" s="251"/>
      <c r="Z442" s="251"/>
      <c r="AA442" s="251"/>
    </row>
    <row r="443" ht="14.25" customHeight="1">
      <c r="A443" s="251"/>
      <c r="B443" s="263"/>
      <c r="C443" s="498" t="s">
        <v>14908</v>
      </c>
      <c r="D443" s="251"/>
      <c r="E443" s="500"/>
      <c r="F443" s="500" t="s">
        <v>14909</v>
      </c>
      <c r="G443" s="500" t="s">
        <v>14910</v>
      </c>
      <c r="H443" s="500" t="s">
        <v>14911</v>
      </c>
      <c r="I443" s="513" t="s">
        <v>317</v>
      </c>
      <c r="J443" s="263"/>
      <c r="K443" s="263"/>
      <c r="L443" s="251"/>
      <c r="M443" s="251"/>
      <c r="N443" s="251"/>
      <c r="O443" s="251"/>
      <c r="P443" s="251"/>
      <c r="Q443" s="251"/>
      <c r="R443" s="251"/>
      <c r="S443" s="251"/>
      <c r="T443" s="251"/>
      <c r="U443" s="251"/>
      <c r="V443" s="251"/>
      <c r="W443" s="251"/>
      <c r="X443" s="251"/>
      <c r="Y443" s="251"/>
      <c r="Z443" s="251"/>
      <c r="AA443" s="251"/>
    </row>
    <row r="444" ht="14.25" customHeight="1">
      <c r="A444" s="251"/>
      <c r="B444" s="263"/>
      <c r="C444" s="498" t="s">
        <v>14912</v>
      </c>
      <c r="D444" s="251"/>
      <c r="E444" s="500"/>
      <c r="F444" s="500" t="s">
        <v>14913</v>
      </c>
      <c r="G444" s="500" t="s">
        <v>14914</v>
      </c>
      <c r="H444" s="500" t="s">
        <v>14915</v>
      </c>
      <c r="I444" s="513" t="s">
        <v>317</v>
      </c>
      <c r="J444" s="263"/>
      <c r="K444" s="263"/>
      <c r="L444" s="251"/>
      <c r="M444" s="251"/>
      <c r="N444" s="251"/>
      <c r="O444" s="251"/>
      <c r="P444" s="251"/>
      <c r="Q444" s="251"/>
      <c r="R444" s="251"/>
      <c r="S444" s="251"/>
      <c r="T444" s="251"/>
      <c r="U444" s="251"/>
      <c r="V444" s="251"/>
      <c r="W444" s="251"/>
      <c r="X444" s="251"/>
      <c r="Y444" s="251"/>
      <c r="Z444" s="251"/>
      <c r="AA444" s="251"/>
    </row>
    <row r="445" ht="14.25" customHeight="1">
      <c r="A445" s="251"/>
      <c r="B445" s="263"/>
      <c r="C445" s="498" t="s">
        <v>14916</v>
      </c>
      <c r="D445" s="251"/>
      <c r="E445" s="500"/>
      <c r="F445" s="500" t="s">
        <v>14917</v>
      </c>
      <c r="G445" s="500" t="s">
        <v>14918</v>
      </c>
      <c r="H445" s="500" t="s">
        <v>14919</v>
      </c>
      <c r="I445" s="513" t="s">
        <v>317</v>
      </c>
      <c r="J445" s="263"/>
      <c r="K445" s="263"/>
      <c r="L445" s="251"/>
      <c r="M445" s="251"/>
      <c r="N445" s="251"/>
      <c r="O445" s="251"/>
      <c r="P445" s="251"/>
      <c r="Q445" s="251"/>
      <c r="R445" s="251"/>
      <c r="S445" s="251"/>
      <c r="T445" s="251"/>
      <c r="U445" s="251"/>
      <c r="V445" s="251"/>
      <c r="W445" s="251"/>
      <c r="X445" s="251"/>
      <c r="Y445" s="251"/>
      <c r="Z445" s="251"/>
      <c r="AA445" s="251"/>
    </row>
    <row r="446" ht="14.25" customHeight="1">
      <c r="A446" s="251"/>
      <c r="B446" s="263"/>
      <c r="C446" s="498" t="s">
        <v>14920</v>
      </c>
      <c r="D446" s="251"/>
      <c r="E446" s="500"/>
      <c r="F446" s="500" t="s">
        <v>14909</v>
      </c>
      <c r="G446" s="500" t="s">
        <v>14921</v>
      </c>
      <c r="H446" s="500" t="s">
        <v>14922</v>
      </c>
      <c r="I446" s="513" t="s">
        <v>317</v>
      </c>
      <c r="J446" s="263"/>
      <c r="K446" s="263"/>
      <c r="L446" s="251"/>
      <c r="M446" s="251"/>
      <c r="N446" s="251"/>
      <c r="O446" s="251"/>
      <c r="P446" s="251"/>
      <c r="Q446" s="251"/>
      <c r="R446" s="251"/>
      <c r="S446" s="251"/>
      <c r="T446" s="251"/>
      <c r="U446" s="251"/>
      <c r="V446" s="251"/>
      <c r="W446" s="251"/>
      <c r="X446" s="251"/>
      <c r="Y446" s="251"/>
      <c r="Z446" s="251"/>
      <c r="AA446" s="251"/>
    </row>
    <row r="447" ht="14.25" customHeight="1">
      <c r="A447" s="251"/>
      <c r="B447" s="263"/>
      <c r="C447" s="498" t="s">
        <v>14923</v>
      </c>
      <c r="D447" s="251"/>
      <c r="E447" s="500"/>
      <c r="F447" s="500" t="s">
        <v>14884</v>
      </c>
      <c r="G447" s="500" t="s">
        <v>14924</v>
      </c>
      <c r="H447" s="500" t="s">
        <v>14925</v>
      </c>
      <c r="I447" s="513" t="s">
        <v>317</v>
      </c>
      <c r="J447" s="263"/>
      <c r="K447" s="263"/>
      <c r="L447" s="251"/>
      <c r="M447" s="251"/>
      <c r="N447" s="251"/>
      <c r="O447" s="251"/>
      <c r="P447" s="251"/>
      <c r="Q447" s="251"/>
      <c r="R447" s="251"/>
      <c r="S447" s="251"/>
      <c r="T447" s="251"/>
      <c r="U447" s="251"/>
      <c r="V447" s="251"/>
      <c r="W447" s="251"/>
      <c r="X447" s="251"/>
      <c r="Y447" s="251"/>
      <c r="Z447" s="251"/>
      <c r="AA447" s="251"/>
    </row>
    <row r="448" ht="14.25" customHeight="1">
      <c r="A448" s="251"/>
      <c r="B448" s="263"/>
      <c r="C448" s="498" t="s">
        <v>14926</v>
      </c>
      <c r="D448" s="251"/>
      <c r="E448" s="500"/>
      <c r="F448" s="500" t="s">
        <v>14927</v>
      </c>
      <c r="G448" s="500" t="s">
        <v>14928</v>
      </c>
      <c r="H448" s="500" t="s">
        <v>14929</v>
      </c>
      <c r="I448" s="513" t="s">
        <v>317</v>
      </c>
      <c r="J448" s="263"/>
      <c r="K448" s="263"/>
      <c r="L448" s="251"/>
      <c r="M448" s="251"/>
      <c r="N448" s="251"/>
      <c r="O448" s="251"/>
      <c r="P448" s="251"/>
      <c r="Q448" s="251"/>
      <c r="R448" s="251"/>
      <c r="S448" s="251"/>
      <c r="T448" s="251"/>
      <c r="U448" s="251"/>
      <c r="V448" s="251"/>
      <c r="W448" s="251"/>
      <c r="X448" s="251"/>
      <c r="Y448" s="251"/>
      <c r="Z448" s="251"/>
      <c r="AA448" s="251"/>
    </row>
    <row r="449" ht="14.25" customHeight="1">
      <c r="A449" s="251"/>
      <c r="B449" s="263"/>
      <c r="C449" s="498" t="s">
        <v>14930</v>
      </c>
      <c r="D449" s="251"/>
      <c r="E449" s="500"/>
      <c r="F449" s="500" t="s">
        <v>14887</v>
      </c>
      <c r="G449" s="500" t="s">
        <v>14931</v>
      </c>
      <c r="H449" s="500" t="s">
        <v>14932</v>
      </c>
      <c r="I449" s="513" t="s">
        <v>36</v>
      </c>
      <c r="J449" s="263"/>
      <c r="K449" s="263"/>
      <c r="L449" s="251"/>
      <c r="M449" s="251"/>
      <c r="N449" s="251"/>
      <c r="O449" s="251"/>
      <c r="P449" s="251"/>
      <c r="Q449" s="251"/>
      <c r="R449" s="251"/>
      <c r="S449" s="251"/>
      <c r="T449" s="251"/>
      <c r="U449" s="251"/>
      <c r="V449" s="251"/>
      <c r="W449" s="251"/>
      <c r="X449" s="251"/>
      <c r="Y449" s="251"/>
      <c r="Z449" s="251"/>
      <c r="AA449" s="251"/>
    </row>
    <row r="450" ht="14.25" customHeight="1">
      <c r="A450" s="251"/>
      <c r="B450" s="263"/>
      <c r="C450" s="498" t="s">
        <v>14933</v>
      </c>
      <c r="D450" s="251"/>
      <c r="E450" s="500"/>
      <c r="F450" s="500" t="s">
        <v>14884</v>
      </c>
      <c r="G450" s="500" t="s">
        <v>14934</v>
      </c>
      <c r="H450" s="500" t="s">
        <v>14935</v>
      </c>
      <c r="I450" s="513" t="s">
        <v>36</v>
      </c>
      <c r="J450" s="263"/>
      <c r="K450" s="263"/>
      <c r="L450" s="251"/>
      <c r="M450" s="251"/>
      <c r="N450" s="251"/>
      <c r="O450" s="251"/>
      <c r="P450" s="251"/>
      <c r="Q450" s="251"/>
      <c r="R450" s="251"/>
      <c r="S450" s="251"/>
      <c r="T450" s="251"/>
      <c r="U450" s="251"/>
      <c r="V450" s="251"/>
      <c r="W450" s="251"/>
      <c r="X450" s="251"/>
      <c r="Y450" s="251"/>
      <c r="Z450" s="251"/>
      <c r="AA450" s="251"/>
    </row>
    <row r="451" ht="14.25" customHeight="1">
      <c r="A451" s="251"/>
      <c r="B451" s="263"/>
      <c r="C451" s="498" t="s">
        <v>14936</v>
      </c>
      <c r="D451" s="251"/>
      <c r="E451" s="254" t="s">
        <v>13705</v>
      </c>
      <c r="F451" s="500" t="s">
        <v>14937</v>
      </c>
      <c r="G451" s="500" t="s">
        <v>14938</v>
      </c>
      <c r="H451" s="500" t="s">
        <v>14939</v>
      </c>
      <c r="I451" s="513" t="s">
        <v>317</v>
      </c>
      <c r="J451" s="263"/>
      <c r="K451" s="500" t="s">
        <v>14940</v>
      </c>
      <c r="L451" s="251"/>
      <c r="M451" s="251"/>
      <c r="N451" s="251"/>
      <c r="O451" s="251"/>
      <c r="P451" s="251"/>
      <c r="Q451" s="251"/>
      <c r="R451" s="251"/>
      <c r="S451" s="251"/>
      <c r="T451" s="251"/>
      <c r="U451" s="251"/>
      <c r="V451" s="251"/>
      <c r="W451" s="251"/>
      <c r="X451" s="251"/>
      <c r="Y451" s="251"/>
      <c r="Z451" s="251"/>
      <c r="AA451" s="251"/>
    </row>
    <row r="452" ht="14.25" customHeight="1">
      <c r="A452" s="251"/>
      <c r="B452" s="263"/>
      <c r="C452" s="498" t="s">
        <v>14941</v>
      </c>
      <c r="D452" s="251"/>
      <c r="E452" s="254" t="s">
        <v>13705</v>
      </c>
      <c r="F452" s="500" t="s">
        <v>14942</v>
      </c>
      <c r="G452" s="500" t="s">
        <v>14938</v>
      </c>
      <c r="H452" s="500" t="s">
        <v>14939</v>
      </c>
      <c r="I452" s="513" t="s">
        <v>317</v>
      </c>
      <c r="J452" s="263"/>
      <c r="K452" s="500" t="s">
        <v>14943</v>
      </c>
      <c r="L452" s="251"/>
      <c r="M452" s="251"/>
      <c r="N452" s="251"/>
      <c r="O452" s="251"/>
      <c r="P452" s="251"/>
      <c r="Q452" s="251"/>
      <c r="R452" s="251"/>
      <c r="S452" s="251"/>
      <c r="T452" s="251"/>
      <c r="U452" s="251"/>
      <c r="V452" s="251"/>
      <c r="W452" s="251"/>
      <c r="X452" s="251"/>
      <c r="Y452" s="251"/>
      <c r="Z452" s="251"/>
      <c r="AA452" s="251"/>
    </row>
    <row r="453" ht="14.25" customHeight="1">
      <c r="A453" s="251"/>
      <c r="B453" s="263"/>
      <c r="C453" s="498" t="s">
        <v>14944</v>
      </c>
      <c r="D453" s="251"/>
      <c r="E453" s="254" t="s">
        <v>13705</v>
      </c>
      <c r="F453" s="500" t="s">
        <v>14945</v>
      </c>
      <c r="G453" s="500" t="s">
        <v>14938</v>
      </c>
      <c r="H453" s="500" t="s">
        <v>14939</v>
      </c>
      <c r="I453" s="513" t="s">
        <v>317</v>
      </c>
      <c r="J453" s="263"/>
      <c r="K453" s="500" t="s">
        <v>14943</v>
      </c>
      <c r="L453" s="251"/>
      <c r="M453" s="251"/>
      <c r="N453" s="251"/>
      <c r="O453" s="251"/>
      <c r="P453" s="251"/>
      <c r="Q453" s="251"/>
      <c r="R453" s="251"/>
      <c r="S453" s="251"/>
      <c r="T453" s="251"/>
      <c r="U453" s="251"/>
      <c r="V453" s="251"/>
      <c r="W453" s="251"/>
      <c r="X453" s="251"/>
      <c r="Y453" s="251"/>
      <c r="Z453" s="251"/>
      <c r="AA453" s="251"/>
    </row>
    <row r="454" ht="14.25" customHeight="1">
      <c r="A454" s="251"/>
      <c r="B454" s="263"/>
      <c r="C454" s="498" t="s">
        <v>14946</v>
      </c>
      <c r="D454" s="251"/>
      <c r="E454" s="254" t="s">
        <v>13705</v>
      </c>
      <c r="F454" s="500" t="s">
        <v>14947</v>
      </c>
      <c r="G454" s="500" t="s">
        <v>14938</v>
      </c>
      <c r="H454" s="500" t="s">
        <v>14939</v>
      </c>
      <c r="I454" s="513" t="s">
        <v>317</v>
      </c>
      <c r="J454" s="263"/>
      <c r="K454" s="500" t="s">
        <v>14943</v>
      </c>
      <c r="L454" s="251"/>
      <c r="M454" s="251"/>
      <c r="N454" s="251"/>
      <c r="O454" s="251"/>
      <c r="P454" s="251"/>
      <c r="Q454" s="251"/>
      <c r="R454" s="251"/>
      <c r="S454" s="251"/>
      <c r="T454" s="251"/>
      <c r="U454" s="251"/>
      <c r="V454" s="251"/>
      <c r="W454" s="251"/>
      <c r="X454" s="251"/>
      <c r="Y454" s="251"/>
      <c r="Z454" s="251"/>
      <c r="AA454" s="251"/>
    </row>
    <row r="455" ht="14.25" customHeight="1">
      <c r="A455" s="251"/>
      <c r="B455" s="263"/>
      <c r="C455" s="498" t="s">
        <v>14948</v>
      </c>
      <c r="D455" s="251"/>
      <c r="E455" s="254" t="s">
        <v>13705</v>
      </c>
      <c r="F455" s="500" t="s">
        <v>14949</v>
      </c>
      <c r="G455" s="500" t="s">
        <v>14938</v>
      </c>
      <c r="H455" s="500" t="s">
        <v>14939</v>
      </c>
      <c r="I455" s="513" t="s">
        <v>317</v>
      </c>
      <c r="J455" s="263"/>
      <c r="K455" s="500" t="s">
        <v>14943</v>
      </c>
      <c r="L455" s="251"/>
      <c r="M455" s="251"/>
      <c r="N455" s="251"/>
      <c r="O455" s="251"/>
      <c r="P455" s="251"/>
      <c r="Q455" s="251"/>
      <c r="R455" s="251"/>
      <c r="S455" s="251"/>
      <c r="T455" s="251"/>
      <c r="U455" s="251"/>
      <c r="V455" s="251"/>
      <c r="W455" s="251"/>
      <c r="X455" s="251"/>
      <c r="Y455" s="251"/>
      <c r="Z455" s="251"/>
      <c r="AA455" s="251"/>
    </row>
    <row r="456" ht="14.25" customHeight="1">
      <c r="A456" s="251"/>
      <c r="B456" s="263"/>
      <c r="C456" s="498" t="s">
        <v>14950</v>
      </c>
      <c r="D456" s="251"/>
      <c r="E456" s="254" t="s">
        <v>13705</v>
      </c>
      <c r="F456" s="500" t="s">
        <v>14951</v>
      </c>
      <c r="G456" s="500" t="s">
        <v>14938</v>
      </c>
      <c r="H456" s="500" t="s">
        <v>14939</v>
      </c>
      <c r="I456" s="513" t="s">
        <v>317</v>
      </c>
      <c r="J456" s="263"/>
      <c r="K456" s="500" t="s">
        <v>14943</v>
      </c>
      <c r="L456" s="251"/>
      <c r="M456" s="251"/>
      <c r="N456" s="251"/>
      <c r="O456" s="251"/>
      <c r="P456" s="251"/>
      <c r="Q456" s="251"/>
      <c r="R456" s="251"/>
      <c r="S456" s="251"/>
      <c r="T456" s="251"/>
      <c r="U456" s="251"/>
      <c r="V456" s="251"/>
      <c r="W456" s="251"/>
      <c r="X456" s="251"/>
      <c r="Y456" s="251"/>
      <c r="Z456" s="251"/>
      <c r="AA456" s="251"/>
    </row>
    <row r="457" ht="14.25" customHeight="1">
      <c r="A457" s="251"/>
      <c r="B457" s="263"/>
      <c r="C457" s="498" t="s">
        <v>14952</v>
      </c>
      <c r="D457" s="251"/>
      <c r="E457" s="254" t="s">
        <v>13705</v>
      </c>
      <c r="F457" s="500" t="s">
        <v>14953</v>
      </c>
      <c r="G457" s="500" t="s">
        <v>14938</v>
      </c>
      <c r="H457" s="500" t="s">
        <v>14939</v>
      </c>
      <c r="I457" s="513" t="s">
        <v>317</v>
      </c>
      <c r="J457" s="263"/>
      <c r="K457" s="500" t="s">
        <v>14943</v>
      </c>
      <c r="L457" s="251"/>
      <c r="M457" s="251"/>
      <c r="N457" s="251"/>
      <c r="O457" s="251"/>
      <c r="P457" s="251"/>
      <c r="Q457" s="251"/>
      <c r="R457" s="251"/>
      <c r="S457" s="251"/>
      <c r="T457" s="251"/>
      <c r="U457" s="251"/>
      <c r="V457" s="251"/>
      <c r="W457" s="251"/>
      <c r="X457" s="251"/>
      <c r="Y457" s="251"/>
      <c r="Z457" s="251"/>
      <c r="AA457" s="251"/>
    </row>
    <row r="458" ht="14.25" customHeight="1">
      <c r="A458" s="251"/>
      <c r="B458" s="263"/>
      <c r="C458" s="498" t="s">
        <v>14954</v>
      </c>
      <c r="D458" s="251"/>
      <c r="E458" s="514" t="s">
        <v>13718</v>
      </c>
      <c r="F458" s="500" t="s">
        <v>14955</v>
      </c>
      <c r="G458" s="500" t="s">
        <v>14956</v>
      </c>
      <c r="H458" s="515" t="s">
        <v>14957</v>
      </c>
      <c r="I458" s="513" t="s">
        <v>36</v>
      </c>
      <c r="J458" s="263"/>
      <c r="K458" s="263"/>
      <c r="L458" s="251"/>
      <c r="M458" s="251"/>
      <c r="N458" s="251"/>
      <c r="O458" s="251"/>
      <c r="P458" s="251"/>
      <c r="Q458" s="251"/>
      <c r="R458" s="251"/>
      <c r="S458" s="251"/>
      <c r="T458" s="251"/>
      <c r="U458" s="251"/>
      <c r="V458" s="251"/>
      <c r="W458" s="251"/>
      <c r="X458" s="251"/>
      <c r="Y458" s="251"/>
      <c r="Z458" s="251"/>
      <c r="AA458" s="251"/>
    </row>
    <row r="459" ht="14.25" customHeight="1">
      <c r="A459" s="251"/>
      <c r="B459" s="263"/>
      <c r="C459" s="498" t="s">
        <v>14958</v>
      </c>
      <c r="D459" s="251"/>
      <c r="E459" s="514" t="s">
        <v>13718</v>
      </c>
      <c r="F459" s="500" t="s">
        <v>14959</v>
      </c>
      <c r="G459" s="500" t="s">
        <v>14960</v>
      </c>
      <c r="H459" s="515" t="s">
        <v>14961</v>
      </c>
      <c r="I459" s="513" t="s">
        <v>36</v>
      </c>
      <c r="J459" s="263"/>
      <c r="K459" s="263"/>
      <c r="L459" s="251"/>
      <c r="M459" s="251"/>
      <c r="N459" s="251"/>
      <c r="O459" s="251"/>
      <c r="P459" s="251"/>
      <c r="Q459" s="251"/>
      <c r="R459" s="251"/>
      <c r="S459" s="251"/>
      <c r="T459" s="251"/>
      <c r="U459" s="251"/>
      <c r="V459" s="251"/>
      <c r="W459" s="251"/>
      <c r="X459" s="251"/>
      <c r="Y459" s="251"/>
      <c r="Z459" s="251"/>
      <c r="AA459" s="251"/>
    </row>
    <row r="460" ht="14.25" customHeight="1">
      <c r="A460" s="251"/>
      <c r="B460" s="263"/>
      <c r="C460" s="498" t="s">
        <v>14962</v>
      </c>
      <c r="D460" s="251"/>
      <c r="E460" s="514" t="s">
        <v>13718</v>
      </c>
      <c r="F460" s="500" t="s">
        <v>14959</v>
      </c>
      <c r="G460" s="500" t="s">
        <v>14963</v>
      </c>
      <c r="H460" s="515" t="s">
        <v>14961</v>
      </c>
      <c r="I460" s="513" t="s">
        <v>36</v>
      </c>
      <c r="J460" s="263"/>
      <c r="K460" s="263"/>
      <c r="L460" s="251"/>
      <c r="M460" s="251"/>
      <c r="N460" s="251"/>
      <c r="O460" s="251"/>
      <c r="P460" s="251"/>
      <c r="Q460" s="251"/>
      <c r="R460" s="251"/>
      <c r="S460" s="251"/>
      <c r="T460" s="251"/>
      <c r="U460" s="251"/>
      <c r="V460" s="251"/>
      <c r="W460" s="251"/>
      <c r="X460" s="251"/>
      <c r="Y460" s="251"/>
      <c r="Z460" s="251"/>
      <c r="AA460" s="251"/>
    </row>
    <row r="461" ht="14.25" customHeight="1">
      <c r="A461" s="251"/>
      <c r="B461" s="263"/>
      <c r="C461" s="498" t="s">
        <v>14964</v>
      </c>
      <c r="D461" s="251"/>
      <c r="E461" s="519" t="s">
        <v>13670</v>
      </c>
      <c r="F461" s="500" t="s">
        <v>14965</v>
      </c>
      <c r="G461" s="515" t="s">
        <v>14966</v>
      </c>
      <c r="H461" s="500" t="s">
        <v>14967</v>
      </c>
      <c r="I461" s="520" t="s">
        <v>36</v>
      </c>
      <c r="J461" s="263"/>
      <c r="K461" s="263"/>
      <c r="L461" s="251"/>
      <c r="M461" s="251"/>
      <c r="N461" s="251"/>
      <c r="O461" s="251"/>
      <c r="P461" s="251"/>
      <c r="Q461" s="251"/>
      <c r="R461" s="251"/>
      <c r="S461" s="251"/>
      <c r="T461" s="251"/>
      <c r="U461" s="251"/>
      <c r="V461" s="251"/>
      <c r="W461" s="251"/>
      <c r="X461" s="251"/>
      <c r="Y461" s="251"/>
      <c r="Z461" s="251"/>
      <c r="AA461" s="251"/>
    </row>
    <row r="462" ht="14.25" customHeight="1">
      <c r="A462" s="251"/>
      <c r="B462" s="263"/>
      <c r="C462" s="498" t="s">
        <v>14968</v>
      </c>
      <c r="D462" s="251"/>
      <c r="E462" s="519" t="s">
        <v>13670</v>
      </c>
      <c r="F462" s="518" t="s">
        <v>14969</v>
      </c>
      <c r="G462" s="500" t="s">
        <v>14970</v>
      </c>
      <c r="H462" s="500" t="s">
        <v>14971</v>
      </c>
      <c r="I462" s="520" t="s">
        <v>36</v>
      </c>
      <c r="J462" s="263"/>
      <c r="K462" s="263"/>
      <c r="L462" s="251"/>
      <c r="M462" s="251"/>
      <c r="N462" s="251"/>
      <c r="O462" s="251"/>
      <c r="P462" s="251"/>
      <c r="Q462" s="251"/>
      <c r="R462" s="251"/>
      <c r="S462" s="251"/>
      <c r="T462" s="251"/>
      <c r="U462" s="251"/>
      <c r="V462" s="251"/>
      <c r="W462" s="251"/>
      <c r="X462" s="251"/>
      <c r="Y462" s="251"/>
      <c r="Z462" s="251"/>
      <c r="AA462" s="251"/>
    </row>
    <row r="463" ht="14.25" customHeight="1">
      <c r="A463" s="251"/>
      <c r="B463" s="263"/>
      <c r="C463" s="498" t="s">
        <v>14972</v>
      </c>
      <c r="D463" s="251"/>
      <c r="E463" s="519" t="s">
        <v>13670</v>
      </c>
      <c r="F463" s="500" t="s">
        <v>14973</v>
      </c>
      <c r="G463" s="500" t="s">
        <v>14974</v>
      </c>
      <c r="H463" s="500" t="s">
        <v>14975</v>
      </c>
      <c r="I463" s="520" t="s">
        <v>36</v>
      </c>
      <c r="J463" s="263"/>
      <c r="K463" s="263"/>
      <c r="L463" s="251"/>
      <c r="M463" s="251"/>
      <c r="N463" s="251"/>
      <c r="O463" s="251"/>
      <c r="P463" s="251"/>
      <c r="Q463" s="251"/>
      <c r="R463" s="251"/>
      <c r="S463" s="251"/>
      <c r="T463" s="251"/>
      <c r="U463" s="251"/>
      <c r="V463" s="251"/>
      <c r="W463" s="251"/>
      <c r="X463" s="251"/>
      <c r="Y463" s="251"/>
      <c r="Z463" s="251"/>
      <c r="AA463" s="251"/>
    </row>
    <row r="464" ht="14.25" customHeight="1">
      <c r="A464" s="251"/>
      <c r="B464" s="263"/>
      <c r="C464" s="498" t="s">
        <v>14976</v>
      </c>
      <c r="D464" s="251"/>
      <c r="E464" s="519" t="s">
        <v>13670</v>
      </c>
      <c r="F464" s="515" t="s">
        <v>14977</v>
      </c>
      <c r="G464" s="515" t="s">
        <v>14978</v>
      </c>
      <c r="H464" s="515" t="s">
        <v>14979</v>
      </c>
      <c r="I464" s="520" t="s">
        <v>317</v>
      </c>
      <c r="J464" s="263"/>
      <c r="K464" s="263"/>
      <c r="L464" s="251"/>
      <c r="M464" s="251"/>
      <c r="N464" s="251"/>
      <c r="O464" s="251"/>
      <c r="P464" s="251"/>
      <c r="Q464" s="251"/>
      <c r="R464" s="251"/>
      <c r="S464" s="251"/>
      <c r="T464" s="251"/>
      <c r="U464" s="251"/>
      <c r="V464" s="251"/>
      <c r="W464" s="251"/>
      <c r="X464" s="251"/>
      <c r="Y464" s="251"/>
      <c r="Z464" s="251"/>
      <c r="AA464" s="251"/>
    </row>
    <row r="465" ht="14.25" customHeight="1">
      <c r="A465" s="251"/>
      <c r="B465" s="263"/>
      <c r="C465" s="498" t="s">
        <v>14980</v>
      </c>
      <c r="D465" s="251"/>
      <c r="E465" s="137" t="s">
        <v>13678</v>
      </c>
      <c r="F465" s="500" t="s">
        <v>14981</v>
      </c>
      <c r="G465" s="500" t="s">
        <v>14982</v>
      </c>
      <c r="H465" s="500" t="s">
        <v>14983</v>
      </c>
      <c r="I465" s="520" t="s">
        <v>317</v>
      </c>
      <c r="J465" s="263"/>
      <c r="K465" s="500" t="s">
        <v>14984</v>
      </c>
      <c r="L465" s="251"/>
      <c r="M465" s="251"/>
      <c r="N465" s="251"/>
      <c r="O465" s="251"/>
      <c r="P465" s="251"/>
      <c r="Q465" s="251"/>
      <c r="R465" s="251"/>
      <c r="S465" s="251"/>
      <c r="T465" s="251"/>
      <c r="U465" s="251"/>
      <c r="V465" s="251"/>
      <c r="W465" s="251"/>
      <c r="X465" s="251"/>
      <c r="Y465" s="251"/>
      <c r="Z465" s="251"/>
      <c r="AA465" s="251"/>
    </row>
    <row r="466" ht="14.25" customHeight="1">
      <c r="A466" s="251"/>
      <c r="B466" s="263"/>
      <c r="C466" s="498" t="s">
        <v>14985</v>
      </c>
      <c r="D466" s="251"/>
      <c r="E466" s="137" t="s">
        <v>13678</v>
      </c>
      <c r="F466" s="500" t="s">
        <v>14981</v>
      </c>
      <c r="G466" s="500" t="s">
        <v>14986</v>
      </c>
      <c r="H466" s="500" t="s">
        <v>14987</v>
      </c>
      <c r="I466" s="520" t="s">
        <v>36</v>
      </c>
      <c r="J466" s="263"/>
      <c r="K466" s="521"/>
      <c r="L466" s="251"/>
      <c r="M466" s="251"/>
      <c r="N466" s="251"/>
      <c r="O466" s="251"/>
      <c r="P466" s="251"/>
      <c r="Q466" s="251"/>
      <c r="R466" s="251"/>
      <c r="S466" s="251"/>
      <c r="T466" s="251"/>
      <c r="U466" s="251"/>
      <c r="V466" s="251"/>
      <c r="W466" s="251"/>
      <c r="X466" s="251"/>
      <c r="Y466" s="251"/>
      <c r="Z466" s="251"/>
      <c r="AA466" s="251"/>
    </row>
    <row r="467" ht="14.25" customHeight="1">
      <c r="A467" s="251"/>
      <c r="B467" s="263"/>
      <c r="C467" s="498" t="s">
        <v>14988</v>
      </c>
      <c r="D467" s="251"/>
      <c r="E467" s="137" t="s">
        <v>13678</v>
      </c>
      <c r="F467" s="500" t="s">
        <v>14981</v>
      </c>
      <c r="G467" s="500" t="s">
        <v>14989</v>
      </c>
      <c r="H467" s="500" t="s">
        <v>14990</v>
      </c>
      <c r="I467" s="520" t="s">
        <v>317</v>
      </c>
      <c r="J467" s="263"/>
      <c r="K467" s="500" t="s">
        <v>14984</v>
      </c>
      <c r="L467" s="251"/>
      <c r="M467" s="251"/>
      <c r="N467" s="251"/>
      <c r="O467" s="251"/>
      <c r="P467" s="251"/>
      <c r="Q467" s="251"/>
      <c r="R467" s="251"/>
      <c r="S467" s="251"/>
      <c r="T467" s="251"/>
      <c r="U467" s="251"/>
      <c r="V467" s="251"/>
      <c r="W467" s="251"/>
      <c r="X467" s="251"/>
      <c r="Y467" s="251"/>
      <c r="Z467" s="251"/>
      <c r="AA467" s="251"/>
    </row>
    <row r="468" ht="14.25" customHeight="1">
      <c r="A468" s="251"/>
      <c r="B468" s="263"/>
      <c r="C468" s="498" t="s">
        <v>14991</v>
      </c>
      <c r="D468" s="251"/>
      <c r="E468" s="514" t="s">
        <v>14992</v>
      </c>
      <c r="F468" s="500" t="s">
        <v>14993</v>
      </c>
      <c r="G468" s="500" t="s">
        <v>14994</v>
      </c>
      <c r="H468" s="500" t="s">
        <v>14995</v>
      </c>
      <c r="I468" s="520" t="s">
        <v>36</v>
      </c>
      <c r="J468" s="263"/>
      <c r="K468" s="263"/>
      <c r="L468" s="251"/>
      <c r="M468" s="251"/>
      <c r="N468" s="251"/>
      <c r="O468" s="251"/>
      <c r="P468" s="251"/>
      <c r="Q468" s="251"/>
      <c r="R468" s="251"/>
      <c r="S468" s="251"/>
      <c r="T468" s="251"/>
      <c r="U468" s="251"/>
      <c r="V468" s="251"/>
      <c r="W468" s="251"/>
      <c r="X468" s="251"/>
      <c r="Y468" s="251"/>
      <c r="Z468" s="251"/>
      <c r="AA468" s="251"/>
    </row>
    <row r="469" ht="14.25" customHeight="1">
      <c r="A469" s="251"/>
      <c r="B469" s="263"/>
      <c r="C469" s="498" t="s">
        <v>14996</v>
      </c>
      <c r="D469" s="251"/>
      <c r="E469" s="514" t="s">
        <v>14992</v>
      </c>
      <c r="F469" s="500" t="s">
        <v>14997</v>
      </c>
      <c r="G469" s="500" t="s">
        <v>14998</v>
      </c>
      <c r="H469" s="500" t="s">
        <v>14999</v>
      </c>
      <c r="I469" s="520" t="s">
        <v>36</v>
      </c>
      <c r="J469" s="263"/>
      <c r="K469" s="263"/>
      <c r="L469" s="251"/>
      <c r="M469" s="251"/>
      <c r="N469" s="251"/>
      <c r="O469" s="251"/>
      <c r="P469" s="251"/>
      <c r="Q469" s="251"/>
      <c r="R469" s="251"/>
      <c r="S469" s="251"/>
      <c r="T469" s="251"/>
      <c r="U469" s="251"/>
      <c r="V469" s="251"/>
      <c r="W469" s="251"/>
      <c r="X469" s="251"/>
      <c r="Y469" s="251"/>
      <c r="Z469" s="251"/>
      <c r="AA469" s="251"/>
    </row>
    <row r="470" ht="14.25" customHeight="1">
      <c r="A470" s="251"/>
      <c r="B470" s="263"/>
      <c r="C470" s="498" t="s">
        <v>15000</v>
      </c>
      <c r="D470" s="251"/>
      <c r="E470" s="514" t="s">
        <v>14992</v>
      </c>
      <c r="F470" s="500" t="s">
        <v>15001</v>
      </c>
      <c r="G470" s="500" t="s">
        <v>15002</v>
      </c>
      <c r="H470" s="500" t="s">
        <v>15003</v>
      </c>
      <c r="I470" s="520" t="s">
        <v>36</v>
      </c>
      <c r="J470" s="263"/>
      <c r="K470" s="263"/>
      <c r="L470" s="251"/>
      <c r="M470" s="251"/>
      <c r="N470" s="251"/>
      <c r="O470" s="251"/>
      <c r="P470" s="251"/>
      <c r="Q470" s="251"/>
      <c r="R470" s="251"/>
      <c r="S470" s="251"/>
      <c r="T470" s="251"/>
      <c r="U470" s="251"/>
      <c r="V470" s="251"/>
      <c r="W470" s="251"/>
      <c r="X470" s="251"/>
      <c r="Y470" s="251"/>
      <c r="Z470" s="251"/>
      <c r="AA470" s="251"/>
    </row>
    <row r="471" ht="14.25" customHeight="1">
      <c r="A471" s="251"/>
      <c r="B471" s="263"/>
      <c r="C471" s="498" t="s">
        <v>15004</v>
      </c>
      <c r="D471" s="251"/>
      <c r="E471" s="514" t="s">
        <v>14992</v>
      </c>
      <c r="F471" s="500" t="s">
        <v>15005</v>
      </c>
      <c r="G471" s="500" t="s">
        <v>15006</v>
      </c>
      <c r="H471" s="500" t="s">
        <v>15007</v>
      </c>
      <c r="I471" s="520" t="s">
        <v>36</v>
      </c>
      <c r="J471" s="263"/>
      <c r="K471" s="263"/>
      <c r="L471" s="251"/>
      <c r="M471" s="251"/>
      <c r="N471" s="251"/>
      <c r="O471" s="251"/>
      <c r="P471" s="251"/>
      <c r="Q471" s="251"/>
      <c r="R471" s="251"/>
      <c r="S471" s="251"/>
      <c r="T471" s="251"/>
      <c r="U471" s="251"/>
      <c r="V471" s="251"/>
      <c r="W471" s="251"/>
      <c r="X471" s="251"/>
      <c r="Y471" s="251"/>
      <c r="Z471" s="251"/>
      <c r="AA471" s="251"/>
    </row>
    <row r="472" ht="14.25" customHeight="1">
      <c r="A472" s="251"/>
      <c r="B472" s="263"/>
      <c r="C472" s="498" t="s">
        <v>15008</v>
      </c>
      <c r="D472" s="251"/>
      <c r="E472" s="514" t="s">
        <v>14992</v>
      </c>
      <c r="F472" s="500" t="s">
        <v>15009</v>
      </c>
      <c r="G472" s="500" t="s">
        <v>15010</v>
      </c>
      <c r="H472" s="500" t="s">
        <v>15007</v>
      </c>
      <c r="I472" s="520" t="s">
        <v>36</v>
      </c>
      <c r="J472" s="263"/>
      <c r="K472" s="263"/>
      <c r="L472" s="251"/>
      <c r="M472" s="251"/>
      <c r="N472" s="251"/>
      <c r="O472" s="251"/>
      <c r="P472" s="251"/>
      <c r="Q472" s="251"/>
      <c r="R472" s="251"/>
      <c r="S472" s="251"/>
      <c r="T472" s="251"/>
      <c r="U472" s="251"/>
      <c r="V472" s="251"/>
      <c r="W472" s="251"/>
      <c r="X472" s="251"/>
      <c r="Y472" s="251"/>
      <c r="Z472" s="251"/>
      <c r="AA472" s="251"/>
    </row>
    <row r="473" ht="14.25" customHeight="1">
      <c r="A473" s="251"/>
      <c r="B473" s="263"/>
      <c r="C473" s="498" t="s">
        <v>15011</v>
      </c>
      <c r="D473" s="251"/>
      <c r="E473" s="514" t="s">
        <v>14992</v>
      </c>
      <c r="F473" s="500" t="s">
        <v>15012</v>
      </c>
      <c r="G473" s="500" t="s">
        <v>15013</v>
      </c>
      <c r="H473" s="500" t="s">
        <v>15014</v>
      </c>
      <c r="I473" s="513" t="s">
        <v>36</v>
      </c>
      <c r="J473" s="263"/>
      <c r="K473" s="263"/>
      <c r="L473" s="251"/>
      <c r="M473" s="251"/>
      <c r="N473" s="251"/>
      <c r="O473" s="251"/>
      <c r="P473" s="251"/>
      <c r="Q473" s="251"/>
      <c r="R473" s="251"/>
      <c r="S473" s="251"/>
      <c r="T473" s="251"/>
      <c r="U473" s="251"/>
      <c r="V473" s="251"/>
      <c r="W473" s="251"/>
      <c r="X473" s="251"/>
      <c r="Y473" s="251"/>
      <c r="Z473" s="251"/>
      <c r="AA473" s="251"/>
    </row>
    <row r="474" ht="14.25" customHeight="1">
      <c r="A474" s="251"/>
      <c r="B474" s="263"/>
      <c r="C474" s="498" t="s">
        <v>15015</v>
      </c>
      <c r="D474" s="251"/>
      <c r="E474" s="514" t="s">
        <v>14992</v>
      </c>
      <c r="F474" s="500" t="s">
        <v>15016</v>
      </c>
      <c r="G474" s="500" t="s">
        <v>15017</v>
      </c>
      <c r="H474" s="500" t="s">
        <v>15018</v>
      </c>
      <c r="I474" s="513" t="s">
        <v>36</v>
      </c>
      <c r="J474" s="263"/>
      <c r="K474" s="263"/>
      <c r="L474" s="251"/>
      <c r="M474" s="251"/>
      <c r="N474" s="251"/>
      <c r="O474" s="251"/>
      <c r="P474" s="251"/>
      <c r="Q474" s="251"/>
      <c r="R474" s="251"/>
      <c r="S474" s="251"/>
      <c r="T474" s="251"/>
      <c r="U474" s="251"/>
      <c r="V474" s="251"/>
      <c r="W474" s="251"/>
      <c r="X474" s="251"/>
      <c r="Y474" s="251"/>
      <c r="Z474" s="251"/>
      <c r="AA474" s="251"/>
    </row>
    <row r="475" ht="14.25" customHeight="1">
      <c r="A475" s="251"/>
      <c r="B475" s="263"/>
      <c r="C475" s="498" t="s">
        <v>15019</v>
      </c>
      <c r="D475" s="251"/>
      <c r="E475" s="514" t="s">
        <v>14992</v>
      </c>
      <c r="F475" s="500" t="s">
        <v>15020</v>
      </c>
      <c r="G475" s="500" t="s">
        <v>15021</v>
      </c>
      <c r="H475" s="500" t="s">
        <v>15022</v>
      </c>
      <c r="I475" s="513" t="s">
        <v>36</v>
      </c>
      <c r="J475" s="263"/>
      <c r="K475" s="263"/>
      <c r="L475" s="251"/>
      <c r="M475" s="251"/>
      <c r="N475" s="251"/>
      <c r="O475" s="251"/>
      <c r="P475" s="251"/>
      <c r="Q475" s="251"/>
      <c r="R475" s="251"/>
      <c r="S475" s="251"/>
      <c r="T475" s="251"/>
      <c r="U475" s="251"/>
      <c r="V475" s="251"/>
      <c r="W475" s="251"/>
      <c r="X475" s="251"/>
      <c r="Y475" s="251"/>
      <c r="Z475" s="251"/>
      <c r="AA475" s="251"/>
    </row>
    <row r="476" ht="14.25" customHeight="1">
      <c r="A476" s="251"/>
      <c r="B476" s="263"/>
      <c r="C476" s="498" t="s">
        <v>15023</v>
      </c>
      <c r="D476" s="251"/>
      <c r="E476" s="514" t="s">
        <v>14992</v>
      </c>
      <c r="F476" s="500" t="s">
        <v>15024</v>
      </c>
      <c r="G476" s="500" t="s">
        <v>15025</v>
      </c>
      <c r="H476" s="500" t="s">
        <v>15026</v>
      </c>
      <c r="I476" s="513" t="s">
        <v>36</v>
      </c>
      <c r="J476" s="263"/>
      <c r="K476" s="263"/>
      <c r="L476" s="251"/>
      <c r="M476" s="251"/>
      <c r="N476" s="251"/>
      <c r="O476" s="251"/>
      <c r="P476" s="251"/>
      <c r="Q476" s="251"/>
      <c r="R476" s="251"/>
      <c r="S476" s="251"/>
      <c r="T476" s="251"/>
      <c r="U476" s="251"/>
      <c r="V476" s="251"/>
      <c r="W476" s="251"/>
      <c r="X476" s="251"/>
      <c r="Y476" s="251"/>
      <c r="Z476" s="251"/>
      <c r="AA476" s="251"/>
    </row>
    <row r="477" ht="14.25" customHeight="1">
      <c r="A477" s="251"/>
      <c r="B477" s="263"/>
      <c r="C477" s="498" t="s">
        <v>15027</v>
      </c>
      <c r="D477" s="251"/>
      <c r="E477" s="514" t="s">
        <v>14992</v>
      </c>
      <c r="F477" s="500" t="s">
        <v>15028</v>
      </c>
      <c r="G477" s="500" t="s">
        <v>15029</v>
      </c>
      <c r="H477" s="500" t="s">
        <v>15030</v>
      </c>
      <c r="I477" s="520" t="s">
        <v>36</v>
      </c>
      <c r="J477" s="263"/>
      <c r="K477" s="263"/>
      <c r="L477" s="251"/>
      <c r="M477" s="251"/>
      <c r="N477" s="251"/>
      <c r="O477" s="251"/>
      <c r="P477" s="251"/>
      <c r="Q477" s="251"/>
      <c r="R477" s="251"/>
      <c r="S477" s="251"/>
      <c r="T477" s="251"/>
      <c r="U477" s="251"/>
      <c r="V477" s="251"/>
      <c r="W477" s="251"/>
      <c r="X477" s="251"/>
      <c r="Y477" s="251"/>
      <c r="Z477" s="251"/>
      <c r="AA477" s="251"/>
    </row>
    <row r="478" ht="14.25" customHeight="1">
      <c r="A478" s="251"/>
      <c r="B478" s="263"/>
      <c r="C478" s="498" t="s">
        <v>15031</v>
      </c>
      <c r="D478" s="251"/>
      <c r="E478" s="514" t="s">
        <v>14992</v>
      </c>
      <c r="F478" s="500" t="s">
        <v>15032</v>
      </c>
      <c r="G478" s="500" t="s">
        <v>15033</v>
      </c>
      <c r="H478" s="500" t="s">
        <v>15034</v>
      </c>
      <c r="I478" s="522" t="s">
        <v>36</v>
      </c>
      <c r="J478" s="263"/>
      <c r="K478" s="263"/>
      <c r="L478" s="251"/>
      <c r="M478" s="251"/>
      <c r="N478" s="251"/>
      <c r="O478" s="251"/>
      <c r="P478" s="251"/>
      <c r="Q478" s="251"/>
      <c r="R478" s="251"/>
      <c r="S478" s="251"/>
      <c r="T478" s="251"/>
      <c r="U478" s="251"/>
      <c r="V478" s="251"/>
      <c r="W478" s="251"/>
      <c r="X478" s="251"/>
      <c r="Y478" s="251"/>
      <c r="Z478" s="251"/>
      <c r="AA478" s="251"/>
    </row>
    <row r="479" ht="14.25" customHeight="1">
      <c r="A479" s="251"/>
      <c r="B479" s="263"/>
      <c r="C479" s="498" t="s">
        <v>15035</v>
      </c>
      <c r="D479" s="251"/>
      <c r="E479" s="514" t="s">
        <v>14992</v>
      </c>
      <c r="F479" s="500" t="s">
        <v>15036</v>
      </c>
      <c r="G479" s="500" t="s">
        <v>15037</v>
      </c>
      <c r="H479" s="500" t="s">
        <v>15038</v>
      </c>
      <c r="I479" s="520" t="s">
        <v>36</v>
      </c>
      <c r="J479" s="263"/>
      <c r="K479" s="263"/>
      <c r="L479" s="251"/>
      <c r="M479" s="251"/>
      <c r="N479" s="251"/>
      <c r="O479" s="251"/>
      <c r="P479" s="251"/>
      <c r="Q479" s="251"/>
      <c r="R479" s="251"/>
      <c r="S479" s="251"/>
      <c r="T479" s="251"/>
      <c r="U479" s="251"/>
      <c r="V479" s="251"/>
      <c r="W479" s="251"/>
      <c r="X479" s="251"/>
      <c r="Y479" s="251"/>
      <c r="Z479" s="251"/>
      <c r="AA479" s="251"/>
    </row>
    <row r="480" ht="14.25" customHeight="1">
      <c r="A480" s="251"/>
      <c r="B480" s="263"/>
      <c r="C480" s="498" t="s">
        <v>15039</v>
      </c>
      <c r="D480" s="251"/>
      <c r="E480" s="514" t="s">
        <v>14992</v>
      </c>
      <c r="F480" s="500" t="s">
        <v>15040</v>
      </c>
      <c r="G480" s="515" t="s">
        <v>15041</v>
      </c>
      <c r="H480" s="500" t="s">
        <v>15042</v>
      </c>
      <c r="I480" s="520" t="s">
        <v>36</v>
      </c>
      <c r="J480" s="263"/>
      <c r="K480" s="263"/>
      <c r="L480" s="251"/>
      <c r="M480" s="251"/>
      <c r="N480" s="251"/>
      <c r="O480" s="251"/>
      <c r="P480" s="251"/>
      <c r="Q480" s="251"/>
      <c r="R480" s="251"/>
      <c r="S480" s="251"/>
      <c r="T480" s="251"/>
      <c r="U480" s="251"/>
      <c r="V480" s="251"/>
      <c r="W480" s="251"/>
      <c r="X480" s="251"/>
      <c r="Y480" s="251"/>
      <c r="Z480" s="251"/>
      <c r="AA480" s="251"/>
    </row>
    <row r="481" ht="14.25" customHeight="1">
      <c r="A481" s="251"/>
      <c r="B481" s="263"/>
      <c r="C481" s="498" t="s">
        <v>15043</v>
      </c>
      <c r="D481" s="251"/>
      <c r="E481" s="514" t="s">
        <v>14992</v>
      </c>
      <c r="F481" s="500" t="s">
        <v>15040</v>
      </c>
      <c r="G481" s="515" t="s">
        <v>15044</v>
      </c>
      <c r="H481" s="500" t="s">
        <v>15045</v>
      </c>
      <c r="I481" s="520" t="s">
        <v>36</v>
      </c>
      <c r="J481" s="263"/>
      <c r="K481" s="263"/>
      <c r="L481" s="251"/>
      <c r="M481" s="251"/>
      <c r="N481" s="251"/>
      <c r="O481" s="251"/>
      <c r="P481" s="251"/>
      <c r="Q481" s="251"/>
      <c r="R481" s="251"/>
      <c r="S481" s="251"/>
      <c r="T481" s="251"/>
      <c r="U481" s="251"/>
      <c r="V481" s="251"/>
      <c r="W481" s="251"/>
      <c r="X481" s="251"/>
      <c r="Y481" s="251"/>
      <c r="Z481" s="251"/>
      <c r="AA481" s="251"/>
    </row>
    <row r="482" ht="14.25" customHeight="1">
      <c r="A482" s="251"/>
      <c r="B482" s="263"/>
      <c r="C482" s="498" t="s">
        <v>15046</v>
      </c>
      <c r="D482" s="251"/>
      <c r="E482" s="514" t="s">
        <v>14992</v>
      </c>
      <c r="F482" s="500" t="s">
        <v>15047</v>
      </c>
      <c r="G482" s="515" t="s">
        <v>15048</v>
      </c>
      <c r="H482" s="500" t="s">
        <v>15049</v>
      </c>
      <c r="I482" s="520" t="s">
        <v>36</v>
      </c>
      <c r="J482" s="263"/>
      <c r="K482" s="263"/>
      <c r="L482" s="251"/>
      <c r="M482" s="251"/>
      <c r="N482" s="251"/>
      <c r="O482" s="251"/>
      <c r="P482" s="251"/>
      <c r="Q482" s="251"/>
      <c r="R482" s="251"/>
      <c r="S482" s="251"/>
      <c r="T482" s="251"/>
      <c r="U482" s="251"/>
      <c r="V482" s="251"/>
      <c r="W482" s="251"/>
      <c r="X482" s="251"/>
      <c r="Y482" s="251"/>
      <c r="Z482" s="251"/>
      <c r="AA482" s="251"/>
    </row>
    <row r="483" ht="14.25" customHeight="1">
      <c r="A483" s="251"/>
      <c r="B483" s="263"/>
      <c r="C483" s="498" t="s">
        <v>15050</v>
      </c>
      <c r="D483" s="251"/>
      <c r="E483" s="514" t="s">
        <v>14992</v>
      </c>
      <c r="F483" s="500" t="s">
        <v>15051</v>
      </c>
      <c r="G483" s="515" t="s">
        <v>15052</v>
      </c>
      <c r="H483" s="500" t="s">
        <v>15053</v>
      </c>
      <c r="I483" s="520" t="s">
        <v>36</v>
      </c>
      <c r="J483" s="263"/>
      <c r="K483" s="263"/>
      <c r="L483" s="251"/>
      <c r="M483" s="251"/>
      <c r="N483" s="251"/>
      <c r="O483" s="251"/>
      <c r="P483" s="251"/>
      <c r="Q483" s="251"/>
      <c r="R483" s="251"/>
      <c r="S483" s="251"/>
      <c r="T483" s="251"/>
      <c r="U483" s="251"/>
      <c r="V483" s="251"/>
      <c r="W483" s="251"/>
      <c r="X483" s="251"/>
      <c r="Y483" s="251"/>
      <c r="Z483" s="251"/>
      <c r="AA483" s="251"/>
    </row>
    <row r="484" ht="14.25" customHeight="1">
      <c r="A484" s="251"/>
      <c r="B484" s="263"/>
      <c r="C484" s="498" t="s">
        <v>15054</v>
      </c>
      <c r="D484" s="251"/>
      <c r="E484" s="514" t="s">
        <v>14992</v>
      </c>
      <c r="F484" s="500" t="s">
        <v>15055</v>
      </c>
      <c r="G484" s="515" t="s">
        <v>15056</v>
      </c>
      <c r="H484" s="500" t="s">
        <v>15057</v>
      </c>
      <c r="I484" s="520" t="s">
        <v>36</v>
      </c>
      <c r="J484" s="263"/>
      <c r="K484" s="263"/>
      <c r="L484" s="251"/>
      <c r="M484" s="251"/>
      <c r="N484" s="251"/>
      <c r="O484" s="251"/>
      <c r="P484" s="251"/>
      <c r="Q484" s="251"/>
      <c r="R484" s="251"/>
      <c r="S484" s="251"/>
      <c r="T484" s="251"/>
      <c r="U484" s="251"/>
      <c r="V484" s="251"/>
      <c r="W484" s="251"/>
      <c r="X484" s="251"/>
      <c r="Y484" s="251"/>
      <c r="Z484" s="251"/>
      <c r="AA484" s="251"/>
    </row>
    <row r="485" ht="14.25" customHeight="1">
      <c r="A485" s="251"/>
      <c r="B485" s="263"/>
      <c r="C485" s="498" t="s">
        <v>15058</v>
      </c>
      <c r="D485" s="251"/>
      <c r="E485" s="514" t="s">
        <v>14992</v>
      </c>
      <c r="F485" s="500" t="s">
        <v>15055</v>
      </c>
      <c r="G485" s="500" t="s">
        <v>15059</v>
      </c>
      <c r="H485" s="500" t="s">
        <v>15060</v>
      </c>
      <c r="I485" s="520" t="s">
        <v>36</v>
      </c>
      <c r="J485" s="263"/>
      <c r="K485" s="263"/>
      <c r="L485" s="251"/>
      <c r="M485" s="251"/>
      <c r="N485" s="251"/>
      <c r="O485" s="251"/>
      <c r="P485" s="251"/>
      <c r="Q485" s="251"/>
      <c r="R485" s="251"/>
      <c r="S485" s="251"/>
      <c r="T485" s="251"/>
      <c r="U485" s="251"/>
      <c r="V485" s="251"/>
      <c r="W485" s="251"/>
      <c r="X485" s="251"/>
      <c r="Y485" s="251"/>
      <c r="Z485" s="251"/>
      <c r="AA485" s="251"/>
    </row>
    <row r="486" ht="14.25" customHeight="1">
      <c r="A486" s="251"/>
      <c r="B486" s="263"/>
      <c r="C486" s="498" t="s">
        <v>15061</v>
      </c>
      <c r="D486" s="251"/>
      <c r="E486" s="514" t="s">
        <v>14992</v>
      </c>
      <c r="F486" s="500" t="s">
        <v>15062</v>
      </c>
      <c r="G486" s="500" t="s">
        <v>15063</v>
      </c>
      <c r="H486" s="500" t="s">
        <v>15064</v>
      </c>
      <c r="I486" s="520" t="s">
        <v>36</v>
      </c>
      <c r="J486" s="263"/>
      <c r="K486" s="263"/>
      <c r="L486" s="251"/>
      <c r="M486" s="251"/>
      <c r="N486" s="251"/>
      <c r="O486" s="251"/>
      <c r="P486" s="251"/>
      <c r="Q486" s="251"/>
      <c r="R486" s="251"/>
      <c r="S486" s="251"/>
      <c r="T486" s="251"/>
      <c r="U486" s="251"/>
      <c r="V486" s="251"/>
      <c r="W486" s="251"/>
      <c r="X486" s="251"/>
      <c r="Y486" s="251"/>
      <c r="Z486" s="251"/>
      <c r="AA486" s="251"/>
    </row>
    <row r="487" ht="14.25" customHeight="1">
      <c r="A487" s="251"/>
      <c r="B487" s="263"/>
      <c r="C487" s="498" t="s">
        <v>15065</v>
      </c>
      <c r="D487" s="251"/>
      <c r="E487" s="514" t="s">
        <v>13694</v>
      </c>
      <c r="F487" s="500" t="s">
        <v>15066</v>
      </c>
      <c r="G487" s="500" t="s">
        <v>15067</v>
      </c>
      <c r="H487" s="500" t="s">
        <v>15068</v>
      </c>
      <c r="I487" s="513" t="s">
        <v>317</v>
      </c>
      <c r="J487" s="263"/>
      <c r="K487" s="263"/>
      <c r="L487" s="251"/>
      <c r="M487" s="251"/>
      <c r="N487" s="251"/>
      <c r="O487" s="251"/>
      <c r="P487" s="251"/>
      <c r="Q487" s="251"/>
      <c r="R487" s="251"/>
      <c r="S487" s="251"/>
      <c r="T487" s="251"/>
      <c r="U487" s="251"/>
      <c r="V487" s="251"/>
      <c r="W487" s="251"/>
      <c r="X487" s="251"/>
      <c r="Y487" s="251"/>
      <c r="Z487" s="251"/>
      <c r="AA487" s="251"/>
    </row>
    <row r="488" ht="14.25" customHeight="1">
      <c r="A488" s="251"/>
      <c r="B488" s="263"/>
      <c r="C488" s="498" t="s">
        <v>15069</v>
      </c>
      <c r="D488" s="251"/>
      <c r="E488" s="514" t="s">
        <v>13694</v>
      </c>
      <c r="F488" s="500" t="s">
        <v>15070</v>
      </c>
      <c r="G488" s="500" t="s">
        <v>15071</v>
      </c>
      <c r="H488" s="500" t="s">
        <v>15072</v>
      </c>
      <c r="I488" s="513" t="s">
        <v>36</v>
      </c>
      <c r="J488" s="263"/>
      <c r="K488" s="263"/>
      <c r="L488" s="251"/>
      <c r="M488" s="251"/>
      <c r="N488" s="251"/>
      <c r="O488" s="251"/>
      <c r="P488" s="251"/>
      <c r="Q488" s="251"/>
      <c r="R488" s="251"/>
      <c r="S488" s="251"/>
      <c r="T488" s="251"/>
      <c r="U488" s="251"/>
      <c r="V488" s="251"/>
      <c r="W488" s="251"/>
      <c r="X488" s="251"/>
      <c r="Y488" s="251"/>
      <c r="Z488" s="251"/>
      <c r="AA488" s="251"/>
    </row>
    <row r="489" ht="14.25" customHeight="1">
      <c r="A489" s="251"/>
      <c r="B489" s="263"/>
      <c r="C489" s="498" t="s">
        <v>15073</v>
      </c>
      <c r="D489" s="251"/>
      <c r="E489" s="514" t="s">
        <v>13694</v>
      </c>
      <c r="F489" s="500" t="s">
        <v>15070</v>
      </c>
      <c r="G489" s="500" t="s">
        <v>15067</v>
      </c>
      <c r="H489" s="500" t="s">
        <v>15068</v>
      </c>
      <c r="I489" s="513" t="s">
        <v>317</v>
      </c>
      <c r="J489" s="263"/>
      <c r="K489" s="263"/>
      <c r="L489" s="251"/>
      <c r="M489" s="251"/>
      <c r="N489" s="251"/>
      <c r="O489" s="251"/>
      <c r="P489" s="251"/>
      <c r="Q489" s="251"/>
      <c r="R489" s="251"/>
      <c r="S489" s="251"/>
      <c r="T489" s="251"/>
      <c r="U489" s="251"/>
      <c r="V489" s="251"/>
      <c r="W489" s="251"/>
      <c r="X489" s="251"/>
      <c r="Y489" s="251"/>
      <c r="Z489" s="251"/>
      <c r="AA489" s="251"/>
    </row>
    <row r="490" ht="14.25" customHeight="1">
      <c r="A490" s="251"/>
      <c r="B490" s="263"/>
      <c r="C490" s="498" t="s">
        <v>15074</v>
      </c>
      <c r="D490" s="251"/>
      <c r="E490" s="514" t="s">
        <v>13694</v>
      </c>
      <c r="F490" s="500" t="s">
        <v>15066</v>
      </c>
      <c r="G490" s="500" t="s">
        <v>15075</v>
      </c>
      <c r="H490" s="500" t="s">
        <v>15076</v>
      </c>
      <c r="I490" s="513" t="s">
        <v>36</v>
      </c>
      <c r="J490" s="263"/>
      <c r="K490" s="263"/>
      <c r="L490" s="251"/>
      <c r="M490" s="251"/>
      <c r="N490" s="251"/>
      <c r="O490" s="251"/>
      <c r="P490" s="251"/>
      <c r="Q490" s="251"/>
      <c r="R490" s="251"/>
      <c r="S490" s="251"/>
      <c r="T490" s="251"/>
      <c r="U490" s="251"/>
      <c r="V490" s="251"/>
      <c r="W490" s="251"/>
      <c r="X490" s="251"/>
      <c r="Y490" s="251"/>
      <c r="Z490" s="251"/>
      <c r="AA490" s="251"/>
    </row>
    <row r="491" ht="14.25" customHeight="1">
      <c r="A491" s="251"/>
      <c r="B491" s="263"/>
      <c r="C491" s="498" t="s">
        <v>15077</v>
      </c>
      <c r="D491" s="251"/>
      <c r="E491" s="514" t="s">
        <v>13694</v>
      </c>
      <c r="F491" s="500" t="s">
        <v>15070</v>
      </c>
      <c r="G491" s="500" t="s">
        <v>15075</v>
      </c>
      <c r="H491" s="500" t="s">
        <v>15076</v>
      </c>
      <c r="I491" s="513" t="s">
        <v>36</v>
      </c>
      <c r="J491" s="263"/>
      <c r="K491" s="263"/>
      <c r="L491" s="251"/>
      <c r="M491" s="251"/>
      <c r="N491" s="251"/>
      <c r="O491" s="251"/>
      <c r="P491" s="251"/>
      <c r="Q491" s="251"/>
      <c r="R491" s="251"/>
      <c r="S491" s="251"/>
      <c r="T491" s="251"/>
      <c r="U491" s="251"/>
      <c r="V491" s="251"/>
      <c r="W491" s="251"/>
      <c r="X491" s="251"/>
      <c r="Y491" s="251"/>
      <c r="Z491" s="251"/>
      <c r="AA491" s="251"/>
    </row>
    <row r="492" ht="14.25" customHeight="1">
      <c r="A492" s="251"/>
      <c r="B492" s="263"/>
      <c r="C492" s="498" t="s">
        <v>15078</v>
      </c>
      <c r="D492" s="251"/>
      <c r="E492" s="514" t="s">
        <v>13709</v>
      </c>
      <c r="F492" s="500" t="s">
        <v>15079</v>
      </c>
      <c r="G492" s="500" t="s">
        <v>15080</v>
      </c>
      <c r="H492" s="500" t="s">
        <v>15081</v>
      </c>
      <c r="I492" s="513" t="s">
        <v>36</v>
      </c>
      <c r="J492" s="263"/>
      <c r="K492" s="263"/>
      <c r="L492" s="251"/>
      <c r="M492" s="251"/>
      <c r="N492" s="251"/>
      <c r="O492" s="251"/>
      <c r="P492" s="251"/>
      <c r="Q492" s="251"/>
      <c r="R492" s="251"/>
      <c r="S492" s="251"/>
      <c r="T492" s="251"/>
      <c r="U492" s="251"/>
      <c r="V492" s="251"/>
      <c r="W492" s="251"/>
      <c r="X492" s="251"/>
      <c r="Y492" s="251"/>
      <c r="Z492" s="251"/>
      <c r="AA492" s="251"/>
    </row>
    <row r="493" ht="14.25" customHeight="1">
      <c r="A493" s="251"/>
      <c r="B493" s="263"/>
      <c r="C493" s="498" t="s">
        <v>15082</v>
      </c>
      <c r="D493" s="251"/>
      <c r="E493" s="514" t="s">
        <v>13709</v>
      </c>
      <c r="F493" s="500" t="s">
        <v>15079</v>
      </c>
      <c r="G493" s="500" t="s">
        <v>15083</v>
      </c>
      <c r="H493" s="500" t="s">
        <v>15081</v>
      </c>
      <c r="I493" s="513" t="s">
        <v>36</v>
      </c>
      <c r="J493" s="263"/>
      <c r="K493" s="263"/>
      <c r="L493" s="251"/>
      <c r="M493" s="251"/>
      <c r="N493" s="251"/>
      <c r="O493" s="251"/>
      <c r="P493" s="251"/>
      <c r="Q493" s="251"/>
      <c r="R493" s="251"/>
      <c r="S493" s="251"/>
      <c r="T493" s="251"/>
      <c r="U493" s="251"/>
      <c r="V493" s="251"/>
      <c r="W493" s="251"/>
      <c r="X493" s="251"/>
      <c r="Y493" s="251"/>
      <c r="Z493" s="251"/>
      <c r="AA493" s="251"/>
    </row>
    <row r="494" ht="14.25" customHeight="1">
      <c r="A494" s="251"/>
      <c r="B494" s="263"/>
      <c r="C494" s="498" t="s">
        <v>15084</v>
      </c>
      <c r="D494" s="251"/>
      <c r="E494" s="514" t="s">
        <v>13709</v>
      </c>
      <c r="F494" s="500" t="s">
        <v>15079</v>
      </c>
      <c r="G494" s="500" t="s">
        <v>15085</v>
      </c>
      <c r="H494" s="500" t="s">
        <v>15081</v>
      </c>
      <c r="I494" s="513" t="s">
        <v>36</v>
      </c>
      <c r="J494" s="263"/>
      <c r="K494" s="263"/>
      <c r="L494" s="251"/>
      <c r="M494" s="251"/>
      <c r="N494" s="251"/>
      <c r="O494" s="251"/>
      <c r="P494" s="251"/>
      <c r="Q494" s="251"/>
      <c r="R494" s="251"/>
      <c r="S494" s="251"/>
      <c r="T494" s="251"/>
      <c r="U494" s="251"/>
      <c r="V494" s="251"/>
      <c r="W494" s="251"/>
      <c r="X494" s="251"/>
      <c r="Y494" s="251"/>
      <c r="Z494" s="251"/>
      <c r="AA494" s="251"/>
    </row>
    <row r="495" ht="14.25" customHeight="1">
      <c r="A495" s="251"/>
      <c r="B495" s="263"/>
      <c r="C495" s="498" t="s">
        <v>15086</v>
      </c>
      <c r="D495" s="251"/>
      <c r="E495" s="514" t="s">
        <v>13709</v>
      </c>
      <c r="F495" s="500" t="s">
        <v>15079</v>
      </c>
      <c r="G495" s="500" t="s">
        <v>15087</v>
      </c>
      <c r="H495" s="500" t="s">
        <v>15081</v>
      </c>
      <c r="I495" s="513" t="s">
        <v>36</v>
      </c>
      <c r="J495" s="263"/>
      <c r="K495" s="263"/>
      <c r="L495" s="251"/>
      <c r="M495" s="251"/>
      <c r="N495" s="251"/>
      <c r="O495" s="251"/>
      <c r="P495" s="251"/>
      <c r="Q495" s="251"/>
      <c r="R495" s="251"/>
      <c r="S495" s="251"/>
      <c r="T495" s="251"/>
      <c r="U495" s="251"/>
      <c r="V495" s="251"/>
      <c r="W495" s="251"/>
      <c r="X495" s="251"/>
      <c r="Y495" s="251"/>
      <c r="Z495" s="251"/>
      <c r="AA495" s="251"/>
    </row>
    <row r="496" ht="14.25" customHeight="1">
      <c r="A496" s="251"/>
      <c r="B496" s="263"/>
      <c r="C496" s="498" t="s">
        <v>15088</v>
      </c>
      <c r="D496" s="251"/>
      <c r="E496" s="514" t="s">
        <v>13711</v>
      </c>
      <c r="F496" s="263" t="s">
        <v>15089</v>
      </c>
      <c r="G496" s="500" t="s">
        <v>15090</v>
      </c>
      <c r="H496" s="500" t="s">
        <v>15091</v>
      </c>
      <c r="I496" s="513" t="s">
        <v>36</v>
      </c>
      <c r="J496" s="263"/>
      <c r="K496" s="263"/>
      <c r="L496" s="251"/>
      <c r="M496" s="251"/>
      <c r="N496" s="251"/>
      <c r="O496" s="251"/>
      <c r="P496" s="251"/>
      <c r="Q496" s="251"/>
      <c r="R496" s="251"/>
      <c r="S496" s="251"/>
      <c r="T496" s="251"/>
      <c r="U496" s="251"/>
      <c r="V496" s="251"/>
      <c r="W496" s="251"/>
      <c r="X496" s="251"/>
      <c r="Y496" s="251"/>
      <c r="Z496" s="251"/>
      <c r="AA496" s="251"/>
    </row>
    <row r="497" ht="14.25" customHeight="1">
      <c r="A497" s="251"/>
      <c r="B497" s="263"/>
      <c r="C497" s="498" t="s">
        <v>15092</v>
      </c>
      <c r="D497" s="251"/>
      <c r="E497" s="514" t="s">
        <v>13711</v>
      </c>
      <c r="F497" s="263" t="s">
        <v>15093</v>
      </c>
      <c r="G497" s="500" t="s">
        <v>15094</v>
      </c>
      <c r="H497" s="500" t="s">
        <v>15095</v>
      </c>
      <c r="I497" s="513" t="s">
        <v>36</v>
      </c>
      <c r="J497" s="263"/>
      <c r="K497" s="263"/>
      <c r="L497" s="251"/>
      <c r="M497" s="251"/>
      <c r="N497" s="251"/>
      <c r="O497" s="251"/>
      <c r="P497" s="251"/>
      <c r="Q497" s="251"/>
      <c r="R497" s="251"/>
      <c r="S497" s="251"/>
      <c r="T497" s="251"/>
      <c r="U497" s="251"/>
      <c r="V497" s="251"/>
      <c r="W497" s="251"/>
      <c r="X497" s="251"/>
      <c r="Y497" s="251"/>
      <c r="Z497" s="251"/>
      <c r="AA497" s="251"/>
    </row>
    <row r="498" ht="14.25" customHeight="1">
      <c r="A498" s="251"/>
      <c r="B498" s="263"/>
      <c r="C498" s="498" t="s">
        <v>15096</v>
      </c>
      <c r="D498" s="251"/>
      <c r="E498" s="514" t="s">
        <v>13711</v>
      </c>
      <c r="F498" s="263" t="s">
        <v>15093</v>
      </c>
      <c r="G498" s="500" t="s">
        <v>15097</v>
      </c>
      <c r="H498" s="500" t="s">
        <v>15098</v>
      </c>
      <c r="I498" s="513" t="s">
        <v>36</v>
      </c>
      <c r="J498" s="263"/>
      <c r="K498" s="263"/>
      <c r="L498" s="251"/>
      <c r="M498" s="251"/>
      <c r="N498" s="251"/>
      <c r="O498" s="251"/>
      <c r="P498" s="251"/>
      <c r="Q498" s="251"/>
      <c r="R498" s="251"/>
      <c r="S498" s="251"/>
      <c r="T498" s="251"/>
      <c r="U498" s="251"/>
      <c r="V498" s="251"/>
      <c r="W498" s="251"/>
      <c r="X498" s="251"/>
      <c r="Y498" s="251"/>
      <c r="Z498" s="251"/>
      <c r="AA498" s="251"/>
    </row>
    <row r="499" ht="14.25" customHeight="1">
      <c r="A499" s="251"/>
      <c r="B499" s="263"/>
      <c r="C499" s="498" t="s">
        <v>15099</v>
      </c>
      <c r="D499" s="251"/>
      <c r="E499" s="514" t="s">
        <v>13662</v>
      </c>
      <c r="F499" s="500" t="s">
        <v>15100</v>
      </c>
      <c r="G499" s="500" t="s">
        <v>15101</v>
      </c>
      <c r="H499" s="500" t="s">
        <v>15102</v>
      </c>
      <c r="I499" s="520" t="s">
        <v>36</v>
      </c>
      <c r="J499" s="263"/>
      <c r="K499" s="263"/>
      <c r="L499" s="251"/>
      <c r="M499" s="251"/>
      <c r="N499" s="251"/>
      <c r="O499" s="251"/>
      <c r="P499" s="251"/>
      <c r="Q499" s="251"/>
      <c r="R499" s="251"/>
      <c r="S499" s="251"/>
      <c r="T499" s="251"/>
      <c r="U499" s="251"/>
      <c r="V499" s="251"/>
      <c r="W499" s="251"/>
      <c r="X499" s="251"/>
      <c r="Y499" s="251"/>
      <c r="Z499" s="251"/>
      <c r="AA499" s="251"/>
    </row>
    <row r="500" ht="14.25" customHeight="1">
      <c r="A500" s="251"/>
      <c r="B500" s="263"/>
      <c r="C500" s="498" t="s">
        <v>15103</v>
      </c>
      <c r="D500" s="251"/>
      <c r="E500" s="514" t="s">
        <v>13662</v>
      </c>
      <c r="F500" s="500" t="s">
        <v>15104</v>
      </c>
      <c r="G500" s="500" t="s">
        <v>15101</v>
      </c>
      <c r="H500" s="500" t="s">
        <v>15102</v>
      </c>
      <c r="I500" s="520" t="s">
        <v>36</v>
      </c>
      <c r="J500" s="263"/>
      <c r="K500" s="263"/>
      <c r="L500" s="251"/>
      <c r="M500" s="251"/>
      <c r="N500" s="251"/>
      <c r="O500" s="251"/>
      <c r="P500" s="251"/>
      <c r="Q500" s="251"/>
      <c r="R500" s="251"/>
      <c r="S500" s="251"/>
      <c r="T500" s="251"/>
      <c r="U500" s="251"/>
      <c r="V500" s="251"/>
      <c r="W500" s="251"/>
      <c r="X500" s="251"/>
      <c r="Y500" s="251"/>
      <c r="Z500" s="251"/>
      <c r="AA500" s="251"/>
    </row>
    <row r="501" ht="14.25" customHeight="1">
      <c r="A501" s="251"/>
      <c r="B501" s="263"/>
      <c r="C501" s="498" t="s">
        <v>15105</v>
      </c>
      <c r="D501" s="251"/>
      <c r="E501" s="514" t="s">
        <v>13662</v>
      </c>
      <c r="F501" s="500" t="s">
        <v>15106</v>
      </c>
      <c r="G501" s="500" t="s">
        <v>15101</v>
      </c>
      <c r="H501" s="500" t="s">
        <v>15102</v>
      </c>
      <c r="I501" s="520" t="s">
        <v>36</v>
      </c>
      <c r="J501" s="263"/>
      <c r="K501" s="263"/>
      <c r="L501" s="251"/>
      <c r="M501" s="251"/>
      <c r="N501" s="251"/>
      <c r="O501" s="251"/>
      <c r="P501" s="251"/>
      <c r="Q501" s="251"/>
      <c r="R501" s="251"/>
      <c r="S501" s="251"/>
      <c r="T501" s="251"/>
      <c r="U501" s="251"/>
      <c r="V501" s="251"/>
      <c r="W501" s="251"/>
      <c r="X501" s="251"/>
      <c r="Y501" s="251"/>
      <c r="Z501" s="251"/>
      <c r="AA501" s="251"/>
    </row>
    <row r="502" ht="14.25" customHeight="1">
      <c r="A502" s="251"/>
      <c r="B502" s="263"/>
      <c r="C502" s="498" t="s">
        <v>15107</v>
      </c>
      <c r="D502" s="251"/>
      <c r="E502" s="514" t="s">
        <v>13662</v>
      </c>
      <c r="F502" s="500" t="s">
        <v>15108</v>
      </c>
      <c r="G502" s="500" t="s">
        <v>15101</v>
      </c>
      <c r="H502" s="500" t="s">
        <v>15109</v>
      </c>
      <c r="I502" s="520" t="s">
        <v>36</v>
      </c>
      <c r="J502" s="263"/>
      <c r="K502" s="263"/>
      <c r="L502" s="251"/>
      <c r="M502" s="251"/>
      <c r="N502" s="251"/>
      <c r="O502" s="251"/>
      <c r="P502" s="251"/>
      <c r="Q502" s="251"/>
      <c r="R502" s="251"/>
      <c r="S502" s="251"/>
      <c r="T502" s="251"/>
      <c r="U502" s="251"/>
      <c r="V502" s="251"/>
      <c r="W502" s="251"/>
      <c r="X502" s="251"/>
      <c r="Y502" s="251"/>
      <c r="Z502" s="251"/>
      <c r="AA502" s="251"/>
    </row>
    <row r="503" ht="14.25" customHeight="1">
      <c r="A503" s="251"/>
      <c r="B503" s="263"/>
      <c r="C503" s="498" t="s">
        <v>15110</v>
      </c>
      <c r="D503" s="251"/>
      <c r="E503" s="514" t="s">
        <v>13662</v>
      </c>
      <c r="F503" s="500" t="s">
        <v>15111</v>
      </c>
      <c r="G503" s="500" t="s">
        <v>15101</v>
      </c>
      <c r="H503" s="500" t="s">
        <v>15102</v>
      </c>
      <c r="I503" s="520" t="s">
        <v>317</v>
      </c>
      <c r="J503" s="263"/>
      <c r="K503" s="263"/>
      <c r="L503" s="251"/>
      <c r="M503" s="251"/>
      <c r="N503" s="251"/>
      <c r="O503" s="251"/>
      <c r="P503" s="251"/>
      <c r="Q503" s="251"/>
      <c r="R503" s="251"/>
      <c r="S503" s="251"/>
      <c r="T503" s="251"/>
      <c r="U503" s="251"/>
      <c r="V503" s="251"/>
      <c r="W503" s="251"/>
      <c r="X503" s="251"/>
      <c r="Y503" s="251"/>
      <c r="Z503" s="251"/>
      <c r="AA503" s="251"/>
    </row>
    <row r="504" ht="14.25" customHeight="1">
      <c r="A504" s="251"/>
      <c r="B504" s="263"/>
      <c r="C504" s="498" t="s">
        <v>15112</v>
      </c>
      <c r="D504" s="251"/>
      <c r="E504" s="514" t="s">
        <v>13662</v>
      </c>
      <c r="F504" s="500" t="s">
        <v>15113</v>
      </c>
      <c r="G504" s="500" t="s">
        <v>15101</v>
      </c>
      <c r="H504" s="500" t="s">
        <v>15102</v>
      </c>
      <c r="I504" s="520" t="s">
        <v>317</v>
      </c>
      <c r="J504" s="263"/>
      <c r="K504" s="263"/>
      <c r="L504" s="251"/>
      <c r="M504" s="251"/>
      <c r="N504" s="251"/>
      <c r="O504" s="251"/>
      <c r="P504" s="251"/>
      <c r="Q504" s="251"/>
      <c r="R504" s="251"/>
      <c r="S504" s="251"/>
      <c r="T504" s="251"/>
      <c r="U504" s="251"/>
      <c r="V504" s="251"/>
      <c r="W504" s="251"/>
      <c r="X504" s="251"/>
      <c r="Y504" s="251"/>
      <c r="Z504" s="251"/>
      <c r="AA504" s="251"/>
    </row>
    <row r="505" ht="14.25" customHeight="1">
      <c r="A505" s="251"/>
      <c r="B505" s="263"/>
      <c r="C505" s="498" t="s">
        <v>15114</v>
      </c>
      <c r="D505" s="251"/>
      <c r="E505" s="514" t="s">
        <v>13662</v>
      </c>
      <c r="F505" s="500" t="s">
        <v>15115</v>
      </c>
      <c r="G505" s="500" t="s">
        <v>15101</v>
      </c>
      <c r="H505" s="500" t="s">
        <v>15102</v>
      </c>
      <c r="I505" s="520" t="s">
        <v>317</v>
      </c>
      <c r="J505" s="263"/>
      <c r="K505" s="263"/>
      <c r="L505" s="251"/>
      <c r="M505" s="251"/>
      <c r="N505" s="251"/>
      <c r="O505" s="251"/>
      <c r="P505" s="251"/>
      <c r="Q505" s="251"/>
      <c r="R505" s="251"/>
      <c r="S505" s="251"/>
      <c r="T505" s="251"/>
      <c r="U505" s="251"/>
      <c r="V505" s="251"/>
      <c r="W505" s="251"/>
      <c r="X505" s="251"/>
      <c r="Y505" s="251"/>
      <c r="Z505" s="251"/>
      <c r="AA505" s="251"/>
    </row>
    <row r="506" ht="14.25" customHeight="1">
      <c r="A506" s="251"/>
      <c r="B506" s="263"/>
      <c r="C506" s="498" t="s">
        <v>15116</v>
      </c>
      <c r="D506" s="251"/>
      <c r="E506" s="514" t="s">
        <v>13662</v>
      </c>
      <c r="F506" s="500" t="s">
        <v>15117</v>
      </c>
      <c r="G506" s="500" t="s">
        <v>15101</v>
      </c>
      <c r="H506" s="500" t="s">
        <v>15109</v>
      </c>
      <c r="I506" s="520" t="s">
        <v>317</v>
      </c>
      <c r="J506" s="263"/>
      <c r="K506" s="263"/>
      <c r="L506" s="251"/>
      <c r="M506" s="251"/>
      <c r="N506" s="251"/>
      <c r="O506" s="251"/>
      <c r="P506" s="251"/>
      <c r="Q506" s="251"/>
      <c r="R506" s="251"/>
      <c r="S506" s="251"/>
      <c r="T506" s="251"/>
      <c r="U506" s="251"/>
      <c r="V506" s="251"/>
      <c r="W506" s="251"/>
      <c r="X506" s="251"/>
      <c r="Y506" s="251"/>
      <c r="Z506" s="251"/>
      <c r="AA506" s="251"/>
    </row>
    <row r="507" ht="14.25" customHeight="1">
      <c r="A507" s="251"/>
      <c r="B507" s="263"/>
      <c r="C507" s="498" t="s">
        <v>15118</v>
      </c>
      <c r="D507" s="251"/>
      <c r="E507" s="514" t="s">
        <v>13662</v>
      </c>
      <c r="F507" s="500" t="s">
        <v>15119</v>
      </c>
      <c r="G507" s="500" t="s">
        <v>15101</v>
      </c>
      <c r="H507" s="500" t="s">
        <v>15102</v>
      </c>
      <c r="I507" s="520" t="s">
        <v>36</v>
      </c>
      <c r="J507" s="263"/>
      <c r="K507" s="263"/>
      <c r="L507" s="251"/>
      <c r="M507" s="251"/>
      <c r="N507" s="251"/>
      <c r="O507" s="251"/>
      <c r="P507" s="251"/>
      <c r="Q507" s="251"/>
      <c r="R507" s="251"/>
      <c r="S507" s="251"/>
      <c r="T507" s="251"/>
      <c r="U507" s="251"/>
      <c r="V507" s="251"/>
      <c r="W507" s="251"/>
      <c r="X507" s="251"/>
      <c r="Y507" s="251"/>
      <c r="Z507" s="251"/>
      <c r="AA507" s="251"/>
    </row>
    <row r="508" ht="14.25" customHeight="1">
      <c r="A508" s="251"/>
      <c r="B508" s="263"/>
      <c r="C508" s="498" t="s">
        <v>15120</v>
      </c>
      <c r="D508" s="251"/>
      <c r="E508" s="514" t="s">
        <v>13662</v>
      </c>
      <c r="F508" s="500" t="s">
        <v>15121</v>
      </c>
      <c r="G508" s="500" t="s">
        <v>15101</v>
      </c>
      <c r="H508" s="500" t="s">
        <v>15122</v>
      </c>
      <c r="I508" s="520" t="s">
        <v>317</v>
      </c>
      <c r="J508" s="263"/>
      <c r="K508" s="263"/>
      <c r="L508" s="251"/>
      <c r="M508" s="251"/>
      <c r="N508" s="251"/>
      <c r="O508" s="251"/>
      <c r="P508" s="251"/>
      <c r="Q508" s="251"/>
      <c r="R508" s="251"/>
      <c r="S508" s="251"/>
      <c r="T508" s="251"/>
      <c r="U508" s="251"/>
      <c r="V508" s="251"/>
      <c r="W508" s="251"/>
      <c r="X508" s="251"/>
      <c r="Y508" s="251"/>
      <c r="Z508" s="251"/>
      <c r="AA508" s="251"/>
    </row>
    <row r="509" ht="14.25" customHeight="1">
      <c r="A509" s="251"/>
      <c r="B509" s="263"/>
      <c r="C509" s="498" t="s">
        <v>15123</v>
      </c>
      <c r="D509" s="251"/>
      <c r="E509" s="514" t="s">
        <v>13662</v>
      </c>
      <c r="F509" s="500" t="s">
        <v>15124</v>
      </c>
      <c r="G509" s="500" t="s">
        <v>15101</v>
      </c>
      <c r="H509" s="500" t="s">
        <v>15125</v>
      </c>
      <c r="I509" s="520" t="s">
        <v>317</v>
      </c>
      <c r="J509" s="263"/>
      <c r="K509" s="263"/>
      <c r="L509" s="251"/>
      <c r="M509" s="251"/>
      <c r="N509" s="251"/>
      <c r="O509" s="251"/>
      <c r="P509" s="251"/>
      <c r="Q509" s="251"/>
      <c r="R509" s="251"/>
      <c r="S509" s="251"/>
      <c r="T509" s="251"/>
      <c r="U509" s="251"/>
      <c r="V509" s="251"/>
      <c r="W509" s="251"/>
      <c r="X509" s="251"/>
      <c r="Y509" s="251"/>
      <c r="Z509" s="251"/>
      <c r="AA509" s="251"/>
    </row>
    <row r="510" ht="14.25" customHeight="1">
      <c r="A510" s="251"/>
      <c r="B510" s="263"/>
      <c r="C510" s="498" t="s">
        <v>15126</v>
      </c>
      <c r="D510" s="251"/>
      <c r="E510" s="514" t="s">
        <v>13682</v>
      </c>
      <c r="F510" s="500" t="s">
        <v>15127</v>
      </c>
      <c r="G510" s="500" t="s">
        <v>15128</v>
      </c>
      <c r="H510" s="500" t="s">
        <v>15129</v>
      </c>
      <c r="I510" s="520" t="s">
        <v>36</v>
      </c>
      <c r="J510" s="263"/>
      <c r="K510" s="263"/>
      <c r="L510" s="251"/>
      <c r="M510" s="251"/>
      <c r="N510" s="251"/>
      <c r="O510" s="251"/>
      <c r="P510" s="251"/>
      <c r="Q510" s="251"/>
      <c r="R510" s="251"/>
      <c r="S510" s="251"/>
      <c r="T510" s="251"/>
      <c r="U510" s="251"/>
      <c r="V510" s="251"/>
      <c r="W510" s="251"/>
      <c r="X510" s="251"/>
      <c r="Y510" s="251"/>
      <c r="Z510" s="251"/>
      <c r="AA510" s="251"/>
    </row>
    <row r="511" ht="14.25" customHeight="1">
      <c r="A511" s="251"/>
      <c r="B511" s="263"/>
      <c r="C511" s="498" t="s">
        <v>15130</v>
      </c>
      <c r="D511" s="251"/>
      <c r="E511" s="514" t="s">
        <v>13682</v>
      </c>
      <c r="F511" s="500" t="s">
        <v>15131</v>
      </c>
      <c r="G511" s="500" t="s">
        <v>15132</v>
      </c>
      <c r="H511" s="500" t="s">
        <v>15133</v>
      </c>
      <c r="I511" s="520" t="s">
        <v>36</v>
      </c>
      <c r="J511" s="263"/>
      <c r="K511" s="263"/>
      <c r="L511" s="251"/>
      <c r="M511" s="251"/>
      <c r="N511" s="251"/>
      <c r="O511" s="251"/>
      <c r="P511" s="251"/>
      <c r="Q511" s="251"/>
      <c r="R511" s="251"/>
      <c r="S511" s="251"/>
      <c r="T511" s="251"/>
      <c r="U511" s="251"/>
      <c r="V511" s="251"/>
      <c r="W511" s="251"/>
      <c r="X511" s="251"/>
      <c r="Y511" s="251"/>
      <c r="Z511" s="251"/>
      <c r="AA511" s="251"/>
    </row>
    <row r="512" ht="14.25" customHeight="1">
      <c r="A512" s="251"/>
      <c r="B512" s="263"/>
      <c r="C512" s="498" t="s">
        <v>15134</v>
      </c>
      <c r="D512" s="251"/>
      <c r="E512" s="514" t="s">
        <v>13682</v>
      </c>
      <c r="F512" s="500"/>
      <c r="G512" s="500" t="s">
        <v>15135</v>
      </c>
      <c r="H512" s="500" t="s">
        <v>15136</v>
      </c>
      <c r="I512" s="520" t="s">
        <v>36</v>
      </c>
      <c r="J512" s="263"/>
      <c r="K512" s="263"/>
      <c r="L512" s="251"/>
      <c r="M512" s="251"/>
      <c r="N512" s="251"/>
      <c r="O512" s="251"/>
      <c r="P512" s="251"/>
      <c r="Q512" s="251"/>
      <c r="R512" s="251"/>
      <c r="S512" s="251"/>
      <c r="T512" s="251"/>
      <c r="U512" s="251"/>
      <c r="V512" s="251"/>
      <c r="W512" s="251"/>
      <c r="X512" s="251"/>
      <c r="Y512" s="251"/>
      <c r="Z512" s="251"/>
      <c r="AA512" s="251"/>
    </row>
    <row r="513" ht="14.25" customHeight="1">
      <c r="A513" s="251"/>
      <c r="B513" s="263"/>
      <c r="C513" s="498" t="s">
        <v>15137</v>
      </c>
      <c r="D513" s="251"/>
      <c r="E513" s="514" t="s">
        <v>13682</v>
      </c>
      <c r="F513" s="500" t="s">
        <v>15138</v>
      </c>
      <c r="G513" s="500" t="s">
        <v>15139</v>
      </c>
      <c r="H513" s="500" t="s">
        <v>15140</v>
      </c>
      <c r="I513" s="520" t="s">
        <v>36</v>
      </c>
      <c r="J513" s="263"/>
      <c r="K513" s="263"/>
      <c r="L513" s="251"/>
      <c r="M513" s="251"/>
      <c r="N513" s="251"/>
      <c r="O513" s="251"/>
      <c r="P513" s="251"/>
      <c r="Q513" s="251"/>
      <c r="R513" s="251"/>
      <c r="S513" s="251"/>
      <c r="T513" s="251"/>
      <c r="U513" s="251"/>
      <c r="V513" s="251"/>
      <c r="W513" s="251"/>
      <c r="X513" s="251"/>
      <c r="Y513" s="251"/>
      <c r="Z513" s="251"/>
      <c r="AA513" s="251"/>
    </row>
    <row r="514" ht="14.25" customHeight="1">
      <c r="A514" s="251"/>
      <c r="B514" s="263"/>
      <c r="C514" s="498" t="s">
        <v>15141</v>
      </c>
      <c r="D514" s="251"/>
      <c r="E514" s="514" t="s">
        <v>13682</v>
      </c>
      <c r="F514" s="500" t="s">
        <v>15142</v>
      </c>
      <c r="G514" s="500" t="s">
        <v>15143</v>
      </c>
      <c r="H514" s="500" t="s">
        <v>15144</v>
      </c>
      <c r="I514" s="520" t="s">
        <v>36</v>
      </c>
      <c r="J514" s="263"/>
      <c r="K514" s="263"/>
      <c r="L514" s="251"/>
      <c r="M514" s="251"/>
      <c r="N514" s="251"/>
      <c r="O514" s="251"/>
      <c r="P514" s="251"/>
      <c r="Q514" s="251"/>
      <c r="R514" s="251"/>
      <c r="S514" s="251"/>
      <c r="T514" s="251"/>
      <c r="U514" s="251"/>
      <c r="V514" s="251"/>
      <c r="W514" s="251"/>
      <c r="X514" s="251"/>
      <c r="Y514" s="251"/>
      <c r="Z514" s="251"/>
      <c r="AA514" s="251"/>
    </row>
    <row r="515" ht="14.25" customHeight="1">
      <c r="A515" s="251"/>
      <c r="B515" s="263"/>
      <c r="C515" s="498" t="s">
        <v>15145</v>
      </c>
      <c r="D515" s="251"/>
      <c r="E515" s="514" t="s">
        <v>13682</v>
      </c>
      <c r="F515" s="500" t="s">
        <v>15142</v>
      </c>
      <c r="G515" s="500" t="s">
        <v>15146</v>
      </c>
      <c r="H515" s="500" t="s">
        <v>15147</v>
      </c>
      <c r="I515" s="520" t="s">
        <v>36</v>
      </c>
      <c r="J515" s="263"/>
      <c r="K515" s="263"/>
      <c r="L515" s="251"/>
      <c r="M515" s="251"/>
      <c r="N515" s="251"/>
      <c r="O515" s="251"/>
      <c r="P515" s="251"/>
      <c r="Q515" s="251"/>
      <c r="R515" s="251"/>
      <c r="S515" s="251"/>
      <c r="T515" s="251"/>
      <c r="U515" s="251"/>
      <c r="V515" s="251"/>
      <c r="W515" s="251"/>
      <c r="X515" s="251"/>
      <c r="Y515" s="251"/>
      <c r="Z515" s="251"/>
      <c r="AA515" s="251"/>
    </row>
    <row r="516" ht="14.25" customHeight="1">
      <c r="A516" s="251"/>
      <c r="B516" s="263"/>
      <c r="C516" s="498" t="s">
        <v>15148</v>
      </c>
      <c r="D516" s="251"/>
      <c r="E516" s="514" t="s">
        <v>13682</v>
      </c>
      <c r="F516" s="500" t="s">
        <v>15149</v>
      </c>
      <c r="G516" s="500" t="s">
        <v>15150</v>
      </c>
      <c r="H516" s="500" t="s">
        <v>15151</v>
      </c>
      <c r="I516" s="520" t="s">
        <v>36</v>
      </c>
      <c r="J516" s="263"/>
      <c r="K516" s="263"/>
      <c r="L516" s="251"/>
      <c r="M516" s="251"/>
      <c r="N516" s="251"/>
      <c r="O516" s="251"/>
      <c r="P516" s="251"/>
      <c r="Q516" s="251"/>
      <c r="R516" s="251"/>
      <c r="S516" s="251"/>
      <c r="T516" s="251"/>
      <c r="U516" s="251"/>
      <c r="V516" s="251"/>
      <c r="W516" s="251"/>
      <c r="X516" s="251"/>
      <c r="Y516" s="251"/>
      <c r="Z516" s="251"/>
      <c r="AA516" s="251"/>
    </row>
    <row r="517" ht="14.25" customHeight="1">
      <c r="A517" s="251"/>
      <c r="B517" s="263"/>
      <c r="C517" s="498" t="s">
        <v>15152</v>
      </c>
      <c r="D517" s="251"/>
      <c r="E517" s="514" t="s">
        <v>15153</v>
      </c>
      <c r="F517" s="500" t="s">
        <v>15154</v>
      </c>
      <c r="G517" s="500" t="s">
        <v>15155</v>
      </c>
      <c r="H517" s="500" t="s">
        <v>15156</v>
      </c>
      <c r="I517" s="520" t="s">
        <v>36</v>
      </c>
      <c r="J517" s="263"/>
      <c r="K517" s="263"/>
      <c r="L517" s="251"/>
      <c r="M517" s="251"/>
      <c r="N517" s="251"/>
      <c r="O517" s="251"/>
      <c r="P517" s="251"/>
      <c r="Q517" s="251"/>
      <c r="R517" s="251"/>
      <c r="S517" s="251"/>
      <c r="T517" s="251"/>
      <c r="U517" s="251"/>
      <c r="V517" s="251"/>
      <c r="W517" s="251"/>
      <c r="X517" s="251"/>
      <c r="Y517" s="251"/>
      <c r="Z517" s="251"/>
      <c r="AA517" s="251"/>
    </row>
    <row r="518" ht="14.25" customHeight="1">
      <c r="A518" s="251"/>
      <c r="B518" s="263"/>
      <c r="C518" s="498" t="s">
        <v>15157</v>
      </c>
      <c r="D518" s="251"/>
      <c r="E518" s="514" t="s">
        <v>15153</v>
      </c>
      <c r="F518" s="500" t="s">
        <v>15154</v>
      </c>
      <c r="G518" s="500" t="s">
        <v>15158</v>
      </c>
      <c r="H518" s="500" t="s">
        <v>15156</v>
      </c>
      <c r="I518" s="520" t="s">
        <v>36</v>
      </c>
      <c r="J518" s="263"/>
      <c r="K518" s="263"/>
      <c r="L518" s="251"/>
      <c r="M518" s="251"/>
      <c r="N518" s="251"/>
      <c r="O518" s="251"/>
      <c r="P518" s="251"/>
      <c r="Q518" s="251"/>
      <c r="R518" s="251"/>
      <c r="S518" s="251"/>
      <c r="T518" s="251"/>
      <c r="U518" s="251"/>
      <c r="V518" s="251"/>
      <c r="W518" s="251"/>
      <c r="X518" s="251"/>
      <c r="Y518" s="251"/>
      <c r="Z518" s="251"/>
      <c r="AA518" s="251"/>
    </row>
    <row r="519" ht="14.25" customHeight="1">
      <c r="A519" s="251"/>
      <c r="B519" s="263"/>
      <c r="C519" s="498" t="s">
        <v>15159</v>
      </c>
      <c r="D519" s="251"/>
      <c r="E519" s="514" t="s">
        <v>15153</v>
      </c>
      <c r="F519" s="500" t="s">
        <v>15154</v>
      </c>
      <c r="G519" s="500" t="s">
        <v>15160</v>
      </c>
      <c r="H519" s="500" t="s">
        <v>15156</v>
      </c>
      <c r="I519" s="520" t="s">
        <v>36</v>
      </c>
      <c r="J519" s="263"/>
      <c r="K519" s="263"/>
      <c r="L519" s="251"/>
      <c r="M519" s="251"/>
      <c r="N519" s="251"/>
      <c r="O519" s="251"/>
      <c r="P519" s="251"/>
      <c r="Q519" s="251"/>
      <c r="R519" s="251"/>
      <c r="S519" s="251"/>
      <c r="T519" s="251"/>
      <c r="U519" s="251"/>
      <c r="V519" s="251"/>
      <c r="W519" s="251"/>
      <c r="X519" s="251"/>
      <c r="Y519" s="251"/>
      <c r="Z519" s="251"/>
      <c r="AA519" s="251"/>
    </row>
    <row r="520" ht="14.25" customHeight="1">
      <c r="A520" s="251"/>
      <c r="B520" s="263"/>
      <c r="C520" s="498" t="s">
        <v>15161</v>
      </c>
      <c r="D520" s="251"/>
      <c r="E520" s="514" t="s">
        <v>15162</v>
      </c>
      <c r="F520" s="500" t="s">
        <v>15163</v>
      </c>
      <c r="G520" s="500" t="s">
        <v>15164</v>
      </c>
      <c r="H520" s="500" t="s">
        <v>15165</v>
      </c>
      <c r="I520" s="520" t="s">
        <v>317</v>
      </c>
      <c r="J520" s="263"/>
      <c r="K520" s="263"/>
      <c r="L520" s="251"/>
      <c r="M520" s="251"/>
      <c r="N520" s="251"/>
      <c r="O520" s="251"/>
      <c r="P520" s="251"/>
      <c r="Q520" s="251"/>
      <c r="R520" s="251"/>
      <c r="S520" s="251"/>
      <c r="T520" s="251"/>
      <c r="U520" s="251"/>
      <c r="V520" s="251"/>
      <c r="W520" s="251"/>
      <c r="X520" s="251"/>
      <c r="Y520" s="251"/>
      <c r="Z520" s="251"/>
      <c r="AA520" s="251"/>
    </row>
    <row r="521" ht="14.25" customHeight="1">
      <c r="A521" s="251"/>
      <c r="B521" s="263"/>
      <c r="C521" s="498" t="s">
        <v>15166</v>
      </c>
      <c r="D521" s="251"/>
      <c r="E521" s="514" t="s">
        <v>15162</v>
      </c>
      <c r="F521" s="500" t="s">
        <v>15167</v>
      </c>
      <c r="G521" s="500" t="s">
        <v>15164</v>
      </c>
      <c r="H521" s="500" t="s">
        <v>15168</v>
      </c>
      <c r="I521" s="520" t="s">
        <v>36</v>
      </c>
      <c r="J521" s="263"/>
      <c r="K521" s="263"/>
      <c r="L521" s="251"/>
      <c r="M521" s="251"/>
      <c r="N521" s="251"/>
      <c r="O521" s="251"/>
      <c r="P521" s="251"/>
      <c r="Q521" s="251"/>
      <c r="R521" s="251"/>
      <c r="S521" s="251"/>
      <c r="T521" s="251"/>
      <c r="U521" s="251"/>
      <c r="V521" s="251"/>
      <c r="W521" s="251"/>
      <c r="X521" s="251"/>
      <c r="Y521" s="251"/>
      <c r="Z521" s="251"/>
      <c r="AA521" s="251"/>
    </row>
    <row r="522" ht="14.25" customHeight="1">
      <c r="A522" s="251"/>
      <c r="B522" s="263"/>
      <c r="C522" s="498" t="s">
        <v>15169</v>
      </c>
      <c r="D522" s="251"/>
      <c r="E522" s="514" t="s">
        <v>15162</v>
      </c>
      <c r="F522" s="500" t="s">
        <v>15170</v>
      </c>
      <c r="G522" s="500" t="s">
        <v>15164</v>
      </c>
      <c r="H522" s="500" t="s">
        <v>15171</v>
      </c>
      <c r="I522" s="520" t="s">
        <v>317</v>
      </c>
      <c r="J522" s="263"/>
      <c r="K522" s="263"/>
      <c r="L522" s="251"/>
      <c r="M522" s="251"/>
      <c r="N522" s="251"/>
      <c r="O522" s="251"/>
      <c r="P522" s="251"/>
      <c r="Q522" s="251"/>
      <c r="R522" s="251"/>
      <c r="S522" s="251"/>
      <c r="T522" s="251"/>
      <c r="U522" s="251"/>
      <c r="V522" s="251"/>
      <c r="W522" s="251"/>
      <c r="X522" s="251"/>
      <c r="Y522" s="251"/>
      <c r="Z522" s="251"/>
      <c r="AA522" s="251"/>
    </row>
    <row r="523" ht="14.25" customHeight="1">
      <c r="A523" s="251"/>
      <c r="B523" s="263"/>
      <c r="C523" s="498" t="s">
        <v>15172</v>
      </c>
      <c r="D523" s="251"/>
      <c r="E523" s="514" t="s">
        <v>15162</v>
      </c>
      <c r="F523" s="500" t="s">
        <v>15173</v>
      </c>
      <c r="G523" s="500" t="s">
        <v>15164</v>
      </c>
      <c r="H523" s="500" t="s">
        <v>15174</v>
      </c>
      <c r="I523" s="520" t="s">
        <v>36</v>
      </c>
      <c r="J523" s="263"/>
      <c r="K523" s="263"/>
      <c r="L523" s="251"/>
      <c r="M523" s="251"/>
      <c r="N523" s="251"/>
      <c r="O523" s="251"/>
      <c r="P523" s="251"/>
      <c r="Q523" s="251"/>
      <c r="R523" s="251"/>
      <c r="S523" s="251"/>
      <c r="T523" s="251"/>
      <c r="U523" s="251"/>
      <c r="V523" s="251"/>
      <c r="W523" s="251"/>
      <c r="X523" s="251"/>
      <c r="Y523" s="251"/>
      <c r="Z523" s="251"/>
      <c r="AA523" s="251"/>
    </row>
    <row r="524" ht="14.25" customHeight="1">
      <c r="A524" s="251"/>
      <c r="B524" s="263"/>
      <c r="C524" s="498" t="s">
        <v>15175</v>
      </c>
      <c r="D524" s="251"/>
      <c r="E524" s="254" t="s">
        <v>13723</v>
      </c>
      <c r="F524" s="521"/>
      <c r="G524" s="500" t="s">
        <v>14485</v>
      </c>
      <c r="H524" s="500" t="s">
        <v>14486</v>
      </c>
      <c r="I524" s="513" t="s">
        <v>36</v>
      </c>
      <c r="J524" s="263"/>
      <c r="K524" s="263"/>
      <c r="L524" s="251"/>
      <c r="M524" s="251"/>
      <c r="N524" s="251"/>
      <c r="O524" s="251"/>
      <c r="P524" s="251"/>
      <c r="Q524" s="251"/>
      <c r="R524" s="251"/>
      <c r="S524" s="251"/>
      <c r="T524" s="251"/>
      <c r="U524" s="251"/>
      <c r="V524" s="251"/>
      <c r="W524" s="251"/>
      <c r="X524" s="251"/>
      <c r="Y524" s="251"/>
      <c r="Z524" s="251"/>
      <c r="AA524" s="251"/>
    </row>
    <row r="525" ht="14.25" customHeight="1">
      <c r="A525" s="251"/>
      <c r="B525" s="263"/>
      <c r="C525" s="498" t="s">
        <v>15176</v>
      </c>
      <c r="D525" s="251"/>
      <c r="E525" s="254" t="s">
        <v>13723</v>
      </c>
      <c r="F525" s="521"/>
      <c r="G525" s="500" t="s">
        <v>14488</v>
      </c>
      <c r="H525" s="500" t="s">
        <v>14489</v>
      </c>
      <c r="I525" s="513" t="s">
        <v>36</v>
      </c>
      <c r="J525" s="263"/>
      <c r="K525" s="263"/>
      <c r="L525" s="251"/>
      <c r="M525" s="251"/>
      <c r="N525" s="251"/>
      <c r="O525" s="251"/>
      <c r="P525" s="251"/>
      <c r="Q525" s="251"/>
      <c r="R525" s="251"/>
      <c r="S525" s="251"/>
      <c r="T525" s="251"/>
      <c r="U525" s="251"/>
      <c r="V525" s="251"/>
      <c r="W525" s="251"/>
      <c r="X525" s="251"/>
      <c r="Y525" s="251"/>
      <c r="Z525" s="251"/>
      <c r="AA525" s="251"/>
    </row>
    <row r="526" ht="14.25" customHeight="1">
      <c r="A526" s="251"/>
      <c r="B526" s="263"/>
      <c r="C526" s="498" t="s">
        <v>15177</v>
      </c>
      <c r="D526" s="251"/>
      <c r="E526" s="254" t="s">
        <v>13723</v>
      </c>
      <c r="F526" s="521"/>
      <c r="G526" s="500" t="s">
        <v>14491</v>
      </c>
      <c r="H526" s="500" t="s">
        <v>14492</v>
      </c>
      <c r="I526" s="513" t="s">
        <v>36</v>
      </c>
      <c r="J526" s="263"/>
      <c r="K526" s="263"/>
      <c r="L526" s="251"/>
      <c r="M526" s="251"/>
      <c r="N526" s="251"/>
      <c r="O526" s="251"/>
      <c r="P526" s="251"/>
      <c r="Q526" s="251"/>
      <c r="R526" s="251"/>
      <c r="S526" s="251"/>
      <c r="T526" s="251"/>
      <c r="U526" s="251"/>
      <c r="V526" s="251"/>
      <c r="W526" s="251"/>
      <c r="X526" s="251"/>
      <c r="Y526" s="251"/>
      <c r="Z526" s="251"/>
      <c r="AA526" s="251"/>
    </row>
    <row r="527" ht="14.25" customHeight="1">
      <c r="A527" s="251"/>
      <c r="B527" s="263"/>
      <c r="C527" s="498" t="s">
        <v>15178</v>
      </c>
      <c r="D527" s="251"/>
      <c r="E527" s="254" t="s">
        <v>13723</v>
      </c>
      <c r="F527" s="521"/>
      <c r="G527" s="500" t="s">
        <v>14494</v>
      </c>
      <c r="H527" s="500" t="s">
        <v>14495</v>
      </c>
      <c r="I527" s="513" t="s">
        <v>36</v>
      </c>
      <c r="J527" s="263"/>
      <c r="K527" s="263"/>
      <c r="L527" s="251"/>
      <c r="M527" s="251"/>
      <c r="N527" s="251"/>
      <c r="O527" s="251"/>
      <c r="P527" s="251"/>
      <c r="Q527" s="251"/>
      <c r="R527" s="251"/>
      <c r="S527" s="251"/>
      <c r="T527" s="251"/>
      <c r="U527" s="251"/>
      <c r="V527" s="251"/>
      <c r="W527" s="251"/>
      <c r="X527" s="251"/>
      <c r="Y527" s="251"/>
      <c r="Z527" s="251"/>
      <c r="AA527" s="251"/>
    </row>
    <row r="528" ht="14.25" customHeight="1">
      <c r="A528" s="251"/>
      <c r="B528" s="263"/>
      <c r="C528" s="498" t="s">
        <v>15179</v>
      </c>
      <c r="D528" s="251"/>
      <c r="E528" s="254" t="s">
        <v>13723</v>
      </c>
      <c r="F528" s="521"/>
      <c r="G528" s="500" t="s">
        <v>14497</v>
      </c>
      <c r="H528" s="500" t="s">
        <v>14498</v>
      </c>
      <c r="I528" s="513" t="s">
        <v>36</v>
      </c>
      <c r="J528" s="263"/>
      <c r="K528" s="263"/>
      <c r="L528" s="251"/>
      <c r="M528" s="251"/>
      <c r="N528" s="251"/>
      <c r="O528" s="251"/>
      <c r="P528" s="251"/>
      <c r="Q528" s="251"/>
      <c r="R528" s="251"/>
      <c r="S528" s="251"/>
      <c r="T528" s="251"/>
      <c r="U528" s="251"/>
      <c r="V528" s="251"/>
      <c r="W528" s="251"/>
      <c r="X528" s="251"/>
      <c r="Y528" s="251"/>
      <c r="Z528" s="251"/>
      <c r="AA528" s="251"/>
    </row>
    <row r="529" ht="14.25" customHeight="1">
      <c r="A529" s="251"/>
      <c r="B529" s="263"/>
      <c r="C529" s="498" t="s">
        <v>15180</v>
      </c>
      <c r="D529" s="251"/>
      <c r="E529" s="254" t="s">
        <v>13723</v>
      </c>
      <c r="F529" s="521"/>
      <c r="G529" s="500" t="s">
        <v>14500</v>
      </c>
      <c r="H529" s="500" t="s">
        <v>14501</v>
      </c>
      <c r="I529" s="513" t="s">
        <v>36</v>
      </c>
      <c r="J529" s="263"/>
      <c r="K529" s="263"/>
      <c r="L529" s="251"/>
      <c r="M529" s="251"/>
      <c r="N529" s="251"/>
      <c r="O529" s="251"/>
      <c r="P529" s="251"/>
      <c r="Q529" s="251"/>
      <c r="R529" s="251"/>
      <c r="S529" s="251"/>
      <c r="T529" s="251"/>
      <c r="U529" s="251"/>
      <c r="V529" s="251"/>
      <c r="W529" s="251"/>
      <c r="X529" s="251"/>
      <c r="Y529" s="251"/>
      <c r="Z529" s="251"/>
      <c r="AA529" s="251"/>
    </row>
    <row r="530" ht="14.25" customHeight="1">
      <c r="A530" s="251"/>
      <c r="B530" s="263"/>
      <c r="C530" s="498" t="s">
        <v>15181</v>
      </c>
      <c r="D530" s="251"/>
      <c r="E530" s="254" t="s">
        <v>13723</v>
      </c>
      <c r="F530" s="521"/>
      <c r="G530" s="500" t="s">
        <v>14503</v>
      </c>
      <c r="H530" s="500" t="s">
        <v>14501</v>
      </c>
      <c r="I530" s="513" t="s">
        <v>36</v>
      </c>
      <c r="J530" s="263"/>
      <c r="K530" s="263"/>
      <c r="L530" s="251"/>
      <c r="M530" s="251"/>
      <c r="N530" s="251"/>
      <c r="O530" s="251"/>
      <c r="P530" s="251"/>
      <c r="Q530" s="251"/>
      <c r="R530" s="251"/>
      <c r="S530" s="251"/>
      <c r="T530" s="251"/>
      <c r="U530" s="251"/>
      <c r="V530" s="251"/>
      <c r="W530" s="251"/>
      <c r="X530" s="251"/>
      <c r="Y530" s="251"/>
      <c r="Z530" s="251"/>
      <c r="AA530" s="251"/>
    </row>
    <row r="531" ht="14.25" customHeight="1">
      <c r="A531" s="251"/>
      <c r="B531" s="263"/>
      <c r="C531" s="498" t="s">
        <v>15182</v>
      </c>
      <c r="D531" s="251"/>
      <c r="E531" s="254" t="s">
        <v>13723</v>
      </c>
      <c r="F531" s="521"/>
      <c r="G531" s="500" t="s">
        <v>14505</v>
      </c>
      <c r="H531" s="500" t="s">
        <v>14501</v>
      </c>
      <c r="I531" s="513" t="s">
        <v>36</v>
      </c>
      <c r="J531" s="263"/>
      <c r="K531" s="263"/>
      <c r="L531" s="251"/>
      <c r="M531" s="251"/>
      <c r="N531" s="251"/>
      <c r="O531" s="251"/>
      <c r="P531" s="251"/>
      <c r="Q531" s="251"/>
      <c r="R531" s="251"/>
      <c r="S531" s="251"/>
      <c r="T531" s="251"/>
      <c r="U531" s="251"/>
      <c r="V531" s="251"/>
      <c r="W531" s="251"/>
      <c r="X531" s="251"/>
      <c r="Y531" s="251"/>
      <c r="Z531" s="251"/>
      <c r="AA531" s="251"/>
    </row>
    <row r="532" ht="14.25" customHeight="1">
      <c r="A532" s="251"/>
      <c r="B532" s="263"/>
      <c r="C532" s="498" t="s">
        <v>15183</v>
      </c>
      <c r="D532" s="251"/>
      <c r="E532" s="514" t="s">
        <v>15184</v>
      </c>
      <c r="F532" s="500" t="s">
        <v>15185</v>
      </c>
      <c r="G532" s="500" t="s">
        <v>15164</v>
      </c>
      <c r="H532" s="500" t="s">
        <v>15186</v>
      </c>
      <c r="I532" s="513" t="s">
        <v>36</v>
      </c>
      <c r="J532" s="263"/>
      <c r="K532" s="263"/>
      <c r="L532" s="251"/>
      <c r="M532" s="251"/>
      <c r="N532" s="251"/>
      <c r="O532" s="251"/>
      <c r="P532" s="251"/>
      <c r="Q532" s="251"/>
      <c r="R532" s="251"/>
      <c r="S532" s="251"/>
      <c r="T532" s="251"/>
      <c r="U532" s="251"/>
      <c r="V532" s="251"/>
      <c r="W532" s="251"/>
      <c r="X532" s="251"/>
      <c r="Y532" s="251"/>
      <c r="Z532" s="251"/>
      <c r="AA532" s="251"/>
    </row>
    <row r="533" ht="14.25" customHeight="1">
      <c r="A533" s="251"/>
      <c r="B533" s="263"/>
      <c r="C533" s="498" t="s">
        <v>15187</v>
      </c>
      <c r="D533" s="251"/>
      <c r="E533" s="514" t="s">
        <v>15184</v>
      </c>
      <c r="F533" s="500" t="s">
        <v>15188</v>
      </c>
      <c r="G533" s="500" t="s">
        <v>15164</v>
      </c>
      <c r="H533" s="500" t="s">
        <v>15189</v>
      </c>
      <c r="I533" s="513" t="s">
        <v>36</v>
      </c>
      <c r="J533" s="263"/>
      <c r="K533" s="263"/>
      <c r="L533" s="251"/>
      <c r="M533" s="251"/>
      <c r="N533" s="251"/>
      <c r="O533" s="251"/>
      <c r="P533" s="251"/>
      <c r="Q533" s="251"/>
      <c r="R533" s="251"/>
      <c r="S533" s="251"/>
      <c r="T533" s="251"/>
      <c r="U533" s="251"/>
      <c r="V533" s="251"/>
      <c r="W533" s="251"/>
      <c r="X533" s="251"/>
      <c r="Y533" s="251"/>
      <c r="Z533" s="251"/>
      <c r="AA533" s="251"/>
    </row>
    <row r="534" ht="14.25" customHeight="1">
      <c r="A534" s="251"/>
      <c r="B534" s="263"/>
      <c r="C534" s="498" t="s">
        <v>15190</v>
      </c>
      <c r="D534" s="251"/>
      <c r="E534" s="514" t="s">
        <v>15184</v>
      </c>
      <c r="F534" s="500" t="s">
        <v>15191</v>
      </c>
      <c r="G534" s="500" t="s">
        <v>15164</v>
      </c>
      <c r="H534" s="500" t="s">
        <v>15192</v>
      </c>
      <c r="I534" s="513" t="s">
        <v>36</v>
      </c>
      <c r="J534" s="263"/>
      <c r="K534" s="263"/>
      <c r="L534" s="251"/>
      <c r="M534" s="251"/>
      <c r="N534" s="251"/>
      <c r="O534" s="251"/>
      <c r="P534" s="251"/>
      <c r="Q534" s="251"/>
      <c r="R534" s="251"/>
      <c r="S534" s="251"/>
      <c r="T534" s="251"/>
      <c r="U534" s="251"/>
      <c r="V534" s="251"/>
      <c r="W534" s="251"/>
      <c r="X534" s="251"/>
      <c r="Y534" s="251"/>
      <c r="Z534" s="251"/>
      <c r="AA534" s="251"/>
    </row>
    <row r="535" ht="14.25" customHeight="1">
      <c r="A535" s="251"/>
      <c r="B535" s="263"/>
      <c r="C535" s="498" t="s">
        <v>15193</v>
      </c>
      <c r="D535" s="251"/>
      <c r="E535" s="514" t="s">
        <v>15184</v>
      </c>
      <c r="F535" s="500" t="s">
        <v>15194</v>
      </c>
      <c r="G535" s="500" t="s">
        <v>15164</v>
      </c>
      <c r="H535" s="500" t="s">
        <v>15189</v>
      </c>
      <c r="I535" s="513" t="s">
        <v>36</v>
      </c>
      <c r="J535" s="263"/>
      <c r="K535" s="263"/>
      <c r="L535" s="251"/>
      <c r="M535" s="251"/>
      <c r="N535" s="251"/>
      <c r="O535" s="251"/>
      <c r="P535" s="251"/>
      <c r="Q535" s="251"/>
      <c r="R535" s="251"/>
      <c r="S535" s="251"/>
      <c r="T535" s="251"/>
      <c r="U535" s="251"/>
      <c r="V535" s="251"/>
      <c r="W535" s="251"/>
      <c r="X535" s="251"/>
      <c r="Y535" s="251"/>
      <c r="Z535" s="251"/>
      <c r="AA535" s="251"/>
    </row>
    <row r="536" ht="14.25" customHeight="1">
      <c r="A536" s="251"/>
      <c r="B536" s="263"/>
      <c r="C536" s="498" t="s">
        <v>15195</v>
      </c>
      <c r="D536" s="251"/>
      <c r="E536" s="514" t="s">
        <v>15196</v>
      </c>
      <c r="F536" s="500" t="s">
        <v>15197</v>
      </c>
      <c r="G536" s="500" t="s">
        <v>15164</v>
      </c>
      <c r="H536" s="500" t="s">
        <v>15198</v>
      </c>
      <c r="I536" s="513" t="s">
        <v>36</v>
      </c>
      <c r="J536" s="263"/>
      <c r="K536" s="263"/>
      <c r="L536" s="251"/>
      <c r="M536" s="251"/>
      <c r="N536" s="251"/>
      <c r="O536" s="251"/>
      <c r="P536" s="251"/>
      <c r="Q536" s="251"/>
      <c r="R536" s="251"/>
      <c r="S536" s="251"/>
      <c r="T536" s="251"/>
      <c r="U536" s="251"/>
      <c r="V536" s="251"/>
      <c r="W536" s="251"/>
      <c r="X536" s="251"/>
      <c r="Y536" s="251"/>
      <c r="Z536" s="251"/>
      <c r="AA536" s="251"/>
    </row>
    <row r="537" ht="14.25" customHeight="1">
      <c r="A537" s="251"/>
      <c r="B537" s="263"/>
      <c r="C537" s="498" t="s">
        <v>15199</v>
      </c>
      <c r="D537" s="251"/>
      <c r="E537" s="514" t="s">
        <v>15196</v>
      </c>
      <c r="F537" s="500" t="s">
        <v>15200</v>
      </c>
      <c r="G537" s="500" t="s">
        <v>15164</v>
      </c>
      <c r="H537" s="500" t="s">
        <v>15201</v>
      </c>
      <c r="I537" s="513" t="s">
        <v>36</v>
      </c>
      <c r="J537" s="263"/>
      <c r="K537" s="263"/>
      <c r="L537" s="251"/>
      <c r="M537" s="251"/>
      <c r="N537" s="251"/>
      <c r="O537" s="251"/>
      <c r="P537" s="251"/>
      <c r="Q537" s="251"/>
      <c r="R537" s="251"/>
      <c r="S537" s="251"/>
      <c r="T537" s="251"/>
      <c r="U537" s="251"/>
      <c r="V537" s="251"/>
      <c r="W537" s="251"/>
      <c r="X537" s="251"/>
      <c r="Y537" s="251"/>
      <c r="Z537" s="251"/>
      <c r="AA537" s="251"/>
    </row>
    <row r="538" ht="14.25" customHeight="1">
      <c r="A538" s="251"/>
      <c r="B538" s="263"/>
      <c r="C538" s="498" t="s">
        <v>15202</v>
      </c>
      <c r="D538" s="251"/>
      <c r="E538" s="514" t="s">
        <v>15196</v>
      </c>
      <c r="F538" s="500" t="s">
        <v>15203</v>
      </c>
      <c r="G538" s="500" t="s">
        <v>15164</v>
      </c>
      <c r="H538" s="500" t="s">
        <v>15204</v>
      </c>
      <c r="I538" s="513" t="s">
        <v>36</v>
      </c>
      <c r="J538" s="263"/>
      <c r="K538" s="263"/>
      <c r="L538" s="251"/>
      <c r="M538" s="251"/>
      <c r="N538" s="251"/>
      <c r="O538" s="251"/>
      <c r="P538" s="251"/>
      <c r="Q538" s="251"/>
      <c r="R538" s="251"/>
      <c r="S538" s="251"/>
      <c r="T538" s="251"/>
      <c r="U538" s="251"/>
      <c r="V538" s="251"/>
      <c r="W538" s="251"/>
      <c r="X538" s="251"/>
      <c r="Y538" s="251"/>
      <c r="Z538" s="251"/>
      <c r="AA538" s="251"/>
    </row>
    <row r="539" ht="14.25" customHeight="1">
      <c r="A539" s="251"/>
      <c r="B539" s="263"/>
      <c r="C539" s="498" t="s">
        <v>15205</v>
      </c>
      <c r="D539" s="251"/>
      <c r="E539" s="514" t="s">
        <v>15196</v>
      </c>
      <c r="F539" s="500" t="s">
        <v>15206</v>
      </c>
      <c r="G539" s="500" t="s">
        <v>15164</v>
      </c>
      <c r="H539" s="500" t="s">
        <v>15201</v>
      </c>
      <c r="I539" s="513" t="s">
        <v>36</v>
      </c>
      <c r="J539" s="263"/>
      <c r="K539" s="263"/>
      <c r="L539" s="251"/>
      <c r="M539" s="251"/>
      <c r="N539" s="251"/>
      <c r="O539" s="251"/>
      <c r="P539" s="251"/>
      <c r="Q539" s="251"/>
      <c r="R539" s="251"/>
      <c r="S539" s="251"/>
      <c r="T539" s="251"/>
      <c r="U539" s="251"/>
      <c r="V539" s="251"/>
      <c r="W539" s="251"/>
      <c r="X539" s="251"/>
      <c r="Y539" s="251"/>
      <c r="Z539" s="251"/>
      <c r="AA539" s="251"/>
    </row>
    <row r="540" ht="14.25" customHeight="1">
      <c r="A540" s="251"/>
      <c r="B540" s="263"/>
      <c r="C540" s="498" t="s">
        <v>15207</v>
      </c>
      <c r="D540" s="251"/>
      <c r="E540" s="500" t="s">
        <v>13732</v>
      </c>
      <c r="F540" s="500" t="s">
        <v>14438</v>
      </c>
      <c r="G540" s="263" t="s">
        <v>14439</v>
      </c>
      <c r="H540" s="263" t="s">
        <v>14440</v>
      </c>
      <c r="I540" s="513" t="s">
        <v>36</v>
      </c>
      <c r="J540" s="263"/>
      <c r="K540" s="263"/>
      <c r="L540" s="251"/>
      <c r="M540" s="251"/>
      <c r="N540" s="251"/>
      <c r="O540" s="251"/>
      <c r="P540" s="251"/>
      <c r="Q540" s="251"/>
      <c r="R540" s="251"/>
      <c r="S540" s="251"/>
      <c r="T540" s="251"/>
      <c r="U540" s="251"/>
      <c r="V540" s="251"/>
      <c r="W540" s="251"/>
      <c r="X540" s="251"/>
      <c r="Y540" s="251"/>
      <c r="Z540" s="251"/>
      <c r="AA540" s="251"/>
    </row>
    <row r="541" ht="14.25" customHeight="1">
      <c r="A541" s="251"/>
      <c r="B541" s="263"/>
      <c r="C541" s="498" t="s">
        <v>15208</v>
      </c>
      <c r="D541" s="251"/>
      <c r="E541" s="500" t="s">
        <v>13732</v>
      </c>
      <c r="F541" s="500" t="s">
        <v>14438</v>
      </c>
      <c r="G541" s="263" t="s">
        <v>14442</v>
      </c>
      <c r="H541" s="263" t="s">
        <v>14443</v>
      </c>
      <c r="I541" s="513" t="s">
        <v>36</v>
      </c>
      <c r="J541" s="263"/>
      <c r="K541" s="263"/>
      <c r="L541" s="251"/>
      <c r="M541" s="251"/>
      <c r="N541" s="251"/>
      <c r="O541" s="251"/>
      <c r="P541" s="251"/>
      <c r="Q541" s="251"/>
      <c r="R541" s="251"/>
      <c r="S541" s="251"/>
      <c r="T541" s="251"/>
      <c r="U541" s="251"/>
      <c r="V541" s="251"/>
      <c r="W541" s="251"/>
      <c r="X541" s="251"/>
      <c r="Y541" s="251"/>
      <c r="Z541" s="251"/>
      <c r="AA541" s="251"/>
    </row>
    <row r="542" ht="14.25" customHeight="1">
      <c r="A542" s="251"/>
      <c r="B542" s="263"/>
      <c r="C542" s="498" t="s">
        <v>15209</v>
      </c>
      <c r="D542" s="251"/>
      <c r="E542" s="500" t="s">
        <v>13732</v>
      </c>
      <c r="F542" s="500" t="s">
        <v>14445</v>
      </c>
      <c r="G542" s="263" t="s">
        <v>14446</v>
      </c>
      <c r="H542" s="263" t="s">
        <v>14447</v>
      </c>
      <c r="I542" s="513" t="s">
        <v>36</v>
      </c>
      <c r="J542" s="263"/>
      <c r="K542" s="263"/>
      <c r="L542" s="251"/>
      <c r="M542" s="251"/>
      <c r="N542" s="251"/>
      <c r="O542" s="251"/>
      <c r="P542" s="251"/>
      <c r="Q542" s="251"/>
      <c r="R542" s="251"/>
      <c r="S542" s="251"/>
      <c r="T542" s="251"/>
      <c r="U542" s="251"/>
      <c r="V542" s="251"/>
      <c r="W542" s="251"/>
      <c r="X542" s="251"/>
      <c r="Y542" s="251"/>
      <c r="Z542" s="251"/>
      <c r="AA542" s="251"/>
    </row>
    <row r="543" ht="14.25" customHeight="1">
      <c r="A543" s="251"/>
      <c r="B543" s="263"/>
      <c r="C543" s="498" t="s">
        <v>15210</v>
      </c>
      <c r="D543" s="251"/>
      <c r="E543" s="500" t="s">
        <v>13732</v>
      </c>
      <c r="F543" s="500" t="s">
        <v>14449</v>
      </c>
      <c r="G543" s="263" t="s">
        <v>14450</v>
      </c>
      <c r="H543" s="263" t="s">
        <v>14451</v>
      </c>
      <c r="I543" s="513" t="s">
        <v>36</v>
      </c>
      <c r="J543" s="263"/>
      <c r="K543" s="263"/>
      <c r="L543" s="251"/>
      <c r="M543" s="251"/>
      <c r="N543" s="251"/>
      <c r="O543" s="251"/>
      <c r="P543" s="251"/>
      <c r="Q543" s="251"/>
      <c r="R543" s="251"/>
      <c r="S543" s="251"/>
      <c r="T543" s="251"/>
      <c r="U543" s="251"/>
      <c r="V543" s="251"/>
      <c r="W543" s="251"/>
      <c r="X543" s="251"/>
      <c r="Y543" s="251"/>
      <c r="Z543" s="251"/>
      <c r="AA543" s="251"/>
    </row>
    <row r="544" ht="14.25" customHeight="1">
      <c r="A544" s="251"/>
      <c r="B544" s="263"/>
      <c r="C544" s="263"/>
      <c r="D544" s="251"/>
      <c r="E544" s="500"/>
      <c r="F544" s="500"/>
      <c r="G544" s="500"/>
      <c r="H544" s="500"/>
      <c r="I544" s="513"/>
      <c r="J544" s="263"/>
      <c r="K544" s="263"/>
      <c r="L544" s="251"/>
      <c r="M544" s="251"/>
      <c r="N544" s="251"/>
      <c r="O544" s="251"/>
      <c r="P544" s="251"/>
      <c r="Q544" s="251"/>
      <c r="R544" s="251"/>
      <c r="S544" s="251"/>
      <c r="T544" s="251"/>
      <c r="U544" s="251"/>
      <c r="V544" s="251"/>
      <c r="W544" s="251"/>
      <c r="X544" s="251"/>
      <c r="Y544" s="251"/>
      <c r="Z544" s="251"/>
      <c r="AA544" s="251"/>
    </row>
    <row r="545" ht="14.25" customHeight="1">
      <c r="A545" s="251"/>
      <c r="B545" s="263"/>
      <c r="C545" s="263"/>
      <c r="D545" s="251"/>
      <c r="E545" s="500"/>
      <c r="F545" s="500"/>
      <c r="G545" s="500"/>
      <c r="H545" s="500"/>
      <c r="I545" s="513"/>
      <c r="J545" s="263"/>
      <c r="K545" s="263"/>
      <c r="L545" s="251"/>
      <c r="M545" s="251"/>
      <c r="N545" s="251"/>
      <c r="O545" s="251"/>
      <c r="P545" s="251"/>
      <c r="Q545" s="251"/>
      <c r="R545" s="251"/>
      <c r="S545" s="251"/>
      <c r="T545" s="251"/>
      <c r="U545" s="251"/>
      <c r="V545" s="251"/>
      <c r="W545" s="251"/>
      <c r="X545" s="251"/>
      <c r="Y545" s="251"/>
      <c r="Z545" s="251"/>
      <c r="AA545" s="251"/>
    </row>
    <row r="546" ht="14.25" customHeight="1">
      <c r="A546" s="251"/>
      <c r="B546" s="263"/>
      <c r="C546" s="263"/>
      <c r="D546" s="251"/>
      <c r="E546" s="500"/>
      <c r="F546" s="500"/>
      <c r="G546" s="500"/>
      <c r="H546" s="500"/>
      <c r="I546" s="513"/>
      <c r="J546" s="263"/>
      <c r="K546" s="263"/>
      <c r="L546" s="251"/>
      <c r="M546" s="251"/>
      <c r="N546" s="251"/>
      <c r="O546" s="251"/>
      <c r="P546" s="251"/>
      <c r="Q546" s="251"/>
      <c r="R546" s="251"/>
      <c r="S546" s="251"/>
      <c r="T546" s="251"/>
      <c r="U546" s="251"/>
      <c r="V546" s="251"/>
      <c r="W546" s="251"/>
      <c r="X546" s="251"/>
      <c r="Y546" s="251"/>
      <c r="Z546" s="251"/>
      <c r="AA546" s="251"/>
    </row>
    <row r="547" ht="14.25" customHeight="1">
      <c r="A547" s="251"/>
      <c r="B547" s="263"/>
      <c r="C547" s="263"/>
      <c r="D547" s="251"/>
      <c r="E547" s="500"/>
      <c r="F547" s="500"/>
      <c r="G547" s="500"/>
      <c r="H547" s="500"/>
      <c r="I547" s="513"/>
      <c r="J547" s="263"/>
      <c r="K547" s="263"/>
      <c r="L547" s="251"/>
      <c r="M547" s="251"/>
      <c r="N547" s="251"/>
      <c r="O547" s="251"/>
      <c r="P547" s="251"/>
      <c r="Q547" s="251"/>
      <c r="R547" s="251"/>
      <c r="S547" s="251"/>
      <c r="T547" s="251"/>
      <c r="U547" s="251"/>
      <c r="V547" s="251"/>
      <c r="W547" s="251"/>
      <c r="X547" s="251"/>
      <c r="Y547" s="251"/>
      <c r="Z547" s="251"/>
      <c r="AA547" s="251"/>
    </row>
    <row r="548" ht="14.25" customHeight="1">
      <c r="A548" s="251"/>
      <c r="B548" s="263"/>
      <c r="C548" s="263"/>
      <c r="D548" s="251"/>
      <c r="E548" s="500"/>
      <c r="F548" s="500"/>
      <c r="G548" s="500"/>
      <c r="H548" s="500"/>
      <c r="I548" s="513"/>
      <c r="J548" s="263"/>
      <c r="K548" s="263"/>
      <c r="L548" s="251"/>
      <c r="M548" s="251"/>
      <c r="N548" s="251"/>
      <c r="O548" s="251"/>
      <c r="P548" s="251"/>
      <c r="Q548" s="251"/>
      <c r="R548" s="251"/>
      <c r="S548" s="251"/>
      <c r="T548" s="251"/>
      <c r="U548" s="251"/>
      <c r="V548" s="251"/>
      <c r="W548" s="251"/>
      <c r="X548" s="251"/>
      <c r="Y548" s="251"/>
      <c r="Z548" s="251"/>
      <c r="AA548" s="251"/>
    </row>
    <row r="549" ht="14.25" customHeight="1">
      <c r="A549" s="251"/>
      <c r="B549" s="263"/>
      <c r="C549" s="263"/>
      <c r="D549" s="251"/>
      <c r="E549" s="500"/>
      <c r="F549" s="500"/>
      <c r="G549" s="500"/>
      <c r="H549" s="500"/>
      <c r="I549" s="513"/>
      <c r="J549" s="263"/>
      <c r="K549" s="263"/>
      <c r="L549" s="251"/>
      <c r="M549" s="251"/>
      <c r="N549" s="251"/>
      <c r="O549" s="251"/>
      <c r="P549" s="251"/>
      <c r="Q549" s="251"/>
      <c r="R549" s="251"/>
      <c r="S549" s="251"/>
      <c r="T549" s="251"/>
      <c r="U549" s="251"/>
      <c r="V549" s="251"/>
      <c r="W549" s="251"/>
      <c r="X549" s="251"/>
      <c r="Y549" s="251"/>
      <c r="Z549" s="251"/>
      <c r="AA549" s="251"/>
    </row>
    <row r="550" ht="14.25" customHeight="1">
      <c r="A550" s="251"/>
      <c r="B550" s="263"/>
      <c r="C550" s="263"/>
      <c r="D550" s="251"/>
      <c r="E550" s="500"/>
      <c r="F550" s="500"/>
      <c r="G550" s="500"/>
      <c r="H550" s="500"/>
      <c r="I550" s="513"/>
      <c r="J550" s="263"/>
      <c r="K550" s="263"/>
      <c r="L550" s="251"/>
      <c r="M550" s="251"/>
      <c r="N550" s="251"/>
      <c r="O550" s="251"/>
      <c r="P550" s="251"/>
      <c r="Q550" s="251"/>
      <c r="R550" s="251"/>
      <c r="S550" s="251"/>
      <c r="T550" s="251"/>
      <c r="U550" s="251"/>
      <c r="V550" s="251"/>
      <c r="W550" s="251"/>
      <c r="X550" s="251"/>
      <c r="Y550" s="251"/>
      <c r="Z550" s="251"/>
      <c r="AA550" s="251"/>
    </row>
    <row r="551" ht="14.25" customHeight="1">
      <c r="A551" s="251"/>
      <c r="B551" s="263"/>
      <c r="C551" s="263"/>
      <c r="D551" s="251"/>
      <c r="E551" s="500"/>
      <c r="F551" s="500"/>
      <c r="G551" s="500"/>
      <c r="H551" s="500"/>
      <c r="I551" s="513"/>
      <c r="J551" s="263"/>
      <c r="K551" s="263"/>
      <c r="L551" s="251"/>
      <c r="M551" s="251"/>
      <c r="N551" s="251"/>
      <c r="O551" s="251"/>
      <c r="P551" s="251"/>
      <c r="Q551" s="251"/>
      <c r="R551" s="251"/>
      <c r="S551" s="251"/>
      <c r="T551" s="251"/>
      <c r="U551" s="251"/>
      <c r="V551" s="251"/>
      <c r="W551" s="251"/>
      <c r="X551" s="251"/>
      <c r="Y551" s="251"/>
      <c r="Z551" s="251"/>
      <c r="AA551" s="251"/>
    </row>
    <row r="552" ht="14.25" customHeight="1">
      <c r="A552" s="251"/>
      <c r="B552" s="263"/>
      <c r="C552" s="263"/>
      <c r="D552" s="251"/>
      <c r="E552" s="500"/>
      <c r="F552" s="500"/>
      <c r="G552" s="500"/>
      <c r="H552" s="500"/>
      <c r="I552" s="513"/>
      <c r="J552" s="263"/>
      <c r="K552" s="263"/>
      <c r="L552" s="251"/>
      <c r="M552" s="251"/>
      <c r="N552" s="251"/>
      <c r="O552" s="251"/>
      <c r="P552" s="251"/>
      <c r="Q552" s="251"/>
      <c r="R552" s="251"/>
      <c r="S552" s="251"/>
      <c r="T552" s="251"/>
      <c r="U552" s="251"/>
      <c r="V552" s="251"/>
      <c r="W552" s="251"/>
      <c r="X552" s="251"/>
      <c r="Y552" s="251"/>
      <c r="Z552" s="251"/>
      <c r="AA552" s="251"/>
    </row>
    <row r="553" ht="14.25" customHeight="1">
      <c r="A553" s="251"/>
      <c r="B553" s="263"/>
      <c r="C553" s="263"/>
      <c r="D553" s="251"/>
      <c r="E553" s="500"/>
      <c r="F553" s="500"/>
      <c r="G553" s="500"/>
      <c r="H553" s="500"/>
      <c r="I553" s="513"/>
      <c r="J553" s="263"/>
      <c r="K553" s="263"/>
      <c r="L553" s="251"/>
      <c r="M553" s="251"/>
      <c r="N553" s="251"/>
      <c r="O553" s="251"/>
      <c r="P553" s="251"/>
      <c r="Q553" s="251"/>
      <c r="R553" s="251"/>
      <c r="S553" s="251"/>
      <c r="T553" s="251"/>
      <c r="U553" s="251"/>
      <c r="V553" s="251"/>
      <c r="W553" s="251"/>
      <c r="X553" s="251"/>
      <c r="Y553" s="251"/>
      <c r="Z553" s="251"/>
      <c r="AA553" s="251"/>
    </row>
    <row r="554" ht="14.25" customHeight="1">
      <c r="A554" s="251"/>
      <c r="B554" s="263"/>
      <c r="C554" s="263"/>
      <c r="D554" s="251"/>
      <c r="E554" s="500"/>
      <c r="F554" s="500"/>
      <c r="G554" s="500"/>
      <c r="H554" s="500"/>
      <c r="I554" s="513"/>
      <c r="J554" s="263"/>
      <c r="K554" s="263"/>
      <c r="L554" s="251"/>
      <c r="M554" s="251"/>
      <c r="N554" s="251"/>
      <c r="O554" s="251"/>
      <c r="P554" s="251"/>
      <c r="Q554" s="251"/>
      <c r="R554" s="251"/>
      <c r="S554" s="251"/>
      <c r="T554" s="251"/>
      <c r="U554" s="251"/>
      <c r="V554" s="251"/>
      <c r="W554" s="251"/>
      <c r="X554" s="251"/>
      <c r="Y554" s="251"/>
      <c r="Z554" s="251"/>
      <c r="AA554" s="251"/>
    </row>
    <row r="555" ht="14.25" customHeight="1">
      <c r="A555" s="251"/>
      <c r="B555" s="263"/>
      <c r="C555" s="263"/>
      <c r="D555" s="251"/>
      <c r="E555" s="500"/>
      <c r="F555" s="500"/>
      <c r="G555" s="500"/>
      <c r="H555" s="500"/>
      <c r="I555" s="513"/>
      <c r="J555" s="263"/>
      <c r="K555" s="263"/>
      <c r="L555" s="251"/>
      <c r="M555" s="251"/>
      <c r="N555" s="251"/>
      <c r="O555" s="251"/>
      <c r="P555" s="251"/>
      <c r="Q555" s="251"/>
      <c r="R555" s="251"/>
      <c r="S555" s="251"/>
      <c r="T555" s="251"/>
      <c r="U555" s="251"/>
      <c r="V555" s="251"/>
      <c r="W555" s="251"/>
      <c r="X555" s="251"/>
      <c r="Y555" s="251"/>
      <c r="Z555" s="251"/>
      <c r="AA555" s="251"/>
    </row>
    <row r="556" ht="14.25" customHeight="1">
      <c r="A556" s="251"/>
      <c r="B556" s="263"/>
      <c r="C556" s="263"/>
      <c r="D556" s="251"/>
      <c r="E556" s="500"/>
      <c r="F556" s="500"/>
      <c r="G556" s="500"/>
      <c r="H556" s="500"/>
      <c r="I556" s="513"/>
      <c r="J556" s="263"/>
      <c r="K556" s="263"/>
      <c r="L556" s="251"/>
      <c r="M556" s="251"/>
      <c r="N556" s="251"/>
      <c r="O556" s="251"/>
      <c r="P556" s="251"/>
      <c r="Q556" s="251"/>
      <c r="R556" s="251"/>
      <c r="S556" s="251"/>
      <c r="T556" s="251"/>
      <c r="U556" s="251"/>
      <c r="V556" s="251"/>
      <c r="W556" s="251"/>
      <c r="X556" s="251"/>
      <c r="Y556" s="251"/>
      <c r="Z556" s="251"/>
      <c r="AA556" s="251"/>
    </row>
    <row r="557" ht="14.25" customHeight="1">
      <c r="A557" s="251"/>
      <c r="B557" s="263"/>
      <c r="C557" s="263"/>
      <c r="D557" s="251"/>
      <c r="E557" s="500"/>
      <c r="F557" s="500"/>
      <c r="G557" s="500"/>
      <c r="H557" s="500"/>
      <c r="I557" s="513"/>
      <c r="J557" s="263"/>
      <c r="K557" s="263"/>
      <c r="L557" s="251"/>
      <c r="M557" s="251"/>
      <c r="N557" s="251"/>
      <c r="O557" s="251"/>
      <c r="P557" s="251"/>
      <c r="Q557" s="251"/>
      <c r="R557" s="251"/>
      <c r="S557" s="251"/>
      <c r="T557" s="251"/>
      <c r="U557" s="251"/>
      <c r="V557" s="251"/>
      <c r="W557" s="251"/>
      <c r="X557" s="251"/>
      <c r="Y557" s="251"/>
      <c r="Z557" s="251"/>
      <c r="AA557" s="251"/>
    </row>
    <row r="558" ht="14.25" customHeight="1">
      <c r="A558" s="251"/>
      <c r="B558" s="263"/>
      <c r="C558" s="263"/>
      <c r="D558" s="251"/>
      <c r="E558" s="500"/>
      <c r="F558" s="500"/>
      <c r="G558" s="500"/>
      <c r="H558" s="500"/>
      <c r="I558" s="513"/>
      <c r="J558" s="263"/>
      <c r="K558" s="263"/>
      <c r="L558" s="251"/>
      <c r="M558" s="251"/>
      <c r="N558" s="251"/>
      <c r="O558" s="251"/>
      <c r="P558" s="251"/>
      <c r="Q558" s="251"/>
      <c r="R558" s="251"/>
      <c r="S558" s="251"/>
      <c r="T558" s="251"/>
      <c r="U558" s="251"/>
      <c r="V558" s="251"/>
      <c r="W558" s="251"/>
      <c r="X558" s="251"/>
      <c r="Y558" s="251"/>
      <c r="Z558" s="251"/>
      <c r="AA558" s="251"/>
    </row>
    <row r="559" ht="14.25" customHeight="1">
      <c r="A559" s="251"/>
      <c r="B559" s="263"/>
      <c r="C559" s="263"/>
      <c r="D559" s="251"/>
      <c r="E559" s="500"/>
      <c r="F559" s="500"/>
      <c r="G559" s="500"/>
      <c r="H559" s="500"/>
      <c r="I559" s="513"/>
      <c r="J559" s="263"/>
      <c r="K559" s="263"/>
      <c r="L559" s="251"/>
      <c r="M559" s="251"/>
      <c r="N559" s="251"/>
      <c r="O559" s="251"/>
      <c r="P559" s="251"/>
      <c r="Q559" s="251"/>
      <c r="R559" s="251"/>
      <c r="S559" s="251"/>
      <c r="T559" s="251"/>
      <c r="U559" s="251"/>
      <c r="V559" s="251"/>
      <c r="W559" s="251"/>
      <c r="X559" s="251"/>
      <c r="Y559" s="251"/>
      <c r="Z559" s="251"/>
      <c r="AA559" s="251"/>
    </row>
    <row r="560" ht="14.25" customHeight="1">
      <c r="A560" s="251"/>
      <c r="B560" s="263"/>
      <c r="C560" s="263"/>
      <c r="D560" s="251"/>
      <c r="E560" s="500"/>
      <c r="F560" s="500"/>
      <c r="G560" s="500"/>
      <c r="H560" s="500"/>
      <c r="I560" s="513"/>
      <c r="J560" s="263"/>
      <c r="K560" s="263"/>
      <c r="L560" s="251"/>
      <c r="M560" s="251"/>
      <c r="N560" s="251"/>
      <c r="O560" s="251"/>
      <c r="P560" s="251"/>
      <c r="Q560" s="251"/>
      <c r="R560" s="251"/>
      <c r="S560" s="251"/>
      <c r="T560" s="251"/>
      <c r="U560" s="251"/>
      <c r="V560" s="251"/>
      <c r="W560" s="251"/>
      <c r="X560" s="251"/>
      <c r="Y560" s="251"/>
      <c r="Z560" s="251"/>
      <c r="AA560" s="251"/>
    </row>
    <row r="561" ht="14.25" customHeight="1">
      <c r="A561" s="251"/>
      <c r="B561" s="263"/>
      <c r="C561" s="263"/>
      <c r="D561" s="251"/>
      <c r="E561" s="500"/>
      <c r="F561" s="500"/>
      <c r="G561" s="500"/>
      <c r="H561" s="500"/>
      <c r="I561" s="513"/>
      <c r="J561" s="263"/>
      <c r="K561" s="263"/>
      <c r="L561" s="251"/>
      <c r="M561" s="251"/>
      <c r="N561" s="251"/>
      <c r="O561" s="251"/>
      <c r="P561" s="251"/>
      <c r="Q561" s="251"/>
      <c r="R561" s="251"/>
      <c r="S561" s="251"/>
      <c r="T561" s="251"/>
      <c r="U561" s="251"/>
      <c r="V561" s="251"/>
      <c r="W561" s="251"/>
      <c r="X561" s="251"/>
      <c r="Y561" s="251"/>
      <c r="Z561" s="251"/>
      <c r="AA561" s="251"/>
    </row>
    <row r="562" ht="14.25" customHeight="1">
      <c r="A562" s="251"/>
      <c r="B562" s="263"/>
      <c r="C562" s="263"/>
      <c r="D562" s="251"/>
      <c r="E562" s="500"/>
      <c r="F562" s="500"/>
      <c r="G562" s="500"/>
      <c r="H562" s="500"/>
      <c r="I562" s="513"/>
      <c r="J562" s="263"/>
      <c r="K562" s="263"/>
      <c r="L562" s="251"/>
      <c r="M562" s="251"/>
      <c r="N562" s="251"/>
      <c r="O562" s="251"/>
      <c r="P562" s="251"/>
      <c r="Q562" s="251"/>
      <c r="R562" s="251"/>
      <c r="S562" s="251"/>
      <c r="T562" s="251"/>
      <c r="U562" s="251"/>
      <c r="V562" s="251"/>
      <c r="W562" s="251"/>
      <c r="X562" s="251"/>
      <c r="Y562" s="251"/>
      <c r="Z562" s="251"/>
      <c r="AA562" s="251"/>
    </row>
    <row r="563" ht="14.25" customHeight="1">
      <c r="A563" s="251"/>
      <c r="B563" s="263"/>
      <c r="C563" s="263"/>
      <c r="D563" s="251"/>
      <c r="E563" s="500"/>
      <c r="F563" s="500"/>
      <c r="G563" s="500"/>
      <c r="H563" s="500"/>
      <c r="I563" s="513"/>
      <c r="J563" s="263"/>
      <c r="K563" s="263"/>
      <c r="L563" s="251"/>
      <c r="M563" s="251"/>
      <c r="N563" s="251"/>
      <c r="O563" s="251"/>
      <c r="P563" s="251"/>
      <c r="Q563" s="251"/>
      <c r="R563" s="251"/>
      <c r="S563" s="251"/>
      <c r="T563" s="251"/>
      <c r="U563" s="251"/>
      <c r="V563" s="251"/>
      <c r="W563" s="251"/>
      <c r="X563" s="251"/>
      <c r="Y563" s="251"/>
      <c r="Z563" s="251"/>
      <c r="AA563" s="251"/>
    </row>
    <row r="564" ht="14.25" customHeight="1">
      <c r="A564" s="251"/>
      <c r="B564" s="263"/>
      <c r="C564" s="263"/>
      <c r="D564" s="251"/>
      <c r="E564" s="500"/>
      <c r="F564" s="500"/>
      <c r="G564" s="500"/>
      <c r="H564" s="500"/>
      <c r="I564" s="513"/>
      <c r="J564" s="263"/>
      <c r="K564" s="263"/>
      <c r="L564" s="251"/>
      <c r="M564" s="251"/>
      <c r="N564" s="251"/>
      <c r="O564" s="251"/>
      <c r="P564" s="251"/>
      <c r="Q564" s="251"/>
      <c r="R564" s="251"/>
      <c r="S564" s="251"/>
      <c r="T564" s="251"/>
      <c r="U564" s="251"/>
      <c r="V564" s="251"/>
      <c r="W564" s="251"/>
      <c r="X564" s="251"/>
      <c r="Y564" s="251"/>
      <c r="Z564" s="251"/>
      <c r="AA564" s="251"/>
    </row>
    <row r="565" ht="14.25" customHeight="1">
      <c r="A565" s="251"/>
      <c r="B565" s="263"/>
      <c r="C565" s="263"/>
      <c r="D565" s="251"/>
      <c r="E565" s="500"/>
      <c r="F565" s="500"/>
      <c r="G565" s="500"/>
      <c r="H565" s="500"/>
      <c r="I565" s="513"/>
      <c r="J565" s="263"/>
      <c r="K565" s="263"/>
      <c r="L565" s="251"/>
      <c r="M565" s="251"/>
      <c r="N565" s="251"/>
      <c r="O565" s="251"/>
      <c r="P565" s="251"/>
      <c r="Q565" s="251"/>
      <c r="R565" s="251"/>
      <c r="S565" s="251"/>
      <c r="T565" s="251"/>
      <c r="U565" s="251"/>
      <c r="V565" s="251"/>
      <c r="W565" s="251"/>
      <c r="X565" s="251"/>
      <c r="Y565" s="251"/>
      <c r="Z565" s="251"/>
      <c r="AA565" s="251"/>
    </row>
    <row r="566" ht="14.25" customHeight="1">
      <c r="A566" s="251"/>
      <c r="B566" s="263"/>
      <c r="C566" s="263"/>
      <c r="D566" s="251"/>
      <c r="E566" s="500"/>
      <c r="F566" s="500"/>
      <c r="G566" s="500"/>
      <c r="H566" s="500"/>
      <c r="I566" s="513"/>
      <c r="J566" s="263"/>
      <c r="K566" s="263"/>
      <c r="L566" s="251"/>
      <c r="M566" s="251"/>
      <c r="N566" s="251"/>
      <c r="O566" s="251"/>
      <c r="P566" s="251"/>
      <c r="Q566" s="251"/>
      <c r="R566" s="251"/>
      <c r="S566" s="251"/>
      <c r="T566" s="251"/>
      <c r="U566" s="251"/>
      <c r="V566" s="251"/>
      <c r="W566" s="251"/>
      <c r="X566" s="251"/>
      <c r="Y566" s="251"/>
      <c r="Z566" s="251"/>
      <c r="AA566" s="251"/>
    </row>
    <row r="567" ht="14.25" customHeight="1">
      <c r="A567" s="251"/>
      <c r="B567" s="263"/>
      <c r="C567" s="263"/>
      <c r="D567" s="251"/>
      <c r="E567" s="500"/>
      <c r="F567" s="500"/>
      <c r="G567" s="500"/>
      <c r="H567" s="500"/>
      <c r="I567" s="513"/>
      <c r="J567" s="263"/>
      <c r="K567" s="263"/>
      <c r="L567" s="251"/>
      <c r="M567" s="251"/>
      <c r="N567" s="251"/>
      <c r="O567" s="251"/>
      <c r="P567" s="251"/>
      <c r="Q567" s="251"/>
      <c r="R567" s="251"/>
      <c r="S567" s="251"/>
      <c r="T567" s="251"/>
      <c r="U567" s="251"/>
      <c r="V567" s="251"/>
      <c r="W567" s="251"/>
      <c r="X567" s="251"/>
      <c r="Y567" s="251"/>
      <c r="Z567" s="251"/>
      <c r="AA567" s="251"/>
    </row>
    <row r="568" ht="14.25" customHeight="1">
      <c r="A568" s="251"/>
      <c r="B568" s="263"/>
      <c r="C568" s="263"/>
      <c r="D568" s="251"/>
      <c r="E568" s="500"/>
      <c r="F568" s="500"/>
      <c r="G568" s="500"/>
      <c r="H568" s="500"/>
      <c r="I568" s="513"/>
      <c r="J568" s="263"/>
      <c r="K568" s="263"/>
      <c r="L568" s="251"/>
      <c r="M568" s="251"/>
      <c r="N568" s="251"/>
      <c r="O568" s="251"/>
      <c r="P568" s="251"/>
      <c r="Q568" s="251"/>
      <c r="R568" s="251"/>
      <c r="S568" s="251"/>
      <c r="T568" s="251"/>
      <c r="U568" s="251"/>
      <c r="V568" s="251"/>
      <c r="W568" s="251"/>
      <c r="X568" s="251"/>
      <c r="Y568" s="251"/>
      <c r="Z568" s="251"/>
      <c r="AA568" s="251"/>
    </row>
    <row r="569" ht="14.25" customHeight="1">
      <c r="A569" s="251"/>
      <c r="B569" s="263"/>
      <c r="C569" s="263"/>
      <c r="D569" s="251"/>
      <c r="E569" s="500"/>
      <c r="F569" s="500"/>
      <c r="G569" s="500"/>
      <c r="H569" s="500"/>
      <c r="I569" s="513"/>
      <c r="J569" s="263"/>
      <c r="K569" s="263"/>
      <c r="L569" s="251"/>
      <c r="M569" s="251"/>
      <c r="N569" s="251"/>
      <c r="O569" s="251"/>
      <c r="P569" s="251"/>
      <c r="Q569" s="251"/>
      <c r="R569" s="251"/>
      <c r="S569" s="251"/>
      <c r="T569" s="251"/>
      <c r="U569" s="251"/>
      <c r="V569" s="251"/>
      <c r="W569" s="251"/>
      <c r="X569" s="251"/>
      <c r="Y569" s="251"/>
      <c r="Z569" s="251"/>
      <c r="AA569" s="251"/>
    </row>
    <row r="570" ht="14.25" customHeight="1">
      <c r="A570" s="251"/>
      <c r="B570" s="263"/>
      <c r="C570" s="263"/>
      <c r="D570" s="251"/>
      <c r="E570" s="500"/>
      <c r="F570" s="500"/>
      <c r="G570" s="500"/>
      <c r="H570" s="500"/>
      <c r="I570" s="513"/>
      <c r="J570" s="263"/>
      <c r="K570" s="263"/>
      <c r="L570" s="251"/>
      <c r="M570" s="251"/>
      <c r="N570" s="251"/>
      <c r="O570" s="251"/>
      <c r="P570" s="251"/>
      <c r="Q570" s="251"/>
      <c r="R570" s="251"/>
      <c r="S570" s="251"/>
      <c r="T570" s="251"/>
      <c r="U570" s="251"/>
      <c r="V570" s="251"/>
      <c r="W570" s="251"/>
      <c r="X570" s="251"/>
      <c r="Y570" s="251"/>
      <c r="Z570" s="251"/>
      <c r="AA570" s="251"/>
    </row>
    <row r="571" ht="14.25" customHeight="1">
      <c r="A571" s="251"/>
      <c r="B571" s="263"/>
      <c r="C571" s="263"/>
      <c r="D571" s="251"/>
      <c r="E571" s="500"/>
      <c r="F571" s="500"/>
      <c r="G571" s="500"/>
      <c r="H571" s="500"/>
      <c r="I571" s="513"/>
      <c r="J571" s="263"/>
      <c r="K571" s="263"/>
      <c r="L571" s="251"/>
      <c r="M571" s="251"/>
      <c r="N571" s="251"/>
      <c r="O571" s="251"/>
      <c r="P571" s="251"/>
      <c r="Q571" s="251"/>
      <c r="R571" s="251"/>
      <c r="S571" s="251"/>
      <c r="T571" s="251"/>
      <c r="U571" s="251"/>
      <c r="V571" s="251"/>
      <c r="W571" s="251"/>
      <c r="X571" s="251"/>
      <c r="Y571" s="251"/>
      <c r="Z571" s="251"/>
      <c r="AA571" s="251"/>
    </row>
    <row r="572" ht="14.25" customHeight="1">
      <c r="A572" s="251"/>
      <c r="B572" s="263"/>
      <c r="C572" s="263"/>
      <c r="D572" s="251"/>
      <c r="E572" s="500"/>
      <c r="F572" s="500"/>
      <c r="G572" s="500"/>
      <c r="H572" s="500"/>
      <c r="I572" s="513"/>
      <c r="J572" s="263"/>
      <c r="K572" s="263"/>
      <c r="L572" s="251"/>
      <c r="M572" s="251"/>
      <c r="N572" s="251"/>
      <c r="O572" s="251"/>
      <c r="P572" s="251"/>
      <c r="Q572" s="251"/>
      <c r="R572" s="251"/>
      <c r="S572" s="251"/>
      <c r="T572" s="251"/>
      <c r="U572" s="251"/>
      <c r="V572" s="251"/>
      <c r="W572" s="251"/>
      <c r="X572" s="251"/>
      <c r="Y572" s="251"/>
      <c r="Z572" s="251"/>
      <c r="AA572" s="251"/>
    </row>
    <row r="573" ht="14.25" customHeight="1">
      <c r="A573" s="251"/>
      <c r="B573" s="263"/>
      <c r="C573" s="263"/>
      <c r="D573" s="251"/>
      <c r="E573" s="500"/>
      <c r="F573" s="500"/>
      <c r="G573" s="500"/>
      <c r="H573" s="500"/>
      <c r="I573" s="513"/>
      <c r="J573" s="263"/>
      <c r="K573" s="263"/>
      <c r="L573" s="251"/>
      <c r="M573" s="251"/>
      <c r="N573" s="251"/>
      <c r="O573" s="251"/>
      <c r="P573" s="251"/>
      <c r="Q573" s="251"/>
      <c r="R573" s="251"/>
      <c r="S573" s="251"/>
      <c r="T573" s="251"/>
      <c r="U573" s="251"/>
      <c r="V573" s="251"/>
      <c r="W573" s="251"/>
      <c r="X573" s="251"/>
      <c r="Y573" s="251"/>
      <c r="Z573" s="251"/>
      <c r="AA573" s="251"/>
    </row>
    <row r="574" ht="14.25" customHeight="1">
      <c r="A574" s="251"/>
      <c r="B574" s="263"/>
      <c r="C574" s="263"/>
      <c r="D574" s="251"/>
      <c r="E574" s="500"/>
      <c r="F574" s="500"/>
      <c r="G574" s="500"/>
      <c r="H574" s="500"/>
      <c r="I574" s="513"/>
      <c r="J574" s="263"/>
      <c r="K574" s="263"/>
      <c r="L574" s="251"/>
      <c r="M574" s="251"/>
      <c r="N574" s="251"/>
      <c r="O574" s="251"/>
      <c r="P574" s="251"/>
      <c r="Q574" s="251"/>
      <c r="R574" s="251"/>
      <c r="S574" s="251"/>
      <c r="T574" s="251"/>
      <c r="U574" s="251"/>
      <c r="V574" s="251"/>
      <c r="W574" s="251"/>
      <c r="X574" s="251"/>
      <c r="Y574" s="251"/>
      <c r="Z574" s="251"/>
      <c r="AA574" s="251"/>
    </row>
    <row r="575" ht="14.25" customHeight="1">
      <c r="A575" s="251"/>
      <c r="B575" s="263"/>
      <c r="C575" s="263"/>
      <c r="D575" s="251"/>
      <c r="E575" s="500"/>
      <c r="F575" s="500"/>
      <c r="G575" s="500"/>
      <c r="H575" s="500"/>
      <c r="I575" s="513"/>
      <c r="J575" s="263"/>
      <c r="K575" s="263"/>
      <c r="L575" s="251"/>
      <c r="M575" s="251"/>
      <c r="N575" s="251"/>
      <c r="O575" s="251"/>
      <c r="P575" s="251"/>
      <c r="Q575" s="251"/>
      <c r="R575" s="251"/>
      <c r="S575" s="251"/>
      <c r="T575" s="251"/>
      <c r="U575" s="251"/>
      <c r="V575" s="251"/>
      <c r="W575" s="251"/>
      <c r="X575" s="251"/>
      <c r="Y575" s="251"/>
      <c r="Z575" s="251"/>
      <c r="AA575" s="251"/>
    </row>
    <row r="576" ht="14.25" customHeight="1">
      <c r="A576" s="251"/>
      <c r="B576" s="263"/>
      <c r="C576" s="263"/>
      <c r="D576" s="251"/>
      <c r="E576" s="500"/>
      <c r="F576" s="500"/>
      <c r="G576" s="500"/>
      <c r="H576" s="500"/>
      <c r="I576" s="513"/>
      <c r="J576" s="263"/>
      <c r="K576" s="263"/>
      <c r="L576" s="251"/>
      <c r="M576" s="251"/>
      <c r="N576" s="251"/>
      <c r="O576" s="251"/>
      <c r="P576" s="251"/>
      <c r="Q576" s="251"/>
      <c r="R576" s="251"/>
      <c r="S576" s="251"/>
      <c r="T576" s="251"/>
      <c r="U576" s="251"/>
      <c r="V576" s="251"/>
      <c r="W576" s="251"/>
      <c r="X576" s="251"/>
      <c r="Y576" s="251"/>
      <c r="Z576" s="251"/>
      <c r="AA576" s="251"/>
    </row>
    <row r="577" ht="14.25" customHeight="1">
      <c r="A577" s="251"/>
      <c r="B577" s="263"/>
      <c r="C577" s="263"/>
      <c r="D577" s="251"/>
      <c r="E577" s="500"/>
      <c r="F577" s="500"/>
      <c r="G577" s="500"/>
      <c r="H577" s="500"/>
      <c r="I577" s="513"/>
      <c r="J577" s="263"/>
      <c r="K577" s="263"/>
      <c r="L577" s="251"/>
      <c r="M577" s="251"/>
      <c r="N577" s="251"/>
      <c r="O577" s="251"/>
      <c r="P577" s="251"/>
      <c r="Q577" s="251"/>
      <c r="R577" s="251"/>
      <c r="S577" s="251"/>
      <c r="T577" s="251"/>
      <c r="U577" s="251"/>
      <c r="V577" s="251"/>
      <c r="W577" s="251"/>
      <c r="X577" s="251"/>
      <c r="Y577" s="251"/>
      <c r="Z577" s="251"/>
      <c r="AA577" s="251"/>
    </row>
    <row r="578" ht="14.25" customHeight="1">
      <c r="A578" s="251"/>
      <c r="B578" s="263"/>
      <c r="C578" s="263"/>
      <c r="D578" s="251"/>
      <c r="E578" s="500"/>
      <c r="F578" s="500"/>
      <c r="G578" s="500"/>
      <c r="H578" s="500"/>
      <c r="I578" s="513"/>
      <c r="J578" s="263"/>
      <c r="K578" s="263"/>
      <c r="L578" s="251"/>
      <c r="M578" s="251"/>
      <c r="N578" s="251"/>
      <c r="O578" s="251"/>
      <c r="P578" s="251"/>
      <c r="Q578" s="251"/>
      <c r="R578" s="251"/>
      <c r="S578" s="251"/>
      <c r="T578" s="251"/>
      <c r="U578" s="251"/>
      <c r="V578" s="251"/>
      <c r="W578" s="251"/>
      <c r="X578" s="251"/>
      <c r="Y578" s="251"/>
      <c r="Z578" s="251"/>
      <c r="AA578" s="251"/>
    </row>
    <row r="579" ht="14.25" customHeight="1">
      <c r="A579" s="251"/>
      <c r="B579" s="263"/>
      <c r="C579" s="263"/>
      <c r="D579" s="251"/>
      <c r="E579" s="500"/>
      <c r="F579" s="500"/>
      <c r="G579" s="500"/>
      <c r="H579" s="500"/>
      <c r="I579" s="513"/>
      <c r="J579" s="263"/>
      <c r="K579" s="263"/>
      <c r="L579" s="251"/>
      <c r="M579" s="251"/>
      <c r="N579" s="251"/>
      <c r="O579" s="251"/>
      <c r="P579" s="251"/>
      <c r="Q579" s="251"/>
      <c r="R579" s="251"/>
      <c r="S579" s="251"/>
      <c r="T579" s="251"/>
      <c r="U579" s="251"/>
      <c r="V579" s="251"/>
      <c r="W579" s="251"/>
      <c r="X579" s="251"/>
      <c r="Y579" s="251"/>
      <c r="Z579" s="251"/>
      <c r="AA579" s="251"/>
    </row>
    <row r="580" ht="14.25" customHeight="1">
      <c r="A580" s="251"/>
      <c r="B580" s="263"/>
      <c r="C580" s="263"/>
      <c r="D580" s="251"/>
      <c r="E580" s="500"/>
      <c r="F580" s="500"/>
      <c r="G580" s="500"/>
      <c r="H580" s="500"/>
      <c r="I580" s="513"/>
      <c r="J580" s="263"/>
      <c r="K580" s="263"/>
      <c r="L580" s="251"/>
      <c r="M580" s="251"/>
      <c r="N580" s="251"/>
      <c r="O580" s="251"/>
      <c r="P580" s="251"/>
      <c r="Q580" s="251"/>
      <c r="R580" s="251"/>
      <c r="S580" s="251"/>
      <c r="T580" s="251"/>
      <c r="U580" s="251"/>
      <c r="V580" s="251"/>
      <c r="W580" s="251"/>
      <c r="X580" s="251"/>
      <c r="Y580" s="251"/>
      <c r="Z580" s="251"/>
      <c r="AA580" s="251"/>
    </row>
    <row r="581" ht="14.25" customHeight="1">
      <c r="A581" s="251"/>
      <c r="B581" s="263"/>
      <c r="C581" s="263"/>
      <c r="D581" s="251"/>
      <c r="E581" s="500"/>
      <c r="F581" s="500"/>
      <c r="G581" s="500"/>
      <c r="H581" s="500"/>
      <c r="I581" s="513"/>
      <c r="J581" s="263"/>
      <c r="K581" s="263"/>
      <c r="L581" s="251"/>
      <c r="M581" s="251"/>
      <c r="N581" s="251"/>
      <c r="O581" s="251"/>
      <c r="P581" s="251"/>
      <c r="Q581" s="251"/>
      <c r="R581" s="251"/>
      <c r="S581" s="251"/>
      <c r="T581" s="251"/>
      <c r="U581" s="251"/>
      <c r="V581" s="251"/>
      <c r="W581" s="251"/>
      <c r="X581" s="251"/>
      <c r="Y581" s="251"/>
      <c r="Z581" s="251"/>
      <c r="AA581" s="251"/>
    </row>
    <row r="582" ht="14.25" customHeight="1">
      <c r="A582" s="251"/>
      <c r="B582" s="263"/>
      <c r="C582" s="263"/>
      <c r="D582" s="251"/>
      <c r="E582" s="500"/>
      <c r="F582" s="500"/>
      <c r="G582" s="500"/>
      <c r="H582" s="500"/>
      <c r="I582" s="513"/>
      <c r="J582" s="263"/>
      <c r="K582" s="263"/>
      <c r="L582" s="251"/>
      <c r="M582" s="251"/>
      <c r="N582" s="251"/>
      <c r="O582" s="251"/>
      <c r="P582" s="251"/>
      <c r="Q582" s="251"/>
      <c r="R582" s="251"/>
      <c r="S582" s="251"/>
      <c r="T582" s="251"/>
      <c r="U582" s="251"/>
      <c r="V582" s="251"/>
      <c r="W582" s="251"/>
      <c r="X582" s="251"/>
      <c r="Y582" s="251"/>
      <c r="Z582" s="251"/>
      <c r="AA582" s="251"/>
    </row>
    <row r="583" ht="14.25" customHeight="1">
      <c r="A583" s="251"/>
      <c r="B583" s="263"/>
      <c r="C583" s="263"/>
      <c r="D583" s="251"/>
      <c r="E583" s="500"/>
      <c r="F583" s="500"/>
      <c r="G583" s="500"/>
      <c r="H583" s="500"/>
      <c r="I583" s="513"/>
      <c r="J583" s="263"/>
      <c r="K583" s="263"/>
      <c r="L583" s="251"/>
      <c r="M583" s="251"/>
      <c r="N583" s="251"/>
      <c r="O583" s="251"/>
      <c r="P583" s="251"/>
      <c r="Q583" s="251"/>
      <c r="R583" s="251"/>
      <c r="S583" s="251"/>
      <c r="T583" s="251"/>
      <c r="U583" s="251"/>
      <c r="V583" s="251"/>
      <c r="W583" s="251"/>
      <c r="X583" s="251"/>
      <c r="Y583" s="251"/>
      <c r="Z583" s="251"/>
      <c r="AA583" s="251"/>
    </row>
    <row r="584" ht="14.25" customHeight="1">
      <c r="A584" s="251"/>
      <c r="B584" s="263"/>
      <c r="C584" s="263"/>
      <c r="D584" s="251"/>
      <c r="E584" s="500"/>
      <c r="F584" s="500"/>
      <c r="G584" s="500"/>
      <c r="H584" s="500"/>
      <c r="I584" s="513"/>
      <c r="J584" s="263"/>
      <c r="K584" s="263"/>
      <c r="L584" s="251"/>
      <c r="M584" s="251"/>
      <c r="N584" s="251"/>
      <c r="O584" s="251"/>
      <c r="P584" s="251"/>
      <c r="Q584" s="251"/>
      <c r="R584" s="251"/>
      <c r="S584" s="251"/>
      <c r="T584" s="251"/>
      <c r="U584" s="251"/>
      <c r="V584" s="251"/>
      <c r="W584" s="251"/>
      <c r="X584" s="251"/>
      <c r="Y584" s="251"/>
      <c r="Z584" s="251"/>
      <c r="AA584" s="251"/>
    </row>
    <row r="585" ht="14.25" customHeight="1">
      <c r="A585" s="251"/>
      <c r="B585" s="263"/>
      <c r="C585" s="263"/>
      <c r="D585" s="251"/>
      <c r="E585" s="500"/>
      <c r="F585" s="500"/>
      <c r="G585" s="500"/>
      <c r="H585" s="500"/>
      <c r="I585" s="513"/>
      <c r="J585" s="263"/>
      <c r="K585" s="263"/>
      <c r="L585" s="251"/>
      <c r="M585" s="251"/>
      <c r="N585" s="251"/>
      <c r="O585" s="251"/>
      <c r="P585" s="251"/>
      <c r="Q585" s="251"/>
      <c r="R585" s="251"/>
      <c r="S585" s="251"/>
      <c r="T585" s="251"/>
      <c r="U585" s="251"/>
      <c r="V585" s="251"/>
      <c r="W585" s="251"/>
      <c r="X585" s="251"/>
      <c r="Y585" s="251"/>
      <c r="Z585" s="251"/>
      <c r="AA585" s="251"/>
    </row>
    <row r="586" ht="14.25" customHeight="1">
      <c r="A586" s="251"/>
      <c r="B586" s="263"/>
      <c r="C586" s="263"/>
      <c r="D586" s="251"/>
      <c r="E586" s="500"/>
      <c r="F586" s="500"/>
      <c r="G586" s="500"/>
      <c r="H586" s="500"/>
      <c r="I586" s="513"/>
      <c r="J586" s="263"/>
      <c r="K586" s="263"/>
      <c r="L586" s="251"/>
      <c r="M586" s="251"/>
      <c r="N586" s="251"/>
      <c r="O586" s="251"/>
      <c r="P586" s="251"/>
      <c r="Q586" s="251"/>
      <c r="R586" s="251"/>
      <c r="S586" s="251"/>
      <c r="T586" s="251"/>
      <c r="U586" s="251"/>
      <c r="V586" s="251"/>
      <c r="W586" s="251"/>
      <c r="X586" s="251"/>
      <c r="Y586" s="251"/>
      <c r="Z586" s="251"/>
      <c r="AA586" s="251"/>
    </row>
    <row r="587" ht="14.25" customHeight="1">
      <c r="A587" s="251"/>
      <c r="B587" s="263"/>
      <c r="C587" s="263"/>
      <c r="D587" s="251"/>
      <c r="E587" s="500"/>
      <c r="F587" s="500"/>
      <c r="G587" s="500"/>
      <c r="H587" s="500"/>
      <c r="I587" s="513"/>
      <c r="J587" s="263"/>
      <c r="K587" s="263"/>
      <c r="L587" s="251"/>
      <c r="M587" s="251"/>
      <c r="N587" s="251"/>
      <c r="O587" s="251"/>
      <c r="P587" s="251"/>
      <c r="Q587" s="251"/>
      <c r="R587" s="251"/>
      <c r="S587" s="251"/>
      <c r="T587" s="251"/>
      <c r="U587" s="251"/>
      <c r="V587" s="251"/>
      <c r="W587" s="251"/>
      <c r="X587" s="251"/>
      <c r="Y587" s="251"/>
      <c r="Z587" s="251"/>
      <c r="AA587" s="251"/>
    </row>
    <row r="588" ht="14.25" customHeight="1">
      <c r="A588" s="251"/>
      <c r="B588" s="263"/>
      <c r="C588" s="263"/>
      <c r="D588" s="251"/>
      <c r="E588" s="500"/>
      <c r="F588" s="500"/>
      <c r="G588" s="500"/>
      <c r="H588" s="500"/>
      <c r="I588" s="513"/>
      <c r="J588" s="263"/>
      <c r="K588" s="263"/>
      <c r="L588" s="251"/>
      <c r="M588" s="251"/>
      <c r="N588" s="251"/>
      <c r="O588" s="251"/>
      <c r="P588" s="251"/>
      <c r="Q588" s="251"/>
      <c r="R588" s="251"/>
      <c r="S588" s="251"/>
      <c r="T588" s="251"/>
      <c r="U588" s="251"/>
      <c r="V588" s="251"/>
      <c r="W588" s="251"/>
      <c r="X588" s="251"/>
      <c r="Y588" s="251"/>
      <c r="Z588" s="251"/>
      <c r="AA588" s="251"/>
    </row>
    <row r="589" ht="14.25" customHeight="1">
      <c r="A589" s="251"/>
      <c r="B589" s="263"/>
      <c r="C589" s="263"/>
      <c r="D589" s="251"/>
      <c r="E589" s="500"/>
      <c r="F589" s="500"/>
      <c r="G589" s="500"/>
      <c r="H589" s="500"/>
      <c r="I589" s="513"/>
      <c r="J589" s="263"/>
      <c r="K589" s="263"/>
      <c r="L589" s="251"/>
      <c r="M589" s="251"/>
      <c r="N589" s="251"/>
      <c r="O589" s="251"/>
      <c r="P589" s="251"/>
      <c r="Q589" s="251"/>
      <c r="R589" s="251"/>
      <c r="S589" s="251"/>
      <c r="T589" s="251"/>
      <c r="U589" s="251"/>
      <c r="V589" s="251"/>
      <c r="W589" s="251"/>
      <c r="X589" s="251"/>
      <c r="Y589" s="251"/>
      <c r="Z589" s="251"/>
      <c r="AA589" s="251"/>
    </row>
    <row r="590" ht="14.25" customHeight="1">
      <c r="A590" s="251"/>
      <c r="B590" s="263"/>
      <c r="C590" s="263"/>
      <c r="D590" s="251"/>
      <c r="E590" s="500"/>
      <c r="F590" s="500"/>
      <c r="G590" s="500"/>
      <c r="H590" s="500"/>
      <c r="I590" s="513"/>
      <c r="J590" s="263"/>
      <c r="K590" s="263"/>
      <c r="L590" s="251"/>
      <c r="M590" s="251"/>
      <c r="N590" s="251"/>
      <c r="O590" s="251"/>
      <c r="P590" s="251"/>
      <c r="Q590" s="251"/>
      <c r="R590" s="251"/>
      <c r="S590" s="251"/>
      <c r="T590" s="251"/>
      <c r="U590" s="251"/>
      <c r="V590" s="251"/>
      <c r="W590" s="251"/>
      <c r="X590" s="251"/>
      <c r="Y590" s="251"/>
      <c r="Z590" s="251"/>
      <c r="AA590" s="251"/>
    </row>
    <row r="591" ht="14.25" customHeight="1">
      <c r="A591" s="251"/>
      <c r="B591" s="263"/>
      <c r="C591" s="263"/>
      <c r="D591" s="251"/>
      <c r="E591" s="500"/>
      <c r="F591" s="500"/>
      <c r="G591" s="500"/>
      <c r="H591" s="500"/>
      <c r="I591" s="513"/>
      <c r="J591" s="263"/>
      <c r="K591" s="263"/>
      <c r="L591" s="251"/>
      <c r="M591" s="251"/>
      <c r="N591" s="251"/>
      <c r="O591" s="251"/>
      <c r="P591" s="251"/>
      <c r="Q591" s="251"/>
      <c r="R591" s="251"/>
      <c r="S591" s="251"/>
      <c r="T591" s="251"/>
      <c r="U591" s="251"/>
      <c r="V591" s="251"/>
      <c r="W591" s="251"/>
      <c r="X591" s="251"/>
      <c r="Y591" s="251"/>
      <c r="Z591" s="251"/>
      <c r="AA591" s="251"/>
    </row>
    <row r="592" ht="14.25" customHeight="1">
      <c r="A592" s="251"/>
      <c r="B592" s="263"/>
      <c r="C592" s="263"/>
      <c r="D592" s="251"/>
      <c r="E592" s="500"/>
      <c r="F592" s="500"/>
      <c r="G592" s="500"/>
      <c r="H592" s="500"/>
      <c r="I592" s="513"/>
      <c r="J592" s="263"/>
      <c r="K592" s="263"/>
      <c r="L592" s="251"/>
      <c r="M592" s="251"/>
      <c r="N592" s="251"/>
      <c r="O592" s="251"/>
      <c r="P592" s="251"/>
      <c r="Q592" s="251"/>
      <c r="R592" s="251"/>
      <c r="S592" s="251"/>
      <c r="T592" s="251"/>
      <c r="U592" s="251"/>
      <c r="V592" s="251"/>
      <c r="W592" s="251"/>
      <c r="X592" s="251"/>
      <c r="Y592" s="251"/>
      <c r="Z592" s="251"/>
      <c r="AA592" s="251"/>
    </row>
    <row r="593" ht="14.25" customHeight="1">
      <c r="A593" s="251"/>
      <c r="B593" s="263"/>
      <c r="C593" s="263"/>
      <c r="D593" s="251"/>
      <c r="E593" s="500"/>
      <c r="F593" s="500"/>
      <c r="G593" s="500"/>
      <c r="H593" s="500"/>
      <c r="I593" s="513"/>
      <c r="J593" s="263"/>
      <c r="K593" s="263"/>
      <c r="L593" s="251"/>
      <c r="M593" s="251"/>
      <c r="N593" s="251"/>
      <c r="O593" s="251"/>
      <c r="P593" s="251"/>
      <c r="Q593" s="251"/>
      <c r="R593" s="251"/>
      <c r="S593" s="251"/>
      <c r="T593" s="251"/>
      <c r="U593" s="251"/>
      <c r="V593" s="251"/>
      <c r="W593" s="251"/>
      <c r="X593" s="251"/>
      <c r="Y593" s="251"/>
      <c r="Z593" s="251"/>
      <c r="AA593" s="251"/>
    </row>
    <row r="594" ht="14.25" customHeight="1">
      <c r="A594" s="251"/>
      <c r="B594" s="263"/>
      <c r="C594" s="263"/>
      <c r="D594" s="251"/>
      <c r="E594" s="500"/>
      <c r="F594" s="500"/>
      <c r="G594" s="500"/>
      <c r="H594" s="500"/>
      <c r="I594" s="513"/>
      <c r="J594" s="263"/>
      <c r="K594" s="263"/>
      <c r="L594" s="251"/>
      <c r="M594" s="251"/>
      <c r="N594" s="251"/>
      <c r="O594" s="251"/>
      <c r="P594" s="251"/>
      <c r="Q594" s="251"/>
      <c r="R594" s="251"/>
      <c r="S594" s="251"/>
      <c r="T594" s="251"/>
      <c r="U594" s="251"/>
      <c r="V594" s="251"/>
      <c r="W594" s="251"/>
      <c r="X594" s="251"/>
      <c r="Y594" s="251"/>
      <c r="Z594" s="251"/>
      <c r="AA594" s="251"/>
    </row>
    <row r="595" ht="14.25" customHeight="1">
      <c r="A595" s="251"/>
      <c r="B595" s="263"/>
      <c r="C595" s="263"/>
      <c r="D595" s="251"/>
      <c r="E595" s="500"/>
      <c r="F595" s="500"/>
      <c r="G595" s="500"/>
      <c r="H595" s="500"/>
      <c r="I595" s="513"/>
      <c r="J595" s="263"/>
      <c r="K595" s="263"/>
      <c r="L595" s="251"/>
      <c r="M595" s="251"/>
      <c r="N595" s="251"/>
      <c r="O595" s="251"/>
      <c r="P595" s="251"/>
      <c r="Q595" s="251"/>
      <c r="R595" s="251"/>
      <c r="S595" s="251"/>
      <c r="T595" s="251"/>
      <c r="U595" s="251"/>
      <c r="V595" s="251"/>
      <c r="W595" s="251"/>
      <c r="X595" s="251"/>
      <c r="Y595" s="251"/>
      <c r="Z595" s="251"/>
      <c r="AA595" s="251"/>
    </row>
    <row r="596" ht="14.25" customHeight="1">
      <c r="A596" s="251"/>
      <c r="B596" s="263"/>
      <c r="C596" s="263"/>
      <c r="D596" s="251"/>
      <c r="E596" s="500"/>
      <c r="F596" s="500"/>
      <c r="G596" s="500"/>
      <c r="H596" s="500"/>
      <c r="I596" s="513"/>
      <c r="J596" s="263"/>
      <c r="K596" s="263"/>
      <c r="L596" s="251"/>
      <c r="M596" s="251"/>
      <c r="N596" s="251"/>
      <c r="O596" s="251"/>
      <c r="P596" s="251"/>
      <c r="Q596" s="251"/>
      <c r="R596" s="251"/>
      <c r="S596" s="251"/>
      <c r="T596" s="251"/>
      <c r="U596" s="251"/>
      <c r="V596" s="251"/>
      <c r="W596" s="251"/>
      <c r="X596" s="251"/>
      <c r="Y596" s="251"/>
      <c r="Z596" s="251"/>
      <c r="AA596" s="251"/>
    </row>
    <row r="597" ht="14.25" customHeight="1">
      <c r="A597" s="251"/>
      <c r="B597" s="263"/>
      <c r="C597" s="263"/>
      <c r="D597" s="251"/>
      <c r="E597" s="500"/>
      <c r="F597" s="500"/>
      <c r="G597" s="500"/>
      <c r="H597" s="500"/>
      <c r="I597" s="513"/>
      <c r="J597" s="263"/>
      <c r="K597" s="263"/>
      <c r="L597" s="251"/>
      <c r="M597" s="251"/>
      <c r="N597" s="251"/>
      <c r="O597" s="251"/>
      <c r="P597" s="251"/>
      <c r="Q597" s="251"/>
      <c r="R597" s="251"/>
      <c r="S597" s="251"/>
      <c r="T597" s="251"/>
      <c r="U597" s="251"/>
      <c r="V597" s="251"/>
      <c r="W597" s="251"/>
      <c r="X597" s="251"/>
      <c r="Y597" s="251"/>
      <c r="Z597" s="251"/>
      <c r="AA597" s="251"/>
    </row>
    <row r="598" ht="14.25" customHeight="1">
      <c r="A598" s="251"/>
      <c r="B598" s="263"/>
      <c r="C598" s="263"/>
      <c r="D598" s="251"/>
      <c r="E598" s="500"/>
      <c r="F598" s="500"/>
      <c r="G598" s="500"/>
      <c r="H598" s="500"/>
      <c r="I598" s="513"/>
      <c r="J598" s="263"/>
      <c r="K598" s="263"/>
      <c r="L598" s="251"/>
      <c r="M598" s="251"/>
      <c r="N598" s="251"/>
      <c r="O598" s="251"/>
      <c r="P598" s="251"/>
      <c r="Q598" s="251"/>
      <c r="R598" s="251"/>
      <c r="S598" s="251"/>
      <c r="T598" s="251"/>
      <c r="U598" s="251"/>
      <c r="V598" s="251"/>
      <c r="W598" s="251"/>
      <c r="X598" s="251"/>
      <c r="Y598" s="251"/>
      <c r="Z598" s="251"/>
      <c r="AA598" s="251"/>
    </row>
    <row r="599" ht="14.25" customHeight="1">
      <c r="A599" s="251"/>
      <c r="B599" s="263"/>
      <c r="C599" s="263"/>
      <c r="D599" s="251"/>
      <c r="E599" s="500"/>
      <c r="F599" s="500"/>
      <c r="G599" s="500"/>
      <c r="H599" s="500"/>
      <c r="I599" s="513"/>
      <c r="J599" s="263"/>
      <c r="K599" s="263"/>
      <c r="L599" s="251"/>
      <c r="M599" s="251"/>
      <c r="N599" s="251"/>
      <c r="O599" s="251"/>
      <c r="P599" s="251"/>
      <c r="Q599" s="251"/>
      <c r="R599" s="251"/>
      <c r="S599" s="251"/>
      <c r="T599" s="251"/>
      <c r="U599" s="251"/>
      <c r="V599" s="251"/>
      <c r="W599" s="251"/>
      <c r="X599" s="251"/>
      <c r="Y599" s="251"/>
      <c r="Z599" s="251"/>
      <c r="AA599" s="251"/>
    </row>
    <row r="600" ht="14.25" customHeight="1">
      <c r="A600" s="251"/>
      <c r="B600" s="263"/>
      <c r="C600" s="263"/>
      <c r="D600" s="251"/>
      <c r="E600" s="500"/>
      <c r="F600" s="500"/>
      <c r="G600" s="500"/>
      <c r="H600" s="500"/>
      <c r="I600" s="513"/>
      <c r="J600" s="263"/>
      <c r="K600" s="263"/>
      <c r="L600" s="251"/>
      <c r="M600" s="251"/>
      <c r="N600" s="251"/>
      <c r="O600" s="251"/>
      <c r="P600" s="251"/>
      <c r="Q600" s="251"/>
      <c r="R600" s="251"/>
      <c r="S600" s="251"/>
      <c r="T600" s="251"/>
      <c r="U600" s="251"/>
      <c r="V600" s="251"/>
      <c r="W600" s="251"/>
      <c r="X600" s="251"/>
      <c r="Y600" s="251"/>
      <c r="Z600" s="251"/>
      <c r="AA600" s="251"/>
    </row>
    <row r="601" ht="14.25" customHeight="1">
      <c r="A601" s="251"/>
      <c r="B601" s="263"/>
      <c r="C601" s="263"/>
      <c r="D601" s="251"/>
      <c r="E601" s="500"/>
      <c r="F601" s="500"/>
      <c r="G601" s="500"/>
      <c r="H601" s="500"/>
      <c r="I601" s="513"/>
      <c r="J601" s="263"/>
      <c r="K601" s="263"/>
      <c r="L601" s="251"/>
      <c r="M601" s="251"/>
      <c r="N601" s="251"/>
      <c r="O601" s="251"/>
      <c r="P601" s="251"/>
      <c r="Q601" s="251"/>
      <c r="R601" s="251"/>
      <c r="S601" s="251"/>
      <c r="T601" s="251"/>
      <c r="U601" s="251"/>
      <c r="V601" s="251"/>
      <c r="W601" s="251"/>
      <c r="X601" s="251"/>
      <c r="Y601" s="251"/>
      <c r="Z601" s="251"/>
      <c r="AA601" s="251"/>
    </row>
    <row r="602" ht="14.25" customHeight="1">
      <c r="A602" s="251"/>
      <c r="B602" s="263"/>
      <c r="C602" s="263"/>
      <c r="D602" s="251"/>
      <c r="E602" s="500"/>
      <c r="F602" s="500"/>
      <c r="G602" s="500"/>
      <c r="H602" s="500"/>
      <c r="I602" s="513"/>
      <c r="J602" s="263"/>
      <c r="K602" s="263"/>
      <c r="L602" s="251"/>
      <c r="M602" s="251"/>
      <c r="N602" s="251"/>
      <c r="O602" s="251"/>
      <c r="P602" s="251"/>
      <c r="Q602" s="251"/>
      <c r="R602" s="251"/>
      <c r="S602" s="251"/>
      <c r="T602" s="251"/>
      <c r="U602" s="251"/>
      <c r="V602" s="251"/>
      <c r="W602" s="251"/>
      <c r="X602" s="251"/>
      <c r="Y602" s="251"/>
      <c r="Z602" s="251"/>
      <c r="AA602" s="251"/>
    </row>
    <row r="603" ht="14.25" customHeight="1">
      <c r="A603" s="251"/>
      <c r="B603" s="263"/>
      <c r="C603" s="263"/>
      <c r="D603" s="251"/>
      <c r="E603" s="500"/>
      <c r="F603" s="500"/>
      <c r="G603" s="500"/>
      <c r="H603" s="500"/>
      <c r="I603" s="513"/>
      <c r="J603" s="263"/>
      <c r="K603" s="263"/>
      <c r="L603" s="251"/>
      <c r="M603" s="251"/>
      <c r="N603" s="251"/>
      <c r="O603" s="251"/>
      <c r="P603" s="251"/>
      <c r="Q603" s="251"/>
      <c r="R603" s="251"/>
      <c r="S603" s="251"/>
      <c r="T603" s="251"/>
      <c r="U603" s="251"/>
      <c r="V603" s="251"/>
      <c r="W603" s="251"/>
      <c r="X603" s="251"/>
      <c r="Y603" s="251"/>
      <c r="Z603" s="251"/>
      <c r="AA603" s="251"/>
    </row>
    <row r="604" ht="14.25" customHeight="1">
      <c r="A604" s="251"/>
      <c r="B604" s="263"/>
      <c r="C604" s="263"/>
      <c r="D604" s="251"/>
      <c r="E604" s="500"/>
      <c r="F604" s="500"/>
      <c r="G604" s="500"/>
      <c r="H604" s="500"/>
      <c r="I604" s="513"/>
      <c r="J604" s="263"/>
      <c r="K604" s="263"/>
      <c r="L604" s="251"/>
      <c r="M604" s="251"/>
      <c r="N604" s="251"/>
      <c r="O604" s="251"/>
      <c r="P604" s="251"/>
      <c r="Q604" s="251"/>
      <c r="R604" s="251"/>
      <c r="S604" s="251"/>
      <c r="T604" s="251"/>
      <c r="U604" s="251"/>
      <c r="V604" s="251"/>
      <c r="W604" s="251"/>
      <c r="X604" s="251"/>
      <c r="Y604" s="251"/>
      <c r="Z604" s="251"/>
      <c r="AA604" s="251"/>
    </row>
    <row r="605" ht="14.25" customHeight="1">
      <c r="A605" s="251"/>
      <c r="B605" s="263"/>
      <c r="C605" s="263"/>
      <c r="D605" s="251"/>
      <c r="E605" s="500"/>
      <c r="F605" s="500"/>
      <c r="G605" s="500"/>
      <c r="H605" s="500"/>
      <c r="I605" s="513"/>
      <c r="J605" s="263"/>
      <c r="K605" s="263"/>
      <c r="L605" s="251"/>
      <c r="M605" s="251"/>
      <c r="N605" s="251"/>
      <c r="O605" s="251"/>
      <c r="P605" s="251"/>
      <c r="Q605" s="251"/>
      <c r="R605" s="251"/>
      <c r="S605" s="251"/>
      <c r="T605" s="251"/>
      <c r="U605" s="251"/>
      <c r="V605" s="251"/>
      <c r="W605" s="251"/>
      <c r="X605" s="251"/>
      <c r="Y605" s="251"/>
      <c r="Z605" s="251"/>
      <c r="AA605" s="251"/>
    </row>
    <row r="606" ht="14.25" customHeight="1">
      <c r="A606" s="251"/>
      <c r="B606" s="263"/>
      <c r="C606" s="263"/>
      <c r="D606" s="251"/>
      <c r="E606" s="500"/>
      <c r="F606" s="500"/>
      <c r="G606" s="500"/>
      <c r="H606" s="500"/>
      <c r="I606" s="513"/>
      <c r="J606" s="263"/>
      <c r="K606" s="263"/>
      <c r="L606" s="251"/>
      <c r="M606" s="251"/>
      <c r="N606" s="251"/>
      <c r="O606" s="251"/>
      <c r="P606" s="251"/>
      <c r="Q606" s="251"/>
      <c r="R606" s="251"/>
      <c r="S606" s="251"/>
      <c r="T606" s="251"/>
      <c r="U606" s="251"/>
      <c r="V606" s="251"/>
      <c r="W606" s="251"/>
      <c r="X606" s="251"/>
      <c r="Y606" s="251"/>
      <c r="Z606" s="251"/>
      <c r="AA606" s="251"/>
    </row>
    <row r="607" ht="14.25" customHeight="1">
      <c r="A607" s="251"/>
      <c r="B607" s="263"/>
      <c r="C607" s="263"/>
      <c r="D607" s="251"/>
      <c r="E607" s="500"/>
      <c r="F607" s="500"/>
      <c r="G607" s="500"/>
      <c r="H607" s="500"/>
      <c r="I607" s="513"/>
      <c r="J607" s="263"/>
      <c r="K607" s="263"/>
      <c r="L607" s="251"/>
      <c r="M607" s="251"/>
      <c r="N607" s="251"/>
      <c r="O607" s="251"/>
      <c r="P607" s="251"/>
      <c r="Q607" s="251"/>
      <c r="R607" s="251"/>
      <c r="S607" s="251"/>
      <c r="T607" s="251"/>
      <c r="U607" s="251"/>
      <c r="V607" s="251"/>
      <c r="W607" s="251"/>
      <c r="X607" s="251"/>
      <c r="Y607" s="251"/>
      <c r="Z607" s="251"/>
      <c r="AA607" s="251"/>
    </row>
    <row r="608" ht="14.25" customHeight="1">
      <c r="A608" s="251"/>
      <c r="B608" s="263"/>
      <c r="C608" s="263"/>
      <c r="D608" s="251"/>
      <c r="E608" s="500"/>
      <c r="F608" s="500"/>
      <c r="G608" s="500"/>
      <c r="H608" s="500"/>
      <c r="I608" s="513"/>
      <c r="J608" s="263"/>
      <c r="K608" s="263"/>
      <c r="L608" s="251"/>
      <c r="M608" s="251"/>
      <c r="N608" s="251"/>
      <c r="O608" s="251"/>
      <c r="P608" s="251"/>
      <c r="Q608" s="251"/>
      <c r="R608" s="251"/>
      <c r="S608" s="251"/>
      <c r="T608" s="251"/>
      <c r="U608" s="251"/>
      <c r="V608" s="251"/>
      <c r="W608" s="251"/>
      <c r="X608" s="251"/>
      <c r="Y608" s="251"/>
      <c r="Z608" s="251"/>
      <c r="AA608" s="251"/>
    </row>
    <row r="609" ht="14.25" customHeight="1">
      <c r="A609" s="251"/>
      <c r="B609" s="263"/>
      <c r="C609" s="263"/>
      <c r="D609" s="251"/>
      <c r="E609" s="500"/>
      <c r="F609" s="500"/>
      <c r="G609" s="500"/>
      <c r="H609" s="500"/>
      <c r="I609" s="513"/>
      <c r="J609" s="263"/>
      <c r="K609" s="263"/>
      <c r="L609" s="251"/>
      <c r="M609" s="251"/>
      <c r="N609" s="251"/>
      <c r="O609" s="251"/>
      <c r="P609" s="251"/>
      <c r="Q609" s="251"/>
      <c r="R609" s="251"/>
      <c r="S609" s="251"/>
      <c r="T609" s="251"/>
      <c r="U609" s="251"/>
      <c r="V609" s="251"/>
      <c r="W609" s="251"/>
      <c r="X609" s="251"/>
      <c r="Y609" s="251"/>
      <c r="Z609" s="251"/>
      <c r="AA609" s="251"/>
    </row>
    <row r="610" ht="14.25" customHeight="1">
      <c r="A610" s="251"/>
      <c r="B610" s="263"/>
      <c r="C610" s="263"/>
      <c r="D610" s="251"/>
      <c r="E610" s="500"/>
      <c r="F610" s="500"/>
      <c r="G610" s="500"/>
      <c r="H610" s="500"/>
      <c r="I610" s="513"/>
      <c r="J610" s="263"/>
      <c r="K610" s="263"/>
      <c r="L610" s="251"/>
      <c r="M610" s="251"/>
      <c r="N610" s="251"/>
      <c r="O610" s="251"/>
      <c r="P610" s="251"/>
      <c r="Q610" s="251"/>
      <c r="R610" s="251"/>
      <c r="S610" s="251"/>
      <c r="T610" s="251"/>
      <c r="U610" s="251"/>
      <c r="V610" s="251"/>
      <c r="W610" s="251"/>
      <c r="X610" s="251"/>
      <c r="Y610" s="251"/>
      <c r="Z610" s="251"/>
      <c r="AA610" s="251"/>
    </row>
    <row r="611" ht="14.25" customHeight="1">
      <c r="A611" s="251"/>
      <c r="B611" s="263"/>
      <c r="C611" s="263"/>
      <c r="D611" s="251"/>
      <c r="E611" s="500"/>
      <c r="F611" s="500"/>
      <c r="G611" s="500"/>
      <c r="H611" s="500"/>
      <c r="I611" s="513"/>
      <c r="J611" s="263"/>
      <c r="K611" s="263"/>
      <c r="L611" s="251"/>
      <c r="M611" s="251"/>
      <c r="N611" s="251"/>
      <c r="O611" s="251"/>
      <c r="P611" s="251"/>
      <c r="Q611" s="251"/>
      <c r="R611" s="251"/>
      <c r="S611" s="251"/>
      <c r="T611" s="251"/>
      <c r="U611" s="251"/>
      <c r="V611" s="251"/>
      <c r="W611" s="251"/>
      <c r="X611" s="251"/>
      <c r="Y611" s="251"/>
      <c r="Z611" s="251"/>
      <c r="AA611" s="251"/>
    </row>
    <row r="612" ht="14.25" customHeight="1">
      <c r="A612" s="251"/>
      <c r="B612" s="263"/>
      <c r="C612" s="263"/>
      <c r="D612" s="251"/>
      <c r="E612" s="500"/>
      <c r="F612" s="500"/>
      <c r="G612" s="500"/>
      <c r="H612" s="500"/>
      <c r="I612" s="513"/>
      <c r="J612" s="263"/>
      <c r="K612" s="263"/>
      <c r="L612" s="251"/>
      <c r="M612" s="251"/>
      <c r="N612" s="251"/>
      <c r="O612" s="251"/>
      <c r="P612" s="251"/>
      <c r="Q612" s="251"/>
      <c r="R612" s="251"/>
      <c r="S612" s="251"/>
      <c r="T612" s="251"/>
      <c r="U612" s="251"/>
      <c r="V612" s="251"/>
      <c r="W612" s="251"/>
      <c r="X612" s="251"/>
      <c r="Y612" s="251"/>
      <c r="Z612" s="251"/>
      <c r="AA612" s="251"/>
    </row>
    <row r="613" ht="14.25" customHeight="1">
      <c r="A613" s="251"/>
      <c r="B613" s="263"/>
      <c r="C613" s="263"/>
      <c r="D613" s="251"/>
      <c r="E613" s="500"/>
      <c r="F613" s="500"/>
      <c r="G613" s="500"/>
      <c r="H613" s="500"/>
      <c r="I613" s="513"/>
      <c r="J613" s="263"/>
      <c r="K613" s="263"/>
      <c r="L613" s="251"/>
      <c r="M613" s="251"/>
      <c r="N613" s="251"/>
      <c r="O613" s="251"/>
      <c r="P613" s="251"/>
      <c r="Q613" s="251"/>
      <c r="R613" s="251"/>
      <c r="S613" s="251"/>
      <c r="T613" s="251"/>
      <c r="U613" s="251"/>
      <c r="V613" s="251"/>
      <c r="W613" s="251"/>
      <c r="X613" s="251"/>
      <c r="Y613" s="251"/>
      <c r="Z613" s="251"/>
      <c r="AA613" s="251"/>
    </row>
    <row r="614" ht="14.25" customHeight="1">
      <c r="A614" s="251"/>
      <c r="B614" s="263"/>
      <c r="C614" s="263"/>
      <c r="D614" s="251"/>
      <c r="E614" s="500"/>
      <c r="F614" s="500"/>
      <c r="G614" s="500"/>
      <c r="H614" s="500"/>
      <c r="I614" s="513"/>
      <c r="J614" s="263"/>
      <c r="K614" s="263"/>
      <c r="L614" s="251"/>
      <c r="M614" s="251"/>
      <c r="N614" s="251"/>
      <c r="O614" s="251"/>
      <c r="P614" s="251"/>
      <c r="Q614" s="251"/>
      <c r="R614" s="251"/>
      <c r="S614" s="251"/>
      <c r="T614" s="251"/>
      <c r="U614" s="251"/>
      <c r="V614" s="251"/>
      <c r="W614" s="251"/>
      <c r="X614" s="251"/>
      <c r="Y614" s="251"/>
      <c r="Z614" s="251"/>
      <c r="AA614" s="251"/>
    </row>
    <row r="615" ht="14.25" customHeight="1">
      <c r="A615" s="251"/>
      <c r="B615" s="263"/>
      <c r="C615" s="263"/>
      <c r="D615" s="251"/>
      <c r="E615" s="500"/>
      <c r="F615" s="500"/>
      <c r="G615" s="500"/>
      <c r="H615" s="500"/>
      <c r="I615" s="513"/>
      <c r="J615" s="263"/>
      <c r="K615" s="263"/>
      <c r="L615" s="251"/>
      <c r="M615" s="251"/>
      <c r="N615" s="251"/>
      <c r="O615" s="251"/>
      <c r="P615" s="251"/>
      <c r="Q615" s="251"/>
      <c r="R615" s="251"/>
      <c r="S615" s="251"/>
      <c r="T615" s="251"/>
      <c r="U615" s="251"/>
      <c r="V615" s="251"/>
      <c r="W615" s="251"/>
      <c r="X615" s="251"/>
      <c r="Y615" s="251"/>
      <c r="Z615" s="251"/>
      <c r="AA615" s="251"/>
    </row>
    <row r="616" ht="14.25" customHeight="1">
      <c r="A616" s="251"/>
      <c r="B616" s="263"/>
      <c r="C616" s="263"/>
      <c r="D616" s="251"/>
      <c r="E616" s="500"/>
      <c r="F616" s="500"/>
      <c r="G616" s="500"/>
      <c r="H616" s="500"/>
      <c r="I616" s="513"/>
      <c r="J616" s="263"/>
      <c r="K616" s="263"/>
      <c r="L616" s="251"/>
      <c r="M616" s="251"/>
      <c r="N616" s="251"/>
      <c r="O616" s="251"/>
      <c r="P616" s="251"/>
      <c r="Q616" s="251"/>
      <c r="R616" s="251"/>
      <c r="S616" s="251"/>
      <c r="T616" s="251"/>
      <c r="U616" s="251"/>
      <c r="V616" s="251"/>
      <c r="W616" s="251"/>
      <c r="X616" s="251"/>
      <c r="Y616" s="251"/>
      <c r="Z616" s="251"/>
      <c r="AA616" s="251"/>
    </row>
    <row r="617" ht="14.25" customHeight="1">
      <c r="A617" s="251"/>
      <c r="B617" s="263"/>
      <c r="C617" s="263"/>
      <c r="D617" s="251"/>
      <c r="E617" s="500"/>
      <c r="F617" s="500"/>
      <c r="G617" s="500"/>
      <c r="H617" s="500"/>
      <c r="I617" s="513"/>
      <c r="J617" s="263"/>
      <c r="K617" s="263"/>
      <c r="L617" s="251"/>
      <c r="M617" s="251"/>
      <c r="N617" s="251"/>
      <c r="O617" s="251"/>
      <c r="P617" s="251"/>
      <c r="Q617" s="251"/>
      <c r="R617" s="251"/>
      <c r="S617" s="251"/>
      <c r="T617" s="251"/>
      <c r="U617" s="251"/>
      <c r="V617" s="251"/>
      <c r="W617" s="251"/>
      <c r="X617" s="251"/>
      <c r="Y617" s="251"/>
      <c r="Z617" s="251"/>
      <c r="AA617" s="251"/>
    </row>
    <row r="618" ht="14.25" customHeight="1">
      <c r="A618" s="251"/>
      <c r="B618" s="263"/>
      <c r="C618" s="263"/>
      <c r="D618" s="251"/>
      <c r="E618" s="500"/>
      <c r="F618" s="500"/>
      <c r="G618" s="500"/>
      <c r="H618" s="500"/>
      <c r="I618" s="513"/>
      <c r="J618" s="263"/>
      <c r="K618" s="263"/>
      <c r="L618" s="251"/>
      <c r="M618" s="251"/>
      <c r="N618" s="251"/>
      <c r="O618" s="251"/>
      <c r="P618" s="251"/>
      <c r="Q618" s="251"/>
      <c r="R618" s="251"/>
      <c r="S618" s="251"/>
      <c r="T618" s="251"/>
      <c r="U618" s="251"/>
      <c r="V618" s="251"/>
      <c r="W618" s="251"/>
      <c r="X618" s="251"/>
      <c r="Y618" s="251"/>
      <c r="Z618" s="251"/>
      <c r="AA618" s="251"/>
    </row>
    <row r="619" ht="14.25" customHeight="1">
      <c r="A619" s="251"/>
      <c r="B619" s="263"/>
      <c r="C619" s="263"/>
      <c r="D619" s="251"/>
      <c r="E619" s="500"/>
      <c r="F619" s="500"/>
      <c r="G619" s="500"/>
      <c r="H619" s="500"/>
      <c r="I619" s="513"/>
      <c r="J619" s="263"/>
      <c r="K619" s="263"/>
      <c r="L619" s="251"/>
      <c r="M619" s="251"/>
      <c r="N619" s="251"/>
      <c r="O619" s="251"/>
      <c r="P619" s="251"/>
      <c r="Q619" s="251"/>
      <c r="R619" s="251"/>
      <c r="S619" s="251"/>
      <c r="T619" s="251"/>
      <c r="U619" s="251"/>
      <c r="V619" s="251"/>
      <c r="W619" s="251"/>
      <c r="X619" s="251"/>
      <c r="Y619" s="251"/>
      <c r="Z619" s="251"/>
      <c r="AA619" s="251"/>
    </row>
    <row r="620" ht="14.25" customHeight="1">
      <c r="A620" s="251"/>
      <c r="B620" s="263"/>
      <c r="C620" s="263"/>
      <c r="D620" s="251"/>
      <c r="E620" s="500"/>
      <c r="F620" s="500"/>
      <c r="G620" s="500"/>
      <c r="H620" s="500"/>
      <c r="I620" s="513"/>
      <c r="J620" s="263"/>
      <c r="K620" s="263"/>
      <c r="L620" s="251"/>
      <c r="M620" s="251"/>
      <c r="N620" s="251"/>
      <c r="O620" s="251"/>
      <c r="P620" s="251"/>
      <c r="Q620" s="251"/>
      <c r="R620" s="251"/>
      <c r="S620" s="251"/>
      <c r="T620" s="251"/>
      <c r="U620" s="251"/>
      <c r="V620" s="251"/>
      <c r="W620" s="251"/>
      <c r="X620" s="251"/>
      <c r="Y620" s="251"/>
      <c r="Z620" s="251"/>
      <c r="AA620" s="251"/>
    </row>
    <row r="621" ht="14.25" customHeight="1">
      <c r="A621" s="251"/>
      <c r="B621" s="263"/>
      <c r="C621" s="263"/>
      <c r="D621" s="251"/>
      <c r="E621" s="500"/>
      <c r="F621" s="500"/>
      <c r="G621" s="500"/>
      <c r="H621" s="500"/>
      <c r="I621" s="513"/>
      <c r="J621" s="263"/>
      <c r="K621" s="263"/>
      <c r="L621" s="251"/>
      <c r="M621" s="251"/>
      <c r="N621" s="251"/>
      <c r="O621" s="251"/>
      <c r="P621" s="251"/>
      <c r="Q621" s="251"/>
      <c r="R621" s="251"/>
      <c r="S621" s="251"/>
      <c r="T621" s="251"/>
      <c r="U621" s="251"/>
      <c r="V621" s="251"/>
      <c r="W621" s="251"/>
      <c r="X621" s="251"/>
      <c r="Y621" s="251"/>
      <c r="Z621" s="251"/>
      <c r="AA621" s="251"/>
    </row>
    <row r="622" ht="14.25" customHeight="1">
      <c r="A622" s="251"/>
      <c r="B622" s="263"/>
      <c r="C622" s="263"/>
      <c r="D622" s="251"/>
      <c r="E622" s="500"/>
      <c r="F622" s="500"/>
      <c r="G622" s="500"/>
      <c r="H622" s="500"/>
      <c r="I622" s="513"/>
      <c r="J622" s="263"/>
      <c r="K622" s="263"/>
      <c r="L622" s="251"/>
      <c r="M622" s="251"/>
      <c r="N622" s="251"/>
      <c r="O622" s="251"/>
      <c r="P622" s="251"/>
      <c r="Q622" s="251"/>
      <c r="R622" s="251"/>
      <c r="S622" s="251"/>
      <c r="T622" s="251"/>
      <c r="U622" s="251"/>
      <c r="V622" s="251"/>
      <c r="W622" s="251"/>
      <c r="X622" s="251"/>
      <c r="Y622" s="251"/>
      <c r="Z622" s="251"/>
      <c r="AA622" s="251"/>
    </row>
    <row r="623" ht="14.25" customHeight="1">
      <c r="A623" s="251"/>
      <c r="B623" s="263"/>
      <c r="C623" s="263"/>
      <c r="D623" s="251"/>
      <c r="E623" s="500"/>
      <c r="F623" s="500"/>
      <c r="G623" s="500"/>
      <c r="H623" s="500"/>
      <c r="I623" s="513"/>
      <c r="J623" s="263"/>
      <c r="K623" s="263"/>
      <c r="L623" s="251"/>
      <c r="M623" s="251"/>
      <c r="N623" s="251"/>
      <c r="O623" s="251"/>
      <c r="P623" s="251"/>
      <c r="Q623" s="251"/>
      <c r="R623" s="251"/>
      <c r="S623" s="251"/>
      <c r="T623" s="251"/>
      <c r="U623" s="251"/>
      <c r="V623" s="251"/>
      <c r="W623" s="251"/>
      <c r="X623" s="251"/>
      <c r="Y623" s="251"/>
      <c r="Z623" s="251"/>
      <c r="AA623" s="251"/>
    </row>
    <row r="624" ht="14.25" customHeight="1">
      <c r="A624" s="251"/>
      <c r="B624" s="263"/>
      <c r="C624" s="263"/>
      <c r="D624" s="251"/>
      <c r="E624" s="500"/>
      <c r="F624" s="500"/>
      <c r="G624" s="500"/>
      <c r="H624" s="500"/>
      <c r="I624" s="513"/>
      <c r="J624" s="263"/>
      <c r="K624" s="263"/>
      <c r="L624" s="251"/>
      <c r="M624" s="251"/>
      <c r="N624" s="251"/>
      <c r="O624" s="251"/>
      <c r="P624" s="251"/>
      <c r="Q624" s="251"/>
      <c r="R624" s="251"/>
      <c r="S624" s="251"/>
      <c r="T624" s="251"/>
      <c r="U624" s="251"/>
      <c r="V624" s="251"/>
      <c r="W624" s="251"/>
      <c r="X624" s="251"/>
      <c r="Y624" s="251"/>
      <c r="Z624" s="251"/>
      <c r="AA624" s="251"/>
    </row>
    <row r="625" ht="14.25" customHeight="1">
      <c r="A625" s="251"/>
      <c r="B625" s="263"/>
      <c r="C625" s="263"/>
      <c r="D625" s="251"/>
      <c r="E625" s="500"/>
      <c r="F625" s="500"/>
      <c r="G625" s="500"/>
      <c r="H625" s="500"/>
      <c r="I625" s="513"/>
      <c r="J625" s="263"/>
      <c r="K625" s="263"/>
      <c r="L625" s="251"/>
      <c r="M625" s="251"/>
      <c r="N625" s="251"/>
      <c r="O625" s="251"/>
      <c r="P625" s="251"/>
      <c r="Q625" s="251"/>
      <c r="R625" s="251"/>
      <c r="S625" s="251"/>
      <c r="T625" s="251"/>
      <c r="U625" s="251"/>
      <c r="V625" s="251"/>
      <c r="W625" s="251"/>
      <c r="X625" s="251"/>
      <c r="Y625" s="251"/>
      <c r="Z625" s="251"/>
      <c r="AA625" s="251"/>
    </row>
    <row r="626" ht="14.25" customHeight="1">
      <c r="A626" s="251"/>
      <c r="B626" s="263"/>
      <c r="C626" s="263"/>
      <c r="D626" s="251"/>
      <c r="E626" s="500"/>
      <c r="F626" s="500"/>
      <c r="G626" s="500"/>
      <c r="H626" s="500"/>
      <c r="I626" s="513"/>
      <c r="J626" s="263"/>
      <c r="K626" s="263"/>
      <c r="L626" s="251"/>
      <c r="M626" s="251"/>
      <c r="N626" s="251"/>
      <c r="O626" s="251"/>
      <c r="P626" s="251"/>
      <c r="Q626" s="251"/>
      <c r="R626" s="251"/>
      <c r="S626" s="251"/>
      <c r="T626" s="251"/>
      <c r="U626" s="251"/>
      <c r="V626" s="251"/>
      <c r="W626" s="251"/>
      <c r="X626" s="251"/>
      <c r="Y626" s="251"/>
      <c r="Z626" s="251"/>
      <c r="AA626" s="251"/>
    </row>
    <row r="627" ht="14.25" customHeight="1">
      <c r="A627" s="251"/>
      <c r="B627" s="263"/>
      <c r="C627" s="263"/>
      <c r="D627" s="251"/>
      <c r="E627" s="500"/>
      <c r="F627" s="500"/>
      <c r="G627" s="500"/>
      <c r="H627" s="500"/>
      <c r="I627" s="513"/>
      <c r="J627" s="263"/>
      <c r="K627" s="263"/>
      <c r="L627" s="251"/>
      <c r="M627" s="251"/>
      <c r="N627" s="251"/>
      <c r="O627" s="251"/>
      <c r="P627" s="251"/>
      <c r="Q627" s="251"/>
      <c r="R627" s="251"/>
      <c r="S627" s="251"/>
      <c r="T627" s="251"/>
      <c r="U627" s="251"/>
      <c r="V627" s="251"/>
      <c r="W627" s="251"/>
      <c r="X627" s="251"/>
      <c r="Y627" s="251"/>
      <c r="Z627" s="251"/>
      <c r="AA627" s="251"/>
    </row>
    <row r="628" ht="14.25" customHeight="1">
      <c r="A628" s="251"/>
      <c r="B628" s="263"/>
      <c r="C628" s="263"/>
      <c r="D628" s="251"/>
      <c r="E628" s="500"/>
      <c r="F628" s="500"/>
      <c r="G628" s="500"/>
      <c r="H628" s="500"/>
      <c r="I628" s="513"/>
      <c r="J628" s="263"/>
      <c r="K628" s="263"/>
      <c r="L628" s="251"/>
      <c r="M628" s="251"/>
      <c r="N628" s="251"/>
      <c r="O628" s="251"/>
      <c r="P628" s="251"/>
      <c r="Q628" s="251"/>
      <c r="R628" s="251"/>
      <c r="S628" s="251"/>
      <c r="T628" s="251"/>
      <c r="U628" s="251"/>
      <c r="V628" s="251"/>
      <c r="W628" s="251"/>
      <c r="X628" s="251"/>
      <c r="Y628" s="251"/>
      <c r="Z628" s="251"/>
      <c r="AA628" s="251"/>
    </row>
    <row r="629" ht="14.25" customHeight="1">
      <c r="A629" s="251"/>
      <c r="B629" s="263"/>
      <c r="C629" s="263"/>
      <c r="D629" s="251"/>
      <c r="E629" s="500"/>
      <c r="F629" s="500"/>
      <c r="G629" s="500"/>
      <c r="H629" s="500"/>
      <c r="I629" s="513"/>
      <c r="J629" s="263"/>
      <c r="K629" s="263"/>
      <c r="L629" s="251"/>
      <c r="M629" s="251"/>
      <c r="N629" s="251"/>
      <c r="O629" s="251"/>
      <c r="P629" s="251"/>
      <c r="Q629" s="251"/>
      <c r="R629" s="251"/>
      <c r="S629" s="251"/>
      <c r="T629" s="251"/>
      <c r="U629" s="251"/>
      <c r="V629" s="251"/>
      <c r="W629" s="251"/>
      <c r="X629" s="251"/>
      <c r="Y629" s="251"/>
      <c r="Z629" s="251"/>
      <c r="AA629" s="251"/>
    </row>
    <row r="630" ht="14.25" customHeight="1">
      <c r="A630" s="251"/>
      <c r="B630" s="263"/>
      <c r="C630" s="263"/>
      <c r="D630" s="251"/>
      <c r="E630" s="500"/>
      <c r="F630" s="500"/>
      <c r="G630" s="500"/>
      <c r="H630" s="500"/>
      <c r="I630" s="513"/>
      <c r="J630" s="263"/>
      <c r="K630" s="263"/>
      <c r="L630" s="251"/>
      <c r="M630" s="251"/>
      <c r="N630" s="251"/>
      <c r="O630" s="251"/>
      <c r="P630" s="251"/>
      <c r="Q630" s="251"/>
      <c r="R630" s="251"/>
      <c r="S630" s="251"/>
      <c r="T630" s="251"/>
      <c r="U630" s="251"/>
      <c r="V630" s="251"/>
      <c r="W630" s="251"/>
      <c r="X630" s="251"/>
      <c r="Y630" s="251"/>
      <c r="Z630" s="251"/>
      <c r="AA630" s="251"/>
    </row>
    <row r="631" ht="14.25" customHeight="1">
      <c r="A631" s="251"/>
      <c r="B631" s="263"/>
      <c r="C631" s="263"/>
      <c r="D631" s="251"/>
      <c r="E631" s="500"/>
      <c r="F631" s="500"/>
      <c r="G631" s="500"/>
      <c r="H631" s="500"/>
      <c r="I631" s="513"/>
      <c r="J631" s="263"/>
      <c r="K631" s="263"/>
      <c r="L631" s="251"/>
      <c r="M631" s="251"/>
      <c r="N631" s="251"/>
      <c r="O631" s="251"/>
      <c r="P631" s="251"/>
      <c r="Q631" s="251"/>
      <c r="R631" s="251"/>
      <c r="S631" s="251"/>
      <c r="T631" s="251"/>
      <c r="U631" s="251"/>
      <c r="V631" s="251"/>
      <c r="W631" s="251"/>
      <c r="X631" s="251"/>
      <c r="Y631" s="251"/>
      <c r="Z631" s="251"/>
      <c r="AA631" s="251"/>
    </row>
    <row r="632" ht="14.25" customHeight="1">
      <c r="A632" s="251"/>
      <c r="B632" s="263"/>
      <c r="C632" s="263"/>
      <c r="D632" s="251"/>
      <c r="E632" s="500"/>
      <c r="F632" s="500"/>
      <c r="G632" s="500"/>
      <c r="H632" s="500"/>
      <c r="I632" s="513"/>
      <c r="J632" s="263"/>
      <c r="K632" s="263"/>
      <c r="L632" s="251"/>
      <c r="M632" s="251"/>
      <c r="N632" s="251"/>
      <c r="O632" s="251"/>
      <c r="P632" s="251"/>
      <c r="Q632" s="251"/>
      <c r="R632" s="251"/>
      <c r="S632" s="251"/>
      <c r="T632" s="251"/>
      <c r="U632" s="251"/>
      <c r="V632" s="251"/>
      <c r="W632" s="251"/>
      <c r="X632" s="251"/>
      <c r="Y632" s="251"/>
      <c r="Z632" s="251"/>
      <c r="AA632" s="251"/>
    </row>
    <row r="633" ht="14.25" customHeight="1">
      <c r="A633" s="251"/>
      <c r="B633" s="263"/>
      <c r="C633" s="263"/>
      <c r="D633" s="251"/>
      <c r="E633" s="500"/>
      <c r="F633" s="500"/>
      <c r="G633" s="500"/>
      <c r="H633" s="500"/>
      <c r="I633" s="513"/>
      <c r="J633" s="263"/>
      <c r="K633" s="263"/>
      <c r="L633" s="251"/>
      <c r="M633" s="251"/>
      <c r="N633" s="251"/>
      <c r="O633" s="251"/>
      <c r="P633" s="251"/>
      <c r="Q633" s="251"/>
      <c r="R633" s="251"/>
      <c r="S633" s="251"/>
      <c r="T633" s="251"/>
      <c r="U633" s="251"/>
      <c r="V633" s="251"/>
      <c r="W633" s="251"/>
      <c r="X633" s="251"/>
      <c r="Y633" s="251"/>
      <c r="Z633" s="251"/>
      <c r="AA633" s="251"/>
    </row>
    <row r="634" ht="14.25" customHeight="1">
      <c r="A634" s="251"/>
      <c r="B634" s="263"/>
      <c r="C634" s="263"/>
      <c r="D634" s="251"/>
      <c r="E634" s="500"/>
      <c r="F634" s="500"/>
      <c r="G634" s="500"/>
      <c r="H634" s="500"/>
      <c r="I634" s="513"/>
      <c r="J634" s="263"/>
      <c r="K634" s="263"/>
      <c r="L634" s="251"/>
      <c r="M634" s="251"/>
      <c r="N634" s="251"/>
      <c r="O634" s="251"/>
      <c r="P634" s="251"/>
      <c r="Q634" s="251"/>
      <c r="R634" s="251"/>
      <c r="S634" s="251"/>
      <c r="T634" s="251"/>
      <c r="U634" s="251"/>
      <c r="V634" s="251"/>
      <c r="W634" s="251"/>
      <c r="X634" s="251"/>
      <c r="Y634" s="251"/>
      <c r="Z634" s="251"/>
      <c r="AA634" s="251"/>
    </row>
    <row r="635" ht="14.25" customHeight="1">
      <c r="A635" s="251"/>
      <c r="B635" s="263"/>
      <c r="C635" s="263"/>
      <c r="D635" s="251"/>
      <c r="E635" s="500"/>
      <c r="F635" s="500"/>
      <c r="G635" s="500"/>
      <c r="H635" s="500"/>
      <c r="I635" s="513"/>
      <c r="J635" s="263"/>
      <c r="K635" s="263"/>
      <c r="L635" s="251"/>
      <c r="M635" s="251"/>
      <c r="N635" s="251"/>
      <c r="O635" s="251"/>
      <c r="P635" s="251"/>
      <c r="Q635" s="251"/>
      <c r="R635" s="251"/>
      <c r="S635" s="251"/>
      <c r="T635" s="251"/>
      <c r="U635" s="251"/>
      <c r="V635" s="251"/>
      <c r="W635" s="251"/>
      <c r="X635" s="251"/>
      <c r="Y635" s="251"/>
      <c r="Z635" s="251"/>
      <c r="AA635" s="251"/>
    </row>
    <row r="636" ht="14.25" customHeight="1">
      <c r="A636" s="251"/>
      <c r="B636" s="263"/>
      <c r="C636" s="263"/>
      <c r="D636" s="251"/>
      <c r="E636" s="500"/>
      <c r="F636" s="500"/>
      <c r="G636" s="500"/>
      <c r="H636" s="500"/>
      <c r="I636" s="513"/>
      <c r="J636" s="263"/>
      <c r="K636" s="263"/>
      <c r="L636" s="251"/>
      <c r="M636" s="251"/>
      <c r="N636" s="251"/>
      <c r="O636" s="251"/>
      <c r="P636" s="251"/>
      <c r="Q636" s="251"/>
      <c r="R636" s="251"/>
      <c r="S636" s="251"/>
      <c r="T636" s="251"/>
      <c r="U636" s="251"/>
      <c r="V636" s="251"/>
      <c r="W636" s="251"/>
      <c r="X636" s="251"/>
      <c r="Y636" s="251"/>
      <c r="Z636" s="251"/>
      <c r="AA636" s="251"/>
    </row>
    <row r="637" ht="14.25" customHeight="1">
      <c r="A637" s="251"/>
      <c r="B637" s="263"/>
      <c r="C637" s="263"/>
      <c r="D637" s="251"/>
      <c r="E637" s="500"/>
      <c r="F637" s="500"/>
      <c r="G637" s="500"/>
      <c r="H637" s="500"/>
      <c r="I637" s="513"/>
      <c r="J637" s="263"/>
      <c r="K637" s="263"/>
      <c r="L637" s="251"/>
      <c r="M637" s="251"/>
      <c r="N637" s="251"/>
      <c r="O637" s="251"/>
      <c r="P637" s="251"/>
      <c r="Q637" s="251"/>
      <c r="R637" s="251"/>
      <c r="S637" s="251"/>
      <c r="T637" s="251"/>
      <c r="U637" s="251"/>
      <c r="V637" s="251"/>
      <c r="W637" s="251"/>
      <c r="X637" s="251"/>
      <c r="Y637" s="251"/>
      <c r="Z637" s="251"/>
      <c r="AA637" s="251"/>
    </row>
    <row r="638" ht="14.25" customHeight="1">
      <c r="A638" s="251"/>
      <c r="B638" s="263"/>
      <c r="C638" s="263"/>
      <c r="D638" s="251"/>
      <c r="E638" s="500"/>
      <c r="F638" s="500"/>
      <c r="G638" s="500"/>
      <c r="H638" s="500"/>
      <c r="I638" s="513"/>
      <c r="J638" s="263"/>
      <c r="K638" s="263"/>
      <c r="L638" s="251"/>
      <c r="M638" s="251"/>
      <c r="N638" s="251"/>
      <c r="O638" s="251"/>
      <c r="P638" s="251"/>
      <c r="Q638" s="251"/>
      <c r="R638" s="251"/>
      <c r="S638" s="251"/>
      <c r="T638" s="251"/>
      <c r="U638" s="251"/>
      <c r="V638" s="251"/>
      <c r="W638" s="251"/>
      <c r="X638" s="251"/>
      <c r="Y638" s="251"/>
      <c r="Z638" s="251"/>
      <c r="AA638" s="251"/>
    </row>
    <row r="639" ht="14.25" customHeight="1">
      <c r="A639" s="251"/>
      <c r="B639" s="263"/>
      <c r="C639" s="263"/>
      <c r="D639" s="251"/>
      <c r="E639" s="500"/>
      <c r="F639" s="500"/>
      <c r="G639" s="500"/>
      <c r="H639" s="500"/>
      <c r="I639" s="513"/>
      <c r="J639" s="263"/>
      <c r="K639" s="263"/>
      <c r="L639" s="251"/>
      <c r="M639" s="251"/>
      <c r="N639" s="251"/>
      <c r="O639" s="251"/>
      <c r="P639" s="251"/>
      <c r="Q639" s="251"/>
      <c r="R639" s="251"/>
      <c r="S639" s="251"/>
      <c r="T639" s="251"/>
      <c r="U639" s="251"/>
      <c r="V639" s="251"/>
      <c r="W639" s="251"/>
      <c r="X639" s="251"/>
      <c r="Y639" s="251"/>
      <c r="Z639" s="251"/>
      <c r="AA639" s="251"/>
    </row>
    <row r="640" ht="14.25" customHeight="1">
      <c r="A640" s="251"/>
      <c r="B640" s="263"/>
      <c r="C640" s="263"/>
      <c r="D640" s="251"/>
      <c r="E640" s="500"/>
      <c r="F640" s="500"/>
      <c r="G640" s="500"/>
      <c r="H640" s="500"/>
      <c r="I640" s="513"/>
      <c r="J640" s="263"/>
      <c r="K640" s="263"/>
      <c r="L640" s="251"/>
      <c r="M640" s="251"/>
      <c r="N640" s="251"/>
      <c r="O640" s="251"/>
      <c r="P640" s="251"/>
      <c r="Q640" s="251"/>
      <c r="R640" s="251"/>
      <c r="S640" s="251"/>
      <c r="T640" s="251"/>
      <c r="U640" s="251"/>
      <c r="V640" s="251"/>
      <c r="W640" s="251"/>
      <c r="X640" s="251"/>
      <c r="Y640" s="251"/>
      <c r="Z640" s="251"/>
      <c r="AA640" s="251"/>
    </row>
    <row r="641" ht="14.25" customHeight="1">
      <c r="A641" s="251"/>
      <c r="B641" s="263"/>
      <c r="C641" s="263"/>
      <c r="D641" s="251"/>
      <c r="E641" s="500"/>
      <c r="F641" s="500"/>
      <c r="G641" s="500"/>
      <c r="H641" s="500"/>
      <c r="I641" s="513"/>
      <c r="J641" s="263"/>
      <c r="K641" s="263"/>
      <c r="L641" s="251"/>
      <c r="M641" s="251"/>
      <c r="N641" s="251"/>
      <c r="O641" s="251"/>
      <c r="P641" s="251"/>
      <c r="Q641" s="251"/>
      <c r="R641" s="251"/>
      <c r="S641" s="251"/>
      <c r="T641" s="251"/>
      <c r="U641" s="251"/>
      <c r="V641" s="251"/>
      <c r="W641" s="251"/>
      <c r="X641" s="251"/>
      <c r="Y641" s="251"/>
      <c r="Z641" s="251"/>
      <c r="AA641" s="251"/>
    </row>
    <row r="642" ht="14.25" customHeight="1">
      <c r="A642" s="251"/>
      <c r="B642" s="263"/>
      <c r="C642" s="263"/>
      <c r="D642" s="251"/>
      <c r="E642" s="500"/>
      <c r="F642" s="500"/>
      <c r="G642" s="500"/>
      <c r="H642" s="500"/>
      <c r="I642" s="513"/>
      <c r="J642" s="263"/>
      <c r="K642" s="263"/>
      <c r="L642" s="251"/>
      <c r="M642" s="251"/>
      <c r="N642" s="251"/>
      <c r="O642" s="251"/>
      <c r="P642" s="251"/>
      <c r="Q642" s="251"/>
      <c r="R642" s="251"/>
      <c r="S642" s="251"/>
      <c r="T642" s="251"/>
      <c r="U642" s="251"/>
      <c r="V642" s="251"/>
      <c r="W642" s="251"/>
      <c r="X642" s="251"/>
      <c r="Y642" s="251"/>
      <c r="Z642" s="251"/>
      <c r="AA642" s="251"/>
    </row>
    <row r="643" ht="14.25" customHeight="1">
      <c r="A643" s="251"/>
      <c r="B643" s="263"/>
      <c r="C643" s="263"/>
      <c r="D643" s="251"/>
      <c r="E643" s="500"/>
      <c r="F643" s="500"/>
      <c r="G643" s="500"/>
      <c r="H643" s="500"/>
      <c r="I643" s="513"/>
      <c r="J643" s="263"/>
      <c r="K643" s="263"/>
      <c r="L643" s="251"/>
      <c r="M643" s="251"/>
      <c r="N643" s="251"/>
      <c r="O643" s="251"/>
      <c r="P643" s="251"/>
      <c r="Q643" s="251"/>
      <c r="R643" s="251"/>
      <c r="S643" s="251"/>
      <c r="T643" s="251"/>
      <c r="U643" s="251"/>
      <c r="V643" s="251"/>
      <c r="W643" s="251"/>
      <c r="X643" s="251"/>
      <c r="Y643" s="251"/>
      <c r="Z643" s="251"/>
      <c r="AA643" s="251"/>
    </row>
    <row r="644" ht="14.25" customHeight="1">
      <c r="A644" s="251"/>
      <c r="B644" s="263"/>
      <c r="C644" s="263"/>
      <c r="D644" s="251"/>
      <c r="E644" s="500"/>
      <c r="F644" s="500"/>
      <c r="G644" s="500"/>
      <c r="H644" s="500"/>
      <c r="I644" s="513"/>
      <c r="J644" s="263"/>
      <c r="K644" s="263"/>
      <c r="L644" s="251"/>
      <c r="M644" s="251"/>
      <c r="N644" s="251"/>
      <c r="O644" s="251"/>
      <c r="P644" s="251"/>
      <c r="Q644" s="251"/>
      <c r="R644" s="251"/>
      <c r="S644" s="251"/>
      <c r="T644" s="251"/>
      <c r="U644" s="251"/>
      <c r="V644" s="251"/>
      <c r="W644" s="251"/>
      <c r="X644" s="251"/>
      <c r="Y644" s="251"/>
      <c r="Z644" s="251"/>
      <c r="AA644" s="251"/>
    </row>
    <row r="645" ht="14.25" customHeight="1">
      <c r="A645" s="251"/>
      <c r="B645" s="263"/>
      <c r="C645" s="263"/>
      <c r="D645" s="251"/>
      <c r="E645" s="500"/>
      <c r="F645" s="500"/>
      <c r="G645" s="500"/>
      <c r="H645" s="500"/>
      <c r="I645" s="513"/>
      <c r="J645" s="263"/>
      <c r="K645" s="263"/>
      <c r="L645" s="251"/>
      <c r="M645" s="251"/>
      <c r="N645" s="251"/>
      <c r="O645" s="251"/>
      <c r="P645" s="251"/>
      <c r="Q645" s="251"/>
      <c r="R645" s="251"/>
      <c r="S645" s="251"/>
      <c r="T645" s="251"/>
      <c r="U645" s="251"/>
      <c r="V645" s="251"/>
      <c r="W645" s="251"/>
      <c r="X645" s="251"/>
      <c r="Y645" s="251"/>
      <c r="Z645" s="251"/>
      <c r="AA645" s="251"/>
    </row>
    <row r="646" ht="14.25" customHeight="1">
      <c r="A646" s="251"/>
      <c r="B646" s="263"/>
      <c r="C646" s="263"/>
      <c r="D646" s="251"/>
      <c r="E646" s="500"/>
      <c r="F646" s="500"/>
      <c r="G646" s="500"/>
      <c r="H646" s="500"/>
      <c r="I646" s="513"/>
      <c r="J646" s="263"/>
      <c r="K646" s="263"/>
      <c r="L646" s="251"/>
      <c r="M646" s="251"/>
      <c r="N646" s="251"/>
      <c r="O646" s="251"/>
      <c r="P646" s="251"/>
      <c r="Q646" s="251"/>
      <c r="R646" s="251"/>
      <c r="S646" s="251"/>
      <c r="T646" s="251"/>
      <c r="U646" s="251"/>
      <c r="V646" s="251"/>
      <c r="W646" s="251"/>
      <c r="X646" s="251"/>
      <c r="Y646" s="251"/>
      <c r="Z646" s="251"/>
      <c r="AA646" s="251"/>
    </row>
    <row r="647" ht="14.25" customHeight="1">
      <c r="A647" s="251"/>
      <c r="B647" s="263"/>
      <c r="C647" s="263"/>
      <c r="D647" s="251"/>
      <c r="E647" s="500"/>
      <c r="F647" s="500"/>
      <c r="G647" s="500"/>
      <c r="H647" s="500"/>
      <c r="I647" s="513"/>
      <c r="J647" s="263"/>
      <c r="K647" s="263"/>
      <c r="L647" s="251"/>
      <c r="M647" s="251"/>
      <c r="N647" s="251"/>
      <c r="O647" s="251"/>
      <c r="P647" s="251"/>
      <c r="Q647" s="251"/>
      <c r="R647" s="251"/>
      <c r="S647" s="251"/>
      <c r="T647" s="251"/>
      <c r="U647" s="251"/>
      <c r="V647" s="251"/>
      <c r="W647" s="251"/>
      <c r="X647" s="251"/>
      <c r="Y647" s="251"/>
      <c r="Z647" s="251"/>
      <c r="AA647" s="251"/>
    </row>
    <row r="648" ht="14.25" customHeight="1">
      <c r="A648" s="251"/>
      <c r="B648" s="263"/>
      <c r="C648" s="263"/>
      <c r="D648" s="251"/>
      <c r="E648" s="500"/>
      <c r="F648" s="500"/>
      <c r="G648" s="500"/>
      <c r="H648" s="500"/>
      <c r="I648" s="513"/>
      <c r="J648" s="263"/>
      <c r="K648" s="263"/>
      <c r="L648" s="251"/>
      <c r="M648" s="251"/>
      <c r="N648" s="251"/>
      <c r="O648" s="251"/>
      <c r="P648" s="251"/>
      <c r="Q648" s="251"/>
      <c r="R648" s="251"/>
      <c r="S648" s="251"/>
      <c r="T648" s="251"/>
      <c r="U648" s="251"/>
      <c r="V648" s="251"/>
      <c r="W648" s="251"/>
      <c r="X648" s="251"/>
      <c r="Y648" s="251"/>
      <c r="Z648" s="251"/>
      <c r="AA648" s="251"/>
    </row>
    <row r="649" ht="14.25" customHeight="1">
      <c r="A649" s="251"/>
      <c r="B649" s="263"/>
      <c r="C649" s="263"/>
      <c r="D649" s="251"/>
      <c r="E649" s="500"/>
      <c r="F649" s="500"/>
      <c r="G649" s="500"/>
      <c r="H649" s="500"/>
      <c r="I649" s="513"/>
      <c r="J649" s="263"/>
      <c r="K649" s="263"/>
      <c r="L649" s="251"/>
      <c r="M649" s="251"/>
      <c r="N649" s="251"/>
      <c r="O649" s="251"/>
      <c r="P649" s="251"/>
      <c r="Q649" s="251"/>
      <c r="R649" s="251"/>
      <c r="S649" s="251"/>
      <c r="T649" s="251"/>
      <c r="U649" s="251"/>
      <c r="V649" s="251"/>
      <c r="W649" s="251"/>
      <c r="X649" s="251"/>
      <c r="Y649" s="251"/>
      <c r="Z649" s="251"/>
      <c r="AA649" s="251"/>
    </row>
    <row r="650" ht="14.25" customHeight="1">
      <c r="A650" s="251"/>
      <c r="B650" s="263"/>
      <c r="C650" s="263"/>
      <c r="D650" s="251"/>
      <c r="E650" s="500"/>
      <c r="F650" s="500"/>
      <c r="G650" s="500"/>
      <c r="H650" s="500"/>
      <c r="I650" s="513"/>
      <c r="J650" s="263"/>
      <c r="K650" s="263"/>
      <c r="L650" s="251"/>
      <c r="M650" s="251"/>
      <c r="N650" s="251"/>
      <c r="O650" s="251"/>
      <c r="P650" s="251"/>
      <c r="Q650" s="251"/>
      <c r="R650" s="251"/>
      <c r="S650" s="251"/>
      <c r="T650" s="251"/>
      <c r="U650" s="251"/>
      <c r="V650" s="251"/>
      <c r="W650" s="251"/>
      <c r="X650" s="251"/>
      <c r="Y650" s="251"/>
      <c r="Z650" s="251"/>
      <c r="AA650" s="251"/>
    </row>
    <row r="651" ht="14.25" customHeight="1">
      <c r="A651" s="251"/>
      <c r="B651" s="263"/>
      <c r="C651" s="263"/>
      <c r="D651" s="251"/>
      <c r="E651" s="500"/>
      <c r="F651" s="500"/>
      <c r="G651" s="500"/>
      <c r="H651" s="500"/>
      <c r="I651" s="513"/>
      <c r="J651" s="263"/>
      <c r="K651" s="263"/>
      <c r="L651" s="251"/>
      <c r="M651" s="251"/>
      <c r="N651" s="251"/>
      <c r="O651" s="251"/>
      <c r="P651" s="251"/>
      <c r="Q651" s="251"/>
      <c r="R651" s="251"/>
      <c r="S651" s="251"/>
      <c r="T651" s="251"/>
      <c r="U651" s="251"/>
      <c r="V651" s="251"/>
      <c r="W651" s="251"/>
      <c r="X651" s="251"/>
      <c r="Y651" s="251"/>
      <c r="Z651" s="251"/>
      <c r="AA651" s="251"/>
    </row>
    <row r="652" ht="14.25" customHeight="1">
      <c r="A652" s="251"/>
      <c r="B652" s="263"/>
      <c r="C652" s="263"/>
      <c r="D652" s="251"/>
      <c r="E652" s="500"/>
      <c r="F652" s="500"/>
      <c r="G652" s="500"/>
      <c r="H652" s="500"/>
      <c r="I652" s="513"/>
      <c r="J652" s="263"/>
      <c r="K652" s="263"/>
      <c r="L652" s="251"/>
      <c r="M652" s="251"/>
      <c r="N652" s="251"/>
      <c r="O652" s="251"/>
      <c r="P652" s="251"/>
      <c r="Q652" s="251"/>
      <c r="R652" s="251"/>
      <c r="S652" s="251"/>
      <c r="T652" s="251"/>
      <c r="U652" s="251"/>
      <c r="V652" s="251"/>
      <c r="W652" s="251"/>
      <c r="X652" s="251"/>
      <c r="Y652" s="251"/>
      <c r="Z652" s="251"/>
      <c r="AA652" s="251"/>
    </row>
    <row r="653" ht="14.25" customHeight="1">
      <c r="A653" s="251"/>
      <c r="B653" s="263"/>
      <c r="C653" s="263"/>
      <c r="D653" s="251"/>
      <c r="E653" s="500"/>
      <c r="F653" s="500"/>
      <c r="G653" s="500"/>
      <c r="H653" s="500"/>
      <c r="I653" s="513"/>
      <c r="J653" s="263"/>
      <c r="K653" s="263"/>
      <c r="L653" s="251"/>
      <c r="M653" s="251"/>
      <c r="N653" s="251"/>
      <c r="O653" s="251"/>
      <c r="P653" s="251"/>
      <c r="Q653" s="251"/>
      <c r="R653" s="251"/>
      <c r="S653" s="251"/>
      <c r="T653" s="251"/>
      <c r="U653" s="251"/>
      <c r="V653" s="251"/>
      <c r="W653" s="251"/>
      <c r="X653" s="251"/>
      <c r="Y653" s="251"/>
      <c r="Z653" s="251"/>
      <c r="AA653" s="251"/>
    </row>
    <row r="654" ht="14.25" customHeight="1">
      <c r="A654" s="251"/>
      <c r="B654" s="263"/>
      <c r="C654" s="263"/>
      <c r="D654" s="251"/>
      <c r="E654" s="500"/>
      <c r="F654" s="500"/>
      <c r="G654" s="500"/>
      <c r="H654" s="500"/>
      <c r="I654" s="513"/>
      <c r="J654" s="263"/>
      <c r="K654" s="263"/>
      <c r="L654" s="251"/>
      <c r="M654" s="251"/>
      <c r="N654" s="251"/>
      <c r="O654" s="251"/>
      <c r="P654" s="251"/>
      <c r="Q654" s="251"/>
      <c r="R654" s="251"/>
      <c r="S654" s="251"/>
      <c r="T654" s="251"/>
      <c r="U654" s="251"/>
      <c r="V654" s="251"/>
      <c r="W654" s="251"/>
      <c r="X654" s="251"/>
      <c r="Y654" s="251"/>
      <c r="Z654" s="251"/>
      <c r="AA654" s="251"/>
    </row>
    <row r="655" ht="14.25" customHeight="1">
      <c r="A655" s="251"/>
      <c r="B655" s="263"/>
      <c r="C655" s="263"/>
      <c r="D655" s="251"/>
      <c r="E655" s="500"/>
      <c r="F655" s="500"/>
      <c r="G655" s="500"/>
      <c r="H655" s="500"/>
      <c r="I655" s="513"/>
      <c r="J655" s="263"/>
      <c r="K655" s="263"/>
      <c r="L655" s="251"/>
      <c r="M655" s="251"/>
      <c r="N655" s="251"/>
      <c r="O655" s="251"/>
      <c r="P655" s="251"/>
      <c r="Q655" s="251"/>
      <c r="R655" s="251"/>
      <c r="S655" s="251"/>
      <c r="T655" s="251"/>
      <c r="U655" s="251"/>
      <c r="V655" s="251"/>
      <c r="W655" s="251"/>
      <c r="X655" s="251"/>
      <c r="Y655" s="251"/>
      <c r="Z655" s="251"/>
      <c r="AA655" s="251"/>
    </row>
    <row r="656" ht="14.25" customHeight="1">
      <c r="A656" s="251"/>
      <c r="B656" s="263"/>
      <c r="C656" s="263"/>
      <c r="D656" s="251"/>
      <c r="E656" s="500"/>
      <c r="F656" s="500"/>
      <c r="G656" s="500"/>
      <c r="H656" s="500"/>
      <c r="I656" s="513"/>
      <c r="J656" s="263"/>
      <c r="K656" s="263"/>
      <c r="L656" s="251"/>
      <c r="M656" s="251"/>
      <c r="N656" s="251"/>
      <c r="O656" s="251"/>
      <c r="P656" s="251"/>
      <c r="Q656" s="251"/>
      <c r="R656" s="251"/>
      <c r="S656" s="251"/>
      <c r="T656" s="251"/>
      <c r="U656" s="251"/>
      <c r="V656" s="251"/>
      <c r="W656" s="251"/>
      <c r="X656" s="251"/>
      <c r="Y656" s="251"/>
      <c r="Z656" s="251"/>
      <c r="AA656" s="251"/>
    </row>
    <row r="657" ht="14.25" customHeight="1">
      <c r="A657" s="251"/>
      <c r="B657" s="263"/>
      <c r="C657" s="263"/>
      <c r="D657" s="251"/>
      <c r="E657" s="500"/>
      <c r="F657" s="500"/>
      <c r="G657" s="500"/>
      <c r="H657" s="500"/>
      <c r="I657" s="513"/>
      <c r="J657" s="263"/>
      <c r="K657" s="263"/>
      <c r="L657" s="251"/>
      <c r="M657" s="251"/>
      <c r="N657" s="251"/>
      <c r="O657" s="251"/>
      <c r="P657" s="251"/>
      <c r="Q657" s="251"/>
      <c r="R657" s="251"/>
      <c r="S657" s="251"/>
      <c r="T657" s="251"/>
      <c r="U657" s="251"/>
      <c r="V657" s="251"/>
      <c r="W657" s="251"/>
      <c r="X657" s="251"/>
      <c r="Y657" s="251"/>
      <c r="Z657" s="251"/>
      <c r="AA657" s="251"/>
    </row>
    <row r="658" ht="14.25" customHeight="1">
      <c r="A658" s="251"/>
      <c r="B658" s="263"/>
      <c r="C658" s="263"/>
      <c r="D658" s="251"/>
      <c r="E658" s="500"/>
      <c r="F658" s="500"/>
      <c r="G658" s="500"/>
      <c r="H658" s="500"/>
      <c r="I658" s="513"/>
      <c r="J658" s="263"/>
      <c r="K658" s="263"/>
      <c r="L658" s="251"/>
      <c r="M658" s="251"/>
      <c r="N658" s="251"/>
      <c r="O658" s="251"/>
      <c r="P658" s="251"/>
      <c r="Q658" s="251"/>
      <c r="R658" s="251"/>
      <c r="S658" s="251"/>
      <c r="T658" s="251"/>
      <c r="U658" s="251"/>
      <c r="V658" s="251"/>
      <c r="W658" s="251"/>
      <c r="X658" s="251"/>
      <c r="Y658" s="251"/>
      <c r="Z658" s="251"/>
      <c r="AA658" s="251"/>
    </row>
    <row r="659" ht="14.25" customHeight="1">
      <c r="A659" s="251"/>
      <c r="B659" s="263"/>
      <c r="C659" s="263"/>
      <c r="D659" s="251"/>
      <c r="E659" s="500"/>
      <c r="F659" s="500"/>
      <c r="G659" s="500"/>
      <c r="H659" s="500"/>
      <c r="I659" s="513"/>
      <c r="J659" s="263"/>
      <c r="K659" s="263"/>
      <c r="L659" s="251"/>
      <c r="M659" s="251"/>
      <c r="N659" s="251"/>
      <c r="O659" s="251"/>
      <c r="P659" s="251"/>
      <c r="Q659" s="251"/>
      <c r="R659" s="251"/>
      <c r="S659" s="251"/>
      <c r="T659" s="251"/>
      <c r="U659" s="251"/>
      <c r="V659" s="251"/>
      <c r="W659" s="251"/>
      <c r="X659" s="251"/>
      <c r="Y659" s="251"/>
      <c r="Z659" s="251"/>
      <c r="AA659" s="251"/>
    </row>
    <row r="660" ht="14.25" customHeight="1">
      <c r="A660" s="251"/>
      <c r="B660" s="263"/>
      <c r="C660" s="263"/>
      <c r="D660" s="251"/>
      <c r="E660" s="500"/>
      <c r="F660" s="500"/>
      <c r="G660" s="500"/>
      <c r="H660" s="500"/>
      <c r="I660" s="513"/>
      <c r="J660" s="263"/>
      <c r="K660" s="263"/>
      <c r="L660" s="251"/>
      <c r="M660" s="251"/>
      <c r="N660" s="251"/>
      <c r="O660" s="251"/>
      <c r="P660" s="251"/>
      <c r="Q660" s="251"/>
      <c r="R660" s="251"/>
      <c r="S660" s="251"/>
      <c r="T660" s="251"/>
      <c r="U660" s="251"/>
      <c r="V660" s="251"/>
      <c r="W660" s="251"/>
      <c r="X660" s="251"/>
      <c r="Y660" s="251"/>
      <c r="Z660" s="251"/>
      <c r="AA660" s="251"/>
    </row>
    <row r="661" ht="14.25" customHeight="1">
      <c r="A661" s="251"/>
      <c r="B661" s="263"/>
      <c r="C661" s="263"/>
      <c r="D661" s="251"/>
      <c r="E661" s="500"/>
      <c r="F661" s="500"/>
      <c r="G661" s="500"/>
      <c r="H661" s="500"/>
      <c r="I661" s="513"/>
      <c r="J661" s="263"/>
      <c r="K661" s="263"/>
      <c r="L661" s="251"/>
      <c r="M661" s="251"/>
      <c r="N661" s="251"/>
      <c r="O661" s="251"/>
      <c r="P661" s="251"/>
      <c r="Q661" s="251"/>
      <c r="R661" s="251"/>
      <c r="S661" s="251"/>
      <c r="T661" s="251"/>
      <c r="U661" s="251"/>
      <c r="V661" s="251"/>
      <c r="W661" s="251"/>
      <c r="X661" s="251"/>
      <c r="Y661" s="251"/>
      <c r="Z661" s="251"/>
      <c r="AA661" s="251"/>
    </row>
    <row r="662" ht="14.25" customHeight="1">
      <c r="A662" s="251"/>
      <c r="B662" s="263"/>
      <c r="C662" s="263"/>
      <c r="D662" s="251"/>
      <c r="E662" s="500"/>
      <c r="F662" s="500"/>
      <c r="G662" s="500"/>
      <c r="H662" s="500"/>
      <c r="I662" s="513"/>
      <c r="J662" s="263"/>
      <c r="K662" s="263"/>
      <c r="L662" s="251"/>
      <c r="M662" s="251"/>
      <c r="N662" s="251"/>
      <c r="O662" s="251"/>
      <c r="P662" s="251"/>
      <c r="Q662" s="251"/>
      <c r="R662" s="251"/>
      <c r="S662" s="251"/>
      <c r="T662" s="251"/>
      <c r="U662" s="251"/>
      <c r="V662" s="251"/>
      <c r="W662" s="251"/>
      <c r="X662" s="251"/>
      <c r="Y662" s="251"/>
      <c r="Z662" s="251"/>
      <c r="AA662" s="251"/>
    </row>
    <row r="663" ht="14.25" customHeight="1">
      <c r="A663" s="251"/>
      <c r="B663" s="263"/>
      <c r="C663" s="263"/>
      <c r="D663" s="251"/>
      <c r="E663" s="500"/>
      <c r="F663" s="500"/>
      <c r="G663" s="500"/>
      <c r="H663" s="500"/>
      <c r="I663" s="513"/>
      <c r="J663" s="263"/>
      <c r="K663" s="263"/>
      <c r="L663" s="251"/>
      <c r="M663" s="251"/>
      <c r="N663" s="251"/>
      <c r="O663" s="251"/>
      <c r="P663" s="251"/>
      <c r="Q663" s="251"/>
      <c r="R663" s="251"/>
      <c r="S663" s="251"/>
      <c r="T663" s="251"/>
      <c r="U663" s="251"/>
      <c r="V663" s="251"/>
      <c r="W663" s="251"/>
      <c r="X663" s="251"/>
      <c r="Y663" s="251"/>
      <c r="Z663" s="251"/>
      <c r="AA663" s="251"/>
    </row>
    <row r="664" ht="14.25" customHeight="1">
      <c r="A664" s="251"/>
      <c r="B664" s="263"/>
      <c r="C664" s="263"/>
      <c r="D664" s="251"/>
      <c r="E664" s="500"/>
      <c r="F664" s="500"/>
      <c r="G664" s="500"/>
      <c r="H664" s="500"/>
      <c r="I664" s="513"/>
      <c r="J664" s="263"/>
      <c r="K664" s="263"/>
      <c r="L664" s="251"/>
      <c r="M664" s="251"/>
      <c r="N664" s="251"/>
      <c r="O664" s="251"/>
      <c r="P664" s="251"/>
      <c r="Q664" s="251"/>
      <c r="R664" s="251"/>
      <c r="S664" s="251"/>
      <c r="T664" s="251"/>
      <c r="U664" s="251"/>
      <c r="V664" s="251"/>
      <c r="W664" s="251"/>
      <c r="X664" s="251"/>
      <c r="Y664" s="251"/>
      <c r="Z664" s="251"/>
      <c r="AA664" s="251"/>
    </row>
    <row r="665" ht="14.25" customHeight="1">
      <c r="A665" s="251"/>
      <c r="B665" s="263"/>
      <c r="C665" s="263"/>
      <c r="D665" s="251"/>
      <c r="E665" s="500"/>
      <c r="F665" s="500"/>
      <c r="G665" s="500"/>
      <c r="H665" s="500"/>
      <c r="I665" s="513"/>
      <c r="J665" s="263"/>
      <c r="K665" s="263"/>
      <c r="L665" s="251"/>
      <c r="M665" s="251"/>
      <c r="N665" s="251"/>
      <c r="O665" s="251"/>
      <c r="P665" s="251"/>
      <c r="Q665" s="251"/>
      <c r="R665" s="251"/>
      <c r="S665" s="251"/>
      <c r="T665" s="251"/>
      <c r="U665" s="251"/>
      <c r="V665" s="251"/>
      <c r="W665" s="251"/>
      <c r="X665" s="251"/>
      <c r="Y665" s="251"/>
      <c r="Z665" s="251"/>
      <c r="AA665" s="251"/>
    </row>
    <row r="666" ht="14.25" customHeight="1">
      <c r="A666" s="251"/>
      <c r="B666" s="263"/>
      <c r="C666" s="263"/>
      <c r="D666" s="251"/>
      <c r="E666" s="500"/>
      <c r="F666" s="500"/>
      <c r="G666" s="500"/>
      <c r="H666" s="500"/>
      <c r="I666" s="513"/>
      <c r="J666" s="263"/>
      <c r="K666" s="263"/>
      <c r="L666" s="251"/>
      <c r="M666" s="251"/>
      <c r="N666" s="251"/>
      <c r="O666" s="251"/>
      <c r="P666" s="251"/>
      <c r="Q666" s="251"/>
      <c r="R666" s="251"/>
      <c r="S666" s="251"/>
      <c r="T666" s="251"/>
      <c r="U666" s="251"/>
      <c r="V666" s="251"/>
      <c r="W666" s="251"/>
      <c r="X666" s="251"/>
      <c r="Y666" s="251"/>
      <c r="Z666" s="251"/>
      <c r="AA666" s="251"/>
    </row>
    <row r="667" ht="14.25" customHeight="1">
      <c r="A667" s="251"/>
      <c r="B667" s="263"/>
      <c r="C667" s="263"/>
      <c r="D667" s="251"/>
      <c r="E667" s="500"/>
      <c r="F667" s="500"/>
      <c r="G667" s="500"/>
      <c r="H667" s="500"/>
      <c r="I667" s="513"/>
      <c r="J667" s="263"/>
      <c r="K667" s="263"/>
      <c r="L667" s="251"/>
      <c r="M667" s="251"/>
      <c r="N667" s="251"/>
      <c r="O667" s="251"/>
      <c r="P667" s="251"/>
      <c r="Q667" s="251"/>
      <c r="R667" s="251"/>
      <c r="S667" s="251"/>
      <c r="T667" s="251"/>
      <c r="U667" s="251"/>
      <c r="V667" s="251"/>
      <c r="W667" s="251"/>
      <c r="X667" s="251"/>
      <c r="Y667" s="251"/>
      <c r="Z667" s="251"/>
      <c r="AA667" s="251"/>
    </row>
    <row r="668" ht="14.25" customHeight="1">
      <c r="A668" s="251"/>
      <c r="B668" s="263"/>
      <c r="C668" s="263"/>
      <c r="D668" s="251"/>
      <c r="E668" s="500"/>
      <c r="F668" s="500"/>
      <c r="G668" s="500"/>
      <c r="H668" s="500"/>
      <c r="I668" s="513"/>
      <c r="J668" s="263"/>
      <c r="K668" s="263"/>
      <c r="L668" s="251"/>
      <c r="M668" s="251"/>
      <c r="N668" s="251"/>
      <c r="O668" s="251"/>
      <c r="P668" s="251"/>
      <c r="Q668" s="251"/>
      <c r="R668" s="251"/>
      <c r="S668" s="251"/>
      <c r="T668" s="251"/>
      <c r="U668" s="251"/>
      <c r="V668" s="251"/>
      <c r="W668" s="251"/>
      <c r="X668" s="251"/>
      <c r="Y668" s="251"/>
      <c r="Z668" s="251"/>
      <c r="AA668" s="251"/>
    </row>
    <row r="669" ht="14.25" customHeight="1">
      <c r="A669" s="251"/>
      <c r="B669" s="263"/>
      <c r="C669" s="263"/>
      <c r="D669" s="251"/>
      <c r="E669" s="500"/>
      <c r="F669" s="500"/>
      <c r="G669" s="500"/>
      <c r="H669" s="500"/>
      <c r="I669" s="513"/>
      <c r="J669" s="263"/>
      <c r="K669" s="263"/>
      <c r="L669" s="251"/>
      <c r="M669" s="251"/>
      <c r="N669" s="251"/>
      <c r="O669" s="251"/>
      <c r="P669" s="251"/>
      <c r="Q669" s="251"/>
      <c r="R669" s="251"/>
      <c r="S669" s="251"/>
      <c r="T669" s="251"/>
      <c r="U669" s="251"/>
      <c r="V669" s="251"/>
      <c r="W669" s="251"/>
      <c r="X669" s="251"/>
      <c r="Y669" s="251"/>
      <c r="Z669" s="251"/>
      <c r="AA669" s="251"/>
    </row>
    <row r="670" ht="14.25" customHeight="1">
      <c r="A670" s="251"/>
      <c r="B670" s="263"/>
      <c r="C670" s="263"/>
      <c r="D670" s="251"/>
      <c r="E670" s="500"/>
      <c r="F670" s="500"/>
      <c r="G670" s="500"/>
      <c r="H670" s="500"/>
      <c r="I670" s="513"/>
      <c r="J670" s="263"/>
      <c r="K670" s="263"/>
      <c r="L670" s="251"/>
      <c r="M670" s="251"/>
      <c r="N670" s="251"/>
      <c r="O670" s="251"/>
      <c r="P670" s="251"/>
      <c r="Q670" s="251"/>
      <c r="R670" s="251"/>
      <c r="S670" s="251"/>
      <c r="T670" s="251"/>
      <c r="U670" s="251"/>
      <c r="V670" s="251"/>
      <c r="W670" s="251"/>
      <c r="X670" s="251"/>
      <c r="Y670" s="251"/>
      <c r="Z670" s="251"/>
      <c r="AA670" s="251"/>
    </row>
    <row r="671" ht="14.25" customHeight="1">
      <c r="A671" s="251"/>
      <c r="B671" s="263"/>
      <c r="C671" s="263"/>
      <c r="D671" s="251"/>
      <c r="E671" s="500"/>
      <c r="F671" s="500"/>
      <c r="G671" s="500"/>
      <c r="H671" s="500"/>
      <c r="I671" s="513"/>
      <c r="J671" s="263"/>
      <c r="K671" s="263"/>
      <c r="L671" s="251"/>
      <c r="M671" s="251"/>
      <c r="N671" s="251"/>
      <c r="O671" s="251"/>
      <c r="P671" s="251"/>
      <c r="Q671" s="251"/>
      <c r="R671" s="251"/>
      <c r="S671" s="251"/>
      <c r="T671" s="251"/>
      <c r="U671" s="251"/>
      <c r="V671" s="251"/>
      <c r="W671" s="251"/>
      <c r="X671" s="251"/>
      <c r="Y671" s="251"/>
      <c r="Z671" s="251"/>
      <c r="AA671" s="251"/>
    </row>
    <row r="672" ht="14.25" customHeight="1">
      <c r="A672" s="251"/>
      <c r="B672" s="263"/>
      <c r="C672" s="263"/>
      <c r="D672" s="251"/>
      <c r="E672" s="500"/>
      <c r="F672" s="500"/>
      <c r="G672" s="500"/>
      <c r="H672" s="500"/>
      <c r="I672" s="513"/>
      <c r="J672" s="263"/>
      <c r="K672" s="263"/>
      <c r="L672" s="251"/>
      <c r="M672" s="251"/>
      <c r="N672" s="251"/>
      <c r="O672" s="251"/>
      <c r="P672" s="251"/>
      <c r="Q672" s="251"/>
      <c r="R672" s="251"/>
      <c r="S672" s="251"/>
      <c r="T672" s="251"/>
      <c r="U672" s="251"/>
      <c r="V672" s="251"/>
      <c r="W672" s="251"/>
      <c r="X672" s="251"/>
      <c r="Y672" s="251"/>
      <c r="Z672" s="251"/>
      <c r="AA672" s="251"/>
    </row>
    <row r="673" ht="14.25" customHeight="1">
      <c r="A673" s="251"/>
      <c r="B673" s="263"/>
      <c r="C673" s="263"/>
      <c r="D673" s="251"/>
      <c r="E673" s="500"/>
      <c r="F673" s="500"/>
      <c r="G673" s="500"/>
      <c r="H673" s="500"/>
      <c r="I673" s="513"/>
      <c r="J673" s="263"/>
      <c r="K673" s="263"/>
      <c r="L673" s="251"/>
      <c r="M673" s="251"/>
      <c r="N673" s="251"/>
      <c r="O673" s="251"/>
      <c r="P673" s="251"/>
      <c r="Q673" s="251"/>
      <c r="R673" s="251"/>
      <c r="S673" s="251"/>
      <c r="T673" s="251"/>
      <c r="U673" s="251"/>
      <c r="V673" s="251"/>
      <c r="W673" s="251"/>
      <c r="X673" s="251"/>
      <c r="Y673" s="251"/>
      <c r="Z673" s="251"/>
      <c r="AA673" s="251"/>
    </row>
    <row r="674" ht="14.25" customHeight="1">
      <c r="A674" s="251"/>
      <c r="B674" s="263"/>
      <c r="C674" s="263"/>
      <c r="D674" s="251"/>
      <c r="E674" s="500"/>
      <c r="F674" s="500"/>
      <c r="G674" s="500"/>
      <c r="H674" s="500"/>
      <c r="I674" s="513"/>
      <c r="J674" s="263"/>
      <c r="K674" s="263"/>
      <c r="L674" s="251"/>
      <c r="M674" s="251"/>
      <c r="N674" s="251"/>
      <c r="O674" s="251"/>
      <c r="P674" s="251"/>
      <c r="Q674" s="251"/>
      <c r="R674" s="251"/>
      <c r="S674" s="251"/>
      <c r="T674" s="251"/>
      <c r="U674" s="251"/>
      <c r="V674" s="251"/>
      <c r="W674" s="251"/>
      <c r="X674" s="251"/>
      <c r="Y674" s="251"/>
      <c r="Z674" s="251"/>
      <c r="AA674" s="251"/>
    </row>
    <row r="675" ht="14.25" customHeight="1">
      <c r="A675" s="251"/>
      <c r="B675" s="263"/>
      <c r="C675" s="263"/>
      <c r="D675" s="251"/>
      <c r="E675" s="500"/>
      <c r="F675" s="500"/>
      <c r="G675" s="500"/>
      <c r="H675" s="500"/>
      <c r="I675" s="513"/>
      <c r="J675" s="263"/>
      <c r="K675" s="263"/>
      <c r="L675" s="251"/>
      <c r="M675" s="251"/>
      <c r="N675" s="251"/>
      <c r="O675" s="251"/>
      <c r="P675" s="251"/>
      <c r="Q675" s="251"/>
      <c r="R675" s="251"/>
      <c r="S675" s="251"/>
      <c r="T675" s="251"/>
      <c r="U675" s="251"/>
      <c r="V675" s="251"/>
      <c r="W675" s="251"/>
      <c r="X675" s="251"/>
      <c r="Y675" s="251"/>
      <c r="Z675" s="251"/>
      <c r="AA675" s="251"/>
    </row>
    <row r="676" ht="14.25" customHeight="1">
      <c r="A676" s="251"/>
      <c r="B676" s="263"/>
      <c r="C676" s="263"/>
      <c r="D676" s="251"/>
      <c r="E676" s="500"/>
      <c r="F676" s="500"/>
      <c r="G676" s="500"/>
      <c r="H676" s="500"/>
      <c r="I676" s="513"/>
      <c r="J676" s="263"/>
      <c r="K676" s="263"/>
      <c r="L676" s="251"/>
      <c r="M676" s="251"/>
      <c r="N676" s="251"/>
      <c r="O676" s="251"/>
      <c r="P676" s="251"/>
      <c r="Q676" s="251"/>
      <c r="R676" s="251"/>
      <c r="S676" s="251"/>
      <c r="T676" s="251"/>
      <c r="U676" s="251"/>
      <c r="V676" s="251"/>
      <c r="W676" s="251"/>
      <c r="X676" s="251"/>
      <c r="Y676" s="251"/>
      <c r="Z676" s="251"/>
      <c r="AA676" s="251"/>
    </row>
    <row r="677" ht="14.25" customHeight="1">
      <c r="A677" s="251"/>
      <c r="B677" s="263"/>
      <c r="C677" s="263"/>
      <c r="D677" s="251"/>
      <c r="E677" s="500"/>
      <c r="F677" s="500"/>
      <c r="G677" s="500"/>
      <c r="H677" s="500"/>
      <c r="I677" s="513"/>
      <c r="J677" s="263"/>
      <c r="K677" s="263"/>
      <c r="L677" s="251"/>
      <c r="M677" s="251"/>
      <c r="N677" s="251"/>
      <c r="O677" s="251"/>
      <c r="P677" s="251"/>
      <c r="Q677" s="251"/>
      <c r="R677" s="251"/>
      <c r="S677" s="251"/>
      <c r="T677" s="251"/>
      <c r="U677" s="251"/>
      <c r="V677" s="251"/>
      <c r="W677" s="251"/>
      <c r="X677" s="251"/>
      <c r="Y677" s="251"/>
      <c r="Z677" s="251"/>
      <c r="AA677" s="251"/>
    </row>
    <row r="678" ht="14.25" customHeight="1">
      <c r="A678" s="251"/>
      <c r="B678" s="263"/>
      <c r="C678" s="263"/>
      <c r="D678" s="251"/>
      <c r="E678" s="500"/>
      <c r="F678" s="500"/>
      <c r="G678" s="500"/>
      <c r="H678" s="500"/>
      <c r="I678" s="513"/>
      <c r="J678" s="263"/>
      <c r="K678" s="263"/>
      <c r="L678" s="251"/>
      <c r="M678" s="251"/>
      <c r="N678" s="251"/>
      <c r="O678" s="251"/>
      <c r="P678" s="251"/>
      <c r="Q678" s="251"/>
      <c r="R678" s="251"/>
      <c r="S678" s="251"/>
      <c r="T678" s="251"/>
      <c r="U678" s="251"/>
      <c r="V678" s="251"/>
      <c r="W678" s="251"/>
      <c r="X678" s="251"/>
      <c r="Y678" s="251"/>
      <c r="Z678" s="251"/>
      <c r="AA678" s="251"/>
    </row>
    <row r="679" ht="14.25" customHeight="1">
      <c r="A679" s="251"/>
      <c r="B679" s="263"/>
      <c r="C679" s="263"/>
      <c r="D679" s="251"/>
      <c r="E679" s="500"/>
      <c r="F679" s="500"/>
      <c r="G679" s="500"/>
      <c r="H679" s="500"/>
      <c r="I679" s="513"/>
      <c r="J679" s="263"/>
      <c r="K679" s="263"/>
      <c r="L679" s="251"/>
      <c r="M679" s="251"/>
      <c r="N679" s="251"/>
      <c r="O679" s="251"/>
      <c r="P679" s="251"/>
      <c r="Q679" s="251"/>
      <c r="R679" s="251"/>
      <c r="S679" s="251"/>
      <c r="T679" s="251"/>
      <c r="U679" s="251"/>
      <c r="V679" s="251"/>
      <c r="W679" s="251"/>
      <c r="X679" s="251"/>
      <c r="Y679" s="251"/>
      <c r="Z679" s="251"/>
      <c r="AA679" s="251"/>
    </row>
    <row r="680" ht="14.25" customHeight="1">
      <c r="A680" s="251"/>
      <c r="B680" s="263"/>
      <c r="C680" s="263"/>
      <c r="D680" s="251"/>
      <c r="E680" s="500"/>
      <c r="F680" s="500"/>
      <c r="G680" s="500"/>
      <c r="H680" s="500"/>
      <c r="I680" s="513"/>
      <c r="J680" s="263"/>
      <c r="K680" s="263"/>
      <c r="L680" s="251"/>
      <c r="M680" s="251"/>
      <c r="N680" s="251"/>
      <c r="O680" s="251"/>
      <c r="P680" s="251"/>
      <c r="Q680" s="251"/>
      <c r="R680" s="251"/>
      <c r="S680" s="251"/>
      <c r="T680" s="251"/>
      <c r="U680" s="251"/>
      <c r="V680" s="251"/>
      <c r="W680" s="251"/>
      <c r="X680" s="251"/>
      <c r="Y680" s="251"/>
      <c r="Z680" s="251"/>
      <c r="AA680" s="251"/>
    </row>
    <row r="681" ht="14.25" customHeight="1">
      <c r="A681" s="251"/>
      <c r="B681" s="263"/>
      <c r="C681" s="263"/>
      <c r="D681" s="251"/>
      <c r="E681" s="500"/>
      <c r="F681" s="500"/>
      <c r="G681" s="500"/>
      <c r="H681" s="500"/>
      <c r="I681" s="513"/>
      <c r="J681" s="263"/>
      <c r="K681" s="263"/>
      <c r="L681" s="251"/>
      <c r="M681" s="251"/>
      <c r="N681" s="251"/>
      <c r="O681" s="251"/>
      <c r="P681" s="251"/>
      <c r="Q681" s="251"/>
      <c r="R681" s="251"/>
      <c r="S681" s="251"/>
      <c r="T681" s="251"/>
      <c r="U681" s="251"/>
      <c r="V681" s="251"/>
      <c r="W681" s="251"/>
      <c r="X681" s="251"/>
      <c r="Y681" s="251"/>
      <c r="Z681" s="251"/>
      <c r="AA681" s="251"/>
    </row>
    <row r="682" ht="14.25" customHeight="1">
      <c r="A682" s="251"/>
      <c r="B682" s="263"/>
      <c r="C682" s="263"/>
      <c r="D682" s="251"/>
      <c r="E682" s="500"/>
      <c r="F682" s="500"/>
      <c r="G682" s="500"/>
      <c r="H682" s="500"/>
      <c r="I682" s="513"/>
      <c r="J682" s="263"/>
      <c r="K682" s="263"/>
      <c r="L682" s="251"/>
      <c r="M682" s="251"/>
      <c r="N682" s="251"/>
      <c r="O682" s="251"/>
      <c r="P682" s="251"/>
      <c r="Q682" s="251"/>
      <c r="R682" s="251"/>
      <c r="S682" s="251"/>
      <c r="T682" s="251"/>
      <c r="U682" s="251"/>
      <c r="V682" s="251"/>
      <c r="W682" s="251"/>
      <c r="X682" s="251"/>
      <c r="Y682" s="251"/>
      <c r="Z682" s="251"/>
      <c r="AA682" s="251"/>
    </row>
    <row r="683" ht="14.25" customHeight="1">
      <c r="A683" s="251"/>
      <c r="B683" s="263"/>
      <c r="C683" s="263"/>
      <c r="D683" s="251"/>
      <c r="E683" s="500"/>
      <c r="F683" s="500"/>
      <c r="G683" s="500"/>
      <c r="H683" s="500"/>
      <c r="I683" s="513"/>
      <c r="J683" s="263"/>
      <c r="K683" s="263"/>
      <c r="L683" s="251"/>
      <c r="M683" s="251"/>
      <c r="N683" s="251"/>
      <c r="O683" s="251"/>
      <c r="P683" s="251"/>
      <c r="Q683" s="251"/>
      <c r="R683" s="251"/>
      <c r="S683" s="251"/>
      <c r="T683" s="251"/>
      <c r="U683" s="251"/>
      <c r="V683" s="251"/>
      <c r="W683" s="251"/>
      <c r="X683" s="251"/>
      <c r="Y683" s="251"/>
      <c r="Z683" s="251"/>
      <c r="AA683" s="251"/>
    </row>
    <row r="684" ht="14.25" customHeight="1">
      <c r="A684" s="251"/>
      <c r="B684" s="263"/>
      <c r="C684" s="263"/>
      <c r="D684" s="251"/>
      <c r="E684" s="500"/>
      <c r="F684" s="500"/>
      <c r="G684" s="500"/>
      <c r="H684" s="500"/>
      <c r="I684" s="513"/>
      <c r="J684" s="263"/>
      <c r="K684" s="263"/>
      <c r="L684" s="251"/>
      <c r="M684" s="251"/>
      <c r="N684" s="251"/>
      <c r="O684" s="251"/>
      <c r="P684" s="251"/>
      <c r="Q684" s="251"/>
      <c r="R684" s="251"/>
      <c r="S684" s="251"/>
      <c r="T684" s="251"/>
      <c r="U684" s="251"/>
      <c r="V684" s="251"/>
      <c r="W684" s="251"/>
      <c r="X684" s="251"/>
      <c r="Y684" s="251"/>
      <c r="Z684" s="251"/>
      <c r="AA684" s="251"/>
    </row>
    <row r="685" ht="14.25" customHeight="1">
      <c r="A685" s="251"/>
      <c r="B685" s="263"/>
      <c r="C685" s="263"/>
      <c r="D685" s="251"/>
      <c r="E685" s="500"/>
      <c r="F685" s="500"/>
      <c r="G685" s="500"/>
      <c r="H685" s="500"/>
      <c r="I685" s="513"/>
      <c r="J685" s="263"/>
      <c r="K685" s="263"/>
      <c r="L685" s="251"/>
      <c r="M685" s="251"/>
      <c r="N685" s="251"/>
      <c r="O685" s="251"/>
      <c r="P685" s="251"/>
      <c r="Q685" s="251"/>
      <c r="R685" s="251"/>
      <c r="S685" s="251"/>
      <c r="T685" s="251"/>
      <c r="U685" s="251"/>
      <c r="V685" s="251"/>
      <c r="W685" s="251"/>
      <c r="X685" s="251"/>
      <c r="Y685" s="251"/>
      <c r="Z685" s="251"/>
      <c r="AA685" s="251"/>
    </row>
    <row r="686" ht="14.25" customHeight="1">
      <c r="A686" s="251"/>
      <c r="B686" s="263"/>
      <c r="C686" s="263"/>
      <c r="D686" s="251"/>
      <c r="E686" s="500"/>
      <c r="F686" s="500"/>
      <c r="G686" s="500"/>
      <c r="H686" s="500"/>
      <c r="I686" s="513"/>
      <c r="J686" s="263"/>
      <c r="K686" s="263"/>
      <c r="L686" s="251"/>
      <c r="M686" s="251"/>
      <c r="N686" s="251"/>
      <c r="O686" s="251"/>
      <c r="P686" s="251"/>
      <c r="Q686" s="251"/>
      <c r="R686" s="251"/>
      <c r="S686" s="251"/>
      <c r="T686" s="251"/>
      <c r="U686" s="251"/>
      <c r="V686" s="251"/>
      <c r="W686" s="251"/>
      <c r="X686" s="251"/>
      <c r="Y686" s="251"/>
      <c r="Z686" s="251"/>
      <c r="AA686" s="251"/>
    </row>
    <row r="687" ht="14.25" customHeight="1">
      <c r="A687" s="251"/>
      <c r="B687" s="263"/>
      <c r="C687" s="263"/>
      <c r="D687" s="251"/>
      <c r="E687" s="500"/>
      <c r="F687" s="500"/>
      <c r="G687" s="500"/>
      <c r="H687" s="500"/>
      <c r="I687" s="513"/>
      <c r="J687" s="263"/>
      <c r="K687" s="263"/>
      <c r="L687" s="251"/>
      <c r="M687" s="251"/>
      <c r="N687" s="251"/>
      <c r="O687" s="251"/>
      <c r="P687" s="251"/>
      <c r="Q687" s="251"/>
      <c r="R687" s="251"/>
      <c r="S687" s="251"/>
      <c r="T687" s="251"/>
      <c r="U687" s="251"/>
      <c r="V687" s="251"/>
      <c r="W687" s="251"/>
      <c r="X687" s="251"/>
      <c r="Y687" s="251"/>
      <c r="Z687" s="251"/>
      <c r="AA687" s="251"/>
    </row>
    <row r="688" ht="14.25" customHeight="1">
      <c r="A688" s="251"/>
      <c r="B688" s="263"/>
      <c r="C688" s="263"/>
      <c r="D688" s="251"/>
      <c r="E688" s="500"/>
      <c r="F688" s="500"/>
      <c r="G688" s="500"/>
      <c r="H688" s="500"/>
      <c r="I688" s="513"/>
      <c r="J688" s="263"/>
      <c r="K688" s="263"/>
      <c r="L688" s="251"/>
      <c r="M688" s="251"/>
      <c r="N688" s="251"/>
      <c r="O688" s="251"/>
      <c r="P688" s="251"/>
      <c r="Q688" s="251"/>
      <c r="R688" s="251"/>
      <c r="S688" s="251"/>
      <c r="T688" s="251"/>
      <c r="U688" s="251"/>
      <c r="V688" s="251"/>
      <c r="W688" s="251"/>
      <c r="X688" s="251"/>
      <c r="Y688" s="251"/>
      <c r="Z688" s="251"/>
      <c r="AA688" s="251"/>
    </row>
    <row r="689" ht="14.25" customHeight="1">
      <c r="A689" s="251"/>
      <c r="B689" s="263"/>
      <c r="C689" s="263"/>
      <c r="D689" s="251"/>
      <c r="E689" s="500"/>
      <c r="F689" s="500"/>
      <c r="G689" s="500"/>
      <c r="H689" s="500"/>
      <c r="I689" s="513"/>
      <c r="J689" s="263"/>
      <c r="K689" s="263"/>
      <c r="L689" s="251"/>
      <c r="M689" s="251"/>
      <c r="N689" s="251"/>
      <c r="O689" s="251"/>
      <c r="P689" s="251"/>
      <c r="Q689" s="251"/>
      <c r="R689" s="251"/>
      <c r="S689" s="251"/>
      <c r="T689" s="251"/>
      <c r="U689" s="251"/>
      <c r="V689" s="251"/>
      <c r="W689" s="251"/>
      <c r="X689" s="251"/>
      <c r="Y689" s="251"/>
      <c r="Z689" s="251"/>
      <c r="AA689" s="251"/>
    </row>
    <row r="690" ht="14.25" customHeight="1">
      <c r="A690" s="251"/>
      <c r="B690" s="263"/>
      <c r="C690" s="263"/>
      <c r="D690" s="251"/>
      <c r="E690" s="500"/>
      <c r="F690" s="500"/>
      <c r="G690" s="500"/>
      <c r="H690" s="500"/>
      <c r="I690" s="513"/>
      <c r="J690" s="263"/>
      <c r="K690" s="263"/>
      <c r="L690" s="251"/>
      <c r="M690" s="251"/>
      <c r="N690" s="251"/>
      <c r="O690" s="251"/>
      <c r="P690" s="251"/>
      <c r="Q690" s="251"/>
      <c r="R690" s="251"/>
      <c r="S690" s="251"/>
      <c r="T690" s="251"/>
      <c r="U690" s="251"/>
      <c r="V690" s="251"/>
      <c r="W690" s="251"/>
      <c r="X690" s="251"/>
      <c r="Y690" s="251"/>
      <c r="Z690" s="251"/>
      <c r="AA690" s="251"/>
    </row>
    <row r="691" ht="14.25" customHeight="1">
      <c r="A691" s="251"/>
      <c r="B691" s="263"/>
      <c r="C691" s="263"/>
      <c r="D691" s="251"/>
      <c r="E691" s="500"/>
      <c r="F691" s="500"/>
      <c r="G691" s="500"/>
      <c r="H691" s="500"/>
      <c r="I691" s="513"/>
      <c r="J691" s="263"/>
      <c r="K691" s="263"/>
      <c r="L691" s="251"/>
      <c r="M691" s="251"/>
      <c r="N691" s="251"/>
      <c r="O691" s="251"/>
      <c r="P691" s="251"/>
      <c r="Q691" s="251"/>
      <c r="R691" s="251"/>
      <c r="S691" s="251"/>
      <c r="T691" s="251"/>
      <c r="U691" s="251"/>
      <c r="V691" s="251"/>
      <c r="W691" s="251"/>
      <c r="X691" s="251"/>
      <c r="Y691" s="251"/>
      <c r="Z691" s="251"/>
      <c r="AA691" s="251"/>
    </row>
    <row r="692" ht="14.25" customHeight="1">
      <c r="A692" s="251"/>
      <c r="B692" s="263"/>
      <c r="C692" s="263"/>
      <c r="D692" s="251"/>
      <c r="E692" s="500"/>
      <c r="F692" s="500"/>
      <c r="G692" s="500"/>
      <c r="H692" s="500"/>
      <c r="I692" s="513"/>
      <c r="J692" s="263"/>
      <c r="K692" s="263"/>
      <c r="L692" s="251"/>
      <c r="M692" s="251"/>
      <c r="N692" s="251"/>
      <c r="O692" s="251"/>
      <c r="P692" s="251"/>
      <c r="Q692" s="251"/>
      <c r="R692" s="251"/>
      <c r="S692" s="251"/>
      <c r="T692" s="251"/>
      <c r="U692" s="251"/>
      <c r="V692" s="251"/>
      <c r="W692" s="251"/>
      <c r="X692" s="251"/>
      <c r="Y692" s="251"/>
      <c r="Z692" s="251"/>
      <c r="AA692" s="251"/>
    </row>
    <row r="693" ht="14.25" customHeight="1">
      <c r="A693" s="251"/>
      <c r="B693" s="263"/>
      <c r="C693" s="263"/>
      <c r="D693" s="251"/>
      <c r="E693" s="500"/>
      <c r="F693" s="500"/>
      <c r="G693" s="500"/>
      <c r="H693" s="500"/>
      <c r="I693" s="513"/>
      <c r="J693" s="263"/>
      <c r="K693" s="263"/>
      <c r="L693" s="251"/>
      <c r="M693" s="251"/>
      <c r="N693" s="251"/>
      <c r="O693" s="251"/>
      <c r="P693" s="251"/>
      <c r="Q693" s="251"/>
      <c r="R693" s="251"/>
      <c r="S693" s="251"/>
      <c r="T693" s="251"/>
      <c r="U693" s="251"/>
      <c r="V693" s="251"/>
      <c r="W693" s="251"/>
      <c r="X693" s="251"/>
      <c r="Y693" s="251"/>
      <c r="Z693" s="251"/>
      <c r="AA693" s="251"/>
    </row>
    <row r="694" ht="14.25" customHeight="1">
      <c r="A694" s="251"/>
      <c r="B694" s="263"/>
      <c r="C694" s="263"/>
      <c r="D694" s="251"/>
      <c r="E694" s="500"/>
      <c r="F694" s="500"/>
      <c r="G694" s="500"/>
      <c r="H694" s="500"/>
      <c r="I694" s="513"/>
      <c r="J694" s="263"/>
      <c r="K694" s="263"/>
      <c r="L694" s="251"/>
      <c r="M694" s="251"/>
      <c r="N694" s="251"/>
      <c r="O694" s="251"/>
      <c r="P694" s="251"/>
      <c r="Q694" s="251"/>
      <c r="R694" s="251"/>
      <c r="S694" s="251"/>
      <c r="T694" s="251"/>
      <c r="U694" s="251"/>
      <c r="V694" s="251"/>
      <c r="W694" s="251"/>
      <c r="X694" s="251"/>
      <c r="Y694" s="251"/>
      <c r="Z694" s="251"/>
      <c r="AA694" s="251"/>
    </row>
    <row r="695" ht="14.25" customHeight="1">
      <c r="A695" s="251"/>
      <c r="B695" s="263"/>
      <c r="C695" s="263"/>
      <c r="D695" s="251"/>
      <c r="E695" s="500"/>
      <c r="F695" s="500"/>
      <c r="G695" s="500"/>
      <c r="H695" s="500"/>
      <c r="I695" s="513"/>
      <c r="J695" s="263"/>
      <c r="K695" s="263"/>
      <c r="L695" s="251"/>
      <c r="M695" s="251"/>
      <c r="N695" s="251"/>
      <c r="O695" s="251"/>
      <c r="P695" s="251"/>
      <c r="Q695" s="251"/>
      <c r="R695" s="251"/>
      <c r="S695" s="251"/>
      <c r="T695" s="251"/>
      <c r="U695" s="251"/>
      <c r="V695" s="251"/>
      <c r="W695" s="251"/>
      <c r="X695" s="251"/>
      <c r="Y695" s="251"/>
      <c r="Z695" s="251"/>
      <c r="AA695" s="251"/>
    </row>
    <row r="696" ht="14.25" customHeight="1">
      <c r="A696" s="251"/>
      <c r="B696" s="263"/>
      <c r="C696" s="263"/>
      <c r="D696" s="251"/>
      <c r="E696" s="500"/>
      <c r="F696" s="500"/>
      <c r="G696" s="500"/>
      <c r="H696" s="500"/>
      <c r="I696" s="513"/>
      <c r="J696" s="263"/>
      <c r="K696" s="263"/>
      <c r="L696" s="251"/>
      <c r="M696" s="251"/>
      <c r="N696" s="251"/>
      <c r="O696" s="251"/>
      <c r="P696" s="251"/>
      <c r="Q696" s="251"/>
      <c r="R696" s="251"/>
      <c r="S696" s="251"/>
      <c r="T696" s="251"/>
      <c r="U696" s="251"/>
      <c r="V696" s="251"/>
      <c r="W696" s="251"/>
      <c r="X696" s="251"/>
      <c r="Y696" s="251"/>
      <c r="Z696" s="251"/>
      <c r="AA696" s="251"/>
    </row>
    <row r="697" ht="14.25" customHeight="1">
      <c r="A697" s="251"/>
      <c r="B697" s="263"/>
      <c r="C697" s="263"/>
      <c r="D697" s="251"/>
      <c r="E697" s="500"/>
      <c r="F697" s="500"/>
      <c r="G697" s="500"/>
      <c r="H697" s="500"/>
      <c r="I697" s="513"/>
      <c r="J697" s="263"/>
      <c r="K697" s="263"/>
      <c r="L697" s="251"/>
      <c r="M697" s="251"/>
      <c r="N697" s="251"/>
      <c r="O697" s="251"/>
      <c r="P697" s="251"/>
      <c r="Q697" s="251"/>
      <c r="R697" s="251"/>
      <c r="S697" s="251"/>
      <c r="T697" s="251"/>
      <c r="U697" s="251"/>
      <c r="V697" s="251"/>
      <c r="W697" s="251"/>
      <c r="X697" s="251"/>
      <c r="Y697" s="251"/>
      <c r="Z697" s="251"/>
      <c r="AA697" s="251"/>
    </row>
    <row r="698" ht="14.25" customHeight="1">
      <c r="A698" s="251"/>
      <c r="B698" s="263"/>
      <c r="C698" s="263"/>
      <c r="D698" s="251"/>
      <c r="E698" s="500"/>
      <c r="F698" s="500"/>
      <c r="G698" s="500"/>
      <c r="H698" s="500"/>
      <c r="I698" s="513"/>
      <c r="J698" s="263"/>
      <c r="K698" s="263"/>
      <c r="L698" s="251"/>
      <c r="M698" s="251"/>
      <c r="N698" s="251"/>
      <c r="O698" s="251"/>
      <c r="P698" s="251"/>
      <c r="Q698" s="251"/>
      <c r="R698" s="251"/>
      <c r="S698" s="251"/>
      <c r="T698" s="251"/>
      <c r="U698" s="251"/>
      <c r="V698" s="251"/>
      <c r="W698" s="251"/>
      <c r="X698" s="251"/>
      <c r="Y698" s="251"/>
      <c r="Z698" s="251"/>
      <c r="AA698" s="251"/>
    </row>
    <row r="699" ht="14.25" customHeight="1">
      <c r="A699" s="251"/>
      <c r="B699" s="263"/>
      <c r="C699" s="263"/>
      <c r="D699" s="251"/>
      <c r="E699" s="500"/>
      <c r="F699" s="500"/>
      <c r="G699" s="500"/>
      <c r="H699" s="500"/>
      <c r="I699" s="513"/>
      <c r="J699" s="263"/>
      <c r="K699" s="263"/>
      <c r="L699" s="251"/>
      <c r="M699" s="251"/>
      <c r="N699" s="251"/>
      <c r="O699" s="251"/>
      <c r="P699" s="251"/>
      <c r="Q699" s="251"/>
      <c r="R699" s="251"/>
      <c r="S699" s="251"/>
      <c r="T699" s="251"/>
      <c r="U699" s="251"/>
      <c r="V699" s="251"/>
      <c r="W699" s="251"/>
      <c r="X699" s="251"/>
      <c r="Y699" s="251"/>
      <c r="Z699" s="251"/>
      <c r="AA699" s="251"/>
    </row>
    <row r="700" ht="14.25" customHeight="1">
      <c r="A700" s="251"/>
      <c r="B700" s="263"/>
      <c r="C700" s="263"/>
      <c r="D700" s="251"/>
      <c r="E700" s="500"/>
      <c r="F700" s="500"/>
      <c r="G700" s="500"/>
      <c r="H700" s="500"/>
      <c r="I700" s="513"/>
      <c r="J700" s="263"/>
      <c r="K700" s="263"/>
      <c r="L700" s="251"/>
      <c r="M700" s="251"/>
      <c r="N700" s="251"/>
      <c r="O700" s="251"/>
      <c r="P700" s="251"/>
      <c r="Q700" s="251"/>
      <c r="R700" s="251"/>
      <c r="S700" s="251"/>
      <c r="T700" s="251"/>
      <c r="U700" s="251"/>
      <c r="V700" s="251"/>
      <c r="W700" s="251"/>
      <c r="X700" s="251"/>
      <c r="Y700" s="251"/>
      <c r="Z700" s="251"/>
      <c r="AA700" s="251"/>
    </row>
    <row r="701" ht="14.25" customHeight="1">
      <c r="A701" s="251"/>
      <c r="B701" s="263"/>
      <c r="C701" s="263"/>
      <c r="D701" s="251"/>
      <c r="E701" s="500"/>
      <c r="F701" s="500"/>
      <c r="G701" s="500"/>
      <c r="H701" s="500"/>
      <c r="I701" s="513"/>
      <c r="J701" s="263"/>
      <c r="K701" s="263"/>
      <c r="L701" s="251"/>
      <c r="M701" s="251"/>
      <c r="N701" s="251"/>
      <c r="O701" s="251"/>
      <c r="P701" s="251"/>
      <c r="Q701" s="251"/>
      <c r="R701" s="251"/>
      <c r="S701" s="251"/>
      <c r="T701" s="251"/>
      <c r="U701" s="251"/>
      <c r="V701" s="251"/>
      <c r="W701" s="251"/>
      <c r="X701" s="251"/>
      <c r="Y701" s="251"/>
      <c r="Z701" s="251"/>
      <c r="AA701" s="251"/>
    </row>
    <row r="702" ht="14.25" customHeight="1">
      <c r="A702" s="251"/>
      <c r="B702" s="263"/>
      <c r="C702" s="263"/>
      <c r="D702" s="251"/>
      <c r="E702" s="500"/>
      <c r="F702" s="500"/>
      <c r="G702" s="500"/>
      <c r="H702" s="500"/>
      <c r="I702" s="513"/>
      <c r="J702" s="263"/>
      <c r="K702" s="263"/>
      <c r="L702" s="251"/>
      <c r="M702" s="251"/>
      <c r="N702" s="251"/>
      <c r="O702" s="251"/>
      <c r="P702" s="251"/>
      <c r="Q702" s="251"/>
      <c r="R702" s="251"/>
      <c r="S702" s="251"/>
      <c r="T702" s="251"/>
      <c r="U702" s="251"/>
      <c r="V702" s="251"/>
      <c r="W702" s="251"/>
      <c r="X702" s="251"/>
      <c r="Y702" s="251"/>
      <c r="Z702" s="251"/>
      <c r="AA702" s="251"/>
    </row>
    <row r="703" ht="14.25" customHeight="1">
      <c r="A703" s="251"/>
      <c r="B703" s="263"/>
      <c r="C703" s="263"/>
      <c r="D703" s="251"/>
      <c r="E703" s="500"/>
      <c r="F703" s="500"/>
      <c r="G703" s="500"/>
      <c r="H703" s="500"/>
      <c r="I703" s="513"/>
      <c r="J703" s="263"/>
      <c r="K703" s="263"/>
      <c r="L703" s="251"/>
      <c r="M703" s="251"/>
      <c r="N703" s="251"/>
      <c r="O703" s="251"/>
      <c r="P703" s="251"/>
      <c r="Q703" s="251"/>
      <c r="R703" s="251"/>
      <c r="S703" s="251"/>
      <c r="T703" s="251"/>
      <c r="U703" s="251"/>
      <c r="V703" s="251"/>
      <c r="W703" s="251"/>
      <c r="X703" s="251"/>
      <c r="Y703" s="251"/>
      <c r="Z703" s="251"/>
      <c r="AA703" s="251"/>
    </row>
    <row r="704" ht="14.25" customHeight="1">
      <c r="A704" s="251"/>
      <c r="B704" s="263"/>
      <c r="C704" s="263"/>
      <c r="D704" s="251"/>
      <c r="E704" s="500"/>
      <c r="F704" s="500"/>
      <c r="G704" s="500"/>
      <c r="H704" s="500"/>
      <c r="I704" s="513"/>
      <c r="J704" s="263"/>
      <c r="K704" s="263"/>
      <c r="L704" s="251"/>
      <c r="M704" s="251"/>
      <c r="N704" s="251"/>
      <c r="O704" s="251"/>
      <c r="P704" s="251"/>
      <c r="Q704" s="251"/>
      <c r="R704" s="251"/>
      <c r="S704" s="251"/>
      <c r="T704" s="251"/>
      <c r="U704" s="251"/>
      <c r="V704" s="251"/>
      <c r="W704" s="251"/>
      <c r="X704" s="251"/>
      <c r="Y704" s="251"/>
      <c r="Z704" s="251"/>
      <c r="AA704" s="251"/>
    </row>
    <row r="705" ht="14.25" customHeight="1">
      <c r="A705" s="251"/>
      <c r="B705" s="263"/>
      <c r="C705" s="263"/>
      <c r="D705" s="251"/>
      <c r="E705" s="500"/>
      <c r="F705" s="500"/>
      <c r="G705" s="500"/>
      <c r="H705" s="500"/>
      <c r="I705" s="513"/>
      <c r="J705" s="263"/>
      <c r="K705" s="263"/>
      <c r="L705" s="251"/>
      <c r="M705" s="251"/>
      <c r="N705" s="251"/>
      <c r="O705" s="251"/>
      <c r="P705" s="251"/>
      <c r="Q705" s="251"/>
      <c r="R705" s="251"/>
      <c r="S705" s="251"/>
      <c r="T705" s="251"/>
      <c r="U705" s="251"/>
      <c r="V705" s="251"/>
      <c r="W705" s="251"/>
      <c r="X705" s="251"/>
      <c r="Y705" s="251"/>
      <c r="Z705" s="251"/>
      <c r="AA705" s="251"/>
    </row>
    <row r="706" ht="14.25" customHeight="1">
      <c r="A706" s="251"/>
      <c r="B706" s="263"/>
      <c r="C706" s="263"/>
      <c r="D706" s="251"/>
      <c r="E706" s="500"/>
      <c r="F706" s="500"/>
      <c r="G706" s="500"/>
      <c r="H706" s="500"/>
      <c r="I706" s="513"/>
      <c r="J706" s="263"/>
      <c r="K706" s="263"/>
      <c r="L706" s="251"/>
      <c r="M706" s="251"/>
      <c r="N706" s="251"/>
      <c r="O706" s="251"/>
      <c r="P706" s="251"/>
      <c r="Q706" s="251"/>
      <c r="R706" s="251"/>
      <c r="S706" s="251"/>
      <c r="T706" s="251"/>
      <c r="U706" s="251"/>
      <c r="V706" s="251"/>
      <c r="W706" s="251"/>
      <c r="X706" s="251"/>
      <c r="Y706" s="251"/>
      <c r="Z706" s="251"/>
      <c r="AA706" s="251"/>
    </row>
    <row r="707" ht="14.25" customHeight="1">
      <c r="A707" s="251"/>
      <c r="B707" s="263"/>
      <c r="C707" s="263"/>
      <c r="D707" s="251"/>
      <c r="E707" s="500"/>
      <c r="F707" s="500"/>
      <c r="G707" s="500"/>
      <c r="H707" s="500"/>
      <c r="I707" s="513"/>
      <c r="J707" s="263"/>
      <c r="K707" s="263"/>
      <c r="L707" s="251"/>
      <c r="M707" s="251"/>
      <c r="N707" s="251"/>
      <c r="O707" s="251"/>
      <c r="P707" s="251"/>
      <c r="Q707" s="251"/>
      <c r="R707" s="251"/>
      <c r="S707" s="251"/>
      <c r="T707" s="251"/>
      <c r="U707" s="251"/>
      <c r="V707" s="251"/>
      <c r="W707" s="251"/>
      <c r="X707" s="251"/>
      <c r="Y707" s="251"/>
      <c r="Z707" s="251"/>
      <c r="AA707" s="251"/>
    </row>
    <row r="708" ht="14.25" customHeight="1">
      <c r="A708" s="251"/>
      <c r="B708" s="263"/>
      <c r="C708" s="263"/>
      <c r="D708" s="251"/>
      <c r="E708" s="500"/>
      <c r="F708" s="500"/>
      <c r="G708" s="500"/>
      <c r="H708" s="500"/>
      <c r="I708" s="513"/>
      <c r="J708" s="263"/>
      <c r="K708" s="263"/>
      <c r="L708" s="251"/>
      <c r="M708" s="251"/>
      <c r="N708" s="251"/>
      <c r="O708" s="251"/>
      <c r="P708" s="251"/>
      <c r="Q708" s="251"/>
      <c r="R708" s="251"/>
      <c r="S708" s="251"/>
      <c r="T708" s="251"/>
      <c r="U708" s="251"/>
      <c r="V708" s="251"/>
      <c r="W708" s="251"/>
      <c r="X708" s="251"/>
      <c r="Y708" s="251"/>
      <c r="Z708" s="251"/>
      <c r="AA708" s="251"/>
    </row>
    <row r="709" ht="14.25" customHeight="1">
      <c r="A709" s="251"/>
      <c r="B709" s="263"/>
      <c r="C709" s="263"/>
      <c r="D709" s="251"/>
      <c r="E709" s="500"/>
      <c r="F709" s="500"/>
      <c r="G709" s="500"/>
      <c r="H709" s="500"/>
      <c r="I709" s="513"/>
      <c r="J709" s="263"/>
      <c r="K709" s="263"/>
      <c r="L709" s="251"/>
      <c r="M709" s="251"/>
      <c r="N709" s="251"/>
      <c r="O709" s="251"/>
      <c r="P709" s="251"/>
      <c r="Q709" s="251"/>
      <c r="R709" s="251"/>
      <c r="S709" s="251"/>
      <c r="T709" s="251"/>
      <c r="U709" s="251"/>
      <c r="V709" s="251"/>
      <c r="W709" s="251"/>
      <c r="X709" s="251"/>
      <c r="Y709" s="251"/>
      <c r="Z709" s="251"/>
      <c r="AA709" s="251"/>
    </row>
    <row r="710" ht="14.25" customHeight="1">
      <c r="A710" s="251"/>
      <c r="B710" s="263"/>
      <c r="C710" s="263"/>
      <c r="D710" s="251"/>
      <c r="E710" s="500"/>
      <c r="F710" s="500"/>
      <c r="G710" s="500"/>
      <c r="H710" s="500"/>
      <c r="I710" s="513"/>
      <c r="J710" s="263"/>
      <c r="K710" s="263"/>
      <c r="L710" s="251"/>
      <c r="M710" s="251"/>
      <c r="N710" s="251"/>
      <c r="O710" s="251"/>
      <c r="P710" s="251"/>
      <c r="Q710" s="251"/>
      <c r="R710" s="251"/>
      <c r="S710" s="251"/>
      <c r="T710" s="251"/>
      <c r="U710" s="251"/>
      <c r="V710" s="251"/>
      <c r="W710" s="251"/>
      <c r="X710" s="251"/>
      <c r="Y710" s="251"/>
      <c r="Z710" s="251"/>
      <c r="AA710" s="251"/>
    </row>
    <row r="711" ht="14.25" customHeight="1">
      <c r="A711" s="251"/>
      <c r="B711" s="263"/>
      <c r="C711" s="263"/>
      <c r="D711" s="251"/>
      <c r="E711" s="500"/>
      <c r="F711" s="500"/>
      <c r="G711" s="500"/>
      <c r="H711" s="500"/>
      <c r="I711" s="513"/>
      <c r="J711" s="263"/>
      <c r="K711" s="263"/>
      <c r="L711" s="251"/>
      <c r="M711" s="251"/>
      <c r="N711" s="251"/>
      <c r="O711" s="251"/>
      <c r="P711" s="251"/>
      <c r="Q711" s="251"/>
      <c r="R711" s="251"/>
      <c r="S711" s="251"/>
      <c r="T711" s="251"/>
      <c r="U711" s="251"/>
      <c r="V711" s="251"/>
      <c r="W711" s="251"/>
      <c r="X711" s="251"/>
      <c r="Y711" s="251"/>
      <c r="Z711" s="251"/>
      <c r="AA711" s="251"/>
    </row>
    <row r="712" ht="14.25" customHeight="1">
      <c r="A712" s="251"/>
      <c r="B712" s="263"/>
      <c r="C712" s="263"/>
      <c r="D712" s="251"/>
      <c r="E712" s="500"/>
      <c r="F712" s="500"/>
      <c r="G712" s="500"/>
      <c r="H712" s="500"/>
      <c r="I712" s="513"/>
      <c r="J712" s="263"/>
      <c r="K712" s="263"/>
      <c r="L712" s="251"/>
      <c r="M712" s="251"/>
      <c r="N712" s="251"/>
      <c r="O712" s="251"/>
      <c r="P712" s="251"/>
      <c r="Q712" s="251"/>
      <c r="R712" s="251"/>
      <c r="S712" s="251"/>
      <c r="T712" s="251"/>
      <c r="U712" s="251"/>
      <c r="V712" s="251"/>
      <c r="W712" s="251"/>
      <c r="X712" s="251"/>
      <c r="Y712" s="251"/>
      <c r="Z712" s="251"/>
      <c r="AA712" s="251"/>
    </row>
    <row r="713" ht="14.25" customHeight="1">
      <c r="A713" s="251"/>
      <c r="B713" s="263"/>
      <c r="C713" s="263"/>
      <c r="D713" s="251"/>
      <c r="E713" s="500"/>
      <c r="F713" s="500"/>
      <c r="G713" s="500"/>
      <c r="H713" s="500"/>
      <c r="I713" s="513"/>
      <c r="J713" s="263"/>
      <c r="K713" s="263"/>
      <c r="L713" s="251"/>
      <c r="M713" s="251"/>
      <c r="N713" s="251"/>
      <c r="O713" s="251"/>
      <c r="P713" s="251"/>
      <c r="Q713" s="251"/>
      <c r="R713" s="251"/>
      <c r="S713" s="251"/>
      <c r="T713" s="251"/>
      <c r="U713" s="251"/>
      <c r="V713" s="251"/>
      <c r="W713" s="251"/>
      <c r="X713" s="251"/>
      <c r="Y713" s="251"/>
      <c r="Z713" s="251"/>
      <c r="AA713" s="251"/>
    </row>
    <row r="714" ht="14.25" customHeight="1">
      <c r="A714" s="251"/>
      <c r="B714" s="263"/>
      <c r="C714" s="263"/>
      <c r="D714" s="251"/>
      <c r="E714" s="500"/>
      <c r="F714" s="500"/>
      <c r="G714" s="500"/>
      <c r="H714" s="500"/>
      <c r="I714" s="513"/>
      <c r="J714" s="263"/>
      <c r="K714" s="263"/>
      <c r="L714" s="251"/>
      <c r="M714" s="251"/>
      <c r="N714" s="251"/>
      <c r="O714" s="251"/>
      <c r="P714" s="251"/>
      <c r="Q714" s="251"/>
      <c r="R714" s="251"/>
      <c r="S714" s="251"/>
      <c r="T714" s="251"/>
      <c r="U714" s="251"/>
      <c r="V714" s="251"/>
      <c r="W714" s="251"/>
      <c r="X714" s="251"/>
      <c r="Y714" s="251"/>
      <c r="Z714" s="251"/>
      <c r="AA714" s="251"/>
    </row>
    <row r="715" ht="14.25" customHeight="1">
      <c r="A715" s="251"/>
      <c r="B715" s="263"/>
      <c r="C715" s="263"/>
      <c r="D715" s="251"/>
      <c r="E715" s="500"/>
      <c r="F715" s="500"/>
      <c r="G715" s="500"/>
      <c r="H715" s="500"/>
      <c r="I715" s="513"/>
      <c r="J715" s="263"/>
      <c r="K715" s="263"/>
      <c r="L715" s="251"/>
      <c r="M715" s="251"/>
      <c r="N715" s="251"/>
      <c r="O715" s="251"/>
      <c r="P715" s="251"/>
      <c r="Q715" s="251"/>
      <c r="R715" s="251"/>
      <c r="S715" s="251"/>
      <c r="T715" s="251"/>
      <c r="U715" s="251"/>
      <c r="V715" s="251"/>
      <c r="W715" s="251"/>
      <c r="X715" s="251"/>
      <c r="Y715" s="251"/>
      <c r="Z715" s="251"/>
      <c r="AA715" s="251"/>
    </row>
    <row r="716" ht="14.25" customHeight="1">
      <c r="A716" s="251"/>
      <c r="B716" s="263"/>
      <c r="C716" s="263"/>
      <c r="D716" s="251"/>
      <c r="E716" s="500"/>
      <c r="F716" s="500"/>
      <c r="G716" s="500"/>
      <c r="H716" s="500"/>
      <c r="I716" s="513"/>
      <c r="J716" s="263"/>
      <c r="K716" s="263"/>
      <c r="L716" s="251"/>
      <c r="M716" s="251"/>
      <c r="N716" s="251"/>
      <c r="O716" s="251"/>
      <c r="P716" s="251"/>
      <c r="Q716" s="251"/>
      <c r="R716" s="251"/>
      <c r="S716" s="251"/>
      <c r="T716" s="251"/>
      <c r="U716" s="251"/>
      <c r="V716" s="251"/>
      <c r="W716" s="251"/>
      <c r="X716" s="251"/>
      <c r="Y716" s="251"/>
      <c r="Z716" s="251"/>
      <c r="AA716" s="251"/>
    </row>
    <row r="717" ht="14.25" customHeight="1">
      <c r="A717" s="251"/>
      <c r="B717" s="263"/>
      <c r="C717" s="263"/>
      <c r="D717" s="251"/>
      <c r="E717" s="500"/>
      <c r="F717" s="500"/>
      <c r="G717" s="500"/>
      <c r="H717" s="500"/>
      <c r="I717" s="513"/>
      <c r="J717" s="263"/>
      <c r="K717" s="263"/>
      <c r="L717" s="251"/>
      <c r="M717" s="251"/>
      <c r="N717" s="251"/>
      <c r="O717" s="251"/>
      <c r="P717" s="251"/>
      <c r="Q717" s="251"/>
      <c r="R717" s="251"/>
      <c r="S717" s="251"/>
      <c r="T717" s="251"/>
      <c r="U717" s="251"/>
      <c r="V717" s="251"/>
      <c r="W717" s="251"/>
      <c r="X717" s="251"/>
      <c r="Y717" s="251"/>
      <c r="Z717" s="251"/>
      <c r="AA717" s="251"/>
    </row>
    <row r="718" ht="14.25" customHeight="1">
      <c r="A718" s="251"/>
      <c r="B718" s="263"/>
      <c r="C718" s="263"/>
      <c r="D718" s="251"/>
      <c r="E718" s="500"/>
      <c r="F718" s="500"/>
      <c r="G718" s="500"/>
      <c r="H718" s="500"/>
      <c r="I718" s="513"/>
      <c r="J718" s="263"/>
      <c r="K718" s="263"/>
      <c r="L718" s="251"/>
      <c r="M718" s="251"/>
      <c r="N718" s="251"/>
      <c r="O718" s="251"/>
      <c r="P718" s="251"/>
      <c r="Q718" s="251"/>
      <c r="R718" s="251"/>
      <c r="S718" s="251"/>
      <c r="T718" s="251"/>
      <c r="U718" s="251"/>
      <c r="V718" s="251"/>
      <c r="W718" s="251"/>
      <c r="X718" s="251"/>
      <c r="Y718" s="251"/>
      <c r="Z718" s="251"/>
      <c r="AA718" s="251"/>
    </row>
    <row r="719" ht="14.25" customHeight="1">
      <c r="A719" s="251"/>
      <c r="B719" s="263"/>
      <c r="C719" s="263"/>
      <c r="D719" s="251"/>
      <c r="E719" s="500"/>
      <c r="F719" s="500"/>
      <c r="G719" s="500"/>
      <c r="H719" s="500"/>
      <c r="I719" s="513"/>
      <c r="J719" s="263"/>
      <c r="K719" s="263"/>
      <c r="L719" s="251"/>
      <c r="M719" s="251"/>
      <c r="N719" s="251"/>
      <c r="O719" s="251"/>
      <c r="P719" s="251"/>
      <c r="Q719" s="251"/>
      <c r="R719" s="251"/>
      <c r="S719" s="251"/>
      <c r="T719" s="251"/>
      <c r="U719" s="251"/>
      <c r="V719" s="251"/>
      <c r="W719" s="251"/>
      <c r="X719" s="251"/>
      <c r="Y719" s="251"/>
      <c r="Z719" s="251"/>
      <c r="AA719" s="251"/>
    </row>
    <row r="720" ht="14.25" customHeight="1">
      <c r="A720" s="251"/>
      <c r="B720" s="263"/>
      <c r="C720" s="263"/>
      <c r="D720" s="251"/>
      <c r="E720" s="500"/>
      <c r="F720" s="500"/>
      <c r="G720" s="500"/>
      <c r="H720" s="500"/>
      <c r="I720" s="513"/>
      <c r="J720" s="263"/>
      <c r="K720" s="263"/>
      <c r="L720" s="251"/>
      <c r="M720" s="251"/>
      <c r="N720" s="251"/>
      <c r="O720" s="251"/>
      <c r="P720" s="251"/>
      <c r="Q720" s="251"/>
      <c r="R720" s="251"/>
      <c r="S720" s="251"/>
      <c r="T720" s="251"/>
      <c r="U720" s="251"/>
      <c r="V720" s="251"/>
      <c r="W720" s="251"/>
      <c r="X720" s="251"/>
      <c r="Y720" s="251"/>
      <c r="Z720" s="251"/>
      <c r="AA720" s="251"/>
    </row>
    <row r="721" ht="14.25" customHeight="1">
      <c r="A721" s="251"/>
      <c r="B721" s="263"/>
      <c r="C721" s="263"/>
      <c r="D721" s="251"/>
      <c r="E721" s="500"/>
      <c r="F721" s="500"/>
      <c r="G721" s="500"/>
      <c r="H721" s="500"/>
      <c r="I721" s="513"/>
      <c r="J721" s="263"/>
      <c r="K721" s="263"/>
      <c r="L721" s="251"/>
      <c r="M721" s="251"/>
      <c r="N721" s="251"/>
      <c r="O721" s="251"/>
      <c r="P721" s="251"/>
      <c r="Q721" s="251"/>
      <c r="R721" s="251"/>
      <c r="S721" s="251"/>
      <c r="T721" s="251"/>
      <c r="U721" s="251"/>
      <c r="V721" s="251"/>
      <c r="W721" s="251"/>
      <c r="X721" s="251"/>
      <c r="Y721" s="251"/>
      <c r="Z721" s="251"/>
      <c r="AA721" s="251"/>
    </row>
    <row r="722" ht="14.25" customHeight="1">
      <c r="A722" s="251"/>
      <c r="B722" s="263"/>
      <c r="C722" s="263"/>
      <c r="D722" s="251"/>
      <c r="E722" s="500"/>
      <c r="F722" s="500"/>
      <c r="G722" s="500"/>
      <c r="H722" s="500"/>
      <c r="I722" s="513"/>
      <c r="J722" s="263"/>
      <c r="K722" s="263"/>
      <c r="L722" s="251"/>
      <c r="M722" s="251"/>
      <c r="N722" s="251"/>
      <c r="O722" s="251"/>
      <c r="P722" s="251"/>
      <c r="Q722" s="251"/>
      <c r="R722" s="251"/>
      <c r="S722" s="251"/>
      <c r="T722" s="251"/>
      <c r="U722" s="251"/>
      <c r="V722" s="251"/>
      <c r="W722" s="251"/>
      <c r="X722" s="251"/>
      <c r="Y722" s="251"/>
      <c r="Z722" s="251"/>
      <c r="AA722" s="251"/>
    </row>
    <row r="723" ht="14.25" customHeight="1">
      <c r="A723" s="251"/>
      <c r="B723" s="263"/>
      <c r="C723" s="263"/>
      <c r="D723" s="251"/>
      <c r="E723" s="500"/>
      <c r="F723" s="500"/>
      <c r="G723" s="500"/>
      <c r="H723" s="500"/>
      <c r="I723" s="513"/>
      <c r="J723" s="263"/>
      <c r="K723" s="263"/>
      <c r="L723" s="251"/>
      <c r="M723" s="251"/>
      <c r="N723" s="251"/>
      <c r="O723" s="251"/>
      <c r="P723" s="251"/>
      <c r="Q723" s="251"/>
      <c r="R723" s="251"/>
      <c r="S723" s="251"/>
      <c r="T723" s="251"/>
      <c r="U723" s="251"/>
      <c r="V723" s="251"/>
      <c r="W723" s="251"/>
      <c r="X723" s="251"/>
      <c r="Y723" s="251"/>
      <c r="Z723" s="251"/>
      <c r="AA723" s="251"/>
    </row>
    <row r="724" ht="14.25" customHeight="1">
      <c r="A724" s="251"/>
      <c r="B724" s="263"/>
      <c r="C724" s="263"/>
      <c r="D724" s="251"/>
      <c r="E724" s="500"/>
      <c r="F724" s="500"/>
      <c r="G724" s="500"/>
      <c r="H724" s="500"/>
      <c r="I724" s="513"/>
      <c r="J724" s="263"/>
      <c r="K724" s="263"/>
      <c r="L724" s="251"/>
      <c r="M724" s="251"/>
      <c r="N724" s="251"/>
      <c r="O724" s="251"/>
      <c r="P724" s="251"/>
      <c r="Q724" s="251"/>
      <c r="R724" s="251"/>
      <c r="S724" s="251"/>
      <c r="T724" s="251"/>
      <c r="U724" s="251"/>
      <c r="V724" s="251"/>
      <c r="W724" s="251"/>
      <c r="X724" s="251"/>
      <c r="Y724" s="251"/>
      <c r="Z724" s="251"/>
      <c r="AA724" s="251"/>
    </row>
    <row r="725" ht="14.25" customHeight="1">
      <c r="A725" s="251"/>
      <c r="B725" s="263"/>
      <c r="C725" s="263"/>
      <c r="D725" s="251"/>
      <c r="E725" s="500"/>
      <c r="F725" s="500"/>
      <c r="G725" s="500"/>
      <c r="H725" s="500"/>
      <c r="I725" s="513"/>
      <c r="J725" s="263"/>
      <c r="K725" s="263"/>
      <c r="L725" s="251"/>
      <c r="M725" s="251"/>
      <c r="N725" s="251"/>
      <c r="O725" s="251"/>
      <c r="P725" s="251"/>
      <c r="Q725" s="251"/>
      <c r="R725" s="251"/>
      <c r="S725" s="251"/>
      <c r="T725" s="251"/>
      <c r="U725" s="251"/>
      <c r="V725" s="251"/>
      <c r="W725" s="251"/>
      <c r="X725" s="251"/>
      <c r="Y725" s="251"/>
      <c r="Z725" s="251"/>
      <c r="AA725" s="251"/>
    </row>
    <row r="726" ht="14.25" customHeight="1">
      <c r="A726" s="251"/>
      <c r="B726" s="263"/>
      <c r="C726" s="263"/>
      <c r="D726" s="251"/>
      <c r="E726" s="500"/>
      <c r="F726" s="500"/>
      <c r="G726" s="500"/>
      <c r="H726" s="500"/>
      <c r="I726" s="513"/>
      <c r="J726" s="263"/>
      <c r="K726" s="263"/>
      <c r="L726" s="251"/>
      <c r="M726" s="251"/>
      <c r="N726" s="251"/>
      <c r="O726" s="251"/>
      <c r="P726" s="251"/>
      <c r="Q726" s="251"/>
      <c r="R726" s="251"/>
      <c r="S726" s="251"/>
      <c r="T726" s="251"/>
      <c r="U726" s="251"/>
      <c r="V726" s="251"/>
      <c r="W726" s="251"/>
      <c r="X726" s="251"/>
      <c r="Y726" s="251"/>
      <c r="Z726" s="251"/>
      <c r="AA726" s="251"/>
    </row>
    <row r="727" ht="14.25" customHeight="1">
      <c r="A727" s="251"/>
      <c r="B727" s="263"/>
      <c r="C727" s="263"/>
      <c r="D727" s="251"/>
      <c r="E727" s="500"/>
      <c r="F727" s="500"/>
      <c r="G727" s="500"/>
      <c r="H727" s="500"/>
      <c r="I727" s="513"/>
      <c r="J727" s="263"/>
      <c r="K727" s="263"/>
      <c r="L727" s="251"/>
      <c r="M727" s="251"/>
      <c r="N727" s="251"/>
      <c r="O727" s="251"/>
      <c r="P727" s="251"/>
      <c r="Q727" s="251"/>
      <c r="R727" s="251"/>
      <c r="S727" s="251"/>
      <c r="T727" s="251"/>
      <c r="U727" s="251"/>
      <c r="V727" s="251"/>
      <c r="W727" s="251"/>
      <c r="X727" s="251"/>
      <c r="Y727" s="251"/>
      <c r="Z727" s="251"/>
      <c r="AA727" s="251"/>
    </row>
    <row r="728" ht="14.25" customHeight="1">
      <c r="A728" s="251"/>
      <c r="B728" s="263"/>
      <c r="C728" s="263"/>
      <c r="D728" s="251"/>
      <c r="E728" s="500"/>
      <c r="F728" s="500"/>
      <c r="G728" s="500"/>
      <c r="H728" s="500"/>
      <c r="I728" s="513"/>
      <c r="J728" s="263"/>
      <c r="K728" s="263"/>
      <c r="L728" s="251"/>
      <c r="M728" s="251"/>
      <c r="N728" s="251"/>
      <c r="O728" s="251"/>
      <c r="P728" s="251"/>
      <c r="Q728" s="251"/>
      <c r="R728" s="251"/>
      <c r="S728" s="251"/>
      <c r="T728" s="251"/>
      <c r="U728" s="251"/>
      <c r="V728" s="251"/>
      <c r="W728" s="251"/>
      <c r="X728" s="251"/>
      <c r="Y728" s="251"/>
      <c r="Z728" s="251"/>
      <c r="AA728" s="251"/>
    </row>
    <row r="729" ht="14.25" customHeight="1">
      <c r="A729" s="251"/>
      <c r="B729" s="263"/>
      <c r="C729" s="263"/>
      <c r="D729" s="251"/>
      <c r="E729" s="500"/>
      <c r="F729" s="500"/>
      <c r="G729" s="500"/>
      <c r="H729" s="500"/>
      <c r="I729" s="513"/>
      <c r="J729" s="263"/>
      <c r="K729" s="263"/>
      <c r="L729" s="251"/>
      <c r="M729" s="251"/>
      <c r="N729" s="251"/>
      <c r="O729" s="251"/>
      <c r="P729" s="251"/>
      <c r="Q729" s="251"/>
      <c r="R729" s="251"/>
      <c r="S729" s="251"/>
      <c r="T729" s="251"/>
      <c r="U729" s="251"/>
      <c r="V729" s="251"/>
      <c r="W729" s="251"/>
      <c r="X729" s="251"/>
      <c r="Y729" s="251"/>
      <c r="Z729" s="251"/>
      <c r="AA729" s="251"/>
    </row>
    <row r="730" ht="14.25" customHeight="1">
      <c r="A730" s="251"/>
      <c r="B730" s="263"/>
      <c r="C730" s="263"/>
      <c r="D730" s="251"/>
      <c r="E730" s="500"/>
      <c r="F730" s="500"/>
      <c r="G730" s="500"/>
      <c r="H730" s="500"/>
      <c r="I730" s="513"/>
      <c r="J730" s="263"/>
      <c r="K730" s="263"/>
      <c r="L730" s="251"/>
      <c r="M730" s="251"/>
      <c r="N730" s="251"/>
      <c r="O730" s="251"/>
      <c r="P730" s="251"/>
      <c r="Q730" s="251"/>
      <c r="R730" s="251"/>
      <c r="S730" s="251"/>
      <c r="T730" s="251"/>
      <c r="U730" s="251"/>
      <c r="V730" s="251"/>
      <c r="W730" s="251"/>
      <c r="X730" s="251"/>
      <c r="Y730" s="251"/>
      <c r="Z730" s="251"/>
      <c r="AA730" s="251"/>
    </row>
    <row r="731" ht="14.25" customHeight="1">
      <c r="A731" s="251"/>
      <c r="B731" s="263"/>
      <c r="C731" s="263"/>
      <c r="D731" s="251"/>
      <c r="E731" s="500"/>
      <c r="F731" s="500"/>
      <c r="G731" s="500"/>
      <c r="H731" s="500"/>
      <c r="I731" s="513"/>
      <c r="J731" s="263"/>
      <c r="K731" s="263"/>
      <c r="L731" s="251"/>
      <c r="M731" s="251"/>
      <c r="N731" s="251"/>
      <c r="O731" s="251"/>
      <c r="P731" s="251"/>
      <c r="Q731" s="251"/>
      <c r="R731" s="251"/>
      <c r="S731" s="251"/>
      <c r="T731" s="251"/>
      <c r="U731" s="251"/>
      <c r="V731" s="251"/>
      <c r="W731" s="251"/>
      <c r="X731" s="251"/>
      <c r="Y731" s="251"/>
      <c r="Z731" s="251"/>
      <c r="AA731" s="251"/>
    </row>
    <row r="732" ht="14.25" customHeight="1">
      <c r="A732" s="251"/>
      <c r="B732" s="263"/>
      <c r="C732" s="263"/>
      <c r="D732" s="251"/>
      <c r="E732" s="500"/>
      <c r="F732" s="500"/>
      <c r="G732" s="500"/>
      <c r="H732" s="500"/>
      <c r="I732" s="513"/>
      <c r="J732" s="263"/>
      <c r="K732" s="263"/>
      <c r="L732" s="251"/>
      <c r="M732" s="251"/>
      <c r="N732" s="251"/>
      <c r="O732" s="251"/>
      <c r="P732" s="251"/>
      <c r="Q732" s="251"/>
      <c r="R732" s="251"/>
      <c r="S732" s="251"/>
      <c r="T732" s="251"/>
      <c r="U732" s="251"/>
      <c r="V732" s="251"/>
      <c r="W732" s="251"/>
      <c r="X732" s="251"/>
      <c r="Y732" s="251"/>
      <c r="Z732" s="251"/>
      <c r="AA732" s="251"/>
    </row>
    <row r="733" ht="14.25" customHeight="1">
      <c r="A733" s="251"/>
      <c r="B733" s="263"/>
      <c r="C733" s="263"/>
      <c r="D733" s="251"/>
      <c r="E733" s="500"/>
      <c r="F733" s="500"/>
      <c r="G733" s="500"/>
      <c r="H733" s="500"/>
      <c r="I733" s="513"/>
      <c r="J733" s="263"/>
      <c r="K733" s="263"/>
      <c r="L733" s="251"/>
      <c r="M733" s="251"/>
      <c r="N733" s="251"/>
      <c r="O733" s="251"/>
      <c r="P733" s="251"/>
      <c r="Q733" s="251"/>
      <c r="R733" s="251"/>
      <c r="S733" s="251"/>
      <c r="T733" s="251"/>
      <c r="U733" s="251"/>
      <c r="V733" s="251"/>
      <c r="W733" s="251"/>
      <c r="X733" s="251"/>
      <c r="Y733" s="251"/>
      <c r="Z733" s="251"/>
      <c r="AA733" s="251"/>
    </row>
    <row r="734" ht="14.25" customHeight="1">
      <c r="A734" s="251"/>
      <c r="B734" s="263"/>
      <c r="C734" s="263"/>
      <c r="D734" s="251"/>
      <c r="E734" s="500"/>
      <c r="F734" s="500"/>
      <c r="G734" s="500"/>
      <c r="H734" s="500"/>
      <c r="I734" s="513"/>
      <c r="J734" s="263"/>
      <c r="K734" s="263"/>
      <c r="L734" s="251"/>
      <c r="M734" s="251"/>
      <c r="N734" s="251"/>
      <c r="O734" s="251"/>
      <c r="P734" s="251"/>
      <c r="Q734" s="251"/>
      <c r="R734" s="251"/>
      <c r="S734" s="251"/>
      <c r="T734" s="251"/>
      <c r="U734" s="251"/>
      <c r="V734" s="251"/>
      <c r="W734" s="251"/>
      <c r="X734" s="251"/>
      <c r="Y734" s="251"/>
      <c r="Z734" s="251"/>
      <c r="AA734" s="251"/>
    </row>
    <row r="735" ht="14.25" customHeight="1">
      <c r="A735" s="251"/>
      <c r="B735" s="263"/>
      <c r="C735" s="263"/>
      <c r="D735" s="251"/>
      <c r="E735" s="500"/>
      <c r="F735" s="500"/>
      <c r="G735" s="500"/>
      <c r="H735" s="500"/>
      <c r="I735" s="513"/>
      <c r="J735" s="263"/>
      <c r="K735" s="263"/>
      <c r="L735" s="251"/>
      <c r="M735" s="251"/>
      <c r="N735" s="251"/>
      <c r="O735" s="251"/>
      <c r="P735" s="251"/>
      <c r="Q735" s="251"/>
      <c r="R735" s="251"/>
      <c r="S735" s="251"/>
      <c r="T735" s="251"/>
      <c r="U735" s="251"/>
      <c r="V735" s="251"/>
      <c r="W735" s="251"/>
      <c r="X735" s="251"/>
      <c r="Y735" s="251"/>
      <c r="Z735" s="251"/>
      <c r="AA735" s="251"/>
    </row>
    <row r="736" ht="14.25" customHeight="1">
      <c r="A736" s="251"/>
      <c r="B736" s="263"/>
      <c r="C736" s="263"/>
      <c r="D736" s="251"/>
      <c r="E736" s="500"/>
      <c r="F736" s="500"/>
      <c r="G736" s="500"/>
      <c r="H736" s="500"/>
      <c r="I736" s="513"/>
      <c r="J736" s="263"/>
      <c r="K736" s="263"/>
      <c r="L736" s="251"/>
      <c r="M736" s="251"/>
      <c r="N736" s="251"/>
      <c r="O736" s="251"/>
      <c r="P736" s="251"/>
      <c r="Q736" s="251"/>
      <c r="R736" s="251"/>
      <c r="S736" s="251"/>
      <c r="T736" s="251"/>
      <c r="U736" s="251"/>
      <c r="V736" s="251"/>
      <c r="W736" s="251"/>
      <c r="X736" s="251"/>
      <c r="Y736" s="251"/>
      <c r="Z736" s="251"/>
      <c r="AA736" s="251"/>
    </row>
    <row r="737" ht="14.25" customHeight="1">
      <c r="A737" s="251"/>
      <c r="B737" s="263"/>
      <c r="C737" s="263"/>
      <c r="D737" s="251"/>
      <c r="E737" s="500"/>
      <c r="F737" s="500"/>
      <c r="G737" s="500"/>
      <c r="H737" s="500"/>
      <c r="I737" s="513"/>
      <c r="J737" s="263"/>
      <c r="K737" s="263"/>
      <c r="L737" s="251"/>
      <c r="M737" s="251"/>
      <c r="N737" s="251"/>
      <c r="O737" s="251"/>
      <c r="P737" s="251"/>
      <c r="Q737" s="251"/>
      <c r="R737" s="251"/>
      <c r="S737" s="251"/>
      <c r="T737" s="251"/>
      <c r="U737" s="251"/>
      <c r="V737" s="251"/>
      <c r="W737" s="251"/>
      <c r="X737" s="251"/>
      <c r="Y737" s="251"/>
      <c r="Z737" s="251"/>
      <c r="AA737" s="251"/>
    </row>
    <row r="738" ht="14.25" customHeight="1">
      <c r="A738" s="251"/>
      <c r="B738" s="263"/>
      <c r="C738" s="263"/>
      <c r="D738" s="251"/>
      <c r="E738" s="500"/>
      <c r="F738" s="500"/>
      <c r="G738" s="500"/>
      <c r="H738" s="500"/>
      <c r="I738" s="513"/>
      <c r="J738" s="263"/>
      <c r="K738" s="263"/>
      <c r="L738" s="251"/>
      <c r="M738" s="251"/>
      <c r="N738" s="251"/>
      <c r="O738" s="251"/>
      <c r="P738" s="251"/>
      <c r="Q738" s="251"/>
      <c r="R738" s="251"/>
      <c r="S738" s="251"/>
      <c r="T738" s="251"/>
      <c r="U738" s="251"/>
      <c r="V738" s="251"/>
      <c r="W738" s="251"/>
      <c r="X738" s="251"/>
      <c r="Y738" s="251"/>
      <c r="Z738" s="251"/>
      <c r="AA738" s="251"/>
    </row>
    <row r="739" ht="14.25" customHeight="1">
      <c r="A739" s="251"/>
      <c r="B739" s="263"/>
      <c r="C739" s="263"/>
      <c r="D739" s="251"/>
      <c r="E739" s="500"/>
      <c r="F739" s="500"/>
      <c r="G739" s="500"/>
      <c r="H739" s="500"/>
      <c r="I739" s="513"/>
      <c r="J739" s="263"/>
      <c r="K739" s="263"/>
      <c r="L739" s="251"/>
      <c r="M739" s="251"/>
      <c r="N739" s="251"/>
      <c r="O739" s="251"/>
      <c r="P739" s="251"/>
      <c r="Q739" s="251"/>
      <c r="R739" s="251"/>
      <c r="S739" s="251"/>
      <c r="T739" s="251"/>
      <c r="U739" s="251"/>
      <c r="V739" s="251"/>
      <c r="W739" s="251"/>
      <c r="X739" s="251"/>
      <c r="Y739" s="251"/>
      <c r="Z739" s="251"/>
      <c r="AA739" s="251"/>
    </row>
    <row r="740" ht="14.25" customHeight="1">
      <c r="A740" s="251"/>
      <c r="B740" s="263"/>
      <c r="C740" s="263"/>
      <c r="D740" s="251"/>
      <c r="E740" s="500"/>
      <c r="F740" s="500"/>
      <c r="G740" s="500"/>
      <c r="H740" s="500"/>
      <c r="I740" s="513"/>
      <c r="J740" s="263"/>
      <c r="K740" s="263"/>
      <c r="L740" s="251"/>
      <c r="M740" s="251"/>
      <c r="N740" s="251"/>
      <c r="O740" s="251"/>
      <c r="P740" s="251"/>
      <c r="Q740" s="251"/>
      <c r="R740" s="251"/>
      <c r="S740" s="251"/>
      <c r="T740" s="251"/>
      <c r="U740" s="251"/>
      <c r="V740" s="251"/>
      <c r="W740" s="251"/>
      <c r="X740" s="251"/>
      <c r="Y740" s="251"/>
      <c r="Z740" s="251"/>
      <c r="AA740" s="251"/>
    </row>
    <row r="741" ht="14.25" customHeight="1">
      <c r="A741" s="251"/>
      <c r="B741" s="263"/>
      <c r="C741" s="263"/>
      <c r="D741" s="251"/>
      <c r="E741" s="500"/>
      <c r="F741" s="500"/>
      <c r="G741" s="500"/>
      <c r="H741" s="500"/>
      <c r="I741" s="513"/>
      <c r="J741" s="263"/>
      <c r="K741" s="263"/>
      <c r="L741" s="251"/>
      <c r="M741" s="251"/>
      <c r="N741" s="251"/>
      <c r="O741" s="251"/>
      <c r="P741" s="251"/>
      <c r="Q741" s="251"/>
      <c r="R741" s="251"/>
      <c r="S741" s="251"/>
      <c r="T741" s="251"/>
      <c r="U741" s="251"/>
      <c r="V741" s="251"/>
      <c r="W741" s="251"/>
      <c r="X741" s="251"/>
      <c r="Y741" s="251"/>
      <c r="Z741" s="251"/>
      <c r="AA741" s="251"/>
    </row>
    <row r="742" ht="14.25" customHeight="1">
      <c r="A742" s="251"/>
      <c r="B742" s="263"/>
      <c r="C742" s="263"/>
      <c r="D742" s="251"/>
      <c r="E742" s="500"/>
      <c r="F742" s="500"/>
      <c r="G742" s="500"/>
      <c r="H742" s="500"/>
      <c r="I742" s="513"/>
      <c r="J742" s="263"/>
      <c r="K742" s="263"/>
      <c r="L742" s="251"/>
      <c r="M742" s="251"/>
      <c r="N742" s="251"/>
      <c r="O742" s="251"/>
      <c r="P742" s="251"/>
      <c r="Q742" s="251"/>
      <c r="R742" s="251"/>
      <c r="S742" s="251"/>
      <c r="T742" s="251"/>
      <c r="U742" s="251"/>
      <c r="V742" s="251"/>
      <c r="W742" s="251"/>
      <c r="X742" s="251"/>
      <c r="Y742" s="251"/>
      <c r="Z742" s="251"/>
      <c r="AA742" s="251"/>
    </row>
    <row r="743" ht="14.25" customHeight="1">
      <c r="A743" s="251"/>
      <c r="B743" s="263"/>
      <c r="C743" s="263"/>
      <c r="D743" s="251"/>
      <c r="E743" s="500"/>
      <c r="F743" s="500"/>
      <c r="G743" s="500"/>
      <c r="H743" s="500"/>
      <c r="I743" s="513"/>
      <c r="J743" s="263"/>
      <c r="K743" s="263"/>
      <c r="L743" s="251"/>
      <c r="M743" s="251"/>
      <c r="N743" s="251"/>
      <c r="O743" s="251"/>
      <c r="P743" s="251"/>
      <c r="Q743" s="251"/>
      <c r="R743" s="251"/>
      <c r="S743" s="251"/>
      <c r="T743" s="251"/>
      <c r="U743" s="251"/>
      <c r="V743" s="251"/>
      <c r="W743" s="251"/>
      <c r="X743" s="251"/>
      <c r="Y743" s="251"/>
      <c r="Z743" s="251"/>
      <c r="AA743" s="251"/>
    </row>
    <row r="744" ht="14.25" customHeight="1">
      <c r="A744" s="251"/>
      <c r="B744" s="263"/>
      <c r="C744" s="263"/>
      <c r="D744" s="251"/>
      <c r="E744" s="500"/>
      <c r="F744" s="500"/>
      <c r="G744" s="500"/>
      <c r="H744" s="500"/>
      <c r="I744" s="513"/>
      <c r="J744" s="263"/>
      <c r="K744" s="263"/>
      <c r="L744" s="251"/>
      <c r="M744" s="251"/>
      <c r="N744" s="251"/>
      <c r="O744" s="251"/>
      <c r="P744" s="251"/>
      <c r="Q744" s="251"/>
      <c r="R744" s="251"/>
      <c r="S744" s="251"/>
      <c r="T744" s="251"/>
      <c r="U744" s="251"/>
      <c r="V744" s="251"/>
      <c r="W744" s="251"/>
      <c r="X744" s="251"/>
      <c r="Y744" s="251"/>
      <c r="Z744" s="251"/>
      <c r="AA744" s="251"/>
    </row>
    <row r="745" ht="14.25" customHeight="1">
      <c r="A745" s="251"/>
      <c r="B745" s="263"/>
      <c r="C745" s="263"/>
      <c r="D745" s="251"/>
      <c r="E745" s="500"/>
      <c r="F745" s="500"/>
      <c r="G745" s="500"/>
      <c r="H745" s="500"/>
      <c r="I745" s="513"/>
      <c r="J745" s="263"/>
      <c r="K745" s="263"/>
      <c r="L745" s="251"/>
      <c r="M745" s="251"/>
      <c r="N745" s="251"/>
      <c r="O745" s="251"/>
      <c r="P745" s="251"/>
      <c r="Q745" s="251"/>
      <c r="R745" s="251"/>
      <c r="S745" s="251"/>
      <c r="T745" s="251"/>
      <c r="U745" s="251"/>
      <c r="V745" s="251"/>
      <c r="W745" s="251"/>
      <c r="X745" s="251"/>
      <c r="Y745" s="251"/>
      <c r="Z745" s="251"/>
      <c r="AA745" s="251"/>
    </row>
    <row r="746" ht="14.25" customHeight="1">
      <c r="A746" s="251"/>
      <c r="B746" s="263"/>
      <c r="C746" s="263"/>
      <c r="D746" s="251"/>
      <c r="E746" s="500"/>
      <c r="F746" s="500"/>
      <c r="G746" s="500"/>
      <c r="H746" s="500"/>
      <c r="I746" s="513"/>
      <c r="J746" s="263"/>
      <c r="K746" s="263"/>
      <c r="L746" s="251"/>
      <c r="M746" s="251"/>
      <c r="N746" s="251"/>
      <c r="O746" s="251"/>
      <c r="P746" s="251"/>
      <c r="Q746" s="251"/>
      <c r="R746" s="251"/>
      <c r="S746" s="251"/>
      <c r="T746" s="251"/>
      <c r="U746" s="251"/>
      <c r="V746" s="251"/>
      <c r="W746" s="251"/>
      <c r="X746" s="251"/>
      <c r="Y746" s="251"/>
      <c r="Z746" s="251"/>
      <c r="AA746" s="251"/>
    </row>
    <row r="747" ht="14.25" customHeight="1">
      <c r="A747" s="251"/>
      <c r="B747" s="263"/>
      <c r="C747" s="263"/>
      <c r="D747" s="251"/>
      <c r="E747" s="500"/>
      <c r="F747" s="500"/>
      <c r="G747" s="500"/>
      <c r="H747" s="500"/>
      <c r="I747" s="513"/>
      <c r="J747" s="263"/>
      <c r="K747" s="263"/>
      <c r="L747" s="251"/>
      <c r="M747" s="251"/>
      <c r="N747" s="251"/>
      <c r="O747" s="251"/>
      <c r="P747" s="251"/>
      <c r="Q747" s="251"/>
      <c r="R747" s="251"/>
      <c r="S747" s="251"/>
      <c r="T747" s="251"/>
      <c r="U747" s="251"/>
      <c r="V747" s="251"/>
      <c r="W747" s="251"/>
      <c r="X747" s="251"/>
      <c r="Y747" s="251"/>
      <c r="Z747" s="251"/>
      <c r="AA747" s="251"/>
    </row>
    <row r="748" ht="14.25" customHeight="1">
      <c r="A748" s="251"/>
      <c r="B748" s="263"/>
      <c r="C748" s="263"/>
      <c r="D748" s="251"/>
      <c r="E748" s="500"/>
      <c r="F748" s="500"/>
      <c r="G748" s="500"/>
      <c r="H748" s="500"/>
      <c r="I748" s="513"/>
      <c r="J748" s="263"/>
      <c r="K748" s="263"/>
      <c r="L748" s="251"/>
      <c r="M748" s="251"/>
      <c r="N748" s="251"/>
      <c r="O748" s="251"/>
      <c r="P748" s="251"/>
      <c r="Q748" s="251"/>
      <c r="R748" s="251"/>
      <c r="S748" s="251"/>
      <c r="T748" s="251"/>
      <c r="U748" s="251"/>
      <c r="V748" s="251"/>
      <c r="W748" s="251"/>
      <c r="X748" s="251"/>
      <c r="Y748" s="251"/>
      <c r="Z748" s="251"/>
      <c r="AA748" s="251"/>
    </row>
    <row r="749" ht="14.25" customHeight="1">
      <c r="A749" s="251"/>
      <c r="B749" s="263"/>
      <c r="C749" s="263"/>
      <c r="D749" s="251"/>
      <c r="E749" s="500"/>
      <c r="F749" s="500"/>
      <c r="G749" s="500"/>
      <c r="H749" s="500"/>
      <c r="I749" s="513"/>
      <c r="J749" s="263"/>
      <c r="K749" s="263"/>
      <c r="L749" s="251"/>
      <c r="M749" s="251"/>
      <c r="N749" s="251"/>
      <c r="O749" s="251"/>
      <c r="P749" s="251"/>
      <c r="Q749" s="251"/>
      <c r="R749" s="251"/>
      <c r="S749" s="251"/>
      <c r="T749" s="251"/>
      <c r="U749" s="251"/>
      <c r="V749" s="251"/>
      <c r="W749" s="251"/>
      <c r="X749" s="251"/>
      <c r="Y749" s="251"/>
      <c r="Z749" s="251"/>
      <c r="AA749" s="251"/>
    </row>
    <row r="750" ht="14.25" customHeight="1">
      <c r="A750" s="251"/>
      <c r="B750" s="263"/>
      <c r="C750" s="263"/>
      <c r="D750" s="251"/>
      <c r="E750" s="500"/>
      <c r="F750" s="500"/>
      <c r="G750" s="500"/>
      <c r="H750" s="500"/>
      <c r="I750" s="513"/>
      <c r="J750" s="263"/>
      <c r="K750" s="263"/>
      <c r="L750" s="251"/>
      <c r="M750" s="251"/>
      <c r="N750" s="251"/>
      <c r="O750" s="251"/>
      <c r="P750" s="251"/>
      <c r="Q750" s="251"/>
      <c r="R750" s="251"/>
      <c r="S750" s="251"/>
      <c r="T750" s="251"/>
      <c r="U750" s="251"/>
      <c r="V750" s="251"/>
      <c r="W750" s="251"/>
      <c r="X750" s="251"/>
      <c r="Y750" s="251"/>
      <c r="Z750" s="251"/>
      <c r="AA750" s="251"/>
    </row>
    <row r="751" ht="14.25" customHeight="1">
      <c r="A751" s="251"/>
      <c r="B751" s="263"/>
      <c r="C751" s="263"/>
      <c r="D751" s="251"/>
      <c r="E751" s="500"/>
      <c r="F751" s="500"/>
      <c r="G751" s="500"/>
      <c r="H751" s="500"/>
      <c r="I751" s="513"/>
      <c r="J751" s="263"/>
      <c r="K751" s="263"/>
      <c r="L751" s="251"/>
      <c r="M751" s="251"/>
      <c r="N751" s="251"/>
      <c r="O751" s="251"/>
      <c r="P751" s="251"/>
      <c r="Q751" s="251"/>
      <c r="R751" s="251"/>
      <c r="S751" s="251"/>
      <c r="T751" s="251"/>
      <c r="U751" s="251"/>
      <c r="V751" s="251"/>
      <c r="W751" s="251"/>
      <c r="X751" s="251"/>
      <c r="Y751" s="251"/>
      <c r="Z751" s="251"/>
      <c r="AA751" s="251"/>
    </row>
    <row r="752" ht="14.25" customHeight="1">
      <c r="A752" s="251"/>
      <c r="B752" s="263"/>
      <c r="C752" s="263"/>
      <c r="D752" s="251"/>
      <c r="E752" s="500"/>
      <c r="F752" s="500"/>
      <c r="G752" s="500"/>
      <c r="H752" s="500"/>
      <c r="I752" s="513"/>
      <c r="J752" s="263"/>
      <c r="K752" s="263"/>
      <c r="L752" s="251"/>
      <c r="M752" s="251"/>
      <c r="N752" s="251"/>
      <c r="O752" s="251"/>
      <c r="P752" s="251"/>
      <c r="Q752" s="251"/>
      <c r="R752" s="251"/>
      <c r="S752" s="251"/>
      <c r="T752" s="251"/>
      <c r="U752" s="251"/>
      <c r="V752" s="251"/>
      <c r="W752" s="251"/>
      <c r="X752" s="251"/>
      <c r="Y752" s="251"/>
      <c r="Z752" s="251"/>
      <c r="AA752" s="251"/>
    </row>
    <row r="753" ht="14.25" customHeight="1">
      <c r="A753" s="251"/>
      <c r="B753" s="263"/>
      <c r="C753" s="263"/>
      <c r="D753" s="251"/>
      <c r="E753" s="500"/>
      <c r="F753" s="500"/>
      <c r="G753" s="500"/>
      <c r="H753" s="500"/>
      <c r="I753" s="513"/>
      <c r="J753" s="263"/>
      <c r="K753" s="263"/>
      <c r="L753" s="251"/>
      <c r="M753" s="251"/>
      <c r="N753" s="251"/>
      <c r="O753" s="251"/>
      <c r="P753" s="251"/>
      <c r="Q753" s="251"/>
      <c r="R753" s="251"/>
      <c r="S753" s="251"/>
      <c r="T753" s="251"/>
      <c r="U753" s="251"/>
      <c r="V753" s="251"/>
      <c r="W753" s="251"/>
      <c r="X753" s="251"/>
      <c r="Y753" s="251"/>
      <c r="Z753" s="251"/>
      <c r="AA753" s="251"/>
    </row>
    <row r="754" ht="14.25" customHeight="1">
      <c r="A754" s="251"/>
      <c r="B754" s="263"/>
      <c r="C754" s="263"/>
      <c r="D754" s="251"/>
      <c r="E754" s="500"/>
      <c r="F754" s="500"/>
      <c r="G754" s="500"/>
      <c r="H754" s="500"/>
      <c r="I754" s="513"/>
      <c r="J754" s="263"/>
      <c r="K754" s="263"/>
      <c r="L754" s="251"/>
      <c r="M754" s="251"/>
      <c r="N754" s="251"/>
      <c r="O754" s="251"/>
      <c r="P754" s="251"/>
      <c r="Q754" s="251"/>
      <c r="R754" s="251"/>
      <c r="S754" s="251"/>
      <c r="T754" s="251"/>
      <c r="U754" s="251"/>
      <c r="V754" s="251"/>
      <c r="W754" s="251"/>
      <c r="X754" s="251"/>
      <c r="Y754" s="251"/>
      <c r="Z754" s="251"/>
      <c r="AA754" s="251"/>
    </row>
    <row r="755" ht="14.25" customHeight="1">
      <c r="A755" s="251"/>
      <c r="B755" s="263"/>
      <c r="C755" s="263"/>
      <c r="D755" s="251"/>
      <c r="E755" s="500"/>
      <c r="F755" s="500"/>
      <c r="G755" s="500"/>
      <c r="H755" s="500"/>
      <c r="I755" s="513"/>
      <c r="J755" s="263"/>
      <c r="K755" s="263"/>
      <c r="L755" s="251"/>
      <c r="M755" s="251"/>
      <c r="N755" s="251"/>
      <c r="O755" s="251"/>
      <c r="P755" s="251"/>
      <c r="Q755" s="251"/>
      <c r="R755" s="251"/>
      <c r="S755" s="251"/>
      <c r="T755" s="251"/>
      <c r="U755" s="251"/>
      <c r="V755" s="251"/>
      <c r="W755" s="251"/>
      <c r="X755" s="251"/>
      <c r="Y755" s="251"/>
      <c r="Z755" s="251"/>
      <c r="AA755" s="251"/>
    </row>
    <row r="756" ht="14.25" customHeight="1">
      <c r="A756" s="251"/>
      <c r="B756" s="263"/>
      <c r="C756" s="263"/>
      <c r="D756" s="251"/>
      <c r="E756" s="500"/>
      <c r="F756" s="500"/>
      <c r="G756" s="500"/>
      <c r="H756" s="500"/>
      <c r="I756" s="513"/>
      <c r="J756" s="263"/>
      <c r="K756" s="263"/>
      <c r="L756" s="251"/>
      <c r="M756" s="251"/>
      <c r="N756" s="251"/>
      <c r="O756" s="251"/>
      <c r="P756" s="251"/>
      <c r="Q756" s="251"/>
      <c r="R756" s="251"/>
      <c r="S756" s="251"/>
      <c r="T756" s="251"/>
      <c r="U756" s="251"/>
      <c r="V756" s="251"/>
      <c r="W756" s="251"/>
      <c r="X756" s="251"/>
      <c r="Y756" s="251"/>
      <c r="Z756" s="251"/>
      <c r="AA756" s="251"/>
    </row>
    <row r="757" ht="14.25" customHeight="1">
      <c r="A757" s="251"/>
      <c r="B757" s="263"/>
      <c r="C757" s="263"/>
      <c r="D757" s="251"/>
      <c r="E757" s="500"/>
      <c r="F757" s="500"/>
      <c r="G757" s="500"/>
      <c r="H757" s="500"/>
      <c r="I757" s="513"/>
      <c r="J757" s="263"/>
      <c r="K757" s="263"/>
      <c r="L757" s="251"/>
      <c r="M757" s="251"/>
      <c r="N757" s="251"/>
      <c r="O757" s="251"/>
      <c r="P757" s="251"/>
      <c r="Q757" s="251"/>
      <c r="R757" s="251"/>
      <c r="S757" s="251"/>
      <c r="T757" s="251"/>
      <c r="U757" s="251"/>
      <c r="V757" s="251"/>
      <c r="W757" s="251"/>
      <c r="X757" s="251"/>
      <c r="Y757" s="251"/>
      <c r="Z757" s="251"/>
      <c r="AA757" s="251"/>
    </row>
    <row r="758" ht="14.25" customHeight="1">
      <c r="A758" s="251"/>
      <c r="B758" s="263"/>
      <c r="C758" s="263"/>
      <c r="D758" s="251"/>
      <c r="E758" s="500"/>
      <c r="F758" s="500"/>
      <c r="G758" s="500"/>
      <c r="H758" s="500"/>
      <c r="I758" s="513"/>
      <c r="J758" s="263"/>
      <c r="K758" s="263"/>
      <c r="L758" s="251"/>
      <c r="M758" s="251"/>
      <c r="N758" s="251"/>
      <c r="O758" s="251"/>
      <c r="P758" s="251"/>
      <c r="Q758" s="251"/>
      <c r="R758" s="251"/>
      <c r="S758" s="251"/>
      <c r="T758" s="251"/>
      <c r="U758" s="251"/>
      <c r="V758" s="251"/>
      <c r="W758" s="251"/>
      <c r="X758" s="251"/>
      <c r="Y758" s="251"/>
      <c r="Z758" s="251"/>
      <c r="AA758" s="251"/>
    </row>
    <row r="759" ht="14.25" customHeight="1">
      <c r="A759" s="251"/>
      <c r="B759" s="263"/>
      <c r="C759" s="263"/>
      <c r="D759" s="251"/>
      <c r="E759" s="500"/>
      <c r="F759" s="500"/>
      <c r="G759" s="500"/>
      <c r="H759" s="500"/>
      <c r="I759" s="513"/>
      <c r="J759" s="263"/>
      <c r="K759" s="263"/>
      <c r="L759" s="251"/>
      <c r="M759" s="251"/>
      <c r="N759" s="251"/>
      <c r="O759" s="251"/>
      <c r="P759" s="251"/>
      <c r="Q759" s="251"/>
      <c r="R759" s="251"/>
      <c r="S759" s="251"/>
      <c r="T759" s="251"/>
      <c r="U759" s="251"/>
      <c r="V759" s="251"/>
      <c r="W759" s="251"/>
      <c r="X759" s="251"/>
      <c r="Y759" s="251"/>
      <c r="Z759" s="251"/>
      <c r="AA759" s="251"/>
    </row>
    <row r="760" ht="14.25" customHeight="1">
      <c r="A760" s="251"/>
      <c r="B760" s="263"/>
      <c r="C760" s="263"/>
      <c r="D760" s="251"/>
      <c r="E760" s="500"/>
      <c r="F760" s="500"/>
      <c r="G760" s="500"/>
      <c r="H760" s="500"/>
      <c r="I760" s="513"/>
      <c r="J760" s="263"/>
      <c r="K760" s="263"/>
      <c r="L760" s="251"/>
      <c r="M760" s="251"/>
      <c r="N760" s="251"/>
      <c r="O760" s="251"/>
      <c r="P760" s="251"/>
      <c r="Q760" s="251"/>
      <c r="R760" s="251"/>
      <c r="S760" s="251"/>
      <c r="T760" s="251"/>
      <c r="U760" s="251"/>
      <c r="V760" s="251"/>
      <c r="W760" s="251"/>
      <c r="X760" s="251"/>
      <c r="Y760" s="251"/>
      <c r="Z760" s="251"/>
      <c r="AA760" s="251"/>
    </row>
    <row r="761" ht="14.25" customHeight="1">
      <c r="A761" s="251"/>
      <c r="B761" s="263"/>
      <c r="C761" s="263"/>
      <c r="D761" s="251"/>
      <c r="E761" s="500"/>
      <c r="F761" s="500"/>
      <c r="G761" s="500"/>
      <c r="H761" s="500"/>
      <c r="I761" s="513"/>
      <c r="J761" s="263"/>
      <c r="K761" s="263"/>
      <c r="L761" s="251"/>
      <c r="M761" s="251"/>
      <c r="N761" s="251"/>
      <c r="O761" s="251"/>
      <c r="P761" s="251"/>
      <c r="Q761" s="251"/>
      <c r="R761" s="251"/>
      <c r="S761" s="251"/>
      <c r="T761" s="251"/>
      <c r="U761" s="251"/>
      <c r="V761" s="251"/>
      <c r="W761" s="251"/>
      <c r="X761" s="251"/>
      <c r="Y761" s="251"/>
      <c r="Z761" s="251"/>
      <c r="AA761" s="251"/>
    </row>
    <row r="762" ht="14.25" customHeight="1">
      <c r="A762" s="251"/>
      <c r="B762" s="263"/>
      <c r="C762" s="263"/>
      <c r="D762" s="251"/>
      <c r="E762" s="500"/>
      <c r="F762" s="500"/>
      <c r="G762" s="500"/>
      <c r="H762" s="500"/>
      <c r="I762" s="513"/>
      <c r="J762" s="263"/>
      <c r="K762" s="263"/>
      <c r="L762" s="251"/>
      <c r="M762" s="251"/>
      <c r="N762" s="251"/>
      <c r="O762" s="251"/>
      <c r="P762" s="251"/>
      <c r="Q762" s="251"/>
      <c r="R762" s="251"/>
      <c r="S762" s="251"/>
      <c r="T762" s="251"/>
      <c r="U762" s="251"/>
      <c r="V762" s="251"/>
      <c r="W762" s="251"/>
      <c r="X762" s="251"/>
      <c r="Y762" s="251"/>
      <c r="Z762" s="251"/>
      <c r="AA762" s="251"/>
    </row>
    <row r="763" ht="14.25" customHeight="1">
      <c r="A763" s="251"/>
      <c r="B763" s="263"/>
      <c r="C763" s="263"/>
      <c r="D763" s="251"/>
      <c r="E763" s="500"/>
      <c r="F763" s="500"/>
      <c r="G763" s="500"/>
      <c r="H763" s="500"/>
      <c r="I763" s="513"/>
      <c r="J763" s="263"/>
      <c r="K763" s="263"/>
      <c r="L763" s="251"/>
      <c r="M763" s="251"/>
      <c r="N763" s="251"/>
      <c r="O763" s="251"/>
      <c r="P763" s="251"/>
      <c r="Q763" s="251"/>
      <c r="R763" s="251"/>
      <c r="S763" s="251"/>
      <c r="T763" s="251"/>
      <c r="U763" s="251"/>
      <c r="V763" s="251"/>
      <c r="W763" s="251"/>
      <c r="X763" s="251"/>
      <c r="Y763" s="251"/>
      <c r="Z763" s="251"/>
      <c r="AA763" s="251"/>
    </row>
    <row r="764" ht="14.25" customHeight="1">
      <c r="A764" s="251"/>
      <c r="B764" s="263"/>
      <c r="C764" s="263"/>
      <c r="D764" s="251"/>
      <c r="E764" s="500"/>
      <c r="F764" s="500"/>
      <c r="G764" s="500"/>
      <c r="H764" s="500"/>
      <c r="I764" s="513"/>
      <c r="J764" s="263"/>
      <c r="K764" s="263"/>
      <c r="L764" s="251"/>
      <c r="M764" s="251"/>
      <c r="N764" s="251"/>
      <c r="O764" s="251"/>
      <c r="P764" s="251"/>
      <c r="Q764" s="251"/>
      <c r="R764" s="251"/>
      <c r="S764" s="251"/>
      <c r="T764" s="251"/>
      <c r="U764" s="251"/>
      <c r="V764" s="251"/>
      <c r="W764" s="251"/>
      <c r="X764" s="251"/>
      <c r="Y764" s="251"/>
      <c r="Z764" s="251"/>
      <c r="AA764" s="251"/>
    </row>
    <row r="765" ht="14.25" customHeight="1">
      <c r="A765" s="251"/>
      <c r="B765" s="263"/>
      <c r="C765" s="263"/>
      <c r="D765" s="251"/>
      <c r="E765" s="500"/>
      <c r="F765" s="500"/>
      <c r="G765" s="500"/>
      <c r="H765" s="500"/>
      <c r="I765" s="513"/>
      <c r="J765" s="263"/>
      <c r="K765" s="263"/>
      <c r="L765" s="251"/>
      <c r="M765" s="251"/>
      <c r="N765" s="251"/>
      <c r="O765" s="251"/>
      <c r="P765" s="251"/>
      <c r="Q765" s="251"/>
      <c r="R765" s="251"/>
      <c r="S765" s="251"/>
      <c r="T765" s="251"/>
      <c r="U765" s="251"/>
      <c r="V765" s="251"/>
      <c r="W765" s="251"/>
      <c r="X765" s="251"/>
      <c r="Y765" s="251"/>
      <c r="Z765" s="251"/>
      <c r="AA765" s="251"/>
    </row>
    <row r="766" ht="14.25" customHeight="1">
      <c r="A766" s="251"/>
      <c r="B766" s="263"/>
      <c r="C766" s="263"/>
      <c r="D766" s="251"/>
      <c r="E766" s="500"/>
      <c r="F766" s="500"/>
      <c r="G766" s="500"/>
      <c r="H766" s="500"/>
      <c r="I766" s="513"/>
      <c r="J766" s="263"/>
      <c r="K766" s="263"/>
      <c r="L766" s="251"/>
      <c r="M766" s="251"/>
      <c r="N766" s="251"/>
      <c r="O766" s="251"/>
      <c r="P766" s="251"/>
      <c r="Q766" s="251"/>
      <c r="R766" s="251"/>
      <c r="S766" s="251"/>
      <c r="T766" s="251"/>
      <c r="U766" s="251"/>
      <c r="V766" s="251"/>
      <c r="W766" s="251"/>
      <c r="X766" s="251"/>
      <c r="Y766" s="251"/>
      <c r="Z766" s="251"/>
      <c r="AA766" s="251"/>
    </row>
    <row r="767" ht="14.25" customHeight="1">
      <c r="A767" s="251"/>
      <c r="B767" s="263"/>
      <c r="C767" s="263"/>
      <c r="D767" s="251"/>
      <c r="E767" s="500"/>
      <c r="F767" s="500"/>
      <c r="G767" s="500"/>
      <c r="H767" s="500"/>
      <c r="I767" s="513"/>
      <c r="J767" s="263"/>
      <c r="K767" s="263"/>
      <c r="L767" s="251"/>
      <c r="M767" s="251"/>
      <c r="N767" s="251"/>
      <c r="O767" s="251"/>
      <c r="P767" s="251"/>
      <c r="Q767" s="251"/>
      <c r="R767" s="251"/>
      <c r="S767" s="251"/>
      <c r="T767" s="251"/>
      <c r="U767" s="251"/>
      <c r="V767" s="251"/>
      <c r="W767" s="251"/>
      <c r="X767" s="251"/>
      <c r="Y767" s="251"/>
      <c r="Z767" s="251"/>
      <c r="AA767" s="251"/>
    </row>
    <row r="768" ht="14.25" customHeight="1">
      <c r="A768" s="251"/>
      <c r="B768" s="263"/>
      <c r="C768" s="263"/>
      <c r="D768" s="251"/>
      <c r="E768" s="500"/>
      <c r="F768" s="500"/>
      <c r="G768" s="500"/>
      <c r="H768" s="500"/>
      <c r="I768" s="513"/>
      <c r="J768" s="263"/>
      <c r="K768" s="263"/>
      <c r="L768" s="251"/>
      <c r="M768" s="251"/>
      <c r="N768" s="251"/>
      <c r="O768" s="251"/>
      <c r="P768" s="251"/>
      <c r="Q768" s="251"/>
      <c r="R768" s="251"/>
      <c r="S768" s="251"/>
      <c r="T768" s="251"/>
      <c r="U768" s="251"/>
      <c r="V768" s="251"/>
      <c r="W768" s="251"/>
      <c r="X768" s="251"/>
      <c r="Y768" s="251"/>
      <c r="Z768" s="251"/>
      <c r="AA768" s="251"/>
    </row>
    <row r="769" ht="14.25" customHeight="1">
      <c r="A769" s="251"/>
      <c r="B769" s="263"/>
      <c r="C769" s="263"/>
      <c r="D769" s="251"/>
      <c r="E769" s="500"/>
      <c r="F769" s="500"/>
      <c r="G769" s="500"/>
      <c r="H769" s="500"/>
      <c r="I769" s="513"/>
      <c r="J769" s="263"/>
      <c r="K769" s="263"/>
      <c r="L769" s="251"/>
      <c r="M769" s="251"/>
      <c r="N769" s="251"/>
      <c r="O769" s="251"/>
      <c r="P769" s="251"/>
      <c r="Q769" s="251"/>
      <c r="R769" s="251"/>
      <c r="S769" s="251"/>
      <c r="T769" s="251"/>
      <c r="U769" s="251"/>
      <c r="V769" s="251"/>
      <c r="W769" s="251"/>
      <c r="X769" s="251"/>
      <c r="Y769" s="251"/>
      <c r="Z769" s="251"/>
      <c r="AA769" s="251"/>
    </row>
    <row r="770" ht="14.25" customHeight="1">
      <c r="A770" s="251"/>
      <c r="B770" s="263"/>
      <c r="C770" s="263"/>
      <c r="D770" s="251"/>
      <c r="E770" s="500"/>
      <c r="F770" s="500"/>
      <c r="G770" s="500"/>
      <c r="H770" s="500"/>
      <c r="I770" s="513"/>
      <c r="J770" s="263"/>
      <c r="K770" s="263"/>
      <c r="L770" s="251"/>
      <c r="M770" s="251"/>
      <c r="N770" s="251"/>
      <c r="O770" s="251"/>
      <c r="P770" s="251"/>
      <c r="Q770" s="251"/>
      <c r="R770" s="251"/>
      <c r="S770" s="251"/>
      <c r="T770" s="251"/>
      <c r="U770" s="251"/>
      <c r="V770" s="251"/>
      <c r="W770" s="251"/>
      <c r="X770" s="251"/>
      <c r="Y770" s="251"/>
      <c r="Z770" s="251"/>
      <c r="AA770" s="251"/>
    </row>
    <row r="771" ht="14.25" customHeight="1">
      <c r="A771" s="251"/>
      <c r="B771" s="263"/>
      <c r="C771" s="263"/>
      <c r="D771" s="251"/>
      <c r="E771" s="500"/>
      <c r="F771" s="500"/>
      <c r="G771" s="500"/>
      <c r="H771" s="500"/>
      <c r="I771" s="513"/>
      <c r="J771" s="263"/>
      <c r="K771" s="263"/>
      <c r="L771" s="251"/>
      <c r="M771" s="251"/>
      <c r="N771" s="251"/>
      <c r="O771" s="251"/>
      <c r="P771" s="251"/>
      <c r="Q771" s="251"/>
      <c r="R771" s="251"/>
      <c r="S771" s="251"/>
      <c r="T771" s="251"/>
      <c r="U771" s="251"/>
      <c r="V771" s="251"/>
      <c r="W771" s="251"/>
      <c r="X771" s="251"/>
      <c r="Y771" s="251"/>
      <c r="Z771" s="251"/>
      <c r="AA771" s="251"/>
    </row>
    <row r="772" ht="14.25" customHeight="1">
      <c r="A772" s="251"/>
      <c r="B772" s="263"/>
      <c r="C772" s="263"/>
      <c r="D772" s="251"/>
      <c r="E772" s="500"/>
      <c r="F772" s="500"/>
      <c r="G772" s="500"/>
      <c r="H772" s="500"/>
      <c r="I772" s="513"/>
      <c r="J772" s="263"/>
      <c r="K772" s="263"/>
      <c r="L772" s="251"/>
      <c r="M772" s="251"/>
      <c r="N772" s="251"/>
      <c r="O772" s="251"/>
      <c r="P772" s="251"/>
      <c r="Q772" s="251"/>
      <c r="R772" s="251"/>
      <c r="S772" s="251"/>
      <c r="T772" s="251"/>
      <c r="U772" s="251"/>
      <c r="V772" s="251"/>
      <c r="W772" s="251"/>
      <c r="X772" s="251"/>
      <c r="Y772" s="251"/>
      <c r="Z772" s="251"/>
      <c r="AA772" s="251"/>
    </row>
    <row r="773" ht="14.25" customHeight="1">
      <c r="A773" s="251"/>
      <c r="B773" s="263"/>
      <c r="C773" s="263"/>
      <c r="D773" s="251"/>
      <c r="E773" s="500"/>
      <c r="F773" s="500"/>
      <c r="G773" s="500"/>
      <c r="H773" s="500"/>
      <c r="I773" s="513"/>
      <c r="J773" s="263"/>
      <c r="K773" s="263"/>
      <c r="L773" s="251"/>
      <c r="M773" s="251"/>
      <c r="N773" s="251"/>
      <c r="O773" s="251"/>
      <c r="P773" s="251"/>
      <c r="Q773" s="251"/>
      <c r="R773" s="251"/>
      <c r="S773" s="251"/>
      <c r="T773" s="251"/>
      <c r="U773" s="251"/>
      <c r="V773" s="251"/>
      <c r="W773" s="251"/>
      <c r="X773" s="251"/>
      <c r="Y773" s="251"/>
      <c r="Z773" s="251"/>
      <c r="AA773" s="251"/>
    </row>
    <row r="774" ht="14.25" customHeight="1">
      <c r="A774" s="251"/>
      <c r="B774" s="263"/>
      <c r="C774" s="263"/>
      <c r="D774" s="251"/>
      <c r="E774" s="500"/>
      <c r="F774" s="500"/>
      <c r="G774" s="500"/>
      <c r="H774" s="500"/>
      <c r="I774" s="513"/>
      <c r="J774" s="263"/>
      <c r="K774" s="263"/>
      <c r="L774" s="251"/>
      <c r="M774" s="251"/>
      <c r="N774" s="251"/>
      <c r="O774" s="251"/>
      <c r="P774" s="251"/>
      <c r="Q774" s="251"/>
      <c r="R774" s="251"/>
      <c r="S774" s="251"/>
      <c r="T774" s="251"/>
      <c r="U774" s="251"/>
      <c r="V774" s="251"/>
      <c r="W774" s="251"/>
      <c r="X774" s="251"/>
      <c r="Y774" s="251"/>
      <c r="Z774" s="251"/>
      <c r="AA774" s="251"/>
    </row>
    <row r="775" ht="14.25" customHeight="1">
      <c r="A775" s="251"/>
      <c r="B775" s="263"/>
      <c r="C775" s="263"/>
      <c r="D775" s="251"/>
      <c r="E775" s="500"/>
      <c r="F775" s="500"/>
      <c r="G775" s="500"/>
      <c r="H775" s="500"/>
      <c r="I775" s="513"/>
      <c r="J775" s="263"/>
      <c r="K775" s="263"/>
      <c r="L775" s="251"/>
      <c r="M775" s="251"/>
      <c r="N775" s="251"/>
      <c r="O775" s="251"/>
      <c r="P775" s="251"/>
      <c r="Q775" s="251"/>
      <c r="R775" s="251"/>
      <c r="S775" s="251"/>
      <c r="T775" s="251"/>
      <c r="U775" s="251"/>
      <c r="V775" s="251"/>
      <c r="W775" s="251"/>
      <c r="X775" s="251"/>
      <c r="Y775" s="251"/>
      <c r="Z775" s="251"/>
      <c r="AA775" s="251"/>
    </row>
    <row r="776" ht="14.25" customHeight="1">
      <c r="A776" s="251"/>
      <c r="B776" s="263"/>
      <c r="C776" s="263"/>
      <c r="D776" s="251"/>
      <c r="E776" s="500"/>
      <c r="F776" s="500"/>
      <c r="G776" s="500"/>
      <c r="H776" s="500"/>
      <c r="I776" s="513"/>
      <c r="J776" s="263"/>
      <c r="K776" s="263"/>
      <c r="L776" s="251"/>
      <c r="M776" s="251"/>
      <c r="N776" s="251"/>
      <c r="O776" s="251"/>
      <c r="P776" s="251"/>
      <c r="Q776" s="251"/>
      <c r="R776" s="251"/>
      <c r="S776" s="251"/>
      <c r="T776" s="251"/>
      <c r="U776" s="251"/>
      <c r="V776" s="251"/>
      <c r="W776" s="251"/>
      <c r="X776" s="251"/>
      <c r="Y776" s="251"/>
      <c r="Z776" s="251"/>
      <c r="AA776" s="251"/>
    </row>
    <row r="777" ht="14.25" customHeight="1">
      <c r="A777" s="251"/>
      <c r="B777" s="263"/>
      <c r="C777" s="263"/>
      <c r="D777" s="251"/>
      <c r="E777" s="500"/>
      <c r="F777" s="500"/>
      <c r="G777" s="500"/>
      <c r="H777" s="500"/>
      <c r="I777" s="513"/>
      <c r="J777" s="263"/>
      <c r="K777" s="263"/>
      <c r="L777" s="251"/>
      <c r="M777" s="251"/>
      <c r="N777" s="251"/>
      <c r="O777" s="251"/>
      <c r="P777" s="251"/>
      <c r="Q777" s="251"/>
      <c r="R777" s="251"/>
      <c r="S777" s="251"/>
      <c r="T777" s="251"/>
      <c r="U777" s="251"/>
      <c r="V777" s="251"/>
      <c r="W777" s="251"/>
      <c r="X777" s="251"/>
      <c r="Y777" s="251"/>
      <c r="Z777" s="251"/>
      <c r="AA777" s="251"/>
    </row>
    <row r="778" ht="14.25" customHeight="1">
      <c r="A778" s="251"/>
      <c r="B778" s="263"/>
      <c r="C778" s="263"/>
      <c r="D778" s="251"/>
      <c r="E778" s="500"/>
      <c r="F778" s="500"/>
      <c r="G778" s="500"/>
      <c r="H778" s="500"/>
      <c r="I778" s="513"/>
      <c r="J778" s="263"/>
      <c r="K778" s="263"/>
      <c r="L778" s="251"/>
      <c r="M778" s="251"/>
      <c r="N778" s="251"/>
      <c r="O778" s="251"/>
      <c r="P778" s="251"/>
      <c r="Q778" s="251"/>
      <c r="R778" s="251"/>
      <c r="S778" s="251"/>
      <c r="T778" s="251"/>
      <c r="U778" s="251"/>
      <c r="V778" s="251"/>
      <c r="W778" s="251"/>
      <c r="X778" s="251"/>
      <c r="Y778" s="251"/>
      <c r="Z778" s="251"/>
      <c r="AA778" s="251"/>
    </row>
    <row r="779" ht="14.25" customHeight="1">
      <c r="A779" s="251"/>
      <c r="B779" s="263"/>
      <c r="C779" s="263"/>
      <c r="D779" s="251"/>
      <c r="E779" s="500"/>
      <c r="F779" s="500"/>
      <c r="G779" s="500"/>
      <c r="H779" s="500"/>
      <c r="I779" s="513"/>
      <c r="J779" s="263"/>
      <c r="K779" s="263"/>
      <c r="L779" s="251"/>
      <c r="M779" s="251"/>
      <c r="N779" s="251"/>
      <c r="O779" s="251"/>
      <c r="P779" s="251"/>
      <c r="Q779" s="251"/>
      <c r="R779" s="251"/>
      <c r="S779" s="251"/>
      <c r="T779" s="251"/>
      <c r="U779" s="251"/>
      <c r="V779" s="251"/>
      <c r="W779" s="251"/>
      <c r="X779" s="251"/>
      <c r="Y779" s="251"/>
      <c r="Z779" s="251"/>
      <c r="AA779" s="251"/>
    </row>
    <row r="780" ht="14.25" customHeight="1">
      <c r="A780" s="251"/>
      <c r="B780" s="263"/>
      <c r="C780" s="263"/>
      <c r="D780" s="251"/>
      <c r="E780" s="500"/>
      <c r="F780" s="500"/>
      <c r="G780" s="500"/>
      <c r="H780" s="500"/>
      <c r="I780" s="513"/>
      <c r="J780" s="263"/>
      <c r="K780" s="263"/>
      <c r="L780" s="251"/>
      <c r="M780" s="251"/>
      <c r="N780" s="251"/>
      <c r="O780" s="251"/>
      <c r="P780" s="251"/>
      <c r="Q780" s="251"/>
      <c r="R780" s="251"/>
      <c r="S780" s="251"/>
      <c r="T780" s="251"/>
      <c r="U780" s="251"/>
      <c r="V780" s="251"/>
      <c r="W780" s="251"/>
      <c r="X780" s="251"/>
      <c r="Y780" s="251"/>
      <c r="Z780" s="251"/>
      <c r="AA780" s="251"/>
    </row>
    <row r="781" ht="14.25" customHeight="1">
      <c r="A781" s="251"/>
      <c r="B781" s="263"/>
      <c r="C781" s="263"/>
      <c r="D781" s="251"/>
      <c r="E781" s="500"/>
      <c r="F781" s="500"/>
      <c r="G781" s="500"/>
      <c r="H781" s="500"/>
      <c r="I781" s="513"/>
      <c r="J781" s="263"/>
      <c r="K781" s="263"/>
      <c r="L781" s="251"/>
      <c r="M781" s="251"/>
      <c r="N781" s="251"/>
      <c r="O781" s="251"/>
      <c r="P781" s="251"/>
      <c r="Q781" s="251"/>
      <c r="R781" s="251"/>
      <c r="S781" s="251"/>
      <c r="T781" s="251"/>
      <c r="U781" s="251"/>
      <c r="V781" s="251"/>
      <c r="W781" s="251"/>
      <c r="X781" s="251"/>
      <c r="Y781" s="251"/>
      <c r="Z781" s="251"/>
      <c r="AA781" s="251"/>
    </row>
    <row r="782" ht="14.25" customHeight="1">
      <c r="A782" s="251"/>
      <c r="B782" s="263"/>
      <c r="C782" s="263"/>
      <c r="D782" s="251"/>
      <c r="E782" s="500"/>
      <c r="F782" s="500"/>
      <c r="G782" s="500"/>
      <c r="H782" s="500"/>
      <c r="I782" s="513"/>
      <c r="J782" s="263"/>
      <c r="K782" s="263"/>
      <c r="L782" s="251"/>
      <c r="M782" s="251"/>
      <c r="N782" s="251"/>
      <c r="O782" s="251"/>
      <c r="P782" s="251"/>
      <c r="Q782" s="251"/>
      <c r="R782" s="251"/>
      <c r="S782" s="251"/>
      <c r="T782" s="251"/>
      <c r="U782" s="251"/>
      <c r="V782" s="251"/>
      <c r="W782" s="251"/>
      <c r="X782" s="251"/>
      <c r="Y782" s="251"/>
      <c r="Z782" s="251"/>
      <c r="AA782" s="251"/>
    </row>
    <row r="783" ht="14.25" customHeight="1">
      <c r="A783" s="251"/>
      <c r="B783" s="263"/>
      <c r="C783" s="263"/>
      <c r="D783" s="251"/>
      <c r="E783" s="500"/>
      <c r="F783" s="500"/>
      <c r="G783" s="500"/>
      <c r="H783" s="500"/>
      <c r="I783" s="513"/>
      <c r="J783" s="263"/>
      <c r="K783" s="263"/>
      <c r="L783" s="251"/>
      <c r="M783" s="251"/>
      <c r="N783" s="251"/>
      <c r="O783" s="251"/>
      <c r="P783" s="251"/>
      <c r="Q783" s="251"/>
      <c r="R783" s="251"/>
      <c r="S783" s="251"/>
      <c r="T783" s="251"/>
      <c r="U783" s="251"/>
      <c r="V783" s="251"/>
      <c r="W783" s="251"/>
      <c r="X783" s="251"/>
      <c r="Y783" s="251"/>
      <c r="Z783" s="251"/>
      <c r="AA783" s="251"/>
    </row>
    <row r="784" ht="14.25" customHeight="1">
      <c r="A784" s="251"/>
      <c r="B784" s="263"/>
      <c r="C784" s="263"/>
      <c r="D784" s="251"/>
      <c r="E784" s="500"/>
      <c r="F784" s="500"/>
      <c r="G784" s="500"/>
      <c r="H784" s="500"/>
      <c r="I784" s="513"/>
      <c r="J784" s="263"/>
      <c r="K784" s="263"/>
      <c r="L784" s="251"/>
      <c r="M784" s="251"/>
      <c r="N784" s="251"/>
      <c r="O784" s="251"/>
      <c r="P784" s="251"/>
      <c r="Q784" s="251"/>
      <c r="R784" s="251"/>
      <c r="S784" s="251"/>
      <c r="T784" s="251"/>
      <c r="U784" s="251"/>
      <c r="V784" s="251"/>
      <c r="W784" s="251"/>
      <c r="X784" s="251"/>
      <c r="Y784" s="251"/>
      <c r="Z784" s="251"/>
      <c r="AA784" s="251"/>
    </row>
    <row r="785" ht="14.25" customHeight="1">
      <c r="A785" s="251"/>
      <c r="B785" s="263"/>
      <c r="C785" s="263"/>
      <c r="D785" s="251"/>
      <c r="E785" s="500"/>
      <c r="F785" s="500"/>
      <c r="G785" s="500"/>
      <c r="H785" s="500"/>
      <c r="I785" s="513"/>
      <c r="J785" s="263"/>
      <c r="K785" s="263"/>
      <c r="L785" s="251"/>
      <c r="M785" s="251"/>
      <c r="N785" s="251"/>
      <c r="O785" s="251"/>
      <c r="P785" s="251"/>
      <c r="Q785" s="251"/>
      <c r="R785" s="251"/>
      <c r="S785" s="251"/>
      <c r="T785" s="251"/>
      <c r="U785" s="251"/>
      <c r="V785" s="251"/>
      <c r="W785" s="251"/>
      <c r="X785" s="251"/>
      <c r="Y785" s="251"/>
      <c r="Z785" s="251"/>
      <c r="AA785" s="251"/>
    </row>
    <row r="786" ht="14.25" customHeight="1">
      <c r="A786" s="251"/>
      <c r="B786" s="263"/>
      <c r="C786" s="263"/>
      <c r="D786" s="251"/>
      <c r="E786" s="500"/>
      <c r="F786" s="500"/>
      <c r="G786" s="500"/>
      <c r="H786" s="500"/>
      <c r="I786" s="513"/>
      <c r="J786" s="263"/>
      <c r="K786" s="263"/>
      <c r="L786" s="251"/>
      <c r="M786" s="251"/>
      <c r="N786" s="251"/>
      <c r="O786" s="251"/>
      <c r="P786" s="251"/>
      <c r="Q786" s="251"/>
      <c r="R786" s="251"/>
      <c r="S786" s="251"/>
      <c r="T786" s="251"/>
      <c r="U786" s="251"/>
      <c r="V786" s="251"/>
      <c r="W786" s="251"/>
      <c r="X786" s="251"/>
      <c r="Y786" s="251"/>
      <c r="Z786" s="251"/>
      <c r="AA786" s="251"/>
    </row>
    <row r="787" ht="14.25" customHeight="1">
      <c r="A787" s="251"/>
      <c r="B787" s="263"/>
      <c r="C787" s="263"/>
      <c r="D787" s="251"/>
      <c r="E787" s="500"/>
      <c r="F787" s="500"/>
      <c r="G787" s="500"/>
      <c r="H787" s="500"/>
      <c r="I787" s="513"/>
      <c r="J787" s="263"/>
      <c r="K787" s="263"/>
      <c r="L787" s="251"/>
      <c r="M787" s="251"/>
      <c r="N787" s="251"/>
      <c r="O787" s="251"/>
      <c r="P787" s="251"/>
      <c r="Q787" s="251"/>
      <c r="R787" s="251"/>
      <c r="S787" s="251"/>
      <c r="T787" s="251"/>
      <c r="U787" s="251"/>
      <c r="V787" s="251"/>
      <c r="W787" s="251"/>
      <c r="X787" s="251"/>
      <c r="Y787" s="251"/>
      <c r="Z787" s="251"/>
      <c r="AA787" s="251"/>
    </row>
    <row r="788" ht="14.25" customHeight="1">
      <c r="A788" s="251"/>
      <c r="B788" s="263"/>
      <c r="C788" s="263"/>
      <c r="D788" s="251"/>
      <c r="E788" s="500"/>
      <c r="F788" s="500"/>
      <c r="G788" s="500"/>
      <c r="H788" s="500"/>
      <c r="I788" s="513"/>
      <c r="J788" s="263"/>
      <c r="K788" s="263"/>
      <c r="L788" s="251"/>
      <c r="M788" s="251"/>
      <c r="N788" s="251"/>
      <c r="O788" s="251"/>
      <c r="P788" s="251"/>
      <c r="Q788" s="251"/>
      <c r="R788" s="251"/>
      <c r="S788" s="251"/>
      <c r="T788" s="251"/>
      <c r="U788" s="251"/>
      <c r="V788" s="251"/>
      <c r="W788" s="251"/>
      <c r="X788" s="251"/>
      <c r="Y788" s="251"/>
      <c r="Z788" s="251"/>
      <c r="AA788" s="251"/>
    </row>
    <row r="789" ht="14.25" customHeight="1">
      <c r="A789" s="251"/>
      <c r="B789" s="263"/>
      <c r="C789" s="263"/>
      <c r="D789" s="251"/>
      <c r="E789" s="500"/>
      <c r="F789" s="500"/>
      <c r="G789" s="500"/>
      <c r="H789" s="500"/>
      <c r="I789" s="513"/>
      <c r="J789" s="263"/>
      <c r="K789" s="263"/>
      <c r="L789" s="251"/>
      <c r="M789" s="251"/>
      <c r="N789" s="251"/>
      <c r="O789" s="251"/>
      <c r="P789" s="251"/>
      <c r="Q789" s="251"/>
      <c r="R789" s="251"/>
      <c r="S789" s="251"/>
      <c r="T789" s="251"/>
      <c r="U789" s="251"/>
      <c r="V789" s="251"/>
      <c r="W789" s="251"/>
      <c r="X789" s="251"/>
      <c r="Y789" s="251"/>
      <c r="Z789" s="251"/>
      <c r="AA789" s="251"/>
    </row>
    <row r="790" ht="14.25" customHeight="1">
      <c r="A790" s="251"/>
      <c r="B790" s="263"/>
      <c r="C790" s="263"/>
      <c r="D790" s="251"/>
      <c r="E790" s="500"/>
      <c r="F790" s="500"/>
      <c r="G790" s="500"/>
      <c r="H790" s="500"/>
      <c r="I790" s="513"/>
      <c r="J790" s="263"/>
      <c r="K790" s="263"/>
      <c r="L790" s="251"/>
      <c r="M790" s="251"/>
      <c r="N790" s="251"/>
      <c r="O790" s="251"/>
      <c r="P790" s="251"/>
      <c r="Q790" s="251"/>
      <c r="R790" s="251"/>
      <c r="S790" s="251"/>
      <c r="T790" s="251"/>
      <c r="U790" s="251"/>
      <c r="V790" s="251"/>
      <c r="W790" s="251"/>
      <c r="X790" s="251"/>
      <c r="Y790" s="251"/>
      <c r="Z790" s="251"/>
      <c r="AA790" s="251"/>
    </row>
    <row r="791" ht="14.25" customHeight="1">
      <c r="A791" s="251"/>
      <c r="B791" s="263"/>
      <c r="C791" s="263"/>
      <c r="D791" s="251"/>
      <c r="E791" s="500"/>
      <c r="F791" s="500"/>
      <c r="G791" s="500"/>
      <c r="H791" s="500"/>
      <c r="I791" s="513"/>
      <c r="J791" s="263"/>
      <c r="K791" s="263"/>
      <c r="L791" s="251"/>
      <c r="M791" s="251"/>
      <c r="N791" s="251"/>
      <c r="O791" s="251"/>
      <c r="P791" s="251"/>
      <c r="Q791" s="251"/>
      <c r="R791" s="251"/>
      <c r="S791" s="251"/>
      <c r="T791" s="251"/>
      <c r="U791" s="251"/>
      <c r="V791" s="251"/>
      <c r="W791" s="251"/>
      <c r="X791" s="251"/>
      <c r="Y791" s="251"/>
      <c r="Z791" s="251"/>
      <c r="AA791" s="251"/>
    </row>
    <row r="792" ht="14.25" customHeight="1">
      <c r="A792" s="251"/>
      <c r="B792" s="263"/>
      <c r="C792" s="263"/>
      <c r="D792" s="251"/>
      <c r="E792" s="500"/>
      <c r="F792" s="500"/>
      <c r="G792" s="500"/>
      <c r="H792" s="500"/>
      <c r="I792" s="513"/>
      <c r="J792" s="263"/>
      <c r="K792" s="263"/>
      <c r="L792" s="251"/>
      <c r="M792" s="251"/>
      <c r="N792" s="251"/>
      <c r="O792" s="251"/>
      <c r="P792" s="251"/>
      <c r="Q792" s="251"/>
      <c r="R792" s="251"/>
      <c r="S792" s="251"/>
      <c r="T792" s="251"/>
      <c r="U792" s="251"/>
      <c r="V792" s="251"/>
      <c r="W792" s="251"/>
      <c r="X792" s="251"/>
      <c r="Y792" s="251"/>
      <c r="Z792" s="251"/>
      <c r="AA792" s="251"/>
    </row>
    <row r="793" ht="14.25" customHeight="1">
      <c r="A793" s="251"/>
      <c r="B793" s="263"/>
      <c r="C793" s="263"/>
      <c r="D793" s="251"/>
      <c r="E793" s="500"/>
      <c r="F793" s="500"/>
      <c r="G793" s="500"/>
      <c r="H793" s="500"/>
      <c r="I793" s="513"/>
      <c r="J793" s="263"/>
      <c r="K793" s="263"/>
      <c r="L793" s="251"/>
      <c r="M793" s="251"/>
      <c r="N793" s="251"/>
      <c r="O793" s="251"/>
      <c r="P793" s="251"/>
      <c r="Q793" s="251"/>
      <c r="R793" s="251"/>
      <c r="S793" s="251"/>
      <c r="T793" s="251"/>
      <c r="U793" s="251"/>
      <c r="V793" s="251"/>
      <c r="W793" s="251"/>
      <c r="X793" s="251"/>
      <c r="Y793" s="251"/>
      <c r="Z793" s="251"/>
      <c r="AA793" s="251"/>
    </row>
    <row r="794" ht="14.25" customHeight="1">
      <c r="A794" s="251"/>
      <c r="B794" s="263"/>
      <c r="C794" s="263"/>
      <c r="D794" s="251"/>
      <c r="E794" s="500"/>
      <c r="F794" s="500"/>
      <c r="G794" s="500"/>
      <c r="H794" s="500"/>
      <c r="I794" s="513"/>
      <c r="J794" s="263"/>
      <c r="K794" s="263"/>
      <c r="L794" s="251"/>
      <c r="M794" s="251"/>
      <c r="N794" s="251"/>
      <c r="O794" s="251"/>
      <c r="P794" s="251"/>
      <c r="Q794" s="251"/>
      <c r="R794" s="251"/>
      <c r="S794" s="251"/>
      <c r="T794" s="251"/>
      <c r="U794" s="251"/>
      <c r="V794" s="251"/>
      <c r="W794" s="251"/>
      <c r="X794" s="251"/>
      <c r="Y794" s="251"/>
      <c r="Z794" s="251"/>
      <c r="AA794" s="251"/>
    </row>
    <row r="795" ht="14.25" customHeight="1">
      <c r="A795" s="251"/>
      <c r="B795" s="263"/>
      <c r="C795" s="263"/>
      <c r="D795" s="251"/>
      <c r="E795" s="500"/>
      <c r="F795" s="500"/>
      <c r="G795" s="500"/>
      <c r="H795" s="500"/>
      <c r="I795" s="513"/>
      <c r="J795" s="263"/>
      <c r="K795" s="263"/>
      <c r="L795" s="251"/>
      <c r="M795" s="251"/>
      <c r="N795" s="251"/>
      <c r="O795" s="251"/>
      <c r="P795" s="251"/>
      <c r="Q795" s="251"/>
      <c r="R795" s="251"/>
      <c r="S795" s="251"/>
      <c r="T795" s="251"/>
      <c r="U795" s="251"/>
      <c r="V795" s="251"/>
      <c r="W795" s="251"/>
      <c r="X795" s="251"/>
      <c r="Y795" s="251"/>
      <c r="Z795" s="251"/>
      <c r="AA795" s="251"/>
    </row>
    <row r="796" ht="14.25" customHeight="1">
      <c r="A796" s="251"/>
      <c r="B796" s="263"/>
      <c r="C796" s="263"/>
      <c r="D796" s="251"/>
      <c r="E796" s="500"/>
      <c r="F796" s="500"/>
      <c r="G796" s="500"/>
      <c r="H796" s="500"/>
      <c r="I796" s="513"/>
      <c r="J796" s="263"/>
      <c r="K796" s="263"/>
      <c r="L796" s="251"/>
      <c r="M796" s="251"/>
      <c r="N796" s="251"/>
      <c r="O796" s="251"/>
      <c r="P796" s="251"/>
      <c r="Q796" s="251"/>
      <c r="R796" s="251"/>
      <c r="S796" s="251"/>
      <c r="T796" s="251"/>
      <c r="U796" s="251"/>
      <c r="V796" s="251"/>
      <c r="W796" s="251"/>
      <c r="X796" s="251"/>
      <c r="Y796" s="251"/>
      <c r="Z796" s="251"/>
      <c r="AA796" s="251"/>
    </row>
    <row r="797" ht="14.25" customHeight="1">
      <c r="A797" s="251"/>
      <c r="B797" s="263"/>
      <c r="C797" s="263"/>
      <c r="D797" s="251"/>
      <c r="E797" s="500"/>
      <c r="F797" s="500"/>
      <c r="G797" s="500"/>
      <c r="H797" s="500"/>
      <c r="I797" s="513"/>
      <c r="J797" s="263"/>
      <c r="K797" s="263"/>
      <c r="L797" s="251"/>
      <c r="M797" s="251"/>
      <c r="N797" s="251"/>
      <c r="O797" s="251"/>
      <c r="P797" s="251"/>
      <c r="Q797" s="251"/>
      <c r="R797" s="251"/>
      <c r="S797" s="251"/>
      <c r="T797" s="251"/>
      <c r="U797" s="251"/>
      <c r="V797" s="251"/>
      <c r="W797" s="251"/>
      <c r="X797" s="251"/>
      <c r="Y797" s="251"/>
      <c r="Z797" s="251"/>
      <c r="AA797" s="251"/>
    </row>
    <row r="798" ht="14.25" customHeight="1">
      <c r="A798" s="251"/>
      <c r="B798" s="263"/>
      <c r="C798" s="263"/>
      <c r="D798" s="251"/>
      <c r="E798" s="500"/>
      <c r="F798" s="500"/>
      <c r="G798" s="500"/>
      <c r="H798" s="500"/>
      <c r="I798" s="513"/>
      <c r="J798" s="263"/>
      <c r="K798" s="263"/>
      <c r="L798" s="251"/>
      <c r="M798" s="251"/>
      <c r="N798" s="251"/>
      <c r="O798" s="251"/>
      <c r="P798" s="251"/>
      <c r="Q798" s="251"/>
      <c r="R798" s="251"/>
      <c r="S798" s="251"/>
      <c r="T798" s="251"/>
      <c r="U798" s="251"/>
      <c r="V798" s="251"/>
      <c r="W798" s="251"/>
      <c r="X798" s="251"/>
      <c r="Y798" s="251"/>
      <c r="Z798" s="251"/>
      <c r="AA798" s="251"/>
    </row>
    <row r="799" ht="14.25" customHeight="1">
      <c r="A799" s="251"/>
      <c r="B799" s="263"/>
      <c r="C799" s="263"/>
      <c r="D799" s="251"/>
      <c r="E799" s="500"/>
      <c r="F799" s="500"/>
      <c r="G799" s="500"/>
      <c r="H799" s="500"/>
      <c r="I799" s="513"/>
      <c r="J799" s="263"/>
      <c r="K799" s="263"/>
      <c r="L799" s="251"/>
      <c r="M799" s="251"/>
      <c r="N799" s="251"/>
      <c r="O799" s="251"/>
      <c r="P799" s="251"/>
      <c r="Q799" s="251"/>
      <c r="R799" s="251"/>
      <c r="S799" s="251"/>
      <c r="T799" s="251"/>
      <c r="U799" s="251"/>
      <c r="V799" s="251"/>
      <c r="W799" s="251"/>
      <c r="X799" s="251"/>
      <c r="Y799" s="251"/>
      <c r="Z799" s="251"/>
      <c r="AA799" s="251"/>
    </row>
    <row r="800" ht="14.25" customHeight="1">
      <c r="A800" s="251"/>
      <c r="B800" s="263"/>
      <c r="C800" s="263"/>
      <c r="D800" s="251"/>
      <c r="E800" s="500"/>
      <c r="F800" s="500"/>
      <c r="G800" s="500"/>
      <c r="H800" s="500"/>
      <c r="I800" s="513"/>
      <c r="J800" s="263"/>
      <c r="K800" s="263"/>
      <c r="L800" s="251"/>
      <c r="M800" s="251"/>
      <c r="N800" s="251"/>
      <c r="O800" s="251"/>
      <c r="P800" s="251"/>
      <c r="Q800" s="251"/>
      <c r="R800" s="251"/>
      <c r="S800" s="251"/>
      <c r="T800" s="251"/>
      <c r="U800" s="251"/>
      <c r="V800" s="251"/>
      <c r="W800" s="251"/>
      <c r="X800" s="251"/>
      <c r="Y800" s="251"/>
      <c r="Z800" s="251"/>
      <c r="AA800" s="251"/>
    </row>
    <row r="801" ht="14.25" customHeight="1">
      <c r="A801" s="251"/>
      <c r="B801" s="263"/>
      <c r="C801" s="263"/>
      <c r="D801" s="251"/>
      <c r="E801" s="500"/>
      <c r="F801" s="500"/>
      <c r="G801" s="500"/>
      <c r="H801" s="500"/>
      <c r="I801" s="513"/>
      <c r="J801" s="263"/>
      <c r="K801" s="263"/>
      <c r="L801" s="251"/>
      <c r="M801" s="251"/>
      <c r="N801" s="251"/>
      <c r="O801" s="251"/>
      <c r="P801" s="251"/>
      <c r="Q801" s="251"/>
      <c r="R801" s="251"/>
      <c r="S801" s="251"/>
      <c r="T801" s="251"/>
      <c r="U801" s="251"/>
      <c r="V801" s="251"/>
      <c r="W801" s="251"/>
      <c r="X801" s="251"/>
      <c r="Y801" s="251"/>
      <c r="Z801" s="251"/>
      <c r="AA801" s="251"/>
    </row>
    <row r="802" ht="14.25" customHeight="1">
      <c r="A802" s="251"/>
      <c r="B802" s="263"/>
      <c r="C802" s="263"/>
      <c r="D802" s="251"/>
      <c r="E802" s="500"/>
      <c r="F802" s="500"/>
      <c r="G802" s="500"/>
      <c r="H802" s="500"/>
      <c r="I802" s="513"/>
      <c r="J802" s="263"/>
      <c r="K802" s="263"/>
      <c r="L802" s="251"/>
      <c r="M802" s="251"/>
      <c r="N802" s="251"/>
      <c r="O802" s="251"/>
      <c r="P802" s="251"/>
      <c r="Q802" s="251"/>
      <c r="R802" s="251"/>
      <c r="S802" s="251"/>
      <c r="T802" s="251"/>
      <c r="U802" s="251"/>
      <c r="V802" s="251"/>
      <c r="W802" s="251"/>
      <c r="X802" s="251"/>
      <c r="Y802" s="251"/>
      <c r="Z802" s="251"/>
      <c r="AA802" s="251"/>
    </row>
    <row r="803" ht="14.25" customHeight="1">
      <c r="A803" s="251"/>
      <c r="B803" s="263"/>
      <c r="C803" s="263"/>
      <c r="D803" s="251"/>
      <c r="E803" s="500"/>
      <c r="F803" s="500"/>
      <c r="G803" s="500"/>
      <c r="H803" s="500"/>
      <c r="I803" s="513"/>
      <c r="J803" s="263"/>
      <c r="K803" s="263"/>
      <c r="L803" s="251"/>
      <c r="M803" s="251"/>
      <c r="N803" s="251"/>
      <c r="O803" s="251"/>
      <c r="P803" s="251"/>
      <c r="Q803" s="251"/>
      <c r="R803" s="251"/>
      <c r="S803" s="251"/>
      <c r="T803" s="251"/>
      <c r="U803" s="251"/>
      <c r="V803" s="251"/>
      <c r="W803" s="251"/>
      <c r="X803" s="251"/>
      <c r="Y803" s="251"/>
      <c r="Z803" s="251"/>
      <c r="AA803" s="251"/>
    </row>
    <row r="804" ht="14.25" customHeight="1">
      <c r="A804" s="251"/>
      <c r="B804" s="263"/>
      <c r="C804" s="263"/>
      <c r="D804" s="251"/>
      <c r="E804" s="500"/>
      <c r="F804" s="500"/>
      <c r="G804" s="500"/>
      <c r="H804" s="500"/>
      <c r="I804" s="513"/>
      <c r="J804" s="263"/>
      <c r="K804" s="263"/>
      <c r="L804" s="251"/>
      <c r="M804" s="251"/>
      <c r="N804" s="251"/>
      <c r="O804" s="251"/>
      <c r="P804" s="251"/>
      <c r="Q804" s="251"/>
      <c r="R804" s="251"/>
      <c r="S804" s="251"/>
      <c r="T804" s="251"/>
      <c r="U804" s="251"/>
      <c r="V804" s="251"/>
      <c r="W804" s="251"/>
      <c r="X804" s="251"/>
      <c r="Y804" s="251"/>
      <c r="Z804" s="251"/>
      <c r="AA804" s="251"/>
    </row>
    <row r="805" ht="14.25" customHeight="1">
      <c r="A805" s="251"/>
      <c r="B805" s="263"/>
      <c r="C805" s="263"/>
      <c r="D805" s="251"/>
      <c r="E805" s="500"/>
      <c r="F805" s="500"/>
      <c r="G805" s="500"/>
      <c r="H805" s="500"/>
      <c r="I805" s="513"/>
      <c r="J805" s="263"/>
      <c r="K805" s="263"/>
      <c r="L805" s="251"/>
      <c r="M805" s="251"/>
      <c r="N805" s="251"/>
      <c r="O805" s="251"/>
      <c r="P805" s="251"/>
      <c r="Q805" s="251"/>
      <c r="R805" s="251"/>
      <c r="S805" s="251"/>
      <c r="T805" s="251"/>
      <c r="U805" s="251"/>
      <c r="V805" s="251"/>
      <c r="W805" s="251"/>
      <c r="X805" s="251"/>
      <c r="Y805" s="251"/>
      <c r="Z805" s="251"/>
      <c r="AA805" s="251"/>
    </row>
    <row r="806" ht="14.25" customHeight="1">
      <c r="A806" s="251"/>
      <c r="B806" s="263"/>
      <c r="C806" s="263"/>
      <c r="D806" s="251"/>
      <c r="E806" s="500"/>
      <c r="F806" s="500"/>
      <c r="G806" s="500"/>
      <c r="H806" s="500"/>
      <c r="I806" s="513"/>
      <c r="J806" s="263"/>
      <c r="K806" s="263"/>
      <c r="L806" s="251"/>
      <c r="M806" s="251"/>
      <c r="N806" s="251"/>
      <c r="O806" s="251"/>
      <c r="P806" s="251"/>
      <c r="Q806" s="251"/>
      <c r="R806" s="251"/>
      <c r="S806" s="251"/>
      <c r="T806" s="251"/>
      <c r="U806" s="251"/>
      <c r="V806" s="251"/>
      <c r="W806" s="251"/>
      <c r="X806" s="251"/>
      <c r="Y806" s="251"/>
      <c r="Z806" s="251"/>
      <c r="AA806" s="251"/>
    </row>
    <row r="807" ht="14.25" customHeight="1">
      <c r="A807" s="251"/>
      <c r="B807" s="263"/>
      <c r="C807" s="263"/>
      <c r="D807" s="251"/>
      <c r="E807" s="500"/>
      <c r="F807" s="500"/>
      <c r="G807" s="500"/>
      <c r="H807" s="500"/>
      <c r="I807" s="513"/>
      <c r="J807" s="263"/>
      <c r="K807" s="263"/>
      <c r="L807" s="251"/>
      <c r="M807" s="251"/>
      <c r="N807" s="251"/>
      <c r="O807" s="251"/>
      <c r="P807" s="251"/>
      <c r="Q807" s="251"/>
      <c r="R807" s="251"/>
      <c r="S807" s="251"/>
      <c r="T807" s="251"/>
      <c r="U807" s="251"/>
      <c r="V807" s="251"/>
      <c r="W807" s="251"/>
      <c r="X807" s="251"/>
      <c r="Y807" s="251"/>
      <c r="Z807" s="251"/>
      <c r="AA807" s="251"/>
    </row>
    <row r="808" ht="14.25" customHeight="1">
      <c r="A808" s="251"/>
      <c r="B808" s="263"/>
      <c r="C808" s="263"/>
      <c r="D808" s="251"/>
      <c r="E808" s="500"/>
      <c r="F808" s="500"/>
      <c r="G808" s="500"/>
      <c r="H808" s="500"/>
      <c r="I808" s="513"/>
      <c r="J808" s="263"/>
      <c r="K808" s="263"/>
      <c r="L808" s="251"/>
      <c r="M808" s="251"/>
      <c r="N808" s="251"/>
      <c r="O808" s="251"/>
      <c r="P808" s="251"/>
      <c r="Q808" s="251"/>
      <c r="R808" s="251"/>
      <c r="S808" s="251"/>
      <c r="T808" s="251"/>
      <c r="U808" s="251"/>
      <c r="V808" s="251"/>
      <c r="W808" s="251"/>
      <c r="X808" s="251"/>
      <c r="Y808" s="251"/>
      <c r="Z808" s="251"/>
      <c r="AA808" s="251"/>
    </row>
    <row r="809" ht="14.25" customHeight="1">
      <c r="A809" s="251"/>
      <c r="B809" s="263"/>
      <c r="C809" s="263"/>
      <c r="D809" s="251"/>
      <c r="E809" s="500"/>
      <c r="F809" s="500"/>
      <c r="G809" s="500"/>
      <c r="H809" s="500"/>
      <c r="I809" s="513"/>
      <c r="J809" s="263"/>
      <c r="K809" s="263"/>
      <c r="L809" s="251"/>
      <c r="M809" s="251"/>
      <c r="N809" s="251"/>
      <c r="O809" s="251"/>
      <c r="P809" s="251"/>
      <c r="Q809" s="251"/>
      <c r="R809" s="251"/>
      <c r="S809" s="251"/>
      <c r="T809" s="251"/>
      <c r="U809" s="251"/>
      <c r="V809" s="251"/>
      <c r="W809" s="251"/>
      <c r="X809" s="251"/>
      <c r="Y809" s="251"/>
      <c r="Z809" s="251"/>
      <c r="AA809" s="251"/>
    </row>
    <row r="810" ht="14.25" customHeight="1">
      <c r="A810" s="251"/>
      <c r="B810" s="263"/>
      <c r="C810" s="263"/>
      <c r="D810" s="251"/>
      <c r="E810" s="500"/>
      <c r="F810" s="500"/>
      <c r="G810" s="500"/>
      <c r="H810" s="500"/>
      <c r="I810" s="513"/>
      <c r="J810" s="263"/>
      <c r="K810" s="263"/>
      <c r="L810" s="251"/>
      <c r="M810" s="251"/>
      <c r="N810" s="251"/>
      <c r="O810" s="251"/>
      <c r="P810" s="251"/>
      <c r="Q810" s="251"/>
      <c r="R810" s="251"/>
      <c r="S810" s="251"/>
      <c r="T810" s="251"/>
      <c r="U810" s="251"/>
      <c r="V810" s="251"/>
      <c r="W810" s="251"/>
      <c r="X810" s="251"/>
      <c r="Y810" s="251"/>
      <c r="Z810" s="251"/>
      <c r="AA810" s="251"/>
    </row>
    <row r="811" ht="14.25" customHeight="1">
      <c r="A811" s="251"/>
      <c r="B811" s="263"/>
      <c r="C811" s="263"/>
      <c r="D811" s="251"/>
      <c r="E811" s="500"/>
      <c r="F811" s="500"/>
      <c r="G811" s="500"/>
      <c r="H811" s="500"/>
      <c r="I811" s="513"/>
      <c r="J811" s="263"/>
      <c r="K811" s="263"/>
      <c r="L811" s="251"/>
      <c r="M811" s="251"/>
      <c r="N811" s="251"/>
      <c r="O811" s="251"/>
      <c r="P811" s="251"/>
      <c r="Q811" s="251"/>
      <c r="R811" s="251"/>
      <c r="S811" s="251"/>
      <c r="T811" s="251"/>
      <c r="U811" s="251"/>
      <c r="V811" s="251"/>
      <c r="W811" s="251"/>
      <c r="X811" s="251"/>
      <c r="Y811" s="251"/>
      <c r="Z811" s="251"/>
      <c r="AA811" s="251"/>
    </row>
    <row r="812" ht="14.25" customHeight="1">
      <c r="A812" s="251"/>
      <c r="B812" s="263"/>
      <c r="C812" s="263"/>
      <c r="D812" s="251"/>
      <c r="E812" s="500"/>
      <c r="F812" s="500"/>
      <c r="G812" s="500"/>
      <c r="H812" s="500"/>
      <c r="I812" s="513"/>
      <c r="J812" s="263"/>
      <c r="K812" s="263"/>
      <c r="L812" s="251"/>
      <c r="M812" s="251"/>
      <c r="N812" s="251"/>
      <c r="O812" s="251"/>
      <c r="P812" s="251"/>
      <c r="Q812" s="251"/>
      <c r="R812" s="251"/>
      <c r="S812" s="251"/>
      <c r="T812" s="251"/>
      <c r="U812" s="251"/>
      <c r="V812" s="251"/>
      <c r="W812" s="251"/>
      <c r="X812" s="251"/>
      <c r="Y812" s="251"/>
      <c r="Z812" s="251"/>
      <c r="AA812" s="251"/>
    </row>
    <row r="813" ht="14.25" customHeight="1">
      <c r="A813" s="251"/>
      <c r="B813" s="263"/>
      <c r="C813" s="263"/>
      <c r="D813" s="251"/>
      <c r="E813" s="500"/>
      <c r="F813" s="500"/>
      <c r="G813" s="500"/>
      <c r="H813" s="500"/>
      <c r="I813" s="513"/>
      <c r="J813" s="263"/>
      <c r="K813" s="263"/>
      <c r="L813" s="251"/>
      <c r="M813" s="251"/>
      <c r="N813" s="251"/>
      <c r="O813" s="251"/>
      <c r="P813" s="251"/>
      <c r="Q813" s="251"/>
      <c r="R813" s="251"/>
      <c r="S813" s="251"/>
      <c r="T813" s="251"/>
      <c r="U813" s="251"/>
      <c r="V813" s="251"/>
      <c r="W813" s="251"/>
      <c r="X813" s="251"/>
      <c r="Y813" s="251"/>
      <c r="Z813" s="251"/>
      <c r="AA813" s="251"/>
    </row>
    <row r="814" ht="14.25" customHeight="1">
      <c r="A814" s="251"/>
      <c r="B814" s="263"/>
      <c r="C814" s="263"/>
      <c r="D814" s="251"/>
      <c r="E814" s="500"/>
      <c r="F814" s="500"/>
      <c r="G814" s="500"/>
      <c r="H814" s="500"/>
      <c r="I814" s="513"/>
      <c r="J814" s="263"/>
      <c r="K814" s="263"/>
      <c r="L814" s="251"/>
      <c r="M814" s="251"/>
      <c r="N814" s="251"/>
      <c r="O814" s="251"/>
      <c r="P814" s="251"/>
      <c r="Q814" s="251"/>
      <c r="R814" s="251"/>
      <c r="S814" s="251"/>
      <c r="T814" s="251"/>
      <c r="U814" s="251"/>
      <c r="V814" s="251"/>
      <c r="W814" s="251"/>
      <c r="X814" s="251"/>
      <c r="Y814" s="251"/>
      <c r="Z814" s="251"/>
      <c r="AA814" s="251"/>
    </row>
    <row r="815" ht="14.25" customHeight="1">
      <c r="A815" s="251"/>
      <c r="B815" s="263"/>
      <c r="C815" s="263"/>
      <c r="D815" s="251"/>
      <c r="E815" s="500"/>
      <c r="F815" s="500"/>
      <c r="G815" s="500"/>
      <c r="H815" s="500"/>
      <c r="I815" s="513"/>
      <c r="J815" s="263"/>
      <c r="K815" s="263"/>
      <c r="L815" s="251"/>
      <c r="M815" s="251"/>
      <c r="N815" s="251"/>
      <c r="O815" s="251"/>
      <c r="P815" s="251"/>
      <c r="Q815" s="251"/>
      <c r="R815" s="251"/>
      <c r="S815" s="251"/>
      <c r="T815" s="251"/>
      <c r="U815" s="251"/>
      <c r="V815" s="251"/>
      <c r="W815" s="251"/>
      <c r="X815" s="251"/>
      <c r="Y815" s="251"/>
      <c r="Z815" s="251"/>
      <c r="AA815" s="251"/>
    </row>
    <row r="816" ht="14.25" customHeight="1">
      <c r="A816" s="251"/>
      <c r="B816" s="263"/>
      <c r="C816" s="263"/>
      <c r="D816" s="251"/>
      <c r="E816" s="500"/>
      <c r="F816" s="500"/>
      <c r="G816" s="500"/>
      <c r="H816" s="500"/>
      <c r="I816" s="513"/>
      <c r="J816" s="263"/>
      <c r="K816" s="263"/>
      <c r="L816" s="251"/>
      <c r="M816" s="251"/>
      <c r="N816" s="251"/>
      <c r="O816" s="251"/>
      <c r="P816" s="251"/>
      <c r="Q816" s="251"/>
      <c r="R816" s="251"/>
      <c r="S816" s="251"/>
      <c r="T816" s="251"/>
      <c r="U816" s="251"/>
      <c r="V816" s="251"/>
      <c r="W816" s="251"/>
      <c r="X816" s="251"/>
      <c r="Y816" s="251"/>
      <c r="Z816" s="251"/>
      <c r="AA816" s="251"/>
    </row>
    <row r="817" ht="14.25" customHeight="1">
      <c r="A817" s="251"/>
      <c r="B817" s="263"/>
      <c r="C817" s="263"/>
      <c r="D817" s="251"/>
      <c r="E817" s="500"/>
      <c r="F817" s="500"/>
      <c r="G817" s="500"/>
      <c r="H817" s="500"/>
      <c r="I817" s="513"/>
      <c r="J817" s="263"/>
      <c r="K817" s="263"/>
      <c r="L817" s="251"/>
      <c r="M817" s="251"/>
      <c r="N817" s="251"/>
      <c r="O817" s="251"/>
      <c r="P817" s="251"/>
      <c r="Q817" s="251"/>
      <c r="R817" s="251"/>
      <c r="S817" s="251"/>
      <c r="T817" s="251"/>
      <c r="U817" s="251"/>
      <c r="V817" s="251"/>
      <c r="W817" s="251"/>
      <c r="X817" s="251"/>
      <c r="Y817" s="251"/>
      <c r="Z817" s="251"/>
      <c r="AA817" s="251"/>
    </row>
    <row r="818" ht="14.25" customHeight="1">
      <c r="A818" s="251"/>
      <c r="B818" s="263"/>
      <c r="C818" s="263"/>
      <c r="D818" s="251"/>
      <c r="E818" s="500"/>
      <c r="F818" s="500"/>
      <c r="G818" s="500"/>
      <c r="H818" s="500"/>
      <c r="I818" s="513"/>
      <c r="J818" s="263"/>
      <c r="K818" s="263"/>
      <c r="L818" s="251"/>
      <c r="M818" s="251"/>
      <c r="N818" s="251"/>
      <c r="O818" s="251"/>
      <c r="P818" s="251"/>
      <c r="Q818" s="251"/>
      <c r="R818" s="251"/>
      <c r="S818" s="251"/>
      <c r="T818" s="251"/>
      <c r="U818" s="251"/>
      <c r="V818" s="251"/>
      <c r="W818" s="251"/>
      <c r="X818" s="251"/>
      <c r="Y818" s="251"/>
      <c r="Z818" s="251"/>
      <c r="AA818" s="251"/>
    </row>
    <row r="819" ht="14.25" customHeight="1">
      <c r="A819" s="251"/>
      <c r="B819" s="263"/>
      <c r="C819" s="263"/>
      <c r="D819" s="251"/>
      <c r="E819" s="500"/>
      <c r="F819" s="500"/>
      <c r="G819" s="500"/>
      <c r="H819" s="500"/>
      <c r="I819" s="513"/>
      <c r="J819" s="263"/>
      <c r="K819" s="263"/>
      <c r="L819" s="251"/>
      <c r="M819" s="251"/>
      <c r="N819" s="251"/>
      <c r="O819" s="251"/>
      <c r="P819" s="251"/>
      <c r="Q819" s="251"/>
      <c r="R819" s="251"/>
      <c r="S819" s="251"/>
      <c r="T819" s="251"/>
      <c r="U819" s="251"/>
      <c r="V819" s="251"/>
      <c r="W819" s="251"/>
      <c r="X819" s="251"/>
      <c r="Y819" s="251"/>
      <c r="Z819" s="251"/>
      <c r="AA819" s="251"/>
    </row>
    <row r="820" ht="14.25" customHeight="1">
      <c r="A820" s="251"/>
      <c r="B820" s="263"/>
      <c r="C820" s="263"/>
      <c r="D820" s="251"/>
      <c r="E820" s="500"/>
      <c r="F820" s="500"/>
      <c r="G820" s="500"/>
      <c r="H820" s="500"/>
      <c r="I820" s="513"/>
      <c r="J820" s="263"/>
      <c r="K820" s="263"/>
      <c r="L820" s="251"/>
      <c r="M820" s="251"/>
      <c r="N820" s="251"/>
      <c r="O820" s="251"/>
      <c r="P820" s="251"/>
      <c r="Q820" s="251"/>
      <c r="R820" s="251"/>
      <c r="S820" s="251"/>
      <c r="T820" s="251"/>
      <c r="U820" s="251"/>
      <c r="V820" s="251"/>
      <c r="W820" s="251"/>
      <c r="X820" s="251"/>
      <c r="Y820" s="251"/>
      <c r="Z820" s="251"/>
      <c r="AA820" s="251"/>
    </row>
    <row r="821" ht="14.25" customHeight="1">
      <c r="A821" s="251"/>
      <c r="B821" s="263"/>
      <c r="C821" s="263"/>
      <c r="D821" s="251"/>
      <c r="E821" s="500"/>
      <c r="F821" s="500"/>
      <c r="G821" s="500"/>
      <c r="H821" s="500"/>
      <c r="I821" s="513"/>
      <c r="J821" s="263"/>
      <c r="K821" s="263"/>
      <c r="L821" s="251"/>
      <c r="M821" s="251"/>
      <c r="N821" s="251"/>
      <c r="O821" s="251"/>
      <c r="P821" s="251"/>
      <c r="Q821" s="251"/>
      <c r="R821" s="251"/>
      <c r="S821" s="251"/>
      <c r="T821" s="251"/>
      <c r="U821" s="251"/>
      <c r="V821" s="251"/>
      <c r="W821" s="251"/>
      <c r="X821" s="251"/>
      <c r="Y821" s="251"/>
      <c r="Z821" s="251"/>
      <c r="AA821" s="251"/>
    </row>
    <row r="822" ht="14.25" customHeight="1">
      <c r="A822" s="251"/>
      <c r="B822" s="263"/>
      <c r="C822" s="263"/>
      <c r="D822" s="251"/>
      <c r="E822" s="500"/>
      <c r="F822" s="500"/>
      <c r="G822" s="500"/>
      <c r="H822" s="500"/>
      <c r="I822" s="513"/>
      <c r="J822" s="263"/>
      <c r="K822" s="263"/>
      <c r="L822" s="251"/>
      <c r="M822" s="251"/>
      <c r="N822" s="251"/>
      <c r="O822" s="251"/>
      <c r="P822" s="251"/>
      <c r="Q822" s="251"/>
      <c r="R822" s="251"/>
      <c r="S822" s="251"/>
      <c r="T822" s="251"/>
      <c r="U822" s="251"/>
      <c r="V822" s="251"/>
      <c r="W822" s="251"/>
      <c r="X822" s="251"/>
      <c r="Y822" s="251"/>
      <c r="Z822" s="251"/>
      <c r="AA822" s="251"/>
    </row>
    <row r="823" ht="14.25" customHeight="1">
      <c r="A823" s="251"/>
      <c r="B823" s="263"/>
      <c r="C823" s="263"/>
      <c r="D823" s="251"/>
      <c r="E823" s="500"/>
      <c r="F823" s="500"/>
      <c r="G823" s="500"/>
      <c r="H823" s="500"/>
      <c r="I823" s="513"/>
      <c r="J823" s="263"/>
      <c r="K823" s="263"/>
      <c r="L823" s="251"/>
      <c r="M823" s="251"/>
      <c r="N823" s="251"/>
      <c r="O823" s="251"/>
      <c r="P823" s="251"/>
      <c r="Q823" s="251"/>
      <c r="R823" s="251"/>
      <c r="S823" s="251"/>
      <c r="T823" s="251"/>
      <c r="U823" s="251"/>
      <c r="V823" s="251"/>
      <c r="W823" s="251"/>
      <c r="X823" s="251"/>
      <c r="Y823" s="251"/>
      <c r="Z823" s="251"/>
      <c r="AA823" s="251"/>
    </row>
    <row r="824" ht="14.25" customHeight="1">
      <c r="A824" s="251"/>
      <c r="B824" s="263"/>
      <c r="C824" s="263"/>
      <c r="D824" s="251"/>
      <c r="E824" s="500"/>
      <c r="F824" s="500"/>
      <c r="G824" s="500"/>
      <c r="H824" s="500"/>
      <c r="I824" s="513"/>
      <c r="J824" s="263"/>
      <c r="K824" s="263"/>
      <c r="L824" s="251"/>
      <c r="M824" s="251"/>
      <c r="N824" s="251"/>
      <c r="O824" s="251"/>
      <c r="P824" s="251"/>
      <c r="Q824" s="251"/>
      <c r="R824" s="251"/>
      <c r="S824" s="251"/>
      <c r="T824" s="251"/>
      <c r="U824" s="251"/>
      <c r="V824" s="251"/>
      <c r="W824" s="251"/>
      <c r="X824" s="251"/>
      <c r="Y824" s="251"/>
      <c r="Z824" s="251"/>
      <c r="AA824" s="251"/>
    </row>
    <row r="825" ht="14.25" customHeight="1">
      <c r="A825" s="251"/>
      <c r="B825" s="263"/>
      <c r="C825" s="263"/>
      <c r="D825" s="251"/>
      <c r="E825" s="500"/>
      <c r="F825" s="500"/>
      <c r="G825" s="500"/>
      <c r="H825" s="500"/>
      <c r="I825" s="513"/>
      <c r="J825" s="263"/>
      <c r="K825" s="263"/>
      <c r="L825" s="251"/>
      <c r="M825" s="251"/>
      <c r="N825" s="251"/>
      <c r="O825" s="251"/>
      <c r="P825" s="251"/>
      <c r="Q825" s="251"/>
      <c r="R825" s="251"/>
      <c r="S825" s="251"/>
      <c r="T825" s="251"/>
      <c r="U825" s="251"/>
      <c r="V825" s="251"/>
      <c r="W825" s="251"/>
      <c r="X825" s="251"/>
      <c r="Y825" s="251"/>
      <c r="Z825" s="251"/>
      <c r="AA825" s="251"/>
    </row>
    <row r="826" ht="14.25" customHeight="1">
      <c r="A826" s="251"/>
      <c r="B826" s="263"/>
      <c r="C826" s="263"/>
      <c r="D826" s="251"/>
      <c r="E826" s="500"/>
      <c r="F826" s="500"/>
      <c r="G826" s="500"/>
      <c r="H826" s="500"/>
      <c r="I826" s="513"/>
      <c r="J826" s="263"/>
      <c r="K826" s="263"/>
      <c r="L826" s="251"/>
      <c r="M826" s="251"/>
      <c r="N826" s="251"/>
      <c r="O826" s="251"/>
      <c r="P826" s="251"/>
      <c r="Q826" s="251"/>
      <c r="R826" s="251"/>
      <c r="S826" s="251"/>
      <c r="T826" s="251"/>
      <c r="U826" s="251"/>
      <c r="V826" s="251"/>
      <c r="W826" s="251"/>
      <c r="X826" s="251"/>
      <c r="Y826" s="251"/>
      <c r="Z826" s="251"/>
      <c r="AA826" s="251"/>
    </row>
    <row r="827" ht="14.25" customHeight="1">
      <c r="A827" s="251"/>
      <c r="B827" s="263"/>
      <c r="C827" s="263"/>
      <c r="D827" s="251"/>
      <c r="E827" s="500"/>
      <c r="F827" s="500"/>
      <c r="G827" s="500"/>
      <c r="H827" s="500"/>
      <c r="I827" s="513"/>
      <c r="J827" s="263"/>
      <c r="K827" s="263"/>
      <c r="L827" s="251"/>
      <c r="M827" s="251"/>
      <c r="N827" s="251"/>
      <c r="O827" s="251"/>
      <c r="P827" s="251"/>
      <c r="Q827" s="251"/>
      <c r="R827" s="251"/>
      <c r="S827" s="251"/>
      <c r="T827" s="251"/>
      <c r="U827" s="251"/>
      <c r="V827" s="251"/>
      <c r="W827" s="251"/>
      <c r="X827" s="251"/>
      <c r="Y827" s="251"/>
      <c r="Z827" s="251"/>
      <c r="AA827" s="251"/>
    </row>
    <row r="828" ht="14.25" customHeight="1">
      <c r="A828" s="251"/>
      <c r="B828" s="263"/>
      <c r="C828" s="263"/>
      <c r="D828" s="251"/>
      <c r="E828" s="500"/>
      <c r="F828" s="500"/>
      <c r="G828" s="500"/>
      <c r="H828" s="500"/>
      <c r="I828" s="513"/>
      <c r="J828" s="263"/>
      <c r="K828" s="263"/>
      <c r="L828" s="251"/>
      <c r="M828" s="251"/>
      <c r="N828" s="251"/>
      <c r="O828" s="251"/>
      <c r="P828" s="251"/>
      <c r="Q828" s="251"/>
      <c r="R828" s="251"/>
      <c r="S828" s="251"/>
      <c r="T828" s="251"/>
      <c r="U828" s="251"/>
      <c r="V828" s="251"/>
      <c r="W828" s="251"/>
      <c r="X828" s="251"/>
      <c r="Y828" s="251"/>
      <c r="Z828" s="251"/>
      <c r="AA828" s="251"/>
    </row>
    <row r="829" ht="14.25" customHeight="1">
      <c r="A829" s="251"/>
      <c r="B829" s="263"/>
      <c r="C829" s="263"/>
      <c r="D829" s="251"/>
      <c r="E829" s="500"/>
      <c r="F829" s="500"/>
      <c r="G829" s="500"/>
      <c r="H829" s="500"/>
      <c r="I829" s="513"/>
      <c r="J829" s="263"/>
      <c r="K829" s="263"/>
      <c r="L829" s="251"/>
      <c r="M829" s="251"/>
      <c r="N829" s="251"/>
      <c r="O829" s="251"/>
      <c r="P829" s="251"/>
      <c r="Q829" s="251"/>
      <c r="R829" s="251"/>
      <c r="S829" s="251"/>
      <c r="T829" s="251"/>
      <c r="U829" s="251"/>
      <c r="V829" s="251"/>
      <c r="W829" s="251"/>
      <c r="X829" s="251"/>
      <c r="Y829" s="251"/>
      <c r="Z829" s="251"/>
      <c r="AA829" s="251"/>
    </row>
    <row r="830" ht="14.25" customHeight="1">
      <c r="A830" s="251"/>
      <c r="B830" s="263"/>
      <c r="C830" s="263"/>
      <c r="D830" s="251"/>
      <c r="E830" s="500"/>
      <c r="F830" s="500"/>
      <c r="G830" s="500"/>
      <c r="H830" s="500"/>
      <c r="I830" s="513"/>
      <c r="J830" s="263"/>
      <c r="K830" s="263"/>
      <c r="L830" s="251"/>
      <c r="M830" s="251"/>
      <c r="N830" s="251"/>
      <c r="O830" s="251"/>
      <c r="P830" s="251"/>
      <c r="Q830" s="251"/>
      <c r="R830" s="251"/>
      <c r="S830" s="251"/>
      <c r="T830" s="251"/>
      <c r="U830" s="251"/>
      <c r="V830" s="251"/>
      <c r="W830" s="251"/>
      <c r="X830" s="251"/>
      <c r="Y830" s="251"/>
      <c r="Z830" s="251"/>
      <c r="AA830" s="251"/>
    </row>
    <row r="831" ht="14.25" customHeight="1">
      <c r="A831" s="251"/>
      <c r="B831" s="263"/>
      <c r="C831" s="263"/>
      <c r="D831" s="251"/>
      <c r="E831" s="500"/>
      <c r="F831" s="500"/>
      <c r="G831" s="500"/>
      <c r="H831" s="500"/>
      <c r="I831" s="513"/>
      <c r="J831" s="263"/>
      <c r="K831" s="263"/>
      <c r="L831" s="251"/>
      <c r="M831" s="251"/>
      <c r="N831" s="251"/>
      <c r="O831" s="251"/>
      <c r="P831" s="251"/>
      <c r="Q831" s="251"/>
      <c r="R831" s="251"/>
      <c r="S831" s="251"/>
      <c r="T831" s="251"/>
      <c r="U831" s="251"/>
      <c r="V831" s="251"/>
      <c r="W831" s="251"/>
      <c r="X831" s="251"/>
      <c r="Y831" s="251"/>
      <c r="Z831" s="251"/>
      <c r="AA831" s="251"/>
    </row>
    <row r="832" ht="14.25" customHeight="1">
      <c r="A832" s="251"/>
      <c r="B832" s="263"/>
      <c r="C832" s="263"/>
      <c r="D832" s="251"/>
      <c r="E832" s="500"/>
      <c r="F832" s="500"/>
      <c r="G832" s="500"/>
      <c r="H832" s="500"/>
      <c r="I832" s="513"/>
      <c r="J832" s="263"/>
      <c r="K832" s="263"/>
      <c r="L832" s="251"/>
      <c r="M832" s="251"/>
      <c r="N832" s="251"/>
      <c r="O832" s="251"/>
      <c r="P832" s="251"/>
      <c r="Q832" s="251"/>
      <c r="R832" s="251"/>
      <c r="S832" s="251"/>
      <c r="T832" s="251"/>
      <c r="U832" s="251"/>
      <c r="V832" s="251"/>
      <c r="W832" s="251"/>
      <c r="X832" s="251"/>
      <c r="Y832" s="251"/>
      <c r="Z832" s="251"/>
      <c r="AA832" s="251"/>
    </row>
    <row r="833" ht="14.25" customHeight="1">
      <c r="A833" s="251"/>
      <c r="B833" s="263"/>
      <c r="C833" s="263"/>
      <c r="D833" s="251"/>
      <c r="E833" s="500"/>
      <c r="F833" s="500"/>
      <c r="G833" s="500"/>
      <c r="H833" s="500"/>
      <c r="I833" s="513"/>
      <c r="J833" s="263"/>
      <c r="K833" s="263"/>
      <c r="L833" s="251"/>
      <c r="M833" s="251"/>
      <c r="N833" s="251"/>
      <c r="O833" s="251"/>
      <c r="P833" s="251"/>
      <c r="Q833" s="251"/>
      <c r="R833" s="251"/>
      <c r="S833" s="251"/>
      <c r="T833" s="251"/>
      <c r="U833" s="251"/>
      <c r="V833" s="251"/>
      <c r="W833" s="251"/>
      <c r="X833" s="251"/>
      <c r="Y833" s="251"/>
      <c r="Z833" s="251"/>
      <c r="AA833" s="251"/>
    </row>
    <row r="834" ht="14.25" customHeight="1">
      <c r="A834" s="251"/>
      <c r="B834" s="263"/>
      <c r="C834" s="263"/>
      <c r="D834" s="251"/>
      <c r="E834" s="500"/>
      <c r="F834" s="500"/>
      <c r="G834" s="500"/>
      <c r="H834" s="500"/>
      <c r="I834" s="513"/>
      <c r="J834" s="263"/>
      <c r="K834" s="263"/>
      <c r="L834" s="251"/>
      <c r="M834" s="251"/>
      <c r="N834" s="251"/>
      <c r="O834" s="251"/>
      <c r="P834" s="251"/>
      <c r="Q834" s="251"/>
      <c r="R834" s="251"/>
      <c r="S834" s="251"/>
      <c r="T834" s="251"/>
      <c r="U834" s="251"/>
      <c r="V834" s="251"/>
      <c r="W834" s="251"/>
      <c r="X834" s="251"/>
      <c r="Y834" s="251"/>
      <c r="Z834" s="251"/>
      <c r="AA834" s="251"/>
    </row>
    <row r="835" ht="14.25" customHeight="1">
      <c r="A835" s="251"/>
      <c r="B835" s="263"/>
      <c r="C835" s="263"/>
      <c r="D835" s="251"/>
      <c r="E835" s="500"/>
      <c r="F835" s="500"/>
      <c r="G835" s="500"/>
      <c r="H835" s="500"/>
      <c r="I835" s="513"/>
      <c r="J835" s="263"/>
      <c r="K835" s="263"/>
      <c r="L835" s="251"/>
      <c r="M835" s="251"/>
      <c r="N835" s="251"/>
      <c r="O835" s="251"/>
      <c r="P835" s="251"/>
      <c r="Q835" s="251"/>
      <c r="R835" s="251"/>
      <c r="S835" s="251"/>
      <c r="T835" s="251"/>
      <c r="U835" s="251"/>
      <c r="V835" s="251"/>
      <c r="W835" s="251"/>
      <c r="X835" s="251"/>
      <c r="Y835" s="251"/>
      <c r="Z835" s="251"/>
      <c r="AA835" s="251"/>
    </row>
    <row r="836" ht="14.25" customHeight="1">
      <c r="A836" s="251"/>
      <c r="B836" s="263"/>
      <c r="C836" s="263"/>
      <c r="D836" s="251"/>
      <c r="E836" s="500"/>
      <c r="F836" s="500"/>
      <c r="G836" s="500"/>
      <c r="H836" s="500"/>
      <c r="I836" s="513"/>
      <c r="J836" s="263"/>
      <c r="K836" s="263"/>
      <c r="L836" s="251"/>
      <c r="M836" s="251"/>
      <c r="N836" s="251"/>
      <c r="O836" s="251"/>
      <c r="P836" s="251"/>
      <c r="Q836" s="251"/>
      <c r="R836" s="251"/>
      <c r="S836" s="251"/>
      <c r="T836" s="251"/>
      <c r="U836" s="251"/>
      <c r="V836" s="251"/>
      <c r="W836" s="251"/>
      <c r="X836" s="251"/>
      <c r="Y836" s="251"/>
      <c r="Z836" s="251"/>
      <c r="AA836" s="251"/>
    </row>
    <row r="837" ht="14.25" customHeight="1">
      <c r="A837" s="251"/>
      <c r="B837" s="263"/>
      <c r="C837" s="263"/>
      <c r="D837" s="251"/>
      <c r="E837" s="500"/>
      <c r="F837" s="500"/>
      <c r="G837" s="500"/>
      <c r="H837" s="500"/>
      <c r="I837" s="513"/>
      <c r="J837" s="263"/>
      <c r="K837" s="263"/>
      <c r="L837" s="251"/>
      <c r="M837" s="251"/>
      <c r="N837" s="251"/>
      <c r="O837" s="251"/>
      <c r="P837" s="251"/>
      <c r="Q837" s="251"/>
      <c r="R837" s="251"/>
      <c r="S837" s="251"/>
      <c r="T837" s="251"/>
      <c r="U837" s="251"/>
      <c r="V837" s="251"/>
      <c r="W837" s="251"/>
      <c r="X837" s="251"/>
      <c r="Y837" s="251"/>
      <c r="Z837" s="251"/>
      <c r="AA837" s="251"/>
    </row>
    <row r="838" ht="14.25" customHeight="1">
      <c r="A838" s="251"/>
      <c r="B838" s="263"/>
      <c r="C838" s="263"/>
      <c r="D838" s="251"/>
      <c r="E838" s="500"/>
      <c r="F838" s="500"/>
      <c r="G838" s="500"/>
      <c r="H838" s="500"/>
      <c r="I838" s="513"/>
      <c r="J838" s="263"/>
      <c r="K838" s="263"/>
      <c r="L838" s="251"/>
      <c r="M838" s="251"/>
      <c r="N838" s="251"/>
      <c r="O838" s="251"/>
      <c r="P838" s="251"/>
      <c r="Q838" s="251"/>
      <c r="R838" s="251"/>
      <c r="S838" s="251"/>
      <c r="T838" s="251"/>
      <c r="U838" s="251"/>
      <c r="V838" s="251"/>
      <c r="W838" s="251"/>
      <c r="X838" s="251"/>
      <c r="Y838" s="251"/>
      <c r="Z838" s="251"/>
      <c r="AA838" s="251"/>
    </row>
    <row r="839" ht="14.25" customHeight="1">
      <c r="A839" s="251"/>
      <c r="B839" s="263"/>
      <c r="C839" s="263"/>
      <c r="D839" s="251"/>
      <c r="E839" s="500"/>
      <c r="F839" s="500"/>
      <c r="G839" s="500"/>
      <c r="H839" s="500"/>
      <c r="I839" s="513"/>
      <c r="J839" s="263"/>
      <c r="K839" s="263"/>
      <c r="L839" s="251"/>
      <c r="M839" s="251"/>
      <c r="N839" s="251"/>
      <c r="O839" s="251"/>
      <c r="P839" s="251"/>
      <c r="Q839" s="251"/>
      <c r="R839" s="251"/>
      <c r="S839" s="251"/>
      <c r="T839" s="251"/>
      <c r="U839" s="251"/>
      <c r="V839" s="251"/>
      <c r="W839" s="251"/>
      <c r="X839" s="251"/>
      <c r="Y839" s="251"/>
      <c r="Z839" s="251"/>
      <c r="AA839" s="251"/>
    </row>
    <row r="840" ht="14.25" customHeight="1">
      <c r="A840" s="251"/>
      <c r="B840" s="263"/>
      <c r="C840" s="263"/>
      <c r="D840" s="251"/>
      <c r="E840" s="500"/>
      <c r="F840" s="500"/>
      <c r="G840" s="500"/>
      <c r="H840" s="500"/>
      <c r="I840" s="513"/>
      <c r="J840" s="263"/>
      <c r="K840" s="263"/>
      <c r="L840" s="251"/>
      <c r="M840" s="251"/>
      <c r="N840" s="251"/>
      <c r="O840" s="251"/>
      <c r="P840" s="251"/>
      <c r="Q840" s="251"/>
      <c r="R840" s="251"/>
      <c r="S840" s="251"/>
      <c r="T840" s="251"/>
      <c r="U840" s="251"/>
      <c r="V840" s="251"/>
      <c r="W840" s="251"/>
      <c r="X840" s="251"/>
      <c r="Y840" s="251"/>
      <c r="Z840" s="251"/>
      <c r="AA840" s="251"/>
    </row>
    <row r="841" ht="14.25" customHeight="1">
      <c r="A841" s="251"/>
      <c r="B841" s="263"/>
      <c r="C841" s="263"/>
      <c r="D841" s="251"/>
      <c r="E841" s="500"/>
      <c r="F841" s="500"/>
      <c r="G841" s="500"/>
      <c r="H841" s="500"/>
      <c r="I841" s="513"/>
      <c r="J841" s="263"/>
      <c r="K841" s="263"/>
      <c r="L841" s="251"/>
      <c r="M841" s="251"/>
      <c r="N841" s="251"/>
      <c r="O841" s="251"/>
      <c r="P841" s="251"/>
      <c r="Q841" s="251"/>
      <c r="R841" s="251"/>
      <c r="S841" s="251"/>
      <c r="T841" s="251"/>
      <c r="U841" s="251"/>
      <c r="V841" s="251"/>
      <c r="W841" s="251"/>
      <c r="X841" s="251"/>
      <c r="Y841" s="251"/>
      <c r="Z841" s="251"/>
      <c r="AA841" s="251"/>
    </row>
    <row r="842" ht="14.25" customHeight="1">
      <c r="A842" s="251"/>
      <c r="B842" s="263"/>
      <c r="C842" s="263"/>
      <c r="D842" s="251"/>
      <c r="E842" s="500"/>
      <c r="F842" s="500"/>
      <c r="G842" s="500"/>
      <c r="H842" s="500"/>
      <c r="I842" s="513"/>
      <c r="J842" s="263"/>
      <c r="K842" s="263"/>
      <c r="L842" s="251"/>
      <c r="M842" s="251"/>
      <c r="N842" s="251"/>
      <c r="O842" s="251"/>
      <c r="P842" s="251"/>
      <c r="Q842" s="251"/>
      <c r="R842" s="251"/>
      <c r="S842" s="251"/>
      <c r="T842" s="251"/>
      <c r="U842" s="251"/>
      <c r="V842" s="251"/>
      <c r="W842" s="251"/>
      <c r="X842" s="251"/>
      <c r="Y842" s="251"/>
      <c r="Z842" s="251"/>
      <c r="AA842" s="251"/>
    </row>
    <row r="843" ht="14.25" customHeight="1">
      <c r="A843" s="251"/>
      <c r="B843" s="263"/>
      <c r="C843" s="263"/>
      <c r="D843" s="251"/>
      <c r="E843" s="500"/>
      <c r="F843" s="500"/>
      <c r="G843" s="500"/>
      <c r="H843" s="500"/>
      <c r="I843" s="513"/>
      <c r="J843" s="263"/>
      <c r="K843" s="263"/>
      <c r="L843" s="251"/>
      <c r="M843" s="251"/>
      <c r="N843" s="251"/>
      <c r="O843" s="251"/>
      <c r="P843" s="251"/>
      <c r="Q843" s="251"/>
      <c r="R843" s="251"/>
      <c r="S843" s="251"/>
      <c r="T843" s="251"/>
      <c r="U843" s="251"/>
      <c r="V843" s="251"/>
      <c r="W843" s="251"/>
      <c r="X843" s="251"/>
      <c r="Y843" s="251"/>
      <c r="Z843" s="251"/>
      <c r="AA843" s="251"/>
    </row>
    <row r="844" ht="14.25" customHeight="1">
      <c r="A844" s="251"/>
      <c r="B844" s="263"/>
      <c r="C844" s="263"/>
      <c r="D844" s="251"/>
      <c r="E844" s="500"/>
      <c r="F844" s="500"/>
      <c r="G844" s="500"/>
      <c r="H844" s="500"/>
      <c r="I844" s="513"/>
      <c r="J844" s="263"/>
      <c r="K844" s="263"/>
      <c r="L844" s="251"/>
      <c r="M844" s="251"/>
      <c r="N844" s="251"/>
      <c r="O844" s="251"/>
      <c r="P844" s="251"/>
      <c r="Q844" s="251"/>
      <c r="R844" s="251"/>
      <c r="S844" s="251"/>
      <c r="T844" s="251"/>
      <c r="U844" s="251"/>
      <c r="V844" s="251"/>
      <c r="W844" s="251"/>
      <c r="X844" s="251"/>
      <c r="Y844" s="251"/>
      <c r="Z844" s="251"/>
      <c r="AA844" s="251"/>
    </row>
    <row r="845" ht="14.25" customHeight="1">
      <c r="A845" s="251"/>
      <c r="B845" s="263"/>
      <c r="C845" s="263"/>
      <c r="D845" s="251"/>
      <c r="E845" s="500"/>
      <c r="F845" s="500"/>
      <c r="G845" s="500"/>
      <c r="H845" s="500"/>
      <c r="I845" s="513"/>
      <c r="J845" s="263"/>
      <c r="K845" s="263"/>
      <c r="L845" s="251"/>
      <c r="M845" s="251"/>
      <c r="N845" s="251"/>
      <c r="O845" s="251"/>
      <c r="P845" s="251"/>
      <c r="Q845" s="251"/>
      <c r="R845" s="251"/>
      <c r="S845" s="251"/>
      <c r="T845" s="251"/>
      <c r="U845" s="251"/>
      <c r="V845" s="251"/>
      <c r="W845" s="251"/>
      <c r="X845" s="251"/>
      <c r="Y845" s="251"/>
      <c r="Z845" s="251"/>
      <c r="AA845" s="251"/>
    </row>
    <row r="846" ht="14.25" customHeight="1">
      <c r="A846" s="251"/>
      <c r="B846" s="263"/>
      <c r="C846" s="263"/>
      <c r="D846" s="251"/>
      <c r="E846" s="500"/>
      <c r="F846" s="500"/>
      <c r="G846" s="500"/>
      <c r="H846" s="500"/>
      <c r="I846" s="513"/>
      <c r="J846" s="263"/>
      <c r="K846" s="263"/>
      <c r="L846" s="251"/>
      <c r="M846" s="251"/>
      <c r="N846" s="251"/>
      <c r="O846" s="251"/>
      <c r="P846" s="251"/>
      <c r="Q846" s="251"/>
      <c r="R846" s="251"/>
      <c r="S846" s="251"/>
      <c r="T846" s="251"/>
      <c r="U846" s="251"/>
      <c r="V846" s="251"/>
      <c r="W846" s="251"/>
      <c r="X846" s="251"/>
      <c r="Y846" s="251"/>
      <c r="Z846" s="251"/>
      <c r="AA846" s="251"/>
    </row>
    <row r="847" ht="14.25" customHeight="1">
      <c r="A847" s="251"/>
      <c r="B847" s="263"/>
      <c r="C847" s="263"/>
      <c r="D847" s="251"/>
      <c r="E847" s="500"/>
      <c r="F847" s="500"/>
      <c r="G847" s="500"/>
      <c r="H847" s="500"/>
      <c r="I847" s="513"/>
      <c r="J847" s="263"/>
      <c r="K847" s="263"/>
      <c r="L847" s="251"/>
      <c r="M847" s="251"/>
      <c r="N847" s="251"/>
      <c r="O847" s="251"/>
      <c r="P847" s="251"/>
      <c r="Q847" s="251"/>
      <c r="R847" s="251"/>
      <c r="S847" s="251"/>
      <c r="T847" s="251"/>
      <c r="U847" s="251"/>
      <c r="V847" s="251"/>
      <c r="W847" s="251"/>
      <c r="X847" s="251"/>
      <c r="Y847" s="251"/>
      <c r="Z847" s="251"/>
      <c r="AA847" s="251"/>
    </row>
    <row r="848" ht="14.25" customHeight="1">
      <c r="A848" s="251"/>
      <c r="B848" s="263"/>
      <c r="C848" s="263"/>
      <c r="D848" s="251"/>
      <c r="E848" s="500"/>
      <c r="F848" s="500"/>
      <c r="G848" s="500"/>
      <c r="H848" s="500"/>
      <c r="I848" s="513"/>
      <c r="J848" s="263"/>
      <c r="K848" s="263"/>
      <c r="L848" s="251"/>
      <c r="M848" s="251"/>
      <c r="N848" s="251"/>
      <c r="O848" s="251"/>
      <c r="P848" s="251"/>
      <c r="Q848" s="251"/>
      <c r="R848" s="251"/>
      <c r="S848" s="251"/>
      <c r="T848" s="251"/>
      <c r="U848" s="251"/>
      <c r="V848" s="251"/>
      <c r="W848" s="251"/>
      <c r="X848" s="251"/>
      <c r="Y848" s="251"/>
      <c r="Z848" s="251"/>
      <c r="AA848" s="251"/>
    </row>
    <row r="849" ht="14.25" customHeight="1">
      <c r="A849" s="251"/>
      <c r="B849" s="263"/>
      <c r="C849" s="263"/>
      <c r="D849" s="251"/>
      <c r="E849" s="500"/>
      <c r="F849" s="500"/>
      <c r="G849" s="500"/>
      <c r="H849" s="500"/>
      <c r="I849" s="513"/>
      <c r="J849" s="263"/>
      <c r="K849" s="263"/>
      <c r="L849" s="251"/>
      <c r="M849" s="251"/>
      <c r="N849" s="251"/>
      <c r="O849" s="251"/>
      <c r="P849" s="251"/>
      <c r="Q849" s="251"/>
      <c r="R849" s="251"/>
      <c r="S849" s="251"/>
      <c r="T849" s="251"/>
      <c r="U849" s="251"/>
      <c r="V849" s="251"/>
      <c r="W849" s="251"/>
      <c r="X849" s="251"/>
      <c r="Y849" s="251"/>
      <c r="Z849" s="251"/>
      <c r="AA849" s="251"/>
    </row>
    <row r="850" ht="14.25" customHeight="1">
      <c r="A850" s="251"/>
      <c r="B850" s="263"/>
      <c r="C850" s="263"/>
      <c r="D850" s="251"/>
      <c r="E850" s="500"/>
      <c r="F850" s="500"/>
      <c r="G850" s="500"/>
      <c r="H850" s="500"/>
      <c r="I850" s="513"/>
      <c r="J850" s="263"/>
      <c r="K850" s="263"/>
      <c r="L850" s="251"/>
      <c r="M850" s="251"/>
      <c r="N850" s="251"/>
      <c r="O850" s="251"/>
      <c r="P850" s="251"/>
      <c r="Q850" s="251"/>
      <c r="R850" s="251"/>
      <c r="S850" s="251"/>
      <c r="T850" s="251"/>
      <c r="U850" s="251"/>
      <c r="V850" s="251"/>
      <c r="W850" s="251"/>
      <c r="X850" s="251"/>
      <c r="Y850" s="251"/>
      <c r="Z850" s="251"/>
      <c r="AA850" s="251"/>
    </row>
    <row r="851" ht="14.25" customHeight="1">
      <c r="A851" s="251"/>
      <c r="B851" s="263"/>
      <c r="C851" s="263"/>
      <c r="D851" s="251"/>
      <c r="E851" s="500"/>
      <c r="F851" s="500"/>
      <c r="G851" s="500"/>
      <c r="H851" s="500"/>
      <c r="I851" s="513"/>
      <c r="J851" s="263"/>
      <c r="K851" s="263"/>
      <c r="L851" s="251"/>
      <c r="M851" s="251"/>
      <c r="N851" s="251"/>
      <c r="O851" s="251"/>
      <c r="P851" s="251"/>
      <c r="Q851" s="251"/>
      <c r="R851" s="251"/>
      <c r="S851" s="251"/>
      <c r="T851" s="251"/>
      <c r="U851" s="251"/>
      <c r="V851" s="251"/>
      <c r="W851" s="251"/>
      <c r="X851" s="251"/>
      <c r="Y851" s="251"/>
      <c r="Z851" s="251"/>
      <c r="AA851" s="251"/>
    </row>
    <row r="852" ht="14.25" customHeight="1">
      <c r="A852" s="251"/>
      <c r="B852" s="263"/>
      <c r="C852" s="263"/>
      <c r="D852" s="251"/>
      <c r="E852" s="500"/>
      <c r="F852" s="500"/>
      <c r="G852" s="500"/>
      <c r="H852" s="500"/>
      <c r="I852" s="513"/>
      <c r="J852" s="263"/>
      <c r="K852" s="263"/>
      <c r="L852" s="251"/>
      <c r="M852" s="251"/>
      <c r="N852" s="251"/>
      <c r="O852" s="251"/>
      <c r="P852" s="251"/>
      <c r="Q852" s="251"/>
      <c r="R852" s="251"/>
      <c r="S852" s="251"/>
      <c r="T852" s="251"/>
      <c r="U852" s="251"/>
      <c r="V852" s="251"/>
      <c r="W852" s="251"/>
      <c r="X852" s="251"/>
      <c r="Y852" s="251"/>
      <c r="Z852" s="251"/>
      <c r="AA852" s="251"/>
    </row>
    <row r="853" ht="14.25" customHeight="1">
      <c r="A853" s="251"/>
      <c r="B853" s="263"/>
      <c r="C853" s="263"/>
      <c r="D853" s="251"/>
      <c r="E853" s="500"/>
      <c r="F853" s="500"/>
      <c r="G853" s="500"/>
      <c r="H853" s="500"/>
      <c r="I853" s="513"/>
      <c r="J853" s="263"/>
      <c r="K853" s="263"/>
      <c r="L853" s="251"/>
      <c r="M853" s="251"/>
      <c r="N853" s="251"/>
      <c r="O853" s="251"/>
      <c r="P853" s="251"/>
      <c r="Q853" s="251"/>
      <c r="R853" s="251"/>
      <c r="S853" s="251"/>
      <c r="T853" s="251"/>
      <c r="U853" s="251"/>
      <c r="V853" s="251"/>
      <c r="W853" s="251"/>
      <c r="X853" s="251"/>
      <c r="Y853" s="251"/>
      <c r="Z853" s="251"/>
      <c r="AA853" s="251"/>
    </row>
    <row r="854" ht="14.25" customHeight="1">
      <c r="A854" s="251"/>
      <c r="B854" s="263"/>
      <c r="C854" s="263"/>
      <c r="D854" s="251"/>
      <c r="E854" s="500"/>
      <c r="F854" s="500"/>
      <c r="G854" s="500"/>
      <c r="H854" s="500"/>
      <c r="I854" s="513"/>
      <c r="J854" s="263"/>
      <c r="K854" s="263"/>
      <c r="L854" s="251"/>
      <c r="M854" s="251"/>
      <c r="N854" s="251"/>
      <c r="O854" s="251"/>
      <c r="P854" s="251"/>
      <c r="Q854" s="251"/>
      <c r="R854" s="251"/>
      <c r="S854" s="251"/>
      <c r="T854" s="251"/>
      <c r="U854" s="251"/>
      <c r="V854" s="251"/>
      <c r="W854" s="251"/>
      <c r="X854" s="251"/>
      <c r="Y854" s="251"/>
      <c r="Z854" s="251"/>
      <c r="AA854" s="251"/>
    </row>
    <row r="855" ht="14.25" customHeight="1">
      <c r="A855" s="251"/>
      <c r="B855" s="263"/>
      <c r="C855" s="263"/>
      <c r="D855" s="251"/>
      <c r="E855" s="500"/>
      <c r="F855" s="500"/>
      <c r="G855" s="500"/>
      <c r="H855" s="500"/>
      <c r="I855" s="513"/>
      <c r="J855" s="263"/>
      <c r="K855" s="263"/>
      <c r="L855" s="251"/>
      <c r="M855" s="251"/>
      <c r="N855" s="251"/>
      <c r="O855" s="251"/>
      <c r="P855" s="251"/>
      <c r="Q855" s="251"/>
      <c r="R855" s="251"/>
      <c r="S855" s="251"/>
      <c r="T855" s="251"/>
      <c r="U855" s="251"/>
      <c r="V855" s="251"/>
      <c r="W855" s="251"/>
      <c r="X855" s="251"/>
      <c r="Y855" s="251"/>
      <c r="Z855" s="251"/>
      <c r="AA855" s="251"/>
    </row>
    <row r="856" ht="14.25" customHeight="1">
      <c r="A856" s="251"/>
      <c r="B856" s="263"/>
      <c r="C856" s="263"/>
      <c r="D856" s="251"/>
      <c r="E856" s="500"/>
      <c r="F856" s="500"/>
      <c r="G856" s="500"/>
      <c r="H856" s="500"/>
      <c r="I856" s="513"/>
      <c r="J856" s="263"/>
      <c r="K856" s="263"/>
      <c r="L856" s="251"/>
      <c r="M856" s="251"/>
      <c r="N856" s="251"/>
      <c r="O856" s="251"/>
      <c r="P856" s="251"/>
      <c r="Q856" s="251"/>
      <c r="R856" s="251"/>
      <c r="S856" s="251"/>
      <c r="T856" s="251"/>
      <c r="U856" s="251"/>
      <c r="V856" s="251"/>
      <c r="W856" s="251"/>
      <c r="X856" s="251"/>
      <c r="Y856" s="251"/>
      <c r="Z856" s="251"/>
      <c r="AA856" s="251"/>
    </row>
    <row r="857" ht="14.25" customHeight="1">
      <c r="A857" s="251"/>
      <c r="B857" s="263"/>
      <c r="C857" s="263"/>
      <c r="D857" s="251"/>
      <c r="E857" s="500"/>
      <c r="F857" s="500"/>
      <c r="G857" s="500"/>
      <c r="H857" s="500"/>
      <c r="I857" s="513"/>
      <c r="J857" s="263"/>
      <c r="K857" s="263"/>
      <c r="L857" s="251"/>
      <c r="M857" s="251"/>
      <c r="N857" s="251"/>
      <c r="O857" s="251"/>
      <c r="P857" s="251"/>
      <c r="Q857" s="251"/>
      <c r="R857" s="251"/>
      <c r="S857" s="251"/>
      <c r="T857" s="251"/>
      <c r="U857" s="251"/>
      <c r="V857" s="251"/>
      <c r="W857" s="251"/>
      <c r="X857" s="251"/>
      <c r="Y857" s="251"/>
      <c r="Z857" s="251"/>
      <c r="AA857" s="251"/>
    </row>
    <row r="858" ht="14.25" customHeight="1">
      <c r="A858" s="251"/>
      <c r="B858" s="263"/>
      <c r="C858" s="263"/>
      <c r="D858" s="251"/>
      <c r="E858" s="500"/>
      <c r="F858" s="500"/>
      <c r="G858" s="500"/>
      <c r="H858" s="500"/>
      <c r="I858" s="513"/>
      <c r="J858" s="263"/>
      <c r="K858" s="263"/>
      <c r="L858" s="251"/>
      <c r="M858" s="251"/>
      <c r="N858" s="251"/>
      <c r="O858" s="251"/>
      <c r="P858" s="251"/>
      <c r="Q858" s="251"/>
      <c r="R858" s="251"/>
      <c r="S858" s="251"/>
      <c r="T858" s="251"/>
      <c r="U858" s="251"/>
      <c r="V858" s="251"/>
      <c r="W858" s="251"/>
      <c r="X858" s="251"/>
      <c r="Y858" s="251"/>
      <c r="Z858" s="251"/>
      <c r="AA858" s="251"/>
    </row>
    <row r="859" ht="14.25" customHeight="1">
      <c r="A859" s="251"/>
      <c r="B859" s="263"/>
      <c r="C859" s="263"/>
      <c r="D859" s="251"/>
      <c r="E859" s="500"/>
      <c r="F859" s="500"/>
      <c r="G859" s="500"/>
      <c r="H859" s="500"/>
      <c r="I859" s="513"/>
      <c r="J859" s="263"/>
      <c r="K859" s="263"/>
      <c r="L859" s="251"/>
      <c r="M859" s="251"/>
      <c r="N859" s="251"/>
      <c r="O859" s="251"/>
      <c r="P859" s="251"/>
      <c r="Q859" s="251"/>
      <c r="R859" s="251"/>
      <c r="S859" s="251"/>
      <c r="T859" s="251"/>
      <c r="U859" s="251"/>
      <c r="V859" s="251"/>
      <c r="W859" s="251"/>
      <c r="X859" s="251"/>
      <c r="Y859" s="251"/>
      <c r="Z859" s="251"/>
      <c r="AA859" s="251"/>
    </row>
    <row r="860" ht="14.25" customHeight="1">
      <c r="A860" s="251"/>
      <c r="B860" s="263"/>
      <c r="C860" s="263"/>
      <c r="D860" s="251"/>
      <c r="E860" s="500"/>
      <c r="F860" s="500"/>
      <c r="G860" s="500"/>
      <c r="H860" s="500"/>
      <c r="I860" s="513"/>
      <c r="J860" s="263"/>
      <c r="K860" s="263"/>
      <c r="L860" s="251"/>
      <c r="M860" s="251"/>
      <c r="N860" s="251"/>
      <c r="O860" s="251"/>
      <c r="P860" s="251"/>
      <c r="Q860" s="251"/>
      <c r="R860" s="251"/>
      <c r="S860" s="251"/>
      <c r="T860" s="251"/>
      <c r="U860" s="251"/>
      <c r="V860" s="251"/>
      <c r="W860" s="251"/>
      <c r="X860" s="251"/>
      <c r="Y860" s="251"/>
      <c r="Z860" s="251"/>
      <c r="AA860" s="251"/>
    </row>
    <row r="861" ht="14.25" customHeight="1">
      <c r="A861" s="251"/>
      <c r="B861" s="263"/>
      <c r="C861" s="263"/>
      <c r="D861" s="251"/>
      <c r="E861" s="500"/>
      <c r="F861" s="500"/>
      <c r="G861" s="500"/>
      <c r="H861" s="500"/>
      <c r="I861" s="513"/>
      <c r="J861" s="263"/>
      <c r="K861" s="263"/>
      <c r="L861" s="251"/>
      <c r="M861" s="251"/>
      <c r="N861" s="251"/>
      <c r="O861" s="251"/>
      <c r="P861" s="251"/>
      <c r="Q861" s="251"/>
      <c r="R861" s="251"/>
      <c r="S861" s="251"/>
      <c r="T861" s="251"/>
      <c r="U861" s="251"/>
      <c r="V861" s="251"/>
      <c r="W861" s="251"/>
      <c r="X861" s="251"/>
      <c r="Y861" s="251"/>
      <c r="Z861" s="251"/>
      <c r="AA861" s="251"/>
    </row>
    <row r="862" ht="14.25" customHeight="1">
      <c r="A862" s="251"/>
      <c r="B862" s="263"/>
      <c r="C862" s="263"/>
      <c r="D862" s="251"/>
      <c r="E862" s="500"/>
      <c r="F862" s="500"/>
      <c r="G862" s="500"/>
      <c r="H862" s="500"/>
      <c r="I862" s="513"/>
      <c r="J862" s="263"/>
      <c r="K862" s="263"/>
      <c r="L862" s="251"/>
      <c r="M862" s="251"/>
      <c r="N862" s="251"/>
      <c r="O862" s="251"/>
      <c r="P862" s="251"/>
      <c r="Q862" s="251"/>
      <c r="R862" s="251"/>
      <c r="S862" s="251"/>
      <c r="T862" s="251"/>
      <c r="U862" s="251"/>
      <c r="V862" s="251"/>
      <c r="W862" s="251"/>
      <c r="X862" s="251"/>
      <c r="Y862" s="251"/>
      <c r="Z862" s="251"/>
      <c r="AA862" s="251"/>
    </row>
    <row r="863" ht="14.25" customHeight="1">
      <c r="A863" s="251"/>
      <c r="B863" s="263"/>
      <c r="C863" s="263"/>
      <c r="D863" s="251"/>
      <c r="E863" s="500"/>
      <c r="F863" s="500"/>
      <c r="G863" s="500"/>
      <c r="H863" s="500"/>
      <c r="I863" s="513"/>
      <c r="J863" s="263"/>
      <c r="K863" s="263"/>
      <c r="L863" s="251"/>
      <c r="M863" s="251"/>
      <c r="N863" s="251"/>
      <c r="O863" s="251"/>
      <c r="P863" s="251"/>
      <c r="Q863" s="251"/>
      <c r="R863" s="251"/>
      <c r="S863" s="251"/>
      <c r="T863" s="251"/>
      <c r="U863" s="251"/>
      <c r="V863" s="251"/>
      <c r="W863" s="251"/>
      <c r="X863" s="251"/>
      <c r="Y863" s="251"/>
      <c r="Z863" s="251"/>
      <c r="AA863" s="251"/>
    </row>
  </sheetData>
  <mergeCells count="37">
    <mergeCell ref="B2:B11"/>
    <mergeCell ref="B12:B24"/>
    <mergeCell ref="B25:B36"/>
    <mergeCell ref="B37:B53"/>
    <mergeCell ref="B54:B96"/>
    <mergeCell ref="B99:B100"/>
    <mergeCell ref="B101:B114"/>
    <mergeCell ref="B115:B134"/>
    <mergeCell ref="B135:B138"/>
    <mergeCell ref="B139:B141"/>
    <mergeCell ref="B142:B145"/>
    <mergeCell ref="B146:B152"/>
    <mergeCell ref="B153:B157"/>
    <mergeCell ref="B158:B203"/>
    <mergeCell ref="B204:B211"/>
    <mergeCell ref="B212:B243"/>
    <mergeCell ref="B244:B248"/>
    <mergeCell ref="B249:B259"/>
    <mergeCell ref="B260:B279"/>
    <mergeCell ref="B280:B283"/>
    <mergeCell ref="B284:B287"/>
    <mergeCell ref="B288:B291"/>
    <mergeCell ref="B292:B299"/>
    <mergeCell ref="B300:B306"/>
    <mergeCell ref="B307:B313"/>
    <mergeCell ref="B314:B317"/>
    <mergeCell ref="B318:B319"/>
    <mergeCell ref="B320:B332"/>
    <mergeCell ref="B377:B382"/>
    <mergeCell ref="B403:B405"/>
    <mergeCell ref="B333:B342"/>
    <mergeCell ref="B349:B352"/>
    <mergeCell ref="B353:B358"/>
    <mergeCell ref="B359:B362"/>
    <mergeCell ref="B363:B366"/>
    <mergeCell ref="B367:B372"/>
    <mergeCell ref="B373:B376"/>
  </mergeCells>
  <dataValidations>
    <dataValidation type="list" allowBlank="1" showErrorMessage="1" sqref="I2:I863">
      <formula1>"Pass,Fail,On-hold,NA"</formula1>
    </dataValidation>
    <dataValidation type="list" allowBlank="1" showErrorMessage="1" sqref="J1:J863">
      <formula1>"Yes,No"</formula1>
    </dataValidation>
    <dataValidation type="list" allowBlank="1" showErrorMessage="1" sqref="D1:D863">
      <formula1>"Functional,UI,Smoke,Regression,Integration"</formula1>
    </dataValidation>
  </dataValidations>
  <hyperlinks>
    <hyperlink r:id="rId1" ref="F142"/>
    <hyperlink r:id="rId2" ref="H142"/>
  </hyperlinks>
  <printOptions/>
  <pageMargins bottom="0.75" footer="0.0" header="0.0" left="0.7" right="0.7" top="0.75"/>
  <pageSetup orientation="landscape"/>
  <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9999"/>
    <outlinePr summaryBelow="0" summaryRight="0"/>
  </sheetPr>
  <sheetViews>
    <sheetView workbookViewId="0"/>
  </sheetViews>
  <sheetFormatPr customHeight="1" defaultColWidth="12.63" defaultRowHeight="15.0"/>
  <cols>
    <col customWidth="1" min="1" max="1" width="9.38"/>
    <col customWidth="1" min="2" max="2" width="26.88"/>
    <col customWidth="1" min="4" max="4" width="7.63"/>
    <col customWidth="1" min="5" max="5" width="22.5"/>
    <col customWidth="1" min="6" max="6" width="49.25"/>
    <col customWidth="1" min="7" max="7" width="44.13"/>
  </cols>
  <sheetData>
    <row r="1">
      <c r="A1" s="523" t="str">
        <f>IFERROR(__xludf.DUMMYFUNCTION("{filter('Pre-reg'!A:Z,'Pre-reg'!H:H=""Fail"");filter(RegClient!A:Z,RegClient!I:I=""Fail"");filter(RegProc!A:Z,RegProc!I:I=""Fail"");filter(Admin!A:Z,Admin!I:I=""Fail"");filter(IDA!A:Z,IDA!I:I=""Fail"");filter(Resident!A:Z,Resident!J:J=""Fail"");filter(PMS"&amp;"!A:Z,PMS!I:I=""Fail"")}"),"")</f>
        <v/>
      </c>
      <c r="B1" s="524"/>
      <c r="C1" s="523" t="str">
        <f>IFERROR(__xludf.DUMMYFUNCTION("""COMPUTED_VALUE"""),"Prereg-211")</f>
        <v>Prereg-211</v>
      </c>
      <c r="D1" s="523" t="str">
        <f>IFERROR(__xludf.DUMMYFUNCTION("""COMPUTED_VALUE"""),"Integration")</f>
        <v>Integration</v>
      </c>
      <c r="E1" s="524" t="str">
        <f>IFERROR(__xludf.DUMMYFUNCTION("""COMPUTED_VALUE"""),"Editing lunch hours and working hours for a reg center.")</f>
        <v>Editing lunch hours and working hours for a reg center.</v>
      </c>
      <c r="F1" s="524" t="str">
        <f>IFERROR(__xludf.DUMMYFUNCTION("""COMPUTED_VALUE"""),"Login to Admin using a user mapped with a respective zone.
 Navigate to Resources-&gt; Center.
 Edit the existing center without lunch hours.
 Verify the Reg center in the pre reg book appointment page.")</f>
        <v>Login to Admin using a user mapped with a respective zone.
 Navigate to Resources-&gt; Center.
 Edit the existing center without lunch hours.
 Verify the Reg center in the pre reg book appointment page.</v>
      </c>
      <c r="G1" s="524" t="str">
        <f>IFERROR(__xludf.DUMMYFUNCTION("""COMPUTED_VALUE"""),"The slots for the particular reg center should all appear only for morning session without showing the afternoon session.")</f>
        <v>The slots for the particular reg center should all appear only for morning session without showing the afternoon session.</v>
      </c>
      <c r="H1" s="524" t="str">
        <f>IFERROR(__xludf.DUMMYFUNCTION("""COMPUTED_VALUE"""),"Fail")</f>
        <v>Fail</v>
      </c>
      <c r="I1" s="523"/>
      <c r="J1" s="523" t="str">
        <f>IFERROR(__xludf.DUMMYFUNCTION("""COMPUTED_VALUE"""),"qa-double-rc2")</f>
        <v>qa-double-rc2</v>
      </c>
      <c r="K1" s="523"/>
      <c r="L1" s="523"/>
      <c r="M1" s="523"/>
      <c r="N1" s="523"/>
      <c r="O1" s="523"/>
      <c r="P1" s="523"/>
      <c r="Q1" s="523"/>
      <c r="R1" s="523"/>
      <c r="S1" s="523"/>
      <c r="T1" s="523"/>
      <c r="U1" s="523"/>
      <c r="V1" s="523"/>
      <c r="W1" s="523"/>
      <c r="X1" s="523"/>
      <c r="Y1" s="523"/>
      <c r="Z1" s="523"/>
    </row>
    <row r="2">
      <c r="A2" s="523" t="str">
        <f>IFERROR(__xludf.DUMMYFUNCTION("""COMPUTED_VALUE"""),"MOSIP-11719")</f>
        <v>MOSIP-11719</v>
      </c>
      <c r="B2" s="524"/>
      <c r="C2" s="523" t="str">
        <f>IFERROR(__xludf.DUMMYFUNCTION("""COMPUTED_VALUE"""),"TC-MOSIP-11719-16")</f>
        <v>TC-MOSIP-11719-16</v>
      </c>
      <c r="D2" s="523" t="str">
        <f>IFERROR(__xludf.DUMMYFUNCTION("""COMPUTED_VALUE"""),"Functional")</f>
        <v>Functional</v>
      </c>
      <c r="E2" s="524" t="str">
        <f>IFERROR(__xludf.DUMMYFUNCTION("""COMPUTED_VALUE"""),"Checking the list of appointments for a particular registration center on a specific date using an API.")</f>
        <v>Checking the list of appointments for a particular registration center on a specific date using an API.</v>
      </c>
      <c r="F2" s="524" t="str">
        <f>IFERROR(__xludf.DUMMYFUNCTION("""COMPUTED_VALUE"""),"DELETE MAPPING ----&gt; https://env.mosip.net/preregistration/v1/applications/appointment?preRegistrationId=id")</f>
        <v>DELETE MAPPING ----&gt; https://env.mosip.net/preregistration/v1/applications/appointment?preRegistrationId=id</v>
      </c>
      <c r="G2" s="524" t="str">
        <f>IFERROR(__xludf.DUMMYFUNCTION("""COMPUTED_VALUE"""),"[Delete booking for an preRegistrationId]")</f>
        <v>[Delete booking for an preRegistrationId]</v>
      </c>
      <c r="H2" s="524" t="str">
        <f>IFERROR(__xludf.DUMMYFUNCTION("""COMPUTED_VALUE"""),"Fail")</f>
        <v>Fail</v>
      </c>
      <c r="I2" s="523"/>
      <c r="J2" s="523" t="str">
        <f>IFERROR(__xludf.DUMMYFUNCTION("""COMPUTED_VALUE"""),"qa-double-rc2")</f>
        <v>qa-double-rc2</v>
      </c>
      <c r="K2" s="523"/>
      <c r="L2" s="523"/>
      <c r="M2" s="523"/>
      <c r="N2" s="523"/>
      <c r="O2" s="523"/>
      <c r="P2" s="523"/>
      <c r="Q2" s="523"/>
      <c r="R2" s="523"/>
      <c r="S2" s="523"/>
      <c r="T2" s="523"/>
      <c r="U2" s="523"/>
      <c r="V2" s="523"/>
      <c r="W2" s="523"/>
      <c r="X2" s="523"/>
      <c r="Y2" s="523"/>
      <c r="Z2" s="523"/>
    </row>
    <row r="3">
      <c r="A3" s="523" t="str">
        <f>IFERROR(__xludf.DUMMYFUNCTION("""COMPUTED_VALUE"""),"MOSIP-554")</f>
        <v>MOSIP-554</v>
      </c>
      <c r="B3" s="524"/>
      <c r="C3" s="523" t="str">
        <f>IFERROR(__xludf.DUMMYFUNCTION("""COMPUTED_VALUE"""),"MOSIP-554-17")</f>
        <v>MOSIP-554-17</v>
      </c>
      <c r="D3" s="523" t="str">
        <f>IFERROR(__xludf.DUMMYFUNCTION("""COMPUTED_VALUE"""),"Smoke")</f>
        <v>Smoke</v>
      </c>
      <c r="E3" s="524" t="str">
        <f>IFERROR(__xludf.DUMMYFUNCTION("""COMPUTED_VALUE"""),"Login Captcha")</f>
        <v>Login Captcha</v>
      </c>
      <c r="F3" s="524" t="str">
        <f>IFERROR(__xludf.DUMMYFUNCTION("""COMPUTED_VALUE"""),"Verify the action performed under Audit logs")</f>
        <v>Verify the action performed under Audit logs</v>
      </c>
      <c r="G3" s="524" t="str">
        <f>IFERROR(__xludf.DUMMYFUNCTION("""COMPUTED_VALUE"""),"The action performed must be Logged under audit logged")</f>
        <v>The action performed must be Logged under audit logged</v>
      </c>
      <c r="H3" s="524" t="str">
        <f>IFERROR(__xludf.DUMMYFUNCTION("""COMPUTED_VALUE"""),"Fail")</f>
        <v>Fail</v>
      </c>
      <c r="I3" s="523"/>
      <c r="J3" s="523" t="str">
        <f>IFERROR(__xludf.DUMMYFUNCTION("""COMPUTED_VALUE"""),"qa-double-rc2")</f>
        <v>qa-double-rc2</v>
      </c>
      <c r="K3" s="523" t="str">
        <f>IFERROR(__xludf.DUMMYFUNCTION("""COMPUTED_VALUE"""),"MOSIP-18771")</f>
        <v>MOSIP-18771</v>
      </c>
      <c r="L3" s="523"/>
      <c r="M3" s="523"/>
      <c r="N3" s="523"/>
      <c r="O3" s="523"/>
      <c r="P3" s="523"/>
      <c r="Q3" s="523"/>
      <c r="R3" s="523"/>
      <c r="S3" s="523"/>
      <c r="T3" s="523"/>
      <c r="U3" s="523"/>
      <c r="V3" s="523"/>
      <c r="W3" s="523"/>
      <c r="X3" s="523"/>
      <c r="Y3" s="523"/>
      <c r="Z3" s="523"/>
    </row>
    <row r="4">
      <c r="A4" s="523" t="str">
        <f>IFERROR(__xludf.DUMMYFUNCTION("""COMPUTED_VALUE"""),"MOSIP-17633")</f>
        <v>MOSIP-17633</v>
      </c>
      <c r="B4" s="524"/>
      <c r="C4" s="523" t="str">
        <f>IFERROR(__xludf.DUMMYFUNCTION("""COMPUTED_VALUE"""),"TC-MOSIP-17633-23")</f>
        <v>TC-MOSIP-17633-23</v>
      </c>
      <c r="D4" s="523" t="str">
        <f>IFERROR(__xludf.DUMMYFUNCTION("""COMPUTED_VALUE"""),"Smoke")</f>
        <v>Smoke</v>
      </c>
      <c r="E4" s="524" t="str">
        <f>IFERROR(__xludf.DUMMYFUNCTION("""COMPUTED_VALUE"""),"Appointment-controller -Discard Booking")</f>
        <v>Appointment-controller -Discard Booking</v>
      </c>
      <c r="F4" s="524" t="str">
        <f>IFERROR(__xludf.DUMMYFUNCTION("""COMPUTED_VALUE"""),"1. Go to : https://qa-single-rc2.mosip.net/preregistration/v1/application-service/swagger-ui/index.html?configUrl=/preregistration/v1/application-service/v3/api-docs/swagger-config#/appointment-controller/discardIndividual
 2. Navigate to appointment-cont"&amp;"roller &gt; DELETE/applications/appointmnet .
 3. Click on the ""try it out"" button.
 4. Enter the Pre-registration ID.
 5. Click on ""Execute"" to execute the request.
 6. Verify the response.
 NOTE : next to swagger, please open pre-registration and kee"&amp;"p it active in another tab for this to work")</f>
        <v>1. Go to : https://qa-single-rc2.mosip.net/preregistration/v1/application-service/swagger-ui/index.html?configUrl=/preregistration/v1/application-service/v3/api-docs/swagger-config#/appointment-controller/discardIndividual
 2. Navigate to appointment-controller &gt; DELETE/applications/appointmnet .
 3. Click on the "try it out" button.
 4. Enter the Pre-registration ID.
 5. Click on "Execute" to execute the request.
 6. Verify the response.
 NOTE : next to swagger, please open pre-registration and keep it active in another tab for this to work</v>
      </c>
      <c r="G4" s="524" t="str">
        <f>IFERROR(__xludf.DUMMYFUNCTION("""COMPUTED_VALUE"""),"The appropriate response of deleting will be displayed in the response and the details of who deleted the booking will be displayed.
 Verify the same application after logging into the account and you can see the status as BOOKED but the appointment date "&amp;"is not displayed.")</f>
        <v>The appropriate response of deleting will be displayed in the response and the details of who deleted the booking will be displayed.
 Verify the same application after logging into the account and you can see the status as BOOKED but the appointment date is not displayed.</v>
      </c>
      <c r="H4" s="524" t="str">
        <f>IFERROR(__xludf.DUMMYFUNCTION("""COMPUTED_VALUE"""),"Fail")</f>
        <v>Fail</v>
      </c>
      <c r="I4" s="523" t="str">
        <f>IFERROR(__xludf.DUMMYFUNCTION("""COMPUTED_VALUE"""),"qa-single-rc2")</f>
        <v>qa-single-rc2</v>
      </c>
      <c r="J4" s="523" t="str">
        <f>IFERROR(__xludf.DUMMYFUNCTION("""COMPUTED_VALUE"""),"qa-single-rc2")</f>
        <v>qa-single-rc2</v>
      </c>
      <c r="K4" s="523"/>
      <c r="L4" s="523"/>
      <c r="M4" s="523"/>
      <c r="N4" s="523"/>
      <c r="O4" s="523"/>
      <c r="P4" s="523"/>
      <c r="Q4" s="523"/>
      <c r="R4" s="523"/>
      <c r="S4" s="523"/>
      <c r="T4" s="523"/>
      <c r="U4" s="523"/>
      <c r="V4" s="523"/>
      <c r="W4" s="523"/>
      <c r="X4" s="523"/>
      <c r="Y4" s="523"/>
      <c r="Z4" s="523"/>
    </row>
    <row r="5">
      <c r="A5" s="523" t="str">
        <f>IFERROR(__xludf.DUMMYFUNCTION("""COMPUTED_VALUE"""),"MOSIP-11656")</f>
        <v>MOSIP-11656</v>
      </c>
      <c r="B5" s="524" t="str">
        <f>IFERROR(__xludf.DUMMYFUNCTION("""COMPUTED_VALUE"""),"OTP")</f>
        <v>OTP</v>
      </c>
      <c r="C5" s="523" t="str">
        <f>IFERROR(__xludf.DUMMYFUNCTION("""COMPUTED_VALUE"""),"TC_Pre-Reg_12")</f>
        <v>TC_Pre-Reg_12</v>
      </c>
      <c r="D5" s="523" t="str">
        <f>IFERROR(__xludf.DUMMYFUNCTION("""COMPUTED_VALUE"""),"Regression")</f>
        <v>Regression</v>
      </c>
      <c r="E5" s="524" t="str">
        <f>IFERROR(__xludf.DUMMYFUNCTION("""COMPUTED_VALUE"""),"First time user login - Navigate to Dash board")</f>
        <v>First time user login - Navigate to Dash board</v>
      </c>
      <c r="F5" s="524" t="str">
        <f>IFERROR(__xludf.DUMMYFUNCTION("""COMPUTED_VALUE"""),"1. Login into pre-reg with a new user details.
 2. The user is directed to the demographic page.
 3. Accept the terms and conditions.
 4. Click on ""Your Applications""")</f>
        <v>1. Login into pre-reg with a new user details.
 2. The user is directed to the demographic page.
 3. Accept the terms and conditions.
 4. Click on "Your Applications"</v>
      </c>
      <c r="G5" s="524" t="str">
        <f>IFERROR(__xludf.DUMMYFUNCTION("""COMPUTED_VALUE"""),"The user should be directed to the ""Your Applications"" page.")</f>
        <v>The user should be directed to the "Your Applications" page.</v>
      </c>
      <c r="H5" s="524" t="str">
        <f>IFERROR(__xludf.DUMMYFUNCTION("""COMPUTED_VALUE"""),"Fail")</f>
        <v>Fail</v>
      </c>
      <c r="I5" s="523"/>
      <c r="J5" s="523" t="str">
        <f>IFERROR(__xludf.DUMMYFUNCTION("""COMPUTED_VALUE"""),"qa-double-rc2")</f>
        <v>qa-double-rc2</v>
      </c>
      <c r="K5" s="523"/>
      <c r="L5" s="523"/>
      <c r="M5" s="523"/>
      <c r="N5" s="523"/>
      <c r="O5" s="523"/>
      <c r="P5" s="523"/>
      <c r="Q5" s="523"/>
      <c r="R5" s="523"/>
      <c r="S5" s="523"/>
      <c r="T5" s="523"/>
      <c r="U5" s="523"/>
      <c r="V5" s="523"/>
      <c r="W5" s="523"/>
      <c r="X5" s="523"/>
      <c r="Y5" s="523"/>
      <c r="Z5" s="523"/>
    </row>
    <row r="6">
      <c r="A6" s="523"/>
      <c r="B6" s="524" t="str">
        <f>IFERROR(__xludf.DUMMYFUNCTION("""COMPUTED_VALUE"""),"Pre-Reg")</f>
        <v>Pre-Reg</v>
      </c>
      <c r="C6" s="523" t="str">
        <f>IFERROR(__xludf.DUMMYFUNCTION("""COMPUTED_VALUE"""),"TC_Pre-Reg_51")</f>
        <v>TC_Pre-Reg_51</v>
      </c>
      <c r="D6" s="523" t="str">
        <f>IFERROR(__xludf.DUMMYFUNCTION("""COMPUTED_VALUE"""),"Regression")</f>
        <v>Regression</v>
      </c>
      <c r="E6" s="524" t="str">
        <f>IFERROR(__xludf.DUMMYFUNCTION("""COMPUTED_VALUE"""),"Mandatory fields validation in location hierarchy - Skipping a dropdown in the hierarchy.")</f>
        <v>Mandatory fields validation in location hierarchy - Skipping a dropdown in the hierarchy.</v>
      </c>
      <c r="F6" s="524" t="str">
        <f>IFERROR(__xludf.DUMMYFUNCTION("""COMPUTED_VALUE"""),"1. Login into Pre-Reg.
 2. Click on ""CREATE NEW APPLICATION"" and click ON SUBMIT 
 3. Check the agree terms and conditions and click on ACCEPT.
 4. Fill the application.
 5. Try to complete the application by Choose the values in the dropdown for the ad"&amp;"dress without the order of the hierarchy.(Ex: Choose City without choosing Region and Province)")</f>
        <v>1. Login into Pre-Reg.
 2. Click on "CREATE NEW APPLICATION" and click ON SUBMIT 
 3. Check the agree terms and conditions and click on ACCEPT.
 4. Fill the application.
 5. Try to complete the application by Choose the values in the dropdown for the address without the order of the hierarchy.(Ex: Choose City without choosing Region and Province)</v>
      </c>
      <c r="G6" s="524" t="str">
        <f>IFERROR(__xludf.DUMMYFUNCTION("""COMPUTED_VALUE"""),"Message should be displayed to the user ""Choose the address fields in hierarchical (Region-&gt;Province-&gt;City-&gt;Zone-&gt;Postal code)"".")</f>
        <v>Message should be displayed to the user "Choose the address fields in hierarchical (Region-&gt;Province-&gt;City-&gt;Zone-&gt;Postal code)".</v>
      </c>
      <c r="H6" s="524" t="str">
        <f>IFERROR(__xludf.DUMMYFUNCTION("""COMPUTED_VALUE"""),"Fail")</f>
        <v>Fail</v>
      </c>
      <c r="I6" s="523"/>
      <c r="J6" s="523" t="str">
        <f>IFERROR(__xludf.DUMMYFUNCTION("""COMPUTED_VALUE"""),"qa-double-rc2")</f>
        <v>qa-double-rc2</v>
      </c>
      <c r="K6" s="523"/>
      <c r="L6" s="523"/>
      <c r="M6" s="523"/>
      <c r="N6" s="523"/>
      <c r="O6" s="523"/>
      <c r="P6" s="523"/>
      <c r="Q6" s="523"/>
      <c r="R6" s="523"/>
      <c r="S6" s="523"/>
      <c r="T6" s="523"/>
      <c r="U6" s="523"/>
      <c r="V6" s="523"/>
      <c r="W6" s="523"/>
      <c r="X6" s="523"/>
      <c r="Y6" s="523"/>
      <c r="Z6" s="523"/>
    </row>
    <row r="7">
      <c r="A7" s="523"/>
      <c r="B7" s="524" t="str">
        <f>IFERROR(__xludf.DUMMYFUNCTION("""COMPUTED_VALUE"""),"Pre-Reg")</f>
        <v>Pre-Reg</v>
      </c>
      <c r="C7" s="523" t="str">
        <f>IFERROR(__xludf.DUMMYFUNCTION("""COMPUTED_VALUE"""),"TC_Pre-Reg_58")</f>
        <v>TC_Pre-Reg_58</v>
      </c>
      <c r="D7" s="523" t="str">
        <f>IFERROR(__xludf.DUMMYFUNCTION("""COMPUTED_VALUE"""),"Regression")</f>
        <v>Regression</v>
      </c>
      <c r="E7" s="524" t="str">
        <f>IFERROR(__xludf.DUMMYFUNCTION("""COMPUTED_VALUE"""),"Verifying input for the telephone number input field.")</f>
        <v>Verifying input for the telephone number input field.</v>
      </c>
      <c r="F7" s="524" t="str">
        <f>IFERROR(__xludf.DUMMYFUNCTION("""COMPUTED_VALUE"""),"1. login into Pre-Reg.
 2. Click on ""CREATE NEW APPLICATION"" and click ON SUBMIT.
 3. Check the agree terms and conditions and click on ACCEPT.
 4. While filling the application, enter the name in a language and click on the next text field.")</f>
        <v>1. login into Pre-Reg.
 2. Click on "CREATE NEW APPLICATION" and click ON SUBMIT.
 3. Check the agree terms and conditions and click on ACCEPT.
 4. While filling the application, enter the name in a language and click on the next text field.</v>
      </c>
      <c r="G7" s="524" t="str">
        <f>IFERROR(__xludf.DUMMYFUNCTION("""COMPUTED_VALUE"""),"The text box should accept a number of 10 digits in the telephone number field.")</f>
        <v>The text box should accept a number of 10 digits in the telephone number field.</v>
      </c>
      <c r="H7" s="524" t="str">
        <f>IFERROR(__xludf.DUMMYFUNCTION("""COMPUTED_VALUE"""),"Fail")</f>
        <v>Fail</v>
      </c>
      <c r="I7" s="523"/>
      <c r="J7" s="523" t="str">
        <f>IFERROR(__xludf.DUMMYFUNCTION("""COMPUTED_VALUE"""),"qa-double-rc2")</f>
        <v>qa-double-rc2</v>
      </c>
      <c r="K7" s="523"/>
      <c r="L7" s="523"/>
      <c r="M7" s="523"/>
      <c r="N7" s="523"/>
      <c r="O7" s="523"/>
      <c r="P7" s="523"/>
      <c r="Q7" s="523"/>
      <c r="R7" s="523"/>
      <c r="S7" s="523"/>
      <c r="T7" s="523"/>
      <c r="U7" s="523"/>
      <c r="V7" s="523"/>
      <c r="W7" s="523"/>
      <c r="X7" s="523"/>
      <c r="Y7" s="523"/>
      <c r="Z7" s="523"/>
    </row>
    <row r="8">
      <c r="A8" s="523"/>
      <c r="B8" s="524" t="str">
        <f>IFERROR(__xludf.DUMMYFUNCTION("""COMPUTED_VALUE"""),"Pre-Reg")</f>
        <v>Pre-Reg</v>
      </c>
      <c r="C8" s="523" t="str">
        <f>IFERROR(__xludf.DUMMYFUNCTION("""COMPUTED_VALUE"""),"TC_Pre-Reg_63")</f>
        <v>TC_Pre-Reg_63</v>
      </c>
      <c r="D8" s="523" t="str">
        <f>IFERROR(__xludf.DUMMYFUNCTION("""COMPUTED_VALUE"""),"Regression")</f>
        <v>Regression</v>
      </c>
      <c r="E8" s="524" t="str">
        <f>IFERROR(__xludf.DUMMYFUNCTION("""COMPUTED_VALUE"""),"At upload document page, enter special characters, upload docs and navigate front and back.")</f>
        <v>At upload document page, enter special characters, upload docs and navigate front and back.</v>
      </c>
      <c r="F8" s="524" t="str">
        <f>IFERROR(__xludf.DUMMYFUNCTION("""COMPUTED_VALUE"""),"1. Login into Pre-Registration.
 10. Fill the application and upload the documents
 11. At the document upload page, enter special characters in the ""Document reference ID"" field &gt; Click on ""CONTINUE"" &gt; and click on ""BACK""")</f>
        <v>1. Login into Pre-Registration.
 10. Fill the application and upload the documents
 11. At the document upload page, enter special characters in the "Document reference ID" field &gt; Click on "CONTINUE" &gt; and click on "BACK"</v>
      </c>
      <c r="G8" s="524" t="str">
        <f>IFERROR(__xludf.DUMMYFUNCTION("""COMPUTED_VALUE"""),"When returning back to the document upload page the data entered in the ""Document reference ID"" box should be saved")</f>
        <v>When returning back to the document upload page the data entered in the "Document reference ID" box should be saved</v>
      </c>
      <c r="H8" s="524" t="str">
        <f>IFERROR(__xludf.DUMMYFUNCTION("""COMPUTED_VALUE"""),"Fail")</f>
        <v>Fail</v>
      </c>
      <c r="I8" s="523"/>
      <c r="J8" s="523" t="str">
        <f>IFERROR(__xludf.DUMMYFUNCTION("""COMPUTED_VALUE"""),"qa-double-rc2")</f>
        <v>qa-double-rc2</v>
      </c>
      <c r="K8" s="523"/>
      <c r="L8" s="523"/>
      <c r="M8" s="523"/>
      <c r="N8" s="523"/>
      <c r="O8" s="523"/>
      <c r="P8" s="523"/>
      <c r="Q8" s="523"/>
      <c r="R8" s="523"/>
      <c r="S8" s="523"/>
      <c r="T8" s="523"/>
      <c r="U8" s="523"/>
      <c r="V8" s="523"/>
      <c r="W8" s="523"/>
      <c r="X8" s="523"/>
      <c r="Y8" s="523"/>
      <c r="Z8" s="523"/>
    </row>
    <row r="9">
      <c r="A9" s="523"/>
      <c r="B9" s="524" t="str">
        <f>IFERROR(__xludf.DUMMYFUNCTION("""COMPUTED_VALUE"""),"Pre-Reg")</f>
        <v>Pre-Reg</v>
      </c>
      <c r="C9" s="523" t="str">
        <f>IFERROR(__xludf.DUMMYFUNCTION("""COMPUTED_VALUE"""),"TC_Pre-Reg_93")</f>
        <v>TC_Pre-Reg_93</v>
      </c>
      <c r="D9" s="523" t="str">
        <f>IFERROR(__xludf.DUMMYFUNCTION("""COMPUTED_VALUE"""),"Smoke")</f>
        <v>Smoke</v>
      </c>
      <c r="E9" s="524" t="str">
        <f>IFERROR(__xludf.DUMMYFUNCTION("""COMPUTED_VALUE"""),"Booking an appointment - trying with out selecting the name of applicant.")</f>
        <v>Booking an appointment - trying with out selecting the name of applicant.</v>
      </c>
      <c r="F9" s="524" t="str">
        <f>IFERROR(__xludf.DUMMYFUNCTION("""COMPUTED_VALUE"""),"1. Login into Pre-Registration.
 2. Click on ""CREATE NEW APPLICATION"" and click ON SUBMIT.
 3. Check the agree terms and conditions, click on ACCEPT and upload the required document and go to book appointment page.
 4. At the book appointment page selec"&amp;"t the slots and do not select the applicant name and click on ""BOOK APPOINTMENT"".")</f>
        <v>1. Login into Pre-Registration.
 2. Click on "CREATE NEW APPLICATION" and click ON SUBMIT.
 3. Check the agree terms and conditions, click on ACCEPT and upload the required document and go to book appointment page.
 4. At the book appointment page select the slots and do not select the applicant name and click on "BOOK APPOINTMENT".</v>
      </c>
      <c r="G9" s="524" t="str">
        <f>IFERROR(__xludf.DUMMYFUNCTION("""COMPUTED_VALUE"""),"An appropriate message should be displayed to select the name to confirm the booking of the appointment.")</f>
        <v>An appropriate message should be displayed to select the name to confirm the booking of the appointment.</v>
      </c>
      <c r="H9" s="524" t="str">
        <f>IFERROR(__xludf.DUMMYFUNCTION("""COMPUTED_VALUE"""),"Fail")</f>
        <v>Fail</v>
      </c>
      <c r="I9" s="523"/>
      <c r="J9" s="523" t="str">
        <f>IFERROR(__xludf.DUMMYFUNCTION("""COMPUTED_VALUE"""),"qa-double-rc2")</f>
        <v>qa-double-rc2</v>
      </c>
      <c r="K9" s="523"/>
      <c r="L9" s="523"/>
      <c r="M9" s="523"/>
      <c r="N9" s="523"/>
      <c r="O9" s="523"/>
      <c r="P9" s="523"/>
      <c r="Q9" s="523"/>
      <c r="R9" s="523"/>
      <c r="S9" s="523"/>
      <c r="T9" s="523"/>
      <c r="U9" s="523"/>
      <c r="V9" s="523"/>
      <c r="W9" s="523"/>
      <c r="X9" s="523"/>
      <c r="Y9" s="523"/>
      <c r="Z9" s="523"/>
    </row>
    <row r="10">
      <c r="A10" s="523"/>
      <c r="B10" s="524" t="str">
        <f>IFERROR(__xludf.DUMMYFUNCTION("""COMPUTED_VALUE"""),"Pre-Reg")</f>
        <v>Pre-Reg</v>
      </c>
      <c r="C10" s="523" t="str">
        <f>IFERROR(__xludf.DUMMYFUNCTION("""COMPUTED_VALUE"""),"TC_Pre-Reg_144")</f>
        <v>TC_Pre-Reg_144</v>
      </c>
      <c r="D10" s="523" t="str">
        <f>IFERROR(__xludf.DUMMYFUNCTION("""COMPUTED_VALUE"""),"Smoke")</f>
        <v>Smoke</v>
      </c>
      <c r="E10" s="524" t="str">
        <f>IFERROR(__xludf.DUMMYFUNCTION("""COMPUTED_VALUE"""),"Notification template for re-booked application")</f>
        <v>Notification template for re-booked application</v>
      </c>
      <c r="F10" s="524" t="str">
        <f>IFERROR(__xludf.DUMMYFUNCTION("""COMPUTED_VALUE"""),"1. Login into Pre-Registration.
 2. Create an application and book an appointment.
 3. Check the application and click on ""BOOK/MODIFY APPOINTMENT"".
 4. Book another appointment.")</f>
        <v>1. Login into Pre-Registration.
 2. Create an application and book an appointment.
 3. Check the application and click on "BOOK/MODIFY APPOINTMENT".
 4. Book another appointment.</v>
      </c>
      <c r="G10" s="524" t="str">
        <f>IFERROR(__xludf.DUMMYFUNCTION("""COMPUTED_VALUE"""),"The template should be different for rebooked notifcation email.")</f>
        <v>The template should be different for rebooked notifcation email.</v>
      </c>
      <c r="H10" s="524" t="str">
        <f>IFERROR(__xludf.DUMMYFUNCTION("""COMPUTED_VALUE"""),"Fail")</f>
        <v>Fail</v>
      </c>
      <c r="I10" s="523"/>
      <c r="J10" s="523" t="str">
        <f>IFERROR(__xludf.DUMMYFUNCTION("""COMPUTED_VALUE"""),"qa-double-rc2")</f>
        <v>qa-double-rc2</v>
      </c>
      <c r="K10" s="523"/>
      <c r="L10" s="523"/>
      <c r="M10" s="523"/>
      <c r="N10" s="523"/>
      <c r="O10" s="523"/>
      <c r="P10" s="523"/>
      <c r="Q10" s="523"/>
      <c r="R10" s="523"/>
      <c r="S10" s="523"/>
      <c r="T10" s="523"/>
      <c r="U10" s="523"/>
      <c r="V10" s="523"/>
      <c r="W10" s="523"/>
      <c r="X10" s="523"/>
      <c r="Y10" s="523"/>
      <c r="Z10" s="523"/>
    </row>
    <row r="11">
      <c r="A11" s="523"/>
      <c r="B11" s="524" t="str">
        <f>IFERROR(__xludf.DUMMYFUNCTION("""COMPUTED_VALUE"""),"Audit Log")</f>
        <v>Audit Log</v>
      </c>
      <c r="C11" s="523" t="str">
        <f>IFERROR(__xludf.DUMMYFUNCTION("""COMPUTED_VALUE"""),"TC_Pre-Reg_187")</f>
        <v>TC_Pre-Reg_187</v>
      </c>
      <c r="D11" s="523" t="str">
        <f>IFERROR(__xludf.DUMMYFUNCTION("""COMPUTED_VALUE"""),"Smoke")</f>
        <v>Smoke</v>
      </c>
      <c r="E11" s="524" t="str">
        <f>IFERROR(__xludf.DUMMYFUNCTION("""COMPUTED_VALUE"""),"Audit-logs : Captcha")</f>
        <v>Audit-logs : Captcha</v>
      </c>
      <c r="F11" s="524" t="str">
        <f>IFERROR(__xludf.DUMMYFUNCTION("""COMPUTED_VALUE"""),"1. open the appropriate DB in pgAdmin4
 2. Navigate to : mosip_audit &gt; Schenas &gt; audit &gt; Tables &gt; app_audit_log
 3. Right click on app_sudit_log &gt; scripts &gt; SELECT SCRIPTS
 4. Give the Query as below :
 SELECT log_id, log_dtimes, log_desc, event_id, event"&amp;"_type, event_name, action_dtimes, host_name, host_ip, session_user_id, session_user_name, app_id, app_name, module_id, module_name, ref_id, ref_id_type, cr_by
 FROM audit.app_audit_log where session_user_name = '&lt;enter your email address here&gt;' order by l"&amp;"og_dtimes desc;
 5. Execute the scripts with the play button.
 6. Open a browser and try to login with captcha enabled and perform the required steps to pass the captcha.")</f>
        <v>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with captcha enabled and perform the required steps to pass the captcha.</v>
      </c>
      <c r="G11" s="524" t="str">
        <f>IFERROR(__xludf.DUMMYFUNCTION("""COMPUTED_VALUE"""),"After the Captcha is verified successfully, the audit logs shows : ""Captcha successfully"". No sensitive information about the applicant/logged in user should be recorded in the table.")</f>
        <v>After the Captcha is verified successfully, the audit logs shows : "Captcha successfully". No sensitive information about the applicant/logged in user should be recorded in the table.</v>
      </c>
      <c r="H11" s="524" t="str">
        <f>IFERROR(__xludf.DUMMYFUNCTION("""COMPUTED_VALUE"""),"Fail")</f>
        <v>Fail</v>
      </c>
      <c r="I11" s="523" t="str">
        <f>IFERROR(__xludf.DUMMYFUNCTION("""COMPUTED_VALUE"""),"qa-double-rc2")</f>
        <v>qa-double-rc2</v>
      </c>
      <c r="J11" s="523" t="str">
        <f>IFERROR(__xludf.DUMMYFUNCTION("""COMPUTED_VALUE"""),"qa-double-rc2")</f>
        <v>qa-double-rc2</v>
      </c>
      <c r="K11" s="523"/>
      <c r="L11" s="523"/>
      <c r="M11" s="523"/>
      <c r="N11" s="523"/>
      <c r="O11" s="523"/>
      <c r="P11" s="523"/>
      <c r="Q11" s="523"/>
      <c r="R11" s="523"/>
      <c r="S11" s="523"/>
      <c r="T11" s="523"/>
      <c r="U11" s="523"/>
      <c r="V11" s="523"/>
      <c r="W11" s="523"/>
      <c r="X11" s="523"/>
      <c r="Y11" s="523"/>
      <c r="Z11" s="523"/>
    </row>
    <row r="12">
      <c r="A12" s="523" t="str">
        <f>IFERROR(__xludf.DUMMYFUNCTION("""COMPUTED_VALUE"""),"MOSIP_9997")</f>
        <v>MOSIP_9997</v>
      </c>
      <c r="B12" s="524"/>
      <c r="C12" s="523" t="str">
        <f>IFERROR(__xludf.DUMMYFUNCTION("""COMPUTED_VALUE"""),"MOSIP_9997-06")</f>
        <v>MOSIP_9997-06</v>
      </c>
      <c r="D12" s="523" t="str">
        <f>IFERROR(__xludf.DUMMYFUNCTION("""COMPUTED_VALUE"""),"Regression")</f>
        <v>Regression</v>
      </c>
      <c r="E12" s="524" t="str">
        <f>IFERROR(__xludf.DUMMYFUNCTION("""COMPUTED_VALUE"""),"Mandatory fields validation in location hierarchy - Skipping a dropdown in the hierarchy.")</f>
        <v>Mandatory fields validation in location hierarchy - Skipping a dropdown in the hierarchy.</v>
      </c>
      <c r="F12" s="524" t="str">
        <f>IFERROR(__xludf.DUMMYFUNCTION("""COMPUTED_VALUE"""),"1. Login into Pre-Reg.
 2. Click on ""CREATE NEW APPLICATION"" and click ON SUBMIT 
 3. Check the agree terms and conditions and click on ACCEPT.
 4. Fill the application.
 5. Try to complete the application by Choose the values in the dropdown for the ad"&amp;"dress without the order of the hierarchy.(Ex: Choose City without choosing Region and Province)")</f>
        <v>1. Login into Pre-Reg.
 2. Click on "CREATE NEW APPLICATION" and click ON SUBMIT 
 3. Check the agree terms and conditions and click on ACCEPT.
 4. Fill the application.
 5. Try to complete the application by Choose the values in the dropdown for the address without the order of the hierarchy.(Ex: Choose City without choosing Region and Province)</v>
      </c>
      <c r="G12" s="524" t="str">
        <f>IFERROR(__xludf.DUMMYFUNCTION("""COMPUTED_VALUE"""),"Message should be displayed to the user ""Choose the address fields in hierarchical (Region-&gt;Province-&gt;City-&gt;Zone-&gt;Postal code)"".")</f>
        <v>Message should be displayed to the user "Choose the address fields in hierarchical (Region-&gt;Province-&gt;City-&gt;Zone-&gt;Postal code)".</v>
      </c>
      <c r="H12" s="524" t="str">
        <f>IFERROR(__xludf.DUMMYFUNCTION("""COMPUTED_VALUE"""),"Fail")</f>
        <v>Fail</v>
      </c>
      <c r="I12" s="523"/>
      <c r="J12" s="523" t="str">
        <f>IFERROR(__xludf.DUMMYFUNCTION("""COMPUTED_VALUE"""),"qa-double-rc2")</f>
        <v>qa-double-rc2</v>
      </c>
      <c r="K12" s="523"/>
      <c r="L12" s="523"/>
      <c r="M12" s="523"/>
      <c r="N12" s="523"/>
      <c r="O12" s="523"/>
      <c r="P12" s="523"/>
      <c r="Q12" s="523"/>
      <c r="R12" s="523"/>
      <c r="S12" s="523"/>
      <c r="T12" s="523"/>
      <c r="U12" s="523"/>
      <c r="V12" s="523"/>
      <c r="W12" s="523"/>
      <c r="X12" s="523"/>
      <c r="Y12" s="523"/>
      <c r="Z12" s="523"/>
    </row>
    <row r="13">
      <c r="A13" s="523" t="str">
        <f>IFERROR(__xludf.DUMMYFUNCTION("""COMPUTED_VALUE"""),"MOSIP-17337")</f>
        <v>MOSIP-17337</v>
      </c>
      <c r="B13" s="524"/>
      <c r="C13" s="523" t="str">
        <f>IFERROR(__xludf.DUMMYFUNCTION("""COMPUTED_VALUE"""),"MOSIP-17337-10")</f>
        <v>MOSIP-17337-10</v>
      </c>
      <c r="D13" s="523" t="str">
        <f>IFERROR(__xludf.DUMMYFUNCTION("""COMPUTED_VALUE"""),"Smoke")</f>
        <v>Smoke</v>
      </c>
      <c r="E13" s="524" t="str">
        <f>IFERROR(__xludf.DUMMYFUNCTION("""COMPUTED_VALUE"""),"Appointments per registration center")</f>
        <v>Appointments per registration center</v>
      </c>
      <c r="F13" s="524" t="str">
        <f>IFERROR(__xludf.DUMMYFUNCTION("""COMPUTED_VALUE"""),"1. Login into Pre-reg and create an applications and make an appoints.
 2. Open ""kibana"" in qa-double-rc2.
 3. Navigate to Dashboard &gt; select ""Pre Reg Operations"" and select a time frame for the results required.")</f>
        <v>1. Login into Pre-reg and create an applications and make an appoints.
 2. Open "kibana" in qa-double-rc2.
 3. Navigate to Dashboard &gt; select "Pre Reg Operations" and select a time frame for the results required.</v>
      </c>
      <c r="G13" s="524" t="str">
        <f>IFERROR(__xludf.DUMMYFUNCTION("""COMPUTED_VALUE"""),"Verify the ""Appointments per registration center""")</f>
        <v>Verify the "Appointments per registration center"</v>
      </c>
      <c r="H13" s="524" t="str">
        <f>IFERROR(__xludf.DUMMYFUNCTION("""COMPUTED_VALUE"""),"Fail")</f>
        <v>Fail</v>
      </c>
      <c r="I13" s="523"/>
      <c r="J13" s="523" t="str">
        <f>IFERROR(__xludf.DUMMYFUNCTION("""COMPUTED_VALUE"""),"qa-double-rc2")</f>
        <v>qa-double-rc2</v>
      </c>
      <c r="K13" s="523"/>
      <c r="L13" s="523"/>
      <c r="M13" s="523"/>
      <c r="N13" s="523"/>
      <c r="O13" s="523"/>
      <c r="P13" s="523"/>
      <c r="Q13" s="523"/>
      <c r="R13" s="523"/>
      <c r="S13" s="523"/>
      <c r="T13" s="523"/>
      <c r="U13" s="523"/>
      <c r="V13" s="523"/>
      <c r="W13" s="523"/>
      <c r="X13" s="523"/>
      <c r="Y13" s="523"/>
      <c r="Z13" s="523"/>
    </row>
    <row r="14">
      <c r="A14" s="523"/>
      <c r="B14" s="524"/>
      <c r="C14" s="523" t="str">
        <f>IFERROR(__xludf.DUMMYFUNCTION("""COMPUTED_VALUE"""),"RegClient_01")</f>
        <v>RegClient_01</v>
      </c>
      <c r="D14" s="523" t="str">
        <f>IFERROR(__xludf.DUMMYFUNCTION("""COMPUTED_VALUE"""),"Integration")</f>
        <v>Integration</v>
      </c>
      <c r="E14" s="524" t="str">
        <f>IFERROR(__xludf.DUMMYFUNCTION("""COMPUTED_VALUE"""),"Exceptional hoilday")</f>
        <v>Exceptional hoilday</v>
      </c>
      <c r="F14" s="524" t="str">
        <f>IFERROR(__xludf.DUMMYFUNCTION("""COMPUTED_VALUE"""),"Configure exceptional hoildays in Admin.")</f>
        <v>Configure exceptional hoildays in Admin.</v>
      </c>
      <c r="G14" s="524" t="str">
        <f>IFERROR(__xludf.DUMMYFUNCTION("""COMPUTED_VALUE"""),"1. Login to RegClient on exceptional hoilday.
 2. Verify registration process.")</f>
        <v>1. Login to RegClient on exceptional hoilday.
 2. Verify registration process.</v>
      </c>
      <c r="H14" s="524" t="str">
        <f>IFERROR(__xludf.DUMMYFUNCTION("""COMPUTED_VALUE"""),"Registration should not be allowed.")</f>
        <v>Registration should not be allowed.</v>
      </c>
      <c r="I14" s="523" t="str">
        <f>IFERROR(__xludf.DUMMYFUNCTION("""COMPUTED_VALUE"""),"Fail")</f>
        <v>Fail</v>
      </c>
      <c r="J14" s="523"/>
      <c r="K14" s="523" t="str">
        <f>IFERROR(__xludf.DUMMYFUNCTION("""COMPUTED_VALUE"""),"qa-double-rc2")</f>
        <v>qa-double-rc2</v>
      </c>
      <c r="L14" s="523"/>
      <c r="M14" s="523"/>
      <c r="N14" s="523"/>
      <c r="O14" s="523"/>
      <c r="P14" s="523"/>
      <c r="Q14" s="523"/>
      <c r="R14" s="523"/>
      <c r="S14" s="523"/>
      <c r="T14" s="523"/>
      <c r="U14" s="523"/>
      <c r="V14" s="523"/>
      <c r="W14" s="523"/>
      <c r="X14" s="523"/>
      <c r="Y14" s="523"/>
      <c r="Z14" s="523"/>
    </row>
    <row r="15">
      <c r="A15" s="523"/>
      <c r="B15" s="524"/>
      <c r="C15" s="523" t="str">
        <f>IFERROR(__xludf.DUMMYFUNCTION("""COMPUTED_VALUE"""),"RegClient_03")</f>
        <v>RegClient_03</v>
      </c>
      <c r="D15" s="523" t="str">
        <f>IFERROR(__xludf.DUMMYFUNCTION("""COMPUTED_VALUE"""),"Integration")</f>
        <v>Integration</v>
      </c>
      <c r="E15" s="524" t="str">
        <f>IFERROR(__xludf.DUMMYFUNCTION("""COMPUTED_VALUE"""),"Non working day")</f>
        <v>Non working day</v>
      </c>
      <c r="F15" s="524" t="str">
        <f>IFERROR(__xludf.DUMMYFUNCTION("""COMPUTED_VALUE"""),"Configure Dynamic nature of working days in Admin.")</f>
        <v>Configure Dynamic nature of working days in Admin.</v>
      </c>
      <c r="G15" s="524" t="str">
        <f>IFERROR(__xludf.DUMMYFUNCTION("""COMPUTED_VALUE"""),"1.Login to RegClient on non working days.
 2. Verify registration process.")</f>
        <v>1.Login to RegClient on non working days.
 2. Verify registration process.</v>
      </c>
      <c r="H15" s="524" t="str">
        <f>IFERROR(__xludf.DUMMYFUNCTION("""COMPUTED_VALUE"""),"Registration should not be allowed.")</f>
        <v>Registration should not be allowed.</v>
      </c>
      <c r="I15" s="523" t="str">
        <f>IFERROR(__xludf.DUMMYFUNCTION("""COMPUTED_VALUE"""),"Fail")</f>
        <v>Fail</v>
      </c>
      <c r="J15" s="523"/>
      <c r="K15" s="523" t="str">
        <f>IFERROR(__xludf.DUMMYFUNCTION("""COMPUTED_VALUE"""),"qa-double-rc2")</f>
        <v>qa-double-rc2</v>
      </c>
      <c r="L15" s="523" t="str">
        <f>IFERROR(__xludf.DUMMYFUNCTION("""COMPUTED_VALUE"""),"MOSIP-18721")</f>
        <v>MOSIP-18721</v>
      </c>
      <c r="M15" s="523"/>
      <c r="N15" s="523"/>
      <c r="O15" s="523"/>
      <c r="P15" s="523"/>
      <c r="Q15" s="523"/>
      <c r="R15" s="523"/>
      <c r="S15" s="523"/>
      <c r="T15" s="523"/>
      <c r="U15" s="523"/>
      <c r="V15" s="523"/>
      <c r="W15" s="523"/>
      <c r="X15" s="523"/>
      <c r="Y15" s="523"/>
      <c r="Z15" s="523"/>
    </row>
    <row r="16">
      <c r="A16" s="523"/>
      <c r="B16" s="524"/>
      <c r="C16" s="523" t="str">
        <f>IFERROR(__xludf.DUMMYFUNCTION("""COMPUTED_VALUE"""),"RegClient_04")</f>
        <v>RegClient_04</v>
      </c>
      <c r="D16" s="523" t="str">
        <f>IFERROR(__xludf.DUMMYFUNCTION("""COMPUTED_VALUE"""),"Integration")</f>
        <v>Integration</v>
      </c>
      <c r="E16" s="524" t="str">
        <f>IFERROR(__xludf.DUMMYFUNCTION("""COMPUTED_VALUE"""),"packet status in admin UI.")</f>
        <v>packet status in admin UI.</v>
      </c>
      <c r="F16" s="524" t="str">
        <f>IFERROR(__xludf.DUMMYFUNCTION("""COMPUTED_VALUE"""),"Create new registration flow packet in regclient")</f>
        <v>Create new registration flow packet in regclient</v>
      </c>
      <c r="G16" s="524" t="str">
        <f>IFERROR(__xludf.DUMMYFUNCTION("""COMPUTED_VALUE"""),"Verify the packet status in admin UI.")</f>
        <v>Verify the packet status in admin UI.</v>
      </c>
      <c r="H16" s="524" t="str">
        <f>IFERROR(__xludf.DUMMYFUNCTION("""COMPUTED_VALUE"""),"Packet status should be displayed in Admin.")</f>
        <v>Packet status should be displayed in Admin.</v>
      </c>
      <c r="I16" s="523" t="str">
        <f>IFERROR(__xludf.DUMMYFUNCTION("""COMPUTED_VALUE"""),"Fail")</f>
        <v>Fail</v>
      </c>
      <c r="J16" s="523"/>
      <c r="K16" s="523" t="str">
        <f>IFERROR(__xludf.DUMMYFUNCTION("""COMPUTED_VALUE"""),"qa-double-rc2")</f>
        <v>qa-double-rc2</v>
      </c>
      <c r="L16" s="523" t="str">
        <f>IFERROR(__xludf.DUMMYFUNCTION("""COMPUTED_VALUE"""),"MOSIP-19717")</f>
        <v>MOSIP-19717</v>
      </c>
      <c r="M16" s="523"/>
      <c r="N16" s="523"/>
      <c r="O16" s="523"/>
      <c r="P16" s="523"/>
      <c r="Q16" s="523"/>
      <c r="R16" s="523"/>
      <c r="S16" s="523"/>
      <c r="T16" s="523"/>
      <c r="U16" s="523"/>
      <c r="V16" s="523"/>
      <c r="W16" s="523"/>
      <c r="X16" s="523"/>
      <c r="Y16" s="523"/>
      <c r="Z16" s="523"/>
    </row>
    <row r="17">
      <c r="A17" s="523"/>
      <c r="B17" s="524"/>
      <c r="C17" s="523" t="str">
        <f>IFERROR(__xludf.DUMMYFUNCTION("""COMPUTED_VALUE"""),"RegClient_05")</f>
        <v>RegClient_05</v>
      </c>
      <c r="D17" s="523" t="str">
        <f>IFERROR(__xludf.DUMMYFUNCTION("""COMPUTED_VALUE"""),"Integration")</f>
        <v>Integration</v>
      </c>
      <c r="E17" s="524" t="str">
        <f>IFERROR(__xludf.DUMMYFUNCTION("""COMPUTED_VALUE"""),"packet status in admin UI.")</f>
        <v>packet status in admin UI.</v>
      </c>
      <c r="F17" s="524" t="str">
        <f>IFERROR(__xludf.DUMMYFUNCTION("""COMPUTED_VALUE"""),"Create new registration flow, Approve packet in EoD process")</f>
        <v>Create new registration flow, Approve packet in EoD process</v>
      </c>
      <c r="G17" s="524" t="str">
        <f>IFERROR(__xludf.DUMMYFUNCTION("""COMPUTED_VALUE"""),"Verify the packet status in admin UI.")</f>
        <v>Verify the packet status in admin UI.</v>
      </c>
      <c r="H17" s="524" t="str">
        <f>IFERROR(__xludf.DUMMYFUNCTION("""COMPUTED_VALUE"""),"Packet status should be displayed in Admin.")</f>
        <v>Packet status should be displayed in Admin.</v>
      </c>
      <c r="I17" s="523" t="str">
        <f>IFERROR(__xludf.DUMMYFUNCTION("""COMPUTED_VALUE"""),"Fail")</f>
        <v>Fail</v>
      </c>
      <c r="J17" s="523"/>
      <c r="K17" s="523" t="str">
        <f>IFERROR(__xludf.DUMMYFUNCTION("""COMPUTED_VALUE"""),"qa-double-rc2")</f>
        <v>qa-double-rc2</v>
      </c>
      <c r="L17" s="523" t="str">
        <f>IFERROR(__xludf.DUMMYFUNCTION("""COMPUTED_VALUE"""),"MOSIP-19717")</f>
        <v>MOSIP-19717</v>
      </c>
      <c r="M17" s="523"/>
      <c r="N17" s="523"/>
      <c r="O17" s="523"/>
      <c r="P17" s="523"/>
      <c r="Q17" s="523"/>
      <c r="R17" s="523"/>
      <c r="S17" s="523"/>
      <c r="T17" s="523"/>
      <c r="U17" s="523"/>
      <c r="V17" s="523"/>
      <c r="W17" s="523"/>
      <c r="X17" s="523"/>
      <c r="Y17" s="523"/>
      <c r="Z17" s="523"/>
    </row>
    <row r="18">
      <c r="A18" s="523"/>
      <c r="B18" s="524"/>
      <c r="C18" s="523" t="str">
        <f>IFERROR(__xludf.DUMMYFUNCTION("""COMPUTED_VALUE"""),"RegClient_06")</f>
        <v>RegClient_06</v>
      </c>
      <c r="D18" s="523" t="str">
        <f>IFERROR(__xludf.DUMMYFUNCTION("""COMPUTED_VALUE"""),"Integration")</f>
        <v>Integration</v>
      </c>
      <c r="E18" s="524" t="str">
        <f>IFERROR(__xludf.DUMMYFUNCTION("""COMPUTED_VALUE"""),"packet status in admin UI.")</f>
        <v>packet status in admin UI.</v>
      </c>
      <c r="F18" s="524" t="str">
        <f>IFERROR(__xludf.DUMMYFUNCTION("""COMPUTED_VALUE"""),"Create new registration flow, Upload the approved packet")</f>
        <v>Create new registration flow, Upload the approved packet</v>
      </c>
      <c r="G18" s="524" t="str">
        <f>IFERROR(__xludf.DUMMYFUNCTION("""COMPUTED_VALUE"""),"Verify the packet status in admin UI.")</f>
        <v>Verify the packet status in admin UI.</v>
      </c>
      <c r="H18" s="524" t="str">
        <f>IFERROR(__xludf.DUMMYFUNCTION("""COMPUTED_VALUE"""),"Packet status should be displayed in Admin.")</f>
        <v>Packet status should be displayed in Admin.</v>
      </c>
      <c r="I18" s="523" t="str">
        <f>IFERROR(__xludf.DUMMYFUNCTION("""COMPUTED_VALUE"""),"Fail")</f>
        <v>Fail</v>
      </c>
      <c r="J18" s="523"/>
      <c r="K18" s="523" t="str">
        <f>IFERROR(__xludf.DUMMYFUNCTION("""COMPUTED_VALUE"""),"qa-double-rc2")</f>
        <v>qa-double-rc2</v>
      </c>
      <c r="L18" s="523" t="str">
        <f>IFERROR(__xludf.DUMMYFUNCTION("""COMPUTED_VALUE"""),"MOSIP-19717")</f>
        <v>MOSIP-19717</v>
      </c>
      <c r="M18" s="523"/>
      <c r="N18" s="523"/>
      <c r="O18" s="523"/>
      <c r="P18" s="523"/>
      <c r="Q18" s="523"/>
      <c r="R18" s="523"/>
      <c r="S18" s="523"/>
      <c r="T18" s="523"/>
      <c r="U18" s="523"/>
      <c r="V18" s="523"/>
      <c r="W18" s="523"/>
      <c r="X18" s="523"/>
      <c r="Y18" s="523"/>
      <c r="Z18" s="523"/>
    </row>
    <row r="19">
      <c r="A19" s="523"/>
      <c r="B19" s="524"/>
      <c r="C19" s="523" t="str">
        <f>IFERROR(__xludf.DUMMYFUNCTION("""COMPUTED_VALUE"""),"RegClient_07")</f>
        <v>RegClient_07</v>
      </c>
      <c r="D19" s="523" t="str">
        <f>IFERROR(__xludf.DUMMYFUNCTION("""COMPUTED_VALUE"""),"Integration")</f>
        <v>Integration</v>
      </c>
      <c r="E19" s="524" t="str">
        <f>IFERROR(__xludf.DUMMYFUNCTION("""COMPUTED_VALUE"""),"packet status in admin UI.")</f>
        <v>packet status in admin UI.</v>
      </c>
      <c r="F19" s="524" t="str">
        <f>IFERROR(__xludf.DUMMYFUNCTION("""COMPUTED_VALUE"""),"Create update registration flow packet in regclient")</f>
        <v>Create update registration flow packet in regclient</v>
      </c>
      <c r="G19" s="524" t="str">
        <f>IFERROR(__xludf.DUMMYFUNCTION("""COMPUTED_VALUE"""),"Verify the packet status in admin UI.")</f>
        <v>Verify the packet status in admin UI.</v>
      </c>
      <c r="H19" s="524" t="str">
        <f>IFERROR(__xludf.DUMMYFUNCTION("""COMPUTED_VALUE"""),"Packet status should be displayed in Admin.")</f>
        <v>Packet status should be displayed in Admin.</v>
      </c>
      <c r="I19" s="523" t="str">
        <f>IFERROR(__xludf.DUMMYFUNCTION("""COMPUTED_VALUE"""),"Fail")</f>
        <v>Fail</v>
      </c>
      <c r="J19" s="523"/>
      <c r="K19" s="523" t="str">
        <f>IFERROR(__xludf.DUMMYFUNCTION("""COMPUTED_VALUE"""),"qa-double-rc2")</f>
        <v>qa-double-rc2</v>
      </c>
      <c r="L19" s="523" t="str">
        <f>IFERROR(__xludf.DUMMYFUNCTION("""COMPUTED_VALUE"""),"MOSIP-19717")</f>
        <v>MOSIP-19717</v>
      </c>
      <c r="M19" s="523"/>
      <c r="N19" s="523"/>
      <c r="O19" s="523"/>
      <c r="P19" s="523"/>
      <c r="Q19" s="523"/>
      <c r="R19" s="523"/>
      <c r="S19" s="523"/>
      <c r="T19" s="523"/>
      <c r="U19" s="523"/>
      <c r="V19" s="523"/>
      <c r="W19" s="523"/>
      <c r="X19" s="523"/>
      <c r="Y19" s="523"/>
      <c r="Z19" s="523"/>
    </row>
    <row r="20">
      <c r="A20" s="523"/>
      <c r="B20" s="524"/>
      <c r="C20" s="523" t="str">
        <f>IFERROR(__xludf.DUMMYFUNCTION("""COMPUTED_VALUE"""),"RegClient_11")</f>
        <v>RegClient_11</v>
      </c>
      <c r="D20" s="523" t="str">
        <f>IFERROR(__xludf.DUMMYFUNCTION("""COMPUTED_VALUE"""),"Integration")</f>
        <v>Integration</v>
      </c>
      <c r="E20" s="524" t="str">
        <f>IFERROR(__xludf.DUMMYFUNCTION("""COMPUTED_VALUE"""),"packet status in admin UI.")</f>
        <v>packet status in admin UI.</v>
      </c>
      <c r="F20" s="524" t="str">
        <f>IFERROR(__xludf.DUMMYFUNCTION("""COMPUTED_VALUE"""),"Create new registration flow packet in regclient")</f>
        <v>Create new registration flow packet in regclient</v>
      </c>
      <c r="G20" s="524" t="str">
        <f>IFERROR(__xludf.DUMMYFUNCTION("""COMPUTED_VALUE"""),"1. Search RID in Admin UI
 2. Verify respective flow.")</f>
        <v>1. Search RID in Admin UI
 2. Verify respective flow.</v>
      </c>
      <c r="H20" s="524" t="str">
        <f>IFERROR(__xludf.DUMMYFUNCTION("""COMPUTED_VALUE"""),"Packet displayed as New in Admin UI")</f>
        <v>Packet displayed as New in Admin UI</v>
      </c>
      <c r="I20" s="523" t="str">
        <f>IFERROR(__xludf.DUMMYFUNCTION("""COMPUTED_VALUE"""),"Fail")</f>
        <v>Fail</v>
      </c>
      <c r="J20" s="523"/>
      <c r="K20" s="523" t="str">
        <f>IFERROR(__xludf.DUMMYFUNCTION("""COMPUTED_VALUE"""),"qa-double-rc2")</f>
        <v>qa-double-rc2</v>
      </c>
      <c r="L20" s="523" t="str">
        <f>IFERROR(__xludf.DUMMYFUNCTION("""COMPUTED_VALUE"""),"MOSIP-19717")</f>
        <v>MOSIP-19717</v>
      </c>
      <c r="M20" s="523"/>
      <c r="N20" s="523"/>
      <c r="O20" s="523"/>
      <c r="P20" s="523"/>
      <c r="Q20" s="523"/>
      <c r="R20" s="523"/>
      <c r="S20" s="523"/>
      <c r="T20" s="523"/>
      <c r="U20" s="523"/>
      <c r="V20" s="523"/>
      <c r="W20" s="523"/>
      <c r="X20" s="523"/>
      <c r="Y20" s="523"/>
      <c r="Z20" s="523"/>
    </row>
    <row r="21">
      <c r="A21" s="523"/>
      <c r="B21" s="524"/>
      <c r="C21" s="523" t="str">
        <f>IFERROR(__xludf.DUMMYFUNCTION("""COMPUTED_VALUE"""),"RegClient_12")</f>
        <v>RegClient_12</v>
      </c>
      <c r="D21" s="523" t="str">
        <f>IFERROR(__xludf.DUMMYFUNCTION("""COMPUTED_VALUE"""),"Integration")</f>
        <v>Integration</v>
      </c>
      <c r="E21" s="524" t="str">
        <f>IFERROR(__xludf.DUMMYFUNCTION("""COMPUTED_VALUE"""),"packet status in admin UI.")</f>
        <v>packet status in admin UI.</v>
      </c>
      <c r="F21" s="524" t="str">
        <f>IFERROR(__xludf.DUMMYFUNCTION("""COMPUTED_VALUE"""),"1. Create packet in regclient for update flow.")</f>
        <v>1. Create packet in regclient for update flow.</v>
      </c>
      <c r="G21" s="524" t="str">
        <f>IFERROR(__xludf.DUMMYFUNCTION("""COMPUTED_VALUE""")," Search RID in Admin UI and verify respective flow.")</f>
        <v> Search RID in Admin UI and verify respective flow.</v>
      </c>
      <c r="H21" s="524" t="str">
        <f>IFERROR(__xludf.DUMMYFUNCTION("""COMPUTED_VALUE"""),"Packet displayed as New in Admin UI")</f>
        <v>Packet displayed as New in Admin UI</v>
      </c>
      <c r="I21" s="523" t="str">
        <f>IFERROR(__xludf.DUMMYFUNCTION("""COMPUTED_VALUE"""),"Fail")</f>
        <v>Fail</v>
      </c>
      <c r="J21" s="523"/>
      <c r="K21" s="523" t="str">
        <f>IFERROR(__xludf.DUMMYFUNCTION("""COMPUTED_VALUE"""),"qa-double-rc2")</f>
        <v>qa-double-rc2</v>
      </c>
      <c r="L21" s="523" t="str">
        <f>IFERROR(__xludf.DUMMYFUNCTION("""COMPUTED_VALUE"""),"MOSIP-19717")</f>
        <v>MOSIP-19717</v>
      </c>
      <c r="M21" s="523"/>
      <c r="N21" s="523"/>
      <c r="O21" s="523"/>
      <c r="P21" s="523"/>
      <c r="Q21" s="523"/>
      <c r="R21" s="523"/>
      <c r="S21" s="523"/>
      <c r="T21" s="523"/>
      <c r="U21" s="523"/>
      <c r="V21" s="523"/>
      <c r="W21" s="523"/>
      <c r="X21" s="523"/>
      <c r="Y21" s="523"/>
      <c r="Z21" s="523"/>
    </row>
    <row r="22">
      <c r="A22" s="523"/>
      <c r="B22" s="524"/>
      <c r="C22" s="523" t="str">
        <f>IFERROR(__xludf.DUMMYFUNCTION("""COMPUTED_VALUE"""),"RegClient_14")</f>
        <v>RegClient_14</v>
      </c>
      <c r="D22" s="523" t="str">
        <f>IFERROR(__xludf.DUMMYFUNCTION("""COMPUTED_VALUE"""),"Integration")</f>
        <v>Integration</v>
      </c>
      <c r="E22" s="524" t="str">
        <f>IFERROR(__xludf.DUMMYFUNCTION("""COMPUTED_VALUE"""),"packet status in admin UI.")</f>
        <v>packet status in admin UI.</v>
      </c>
      <c r="F22" s="524" t="str">
        <f>IFERROR(__xludf.DUMMYFUNCTION("""COMPUTED_VALUE"""),"1. Create packet in regclient and upload packet.")</f>
        <v>1. Create packet in regclient and upload packet.</v>
      </c>
      <c r="G22" s="524" t="str">
        <f>IFERROR(__xludf.DUMMYFUNCTION("""COMPUTED_VALUE""")," verify packet processed stage in Admin UI")</f>
        <v> verify packet processed stage in Admin UI</v>
      </c>
      <c r="H22" s="524" t="str">
        <f>IFERROR(__xludf.DUMMYFUNCTION("""COMPUTED_VALUE"""),"Packet processing stage should be displayed.")</f>
        <v>Packet processing stage should be displayed.</v>
      </c>
      <c r="I22" s="523" t="str">
        <f>IFERROR(__xludf.DUMMYFUNCTION("""COMPUTED_VALUE"""),"Fail")</f>
        <v>Fail</v>
      </c>
      <c r="J22" s="523"/>
      <c r="K22" s="523" t="str">
        <f>IFERROR(__xludf.DUMMYFUNCTION("""COMPUTED_VALUE"""),"qa-double-rc2")</f>
        <v>qa-double-rc2</v>
      </c>
      <c r="L22" s="523" t="str">
        <f>IFERROR(__xludf.DUMMYFUNCTION("""COMPUTED_VALUE"""),"MOSIP-19717")</f>
        <v>MOSIP-19717</v>
      </c>
      <c r="M22" s="523"/>
      <c r="N22" s="523"/>
      <c r="O22" s="523"/>
      <c r="P22" s="523"/>
      <c r="Q22" s="523"/>
      <c r="R22" s="523"/>
      <c r="S22" s="523"/>
      <c r="T22" s="523"/>
      <c r="U22" s="523"/>
      <c r="V22" s="523"/>
      <c r="W22" s="523"/>
      <c r="X22" s="523"/>
      <c r="Y22" s="523"/>
      <c r="Z22" s="523"/>
    </row>
    <row r="23">
      <c r="A23" s="523"/>
      <c r="B23" s="524"/>
      <c r="C23" s="523" t="str">
        <f>IFERROR(__xludf.DUMMYFUNCTION("""COMPUTED_VALUE"""),"RegClient_18")</f>
        <v>RegClient_18</v>
      </c>
      <c r="D23" s="523" t="str">
        <f>IFERROR(__xludf.DUMMYFUNCTION("""COMPUTED_VALUE"""),"Integration")</f>
        <v>Integration</v>
      </c>
      <c r="E23" s="524" t="str">
        <f>IFERROR(__xludf.DUMMYFUNCTION("""COMPUTED_VALUE"""),"packet status in admin UI.")</f>
        <v>packet status in admin UI.</v>
      </c>
      <c r="F23" s="524" t="str">
        <f>IFERROR(__xludf.DUMMYFUNCTION("""COMPUTED_VALUE"""),"1. Create Notification template in Admin UI")</f>
        <v>1. Create Notification template in Admin UI</v>
      </c>
      <c r="G23" s="524" t="str">
        <f>IFERROR(__xludf.DUMMYFUNCTION("""COMPUTED_VALUE"""),"Create Notification template in Admin UI and Verify in regclient.")</f>
        <v>Create Notification template in Admin UI and Verify in regclient.</v>
      </c>
      <c r="H23" s="524" t="str">
        <f>IFERROR(__xludf.DUMMYFUNCTION("""COMPUTED_VALUE"""),"Notification message should be displayed")</f>
        <v>Notification message should be displayed</v>
      </c>
      <c r="I23" s="523" t="str">
        <f>IFERROR(__xludf.DUMMYFUNCTION("""COMPUTED_VALUE"""),"Fail")</f>
        <v>Fail</v>
      </c>
      <c r="J23" s="523"/>
      <c r="K23" s="523" t="str">
        <f>IFERROR(__xludf.DUMMYFUNCTION("""COMPUTED_VALUE"""),"qa-double-rc2")</f>
        <v>qa-double-rc2</v>
      </c>
      <c r="L23" s="523" t="str">
        <f>IFERROR(__xludf.DUMMYFUNCTION("""COMPUTED_VALUE"""),"MOSIP-19717")</f>
        <v>MOSIP-19717</v>
      </c>
      <c r="M23" s="523"/>
      <c r="N23" s="523"/>
      <c r="O23" s="523"/>
      <c r="P23" s="523"/>
      <c r="Q23" s="523"/>
      <c r="R23" s="523"/>
      <c r="S23" s="523"/>
      <c r="T23" s="523"/>
      <c r="U23" s="523"/>
      <c r="V23" s="523"/>
      <c r="W23" s="523"/>
      <c r="X23" s="523"/>
      <c r="Y23" s="523"/>
      <c r="Z23" s="523"/>
    </row>
    <row r="24">
      <c r="A24" s="523"/>
      <c r="B24" s="524"/>
      <c r="C24" s="523" t="str">
        <f>IFERROR(__xludf.DUMMYFUNCTION("""COMPUTED_VALUE"""),"RegClient_19")</f>
        <v>RegClient_19</v>
      </c>
      <c r="D24" s="523" t="str">
        <f>IFERROR(__xludf.DUMMYFUNCTION("""COMPUTED_VALUE"""),"Integration")</f>
        <v>Integration</v>
      </c>
      <c r="E24" s="524" t="str">
        <f>IFERROR(__xludf.DUMMYFUNCTION("""COMPUTED_VALUE"""),"packet status in admin UI.")</f>
        <v>packet status in admin UI.</v>
      </c>
      <c r="F24" s="524" t="str">
        <f>IFERROR(__xludf.DUMMYFUNCTION("""COMPUTED_VALUE"""),"1. Update Notification template in Admin UI.")</f>
        <v>1. Update Notification template in Admin UI.</v>
      </c>
      <c r="G24" s="524" t="str">
        <f>IFERROR(__xludf.DUMMYFUNCTION("""COMPUTED_VALUE"""),"Update Notification template in Admin UI. and Verify in regclient.")</f>
        <v>Update Notification template in Admin UI. and Verify in regclient.</v>
      </c>
      <c r="H24" s="524" t="str">
        <f>IFERROR(__xludf.DUMMYFUNCTION("""COMPUTED_VALUE"""),"Notification message should be displayed")</f>
        <v>Notification message should be displayed</v>
      </c>
      <c r="I24" s="523" t="str">
        <f>IFERROR(__xludf.DUMMYFUNCTION("""COMPUTED_VALUE"""),"Fail")</f>
        <v>Fail</v>
      </c>
      <c r="J24" s="523"/>
      <c r="K24" s="523" t="str">
        <f>IFERROR(__xludf.DUMMYFUNCTION("""COMPUTED_VALUE"""),"qa-double-rc2")</f>
        <v>qa-double-rc2</v>
      </c>
      <c r="L24" s="523" t="str">
        <f>IFERROR(__xludf.DUMMYFUNCTION("""COMPUTED_VALUE"""),"MOSIP-19717")</f>
        <v>MOSIP-19717</v>
      </c>
      <c r="M24" s="523"/>
      <c r="N24" s="523"/>
      <c r="O24" s="523"/>
      <c r="P24" s="523"/>
      <c r="Q24" s="523"/>
      <c r="R24" s="523"/>
      <c r="S24" s="523"/>
      <c r="T24" s="523"/>
      <c r="U24" s="523"/>
      <c r="V24" s="523"/>
      <c r="W24" s="523"/>
      <c r="X24" s="523"/>
      <c r="Y24" s="523"/>
      <c r="Z24" s="523"/>
    </row>
    <row r="25">
      <c r="A25" s="523"/>
      <c r="B25" s="524"/>
      <c r="C25" s="523" t="str">
        <f>IFERROR(__xludf.DUMMYFUNCTION("""COMPUTED_VALUE"""),"RegClient_36")</f>
        <v>RegClient_36</v>
      </c>
      <c r="D25" s="523" t="str">
        <f>IFERROR(__xludf.DUMMYFUNCTION("""COMPUTED_VALUE"""),"Integration")</f>
        <v>Integration</v>
      </c>
      <c r="E25" s="524" t="str">
        <f>IFERROR(__xludf.DUMMYFUNCTION("""COMPUTED_VALUE"""),"User Center Remapping")</f>
        <v>User Center Remapping</v>
      </c>
      <c r="F25" s="524"/>
      <c r="G25" s="524" t="str">
        <f>IFERROR(__xludf.DUMMYFUNCTION("""COMPUTED_VALUE"""),"Relaunch and Login in to Reg.Client")</f>
        <v>Relaunch and Login in to Reg.Client</v>
      </c>
      <c r="H25" s="524" t="str">
        <f>IFERROR(__xludf.DUMMYFUNCTION("""COMPUTED_VALUE"""),"User should allow to login into Reg.Client")</f>
        <v>User should allow to login into Reg.Client</v>
      </c>
      <c r="I25" s="523" t="str">
        <f>IFERROR(__xludf.DUMMYFUNCTION("""COMPUTED_VALUE"""),"Fail")</f>
        <v>Fail</v>
      </c>
      <c r="J25" s="523"/>
      <c r="K25" s="523"/>
      <c r="L25" s="523" t="str">
        <f>IFERROR(__xludf.DUMMYFUNCTION("""COMPUTED_VALUE"""),"MOSIP-18297")</f>
        <v>MOSIP-18297</v>
      </c>
      <c r="M25" s="523"/>
      <c r="N25" s="523"/>
      <c r="O25" s="523"/>
      <c r="P25" s="523"/>
      <c r="Q25" s="523"/>
      <c r="R25" s="523"/>
      <c r="S25" s="523"/>
      <c r="T25" s="523"/>
      <c r="U25" s="523"/>
      <c r="V25" s="523"/>
      <c r="W25" s="523"/>
      <c r="X25" s="523"/>
      <c r="Y25" s="523"/>
      <c r="Z25" s="523"/>
    </row>
    <row r="26">
      <c r="A26" s="523" t="str">
        <f>IFERROR(__xludf.DUMMYFUNCTION("""COMPUTED_VALUE"""),"MOSIP-12464")</f>
        <v>MOSIP-12464</v>
      </c>
      <c r="B26" s="524"/>
      <c r="C26" s="523" t="str">
        <f>IFERROR(__xludf.DUMMYFUNCTION("""COMPUTED_VALUE"""),"TC_MOSIP-12464-03")</f>
        <v>TC_MOSIP-12464-03</v>
      </c>
      <c r="D26" s="523" t="str">
        <f>IFERROR(__xludf.DUMMYFUNCTION("""COMPUTED_VALUE"""),"Functional")</f>
        <v>Functional</v>
      </c>
      <c r="E26" s="524" t="str">
        <f>IFERROR(__xludf.DUMMYFUNCTION("""COMPUTED_VALUE"""),"Concept of Application ID in MOSIP")</f>
        <v>Concept of Application ID in MOSIP</v>
      </c>
      <c r="F26" s="524" t="str">
        <f>IFERROR(__xludf.DUMMYFUNCTION("""COMPUTED_VALUE"""),"1. Application id generated in Pre-Registration ex: 48641359150815.
 2. Packet created in RegClient 48641359150815_RegCenter_Machineid-Timestamp
 3. Resident provided email id in demographic details during registration.
 4. UIN Generated for packet transa"&amp;"ction.")</f>
        <v>1. Application id generated in Pre-Registration ex: 48641359150815.
 2. Packet created in RegClient 48641359150815_RegCenter_Machineid-Timestamp
 3. Resident provided email id in demographic details during registration.
 4. UIN Generated for packet transaction.</v>
      </c>
      <c r="G26" s="524" t="str">
        <f>IFERROR(__xludf.DUMMYFUNCTION("""COMPUTED_VALUE"""),"Verify UIN Generation confirmation email sent to resident.")</f>
        <v>Verify UIN Generation confirmation email sent to resident.</v>
      </c>
      <c r="H26" s="524" t="str">
        <f>IFERROR(__xludf.DUMMYFUNCTION("""COMPUTED_VALUE"""),"Resident should receive UIN Generation confirmation email.")</f>
        <v>Resident should receive UIN Generation confirmation email.</v>
      </c>
      <c r="I26" s="523" t="str">
        <f>IFERROR(__xludf.DUMMYFUNCTION("""COMPUTED_VALUE"""),"Fail")</f>
        <v>Fail</v>
      </c>
      <c r="J26" s="523"/>
      <c r="K26" s="523"/>
      <c r="L26" s="523"/>
      <c r="M26" s="523"/>
      <c r="N26" s="523"/>
      <c r="O26" s="523"/>
      <c r="P26" s="523"/>
      <c r="Q26" s="523"/>
      <c r="R26" s="523"/>
      <c r="S26" s="523"/>
      <c r="T26" s="523"/>
      <c r="U26" s="523"/>
      <c r="V26" s="523"/>
      <c r="W26" s="523"/>
      <c r="X26" s="523"/>
      <c r="Y26" s="523"/>
      <c r="Z26" s="523"/>
    </row>
    <row r="27">
      <c r="A27" s="523" t="str">
        <f>IFERROR(__xludf.DUMMYFUNCTION("""COMPUTED_VALUE"""),"MOSIP-12464")</f>
        <v>MOSIP-12464</v>
      </c>
      <c r="B27" s="524"/>
      <c r="C27" s="523" t="str">
        <f>IFERROR(__xludf.DUMMYFUNCTION("""COMPUTED_VALUE"""),"TC_MOSIP-12464-06")</f>
        <v>TC_MOSIP-12464-06</v>
      </c>
      <c r="D27" s="523" t="str">
        <f>IFERROR(__xludf.DUMMYFUNCTION("""COMPUTED_VALUE"""),"Functional")</f>
        <v>Functional</v>
      </c>
      <c r="E27" s="524" t="str">
        <f>IFERROR(__xludf.DUMMYFUNCTION("""COMPUTED_VALUE"""),"Concept of Application ID in MOSIP")</f>
        <v>Concept of Application ID in MOSIP</v>
      </c>
      <c r="F27" s="524" t="str">
        <f>IFERROR(__xludf.DUMMYFUNCTION("""COMPUTED_VALUE"""),"1. New Registration flow application id generated in Pre-Registration ex: 10001100990001220210930114118.
 2. Packet created in RegClient 10001100990001220210930114118_RegCenter_Machineid-Timestamp
 3. Resident provided email id in demographic details duri"&amp;"ng registration.
 4. UIN Generated for packet transaction.")</f>
        <v>1. New Registration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v>
      </c>
      <c r="G27" s="524" t="str">
        <f>IFERROR(__xludf.DUMMYFUNCTION("""COMPUTED_VALUE"""),"Verify UIN Generation confirmation email sent to resident.")</f>
        <v>Verify UIN Generation confirmation email sent to resident.</v>
      </c>
      <c r="H27" s="524" t="str">
        <f>IFERROR(__xludf.DUMMYFUNCTION("""COMPUTED_VALUE"""),"Resident should receive UIN Generation confirmation email.")</f>
        <v>Resident should receive UIN Generation confirmation email.</v>
      </c>
      <c r="I27" s="523" t="str">
        <f>IFERROR(__xludf.DUMMYFUNCTION("""COMPUTED_VALUE"""),"Fail")</f>
        <v>Fail</v>
      </c>
      <c r="J27" s="523"/>
      <c r="K27" s="523"/>
      <c r="L27" s="523"/>
      <c r="M27" s="523"/>
      <c r="N27" s="523"/>
      <c r="O27" s="523"/>
      <c r="P27" s="523"/>
      <c r="Q27" s="523"/>
      <c r="R27" s="523"/>
      <c r="S27" s="523"/>
      <c r="T27" s="523"/>
      <c r="U27" s="523"/>
      <c r="V27" s="523"/>
      <c r="W27" s="523"/>
      <c r="X27" s="523"/>
      <c r="Y27" s="523"/>
      <c r="Z27" s="523"/>
    </row>
    <row r="28">
      <c r="A28" s="523" t="str">
        <f>IFERROR(__xludf.DUMMYFUNCTION("""COMPUTED_VALUE"""),"MOSIP-12464")</f>
        <v>MOSIP-12464</v>
      </c>
      <c r="B28" s="524"/>
      <c r="C28" s="523" t="str">
        <f>IFERROR(__xludf.DUMMYFUNCTION("""COMPUTED_VALUE"""),"TC_MOSIP-12464-09")</f>
        <v>TC_MOSIP-12464-09</v>
      </c>
      <c r="D28" s="523" t="str">
        <f>IFERROR(__xludf.DUMMYFUNCTION("""COMPUTED_VALUE"""),"Functional")</f>
        <v>Functional</v>
      </c>
      <c r="E28" s="524" t="str">
        <f>IFERROR(__xludf.DUMMYFUNCTION("""COMPUTED_VALUE"""),"Concept of Application ID in MOSIP")</f>
        <v>Concept of Application ID in MOSIP</v>
      </c>
      <c r="F28" s="524" t="str">
        <f>IFERROR(__xludf.DUMMYFUNCTION("""COMPUTED_VALUE"""),"1. Update flow flow application id generated in Pre-Registration ex: 10001100990001220210930114118.
 2. Packet created in RegClient 10001100990001220210930114118_RegCenter_Machineid-Timestamp
 3. Resident provided email id in demographic details during re"&amp;"gistration.
 4. UIN Generated for packet transaction.")</f>
        <v>1. Update flow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v>
      </c>
      <c r="G28" s="524" t="str">
        <f>IFERROR(__xludf.DUMMYFUNCTION("""COMPUTED_VALUE"""),"Verify UIN Generation confirmation email sent to resident.")</f>
        <v>Verify UIN Generation confirmation email sent to resident.</v>
      </c>
      <c r="H28" s="524" t="str">
        <f>IFERROR(__xludf.DUMMYFUNCTION("""COMPUTED_VALUE"""),"Resident should receive UIN Generation confirmation email.")</f>
        <v>Resident should receive UIN Generation confirmation email.</v>
      </c>
      <c r="I28" s="523" t="str">
        <f>IFERROR(__xludf.DUMMYFUNCTION("""COMPUTED_VALUE"""),"Fail")</f>
        <v>Fail</v>
      </c>
      <c r="J28" s="523"/>
      <c r="K28" s="523"/>
      <c r="L28" s="523"/>
      <c r="M28" s="523"/>
      <c r="N28" s="523"/>
      <c r="O28" s="523"/>
      <c r="P28" s="523"/>
      <c r="Q28" s="523"/>
      <c r="R28" s="523"/>
      <c r="S28" s="523"/>
      <c r="T28" s="523"/>
      <c r="U28" s="523"/>
      <c r="V28" s="523"/>
      <c r="W28" s="523"/>
      <c r="X28" s="523"/>
      <c r="Y28" s="523"/>
      <c r="Z28" s="523"/>
    </row>
    <row r="29">
      <c r="A29" s="523" t="str">
        <f>IFERROR(__xludf.DUMMYFUNCTION("""COMPUTED_VALUE"""),"MOSIP-12464")</f>
        <v>MOSIP-12464</v>
      </c>
      <c r="B29" s="524"/>
      <c r="C29" s="523" t="str">
        <f>IFERROR(__xludf.DUMMYFUNCTION("""COMPUTED_VALUE"""),"TC_MOSIP-12464-12")</f>
        <v>TC_MOSIP-12464-12</v>
      </c>
      <c r="D29" s="523" t="str">
        <f>IFERROR(__xludf.DUMMYFUNCTION("""COMPUTED_VALUE"""),"Functional")</f>
        <v>Functional</v>
      </c>
      <c r="E29" s="524" t="str">
        <f>IFERROR(__xludf.DUMMYFUNCTION("""COMPUTED_VALUE"""),"Concept of Application ID in MOSIP")</f>
        <v>Concept of Application ID in MOSIP</v>
      </c>
      <c r="F29" s="524" t="str">
        <f>IFERROR(__xludf.DUMMYFUNCTION("""COMPUTED_VALUE"""),"1. Lost flow flow application id generated in Pre-Registration ex: 10001100990001220210930114118.
 2. Packet created in RegClient 10001100990001220210930114118_RegCenter_Machineid-Timestamp
 3. Resident provided email id in demographic details during regi"&amp;"stration.
 4. UIN Generated for packet transaction.")</f>
        <v>1. Lost flow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v>
      </c>
      <c r="G29" s="524" t="str">
        <f>IFERROR(__xludf.DUMMYFUNCTION("""COMPUTED_VALUE"""),"Verify UIN Generation confirmation email sent to resident.")</f>
        <v>Verify UIN Generation confirmation email sent to resident.</v>
      </c>
      <c r="H29" s="524" t="str">
        <f>IFERROR(__xludf.DUMMYFUNCTION("""COMPUTED_VALUE"""),"Resident should receive UIN Generation confirmation email.")</f>
        <v>Resident should receive UIN Generation confirmation email.</v>
      </c>
      <c r="I29" s="523" t="str">
        <f>IFERROR(__xludf.DUMMYFUNCTION("""COMPUTED_VALUE"""),"Fail")</f>
        <v>Fail</v>
      </c>
      <c r="J29" s="523"/>
      <c r="K29" s="523"/>
      <c r="L29" s="523"/>
      <c r="M29" s="523"/>
      <c r="N29" s="523"/>
      <c r="O29" s="523"/>
      <c r="P29" s="523"/>
      <c r="Q29" s="523"/>
      <c r="R29" s="523"/>
      <c r="S29" s="523"/>
      <c r="T29" s="523"/>
      <c r="U29" s="523"/>
      <c r="V29" s="523"/>
      <c r="W29" s="523"/>
      <c r="X29" s="523"/>
      <c r="Y29" s="523"/>
      <c r="Z29" s="523"/>
    </row>
    <row r="30">
      <c r="A30" s="523" t="str">
        <f>IFERROR(__xludf.DUMMYFUNCTION("""COMPUTED_VALUE"""),"MOSIP-12464")</f>
        <v>MOSIP-12464</v>
      </c>
      <c r="B30" s="524"/>
      <c r="C30" s="523" t="str">
        <f>IFERROR(__xludf.DUMMYFUNCTION("""COMPUTED_VALUE"""),"TC_MOSIP-12464-13")</f>
        <v>TC_MOSIP-12464-13</v>
      </c>
      <c r="D30" s="523" t="str">
        <f>IFERROR(__xludf.DUMMYFUNCTION("""COMPUTED_VALUE"""),"Functional")</f>
        <v>Functional</v>
      </c>
      <c r="E30" s="524" t="str">
        <f>IFERROR(__xludf.DUMMYFUNCTION("""COMPUTED_VALUE"""),"Concept of Application ID in MOSIP")</f>
        <v>Concept of Application ID in MOSIP</v>
      </c>
      <c r="F30" s="524" t="str">
        <f>IFERROR(__xludf.DUMMYFUNCTION("""COMPUTED_VALUE"""),"1. New Registration flow packet created with poor quality score.
 2. Resident received AdditionalInfo RequestId via email.")</f>
        <v>1. New Registration flow packet created with poor quality score.
 2. Resident received AdditionalInfo RequestId via email.</v>
      </c>
      <c r="G30" s="524" t="str">
        <f>IFERROR(__xludf.DUMMYFUNCTION("""COMPUTED_VALUE"""),"1. Biometric flow process with AdditionalInfo RequestId.
 2. Verify packet created in RegClient.")</f>
        <v>1. Biometric flow process with AdditionalInfo RequestId.
 2. Verify packet created in RegClient.</v>
      </c>
      <c r="H30" s="524" t="str">
        <f>IFERROR(__xludf.DUMMYFUNCTION("""COMPUTED_VALUE"""),"Packet created should refer to the same application id.")</f>
        <v>Packet created should refer to the same application id.</v>
      </c>
      <c r="I30" s="523" t="str">
        <f>IFERROR(__xludf.DUMMYFUNCTION("""COMPUTED_VALUE"""),"Fail")</f>
        <v>Fail</v>
      </c>
      <c r="J30" s="523"/>
      <c r="K30" s="523"/>
      <c r="L30" s="523"/>
      <c r="M30" s="523"/>
      <c r="N30" s="523"/>
      <c r="O30" s="523"/>
      <c r="P30" s="523"/>
      <c r="Q30" s="523"/>
      <c r="R30" s="523"/>
      <c r="S30" s="523"/>
      <c r="T30" s="523"/>
      <c r="U30" s="523"/>
      <c r="V30" s="523"/>
      <c r="W30" s="523"/>
      <c r="X30" s="523"/>
      <c r="Y30" s="523"/>
      <c r="Z30" s="523"/>
    </row>
    <row r="31">
      <c r="A31" s="523"/>
      <c r="B31" s="524"/>
      <c r="C31" s="523" t="str">
        <f>IFERROR(__xludf.DUMMYFUNCTION("""COMPUTED_VALUE"""),"RegClient_73")</f>
        <v>RegClient_73</v>
      </c>
      <c r="D31" s="523"/>
      <c r="E31" s="524" t="str">
        <f>IFERROR(__xludf.DUMMYFUNCTION("""COMPUTED_VALUE"""),"First user Registration")</f>
        <v>First user Registration</v>
      </c>
      <c r="F31" s="524" t="str">
        <f>IFERROR(__xludf.DUMMYFUNCTION("""COMPUTED_VALUE"""),"1. Login into RegClient application &gt; Select 'New Registration' and fill form.
 2. In document upload page click on capture.")</f>
        <v>1. Login into RegClient application &gt; Select 'New Registration' and fill form.
 2. In document upload page click on capture.</v>
      </c>
      <c r="G31" s="524" t="str">
        <f>IFERROR(__xludf.DUMMYFUNCTION("""COMPUTED_VALUE"""),"1. After capture click on Crop option.
2. Select the section to crop.
3. Click on save option")</f>
        <v>1. After capture click on Crop option.
2. Select the section to crop.
3. Click on save option</v>
      </c>
      <c r="H31" s="524" t="str">
        <f>IFERROR(__xludf.DUMMYFUNCTION("""COMPUTED_VALUE"""),"Should allow user to crop the captured image and save the cropped image.")</f>
        <v>Should allow user to crop the captured image and save the cropped image.</v>
      </c>
      <c r="I31" s="523" t="str">
        <f>IFERROR(__xludf.DUMMYFUNCTION("""COMPUTED_VALUE"""),"Fail")</f>
        <v>Fail</v>
      </c>
      <c r="J31" s="523"/>
      <c r="K31" s="523" t="str">
        <f>IFERROR(__xludf.DUMMYFUNCTION("""COMPUTED_VALUE"""),"unable to crop")</f>
        <v>unable to crop</v>
      </c>
      <c r="L31" s="523"/>
      <c r="M31" s="523"/>
      <c r="N31" s="523"/>
      <c r="O31" s="523"/>
      <c r="P31" s="523"/>
      <c r="Q31" s="523"/>
      <c r="R31" s="523"/>
      <c r="S31" s="523"/>
      <c r="T31" s="523"/>
      <c r="U31" s="523"/>
      <c r="V31" s="523"/>
      <c r="W31" s="523"/>
      <c r="X31" s="523"/>
      <c r="Y31" s="523"/>
      <c r="Z31" s="523"/>
    </row>
    <row r="32">
      <c r="A32" s="523"/>
      <c r="B32" s="524"/>
      <c r="C32" s="523" t="str">
        <f>IFERROR(__xludf.DUMMYFUNCTION("""COMPUTED_VALUE"""),"RegClient_204")</f>
        <v>RegClient_204</v>
      </c>
      <c r="D32" s="523"/>
      <c r="E32" s="524" t="str">
        <f>IFERROR(__xludf.DUMMYFUNCTION("""COMPUTED_VALUE"""),"EoD -Notification for Re-registartion")</f>
        <v>EoD -Notification for Re-registartion</v>
      </c>
      <c r="F32" s="524" t="str">
        <f>IFERROR(__xludf.DUMMYFUNCTION("""COMPUTED_VALUE"""),"1. Login in to Reg.Client with user role Reg_Supervisor.
2. Select 'Notification for Re-registartion' task")</f>
        <v>1. Login in to Reg.Client with user role Reg_Supervisor.
2. Select 'Notification for Re-registartion' task</v>
      </c>
      <c r="G32" s="524" t="str">
        <f>IFERROR(__xludf.DUMMYFUNCTION("""COMPUTED_VALUE"""),"Verify Re-registartion notification list.
Selec the application ID, operator wants to view")</f>
        <v>Verify Re-registartion notification list.
Selec the application ID, operator wants to view</v>
      </c>
      <c r="H32" s="524" t="str">
        <f>IFERROR(__xludf.DUMMYFUNCTION("""COMPUTED_VALUE"""),"Preview should display for selected application ID.")</f>
        <v>Preview should display for selected application ID.</v>
      </c>
      <c r="I32" s="523" t="str">
        <f>IFERROR(__xludf.DUMMYFUNCTION("""COMPUTED_VALUE"""),"Fail")</f>
        <v>Fail</v>
      </c>
      <c r="J32" s="523"/>
      <c r="K32" s="523"/>
      <c r="L32" s="523"/>
      <c r="M32" s="523"/>
      <c r="N32" s="523"/>
      <c r="O32" s="523"/>
      <c r="P32" s="523"/>
      <c r="Q32" s="523"/>
      <c r="R32" s="523"/>
      <c r="S32" s="523"/>
      <c r="T32" s="523"/>
      <c r="U32" s="523"/>
      <c r="V32" s="523"/>
      <c r="W32" s="523"/>
      <c r="X32" s="523"/>
      <c r="Y32" s="523"/>
      <c r="Z32" s="523"/>
    </row>
    <row r="33">
      <c r="A33" s="523"/>
      <c r="B33" s="524"/>
      <c r="C33" s="523" t="str">
        <f>IFERROR(__xludf.DUMMYFUNCTION("""COMPUTED_VALUE"""),"RegClient_205")</f>
        <v>RegClient_205</v>
      </c>
      <c r="D33" s="523"/>
      <c r="E33" s="524" t="str">
        <f>IFERROR(__xludf.DUMMYFUNCTION("""COMPUTED_VALUE"""),"EoD -Notification for Re-registartion")</f>
        <v>EoD -Notification for Re-registartion</v>
      </c>
      <c r="F33" s="524" t="str">
        <f>IFERROR(__xludf.DUMMYFUNCTION("""COMPUTED_VALUE"""),"1. Login in to Reg.Client with user role Reg_Supervisor.
2. Select 'Notification for Re-registartion' task")</f>
        <v>1. Login in to Reg.Client with user role Reg_Supervisor.
2. Select 'Notification for Re-registartion' task</v>
      </c>
      <c r="G33" s="524" t="str">
        <f>IFERROR(__xludf.DUMMYFUNCTION("""COMPUTED_VALUE"""),"Verify 'Search options' for application ID/Operator ID field in Re-registartion notification page")</f>
        <v>Verify 'Search options' for application ID/Operator ID field in Re-registartion notification page</v>
      </c>
      <c r="H33" s="524" t="str">
        <f>IFERROR(__xludf.DUMMYFUNCTION("""COMPUTED_VALUE"""),"Search for application ID/Operator ID field, should search against list of application IDs from available list")</f>
        <v>Search for application ID/Operator ID field, should search against list of application IDs from available list</v>
      </c>
      <c r="I33" s="523" t="str">
        <f>IFERROR(__xludf.DUMMYFUNCTION("""COMPUTED_VALUE"""),"Fail")</f>
        <v>Fail</v>
      </c>
      <c r="J33" s="523"/>
      <c r="K33" s="523"/>
      <c r="L33" s="523"/>
      <c r="M33" s="523"/>
      <c r="N33" s="523"/>
      <c r="O33" s="523"/>
      <c r="P33" s="523"/>
      <c r="Q33" s="523"/>
      <c r="R33" s="523"/>
      <c r="S33" s="523"/>
      <c r="T33" s="523"/>
      <c r="U33" s="523"/>
      <c r="V33" s="523"/>
      <c r="W33" s="523"/>
      <c r="X33" s="523"/>
      <c r="Y33" s="523"/>
      <c r="Z33" s="523"/>
    </row>
    <row r="34">
      <c r="A34" s="523"/>
      <c r="B34" s="524"/>
      <c r="C34" s="523" t="str">
        <f>IFERROR(__xludf.DUMMYFUNCTION("""COMPUTED_VALUE"""),"RegClient_273")</f>
        <v>RegClient_273</v>
      </c>
      <c r="D34" s="523"/>
      <c r="E34" s="524" t="str">
        <f>IFERROR(__xludf.DUMMYFUNCTION("""COMPUTED_VALUE"""),"Check Updates")</f>
        <v>Check Updates</v>
      </c>
      <c r="F34" s="524" t="str">
        <f>IFERROR(__xludf.DUMMYFUNCTION("""COMPUTED_VALUE"""),"1. Launch Reg Client")</f>
        <v>1. Launch Reg Client</v>
      </c>
      <c r="G34" s="524" t="str">
        <f>IFERROR(__xludf.DUMMYFUNCTION("""COMPUTED_VALUE"""),"1. At the launch of Reg.Client, during the ""Build setup validation completed with status"", the application checks for update.")</f>
        <v>1. At the launch of Reg.Client, during the "Build setup validation completed with status", the application checks for update.</v>
      </c>
      <c r="H34" s="524" t="str">
        <f>IFERROR(__xludf.DUMMYFUNCTION("""COMPUTED_VALUE"""),"When any new updates are available, ui prompts that a new version is available for download and asks for permission to download.")</f>
        <v>When any new updates are available, ui prompts that a new version is available for download and asks for permission to download.</v>
      </c>
      <c r="I34" s="523" t="str">
        <f>IFERROR(__xludf.DUMMYFUNCTION("""COMPUTED_VALUE"""),"Fail")</f>
        <v>Fail</v>
      </c>
      <c r="J34" s="523"/>
      <c r="K34" s="523" t="str">
        <f>IFERROR(__xludf.DUMMYFUNCTION("""COMPUTED_VALUE"""),"MOSIP-19715")</f>
        <v>MOSIP-19715</v>
      </c>
      <c r="L34" s="523"/>
      <c r="M34" s="523"/>
      <c r="N34" s="523"/>
      <c r="O34" s="523"/>
      <c r="P34" s="523"/>
      <c r="Q34" s="523"/>
      <c r="R34" s="523"/>
      <c r="S34" s="523"/>
      <c r="T34" s="523"/>
      <c r="U34" s="523"/>
      <c r="V34" s="523"/>
      <c r="W34" s="523"/>
      <c r="X34" s="523"/>
      <c r="Y34" s="523"/>
      <c r="Z34" s="523"/>
    </row>
    <row r="35">
      <c r="A35" s="523"/>
      <c r="B35" s="524"/>
      <c r="C35" s="523" t="str">
        <f>IFERROR(__xludf.DUMMYFUNCTION("""COMPUTED_VALUE"""),"RegClient_274")</f>
        <v>RegClient_274</v>
      </c>
      <c r="D35" s="523"/>
      <c r="E35" s="524" t="str">
        <f>IFERROR(__xludf.DUMMYFUNCTION("""COMPUTED_VALUE"""),"Check Updates")</f>
        <v>Check Updates</v>
      </c>
      <c r="F35" s="524" t="str">
        <f>IFERROR(__xludf.DUMMYFUNCTION("""COMPUTED_VALUE"""),"1. Launch Reg Client
 2. In case of any jar update in the server")</f>
        <v>1. Launch Reg Client
 2. In case of any jar update in the server</v>
      </c>
      <c r="G35" s="524" t="str">
        <f>IFERROR(__xludf.DUMMYFUNCTION("""COMPUTED_VALUE"""),"1. At the launch of Reg.Client, the application verifies the jar files in lib folder and the MANIFEST.MF file.")</f>
        <v>1. At the launch of Reg.Client, the application verifies the jar files in lib folder and the MANIFEST.MF file.</v>
      </c>
      <c r="H35" s="524" t="str">
        <f>IFERROR(__xludf.DUMMYFUNCTION("""COMPUTED_VALUE"""),"In case of any new updates in jar, it will automatically copy the new jar files to the lib folder.")</f>
        <v>In case of any new updates in jar, it will automatically copy the new jar files to the lib folder.</v>
      </c>
      <c r="I35" s="523" t="str">
        <f>IFERROR(__xludf.DUMMYFUNCTION("""COMPUTED_VALUE"""),"Fail")</f>
        <v>Fail</v>
      </c>
      <c r="J35" s="523"/>
      <c r="K35" s="523" t="str">
        <f>IFERROR(__xludf.DUMMYFUNCTION("""COMPUTED_VALUE"""),"MOSIP-19715")</f>
        <v>MOSIP-19715</v>
      </c>
      <c r="L35" s="523"/>
      <c r="M35" s="523"/>
      <c r="N35" s="523"/>
      <c r="O35" s="523"/>
      <c r="P35" s="523"/>
      <c r="Q35" s="523"/>
      <c r="R35" s="523"/>
      <c r="S35" s="523"/>
      <c r="T35" s="523"/>
      <c r="U35" s="523"/>
      <c r="V35" s="523"/>
      <c r="W35" s="523"/>
      <c r="X35" s="523"/>
      <c r="Y35" s="523"/>
      <c r="Z35" s="523"/>
    </row>
    <row r="36">
      <c r="A36" s="523"/>
      <c r="B36" s="524"/>
      <c r="C36" s="523" t="str">
        <f>IFERROR(__xludf.DUMMYFUNCTION("""COMPUTED_VALUE"""),"RegClient_275")</f>
        <v>RegClient_275</v>
      </c>
      <c r="D36" s="523"/>
      <c r="E36" s="524" t="str">
        <f>IFERROR(__xludf.DUMMYFUNCTION("""COMPUTED_VALUE"""),"Check Updates")</f>
        <v>Check Updates</v>
      </c>
      <c r="F36" s="524" t="str">
        <f>IFERROR(__xludf.DUMMYFUNCTION("""COMPUTED_VALUE"""),"1. Launch Reg Client
 2. Login into Reg Client")</f>
        <v>1. Launch Reg Client
 2. Login into Reg Client</v>
      </c>
      <c r="G36" s="524" t="str">
        <f>IFERROR(__xludf.DUMMYFUNCTION("""COMPUTED_VALUE"""),"1. Click on ""Check Updates""")</f>
        <v>1. Click on "Check Updates"</v>
      </c>
      <c r="H36" s="524" t="str">
        <f>IFERROR(__xludf.DUMMYFUNCTION("""COMPUTED_VALUE"""),"If any updates are available, the pop up will mention available updates and ask permission for download.")</f>
        <v>If any updates are available, the pop up will mention available updates and ask permission for download.</v>
      </c>
      <c r="I36" s="523" t="str">
        <f>IFERROR(__xludf.DUMMYFUNCTION("""COMPUTED_VALUE"""),"Fail")</f>
        <v>Fail</v>
      </c>
      <c r="J36" s="523"/>
      <c r="K36" s="523" t="str">
        <f>IFERROR(__xludf.DUMMYFUNCTION("""COMPUTED_VALUE"""),"MOSIP-19715")</f>
        <v>MOSIP-19715</v>
      </c>
      <c r="L36" s="523"/>
      <c r="M36" s="523"/>
      <c r="N36" s="523"/>
      <c r="O36" s="523"/>
      <c r="P36" s="523"/>
      <c r="Q36" s="523"/>
      <c r="R36" s="523"/>
      <c r="S36" s="523"/>
      <c r="T36" s="523"/>
      <c r="U36" s="523"/>
      <c r="V36" s="523"/>
      <c r="W36" s="523"/>
      <c r="X36" s="523"/>
      <c r="Y36" s="523"/>
      <c r="Z36" s="523"/>
    </row>
    <row r="37">
      <c r="A37" s="523" t="str">
        <f>IFERROR(__xludf.DUMMYFUNCTION("""COMPUTED_VALUE"""),"MOSIP-12576")</f>
        <v>MOSIP-12576</v>
      </c>
      <c r="B37" s="524"/>
      <c r="C37" s="523" t="str">
        <f>IFERROR(__xludf.DUMMYFUNCTION("""COMPUTED_VALUE"""),"TC_MOSIP-12576-13")</f>
        <v>TC_MOSIP-12576-13</v>
      </c>
      <c r="D37" s="523"/>
      <c r="E37" s="524" t="str">
        <f>IFERROR(__xludf.DUMMYFUNCTION("""COMPUTED_VALUE"""),"Settings Screen")</f>
        <v>Settings Screen</v>
      </c>
      <c r="F37" s="524" t="str">
        <f>IFERROR(__xludf.DUMMYFUNCTION("""COMPUTED_VALUE"""),"Logged into Reg.Client and Slect Settings icon")</f>
        <v>Logged into Reg.Client and Slect Settings icon</v>
      </c>
      <c r="G37" s="524" t="str">
        <f>IFERROR(__xludf.DUMMYFUNCTION("""COMPUTED_VALUE"""),"Update Local values in permitted_local_config verify Global settings screen.")</f>
        <v>Update Local values in permitted_local_config verify Global settings screen.</v>
      </c>
      <c r="H37" s="524" t="str">
        <f>IFERROR(__xludf.DUMMYFUNCTION("""COMPUTED_VALUE"""),"Local values should be displayed as editable mode.")</f>
        <v>Local values should be displayed as editable mode.</v>
      </c>
      <c r="I37" s="523" t="str">
        <f>IFERROR(__xludf.DUMMYFUNCTION("""COMPUTED_VALUE"""),"Fail")</f>
        <v>Fail</v>
      </c>
      <c r="J37" s="523"/>
      <c r="K37" s="523"/>
      <c r="L37" s="523"/>
      <c r="M37" s="523"/>
      <c r="N37" s="523"/>
      <c r="O37" s="523"/>
      <c r="P37" s="523"/>
      <c r="Q37" s="523"/>
      <c r="R37" s="523"/>
      <c r="S37" s="523"/>
      <c r="T37" s="523"/>
      <c r="U37" s="523"/>
      <c r="V37" s="523"/>
      <c r="W37" s="523"/>
      <c r="X37" s="523"/>
      <c r="Y37" s="523"/>
      <c r="Z37" s="523"/>
    </row>
    <row r="38">
      <c r="A38" s="523" t="str">
        <f>IFERROR(__xludf.DUMMYFUNCTION("""COMPUTED_VALUE"""),"MOSIP-12576")</f>
        <v>MOSIP-12576</v>
      </c>
      <c r="B38" s="524"/>
      <c r="C38" s="523" t="str">
        <f>IFERROR(__xludf.DUMMYFUNCTION("""COMPUTED_VALUE"""),"TC_MOSIP-12576-14")</f>
        <v>TC_MOSIP-12576-14</v>
      </c>
      <c r="D38" s="523"/>
      <c r="E38" s="524" t="str">
        <f>IFERROR(__xludf.DUMMYFUNCTION("""COMPUTED_VALUE"""),"Settings Screen")</f>
        <v>Settings Screen</v>
      </c>
      <c r="F38" s="524" t="str">
        <f>IFERROR(__xludf.DUMMYFUNCTION("""COMPUTED_VALUE"""),"Logged into Reg.Client and Slect Settings icon")</f>
        <v>Logged into Reg.Client and Slect Settings icon</v>
      </c>
      <c r="G38" s="524" t="str">
        <f>IFERROR(__xludf.DUMMYFUNCTION("""COMPUTED_VALUE"""),"Enter Local value and click on Submit Preferences button")</f>
        <v>Enter Local value and click on Submit Preferences button</v>
      </c>
      <c r="H38" s="524" t="str">
        <f>IFERROR(__xludf.DUMMYFUNCTION("""COMPUTED_VALUE"""),"Local preferences have been saved successfully, Application has to be restarted to apply changes message displayed
 Restart Now and Restart Later Buttons displayed.")</f>
        <v>Local preferences have been saved successfully, Application has to be restarted to apply changes message displayed
 Restart Now and Restart Later Buttons displayed.</v>
      </c>
      <c r="I38" s="523" t="str">
        <f>IFERROR(__xludf.DUMMYFUNCTION("""COMPUTED_VALUE"""),"Fail")</f>
        <v>Fail</v>
      </c>
      <c r="J38" s="523"/>
      <c r="K38" s="523"/>
      <c r="L38" s="523"/>
      <c r="M38" s="523"/>
      <c r="N38" s="523"/>
      <c r="O38" s="523"/>
      <c r="P38" s="523"/>
      <c r="Q38" s="523"/>
      <c r="R38" s="523"/>
      <c r="S38" s="523"/>
      <c r="T38" s="523"/>
      <c r="U38" s="523"/>
      <c r="V38" s="523"/>
      <c r="W38" s="523"/>
      <c r="X38" s="523"/>
      <c r="Y38" s="523"/>
      <c r="Z38" s="523"/>
    </row>
    <row r="39">
      <c r="A39" s="523" t="str">
        <f>IFERROR(__xludf.DUMMYFUNCTION("""COMPUTED_VALUE"""),"MOSIP-12576")</f>
        <v>MOSIP-12576</v>
      </c>
      <c r="B39" s="524"/>
      <c r="C39" s="523" t="str">
        <f>IFERROR(__xludf.DUMMYFUNCTION("""COMPUTED_VALUE"""),"TC_MOSIP-12576-15")</f>
        <v>TC_MOSIP-12576-15</v>
      </c>
      <c r="D39" s="523"/>
      <c r="E39" s="524" t="str">
        <f>IFERROR(__xludf.DUMMYFUNCTION("""COMPUTED_VALUE"""),"Settings Screen")</f>
        <v>Settings Screen</v>
      </c>
      <c r="F39" s="524" t="str">
        <f>IFERROR(__xludf.DUMMYFUNCTION("""COMPUTED_VALUE"""),"Logged into Reg.Client and Slect Settings icon")</f>
        <v>Logged into Reg.Client and Slect Settings icon</v>
      </c>
      <c r="G39" s="524" t="str">
        <f>IFERROR(__xludf.DUMMYFUNCTION("""COMPUTED_VALUE"""),"Local preferences Pop up message Click on Restart Later")</f>
        <v>Local preferences Pop up message Click on Restart Later</v>
      </c>
      <c r="H39" s="524" t="str">
        <f>IFERROR(__xludf.DUMMYFUNCTION("""COMPUTED_VALUE"""),"Pop up should be closed.")</f>
        <v>Pop up should be closed.</v>
      </c>
      <c r="I39" s="523" t="str">
        <f>IFERROR(__xludf.DUMMYFUNCTION("""COMPUTED_VALUE"""),"Fail")</f>
        <v>Fail</v>
      </c>
      <c r="J39" s="523"/>
      <c r="K39" s="523"/>
      <c r="L39" s="523"/>
      <c r="M39" s="523"/>
      <c r="N39" s="523"/>
      <c r="O39" s="523"/>
      <c r="P39" s="523"/>
      <c r="Q39" s="523"/>
      <c r="R39" s="523"/>
      <c r="S39" s="523"/>
      <c r="T39" s="523"/>
      <c r="U39" s="523"/>
      <c r="V39" s="523"/>
      <c r="W39" s="523"/>
      <c r="X39" s="523"/>
      <c r="Y39" s="523"/>
      <c r="Z39" s="523"/>
    </row>
    <row r="40">
      <c r="A40" s="523" t="str">
        <f>IFERROR(__xludf.DUMMYFUNCTION("""COMPUTED_VALUE"""),"MOSIP-12576")</f>
        <v>MOSIP-12576</v>
      </c>
      <c r="B40" s="524"/>
      <c r="C40" s="523" t="str">
        <f>IFERROR(__xludf.DUMMYFUNCTION("""COMPUTED_VALUE"""),"TC_MOSIP-12576-16")</f>
        <v>TC_MOSIP-12576-16</v>
      </c>
      <c r="D40" s="523"/>
      <c r="E40" s="524" t="str">
        <f>IFERROR(__xludf.DUMMYFUNCTION("""COMPUTED_VALUE"""),"Settings Screen")</f>
        <v>Settings Screen</v>
      </c>
      <c r="F40" s="524" t="str">
        <f>IFERROR(__xludf.DUMMYFUNCTION("""COMPUTED_VALUE"""),"Logged into Reg.Client and Slect Settings icon")</f>
        <v>Logged into Reg.Client and Slect Settings icon</v>
      </c>
      <c r="G40" s="524" t="str">
        <f>IFERROR(__xludf.DUMMYFUNCTION("""COMPUTED_VALUE"""),"Local preferences Pop up message Click on Restart Now")</f>
        <v>Local preferences Pop up message Click on Restart Now</v>
      </c>
      <c r="H40" s="524" t="str">
        <f>IFERROR(__xludf.DUMMYFUNCTION("""COMPUTED_VALUE"""),"Regclient application should be restarted.")</f>
        <v>Regclient application should be restarted.</v>
      </c>
      <c r="I40" s="523" t="str">
        <f>IFERROR(__xludf.DUMMYFUNCTION("""COMPUTED_VALUE"""),"Fail")</f>
        <v>Fail</v>
      </c>
      <c r="J40" s="523"/>
      <c r="K40" s="523"/>
      <c r="L40" s="523"/>
      <c r="M40" s="523"/>
      <c r="N40" s="523"/>
      <c r="O40" s="523"/>
      <c r="P40" s="523"/>
      <c r="Q40" s="523"/>
      <c r="R40" s="523"/>
      <c r="S40" s="523"/>
      <c r="T40" s="523"/>
      <c r="U40" s="523"/>
      <c r="V40" s="523"/>
      <c r="W40" s="523"/>
      <c r="X40" s="523"/>
      <c r="Y40" s="523"/>
      <c r="Z40" s="523"/>
    </row>
    <row r="41">
      <c r="A41" s="523" t="str">
        <f>IFERROR(__xludf.DUMMYFUNCTION("""COMPUTED_VALUE"""),"MOSIP-12576")</f>
        <v>MOSIP-12576</v>
      </c>
      <c r="B41" s="524"/>
      <c r="C41" s="523" t="str">
        <f>IFERROR(__xludf.DUMMYFUNCTION("""COMPUTED_VALUE"""),"TC_MOSIP-12576-17")</f>
        <v>TC_MOSIP-12576-17</v>
      </c>
      <c r="D41" s="523"/>
      <c r="E41" s="524" t="str">
        <f>IFERROR(__xludf.DUMMYFUNCTION("""COMPUTED_VALUE"""),"Settings Screen")</f>
        <v>Settings Screen</v>
      </c>
      <c r="F41" s="524" t="str">
        <f>IFERROR(__xludf.DUMMYFUNCTION("""COMPUTED_VALUE"""),"Logged into Reg.Client and Slect Settings icon")</f>
        <v>Logged into Reg.Client and Slect Settings icon</v>
      </c>
      <c r="G41" s="524" t="str">
        <f>IFERROR(__xludf.DUMMYFUNCTION("""COMPUTED_VALUE"""),"1. Navigate to Scheduled jobs settings screen.
 2. Click on Submit button, verify pop up displayed.")</f>
        <v>1. Navigate to Scheduled jobs settings screen.
 2. Click on Submit button, verify pop up displayed.</v>
      </c>
      <c r="H41" s="524" t="str">
        <f>IFERROR(__xludf.DUMMYFUNCTION("""COMPUTED_VALUE"""),"Note Pop should be displayed.")</f>
        <v>Note Pop should be displayed.</v>
      </c>
      <c r="I41" s="523" t="str">
        <f>IFERROR(__xludf.DUMMYFUNCTION("""COMPUTED_VALUE"""),"Fail")</f>
        <v>Fail</v>
      </c>
      <c r="J41" s="523"/>
      <c r="K41" s="523"/>
      <c r="L41" s="523"/>
      <c r="M41" s="523"/>
      <c r="N41" s="523"/>
      <c r="O41" s="523"/>
      <c r="P41" s="523"/>
      <c r="Q41" s="523"/>
      <c r="R41" s="523"/>
      <c r="S41" s="523"/>
      <c r="T41" s="523"/>
      <c r="U41" s="523"/>
      <c r="V41" s="523"/>
      <c r="W41" s="523"/>
      <c r="X41" s="523"/>
      <c r="Y41" s="523"/>
      <c r="Z41" s="523"/>
    </row>
    <row r="42">
      <c r="A42" s="523" t="str">
        <f>IFERROR(__xludf.DUMMYFUNCTION("""COMPUTED_VALUE"""),"MOSIP-12576")</f>
        <v>MOSIP-12576</v>
      </c>
      <c r="B42" s="524"/>
      <c r="C42" s="523" t="str">
        <f>IFERROR(__xludf.DUMMYFUNCTION("""COMPUTED_VALUE"""),"TC_MOSIP-12576-26")</f>
        <v>TC_MOSIP-12576-26</v>
      </c>
      <c r="D42" s="523"/>
      <c r="E42" s="524" t="str">
        <f>IFERROR(__xludf.DUMMYFUNCTION("""COMPUTED_VALUE"""),"Settings Screen")</f>
        <v>Settings Screen</v>
      </c>
      <c r="F42" s="524"/>
      <c r="G42" s="524" t="str">
        <f>IFERROR(__xludf.DUMMYFUNCTION("""COMPUTED_VALUE"""),"1. Perform Submit preference
 2. Verify submit info")</f>
        <v>1. Perform Submit preference
 2. Verify submit info</v>
      </c>
      <c r="H42" s="524" t="str">
        <f>IFERROR(__xludf.DUMMYFUNCTION("""COMPUTED_VALUE"""),"Property change info is not triggered in UI/Logs")</f>
        <v>Property change info is not triggered in UI/Logs</v>
      </c>
      <c r="I42" s="523" t="str">
        <f>IFERROR(__xludf.DUMMYFUNCTION("""COMPUTED_VALUE"""),"Fail")</f>
        <v>Fail</v>
      </c>
      <c r="J42" s="523"/>
      <c r="K42" s="523"/>
      <c r="L42" s="523"/>
      <c r="M42" s="523"/>
      <c r="N42" s="523"/>
      <c r="O42" s="523"/>
      <c r="P42" s="523"/>
      <c r="Q42" s="523"/>
      <c r="R42" s="523"/>
      <c r="S42" s="523"/>
      <c r="T42" s="523"/>
      <c r="U42" s="523"/>
      <c r="V42" s="523"/>
      <c r="W42" s="523"/>
      <c r="X42" s="523"/>
      <c r="Y42" s="523"/>
      <c r="Z42" s="523"/>
    </row>
    <row r="43">
      <c r="A43" s="523"/>
      <c r="B43" s="524"/>
      <c r="C43" s="523" t="str">
        <f>IFERROR(__xludf.DUMMYFUNCTION("""COMPUTED_VALUE"""),"RegClient_328")</f>
        <v>RegClient_328</v>
      </c>
      <c r="D43" s="523"/>
      <c r="E43" s="524" t="str">
        <f>IFERROR(__xludf.DUMMYFUNCTION("""COMPUTED_VALUE"""),"Update UIN flow -Email Notification based on prefered language")</f>
        <v>Update UIN flow -Email Notification based on prefered language</v>
      </c>
      <c r="F43" s="524" t="str">
        <f>IFERROR(__xludf.DUMMYFUNCTION("""COMPUTED_VALUE"""),"1. Add config mosip.default.user-preferred-language-attribute=preferredLang in application-mz.properties
 2. mosip.mandatory-languages=kan
 mosip.optional-languages=hin,tam
 3. updateprocess.json preferred Long is configured.")</f>
        <v>1. Add config mosip.default.user-preferred-language-attribute=preferredLang in application-mz.properties
 2. mosip.mandatory-languages=kan
 mosip.optional-languages=hin,tam
 3. updateprocess.json preferred Long is configured.</v>
      </c>
      <c r="G43" s="524" t="str">
        <f>IFERROR(__xludf.DUMMYFUNCTION("""COMPUTED_VALUE"""),"1. Select kannada as preferred language.
 2. Create a packet and verify resident email template language.")</f>
        <v>1. Select kannada as preferred language.
 2. Create a packet and verify resident email template language.</v>
      </c>
      <c r="H43" s="524" t="str">
        <f>IFERROR(__xludf.DUMMYFUNCTION("""COMPUTED_VALUE"""),"Applicant should receive email in kannada language.")</f>
        <v>Applicant should receive email in kannada language.</v>
      </c>
      <c r="I43" s="523" t="str">
        <f>IFERROR(__xludf.DUMMYFUNCTION("""COMPUTED_VALUE"""),"Fail")</f>
        <v>Fail</v>
      </c>
      <c r="J43" s="523"/>
      <c r="K43" s="523" t="str">
        <f>IFERROR(__xludf.DUMMYFUNCTION("""COMPUTED_VALUE"""),"Applicant is not receiving email.")</f>
        <v>Applicant is not receiving email.</v>
      </c>
      <c r="L43" s="523"/>
      <c r="M43" s="523"/>
      <c r="N43" s="523"/>
      <c r="O43" s="523"/>
      <c r="P43" s="523"/>
      <c r="Q43" s="523"/>
      <c r="R43" s="523"/>
      <c r="S43" s="523"/>
      <c r="T43" s="523"/>
      <c r="U43" s="523"/>
      <c r="V43" s="523"/>
      <c r="W43" s="523"/>
      <c r="X43" s="523"/>
      <c r="Y43" s="523"/>
      <c r="Z43" s="523"/>
    </row>
    <row r="44">
      <c r="A44" s="523"/>
      <c r="B44" s="524"/>
      <c r="C44" s="523" t="str">
        <f>IFERROR(__xludf.DUMMYFUNCTION("""COMPUTED_VALUE"""),"RegClient_329")</f>
        <v>RegClient_329</v>
      </c>
      <c r="D44" s="523"/>
      <c r="E44" s="524" t="str">
        <f>IFERROR(__xludf.DUMMYFUNCTION("""COMPUTED_VALUE"""),"Update UIN flow -Email Notification based on prefered language")</f>
        <v>Update UIN flow -Email Notification based on prefered language</v>
      </c>
      <c r="F44" s="524" t="str">
        <f>IFERROR(__xludf.DUMMYFUNCTION("""COMPUTED_VALUE"""),"1. Add config mosip.default.user-preferred-language-attribute=preferredLang in application-mz.properties
 2. mosip.mandatory-languages=kan
 mosip.optional-languages=hin,tam
 3. updateprocess.json preferred Long is configured.")</f>
        <v>1. Add config mosip.default.user-preferred-language-attribute=preferredLang in application-mz.properties
 2. mosip.mandatory-languages=kan
 mosip.optional-languages=hin,tam
 3. updateprocess.json preferred Long is configured.</v>
      </c>
      <c r="G44" s="524" t="str">
        <f>IFERROR(__xludf.DUMMYFUNCTION("""COMPUTED_VALUE"""),"1. Select hindi as preferred language.
 2. Create a packet and verify resident email template language.")</f>
        <v>1. Select hindi as preferred language.
 2. Create a packet and verify resident email template language.</v>
      </c>
      <c r="H44" s="524" t="str">
        <f>IFERROR(__xludf.DUMMYFUNCTION("""COMPUTED_VALUE"""),"Applicant should receive email in hindi language.")</f>
        <v>Applicant should receive email in hindi language.</v>
      </c>
      <c r="I44" s="523" t="str">
        <f>IFERROR(__xludf.DUMMYFUNCTION("""COMPUTED_VALUE"""),"Fail")</f>
        <v>Fail</v>
      </c>
      <c r="J44" s="523"/>
      <c r="K44" s="523" t="str">
        <f>IFERROR(__xludf.DUMMYFUNCTION("""COMPUTED_VALUE"""),"Applicant is not receiving email.")</f>
        <v>Applicant is not receiving email.</v>
      </c>
      <c r="L44" s="523"/>
      <c r="M44" s="523"/>
      <c r="N44" s="523"/>
      <c r="O44" s="523"/>
      <c r="P44" s="523"/>
      <c r="Q44" s="523"/>
      <c r="R44" s="523"/>
      <c r="S44" s="523"/>
      <c r="T44" s="523"/>
      <c r="U44" s="523"/>
      <c r="V44" s="523"/>
      <c r="W44" s="523"/>
      <c r="X44" s="523"/>
      <c r="Y44" s="523"/>
      <c r="Z44" s="523"/>
    </row>
    <row r="45">
      <c r="A45" s="523" t="str">
        <f>IFERROR(__xludf.DUMMYFUNCTION("""COMPUTED_VALUE"""),"MOSIP-11739")</f>
        <v>MOSIP-11739</v>
      </c>
      <c r="B45" s="524"/>
      <c r="C45" s="523" t="str">
        <f>IFERROR(__xludf.DUMMYFUNCTION("""COMPUTED_VALUE"""),"TC_MOSIP-11739-03")</f>
        <v>TC_MOSIP-11739-03</v>
      </c>
      <c r="D45" s="523" t="str">
        <f>IFERROR(__xludf.DUMMYFUNCTION("""COMPUTED_VALUE"""),"Functional")</f>
        <v>Functional</v>
      </c>
      <c r="E45" s="524" t="str">
        <f>IFERROR(__xludf.DUMMYFUNCTION("""COMPUTED_VALUE"""),"Biometric Correction")</f>
        <v>Biometric Correction</v>
      </c>
      <c r="F45" s="524" t="str">
        <f>IFERROR(__xludf.DUMMYFUNCTION("""COMPUTED_VALUE"""),"1. Create a packet with all biometrics less then threshold.
 2. Fingerprint retry attempts reached as per configuration and force capture done.
 2. Resident email id provided in demographic details screen.")</f>
        <v>1. Create a packet with all biometrics less then threshold.
 2. Fingerprint retry attempts reached as per configuration and force capture done.
 2. Resident email id provided in demographic details screen.</v>
      </c>
      <c r="G45" s="524" t="str">
        <f>IFERROR(__xludf.DUMMYFUNCTION("""COMPUTED_VALUE"""),"Verify email with additional_info_request")</f>
        <v>Verify email with additional_info_request</v>
      </c>
      <c r="H45" s="524" t="str">
        <f>IFERROR(__xludf.DUMMYFUNCTION("""COMPUTED_VALUE"""),"additional_info_request ID email should be trigerred")</f>
        <v>additional_info_request ID email should be trigerred</v>
      </c>
      <c r="I45" s="523" t="str">
        <f>IFERROR(__xludf.DUMMYFUNCTION("""COMPUTED_VALUE"""),"Fail")</f>
        <v>Fail</v>
      </c>
      <c r="J45" s="523" t="str">
        <f>IFERROR(__xludf.DUMMYFUNCTION("""COMPUTED_VALUE"""),"No")</f>
        <v>No</v>
      </c>
      <c r="K45" s="523" t="str">
        <f>IFERROR(__xludf.DUMMYFUNCTION("""COMPUTED_VALUE"""),"qa-double-rc2")</f>
        <v>qa-double-rc2</v>
      </c>
      <c r="L45" s="523" t="str">
        <f>IFERROR(__xludf.DUMMYFUNCTION("""COMPUTED_VALUE"""),"MOSIP-18778")</f>
        <v>MOSIP-18778</v>
      </c>
      <c r="M45" s="523"/>
      <c r="N45" s="523"/>
      <c r="O45" s="523"/>
      <c r="P45" s="523"/>
      <c r="Q45" s="523"/>
      <c r="R45" s="523"/>
      <c r="S45" s="523"/>
      <c r="T45" s="523"/>
      <c r="U45" s="523"/>
      <c r="V45" s="523"/>
      <c r="W45" s="523"/>
      <c r="X45" s="523"/>
      <c r="Y45" s="523"/>
      <c r="Z45" s="523"/>
    </row>
    <row r="46">
      <c r="A46" s="523" t="str">
        <f>IFERROR(__xludf.DUMMYFUNCTION("""COMPUTED_VALUE"""),"MOSIP-11739")</f>
        <v>MOSIP-11739</v>
      </c>
      <c r="B46" s="524"/>
      <c r="C46" s="523" t="str">
        <f>IFERROR(__xludf.DUMMYFUNCTION("""COMPUTED_VALUE"""),"TC_MOSIP-11739-06")</f>
        <v>TC_MOSIP-11739-06</v>
      </c>
      <c r="D46" s="523" t="str">
        <f>IFERROR(__xludf.DUMMYFUNCTION("""COMPUTED_VALUE"""),"Functional")</f>
        <v>Functional</v>
      </c>
      <c r="E46" s="524" t="str">
        <f>IFERROR(__xludf.DUMMYFUNCTION("""COMPUTED_VALUE"""),"Biometric Correction")</f>
        <v>Biometric Correction</v>
      </c>
      <c r="F46" s="524" t="str">
        <f>IFERROR(__xludf.DUMMYFUNCTION("""COMPUTED_VALUE"""),"1. Create a packet with only one modality with force capture for Biometric scan less then threshold.
 2. Resident email id provided in demographic details screen. 
 3. Rest all biometrics are captured greater then threshold value.")</f>
        <v>1. Create a packet with only one modality with force capture for Biometric scan less then threshold.
 2. Resident email id provided in demographic details screen. 
 3. Rest all biometrics are captured greater then threshold value.</v>
      </c>
      <c r="G46" s="524" t="str">
        <f>IFERROR(__xludf.DUMMYFUNCTION("""COMPUTED_VALUE"""),"Verify email with additional_info_request")</f>
        <v>Verify email with additional_info_request</v>
      </c>
      <c r="H46" s="524" t="str">
        <f>IFERROR(__xludf.DUMMYFUNCTION("""COMPUTED_VALUE"""),"additional_info_request should be trigerred")</f>
        <v>additional_info_request should be trigerred</v>
      </c>
      <c r="I46" s="523" t="str">
        <f>IFERROR(__xludf.DUMMYFUNCTION("""COMPUTED_VALUE"""),"Fail")</f>
        <v>Fail</v>
      </c>
      <c r="J46" s="523" t="str">
        <f>IFERROR(__xludf.DUMMYFUNCTION("""COMPUTED_VALUE"""),"No")</f>
        <v>No</v>
      </c>
      <c r="K46" s="523" t="str">
        <f>IFERROR(__xludf.DUMMYFUNCTION("""COMPUTED_VALUE"""),"qa-double-rc2")</f>
        <v>qa-double-rc2</v>
      </c>
      <c r="L46" s="523" t="str">
        <f>IFERROR(__xludf.DUMMYFUNCTION("""COMPUTED_VALUE"""),"MOSIP-18778")</f>
        <v>MOSIP-18778</v>
      </c>
      <c r="M46" s="523"/>
      <c r="N46" s="523"/>
      <c r="O46" s="523"/>
      <c r="P46" s="523"/>
      <c r="Q46" s="523"/>
      <c r="R46" s="523"/>
      <c r="S46" s="523"/>
      <c r="T46" s="523"/>
      <c r="U46" s="523"/>
      <c r="V46" s="523"/>
      <c r="W46" s="523"/>
      <c r="X46" s="523"/>
      <c r="Y46" s="523"/>
      <c r="Z46" s="523"/>
    </row>
    <row r="47">
      <c r="A47" s="523" t="str">
        <f>IFERROR(__xludf.DUMMYFUNCTION("""COMPUTED_VALUE"""),"MOSIP-7813")</f>
        <v>MOSIP-7813</v>
      </c>
      <c r="B47" s="524"/>
      <c r="C47" s="523" t="str">
        <f>IFERROR(__xludf.DUMMYFUNCTION("""COMPUTED_VALUE"""),"TC_MOSIP-7813-06")</f>
        <v>TC_MOSIP-7813-06</v>
      </c>
      <c r="D47" s="523" t="str">
        <f>IFERROR(__xludf.DUMMYFUNCTION("""COMPUTED_VALUE"""),"Functional")</f>
        <v>Functional</v>
      </c>
      <c r="E47" s="524" t="str">
        <f>IFERROR(__xludf.DUMMYFUNCTION("""COMPUTED_VALUE"""),"Error Codes and Error Message")</f>
        <v>Error Codes and Error Message</v>
      </c>
      <c r="F47" s="524" t="str">
        <f>IFERROR(__xludf.DUMMYFUNCTION("""COMPUTED_VALUE"""),"1. identity-mapping.json remove some comma and process the packet
 2. CMD stage need to restart
 3. camel route - change to uploader to CMD validation
 4. camel route stage need to restart")</f>
        <v>1. identity-mapping.json remove some comma and process the packet
 2. CMD stage need to restart
 3. camel route - change to uploader to CMD validation
 4. camel route stage need to restart</v>
      </c>
      <c r="G47" s="524" t="str">
        <f>IFERROR(__xludf.DUMMYFUNCTION("""COMPUTED_VALUE"""),"Process packet and verify Json Object Parsing Failed")</f>
        <v>Process packet and verify Json Object Parsing Failed</v>
      </c>
      <c r="H47" s="524" t="str">
        <f>IFERROR(__xludf.DUMMYFUNCTION("""COMPUTED_VALUE"""),"Json Object Parsing Failed message should be displayed.")</f>
        <v>Json Object Parsing Failed message should be displayed.</v>
      </c>
      <c r="I47" s="523" t="str">
        <f>IFERROR(__xludf.DUMMYFUNCTION("""COMPUTED_VALUE"""),"Fail")</f>
        <v>Fail</v>
      </c>
      <c r="J47" s="523" t="str">
        <f>IFERROR(__xludf.DUMMYFUNCTION("""COMPUTED_VALUE"""),"No")</f>
        <v>No</v>
      </c>
      <c r="K47" s="523" t="str">
        <f>IFERROR(__xludf.DUMMYFUNCTION("""COMPUTED_VALUE"""),"qa-double-rc2 env")</f>
        <v>qa-double-rc2 env</v>
      </c>
      <c r="L47" s="523"/>
      <c r="M47" s="523"/>
      <c r="N47" s="523"/>
      <c r="O47" s="523"/>
      <c r="P47" s="523"/>
      <c r="Q47" s="523"/>
      <c r="R47" s="523"/>
      <c r="S47" s="523"/>
      <c r="T47" s="523"/>
      <c r="U47" s="523"/>
      <c r="V47" s="523"/>
      <c r="W47" s="523"/>
      <c r="X47" s="523"/>
      <c r="Y47" s="523"/>
      <c r="Z47" s="523"/>
    </row>
    <row r="48">
      <c r="A48" s="523" t="str">
        <f>IFERROR(__xludf.DUMMYFUNCTION("""COMPUTED_VALUE"""),"MOSIP-7813")</f>
        <v>MOSIP-7813</v>
      </c>
      <c r="B48" s="524"/>
      <c r="C48" s="523" t="str">
        <f>IFERROR(__xludf.DUMMYFUNCTION("""COMPUTED_VALUE"""),"TC_MOSIP-7813-07")</f>
        <v>TC_MOSIP-7813-07</v>
      </c>
      <c r="D48" s="523" t="str">
        <f>IFERROR(__xludf.DUMMYFUNCTION("""COMPUTED_VALUE"""),"Functional")</f>
        <v>Functional</v>
      </c>
      <c r="E48" s="524" t="str">
        <f>IFERROR(__xludf.DUMMYFUNCTION("""COMPUTED_VALUE"""),"Error Codes and Error Message")</f>
        <v>Error Codes and Error Message</v>
      </c>
      <c r="F48" s="524" t="str">
        <f>IFERROR(__xludf.DUMMYFUNCTION("""COMPUTED_VALUE"""),"1. Packetmanager.packet.signature.disable-verification=true in application-mz property.")</f>
        <v>1. Packetmanager.packet.signature.disable-verification=true in application-mz property.</v>
      </c>
      <c r="G48" s="524" t="str">
        <f>IFERROR(__xludf.DUMMYFUNCTION("""COMPUTED_VALUE"""),"1. Reprocess old packet - packet
 2. Verify validator stage")</f>
        <v>1. Reprocess old packet - packet
 2. Verify validator stage</v>
      </c>
      <c r="H48" s="524" t="str">
        <f>IFERROR(__xludf.DUMMYFUNCTION("""COMPUTED_VALUE"""),"Structural Validation Failed message should be displayed.")</f>
        <v>Structural Validation Failed message should be displayed.</v>
      </c>
      <c r="I48" s="523" t="str">
        <f>IFERROR(__xludf.DUMMYFUNCTION("""COMPUTED_VALUE"""),"Fail")</f>
        <v>Fail</v>
      </c>
      <c r="J48" s="523" t="str">
        <f>IFERROR(__xludf.DUMMYFUNCTION("""COMPUTED_VALUE"""),"No")</f>
        <v>No</v>
      </c>
      <c r="K48" s="523" t="str">
        <f>IFERROR(__xludf.DUMMYFUNCTION("""COMPUTED_VALUE"""),"qa-double-rc2 env")</f>
        <v>qa-double-rc2 env</v>
      </c>
      <c r="L48" s="523"/>
      <c r="M48" s="523"/>
      <c r="N48" s="523"/>
      <c r="O48" s="523"/>
      <c r="P48" s="523"/>
      <c r="Q48" s="523"/>
      <c r="R48" s="523"/>
      <c r="S48" s="523"/>
      <c r="T48" s="523"/>
      <c r="U48" s="523"/>
      <c r="V48" s="523"/>
      <c r="W48" s="523"/>
      <c r="X48" s="523"/>
      <c r="Y48" s="523"/>
      <c r="Z48" s="523"/>
    </row>
    <row r="49">
      <c r="A49" s="523" t="str">
        <f>IFERROR(__xludf.DUMMYFUNCTION("""COMPUTED_VALUE"""),"MOSIP-13118")</f>
        <v>MOSIP-13118</v>
      </c>
      <c r="B49" s="524"/>
      <c r="C49" s="523" t="str">
        <f>IFERROR(__xludf.DUMMYFUNCTION("""COMPUTED_VALUE"""),"TC_MOSIP-13118-06")</f>
        <v>TC_MOSIP-13118-06</v>
      </c>
      <c r="D49" s="523"/>
      <c r="E49" s="524" t="str">
        <f>IFERROR(__xludf.DUMMYFUNCTION("""COMPUTED_VALUE"""),"CMD Validations")</f>
        <v>CMD Validations</v>
      </c>
      <c r="F49" s="524" t="str">
        <f>IFERROR(__xludf.DUMMYFUNCTION("""COMPUTED_VALUE"""),"Create a Minor packet")</f>
        <v>Create a Minor packet</v>
      </c>
      <c r="G49" s="524" t="str">
        <f>IFERROR(__xludf.DUMMYFUNCTION("""COMPUTED_VALUE"""),"Upload the packet and verify packet transaction status.")</f>
        <v>Upload the packet and verify packet transaction status.</v>
      </c>
      <c r="H49" s="524" t="str">
        <f>IFERROR(__xludf.DUMMYFUNCTION("""COMPUTED_VALUE"""),"All the transaction should be displayed till UIN Generation stage.")</f>
        <v>All the transaction should be displayed till UIN Generation stage.</v>
      </c>
      <c r="I49" s="523" t="str">
        <f>IFERROR(__xludf.DUMMYFUNCTION("""COMPUTED_VALUE"""),"Fail")</f>
        <v>Fail</v>
      </c>
      <c r="J49" s="523" t="str">
        <f>IFERROR(__xludf.DUMMYFUNCTION("""COMPUTED_VALUE"""),"No")</f>
        <v>No</v>
      </c>
      <c r="K49" s="523" t="str">
        <f>IFERROR(__xludf.DUMMYFUNCTION("""COMPUTED_VALUE"""),"qa-single-rc2")</f>
        <v>qa-single-rc2</v>
      </c>
      <c r="L49" s="523" t="str">
        <f>IFERROR(__xludf.DUMMYFUNCTION("""COMPUTED_VALUE"""),"MOSIP-18510")</f>
        <v>MOSIP-18510</v>
      </c>
      <c r="M49" s="523"/>
      <c r="N49" s="523"/>
      <c r="O49" s="523"/>
      <c r="P49" s="523"/>
      <c r="Q49" s="523"/>
      <c r="R49" s="523"/>
      <c r="S49" s="523"/>
      <c r="T49" s="523"/>
      <c r="U49" s="523"/>
      <c r="V49" s="523"/>
      <c r="W49" s="523"/>
      <c r="X49" s="523"/>
      <c r="Y49" s="523"/>
      <c r="Z49" s="523"/>
    </row>
    <row r="50">
      <c r="A50" s="523" t="str">
        <f>IFERROR(__xludf.DUMMYFUNCTION("""COMPUTED_VALUE"""),"MOSIP-15215")</f>
        <v>MOSIP-15215</v>
      </c>
      <c r="B50" s="524"/>
      <c r="C50" s="523" t="str">
        <f>IFERROR(__xludf.DUMMYFUNCTION("""COMPUTED_VALUE"""),"TC_MOSIP-15215-01")</f>
        <v>TC_MOSIP-15215-01</v>
      </c>
      <c r="D50" s="523"/>
      <c r="E50" s="524" t="str">
        <f>IFERROR(__xludf.DUMMYFUNCTION("""COMPUTED_VALUE"""),"Enrollment status")</f>
        <v>Enrollment status</v>
      </c>
      <c r="F50" s="524" t="str">
        <f>IFERROR(__xludf.DUMMYFUNCTION("""COMPUTED_VALUE"""),"Packet paused and request additional info")</f>
        <v>Packet paused and request additional info</v>
      </c>
      <c r="G50" s="524" t="str">
        <f>IFERROR(__xludf.DUMMYFUNCTION("""COMPUTED_VALUE"""),"Verify packet external status of a resident’s enrollment application")</f>
        <v>Verify packet external status of a resident’s enrollment application</v>
      </c>
      <c r="H50" s="524" t="str">
        <f>IFERROR(__xludf.DUMMYFUNCTION("""COMPUTED_VALUE"""),"Packet status - Awaiting Information")</f>
        <v>Packet status - Awaiting Information</v>
      </c>
      <c r="I50" s="523" t="str">
        <f>IFERROR(__xludf.DUMMYFUNCTION("""COMPUTED_VALUE"""),"Fail")</f>
        <v>Fail</v>
      </c>
      <c r="J50" s="523" t="str">
        <f>IFERROR(__xludf.DUMMYFUNCTION("""COMPUTED_VALUE"""),"No")</f>
        <v>No</v>
      </c>
      <c r="K50" s="523" t="str">
        <f>IFERROR(__xludf.DUMMYFUNCTION("""COMPUTED_VALUE"""),"qa-double-rc2")</f>
        <v>qa-double-rc2</v>
      </c>
      <c r="L50" s="523" t="str">
        <f>IFERROR(__xludf.DUMMYFUNCTION("""COMPUTED_VALUE"""),"MOSIP-19628")</f>
        <v>MOSIP-19628</v>
      </c>
      <c r="M50" s="523"/>
      <c r="N50" s="523"/>
      <c r="O50" s="523"/>
      <c r="P50" s="523"/>
      <c r="Q50" s="523"/>
      <c r="R50" s="523"/>
      <c r="S50" s="523"/>
      <c r="T50" s="523"/>
      <c r="U50" s="523"/>
      <c r="V50" s="523"/>
      <c r="W50" s="523"/>
      <c r="X50" s="523"/>
      <c r="Y50" s="523"/>
      <c r="Z50" s="523"/>
    </row>
    <row r="51">
      <c r="A51" s="523" t="str">
        <f>IFERROR(__xludf.DUMMYFUNCTION("""COMPUTED_VALUE"""),"MOSIP-15215")</f>
        <v>MOSIP-15215</v>
      </c>
      <c r="B51" s="524"/>
      <c r="C51" s="523" t="str">
        <f>IFERROR(__xludf.DUMMYFUNCTION("""COMPUTED_VALUE"""),"TC_MOSIP-15215-02")</f>
        <v>TC_MOSIP-15215-02</v>
      </c>
      <c r="D51" s="523"/>
      <c r="E51" s="524" t="str">
        <f>IFERROR(__xludf.DUMMYFUNCTION("""COMPUTED_VALUE"""),"Enrollment status")</f>
        <v>Enrollment status</v>
      </c>
      <c r="F51" s="524" t="str">
        <f>IFERROR(__xludf.DUMMYFUNCTION("""COMPUTED_VALUE"""),"Packet has reached UIN Generator stage.")</f>
        <v>Packet has reached UIN Generator stage.</v>
      </c>
      <c r="G51" s="524" t="str">
        <f>IFERROR(__xludf.DUMMYFUNCTION("""COMPUTED_VALUE"""),"Verify packet external status of a resident’s enrollment application")</f>
        <v>Verify packet external status of a resident’s enrollment application</v>
      </c>
      <c r="H51" s="524" t="str">
        <f>IFERROR(__xludf.DUMMYFUNCTION("""COMPUTED_VALUE"""),"Packet status - UIN generated")</f>
        <v>Packet status - UIN generated</v>
      </c>
      <c r="I51" s="523" t="str">
        <f>IFERROR(__xludf.DUMMYFUNCTION("""COMPUTED_VALUE"""),"Fail")</f>
        <v>Fail</v>
      </c>
      <c r="J51" s="523" t="str">
        <f>IFERROR(__xludf.DUMMYFUNCTION("""COMPUTED_VALUE"""),"No")</f>
        <v>No</v>
      </c>
      <c r="K51" s="523" t="str">
        <f>IFERROR(__xludf.DUMMYFUNCTION("""COMPUTED_VALUE"""),"qa-double-rc2")</f>
        <v>qa-double-rc2</v>
      </c>
      <c r="L51" s="523"/>
      <c r="M51" s="523"/>
      <c r="N51" s="523"/>
      <c r="O51" s="523"/>
      <c r="P51" s="523"/>
      <c r="Q51" s="523"/>
      <c r="R51" s="523"/>
      <c r="S51" s="523"/>
      <c r="T51" s="523"/>
      <c r="U51" s="523"/>
      <c r="V51" s="523"/>
      <c r="W51" s="523"/>
      <c r="X51" s="523"/>
      <c r="Y51" s="523"/>
      <c r="Z51" s="523"/>
    </row>
    <row r="52">
      <c r="A52" s="523" t="str">
        <f>IFERROR(__xludf.DUMMYFUNCTION("""COMPUTED_VALUE"""),"MOSIP-15215")</f>
        <v>MOSIP-15215</v>
      </c>
      <c r="B52" s="524"/>
      <c r="C52" s="523" t="str">
        <f>IFERROR(__xludf.DUMMYFUNCTION("""COMPUTED_VALUE"""),"TC_MOSIP-15215-03")</f>
        <v>TC_MOSIP-15215-03</v>
      </c>
      <c r="D52" s="523"/>
      <c r="E52" s="524" t="str">
        <f>IFERROR(__xludf.DUMMYFUNCTION("""COMPUTED_VALUE"""),"Enrollment status")</f>
        <v>Enrollment status</v>
      </c>
      <c r="F52" s="524" t="str">
        <f>IFERROR(__xludf.DUMMYFUNCTION("""COMPUTED_VALUE"""),"Packet has failed in Bio/demo dedupe.")</f>
        <v>Packet has failed in Bio/demo dedupe.</v>
      </c>
      <c r="G52" s="524" t="str">
        <f>IFERROR(__xludf.DUMMYFUNCTION("""COMPUTED_VALUE"""),"Verify packet external status of a resident’s enrollment application")</f>
        <v>Verify packet external status of a resident’s enrollment application</v>
      </c>
      <c r="H52" s="524" t="str">
        <f>IFERROR(__xludf.DUMMYFUNCTION("""COMPUTED_VALUE"""),"Packet status - Re-register")</f>
        <v>Packet status - Re-register</v>
      </c>
      <c r="I52" s="523" t="str">
        <f>IFERROR(__xludf.DUMMYFUNCTION("""COMPUTED_VALUE"""),"Fail")</f>
        <v>Fail</v>
      </c>
      <c r="J52" s="523" t="str">
        <f>IFERROR(__xludf.DUMMYFUNCTION("""COMPUTED_VALUE"""),"No")</f>
        <v>No</v>
      </c>
      <c r="K52" s="523" t="str">
        <f>IFERROR(__xludf.DUMMYFUNCTION("""COMPUTED_VALUE"""),"qa-double-rc2")</f>
        <v>qa-double-rc2</v>
      </c>
      <c r="L52" s="523"/>
      <c r="M52" s="523"/>
      <c r="N52" s="523"/>
      <c r="O52" s="523"/>
      <c r="P52" s="523"/>
      <c r="Q52" s="523"/>
      <c r="R52" s="523"/>
      <c r="S52" s="523"/>
      <c r="T52" s="523"/>
      <c r="U52" s="523"/>
      <c r="V52" s="523"/>
      <c r="W52" s="523"/>
      <c r="X52" s="523"/>
      <c r="Y52" s="523"/>
      <c r="Z52" s="523"/>
    </row>
    <row r="53">
      <c r="A53" s="523" t="str">
        <f>IFERROR(__xludf.DUMMYFUNCTION("""COMPUTED_VALUE"""),"MOSIP-15215")</f>
        <v>MOSIP-15215</v>
      </c>
      <c r="B53" s="524"/>
      <c r="C53" s="523" t="str">
        <f>IFERROR(__xludf.DUMMYFUNCTION("""COMPUTED_VALUE"""),"TC_MOSIP-15215-04")</f>
        <v>TC_MOSIP-15215-04</v>
      </c>
      <c r="D53" s="523"/>
      <c r="E53" s="524" t="str">
        <f>IFERROR(__xludf.DUMMYFUNCTION("""COMPUTED_VALUE"""),"Enrollment status")</f>
        <v>Enrollment status</v>
      </c>
      <c r="F53" s="524" t="str">
        <f>IFERROR(__xludf.DUMMYFUNCTION("""COMPUTED_VALUE"""),"Packet has failed in BIOGRAPHIC_VERIFICATION stage.")</f>
        <v>Packet has failed in BIOGRAPHIC_VERIFICATION stage.</v>
      </c>
      <c r="G53" s="524" t="str">
        <f>IFERROR(__xludf.DUMMYFUNCTION("""COMPUTED_VALUE"""),"Verify packet external status of a resident’s enrollment application")</f>
        <v>Verify packet external status of a resident’s enrollment application</v>
      </c>
      <c r="H53" s="524" t="str">
        <f>IFERROR(__xludf.DUMMYFUNCTION("""COMPUTED_VALUE"""),"Packet status - Rejected")</f>
        <v>Packet status - Rejected</v>
      </c>
      <c r="I53" s="523" t="str">
        <f>IFERROR(__xludf.DUMMYFUNCTION("""COMPUTED_VALUE"""),"Fail")</f>
        <v>Fail</v>
      </c>
      <c r="J53" s="523" t="str">
        <f>IFERROR(__xludf.DUMMYFUNCTION("""COMPUTED_VALUE"""),"No")</f>
        <v>No</v>
      </c>
      <c r="K53" s="523" t="str">
        <f>IFERROR(__xludf.DUMMYFUNCTION("""COMPUTED_VALUE"""),"qa-double-rc2")</f>
        <v>qa-double-rc2</v>
      </c>
      <c r="L53" s="523"/>
      <c r="M53" s="523"/>
      <c r="N53" s="523"/>
      <c r="O53" s="523"/>
      <c r="P53" s="523"/>
      <c r="Q53" s="523"/>
      <c r="R53" s="523"/>
      <c r="S53" s="523"/>
      <c r="T53" s="523"/>
      <c r="U53" s="523"/>
      <c r="V53" s="523"/>
      <c r="W53" s="523"/>
      <c r="X53" s="523"/>
      <c r="Y53" s="523"/>
      <c r="Z53" s="523"/>
    </row>
    <row r="54">
      <c r="A54" s="523" t="str">
        <f>IFERROR(__xludf.DUMMYFUNCTION("""COMPUTED_VALUE"""),"MOSIP-15215")</f>
        <v>MOSIP-15215</v>
      </c>
      <c r="B54" s="524"/>
      <c r="C54" s="523" t="str">
        <f>IFERROR(__xludf.DUMMYFUNCTION("""COMPUTED_VALUE"""),"TC_MOSIP-15215-05")</f>
        <v>TC_MOSIP-15215-05</v>
      </c>
      <c r="D54" s="523"/>
      <c r="E54" s="524" t="str">
        <f>IFERROR(__xludf.DUMMYFUNCTION("""COMPUTED_VALUE"""),"Enrollment status")</f>
        <v>Enrollment status</v>
      </c>
      <c r="F54" s="524" t="str">
        <f>IFERROR(__xludf.DUMMYFUNCTION("""COMPUTED_VALUE"""),"Packet has processed and stage is not ready.")</f>
        <v>Packet has processed and stage is not ready.</v>
      </c>
      <c r="G54" s="524" t="str">
        <f>IFERROR(__xludf.DUMMYFUNCTION("""COMPUTED_VALUE"""),"Verify packet external status of a resident’s enrollment application")</f>
        <v>Verify packet external status of a resident’s enrollment application</v>
      </c>
      <c r="H54" s="524" t="str">
        <f>IFERROR(__xludf.DUMMYFUNCTION("""COMPUTED_VALUE"""),"Packet status - Processing")</f>
        <v>Packet status - Processing</v>
      </c>
      <c r="I54" s="523" t="str">
        <f>IFERROR(__xludf.DUMMYFUNCTION("""COMPUTED_VALUE"""),"Fail")</f>
        <v>Fail</v>
      </c>
      <c r="J54" s="523" t="str">
        <f>IFERROR(__xludf.DUMMYFUNCTION("""COMPUTED_VALUE"""),"No")</f>
        <v>No</v>
      </c>
      <c r="K54" s="523" t="str">
        <f>IFERROR(__xludf.DUMMYFUNCTION("""COMPUTED_VALUE"""),"qa-double-rc2")</f>
        <v>qa-double-rc2</v>
      </c>
      <c r="L54" s="523"/>
      <c r="M54" s="523"/>
      <c r="N54" s="523"/>
      <c r="O54" s="523"/>
      <c r="P54" s="523"/>
      <c r="Q54" s="523"/>
      <c r="R54" s="523"/>
      <c r="S54" s="523"/>
      <c r="T54" s="523"/>
      <c r="U54" s="523"/>
      <c r="V54" s="523"/>
      <c r="W54" s="523"/>
      <c r="X54" s="523"/>
      <c r="Y54" s="523"/>
      <c r="Z54" s="523"/>
    </row>
    <row r="55">
      <c r="A55" s="523" t="str">
        <f>IFERROR(__xludf.DUMMYFUNCTION("""COMPUTED_VALUE"""),"MOSIP-11260")</f>
        <v>MOSIP-11260</v>
      </c>
      <c r="B55" s="524"/>
      <c r="C55" s="523" t="str">
        <f>IFERROR(__xludf.DUMMYFUNCTION("""COMPUTED_VALUE"""),"TC_MOSIP-11260-04")</f>
        <v>TC_MOSIP-11260-04</v>
      </c>
      <c r="D55" s="523"/>
      <c r="E55" s="524" t="str">
        <f>IFERROR(__xludf.DUMMYFUNCTION("""COMPUTED_VALUE"""),"BioDedupe")</f>
        <v>BioDedupe</v>
      </c>
      <c r="F55" s="524"/>
      <c r="G55" s="524" t="str">
        <f>IFERROR(__xludf.DUMMYFUNCTION("""COMPUTED_VALUE"""),"Once the packet reaches bio deduplication stage , a request is created for Manual Adjudication Queue. And Manual Adjudication System went down, packet is reprocessed after the MAS is up and running")</f>
        <v>Once the packet reaches bio deduplication stage , a request is created for Manual Adjudication Queue. And Manual Adjudication System went down, packet is reprocessed after the MAS is up and running</v>
      </c>
      <c r="H55" s="524" t="str">
        <f>IFERROR(__xludf.DUMMYFUNCTION("""COMPUTED_VALUE"""),"Packet should be reprocessed after the configured elapse.time under registration-processor-mz.properties for multiple attempts as per reprocess.minutes")</f>
        <v>Packet should be reprocessed after the configured elapse.time under registration-processor-mz.properties for multiple attempts as per reprocess.minutes</v>
      </c>
      <c r="I55" s="523" t="str">
        <f>IFERROR(__xludf.DUMMYFUNCTION("""COMPUTED_VALUE"""),"Fail")</f>
        <v>Fail</v>
      </c>
      <c r="J55" s="523" t="str">
        <f>IFERROR(__xludf.DUMMYFUNCTION("""COMPUTED_VALUE"""),"No")</f>
        <v>No</v>
      </c>
      <c r="K55" s="523"/>
      <c r="L55" s="523" t="str">
        <f>IFERROR(__xludf.DUMMYFUNCTION("""COMPUTED_VALUE"""),"MOSIP-12855")</f>
        <v>MOSIP-12855</v>
      </c>
      <c r="M55" s="523"/>
      <c r="N55" s="523"/>
      <c r="O55" s="523"/>
      <c r="P55" s="523"/>
      <c r="Q55" s="523"/>
      <c r="R55" s="523"/>
      <c r="S55" s="523"/>
      <c r="T55" s="523"/>
      <c r="U55" s="523"/>
      <c r="V55" s="523"/>
      <c r="W55" s="523"/>
      <c r="X55" s="523"/>
      <c r="Y55" s="523"/>
      <c r="Z55" s="523"/>
    </row>
    <row r="56">
      <c r="A56" s="523" t="str">
        <f>IFERROR(__xludf.DUMMYFUNCTION("""COMPUTED_VALUE"""),"MOSIP-11260")</f>
        <v>MOSIP-11260</v>
      </c>
      <c r="B56" s="524"/>
      <c r="C56" s="523" t="str">
        <f>IFERROR(__xludf.DUMMYFUNCTION("""COMPUTED_VALUE"""),"TC_MOSIP-11260-05")</f>
        <v>TC_MOSIP-11260-05</v>
      </c>
      <c r="D56" s="523"/>
      <c r="E56" s="524" t="str">
        <f>IFERROR(__xludf.DUMMYFUNCTION("""COMPUTED_VALUE"""),"BioDedupe")</f>
        <v>BioDedupe</v>
      </c>
      <c r="F56" s="524" t="str">
        <f>IFERROR(__xludf.DUMMYFUNCTION("""COMPUTED_VALUE"""),"1. Packet reaches bio deduplication stage , a request is created for Manual Adjudication Queue.
2. Manual Adjudication System went down, packet is reprocessed after the MAS is up and running")</f>
        <v>1. Packet reaches bio deduplication stage , a request is created for Manual Adjudication Queue.
2. Manual Adjudication System went down, packet is reprocessed after the MAS is up and running</v>
      </c>
      <c r="G56" s="524" t="str">
        <f>IFERROR(__xludf.DUMMYFUNCTION("""COMPUTED_VALUE"""),"To change the expiry time inboundMessageTTL and check the reprocessing functionality")</f>
        <v>To change the expiry time inboundMessageTTL and check the reprocessing functionality</v>
      </c>
      <c r="H56" s="524" t="str">
        <f>IFERROR(__xludf.DUMMYFUNCTION("""COMPUTED_VALUE"""),"The packet should be reprocessed after the expiry time + buffer time is over as set under registration-processor-mz.properties.")</f>
        <v>The packet should be reprocessed after the expiry time + buffer time is over as set under registration-processor-mz.properties.</v>
      </c>
      <c r="I56" s="523" t="str">
        <f>IFERROR(__xludf.DUMMYFUNCTION("""COMPUTED_VALUE"""),"Fail")</f>
        <v>Fail</v>
      </c>
      <c r="J56" s="523"/>
      <c r="K56" s="523"/>
      <c r="L56" s="523" t="str">
        <f>IFERROR(__xludf.DUMMYFUNCTION("""COMPUTED_VALUE"""),"MOSIP-12855")</f>
        <v>MOSIP-12855</v>
      </c>
      <c r="M56" s="523"/>
      <c r="N56" s="523"/>
      <c r="O56" s="523"/>
      <c r="P56" s="523"/>
      <c r="Q56" s="523"/>
      <c r="R56" s="523"/>
      <c r="S56" s="523"/>
      <c r="T56" s="523"/>
      <c r="U56" s="523"/>
      <c r="V56" s="523"/>
      <c r="W56" s="523"/>
      <c r="X56" s="523"/>
      <c r="Y56" s="523"/>
      <c r="Z56" s="523"/>
    </row>
    <row r="57">
      <c r="A57" s="523" t="str">
        <f>IFERROR(__xludf.DUMMYFUNCTION("""COMPUTED_VALUE"""),"MOSIP-10583")</f>
        <v>MOSIP-10583</v>
      </c>
      <c r="B57" s="524"/>
      <c r="C57" s="523" t="str">
        <f>IFERROR(__xludf.DUMMYFUNCTION("""COMPUTED_VALUE"""),"TC_MOSIP-10583-02")</f>
        <v>TC_MOSIP-10583-02</v>
      </c>
      <c r="D57" s="523"/>
      <c r="E57" s="524" t="str">
        <f>IFERROR(__xludf.DUMMYFUNCTION("""COMPUTED_VALUE"""),"Manual Adjudication")</f>
        <v>Manual Adjudication</v>
      </c>
      <c r="F57" s="524"/>
      <c r="G57" s="524" t="str">
        <f>IFERROR(__xludf.DUMMYFUNCTION("""COMPUTED_VALUE"""),"Bio-dedupe stage sends the request ID to the MA stage with all the matched RID found in the ABIS system.")</f>
        <v>Bio-dedupe stage sends the request ID to the MA stage with all the matched RID found in the ABIS system.</v>
      </c>
      <c r="H57" s="524" t="str">
        <f>IFERROR(__xludf.DUMMYFUNCTION("""COMPUTED_VALUE"""),"Request should pass to MA with all the data fetched from ABIS")</f>
        <v>Request should pass to MA with all the data fetched from ABIS</v>
      </c>
      <c r="I57" s="523" t="str">
        <f>IFERROR(__xludf.DUMMYFUNCTION("""COMPUTED_VALUE"""),"Fail")</f>
        <v>Fail</v>
      </c>
      <c r="J57" s="523" t="str">
        <f>IFERROR(__xludf.DUMMYFUNCTION("""COMPUTED_VALUE"""),"No")</f>
        <v>No</v>
      </c>
      <c r="K57" s="523" t="str">
        <f>IFERROR(__xludf.DUMMYFUNCTION("""COMPUTED_VALUE"""),"qa-double-rc2")</f>
        <v>qa-double-rc2</v>
      </c>
      <c r="L57" s="523" t="str">
        <f>IFERROR(__xludf.DUMMYFUNCTION("""COMPUTED_VALUE"""),"MOSIP-12855")</f>
        <v>MOSIP-12855</v>
      </c>
      <c r="M57" s="523"/>
      <c r="N57" s="523"/>
      <c r="O57" s="523"/>
      <c r="P57" s="523"/>
      <c r="Q57" s="523"/>
      <c r="R57" s="523"/>
      <c r="S57" s="523"/>
      <c r="T57" s="523"/>
      <c r="U57" s="523"/>
      <c r="V57" s="523"/>
      <c r="W57" s="523"/>
      <c r="X57" s="523"/>
      <c r="Y57" s="523"/>
      <c r="Z57" s="523"/>
    </row>
    <row r="58">
      <c r="A58" s="523" t="str">
        <f>IFERROR(__xludf.DUMMYFUNCTION("""COMPUTED_VALUE"""),"MOSIP-13117")</f>
        <v>MOSIP-13117</v>
      </c>
      <c r="B58" s="524"/>
      <c r="C58" s="523" t="str">
        <f>IFERROR(__xludf.DUMMYFUNCTION("""COMPUTED_VALUE"""),"RegProc_03")</f>
        <v>RegProc_03</v>
      </c>
      <c r="D58" s="523" t="str">
        <f>IFERROR(__xludf.DUMMYFUNCTION("""COMPUTED_VALUE"""),"Functional")</f>
        <v>Functional</v>
      </c>
      <c r="E58" s="524" t="str">
        <f>IFERROR(__xludf.DUMMYFUNCTION("""COMPUTED_VALUE"""),"Minor Registration flow
")</f>
        <v>Minor Registration flow
</v>
      </c>
      <c r="F58" s="524" t="str">
        <f>IFERROR(__xludf.DUMMYFUNCTION("""COMPUTED_VALUE"""),"mosip.regproc.packet.classifier.tagging.agegroup.ranges={'INFANT':'0-5','MINOR':'6-17','ADULT':'18-200'}")</f>
        <v>mosip.regproc.packet.classifier.tagging.agegroup.ranges={'INFANT':'0-5','MINOR':'6-17','ADULT':'18-200'}</v>
      </c>
      <c r="G58" s="524" t="str">
        <f>IFERROR(__xludf.DUMMYFUNCTION("""COMPUTED_VALUE"""),"Minor Registration flow
")</f>
        <v>Minor Registration flow
</v>
      </c>
      <c r="H58" s="524" t="str">
        <f>IFERROR(__xludf.DUMMYFUNCTION("""COMPUTED_VALUE"""),"""PRINT_SERVICE""
 ""FINALIZATION""
 ""BIOMETRIC_EXTRACTION""
 ""UIN_GENERATOR""
 ""BIOGRAPHIC_VERIFICATION""
 ""DEMOGRAPHIC_VERIFICATION""
 ""QUALITY_CLASSIFIER""
 ""INTRODUCER_VALIDATION""
 ""OPERATOR_VALIDATION""
 ""CMD_VALIDATION""
 ""PACKET_CLASSIFIC"&amp;"ATION""
 ""VALIDATE_PACKET""
 ""UPLOAD_PACKET""
 ""SECUREZONE_NOTIFICATION""
 ""PACKET_RECEIVER""
 ""PACKET_RECEIVER""")</f>
        <v>"PRINT_SERVICE"
 "FINALIZATION"
 "BIOMETRIC_EXTRACTION"
 "UIN_GENERATOR"
 "BIOGRAPHIC_VERIFICATION"
 "DEMOGRAPHIC_VERIFICATION"
 "QUALITY_CLASSIFIER"
 "INTRODUCER_VALIDATION"
 "OPERATOR_VALIDATION"
 "CMD_VALIDATION"
 "PACKET_CLASSIFICATION"
 "VALIDATE_PACKET"
 "UPLOAD_PACKET"
 "SECUREZONE_NOTIFICATION"
 "PACKET_RECEIVER"
 "PACKET_RECEIVER"</v>
      </c>
      <c r="I58" s="523" t="str">
        <f>IFERROR(__xludf.DUMMYFUNCTION("""COMPUTED_VALUE"""),"Fail")</f>
        <v>Fail</v>
      </c>
      <c r="J58" s="523" t="str">
        <f>IFERROR(__xludf.DUMMYFUNCTION("""COMPUTED_VALUE"""),"No")</f>
        <v>No</v>
      </c>
      <c r="K58" s="523" t="str">
        <f>IFERROR(__xludf.DUMMYFUNCTION("""COMPUTED_VALUE"""),"qa-single-rc2")</f>
        <v>qa-single-rc2</v>
      </c>
      <c r="L58" s="523"/>
      <c r="M58" s="523"/>
      <c r="N58" s="523"/>
      <c r="O58" s="523"/>
      <c r="P58" s="523"/>
      <c r="Q58" s="523"/>
      <c r="R58" s="523"/>
      <c r="S58" s="523"/>
      <c r="T58" s="523"/>
      <c r="U58" s="523"/>
      <c r="V58" s="523"/>
      <c r="W58" s="523"/>
      <c r="X58" s="523"/>
      <c r="Y58" s="523"/>
      <c r="Z58" s="523"/>
    </row>
    <row r="59">
      <c r="A59" s="523" t="str">
        <f>IFERROR(__xludf.DUMMYFUNCTION("""COMPUTED_VALUE"""),"MOSIP-12370")</f>
        <v>MOSIP-12370</v>
      </c>
      <c r="B59" s="524"/>
      <c r="C59" s="523" t="str">
        <f>IFERROR(__xludf.DUMMYFUNCTION("""COMPUTED_VALUE"""),"TC_MOSIP-12370-01")</f>
        <v>TC_MOSIP-12370-01</v>
      </c>
      <c r="D59" s="523" t="str">
        <f>IFERROR(__xludf.DUMMYFUNCTION("""COMPUTED_VALUE"""),"Functional")</f>
        <v>Functional</v>
      </c>
      <c r="E59" s="524" t="str">
        <f>IFERROR(__xludf.DUMMYFUNCTION("""COMPUTED_VALUE"""),"Kafka messages")</f>
        <v>Kafka messages</v>
      </c>
      <c r="F59" s="524" t="str">
        <f>IFERROR(__xludf.DUMMYFUNCTION("""COMPUTED_VALUE"""),"1. Configure mosip.regproc.common.stage.message.expiry-time-limit=120 [Seconds]
 2. Make any stage down in camel route for registration flow.")</f>
        <v>1. Configure mosip.regproc.common.stage.message.expiry-time-limit=120 [Seconds]
 2. Make any stage down in camel route for registration flow.</v>
      </c>
      <c r="G59" s="524" t="str">
        <f>IFERROR(__xludf.DUMMYFUNCTION("""COMPUTED_VALUE"""),"Verify messages after configured expire time limit.")</f>
        <v>Verify messages after configured expire time limit.</v>
      </c>
      <c r="H59" s="524" t="str">
        <f>IFERROR(__xludf.DUMMYFUNCTION("""COMPUTED_VALUE"""),"Message expire as per the last hop time should be displayed in logs.")</f>
        <v>Message expire as per the last hop time should be displayed in logs.</v>
      </c>
      <c r="I59" s="523" t="str">
        <f>IFERROR(__xludf.DUMMYFUNCTION("""COMPUTED_VALUE"""),"Fail")</f>
        <v>Fail</v>
      </c>
      <c r="J59" s="523" t="str">
        <f>IFERROR(__xludf.DUMMYFUNCTION("""COMPUTED_VALUE"""),"No")</f>
        <v>No</v>
      </c>
      <c r="K59" s="523" t="str">
        <f>IFERROR(__xludf.DUMMYFUNCTION("""COMPUTED_VALUE"""),"qa-double-rc2")</f>
        <v>qa-double-rc2</v>
      </c>
      <c r="L59" s="523" t="str">
        <f>IFERROR(__xludf.DUMMYFUNCTION("""COMPUTED_VALUE"""),"MOSIP-19743")</f>
        <v>MOSIP-19743</v>
      </c>
      <c r="M59" s="523"/>
      <c r="N59" s="523"/>
      <c r="O59" s="523"/>
      <c r="P59" s="523"/>
      <c r="Q59" s="523"/>
      <c r="R59" s="523"/>
      <c r="S59" s="523"/>
      <c r="T59" s="523"/>
      <c r="U59" s="523"/>
      <c r="V59" s="523"/>
      <c r="W59" s="523"/>
      <c r="X59" s="523"/>
      <c r="Y59" s="523"/>
      <c r="Z59" s="523"/>
    </row>
    <row r="60">
      <c r="A60" s="523" t="str">
        <f>IFERROR(__xludf.DUMMYFUNCTION("""COMPUTED_VALUE"""),"MOSIP-12370")</f>
        <v>MOSIP-12370</v>
      </c>
      <c r="B60" s="524"/>
      <c r="C60" s="523" t="str">
        <f>IFERROR(__xludf.DUMMYFUNCTION("""COMPUTED_VALUE"""),"TC_MOSIP-12370-02")</f>
        <v>TC_MOSIP-12370-02</v>
      </c>
      <c r="D60" s="523" t="str">
        <f>IFERROR(__xludf.DUMMYFUNCTION("""COMPUTED_VALUE"""),"Functional")</f>
        <v>Functional</v>
      </c>
      <c r="E60" s="524" t="str">
        <f>IFERROR(__xludf.DUMMYFUNCTION("""COMPUTED_VALUE"""),"Kafka messages")</f>
        <v>Kafka messages</v>
      </c>
      <c r="F60" s="524" t="str">
        <f>IFERROR(__xludf.DUMMYFUNCTION("""COMPUTED_VALUE"""),"1. Configure mosip.regproc.common.stage.message.expiry-time-limit=0 [Seconds]
 2. Make any stage down in camel route for registration flow.")</f>
        <v>1. Configure mosip.regproc.common.stage.message.expiry-time-limit=0 [Seconds]
 2. Make any stage down in camel route for registration flow.</v>
      </c>
      <c r="G60" s="524" t="str">
        <f>IFERROR(__xludf.DUMMYFUNCTION("""COMPUTED_VALUE"""),"Verify messages after configured expire time limit.")</f>
        <v>Verify messages after configured expire time limit.</v>
      </c>
      <c r="H60" s="524" t="str">
        <f>IFERROR(__xludf.DUMMYFUNCTION("""COMPUTED_VALUE"""),"Message expire as per the last hop time should not be displayed in logs.")</f>
        <v>Message expire as per the last hop time should not be displayed in logs.</v>
      </c>
      <c r="I60" s="523" t="str">
        <f>IFERROR(__xludf.DUMMYFUNCTION("""COMPUTED_VALUE"""),"Fail")</f>
        <v>Fail</v>
      </c>
      <c r="J60" s="523" t="str">
        <f>IFERROR(__xludf.DUMMYFUNCTION("""COMPUTED_VALUE"""),"No")</f>
        <v>No</v>
      </c>
      <c r="K60" s="523" t="str">
        <f>IFERROR(__xludf.DUMMYFUNCTION("""COMPUTED_VALUE"""),"qa-double-rc2")</f>
        <v>qa-double-rc2</v>
      </c>
      <c r="L60" s="523" t="str">
        <f>IFERROR(__xludf.DUMMYFUNCTION("""COMPUTED_VALUE"""),"MOSIP-19743")</f>
        <v>MOSIP-19743</v>
      </c>
      <c r="M60" s="523"/>
      <c r="N60" s="523"/>
      <c r="O60" s="523"/>
      <c r="P60" s="523"/>
      <c r="Q60" s="523"/>
      <c r="R60" s="523"/>
      <c r="S60" s="523"/>
      <c r="T60" s="523"/>
      <c r="U60" s="523"/>
      <c r="V60" s="523"/>
      <c r="W60" s="523"/>
      <c r="X60" s="523"/>
      <c r="Y60" s="523"/>
      <c r="Z60" s="523"/>
    </row>
    <row r="61">
      <c r="A61" s="523" t="str">
        <f>IFERROR(__xludf.DUMMYFUNCTION("""COMPUTED_VALUE"""),"MOSIP-12370")</f>
        <v>MOSIP-12370</v>
      </c>
      <c r="B61" s="524"/>
      <c r="C61" s="523" t="str">
        <f>IFERROR(__xludf.DUMMYFUNCTION("""COMPUTED_VALUE"""),"TC_MOSIP-12370-03")</f>
        <v>TC_MOSIP-12370-03</v>
      </c>
      <c r="D61" s="523" t="str">
        <f>IFERROR(__xludf.DUMMYFUNCTION("""COMPUTED_VALUE"""),"Functional")</f>
        <v>Functional</v>
      </c>
      <c r="E61" s="524" t="str">
        <f>IFERROR(__xludf.DUMMYFUNCTION("""COMPUTED_VALUE"""),"Kafka messages")</f>
        <v>Kafka messages</v>
      </c>
      <c r="F61" s="524" t="str">
        <f>IFERROR(__xludf.DUMMYFUNCTION("""COMPUTED_VALUE"""),"1. Configure mosip.regproc.common.stage.message.expiry-time-limit= -1 [Seconds]
 2. Make any stage down in camel route for registration flow.")</f>
        <v>1. Configure mosip.regproc.common.stage.message.expiry-time-limit= -1 [Seconds]
 2. Make any stage down in camel route for registration flow.</v>
      </c>
      <c r="G61" s="524" t="str">
        <f>IFERROR(__xludf.DUMMYFUNCTION("""COMPUTED_VALUE"""),"Verify messages after configured expire time limit.")</f>
        <v>Verify messages after configured expire time limit.</v>
      </c>
      <c r="H61" s="524" t="str">
        <f>IFERROR(__xludf.DUMMYFUNCTION("""COMPUTED_VALUE"""),"Message expire as per the last hop time should not be displayed in logs.")</f>
        <v>Message expire as per the last hop time should not be displayed in logs.</v>
      </c>
      <c r="I61" s="523" t="str">
        <f>IFERROR(__xludf.DUMMYFUNCTION("""COMPUTED_VALUE"""),"Fail")</f>
        <v>Fail</v>
      </c>
      <c r="J61" s="523" t="str">
        <f>IFERROR(__xludf.DUMMYFUNCTION("""COMPUTED_VALUE"""),"No")</f>
        <v>No</v>
      </c>
      <c r="K61" s="523" t="str">
        <f>IFERROR(__xludf.DUMMYFUNCTION("""COMPUTED_VALUE"""),"qa-double-rc2")</f>
        <v>qa-double-rc2</v>
      </c>
      <c r="L61" s="523" t="str">
        <f>IFERROR(__xludf.DUMMYFUNCTION("""COMPUTED_VALUE"""),"MOSIP-19743")</f>
        <v>MOSIP-19743</v>
      </c>
      <c r="M61" s="523"/>
      <c r="N61" s="523"/>
      <c r="O61" s="523"/>
      <c r="P61" s="523"/>
      <c r="Q61" s="523"/>
      <c r="R61" s="523"/>
      <c r="S61" s="523"/>
      <c r="T61" s="523"/>
      <c r="U61" s="523"/>
      <c r="V61" s="523"/>
      <c r="W61" s="523"/>
      <c r="X61" s="523"/>
      <c r="Y61" s="523"/>
      <c r="Z61" s="523"/>
    </row>
    <row r="62">
      <c r="A62" s="523"/>
      <c r="B62" s="524"/>
      <c r="C62" s="523" t="str">
        <f>IFERROR(__xludf.DUMMYFUNCTION("""COMPUTED_VALUE"""),"RP_TC_10")</f>
        <v>RP_TC_10</v>
      </c>
      <c r="D62" s="523"/>
      <c r="E62" s="524" t="str">
        <f>IFERROR(__xludf.DUMMYFUNCTION("""COMPUTED_VALUE"""),"Demographic Verification Stage")</f>
        <v>Demographic Verification Stage</v>
      </c>
      <c r="F62" s="524" t="str">
        <f>IFERROR(__xludf.DUMMYFUNCTION("""COMPUTED_VALUE"""),"1. Enable/Disable Manual Adjudication after Demo dedupe=PENDING
2. Create Update packet A demograhpics details Name, DOB, gender.
3. Packet A uploaded and packet processed.
4. New flow create packet B with similar to packet A - Name, DOB, gender with simi"&amp;"lar data.
")</f>
        <v>1. Enable/Disable Manual Adjudication after Demo dedupe=PENDING
2. Create Update packet A demograhpics details Name, DOB, gender.
3. Packet A uploaded and packet processed.
4. New flow create packet B with similar to packet A - Name, DOB, gender with similar data.
</v>
      </c>
      <c r="G62" s="524" t="str">
        <f>IFERROR(__xludf.DUMMYFUNCTION("""COMPUTED_VALUE"""),"Upload packet B and verify packet transaction.")</f>
        <v>Upload packet B and verify packet transaction.</v>
      </c>
      <c r="H62" s="524" t="str">
        <f>IFERROR(__xludf.DUMMYFUNCTION("""COMPUTED_VALUE"""),"Packet should sent to manual verification without marking as Rejected.")</f>
        <v>Packet should sent to manual verification without marking as Rejected.</v>
      </c>
      <c r="I62" s="523" t="str">
        <f>IFERROR(__xludf.DUMMYFUNCTION("""COMPUTED_VALUE"""),"Fail")</f>
        <v>Fail</v>
      </c>
      <c r="J62" s="523"/>
      <c r="K62" s="523"/>
      <c r="L62" s="523"/>
      <c r="M62" s="523"/>
      <c r="N62" s="523"/>
      <c r="O62" s="523"/>
      <c r="P62" s="523"/>
      <c r="Q62" s="523"/>
      <c r="R62" s="523"/>
      <c r="S62" s="523"/>
      <c r="T62" s="523"/>
      <c r="U62" s="523"/>
      <c r="V62" s="523"/>
      <c r="W62" s="523"/>
      <c r="X62" s="523"/>
      <c r="Y62" s="523"/>
      <c r="Z62" s="523"/>
    </row>
    <row r="63">
      <c r="A63" s="523"/>
      <c r="B63" s="524"/>
      <c r="C63" s="523" t="str">
        <f>IFERROR(__xludf.DUMMYFUNCTION("""COMPUTED_VALUE"""),"RP_TC_16")</f>
        <v>RP_TC_16</v>
      </c>
      <c r="D63" s="523"/>
      <c r="E63" s="524" t="str">
        <f>IFERROR(__xludf.DUMMYFUNCTION("""COMPUTED_VALUE"""),"Biographic Verification Stage")</f>
        <v>Biographic Verification Stage</v>
      </c>
      <c r="F63" s="524" t="str">
        <f>IFERROR(__xludf.DUMMYFUNCTION("""COMPUTED_VALUE"""),"1. Updated return.duplicate to true in mock-abis-default.properties.
2. Restart Mock ABIS pod
3. Update packet A Biometrics and packet processed
4. Update registration flow (Biometrics) Packet B created")</f>
        <v>1. Updated return.duplicate to true in mock-abis-default.properties.
2. Restart Mock ABIS pod
3. Update packet A Biometrics and packet processed
4. Update registration flow (Biometrics) Packet B created</v>
      </c>
      <c r="G63" s="524" t="str">
        <f>IFERROR(__xludf.DUMMYFUNCTION("""COMPUTED_VALUE"""),"Upload packet B and verify packet transaction.")</f>
        <v>Upload packet B and verify packet transaction.</v>
      </c>
      <c r="H63" s="524" t="str">
        <f>IFERROR(__xludf.DUMMYFUNCTION("""COMPUTED_VALUE"""),"BIOGRAPHIC_VERIFICATION stage, ""Potential Biometric Match Found while Processing Packet""")</f>
        <v>BIOGRAPHIC_VERIFICATION stage, "Potential Biometric Match Found while Processing Packet"</v>
      </c>
      <c r="I63" s="523" t="str">
        <f>IFERROR(__xludf.DUMMYFUNCTION("""COMPUTED_VALUE"""),"Fail")</f>
        <v>Fail</v>
      </c>
      <c r="J63" s="523"/>
      <c r="K63" s="523"/>
      <c r="L63" s="523"/>
      <c r="M63" s="523"/>
      <c r="N63" s="523"/>
      <c r="O63" s="523"/>
      <c r="P63" s="523"/>
      <c r="Q63" s="523"/>
      <c r="R63" s="523"/>
      <c r="S63" s="523"/>
      <c r="T63" s="523"/>
      <c r="U63" s="523"/>
      <c r="V63" s="523"/>
      <c r="W63" s="523"/>
      <c r="X63" s="523"/>
      <c r="Y63" s="523"/>
      <c r="Z63" s="523"/>
    </row>
    <row r="64">
      <c r="A64" s="523"/>
      <c r="B64" s="524"/>
      <c r="C64" s="523" t="str">
        <f>IFERROR(__xludf.DUMMYFUNCTION("""COMPUTED_VALUE"""),"RP_TC_18")</f>
        <v>RP_TC_18</v>
      </c>
      <c r="D64" s="523"/>
      <c r="E64" s="524" t="str">
        <f>IFERROR(__xludf.DUMMYFUNCTION("""COMPUTED_VALUE"""),"Biographic Verification Stage")</f>
        <v>Biographic Verification Stage</v>
      </c>
      <c r="F64" s="524" t="str">
        <f>IFERROR(__xludf.DUMMYFUNCTION("""COMPUTED_VALUE"""),"1. Updated return.duplicate to true in mock-abis-default.properties.
2. New Registration create multiple packets A, B and C packet processed
4. New registration flow Packet D created")</f>
        <v>1. Updated return.duplicate to true in mock-abis-default.properties.
2. New Registration create multiple packets A, B and C packet processed
4. New registration flow Packet D created</v>
      </c>
      <c r="G64" s="524" t="str">
        <f>IFERROR(__xludf.DUMMYFUNCTION("""COMPUTED_VALUE"""),"Upload packet D and verify packet transaction.")</f>
        <v>Upload packet D and verify packet transaction.</v>
      </c>
      <c r="H64" s="524" t="str">
        <f>IFERROR(__xludf.DUMMYFUNCTION("""COMPUTED_VALUE"""),"BIOGRAPHIC_VERIFICATION stage, ""Potential Biometric Match Found while Processing Packet""")</f>
        <v>BIOGRAPHIC_VERIFICATION stage, "Potential Biometric Match Found while Processing Packet"</v>
      </c>
      <c r="I64" s="523" t="str">
        <f>IFERROR(__xludf.DUMMYFUNCTION("""COMPUTED_VALUE"""),"Fail")</f>
        <v>Fail</v>
      </c>
      <c r="J64" s="523"/>
      <c r="K64" s="523"/>
      <c r="L64" s="523"/>
      <c r="M64" s="523"/>
      <c r="N64" s="523"/>
      <c r="O64" s="523"/>
      <c r="P64" s="523"/>
      <c r="Q64" s="523"/>
      <c r="R64" s="523"/>
      <c r="S64" s="523"/>
      <c r="T64" s="523"/>
      <c r="U64" s="523"/>
      <c r="V64" s="523"/>
      <c r="W64" s="523"/>
      <c r="X64" s="523"/>
      <c r="Y64" s="523"/>
      <c r="Z64" s="523"/>
    </row>
    <row r="65">
      <c r="A65" s="523"/>
      <c r="B65" s="524"/>
      <c r="C65" s="523" t="str">
        <f>IFERROR(__xludf.DUMMYFUNCTION("""COMPUTED_VALUE"""),"RP_TC_21")</f>
        <v>RP_TC_21</v>
      </c>
      <c r="D65" s="523"/>
      <c r="E65" s="524" t="str">
        <f>IFERROR(__xludf.DUMMYFUNCTION("""COMPUTED_VALUE"""),"Biographic Verification Stage")</f>
        <v>Biographic Verification Stage</v>
      </c>
      <c r="F65" s="524" t="str">
        <f>IFERROR(__xludf.DUMMYFUNCTION("""COMPUTED_VALUE"""),"1. Updated return.duplicate to true in mock-abis-default.properties.
2. Restart Mock ABIS pod
3. Create Adult packet A and packet processed
4. Update biometrics for Packet B (same UIN as packet A) with the same biometrics as processed with Packet A.")</f>
        <v>1. Updated return.duplicate to true in mock-abis-default.properties.
2. Restart Mock ABIS pod
3. Create Adult packet A and packet processed
4. Update biometrics for Packet B (same UIN as packet A) with the same biometrics as processed with Packet A.</v>
      </c>
      <c r="G65" s="524" t="str">
        <f>IFERROR(__xludf.DUMMYFUNCTION("""COMPUTED_VALUE"""),"Upload packet B and verify packet transaction.")</f>
        <v>Upload packet B and verify packet transaction.</v>
      </c>
      <c r="H65" s="524" t="str">
        <f>IFERROR(__xludf.DUMMYFUNCTION("""COMPUTED_VALUE"""),"BioGRAPHIC_VERIFICATION stage should move to next stage.")</f>
        <v>BioGRAPHIC_VERIFICATION stage should move to next stage.</v>
      </c>
      <c r="I65" s="523" t="str">
        <f>IFERROR(__xludf.DUMMYFUNCTION("""COMPUTED_VALUE"""),"Fail")</f>
        <v>Fail</v>
      </c>
      <c r="J65" s="523"/>
      <c r="K65" s="523"/>
      <c r="L65" s="523"/>
      <c r="M65" s="523"/>
      <c r="N65" s="523"/>
      <c r="O65" s="523"/>
      <c r="P65" s="523"/>
      <c r="Q65" s="523"/>
      <c r="R65" s="523"/>
      <c r="S65" s="523"/>
      <c r="T65" s="523"/>
      <c r="U65" s="523"/>
      <c r="V65" s="523"/>
      <c r="W65" s="523"/>
      <c r="X65" s="523"/>
      <c r="Y65" s="523"/>
      <c r="Z65" s="523"/>
    </row>
    <row r="66">
      <c r="A66" s="523"/>
      <c r="B66" s="524"/>
      <c r="C66" s="523" t="str">
        <f>IFERROR(__xludf.DUMMYFUNCTION("""COMPUTED_VALUE"""),"RP_TC_22")</f>
        <v>RP_TC_22</v>
      </c>
      <c r="D66" s="523"/>
      <c r="E66" s="524" t="str">
        <f>IFERROR(__xludf.DUMMYFUNCTION("""COMPUTED_VALUE"""),"Biographic Verification Stage")</f>
        <v>Biographic Verification Stage</v>
      </c>
      <c r="F66" s="524" t="str">
        <f>IFERROR(__xludf.DUMMYFUNCTION("""COMPUTED_VALUE"""),"1. Updated return.duplicate to true in mock-abis-default.properties.
2. Restart Mock ABIS pod")</f>
        <v>1. Updated return.duplicate to true in mock-abis-default.properties.
2. Restart Mock ABIS pod</v>
      </c>
      <c r="G66" s="524" t="str">
        <f>IFERROR(__xludf.DUMMYFUNCTION("""COMPUTED_VALUE"""),"1. Person A and B register (UIN already generated)
2. Person B updating biometrics with Person A biometrics
3. Upload packet B and verify packet transaction.")</f>
        <v>1. Person A and B register (UIN already generated)
2. Person B updating biometrics with Person A biometrics
3. Upload packet B and verify packet transaction.</v>
      </c>
      <c r="H66" s="524" t="str">
        <f>IFERROR(__xludf.DUMMYFUNCTION("""COMPUTED_VALUE"""),"BIOGRAPHIC_VERIFICATION stage, ""Potential Biometric Match Found while Processing Packet""")</f>
        <v>BIOGRAPHIC_VERIFICATION stage, "Potential Biometric Match Found while Processing Packet"</v>
      </c>
      <c r="I66" s="523" t="str">
        <f>IFERROR(__xludf.DUMMYFUNCTION("""COMPUTED_VALUE"""),"Fail")</f>
        <v>Fail</v>
      </c>
      <c r="J66" s="523"/>
      <c r="K66" s="523"/>
      <c r="L66" s="523"/>
      <c r="M66" s="523"/>
      <c r="N66" s="523"/>
      <c r="O66" s="523"/>
      <c r="P66" s="523"/>
      <c r="Q66" s="523"/>
      <c r="R66" s="523"/>
      <c r="S66" s="523"/>
      <c r="T66" s="523"/>
      <c r="U66" s="523"/>
      <c r="V66" s="523"/>
      <c r="W66" s="523"/>
      <c r="X66" s="523"/>
      <c r="Y66" s="523"/>
      <c r="Z66" s="523"/>
    </row>
    <row r="67">
      <c r="A67" s="523"/>
      <c r="B67" s="524"/>
      <c r="C67" s="523" t="str">
        <f>IFERROR(__xludf.DUMMYFUNCTION("""COMPUTED_VALUE"""),"RP_TC_38")</f>
        <v>RP_TC_38</v>
      </c>
      <c r="D67" s="523"/>
      <c r="E67" s="524"/>
      <c r="F67" s="524" t="str">
        <f>IFERROR(__xludf.DUMMYFUNCTION("""COMPUTED_VALUE"""),"1.Biometric duplicates are found in ABIS for Packet A and Packet B")</f>
        <v>1.Biometric duplicates are found in ABIS for Packet A and Packet B</v>
      </c>
      <c r="G67" s="524" t="str">
        <f>IFERROR(__xludf.DUMMYFUNCTION("""COMPUTED_VALUE"""),"1. Request sent to Manual Adjudication system via a queue.
2. Verify the stage in packet transaction.")</f>
        <v>1. Request sent to Manual Adjudication system via a queue.
2. Verify the stage in packet transaction.</v>
      </c>
      <c r="H67" s="524" t="str">
        <f>IFERROR(__xludf.DUMMYFUNCTION("""COMPUTED_VALUE"""),"Manual Adjudication stage should be added after biometric verification.")</f>
        <v>Manual Adjudication stage should be added after biometric verification.</v>
      </c>
      <c r="I67" s="523" t="str">
        <f>IFERROR(__xludf.DUMMYFUNCTION("""COMPUTED_VALUE"""),"Fail")</f>
        <v>Fail</v>
      </c>
      <c r="J67" s="523"/>
      <c r="K67" s="523"/>
      <c r="L67" s="523"/>
      <c r="M67" s="523"/>
      <c r="N67" s="523"/>
      <c r="O67" s="523"/>
      <c r="P67" s="523"/>
      <c r="Q67" s="523"/>
      <c r="R67" s="523"/>
      <c r="S67" s="523"/>
      <c r="T67" s="523"/>
      <c r="U67" s="523"/>
      <c r="V67" s="523"/>
      <c r="W67" s="523"/>
      <c r="X67" s="523"/>
      <c r="Y67" s="523"/>
      <c r="Z67" s="523"/>
    </row>
    <row r="68">
      <c r="A68" s="523"/>
      <c r="B68" s="524"/>
      <c r="C68" s="523" t="str">
        <f>IFERROR(__xludf.DUMMYFUNCTION("""COMPUTED_VALUE"""),"RP_TC_39")</f>
        <v>RP_TC_39</v>
      </c>
      <c r="D68" s="523"/>
      <c r="E68" s="524"/>
      <c r="F68" s="524" t="str">
        <f>IFERROR(__xludf.DUMMYFUNCTION("""COMPUTED_VALUE"""),"1.Biometric duplicates are found in ABIS for Packet A and Packet B
")</f>
        <v>1.Biometric duplicates are found in ABIS for Packet A and Packet B
</v>
      </c>
      <c r="G68" s="524" t="str">
        <f>IFERROR(__xludf.DUMMYFUNCTION("""COMPUTED_VALUE"""),"1. Request sent to Manual Adjudication system via a queue.
2. Response from ManualAdjudication-to-MOSIP is Approved
3. Verify the packet status.")</f>
        <v>1. Request sent to Manual Adjudication system via a queue.
2. Response from ManualAdjudication-to-MOSIP is Approved
3. Verify the packet status.</v>
      </c>
      <c r="H68" s="524" t="str">
        <f>IFERROR(__xludf.DUMMYFUNCTION("""COMPUTED_VALUE"""),"Packet should to next stage i.e UIN Generation stage.")</f>
        <v>Packet should to next stage i.e UIN Generation stage.</v>
      </c>
      <c r="I68" s="523" t="str">
        <f>IFERROR(__xludf.DUMMYFUNCTION("""COMPUTED_VALUE"""),"Fail")</f>
        <v>Fail</v>
      </c>
      <c r="J68" s="523"/>
      <c r="K68" s="523"/>
      <c r="L68" s="523"/>
      <c r="M68" s="523"/>
      <c r="N68" s="523"/>
      <c r="O68" s="523"/>
      <c r="P68" s="523"/>
      <c r="Q68" s="523"/>
      <c r="R68" s="523"/>
      <c r="S68" s="523"/>
      <c r="T68" s="523"/>
      <c r="U68" s="523"/>
      <c r="V68" s="523"/>
      <c r="W68" s="523"/>
      <c r="X68" s="523"/>
      <c r="Y68" s="523"/>
      <c r="Z68" s="523"/>
    </row>
    <row r="69">
      <c r="A69" s="523"/>
      <c r="B69" s="524"/>
      <c r="C69" s="523" t="str">
        <f>IFERROR(__xludf.DUMMYFUNCTION("""COMPUTED_VALUE"""),"RP_TC_40")</f>
        <v>RP_TC_40</v>
      </c>
      <c r="D69" s="523"/>
      <c r="E69" s="524"/>
      <c r="F69" s="524" t="str">
        <f>IFERROR(__xludf.DUMMYFUNCTION("""COMPUTED_VALUE"""),"1.Biometric duplicates are found in ABIS for Packet A and Packet B
2. Request sent to Manual Adjudication system via a queue.")</f>
        <v>1.Biometric duplicates are found in ABIS for Packet A and Packet B
2. Request sent to Manual Adjudication system via a queue.</v>
      </c>
      <c r="G69" s="524" t="str">
        <f>IFERROR(__xludf.DUMMYFUNCTION("""COMPUTED_VALUE"""),"1. Response from ManualAdjudication-to-MOSIP is Rejected
2. Verify the packet status.")</f>
        <v>1. Response from ManualAdjudication-to-MOSIP is Rejected
2. Verify the packet status.</v>
      </c>
      <c r="H69" s="524" t="str">
        <f>IFERROR(__xludf.DUMMYFUNCTION("""COMPUTED_VALUE"""),"Packet should be Rejected.")</f>
        <v>Packet should be Rejected.</v>
      </c>
      <c r="I69" s="523" t="str">
        <f>IFERROR(__xludf.DUMMYFUNCTION("""COMPUTED_VALUE"""),"Fail")</f>
        <v>Fail</v>
      </c>
      <c r="J69" s="523"/>
      <c r="K69" s="523"/>
      <c r="L69" s="523"/>
      <c r="M69" s="523"/>
      <c r="N69" s="523"/>
      <c r="O69" s="523"/>
      <c r="P69" s="523"/>
      <c r="Q69" s="523"/>
      <c r="R69" s="523"/>
      <c r="S69" s="523"/>
      <c r="T69" s="523"/>
      <c r="U69" s="523"/>
      <c r="V69" s="523"/>
      <c r="W69" s="523"/>
      <c r="X69" s="523"/>
      <c r="Y69" s="523"/>
      <c r="Z69" s="523"/>
    </row>
    <row r="70">
      <c r="A70" s="523"/>
      <c r="B70" s="524"/>
      <c r="C70" s="523" t="str">
        <f>IFERROR(__xludf.DUMMYFUNCTION("""COMPUTED_VALUE"""),"RP_TC_41")</f>
        <v>RP_TC_41</v>
      </c>
      <c r="D70" s="523"/>
      <c r="E70" s="524"/>
      <c r="F70" s="524" t="str">
        <f>IFERROR(__xludf.DUMMYFUNCTION("""COMPUTED_VALUE"""),"1.Biometric duplicates are found in ABIS for Packet A and Packet B")</f>
        <v>1.Biometric duplicates are found in ABIS for Packet A and Packet B</v>
      </c>
      <c r="G70" s="524" t="str">
        <f>IFERROR(__xludf.DUMMYFUNCTION("""COMPUTED_VALUE"""),"1. Request sent to Manual Adjudication system via a queue.
2. Response from ManualAdjudication-to-MOSIP is Rejected
3. Verify Email notification to Resident.")</f>
        <v>1. Request sent to Manual Adjudication system via a queue.
2. Response from ManualAdjudication-to-MOSIP is Rejected
3. Verify Email notification to Resident.</v>
      </c>
      <c r="H70" s="524" t="str">
        <f>IFERROR(__xludf.DUMMYFUNCTION("""COMPUTED_VALUE"""),"Resident should receive email notification about Packet Rejected status.")</f>
        <v>Resident should receive email notification about Packet Rejected status.</v>
      </c>
      <c r="I70" s="523" t="str">
        <f>IFERROR(__xludf.DUMMYFUNCTION("""COMPUTED_VALUE"""),"Fail")</f>
        <v>Fail</v>
      </c>
      <c r="J70" s="523"/>
      <c r="K70" s="523"/>
      <c r="L70" s="523"/>
      <c r="M70" s="523"/>
      <c r="N70" s="523"/>
      <c r="O70" s="523"/>
      <c r="P70" s="523"/>
      <c r="Q70" s="523"/>
      <c r="R70" s="523"/>
      <c r="S70" s="523"/>
      <c r="T70" s="523"/>
      <c r="U70" s="523"/>
      <c r="V70" s="523"/>
      <c r="W70" s="523"/>
      <c r="X70" s="523"/>
      <c r="Y70" s="523"/>
      <c r="Z70" s="523"/>
    </row>
    <row r="71">
      <c r="A71" s="523"/>
      <c r="B71" s="524"/>
      <c r="C71" s="523" t="str">
        <f>IFERROR(__xludf.DUMMYFUNCTION("""COMPUTED_VALUE"""),"RP_TC_42")</f>
        <v>RP_TC_42</v>
      </c>
      <c r="D71" s="523"/>
      <c r="E71" s="524"/>
      <c r="F71" s="524" t="str">
        <f>IFERROR(__xludf.DUMMYFUNCTION("""COMPUTED_VALUE"""),"1. Updated return.duplicate to true in mock-abis-default.properties.
2. Restart Mock ABIS pod")</f>
        <v>1. Updated return.duplicate to true in mock-abis-default.properties.
2. Restart Mock ABIS pod</v>
      </c>
      <c r="G71" s="524" t="str">
        <f>IFERROR(__xludf.DUMMYFUNCTION("""COMPUTED_VALUE"""),"1. Update packet A packet processed
2. Update registration flow Packet B created
3. Verify the stage in packet transaction.")</f>
        <v>1. Update packet A packet processed
2. Update registration flow Packet B created
3. Verify the stage in packet transaction.</v>
      </c>
      <c r="H71" s="524" t="str">
        <f>IFERROR(__xludf.DUMMYFUNCTION("""COMPUTED_VALUE"""),"Manual Adjudication stage should be added after biometric verification for packet B. 
Should match againest packet A.")</f>
        <v>Manual Adjudication stage should be added after biometric verification for packet B. 
Should match againest packet A.</v>
      </c>
      <c r="I71" s="523" t="str">
        <f>IFERROR(__xludf.DUMMYFUNCTION("""COMPUTED_VALUE"""),"Fail")</f>
        <v>Fail</v>
      </c>
      <c r="J71" s="523"/>
      <c r="K71" s="523"/>
      <c r="L71" s="523"/>
      <c r="M71" s="523"/>
      <c r="N71" s="523"/>
      <c r="O71" s="523"/>
      <c r="P71" s="523"/>
      <c r="Q71" s="523"/>
      <c r="R71" s="523"/>
      <c r="S71" s="523"/>
      <c r="T71" s="523"/>
      <c r="U71" s="523"/>
      <c r="V71" s="523"/>
      <c r="W71" s="523"/>
      <c r="X71" s="523"/>
      <c r="Y71" s="523"/>
      <c r="Z71" s="523"/>
    </row>
    <row r="72">
      <c r="A72" s="523"/>
      <c r="B72" s="524"/>
      <c r="C72" s="523" t="str">
        <f>IFERROR(__xludf.DUMMYFUNCTION("""COMPUTED_VALUE"""),"RP_TC_43")</f>
        <v>RP_TC_43</v>
      </c>
      <c r="D72" s="523"/>
      <c r="E72" s="524"/>
      <c r="F72" s="524" t="str">
        <f>IFERROR(__xludf.DUMMYFUNCTION("""COMPUTED_VALUE"""),"1. Updated return.duplicate to true in mock-abis-default.properties.
")</f>
        <v>1. Updated return.duplicate to true in mock-abis-default.properties.
</v>
      </c>
      <c r="G72" s="524" t="str">
        <f>IFERROR(__xludf.DUMMYFUNCTION("""COMPUTED_VALUE"""),"1. New Registration create multiple packets A, B and C packet processed
2. New registration flow Packet D created
3. Upload packet D and verify packet transaction.")</f>
        <v>1. New Registration create multiple packets A, B and C packet processed
2. New registration flow Packet D created
3. Upload packet D and verify packet transaction.</v>
      </c>
      <c r="H72" s="524" t="str">
        <f>IFERROR(__xludf.DUMMYFUNCTION("""COMPUTED_VALUE"""),"Manual Adjudication stage should be added after biometric verification for Packet D.
Should match againest packet A, B and C.")</f>
        <v>Manual Adjudication stage should be added after biometric verification for Packet D.
Should match againest packet A, B and C.</v>
      </c>
      <c r="I72" s="523" t="str">
        <f>IFERROR(__xludf.DUMMYFUNCTION("""COMPUTED_VALUE"""),"Fail")</f>
        <v>Fail</v>
      </c>
      <c r="J72" s="523"/>
      <c r="K72" s="523"/>
      <c r="L72" s="523"/>
      <c r="M72" s="523"/>
      <c r="N72" s="523"/>
      <c r="O72" s="523"/>
      <c r="P72" s="523"/>
      <c r="Q72" s="523"/>
      <c r="R72" s="523"/>
      <c r="S72" s="523"/>
      <c r="T72" s="523"/>
      <c r="U72" s="523"/>
      <c r="V72" s="523"/>
      <c r="W72" s="523"/>
      <c r="X72" s="523"/>
      <c r="Y72" s="523"/>
      <c r="Z72" s="523"/>
    </row>
    <row r="73">
      <c r="A73" s="523"/>
      <c r="B73" s="524"/>
      <c r="C73" s="523" t="str">
        <f>IFERROR(__xludf.DUMMYFUNCTION("""COMPUTED_VALUE"""),"RP_TC_46")</f>
        <v>RP_TC_46</v>
      </c>
      <c r="D73" s="523"/>
      <c r="E73" s="524" t="str">
        <f>IFERROR(__xludf.DUMMYFUNCTION("""COMPUTED_VALUE"""),"Manual Verification Stage")</f>
        <v>Manual Verification Stage</v>
      </c>
      <c r="F73" s="524" t="str">
        <f>IFERROR(__xludf.DUMMYFUNCTION("""COMPUTED_VALUE"""),"New Registration packet with all exceptions")</f>
        <v>New Registration packet with all exceptions</v>
      </c>
      <c r="G73" s="524" t="str">
        <f>IFERROR(__xludf.DUMMYFUNCTION("""COMPUTED_VALUE"""),"Upload the packet and verify packet transactions.")</f>
        <v>Upload the packet and verify packet transactions.</v>
      </c>
      <c r="H73" s="524" t="str">
        <f>IFERROR(__xludf.DUMMYFUNCTION("""COMPUTED_VALUE"""),"Packet should reach to Manual verification stage to verify exception.")</f>
        <v>Packet should reach to Manual verification stage to verify exception.</v>
      </c>
      <c r="I73" s="523" t="str">
        <f>IFERROR(__xludf.DUMMYFUNCTION("""COMPUTED_VALUE"""),"Fail")</f>
        <v>Fail</v>
      </c>
      <c r="J73" s="523"/>
      <c r="K73" s="523" t="str">
        <f>IFERROR(__xludf.DUMMYFUNCTION("""COMPUTED_VALUE"""),"MOSIP-19493")</f>
        <v>MOSIP-19493</v>
      </c>
      <c r="L73" s="523"/>
      <c r="M73" s="523"/>
      <c r="N73" s="523"/>
      <c r="O73" s="523"/>
      <c r="P73" s="523"/>
      <c r="Q73" s="523"/>
      <c r="R73" s="523"/>
      <c r="S73" s="523"/>
      <c r="T73" s="523"/>
      <c r="U73" s="523"/>
      <c r="V73" s="523"/>
      <c r="W73" s="523"/>
      <c r="X73" s="523"/>
      <c r="Y73" s="523"/>
      <c r="Z73" s="523"/>
    </row>
    <row r="74">
      <c r="A74" s="523"/>
      <c r="B74" s="524"/>
      <c r="C74" s="523" t="str">
        <f>IFERROR(__xludf.DUMMYFUNCTION("""COMPUTED_VALUE"""),"RP_TC_47")</f>
        <v>RP_TC_47</v>
      </c>
      <c r="D74" s="523"/>
      <c r="E74" s="524" t="str">
        <f>IFERROR(__xludf.DUMMYFUNCTION("""COMPUTED_VALUE"""),"Manual Verification Stage")</f>
        <v>Manual Verification Stage</v>
      </c>
      <c r="F74" s="524" t="str">
        <f>IFERROR(__xludf.DUMMYFUNCTION("""COMPUTED_VALUE"""),"New Registration packet with exceptions")</f>
        <v>New Registration packet with exceptions</v>
      </c>
      <c r="G74" s="524" t="str">
        <f>IFERROR(__xludf.DUMMYFUNCTION("""COMPUTED_VALUE"""),"Upload the packet and verify packet transactions.")</f>
        <v>Upload the packet and verify packet transactions.</v>
      </c>
      <c r="H74" s="524" t="str">
        <f>IFERROR(__xludf.DUMMYFUNCTION("""COMPUTED_VALUE"""),"Packet should reach to Manual verification stage to verify exception.")</f>
        <v>Packet should reach to Manual verification stage to verify exception.</v>
      </c>
      <c r="I74" s="523" t="str">
        <f>IFERROR(__xludf.DUMMYFUNCTION("""COMPUTED_VALUE"""),"Fail")</f>
        <v>Fail</v>
      </c>
      <c r="J74" s="523"/>
      <c r="K74" s="523" t="str">
        <f>IFERROR(__xludf.DUMMYFUNCTION("""COMPUTED_VALUE"""),"MOSIP-19492")</f>
        <v>MOSIP-19492</v>
      </c>
      <c r="L74" s="523"/>
      <c r="M74" s="523"/>
      <c r="N74" s="523"/>
      <c r="O74" s="523"/>
      <c r="P74" s="523"/>
      <c r="Q74" s="523"/>
      <c r="R74" s="523"/>
      <c r="S74" s="523"/>
      <c r="T74" s="523"/>
      <c r="U74" s="523"/>
      <c r="V74" s="523"/>
      <c r="W74" s="523"/>
      <c r="X74" s="523"/>
      <c r="Y74" s="523"/>
      <c r="Z74" s="523"/>
    </row>
    <row r="75">
      <c r="A75" s="523"/>
      <c r="B75" s="524"/>
      <c r="C75" s="523" t="str">
        <f>IFERROR(__xludf.DUMMYFUNCTION("""COMPUTED_VALUE"""),"RP_TC_48")</f>
        <v>RP_TC_48</v>
      </c>
      <c r="D75" s="523"/>
      <c r="E75" s="524" t="str">
        <f>IFERROR(__xludf.DUMMYFUNCTION("""COMPUTED_VALUE"""),"Manual Verification Stage")</f>
        <v>Manual Verification Stage</v>
      </c>
      <c r="F75" s="524" t="str">
        <f>IFERROR(__xludf.DUMMYFUNCTION("""COMPUTED_VALUE"""),"Update flow packet with exceptions")</f>
        <v>Update flow packet with exceptions</v>
      </c>
      <c r="G75" s="524" t="str">
        <f>IFERROR(__xludf.DUMMYFUNCTION("""COMPUTED_VALUE"""),"Upload the packet and verify packet transactions.")</f>
        <v>Upload the packet and verify packet transactions.</v>
      </c>
      <c r="H75" s="524" t="str">
        <f>IFERROR(__xludf.DUMMYFUNCTION("""COMPUTED_VALUE"""),"Packet should reach to Manual verification stage to verify exception.")</f>
        <v>Packet should reach to Manual verification stage to verify exception.</v>
      </c>
      <c r="I75" s="523" t="str">
        <f>IFERROR(__xludf.DUMMYFUNCTION("""COMPUTED_VALUE"""),"Fail")</f>
        <v>Fail</v>
      </c>
      <c r="J75" s="523"/>
      <c r="K75" s="523" t="str">
        <f>IFERROR(__xludf.DUMMYFUNCTION("""COMPUTED_VALUE"""),"MOSIP-19492")</f>
        <v>MOSIP-19492</v>
      </c>
      <c r="L75" s="523"/>
      <c r="M75" s="523"/>
      <c r="N75" s="523"/>
      <c r="O75" s="523"/>
      <c r="P75" s="523"/>
      <c r="Q75" s="523"/>
      <c r="R75" s="523"/>
      <c r="S75" s="523"/>
      <c r="T75" s="523"/>
      <c r="U75" s="523"/>
      <c r="V75" s="523"/>
      <c r="W75" s="523"/>
      <c r="X75" s="523"/>
      <c r="Y75" s="523"/>
      <c r="Z75" s="523"/>
    </row>
    <row r="76">
      <c r="A76" s="523"/>
      <c r="B76" s="524"/>
      <c r="C76" s="523" t="str">
        <f>IFERROR(__xludf.DUMMYFUNCTION("""COMPUTED_VALUE"""),"RP_TC_49")</f>
        <v>RP_TC_49</v>
      </c>
      <c r="D76" s="523"/>
      <c r="E76" s="524" t="str">
        <f>IFERROR(__xludf.DUMMYFUNCTION("""COMPUTED_VALUE"""),"Manual Verification Stage")</f>
        <v>Manual Verification Stage</v>
      </c>
      <c r="F76" s="524" t="str">
        <f>IFERROR(__xludf.DUMMYFUNCTION("""COMPUTED_VALUE"""),"Update flow packet with all exceptions")</f>
        <v>Update flow packet with all exceptions</v>
      </c>
      <c r="G76" s="524" t="str">
        <f>IFERROR(__xludf.DUMMYFUNCTION("""COMPUTED_VALUE"""),"Upload the packet and verify packet transactions.")</f>
        <v>Upload the packet and verify packet transactions.</v>
      </c>
      <c r="H76" s="524" t="str">
        <f>IFERROR(__xludf.DUMMYFUNCTION("""COMPUTED_VALUE"""),"Packet should reach to Manual verification stage to verify exception.")</f>
        <v>Packet should reach to Manual verification stage to verify exception.</v>
      </c>
      <c r="I76" s="523" t="str">
        <f>IFERROR(__xludf.DUMMYFUNCTION("""COMPUTED_VALUE"""),"Fail")</f>
        <v>Fail</v>
      </c>
      <c r="J76" s="523"/>
      <c r="K76" s="523" t="str">
        <f>IFERROR(__xludf.DUMMYFUNCTION("""COMPUTED_VALUE"""),"MOSIP-19492")</f>
        <v>MOSIP-19492</v>
      </c>
      <c r="L76" s="523"/>
      <c r="M76" s="523"/>
      <c r="N76" s="523"/>
      <c r="O76" s="523"/>
      <c r="P76" s="523"/>
      <c r="Q76" s="523"/>
      <c r="R76" s="523"/>
      <c r="S76" s="523"/>
      <c r="T76" s="523"/>
      <c r="U76" s="523"/>
      <c r="V76" s="523"/>
      <c r="W76" s="523"/>
      <c r="X76" s="523"/>
      <c r="Y76" s="523"/>
      <c r="Z76" s="523"/>
    </row>
    <row r="77">
      <c r="A77" s="523"/>
      <c r="B77" s="524"/>
      <c r="C77" s="523" t="str">
        <f>IFERROR(__xludf.DUMMYFUNCTION("""COMPUTED_VALUE"""),"RP_TC_50")</f>
        <v>RP_TC_50</v>
      </c>
      <c r="D77" s="523"/>
      <c r="E77" s="524" t="str">
        <f>IFERROR(__xludf.DUMMYFUNCTION("""COMPUTED_VALUE"""),"Manual Verification Stage")</f>
        <v>Manual Verification Stage</v>
      </c>
      <c r="F77" s="524" t="str">
        <f>IFERROR(__xludf.DUMMYFUNCTION("""COMPUTED_VALUE"""),"Infant flow, Introducer biometrics exception.")</f>
        <v>Infant flow, Introducer biometrics exception.</v>
      </c>
      <c r="G77" s="524" t="str">
        <f>IFERROR(__xludf.DUMMYFUNCTION("""COMPUTED_VALUE"""),"Upload the packet and verify packet transactions.")</f>
        <v>Upload the packet and verify packet transactions.</v>
      </c>
      <c r="H77" s="524" t="str">
        <f>IFERROR(__xludf.DUMMYFUNCTION("""COMPUTED_VALUE"""),"Packet should reach to Manual verification stage to verify exception.")</f>
        <v>Packet should reach to Manual verification stage to verify exception.</v>
      </c>
      <c r="I77" s="523" t="str">
        <f>IFERROR(__xludf.DUMMYFUNCTION("""COMPUTED_VALUE"""),"Fail")</f>
        <v>Fail</v>
      </c>
      <c r="J77" s="523"/>
      <c r="K77" s="523" t="str">
        <f>IFERROR(__xludf.DUMMYFUNCTION("""COMPUTED_VALUE"""),"MOSIP-19492")</f>
        <v>MOSIP-19492</v>
      </c>
      <c r="L77" s="523"/>
      <c r="M77" s="523"/>
      <c r="N77" s="523"/>
      <c r="O77" s="523"/>
      <c r="P77" s="523"/>
      <c r="Q77" s="523"/>
      <c r="R77" s="523"/>
      <c r="S77" s="523"/>
      <c r="T77" s="523"/>
      <c r="U77" s="523"/>
      <c r="V77" s="523"/>
      <c r="W77" s="523"/>
      <c r="X77" s="523"/>
      <c r="Y77" s="523"/>
      <c r="Z77" s="523"/>
    </row>
    <row r="78">
      <c r="A78" s="523"/>
      <c r="B78" s="524"/>
      <c r="C78" s="523" t="str">
        <f>IFERROR(__xludf.DUMMYFUNCTION("""COMPUTED_VALUE"""),"RP_TC_51")</f>
        <v>RP_TC_51</v>
      </c>
      <c r="D78" s="523"/>
      <c r="E78" s="524" t="str">
        <f>IFERROR(__xludf.DUMMYFUNCTION("""COMPUTED_VALUE"""),"Manual Verification Stage")</f>
        <v>Manual Verification Stage</v>
      </c>
      <c r="F78" s="524" t="str">
        <f>IFERROR(__xludf.DUMMYFUNCTION("""COMPUTED_VALUE"""),"Minor flow with exceptions.")</f>
        <v>Minor flow with exceptions.</v>
      </c>
      <c r="G78" s="524" t="str">
        <f>IFERROR(__xludf.DUMMYFUNCTION("""COMPUTED_VALUE"""),"Upload the packet and verify packet transactions.")</f>
        <v>Upload the packet and verify packet transactions.</v>
      </c>
      <c r="H78" s="524" t="str">
        <f>IFERROR(__xludf.DUMMYFUNCTION("""COMPUTED_VALUE"""),"Packet should reach to Manual verification stage to verify exception.")</f>
        <v>Packet should reach to Manual verification stage to verify exception.</v>
      </c>
      <c r="I78" s="523" t="str">
        <f>IFERROR(__xludf.DUMMYFUNCTION("""COMPUTED_VALUE"""),"Fail")</f>
        <v>Fail</v>
      </c>
      <c r="J78" s="523"/>
      <c r="K78" s="523" t="str">
        <f>IFERROR(__xludf.DUMMYFUNCTION("""COMPUTED_VALUE"""),"MOSIP-19492")</f>
        <v>MOSIP-19492</v>
      </c>
      <c r="L78" s="523"/>
      <c r="M78" s="523"/>
      <c r="N78" s="523"/>
      <c r="O78" s="523"/>
      <c r="P78" s="523"/>
      <c r="Q78" s="523"/>
      <c r="R78" s="523"/>
      <c r="S78" s="523"/>
      <c r="T78" s="523"/>
      <c r="U78" s="523"/>
      <c r="V78" s="523"/>
      <c r="W78" s="523"/>
      <c r="X78" s="523"/>
      <c r="Y78" s="523"/>
      <c r="Z78" s="523"/>
    </row>
    <row r="79">
      <c r="A79" s="523"/>
      <c r="B79" s="524"/>
      <c r="C79" s="523" t="str">
        <f>IFERROR(__xludf.DUMMYFUNCTION("""COMPUTED_VALUE"""),"RP_TC_52")</f>
        <v>RP_TC_52</v>
      </c>
      <c r="D79" s="523"/>
      <c r="E79" s="524" t="str">
        <f>IFERROR(__xludf.DUMMYFUNCTION("""COMPUTED_VALUE"""),"Manual Verification Stage")</f>
        <v>Manual Verification Stage</v>
      </c>
      <c r="F79" s="524" t="str">
        <f>IFERROR(__xludf.DUMMYFUNCTION("""COMPUTED_VALUE"""),"Create a packet with low quality biometrics")</f>
        <v>Create a packet with low quality biometrics</v>
      </c>
      <c r="G79" s="524" t="str">
        <f>IFERROR(__xludf.DUMMYFUNCTION("""COMPUTED_VALUE"""),"Upload the packet and verify packet transactions.")</f>
        <v>Upload the packet and verify packet transactions.</v>
      </c>
      <c r="H79" s="524" t="str">
        <f>IFERROR(__xludf.DUMMYFUNCTION("""COMPUTED_VALUE"""),"Packet should reach to Manual verification stage to verify exception.")</f>
        <v>Packet should reach to Manual verification stage to verify exception.</v>
      </c>
      <c r="I79" s="523" t="str">
        <f>IFERROR(__xludf.DUMMYFUNCTION("""COMPUTED_VALUE"""),"Fail")</f>
        <v>Fail</v>
      </c>
      <c r="J79" s="523"/>
      <c r="K79" s="523" t="str">
        <f>IFERROR(__xludf.DUMMYFUNCTION("""COMPUTED_VALUE"""),"MOSIP-19492")</f>
        <v>MOSIP-19492</v>
      </c>
      <c r="L79" s="523"/>
      <c r="M79" s="523"/>
      <c r="N79" s="523"/>
      <c r="O79" s="523"/>
      <c r="P79" s="523"/>
      <c r="Q79" s="523"/>
      <c r="R79" s="523"/>
      <c r="S79" s="523"/>
      <c r="T79" s="523"/>
      <c r="U79" s="523"/>
      <c r="V79" s="523"/>
      <c r="W79" s="523"/>
      <c r="X79" s="523"/>
      <c r="Y79" s="523"/>
      <c r="Z79" s="523"/>
    </row>
    <row r="80">
      <c r="A80" s="523"/>
      <c r="B80" s="524"/>
      <c r="C80" s="523" t="str">
        <f>IFERROR(__xludf.DUMMYFUNCTION("""COMPUTED_VALUE"""),"RP_TC_59")</f>
        <v>RP_TC_59</v>
      </c>
      <c r="D80" s="523"/>
      <c r="E80" s="524" t="str">
        <f>IFERROR(__xludf.DUMMYFUNCTION("""COMPUTED_VALUE"""),"Landing Zone")</f>
        <v>Landing Zone</v>
      </c>
      <c r="F80" s="524" t="str">
        <f>IFERROR(__xludf.DUMMYFUNCTION("""COMPUTED_VALUE"""),"Create and configure multiple landing zones, packets are available in landing zones")</f>
        <v>Create and configure multiple landing zones, packets are available in landing zones</v>
      </c>
      <c r="G80" s="524" t="str">
        <f>IFERROR(__xludf.DUMMYFUNCTION("""COMPUTED_VALUE"""),"Verify packet processing by pointing dmz-packet-server to all the landing zones.")</f>
        <v>Verify packet processing by pointing dmz-packet-server to all the landing zones.</v>
      </c>
      <c r="H80" s="524" t="str">
        <f>IFERROR(__xludf.DUMMYFUNCTION("""COMPUTED_VALUE"""),"If the packet is present in any one of the landing zone it should pass the same to uploader via securezone notification.")</f>
        <v>If the packet is present in any one of the landing zone it should pass the same to uploader via securezone notification.</v>
      </c>
      <c r="I80" s="523" t="str">
        <f>IFERROR(__xludf.DUMMYFUNCTION("""COMPUTED_VALUE"""),"Fail")</f>
        <v>Fail</v>
      </c>
      <c r="J80" s="523"/>
      <c r="K80" s="523"/>
      <c r="L80" s="523"/>
      <c r="M80" s="523"/>
      <c r="N80" s="523"/>
      <c r="O80" s="523"/>
      <c r="P80" s="523"/>
      <c r="Q80" s="523"/>
      <c r="R80" s="523"/>
      <c r="S80" s="523"/>
      <c r="T80" s="523"/>
      <c r="U80" s="523"/>
      <c r="V80" s="523"/>
      <c r="W80" s="523"/>
      <c r="X80" s="523"/>
      <c r="Y80" s="523"/>
      <c r="Z80" s="523"/>
    </row>
    <row r="81">
      <c r="A81" s="523"/>
      <c r="B81" s="524"/>
      <c r="C81" s="523" t="str">
        <f>IFERROR(__xludf.DUMMYFUNCTION("""COMPUTED_VALUE"""),"RP_TC_60")</f>
        <v>RP_TC_60</v>
      </c>
      <c r="D81" s="523"/>
      <c r="E81" s="524" t="str">
        <f>IFERROR(__xludf.DUMMYFUNCTION("""COMPUTED_VALUE"""),"Packet Upload Stage")</f>
        <v>Packet Upload Stage</v>
      </c>
      <c r="F81" s="524" t="str">
        <f>IFERROR(__xludf.DUMMYFUNCTION("""COMPUTED_VALUE"""),"1. Registration packet reached Packet Upload Stage.")</f>
        <v>1. Registration packet reached Packet Upload Stage.</v>
      </c>
      <c r="G81" s="524" t="str">
        <f>IFERROR(__xludf.DUMMYFUNCTION("""COMPUTED_VALUE"""),"1. Deleted packet from landing zone.
2. Reprocess the packet deleted from landing zone.
Verify packet transaction.")</f>
        <v>1. Deleted packet from landing zone.
2. Reprocess the packet deleted from landing zone.
Verify packet transaction.</v>
      </c>
      <c r="H81" s="524" t="str">
        <f>IFERROR(__xludf.DUMMYFUNCTION("""COMPUTED_VALUE"""),"Packet reprocess should be successful")</f>
        <v>Packet reprocess should be successful</v>
      </c>
      <c r="I81" s="523" t="str">
        <f>IFERROR(__xludf.DUMMYFUNCTION("""COMPUTED_VALUE"""),"Fail")</f>
        <v>Fail</v>
      </c>
      <c r="J81" s="523"/>
      <c r="K81" s="523" t="str">
        <f>IFERROR(__xludf.DUMMYFUNCTION("""COMPUTED_VALUE"""),"MOSIP-19651")</f>
        <v>MOSIP-19651</v>
      </c>
      <c r="L81" s="523"/>
      <c r="M81" s="523"/>
      <c r="N81" s="523"/>
      <c r="O81" s="523"/>
      <c r="P81" s="523"/>
      <c r="Q81" s="523"/>
      <c r="R81" s="523"/>
      <c r="S81" s="523"/>
      <c r="T81" s="523"/>
      <c r="U81" s="523"/>
      <c r="V81" s="523"/>
      <c r="W81" s="523"/>
      <c r="X81" s="523"/>
      <c r="Y81" s="523"/>
      <c r="Z81" s="523"/>
    </row>
    <row r="82">
      <c r="A82" s="523"/>
      <c r="B82" s="524"/>
      <c r="C82" s="523" t="str">
        <f>IFERROR(__xludf.DUMMYFUNCTION("""COMPUTED_VALUE"""),"RP_TC_62")</f>
        <v>RP_TC_62</v>
      </c>
      <c r="D82" s="523"/>
      <c r="E82" s="524" t="str">
        <f>IFERROR(__xludf.DUMMYFUNCTION("""COMPUTED_VALUE"""),"Packet Upload Stage")</f>
        <v>Packet Upload Stage</v>
      </c>
      <c r="F82" s="524" t="str">
        <f>IFERROR(__xludf.DUMMYFUNCTION("""COMPUTED_VALUE"""),"1. Registration packet reached Packet Upload Stage.")</f>
        <v>1. Registration packet reached Packet Upload Stage.</v>
      </c>
      <c r="G82" s="524" t="str">
        <f>IFERROR(__xludf.DUMMYFUNCTION("""COMPUTED_VALUE"""),"1. Packet deleted from Landing zone and Object store.
2. Reprocess the packet and verify packet transaction.")</f>
        <v>1. Packet deleted from Landing zone and Object store.
2. Reprocess the packet and verify packet transaction.</v>
      </c>
      <c r="H82" s="524" t="str">
        <f>IFERROR(__xludf.DUMMYFUNCTION("""COMPUTED_VALUE"""),"Packet reprocess should not be successful as packet not found in landing zone.")</f>
        <v>Packet reprocess should not be successful as packet not found in landing zone.</v>
      </c>
      <c r="I82" s="523" t="str">
        <f>IFERROR(__xludf.DUMMYFUNCTION("""COMPUTED_VALUE"""),"Fail")</f>
        <v>Fail</v>
      </c>
      <c r="J82" s="523"/>
      <c r="K82" s="523" t="str">
        <f>IFERROR(__xludf.DUMMYFUNCTION("""COMPUTED_VALUE"""),"MOSIP-19651")</f>
        <v>MOSIP-19651</v>
      </c>
      <c r="L82" s="523"/>
      <c r="M82" s="523"/>
      <c r="N82" s="523"/>
      <c r="O82" s="523"/>
      <c r="P82" s="523"/>
      <c r="Q82" s="523"/>
      <c r="R82" s="523"/>
      <c r="S82" s="523"/>
      <c r="T82" s="523"/>
      <c r="U82" s="523"/>
      <c r="V82" s="523"/>
      <c r="W82" s="523"/>
      <c r="X82" s="523"/>
      <c r="Y82" s="523"/>
      <c r="Z82" s="523"/>
    </row>
    <row r="83">
      <c r="A83" s="523"/>
      <c r="B83" s="524"/>
      <c r="C83" s="523" t="str">
        <f>IFERROR(__xludf.DUMMYFUNCTION("""COMPUTED_VALUE"""),"RP_TC_82")</f>
        <v>RP_TC_82</v>
      </c>
      <c r="D83" s="523"/>
      <c r="E83" s="524" t="str">
        <f>IFERROR(__xludf.DUMMYFUNCTION("""COMPUTED_VALUE"""),"Introducer Validator Stage")</f>
        <v>Introducer Validator Stage</v>
      </c>
      <c r="F83" s="524" t="str">
        <f>IFERROR(__xludf.DUMMYFUNCTION("""COMPUTED_VALUE"""),"1. Create a Infant packet with Introducer
2. Upload the packet and verify packet transaction.")</f>
        <v>1. Create a Infant packet with Introducer
2. Upload the packet and verify packet transaction.</v>
      </c>
      <c r="G83" s="524" t="str">
        <f>IFERROR(__xludf.DUMMYFUNCTION("""COMPUTED_VALUE"""),"INTRODUCER_VALIDATION error should be displayed as introducer is Rejected.")</f>
        <v>INTRODUCER_VALIDATION error should be displayed as introducer is Rejected.</v>
      </c>
      <c r="H83" s="524" t="str">
        <f>IFERROR(__xludf.DUMMYFUNCTION("""COMPUTED_VALUE"""),"Introducer packet is Rejected.")</f>
        <v>Introducer packet is Rejected.</v>
      </c>
      <c r="I83" s="523" t="str">
        <f>IFERROR(__xludf.DUMMYFUNCTION("""COMPUTED_VALUE"""),"Fail")</f>
        <v>Fail</v>
      </c>
      <c r="J83" s="523"/>
      <c r="K83" s="523"/>
      <c r="L83" s="523"/>
      <c r="M83" s="523"/>
      <c r="N83" s="523"/>
      <c r="O83" s="523"/>
      <c r="P83" s="523"/>
      <c r="Q83" s="523"/>
      <c r="R83" s="523"/>
      <c r="S83" s="523"/>
      <c r="T83" s="523"/>
      <c r="U83" s="523"/>
      <c r="V83" s="523"/>
      <c r="W83" s="523"/>
      <c r="X83" s="523"/>
      <c r="Y83" s="523"/>
      <c r="Z83" s="523"/>
    </row>
    <row r="84">
      <c r="A84" s="523"/>
      <c r="B84" s="524"/>
      <c r="C84" s="523" t="str">
        <f>IFERROR(__xludf.DUMMYFUNCTION("""COMPUTED_VALUE"""),"RP_TC_84")</f>
        <v>RP_TC_84</v>
      </c>
      <c r="D84" s="523"/>
      <c r="E84" s="524" t="str">
        <f>IFERROR(__xludf.DUMMYFUNCTION("""COMPUTED_VALUE"""),"Introducer Validator Stage")</f>
        <v>Introducer Validator Stage</v>
      </c>
      <c r="F84" s="524" t="str">
        <f>IFERROR(__xludf.DUMMYFUNCTION("""COMPUTED_VALUE"""),"1. Create a Minor packet with Introducer
2. Upload the packet and verify packet transaction.")</f>
        <v>1. Create a Minor packet with Introducer
2. Upload the packet and verify packet transaction.</v>
      </c>
      <c r="G84" s="524" t="str">
        <f>IFERROR(__xludf.DUMMYFUNCTION("""COMPUTED_VALUE"""),"INTRODUCER_VALIDATION error should be displayed as introducer is Rejected.")</f>
        <v>INTRODUCER_VALIDATION error should be displayed as introducer is Rejected.</v>
      </c>
      <c r="H84" s="524" t="str">
        <f>IFERROR(__xludf.DUMMYFUNCTION("""COMPUTED_VALUE"""),"Introducer packet is Rejected.")</f>
        <v>Introducer packet is Rejected.</v>
      </c>
      <c r="I84" s="523" t="str">
        <f>IFERROR(__xludf.DUMMYFUNCTION("""COMPUTED_VALUE"""),"Fail")</f>
        <v>Fail</v>
      </c>
      <c r="J84" s="523"/>
      <c r="K84" s="523"/>
      <c r="L84" s="523"/>
      <c r="M84" s="523"/>
      <c r="N84" s="523"/>
      <c r="O84" s="523"/>
      <c r="P84" s="523"/>
      <c r="Q84" s="523"/>
      <c r="R84" s="523"/>
      <c r="S84" s="523"/>
      <c r="T84" s="523"/>
      <c r="U84" s="523"/>
      <c r="V84" s="523"/>
      <c r="W84" s="523"/>
      <c r="X84" s="523"/>
      <c r="Y84" s="523"/>
      <c r="Z84" s="523"/>
    </row>
    <row r="85">
      <c r="A85" s="523"/>
      <c r="B85" s="524"/>
      <c r="C85" s="523" t="str">
        <f>IFERROR(__xludf.DUMMYFUNCTION("""COMPUTED_VALUE"""),"RP_TC_98")</f>
        <v>RP_TC_98</v>
      </c>
      <c r="D85" s="523"/>
      <c r="E85" s="524" t="str">
        <f>IFERROR(__xludf.DUMMYFUNCTION("""COMPUTED_VALUE"""),"Packet Receiver Stage")</f>
        <v>Packet Receiver Stage</v>
      </c>
      <c r="F85" s="524" t="str">
        <f>IFERROR(__xludf.DUMMYFUNCTION("""COMPUTED_VALUE"""),"New Registration packet created by RegClient and uploaded from Admin module.")</f>
        <v>New Registration packet created by RegClient and uploaded from Admin module.</v>
      </c>
      <c r="G85" s="524" t="str">
        <f>IFERROR(__xludf.DUMMYFUNCTION("""COMPUTED_VALUE"""),"Verify packet transaction.")</f>
        <v>Verify packet transaction.</v>
      </c>
      <c r="H85" s="524" t="str">
        <f>IFERROR(__xludf.DUMMYFUNCTION("""COMPUTED_VALUE"""),"Packet should reach ""PACKET_RECEIVER"" stage with status ""Packet has reached Packet Receiver""")</f>
        <v>Packet should reach "PACKET_RECEIVER" stage with status "Packet has reached Packet Receiver"</v>
      </c>
      <c r="I85" s="523" t="str">
        <f>IFERROR(__xludf.DUMMYFUNCTION("""COMPUTED_VALUE"""),"Fail")</f>
        <v>Fail</v>
      </c>
      <c r="J85" s="523"/>
      <c r="K85" s="523"/>
      <c r="L85" s="523"/>
      <c r="M85" s="523"/>
      <c r="N85" s="523"/>
      <c r="O85" s="523"/>
      <c r="P85" s="523"/>
      <c r="Q85" s="523"/>
      <c r="R85" s="523"/>
      <c r="S85" s="523"/>
      <c r="T85" s="523"/>
      <c r="U85" s="523"/>
      <c r="V85" s="523"/>
      <c r="W85" s="523"/>
      <c r="X85" s="523"/>
      <c r="Y85" s="523"/>
      <c r="Z85" s="523"/>
    </row>
    <row r="86">
      <c r="A86" s="523"/>
      <c r="B86" s="524"/>
      <c r="C86" s="523" t="str">
        <f>IFERROR(__xludf.DUMMYFUNCTION("""COMPUTED_VALUE"""),"RP_TC_99")</f>
        <v>RP_TC_99</v>
      </c>
      <c r="D86" s="523"/>
      <c r="E86" s="524" t="str">
        <f>IFERROR(__xludf.DUMMYFUNCTION("""COMPUTED_VALUE"""),"Packet Receiver Stage")</f>
        <v>Packet Receiver Stage</v>
      </c>
      <c r="F86" s="524" t="str">
        <f>IFERROR(__xludf.DUMMYFUNCTION("""COMPUTED_VALUE"""),"Update flow packet created from RegClient and uploaded from Admin module.")</f>
        <v>Update flow packet created from RegClient and uploaded from Admin module.</v>
      </c>
      <c r="G86" s="524" t="str">
        <f>IFERROR(__xludf.DUMMYFUNCTION("""COMPUTED_VALUE"""),"Verify packet transaction.")</f>
        <v>Verify packet transaction.</v>
      </c>
      <c r="H86" s="524" t="str">
        <f>IFERROR(__xludf.DUMMYFUNCTION("""COMPUTED_VALUE"""),"Packet should reach ""PACKET_RECEIVER"" stage with status ""Packet has reached Packet Receiver""")</f>
        <v>Packet should reach "PACKET_RECEIVER" stage with status "Packet has reached Packet Receiver"</v>
      </c>
      <c r="I86" s="523" t="str">
        <f>IFERROR(__xludf.DUMMYFUNCTION("""COMPUTED_VALUE"""),"Fail")</f>
        <v>Fail</v>
      </c>
      <c r="J86" s="523"/>
      <c r="K86" s="523"/>
      <c r="L86" s="523"/>
      <c r="M86" s="523"/>
      <c r="N86" s="523"/>
      <c r="O86" s="523"/>
      <c r="P86" s="523"/>
      <c r="Q86" s="523"/>
      <c r="R86" s="523"/>
      <c r="S86" s="523"/>
      <c r="T86" s="523"/>
      <c r="U86" s="523"/>
      <c r="V86" s="523"/>
      <c r="W86" s="523"/>
      <c r="X86" s="523"/>
      <c r="Y86" s="523"/>
      <c r="Z86" s="523"/>
    </row>
    <row r="87">
      <c r="A87" s="523"/>
      <c r="B87" s="524"/>
      <c r="C87" s="523" t="str">
        <f>IFERROR(__xludf.DUMMYFUNCTION("""COMPUTED_VALUE"""),"RP_TC_100")</f>
        <v>RP_TC_100</v>
      </c>
      <c r="D87" s="523"/>
      <c r="E87" s="524" t="str">
        <f>IFERROR(__xludf.DUMMYFUNCTION("""COMPUTED_VALUE"""),"Packet Receiver Stage")</f>
        <v>Packet Receiver Stage</v>
      </c>
      <c r="F87" s="524" t="str">
        <f>IFERROR(__xludf.DUMMYFUNCTION("""COMPUTED_VALUE"""),"Lost flow packet created from RegClient and uploaded from Admin module.")</f>
        <v>Lost flow packet created from RegClient and uploaded from Admin module.</v>
      </c>
      <c r="G87" s="524" t="str">
        <f>IFERROR(__xludf.DUMMYFUNCTION("""COMPUTED_VALUE"""),"Verify packet transaction.")</f>
        <v>Verify packet transaction.</v>
      </c>
      <c r="H87" s="524" t="str">
        <f>IFERROR(__xludf.DUMMYFUNCTION("""COMPUTED_VALUE"""),"Packet should reach ""PACKET_RECEIVER"" stage with status ""Packet has reached Packet Receiver""")</f>
        <v>Packet should reach "PACKET_RECEIVER" stage with status "Packet has reached Packet Receiver"</v>
      </c>
      <c r="I87" s="523" t="str">
        <f>IFERROR(__xludf.DUMMYFUNCTION("""COMPUTED_VALUE"""),"Fail")</f>
        <v>Fail</v>
      </c>
      <c r="J87" s="523"/>
      <c r="K87" s="523"/>
      <c r="L87" s="523"/>
      <c r="M87" s="523"/>
      <c r="N87" s="523"/>
      <c r="O87" s="523"/>
      <c r="P87" s="523"/>
      <c r="Q87" s="523"/>
      <c r="R87" s="523"/>
      <c r="S87" s="523"/>
      <c r="T87" s="523"/>
      <c r="U87" s="523"/>
      <c r="V87" s="523"/>
      <c r="W87" s="523"/>
      <c r="X87" s="523"/>
      <c r="Y87" s="523"/>
      <c r="Z87" s="523"/>
    </row>
    <row r="88">
      <c r="A88" s="523"/>
      <c r="B88" s="524"/>
      <c r="C88" s="523" t="str">
        <f>IFERROR(__xludf.DUMMYFUNCTION("""COMPUTED_VALUE"""),"RP_TC_101")</f>
        <v>RP_TC_101</v>
      </c>
      <c r="D88" s="523"/>
      <c r="E88" s="524" t="str">
        <f>IFERROR(__xludf.DUMMYFUNCTION("""COMPUTED_VALUE"""),"Packet Receiver Stage")</f>
        <v>Packet Receiver Stage</v>
      </c>
      <c r="F88" s="524" t="str">
        <f>IFERROR(__xludf.DUMMYFUNCTION("""COMPUTED_VALUE"""),"Biometric correction flow packet created from RegClient and uploaded by Admin module.")</f>
        <v>Biometric correction flow packet created from RegClient and uploaded by Admin module.</v>
      </c>
      <c r="G88" s="524" t="str">
        <f>IFERROR(__xludf.DUMMYFUNCTION("""COMPUTED_VALUE"""),"Verify packet transaction.")</f>
        <v>Verify packet transaction.</v>
      </c>
      <c r="H88" s="524" t="str">
        <f>IFERROR(__xludf.DUMMYFUNCTION("""COMPUTED_VALUE"""),"Packet should not land in ""PACKET_RECEIVER"" stage")</f>
        <v>Packet should not land in "PACKET_RECEIVER" stage</v>
      </c>
      <c r="I88" s="523" t="str">
        <f>IFERROR(__xludf.DUMMYFUNCTION("""COMPUTED_VALUE"""),"Fail")</f>
        <v>Fail</v>
      </c>
      <c r="J88" s="523"/>
      <c r="K88" s="523"/>
      <c r="L88" s="523"/>
      <c r="M88" s="523"/>
      <c r="N88" s="523"/>
      <c r="O88" s="523"/>
      <c r="P88" s="523"/>
      <c r="Q88" s="523"/>
      <c r="R88" s="523"/>
      <c r="S88" s="523"/>
      <c r="T88" s="523"/>
      <c r="U88" s="523"/>
      <c r="V88" s="523"/>
      <c r="W88" s="523"/>
      <c r="X88" s="523"/>
      <c r="Y88" s="523"/>
      <c r="Z88" s="523"/>
    </row>
    <row r="89">
      <c r="A89" s="523"/>
      <c r="B89" s="524"/>
      <c r="C89" s="523" t="str">
        <f>IFERROR(__xludf.DUMMYFUNCTION("""COMPUTED_VALUE"""),"RP_TC_103")</f>
        <v>RP_TC_103</v>
      </c>
      <c r="D89" s="523"/>
      <c r="E89" s="524" t="str">
        <f>IFERROR(__xludf.DUMMYFUNCTION("""COMPUTED_VALUE"""),"Packet Receiver Stage")</f>
        <v>Packet Receiver Stage</v>
      </c>
      <c r="F89" s="524" t="str">
        <f>IFERROR(__xludf.DUMMYFUNCTION("""COMPUTED_VALUE"""),"1. Registration packet created from RegClient
 2. Change the packet extention and upload the packet from Admin.")</f>
        <v>1. Registration packet created from RegClient
 2. Change the packet extention and upload the packet from Admin.</v>
      </c>
      <c r="G89" s="524" t="str">
        <f>IFERROR(__xludf.DUMMYFUNCTION("""COMPUTED_VALUE"""),"Verify packet transaction.")</f>
        <v>Verify packet transaction.</v>
      </c>
      <c r="H89" s="524" t="str">
        <f>IFERROR(__xludf.DUMMYFUNCTION("""COMPUTED_VALUE"""),"Packet should not reach to ""PACKET_RECEIVER"" stage.")</f>
        <v>Packet should not reach to "PACKET_RECEIVER" stage.</v>
      </c>
      <c r="I89" s="523" t="str">
        <f>IFERROR(__xludf.DUMMYFUNCTION("""COMPUTED_VALUE"""),"Fail")</f>
        <v>Fail</v>
      </c>
      <c r="J89" s="523"/>
      <c r="K89" s="523"/>
      <c r="L89" s="523"/>
      <c r="M89" s="523"/>
      <c r="N89" s="523"/>
      <c r="O89" s="523"/>
      <c r="P89" s="523"/>
      <c r="Q89" s="523"/>
      <c r="R89" s="523"/>
      <c r="S89" s="523"/>
      <c r="T89" s="523"/>
      <c r="U89" s="523"/>
      <c r="V89" s="523"/>
      <c r="W89" s="523"/>
      <c r="X89" s="523"/>
      <c r="Y89" s="523"/>
      <c r="Z89" s="523"/>
    </row>
    <row r="90">
      <c r="A90" s="523"/>
      <c r="B90" s="524"/>
      <c r="C90" s="523" t="str">
        <f>IFERROR(__xludf.DUMMYFUNCTION("""COMPUTED_VALUE"""),"RP_TC_104")</f>
        <v>RP_TC_104</v>
      </c>
      <c r="D90" s="523"/>
      <c r="E90" s="524" t="str">
        <f>IFERROR(__xludf.DUMMYFUNCTION("""COMPUTED_VALUE"""),"Packet Receiver Stage")</f>
        <v>Packet Receiver Stage</v>
      </c>
      <c r="F90" s="524" t="str">
        <f>IFERROR(__xludf.DUMMYFUNCTION("""COMPUTED_VALUE"""),"Reuploading same packet multiple times from Admin module.")</f>
        <v>Reuploading same packet multiple times from Admin module.</v>
      </c>
      <c r="G90" s="524" t="str">
        <f>IFERROR(__xludf.DUMMYFUNCTION("""COMPUTED_VALUE"""),"Verify packet transaction.")</f>
        <v>Verify packet transaction.</v>
      </c>
      <c r="H90" s="524" t="str">
        <f>IFERROR(__xludf.DUMMYFUNCTION("""COMPUTED_VALUE"""),"""PACKET_RECEIVER"" stage should receive only one packet.")</f>
        <v>"PACKET_RECEIVER" stage should receive only one packet.</v>
      </c>
      <c r="I90" s="523" t="str">
        <f>IFERROR(__xludf.DUMMYFUNCTION("""COMPUTED_VALUE"""),"Fail")</f>
        <v>Fail</v>
      </c>
      <c r="J90" s="523"/>
      <c r="K90" s="523"/>
      <c r="L90" s="523"/>
      <c r="M90" s="523"/>
      <c r="N90" s="523"/>
      <c r="O90" s="523"/>
      <c r="P90" s="523"/>
      <c r="Q90" s="523"/>
      <c r="R90" s="523"/>
      <c r="S90" s="523"/>
      <c r="T90" s="523"/>
      <c r="U90" s="523"/>
      <c r="V90" s="523"/>
      <c r="W90" s="523"/>
      <c r="X90" s="523"/>
      <c r="Y90" s="523"/>
      <c r="Z90" s="523"/>
    </row>
    <row r="91">
      <c r="A91" s="523"/>
      <c r="B91" s="524"/>
      <c r="C91" s="523" t="str">
        <f>IFERROR(__xludf.DUMMYFUNCTION("""COMPUTED_VALUE"""),"RP_TC_115")</f>
        <v>RP_TC_115</v>
      </c>
      <c r="D91" s="523"/>
      <c r="E91" s="524" t="str">
        <f>IFERROR(__xludf.DUMMYFUNCTION("""COMPUTED_VALUE"""),"CMD-validator-stage")</f>
        <v>CMD-validator-stage</v>
      </c>
      <c r="F91" s="524" t="str">
        <f>IFERROR(__xludf.DUMMYFUNCTION("""COMPUTED_VALUE"""),"1. Registration packet reached CMD-validator-stage.
 2. Machine not found in database")</f>
        <v>1. Registration packet reached CMD-validator-stage.
 2. Machine not found in database</v>
      </c>
      <c r="G91" s="524" t="str">
        <f>IFERROR(__xludf.DUMMYFUNCTION("""COMPUTED_VALUE"""),"1. Packet created and uploaded to server.
 2. Verify packet transaction status.")</f>
        <v>1. Packet created and uploaded to server.
 2. Verify packet transaction status.</v>
      </c>
      <c r="H91" s="524" t="str">
        <f>IFERROR(__xludf.DUMMYFUNCTION("""COMPUTED_VALUE"""),"Packet should be stuck at CMD validator stage as Machine not found during packet creation..")</f>
        <v>Packet should be stuck at CMD validator stage as Machine not found during packet creation..</v>
      </c>
      <c r="I91" s="523" t="str">
        <f>IFERROR(__xludf.DUMMYFUNCTION("""COMPUTED_VALUE"""),"Fail")</f>
        <v>Fail</v>
      </c>
      <c r="J91" s="523"/>
      <c r="K91" s="523"/>
      <c r="L91" s="523"/>
      <c r="M91" s="523"/>
      <c r="N91" s="523"/>
      <c r="O91" s="523"/>
      <c r="P91" s="523"/>
      <c r="Q91" s="523"/>
      <c r="R91" s="523"/>
      <c r="S91" s="523"/>
      <c r="T91" s="523"/>
      <c r="U91" s="523"/>
      <c r="V91" s="523"/>
      <c r="W91" s="523"/>
      <c r="X91" s="523"/>
      <c r="Y91" s="523"/>
      <c r="Z91" s="523"/>
    </row>
    <row r="92">
      <c r="A92" s="523"/>
      <c r="B92" s="524"/>
      <c r="C92" s="523" t="str">
        <f>IFERROR(__xludf.DUMMYFUNCTION("""COMPUTED_VALUE"""),"RP_TC_117")</f>
        <v>RP_TC_117</v>
      </c>
      <c r="D92" s="523"/>
      <c r="E92" s="524" t="str">
        <f>IFERROR(__xludf.DUMMYFUNCTION("""COMPUTED_VALUE"""),"CMD-validator-stage")</f>
        <v>CMD-validator-stage</v>
      </c>
      <c r="F92" s="524" t="str">
        <f>IFERROR(__xludf.DUMMYFUNCTION("""COMPUTED_VALUE"""),"1. Registration packet reached CMD-validator-stage.
 2. Machine and center is not mapped.")</f>
        <v>1. Registration packet reached CMD-validator-stage.
 2. Machine and center is not mapped.</v>
      </c>
      <c r="G92" s="524" t="str">
        <f>IFERROR(__xludf.DUMMYFUNCTION("""COMPUTED_VALUE"""),"1. Packet created and uploaded to server.
 2. Verify packet transaction status.")</f>
        <v>1. Packet created and uploaded to server.
 2. Verify packet transaction status.</v>
      </c>
      <c r="H92" s="524" t="str">
        <f>IFERROR(__xludf.DUMMYFUNCTION("""COMPUTED_VALUE"""),"Packet should be stuck at CMD validator stage as Machine not mapped to center.")</f>
        <v>Packet should be stuck at CMD validator stage as Machine not mapped to center.</v>
      </c>
      <c r="I92" s="523" t="str">
        <f>IFERROR(__xludf.DUMMYFUNCTION("""COMPUTED_VALUE"""),"Fail")</f>
        <v>Fail</v>
      </c>
      <c r="J92" s="523"/>
      <c r="K92" s="523"/>
      <c r="L92" s="523"/>
      <c r="M92" s="523"/>
      <c r="N92" s="523"/>
      <c r="O92" s="523"/>
      <c r="P92" s="523"/>
      <c r="Q92" s="523"/>
      <c r="R92" s="523"/>
      <c r="S92" s="523"/>
      <c r="T92" s="523"/>
      <c r="U92" s="523"/>
      <c r="V92" s="523"/>
      <c r="W92" s="523"/>
      <c r="X92" s="523"/>
      <c r="Y92" s="523"/>
      <c r="Z92" s="523"/>
    </row>
    <row r="93">
      <c r="A93" s="523" t="str">
        <f>IFERROR(__xludf.DUMMYFUNCTION("""COMPUTED_VALUE"""),"MOSIP-18672")</f>
        <v>MOSIP-18672</v>
      </c>
      <c r="B93" s="524"/>
      <c r="C93" s="523" t="str">
        <f>IFERROR(__xludf.DUMMYFUNCTION("""COMPUTED_VALUE"""),"TC_Admin_55")</f>
        <v>TC_Admin_55</v>
      </c>
      <c r="D93" s="523" t="str">
        <f>IFERROR(__xludf.DUMMYFUNCTION("""COMPUTED_VALUE"""),"Functional")</f>
        <v>Functional</v>
      </c>
      <c r="E93" s="524" t="str">
        <f>IFERROR(__xludf.DUMMYFUNCTION("""COMPUTED_VALUE"""),"Feature visibility based on roles")</f>
        <v>Feature visibility based on roles</v>
      </c>
      <c r="F93" s="524" t="str">
        <f>IFERROR(__xludf.DUMMYFUNCTION("""COMPUTED_VALUE"""),"Role based access")</f>
        <v>Role based access</v>
      </c>
      <c r="G93" s="524" t="str">
        <f>IFERROR(__xludf.DUMMYFUNCTION("""COMPUTED_VALUE"""),"verify User when has Registration_Admin role only")</f>
        <v>verify User when has Registration_Admin role only</v>
      </c>
      <c r="H93" s="524" t="str">
        <f>IFERROR(__xludf.DUMMYFUNCTION("""COMPUTED_VALUE"""),"Should be able to access the links that are visible with Registration Admin role.")</f>
        <v>Should be able to access the links that are visible with Registration Admin role.</v>
      </c>
      <c r="I93" s="523" t="str">
        <f>IFERROR(__xludf.DUMMYFUNCTION("""COMPUTED_VALUE"""),"Fail")</f>
        <v>Fail</v>
      </c>
      <c r="J93" s="523" t="str">
        <f>IFERROR(__xludf.DUMMYFUNCTION("""COMPUTED_VALUE"""),"qa-triple-rc2")</f>
        <v>qa-triple-rc2</v>
      </c>
      <c r="K93" s="523"/>
      <c r="L93" s="523"/>
      <c r="M93" s="523"/>
      <c r="N93" s="523"/>
      <c r="O93" s="523"/>
      <c r="P93" s="523"/>
      <c r="Q93" s="523"/>
      <c r="R93" s="523"/>
      <c r="S93" s="523"/>
      <c r="T93" s="523"/>
      <c r="U93" s="523"/>
      <c r="V93" s="523"/>
      <c r="W93" s="523"/>
      <c r="X93" s="523"/>
      <c r="Y93" s="523"/>
      <c r="Z93" s="523"/>
    </row>
    <row r="94">
      <c r="A94" s="523" t="str">
        <f>IFERROR(__xludf.DUMMYFUNCTION("""COMPUTED_VALUE"""),"MOSIP-18672")</f>
        <v>MOSIP-18672</v>
      </c>
      <c r="B94" s="524"/>
      <c r="C94" s="523" t="str">
        <f>IFERROR(__xludf.DUMMYFUNCTION("""COMPUTED_VALUE"""),"TC_Admin_56")</f>
        <v>TC_Admin_56</v>
      </c>
      <c r="D94" s="523" t="str">
        <f>IFERROR(__xludf.DUMMYFUNCTION("""COMPUTED_VALUE"""),"Functional")</f>
        <v>Functional</v>
      </c>
      <c r="E94" s="524" t="str">
        <f>IFERROR(__xludf.DUMMYFUNCTION("""COMPUTED_VALUE"""),"Feature visibility based on roles")</f>
        <v>Feature visibility based on roles</v>
      </c>
      <c r="F94" s="524" t="str">
        <f>IFERROR(__xludf.DUMMYFUNCTION("""COMPUTED_VALUE"""),"Role based access")</f>
        <v>Role based access</v>
      </c>
      <c r="G94" s="524" t="str">
        <f>IFERROR(__xludf.DUMMYFUNCTION("""COMPUTED_VALUE"""),"verify User when has Masterdata_Admin role only")</f>
        <v>verify User when has Masterdata_Admin role only</v>
      </c>
      <c r="H94" s="524" t="str">
        <f>IFERROR(__xludf.DUMMYFUNCTION("""COMPUTED_VALUE"""),"Should be able to access the links that are visible with MasterData Admin role.")</f>
        <v>Should be able to access the links that are visible with MasterData Admin role.</v>
      </c>
      <c r="I94" s="523" t="str">
        <f>IFERROR(__xludf.DUMMYFUNCTION("""COMPUTED_VALUE"""),"Fail")</f>
        <v>Fail</v>
      </c>
      <c r="J94" s="523" t="str">
        <f>IFERROR(__xludf.DUMMYFUNCTION("""COMPUTED_VALUE"""),"qa-triple-rc2")</f>
        <v>qa-triple-rc2</v>
      </c>
      <c r="K94" s="523"/>
      <c r="L94" s="523"/>
      <c r="M94" s="523"/>
      <c r="N94" s="523"/>
      <c r="O94" s="523"/>
      <c r="P94" s="523"/>
      <c r="Q94" s="523"/>
      <c r="R94" s="523"/>
      <c r="S94" s="523"/>
      <c r="T94" s="523"/>
      <c r="U94" s="523"/>
      <c r="V94" s="523"/>
      <c r="W94" s="523"/>
      <c r="X94" s="523"/>
      <c r="Y94" s="523"/>
      <c r="Z94" s="523"/>
    </row>
    <row r="95">
      <c r="A95" s="523" t="str">
        <f>IFERROR(__xludf.DUMMYFUNCTION("""COMPUTED_VALUE"""),"MOSIP-18672")</f>
        <v>MOSIP-18672</v>
      </c>
      <c r="B95" s="524"/>
      <c r="C95" s="523" t="str">
        <f>IFERROR(__xludf.DUMMYFUNCTION("""COMPUTED_VALUE"""),"TC_Admin_57")</f>
        <v>TC_Admin_57</v>
      </c>
      <c r="D95" s="523" t="str">
        <f>IFERROR(__xludf.DUMMYFUNCTION("""COMPUTED_VALUE"""),"Functional")</f>
        <v>Functional</v>
      </c>
      <c r="E95" s="524" t="str">
        <f>IFERROR(__xludf.DUMMYFUNCTION("""COMPUTED_VALUE"""),"Feature visibility based on roles")</f>
        <v>Feature visibility based on roles</v>
      </c>
      <c r="F95" s="524" t="str">
        <f>IFERROR(__xludf.DUMMYFUNCTION("""COMPUTED_VALUE"""),"Role based access")</f>
        <v>Role based access</v>
      </c>
      <c r="G95" s="524" t="str">
        <f>IFERROR(__xludf.DUMMYFUNCTION("""COMPUTED_VALUE"""),"verify User when has Key_Maker role only")</f>
        <v>verify User when has Key_Maker role only</v>
      </c>
      <c r="H95" s="524" t="str">
        <f>IFERROR(__xludf.DUMMYFUNCTION("""COMPUTED_VALUE"""),"Should be able to access the links that are visible with Key_maker role.")</f>
        <v>Should be able to access the links that are visible with Key_maker role.</v>
      </c>
      <c r="I95" s="523" t="str">
        <f>IFERROR(__xludf.DUMMYFUNCTION("""COMPUTED_VALUE"""),"Fail")</f>
        <v>Fail</v>
      </c>
      <c r="J95" s="523" t="str">
        <f>IFERROR(__xludf.DUMMYFUNCTION("""COMPUTED_VALUE"""),"qa-triple-rc2")</f>
        <v>qa-triple-rc2</v>
      </c>
      <c r="K95" s="523"/>
      <c r="L95" s="523"/>
      <c r="M95" s="523"/>
      <c r="N95" s="523"/>
      <c r="O95" s="523"/>
      <c r="P95" s="523"/>
      <c r="Q95" s="523"/>
      <c r="R95" s="523"/>
      <c r="S95" s="523"/>
      <c r="T95" s="523"/>
      <c r="U95" s="523"/>
      <c r="V95" s="523"/>
      <c r="W95" s="523"/>
      <c r="X95" s="523"/>
      <c r="Y95" s="523"/>
      <c r="Z95" s="523"/>
    </row>
    <row r="96">
      <c r="A96" s="523" t="str">
        <f>IFERROR(__xludf.DUMMYFUNCTION("""COMPUTED_VALUE"""),"MOSIP-16752")</f>
        <v>MOSIP-16752</v>
      </c>
      <c r="B96" s="524"/>
      <c r="C96" s="523" t="str">
        <f>IFERROR(__xludf.DUMMYFUNCTION("""COMPUTED_VALUE"""),"TC_Admin_73")</f>
        <v>TC_Admin_73</v>
      </c>
      <c r="D96" s="523" t="str">
        <f>IFERROR(__xludf.DUMMYFUNCTION("""COMPUTED_VALUE"""),"Functional")</f>
        <v>Functional</v>
      </c>
      <c r="E96" s="524" t="str">
        <f>IFERROR(__xludf.DUMMYFUNCTION("""COMPUTED_VALUE"""),"User Zone and Center mapping")</f>
        <v>User Zone and Center mapping</v>
      </c>
      <c r="F96" s="524" t="str">
        <f>IFERROR(__xludf.DUMMYFUNCTION("""COMPUTED_VALUE"""),"1. Login to Admin
 2. Resources
 3. User Zone &amp; Center mapping
 4. +Create/ Edit")</f>
        <v>1. Login to Admin
 2. Resources
 3. User Zone &amp; Center mapping
 4. +Create/ Edit</v>
      </c>
      <c r="G96" s="524" t="str">
        <f>IFERROR(__xludf.DUMMYFUNCTION("""COMPUTED_VALUE"""),"Verify Remap user to another center when Center mapping is inactive")</f>
        <v>Verify Remap user to another center when Center mapping is inactive</v>
      </c>
      <c r="H96" s="524" t="str">
        <f>IFERROR(__xludf.DUMMYFUNCTION("""COMPUTED_VALUE"""),"When User clicks on Remap button should take User to Center mapping detail view page and by selecting different center and clicking on Save button center remapping should be successful and User should land on list view page")</f>
        <v>When User clicks on Remap button should take User to Center mapping detail view page and by selecting different center and clicking on Save button center remapping should be successful and User should land on list view page</v>
      </c>
      <c r="I96" s="523" t="str">
        <f>IFERROR(__xludf.DUMMYFUNCTION("""COMPUTED_VALUE"""),"Fail")</f>
        <v>Fail</v>
      </c>
      <c r="J96" s="523" t="str">
        <f>IFERROR(__xludf.DUMMYFUNCTION("""COMPUTED_VALUE"""),"qa-double-rc2")</f>
        <v>qa-double-rc2</v>
      </c>
      <c r="K96" s="523"/>
      <c r="L96" s="523"/>
      <c r="M96" s="523"/>
      <c r="N96" s="523"/>
      <c r="O96" s="523"/>
      <c r="P96" s="523"/>
      <c r="Q96" s="523"/>
      <c r="R96" s="523"/>
      <c r="S96" s="523"/>
      <c r="T96" s="523"/>
      <c r="U96" s="523"/>
      <c r="V96" s="523"/>
      <c r="W96" s="523"/>
      <c r="X96" s="523"/>
      <c r="Y96" s="523"/>
      <c r="Z96" s="523"/>
    </row>
    <row r="97">
      <c r="A97" s="523" t="str">
        <f>IFERROR(__xludf.DUMMYFUNCTION("""COMPUTED_VALUE"""),"MOSIP-16752")</f>
        <v>MOSIP-16752</v>
      </c>
      <c r="B97" s="524"/>
      <c r="C97" s="523" t="str">
        <f>IFERROR(__xludf.DUMMYFUNCTION("""COMPUTED_VALUE"""),"TC_Admin_82")</f>
        <v>TC_Admin_82</v>
      </c>
      <c r="D97" s="523" t="str">
        <f>IFERROR(__xludf.DUMMYFUNCTION("""COMPUTED_VALUE"""),"Functional")</f>
        <v>Functional</v>
      </c>
      <c r="E97" s="524" t="str">
        <f>IFERROR(__xludf.DUMMYFUNCTION("""COMPUTED_VALUE"""),"User Zone and Center mapping")</f>
        <v>User Zone and Center mapping</v>
      </c>
      <c r="F97" s="524" t="str">
        <f>IFERROR(__xludf.DUMMYFUNCTION("""COMPUTED_VALUE"""),"1. Login to Admin
 2. Resources
 3. User Zone &amp; Center mapping
 4. +Create/ Edit")</f>
        <v>1. Login to Admin
 2. Resources
 3. User Zone &amp; Center mapping
 4. +Create/ Edit</v>
      </c>
      <c r="G97" s="524" t="str">
        <f>IFERROR(__xludf.DUMMYFUNCTION("""COMPUTED_VALUE"""),"Map to Center  or activate mapping in center mapping screen when Zone mapping is Inactive")</f>
        <v>Map to Center  or activate mapping in center mapping screen when Zone mapping is Inactive</v>
      </c>
      <c r="H97" s="524" t="str">
        <f>IFERROR(__xludf.DUMMYFUNCTION("""COMPUTED_VALUE"""),"Should display error message 1. Activate the zone mapping before activating the center mapping
2.  Could not be activated")</f>
        <v>Should display error message 1. Activate the zone mapping before activating the center mapping
2.  Could not be activated</v>
      </c>
      <c r="I97" s="523" t="str">
        <f>IFERROR(__xludf.DUMMYFUNCTION("""COMPUTED_VALUE"""),"Fail")</f>
        <v>Fail</v>
      </c>
      <c r="J97" s="523" t="str">
        <f>IFERROR(__xludf.DUMMYFUNCTION("""COMPUTED_VALUE"""),"qa-double-rc2")</f>
        <v>qa-double-rc2</v>
      </c>
      <c r="K97" s="523"/>
      <c r="L97" s="523"/>
      <c r="M97" s="523"/>
      <c r="N97" s="523"/>
      <c r="O97" s="523"/>
      <c r="P97" s="523"/>
      <c r="Q97" s="523"/>
      <c r="R97" s="523"/>
      <c r="S97" s="523"/>
      <c r="T97" s="523"/>
      <c r="U97" s="523"/>
      <c r="V97" s="523"/>
      <c r="W97" s="523"/>
      <c r="X97" s="523"/>
      <c r="Y97" s="523"/>
      <c r="Z97" s="523"/>
    </row>
    <row r="98">
      <c r="A98" s="523" t="str">
        <f>IFERROR(__xludf.DUMMYFUNCTION("""COMPUTED_VALUE"""),"MOSIP-53")</f>
        <v>MOSIP-53</v>
      </c>
      <c r="B98" s="524"/>
      <c r="C98" s="523" t="str">
        <f>IFERROR(__xludf.DUMMYFUNCTION("""COMPUTED_VALUE"""),"TC_Admin_160")</f>
        <v>TC_Admin_160</v>
      </c>
      <c r="D98" s="523" t="str">
        <f>IFERROR(__xludf.DUMMYFUNCTION("""COMPUTED_VALUE"""),"Functional")</f>
        <v>Functional</v>
      </c>
      <c r="E98" s="524" t="str">
        <f>IFERROR(__xludf.DUMMYFUNCTION("""COMPUTED_VALUE"""),"MasterData-center type")</f>
        <v>MasterData-center type</v>
      </c>
      <c r="F98" s="524" t="str">
        <f>IFERROR(__xludf.DUMMYFUNCTION("""COMPUTED_VALUE"""),"1. Login to Admin
 2. MasterData dashboard
 3. Center Type
 4. +Create
 5. SAVE")</f>
        <v>1. Login to Admin
 2. MasterData dashboard
 3. Center Type
 4. +Create
 5. SAVE</v>
      </c>
      <c r="G98" s="524" t="str">
        <f>IFERROR(__xludf.DUMMYFUNCTION("""COMPUTED_VALUE"""),"To verify center type creation when all mandatory fields are filled.")</f>
        <v>To verify center type creation when all mandatory fields are filled.</v>
      </c>
      <c r="H98" s="524" t="str">
        <f>IFERROR(__xludf.DUMMYFUNCTION("""COMPUTED_VALUE"""),"The system will display a confirmation message in logged-in language  a pop-up asking for Administrator’s confirmation with buttons ‘Confirm’ and ‘Cancel’.
 Message on pop-up window: “You are about to create a Center Type. Please ensure that all the infor"&amp;"mation is correct. A Center Type Code will be generated once you confirm”")</f>
        <v>The system will display a confirmation message in logged-in language  a pop-up asking for Administrator’s confirmation with buttons ‘Confirm’ and ‘Cancel’.
 Message on pop-up window: “You are about to create a Center Type. Please ensure that all the information is correct. A Center Type Code will be generated once you confirm”</v>
      </c>
      <c r="I98" s="523" t="str">
        <f>IFERROR(__xludf.DUMMYFUNCTION("""COMPUTED_VALUE"""),"Fail")</f>
        <v>Fail</v>
      </c>
      <c r="J98" s="523" t="str">
        <f>IFERROR(__xludf.DUMMYFUNCTION("""COMPUTED_VALUE"""),"qa-double-rc2")</f>
        <v>qa-double-rc2</v>
      </c>
      <c r="K98" s="523"/>
      <c r="L98" s="523"/>
      <c r="M98" s="523"/>
      <c r="N98" s="523"/>
      <c r="O98" s="523"/>
      <c r="P98" s="523"/>
      <c r="Q98" s="523"/>
      <c r="R98" s="523"/>
      <c r="S98" s="523"/>
      <c r="T98" s="523"/>
      <c r="U98" s="523"/>
      <c r="V98" s="523"/>
      <c r="W98" s="523"/>
      <c r="X98" s="523"/>
      <c r="Y98" s="523"/>
      <c r="Z98" s="523"/>
    </row>
    <row r="99">
      <c r="A99" s="523" t="str">
        <f>IFERROR(__xludf.DUMMYFUNCTION("""COMPUTED_VALUE"""),"MOSIP-53")</f>
        <v>MOSIP-53</v>
      </c>
      <c r="B99" s="524"/>
      <c r="C99" s="523" t="str">
        <f>IFERROR(__xludf.DUMMYFUNCTION("""COMPUTED_VALUE"""),"TC_Admin_162")</f>
        <v>TC_Admin_162</v>
      </c>
      <c r="D99" s="523" t="str">
        <f>IFERROR(__xludf.DUMMYFUNCTION("""COMPUTED_VALUE"""),"Functional")</f>
        <v>Functional</v>
      </c>
      <c r="E99" s="524" t="str">
        <f>IFERROR(__xludf.DUMMYFUNCTION("""COMPUTED_VALUE"""),"MasterData-center type")</f>
        <v>MasterData-center type</v>
      </c>
      <c r="F99" s="524" t="str">
        <f>IFERROR(__xludf.DUMMYFUNCTION("""COMPUTED_VALUE"""),"1. Login to Admin
 2. MasterData dashboard
 3. Center Type
 4. +Create
 5. SAVE")</f>
        <v>1. Login to Admin
 2. MasterData dashboard
 3. Center Type
 4. +Create
 5. SAVE</v>
      </c>
      <c r="G99" s="524" t="str">
        <f>IFERROR(__xludf.DUMMYFUNCTION("""COMPUTED_VALUE"""),"Verify action when user clicks on CONFIRM button on confirmation pop-up [ when transaction fails]")</f>
        <v>Verify action when user clicks on CONFIRM button on confirmation pop-up [ when transaction fails]</v>
      </c>
      <c r="H99" s="524" t="str">
        <f>IFERROR(__xludf.DUMMYFUNCTION("""COMPUTED_VALUE"""),"On failure System should display failure pop-up message intimating the reason for failure with DONE button, When user clicks on DONE button user should be landed to detailview page with pre-loaded data.")</f>
        <v>On failure System should display failure pop-up message intimating the reason for failure with DONE button, When user clicks on DONE button user should be landed to detailview page with pre-loaded data.</v>
      </c>
      <c r="I99" s="523" t="str">
        <f>IFERROR(__xludf.DUMMYFUNCTION("""COMPUTED_VALUE"""),"Fail")</f>
        <v>Fail</v>
      </c>
      <c r="J99" s="523" t="str">
        <f>IFERROR(__xludf.DUMMYFUNCTION("""COMPUTED_VALUE"""),"qa-double-rc2")</f>
        <v>qa-double-rc2</v>
      </c>
      <c r="K99" s="523"/>
      <c r="L99" s="523"/>
      <c r="M99" s="523"/>
      <c r="N99" s="523"/>
      <c r="O99" s="523"/>
      <c r="P99" s="523"/>
      <c r="Q99" s="523"/>
      <c r="R99" s="523"/>
      <c r="S99" s="523"/>
      <c r="T99" s="523"/>
      <c r="U99" s="523"/>
      <c r="V99" s="523"/>
      <c r="W99" s="523"/>
      <c r="X99" s="523"/>
      <c r="Y99" s="523"/>
      <c r="Z99" s="523"/>
    </row>
    <row r="100">
      <c r="A100" s="523" t="str">
        <f>IFERROR(__xludf.DUMMYFUNCTION("""COMPUTED_VALUE"""),"MOSIP-53")</f>
        <v>MOSIP-53</v>
      </c>
      <c r="B100" s="524"/>
      <c r="C100" s="523" t="str">
        <f>IFERROR(__xludf.DUMMYFUNCTION("""COMPUTED_VALUE"""),"TC_Admin_173")</f>
        <v>TC_Admin_173</v>
      </c>
      <c r="D100" s="523" t="str">
        <f>IFERROR(__xludf.DUMMYFUNCTION("""COMPUTED_VALUE"""),"Functional")</f>
        <v>Functional</v>
      </c>
      <c r="E100" s="524" t="str">
        <f>IFERROR(__xludf.DUMMYFUNCTION("""COMPUTED_VALUE"""),"MasterData-center type")</f>
        <v>MasterData-center type</v>
      </c>
      <c r="F100" s="524" t="str">
        <f>IFERROR(__xludf.DUMMYFUNCTION("""COMPUTED_VALUE"""),"1. Login to Admin
 2. MasterData dashboard
 3. Center Type
 4. +Create
 5. SAVE
 6. ListView page
 7. EDIT")</f>
        <v>1. Login to Admin
 2. MasterData dashboard
 3. Center Type
 4. +Create
 5. SAVE
 6. ListView page
 7. EDIT</v>
      </c>
      <c r="G100" s="524" t="str">
        <f>IFERROR(__xludf.DUMMYFUNCTION("""COMPUTED_VALUE"""),"To click on Save button after modifying the details under Center type edit page.")</f>
        <v>To click on Save button after modifying the details under Center type edit page.</v>
      </c>
      <c r="H100" s="524" t="str">
        <f>IFERROR(__xludf.DUMMYFUNCTION("""COMPUTED_VALUE"""),"The system will display a confirmation message on a pop-up asking for Administrator’s confirmation with buttons ‘Confirm’ and ‘Cancel’.
 Message on pop-up window "" “You are about to update a Center Type. Please ensure that all the information is correct."&amp;"""")</f>
        <v>The system will display a confirmation message on a pop-up asking for Administrator’s confirmation with buttons ‘Confirm’ and ‘Cancel’.
 Message on pop-up window " “You are about to update a Center Type. Please ensure that all the information is correct."</v>
      </c>
      <c r="I100" s="523" t="str">
        <f>IFERROR(__xludf.DUMMYFUNCTION("""COMPUTED_VALUE"""),"Fail")</f>
        <v>Fail</v>
      </c>
      <c r="J100" s="523" t="str">
        <f>IFERROR(__xludf.DUMMYFUNCTION("""COMPUTED_VALUE"""),"qa-double-rc2")</f>
        <v>qa-double-rc2</v>
      </c>
      <c r="K100" s="523"/>
      <c r="L100" s="523"/>
      <c r="M100" s="523"/>
      <c r="N100" s="523"/>
      <c r="O100" s="523"/>
      <c r="P100" s="523"/>
      <c r="Q100" s="523"/>
      <c r="R100" s="523"/>
      <c r="S100" s="523"/>
      <c r="T100" s="523"/>
      <c r="U100" s="523"/>
      <c r="V100" s="523"/>
      <c r="W100" s="523"/>
      <c r="X100" s="523"/>
      <c r="Y100" s="523"/>
      <c r="Z100" s="523"/>
    </row>
    <row r="101">
      <c r="A101" s="523" t="str">
        <f>IFERROR(__xludf.DUMMYFUNCTION("""COMPUTED_VALUE"""),"MOSIP-53")</f>
        <v>MOSIP-53</v>
      </c>
      <c r="B101" s="524"/>
      <c r="C101" s="523" t="str">
        <f>IFERROR(__xludf.DUMMYFUNCTION("""COMPUTED_VALUE"""),"TC_Admin_175")</f>
        <v>TC_Admin_175</v>
      </c>
      <c r="D101" s="523" t="str">
        <f>IFERROR(__xludf.DUMMYFUNCTION("""COMPUTED_VALUE"""),"Functional")</f>
        <v>Functional</v>
      </c>
      <c r="E101" s="524" t="str">
        <f>IFERROR(__xludf.DUMMYFUNCTION("""COMPUTED_VALUE"""),"MasterData-center type")</f>
        <v>MasterData-center type</v>
      </c>
      <c r="F101" s="524" t="str">
        <f>IFERROR(__xludf.DUMMYFUNCTION("""COMPUTED_VALUE"""),"1. Login to Admin
 2. MasterData dashboard
 3. Center Type
 4. +Create
 5. SAVE
 6. ListView page
 7. EDIT")</f>
        <v>1. Login to Admin
 2. MasterData dashboard
 3. Center Type
 4. +Create
 5. SAVE
 6. ListView page
 7. EDIT</v>
      </c>
      <c r="G101" s="524" t="str">
        <f>IFERROR(__xludf.DUMMYFUNCTION("""COMPUTED_VALUE"""),"Verify action when user click on CANCEL button in edit confirmation pop-up.")</f>
        <v>Verify action when user click on CANCEL button in edit confirmation pop-up.</v>
      </c>
      <c r="H101" s="524" t="str">
        <f>IFERROR(__xludf.DUMMYFUNCTION("""COMPUTED_VALUE"""),"user should land on Center type update page with pre-entered data.")</f>
        <v>user should land on Center type update page with pre-entered data.</v>
      </c>
      <c r="I101" s="523" t="str">
        <f>IFERROR(__xludf.DUMMYFUNCTION("""COMPUTED_VALUE"""),"Fail")</f>
        <v>Fail</v>
      </c>
      <c r="J101" s="523" t="str">
        <f>IFERROR(__xludf.DUMMYFUNCTION("""COMPUTED_VALUE"""),"qa-double-rc2")</f>
        <v>qa-double-rc2</v>
      </c>
      <c r="K101" s="523"/>
      <c r="L101" s="523"/>
      <c r="M101" s="523"/>
      <c r="N101" s="523"/>
      <c r="O101" s="523"/>
      <c r="P101" s="523"/>
      <c r="Q101" s="523"/>
      <c r="R101" s="523"/>
      <c r="S101" s="523"/>
      <c r="T101" s="523"/>
      <c r="U101" s="523"/>
      <c r="V101" s="523"/>
      <c r="W101" s="523"/>
      <c r="X101" s="523"/>
      <c r="Y101" s="523"/>
      <c r="Z101" s="523"/>
    </row>
    <row r="102">
      <c r="A102" s="523" t="str">
        <f>IFERROR(__xludf.DUMMYFUNCTION("""COMPUTED_VALUE"""),"MOSIP-53")</f>
        <v>MOSIP-53</v>
      </c>
      <c r="B102" s="524"/>
      <c r="C102" s="523" t="str">
        <f>IFERROR(__xludf.DUMMYFUNCTION("""COMPUTED_VALUE"""),"TC_Admin_177")</f>
        <v>TC_Admin_177</v>
      </c>
      <c r="D102" s="523" t="str">
        <f>IFERROR(__xludf.DUMMYFUNCTION("""COMPUTED_VALUE"""),"Functional")</f>
        <v>Functional</v>
      </c>
      <c r="E102" s="524" t="str">
        <f>IFERROR(__xludf.DUMMYFUNCTION("""COMPUTED_VALUE"""),"MasterData-center type")</f>
        <v>MasterData-center type</v>
      </c>
      <c r="F102" s="524" t="str">
        <f>IFERROR(__xludf.DUMMYFUNCTION("""COMPUTED_VALUE"""),"1. Login to Admin
 2. MasterData dashboard
 3. Center Type
 4. +Create/ Edit")</f>
        <v>1. Login to Admin
 2. MasterData dashboard
 3. Center Type
 4. +Create/ Edit</v>
      </c>
      <c r="G102" s="524" t="str">
        <f>IFERROR(__xludf.DUMMYFUNCTION("""COMPUTED_VALUE"""),"User to click on other module or button to navigation somewhere else while in the Center type Create page .")</f>
        <v>User to click on other module or button to navigation somewhere else while in the Center type Create page .</v>
      </c>
      <c r="H102" s="524" t="str">
        <f>IFERROR(__xludf.DUMMYFUNCTION("""COMPUTED_VALUE"""),"The system should throw error as ""“Are you sure you want to navigate away from this page? Any unsaved data will be lost”"" with option as ""STAY"" anf ""Leave""")</f>
        <v>The system should throw error as "“Are you sure you want to navigate away from this page? Any unsaved data will be lost”" with option as "STAY" anf "Leave"</v>
      </c>
      <c r="I102" s="523" t="str">
        <f>IFERROR(__xludf.DUMMYFUNCTION("""COMPUTED_VALUE"""),"Fail")</f>
        <v>Fail</v>
      </c>
      <c r="J102" s="523" t="str">
        <f>IFERROR(__xludf.DUMMYFUNCTION("""COMPUTED_VALUE"""),"qa-double-rc2")</f>
        <v>qa-double-rc2</v>
      </c>
      <c r="K102" s="523"/>
      <c r="L102" s="523"/>
      <c r="M102" s="523"/>
      <c r="N102" s="523"/>
      <c r="O102" s="523"/>
      <c r="P102" s="523"/>
      <c r="Q102" s="523"/>
      <c r="R102" s="523"/>
      <c r="S102" s="523"/>
      <c r="T102" s="523"/>
      <c r="U102" s="523"/>
      <c r="V102" s="523"/>
      <c r="W102" s="523"/>
      <c r="X102" s="523"/>
      <c r="Y102" s="523"/>
      <c r="Z102" s="523"/>
    </row>
    <row r="103">
      <c r="A103" s="523" t="str">
        <f>IFERROR(__xludf.DUMMYFUNCTION("""COMPUTED_VALUE"""),"MOSIP-53")</f>
        <v>MOSIP-53</v>
      </c>
      <c r="B103" s="524"/>
      <c r="C103" s="523" t="str">
        <f>IFERROR(__xludf.DUMMYFUNCTION("""COMPUTED_VALUE"""),"TC_Admin_178")</f>
        <v>TC_Admin_178</v>
      </c>
      <c r="D103" s="523" t="str">
        <f>IFERROR(__xludf.DUMMYFUNCTION("""COMPUTED_VALUE"""),"Functional")</f>
        <v>Functional</v>
      </c>
      <c r="E103" s="524" t="str">
        <f>IFERROR(__xludf.DUMMYFUNCTION("""COMPUTED_VALUE"""),"MasterData-center type")</f>
        <v>MasterData-center type</v>
      </c>
      <c r="F103" s="524" t="str">
        <f>IFERROR(__xludf.DUMMYFUNCTION("""COMPUTED_VALUE"""),"1. Login to Admin
 2. MasterData dashboard
 3. Center Type
 4. +Create/ Edit")</f>
        <v>1. Login to Admin
 2. MasterData dashboard
 3. Center Type
 4. +Create/ Edit</v>
      </c>
      <c r="G103" s="524" t="str">
        <f>IFERROR(__xludf.DUMMYFUNCTION("""COMPUTED_VALUE"""),"Verify functionality when user clicks on Stay button")</f>
        <v>Verify functionality when user clicks on Stay button</v>
      </c>
      <c r="H103" s="524" t="str">
        <f>IFERROR(__xludf.DUMMYFUNCTION("""COMPUTED_VALUE"""),"All the filled data should be-retained and the Administrator should be re-directed back to the pre-filled Center type Create form where they can continue the action")</f>
        <v>All the filled data should be-retained and the Administrator should be re-directed back to the pre-filled Center type Create form where they can continue the action</v>
      </c>
      <c r="I103" s="523" t="str">
        <f>IFERROR(__xludf.DUMMYFUNCTION("""COMPUTED_VALUE"""),"Fail")</f>
        <v>Fail</v>
      </c>
      <c r="J103" s="523" t="str">
        <f>IFERROR(__xludf.DUMMYFUNCTION("""COMPUTED_VALUE"""),"qa-double-rc2")</f>
        <v>qa-double-rc2</v>
      </c>
      <c r="K103" s="523"/>
      <c r="L103" s="523"/>
      <c r="M103" s="523"/>
      <c r="N103" s="523"/>
      <c r="O103" s="523"/>
      <c r="P103" s="523"/>
      <c r="Q103" s="523"/>
      <c r="R103" s="523"/>
      <c r="S103" s="523"/>
      <c r="T103" s="523"/>
      <c r="U103" s="523"/>
      <c r="V103" s="523"/>
      <c r="W103" s="523"/>
      <c r="X103" s="523"/>
      <c r="Y103" s="523"/>
      <c r="Z103" s="523"/>
    </row>
    <row r="104">
      <c r="A104" s="523" t="str">
        <f>IFERROR(__xludf.DUMMYFUNCTION("""COMPUTED_VALUE"""),"MOSIP-53")</f>
        <v>MOSIP-53</v>
      </c>
      <c r="B104" s="524"/>
      <c r="C104" s="523" t="str">
        <f>IFERROR(__xludf.DUMMYFUNCTION("""COMPUTED_VALUE"""),"TC_Admin_179")</f>
        <v>TC_Admin_179</v>
      </c>
      <c r="D104" s="523" t="str">
        <f>IFERROR(__xludf.DUMMYFUNCTION("""COMPUTED_VALUE"""),"Functional")</f>
        <v>Functional</v>
      </c>
      <c r="E104" s="524" t="str">
        <f>IFERROR(__xludf.DUMMYFUNCTION("""COMPUTED_VALUE"""),"MasterData-center type")</f>
        <v>MasterData-center type</v>
      </c>
      <c r="F104" s="524" t="str">
        <f>IFERROR(__xludf.DUMMYFUNCTION("""COMPUTED_VALUE"""),"1. Login to Admin
 2. MasterData dashboard
 3. Center Type
 4. +Create/ Edit")</f>
        <v>1. Login to Admin
 2. MasterData dashboard
 3. Center Type
 4. +Create/ Edit</v>
      </c>
      <c r="G104" s="524" t="str">
        <f>IFERROR(__xludf.DUMMYFUNCTION("""COMPUTED_VALUE"""),"verify the functioanlity when user clicks on Leave button")</f>
        <v>verify the functioanlity when user clicks on Leave button</v>
      </c>
      <c r="H104" s="524" t="str">
        <f>IFERROR(__xludf.DUMMYFUNCTION("""COMPUTED_VALUE"""),"The system should not retain any data and should re-direct the Administrator to the functionality clicked upon")</f>
        <v>The system should not retain any data and should re-direct the Administrator to the functionality clicked upon</v>
      </c>
      <c r="I104" s="523" t="str">
        <f>IFERROR(__xludf.DUMMYFUNCTION("""COMPUTED_VALUE"""),"Fail")</f>
        <v>Fail</v>
      </c>
      <c r="J104" s="523" t="str">
        <f>IFERROR(__xludf.DUMMYFUNCTION("""COMPUTED_VALUE"""),"qa-double-rc2")</f>
        <v>qa-double-rc2</v>
      </c>
      <c r="K104" s="523"/>
      <c r="L104" s="523"/>
      <c r="M104" s="523"/>
      <c r="N104" s="523"/>
      <c r="O104" s="523"/>
      <c r="P104" s="523"/>
      <c r="Q104" s="523"/>
      <c r="R104" s="523"/>
      <c r="S104" s="523"/>
      <c r="T104" s="523"/>
      <c r="U104" s="523"/>
      <c r="V104" s="523"/>
      <c r="W104" s="523"/>
      <c r="X104" s="523"/>
      <c r="Y104" s="523"/>
      <c r="Z104" s="523"/>
    </row>
    <row r="105">
      <c r="A105" s="523"/>
      <c r="B105" s="524"/>
      <c r="C105" s="523" t="str">
        <f>IFERROR(__xludf.DUMMYFUNCTION("""COMPUTED_VALUE"""),"TC_Admin_231")</f>
        <v>TC_Admin_231</v>
      </c>
      <c r="D105" s="523" t="str">
        <f>IFERROR(__xludf.DUMMYFUNCTION("""COMPUTED_VALUE"""),"Functional")</f>
        <v>Functional</v>
      </c>
      <c r="E105" s="524" t="str">
        <f>IFERROR(__xludf.DUMMYFUNCTION("""COMPUTED_VALUE"""),"MasterData-List-of-holiday")</f>
        <v>MasterData-List-of-holiday</v>
      </c>
      <c r="F105" s="524" t="str">
        <f>IFERROR(__xludf.DUMMYFUNCTION("""COMPUTED_VALUE"""),"1. Login to Admin
 2. MasterData dashboard
 3. List-of-holiday
 4. +Create
 5. SAVE")</f>
        <v>1. Login to Admin
 2. MasterData dashboard
 3. List-of-holiday
 4. +Create
 5. SAVE</v>
      </c>
      <c r="G105" s="524" t="str">
        <f>IFERROR(__xludf.DUMMYFUNCTION("""COMPUTED_VALUE"""),"To verify List-of-holiday creation when all mandatory fields are filled.")</f>
        <v>To verify List-of-holiday creation when all mandatory fields are filled.</v>
      </c>
      <c r="H105" s="524" t="str">
        <f>IFERROR(__xludf.DUMMYFUNCTION("""COMPUTED_VALUE"""),"The system will display a confirmation message on a pop-up asking for Administrator’s confirmation with buttons ‘Confirm’ and ‘Cancel’.
 Message on pop-up window: “You are about to create a List-of-holiday. Please ensure that all the information is correc"&amp;"t. A List-of-holiday Code will be generated once you confirm”")</f>
        <v>The system will display a confirmation message on a pop-up asking for Administrator’s confirmation with buttons ‘Confirm’ and ‘Cancel’.
 Message on pop-up window: “You are about to create a List-of-holiday. Please ensure that all the information is correct. A List-of-holiday Code will be generated once you confirm”</v>
      </c>
      <c r="I105" s="523" t="str">
        <f>IFERROR(__xludf.DUMMYFUNCTION("""COMPUTED_VALUE"""),"Fail")</f>
        <v>Fail</v>
      </c>
      <c r="J105" s="523" t="str">
        <f>IFERROR(__xludf.DUMMYFUNCTION("""COMPUTED_VALUE"""),"qa-double-rc2")</f>
        <v>qa-double-rc2</v>
      </c>
      <c r="K105" s="523"/>
      <c r="L105" s="523"/>
      <c r="M105" s="523"/>
      <c r="N105" s="523"/>
      <c r="O105" s="523"/>
      <c r="P105" s="523"/>
      <c r="Q105" s="523"/>
      <c r="R105" s="523"/>
      <c r="S105" s="523"/>
      <c r="T105" s="523"/>
      <c r="U105" s="523"/>
      <c r="V105" s="523"/>
      <c r="W105" s="523"/>
      <c r="X105" s="523"/>
      <c r="Y105" s="523"/>
      <c r="Z105" s="523"/>
    </row>
    <row r="106">
      <c r="A106" s="523"/>
      <c r="B106" s="524"/>
      <c r="C106" s="523" t="str">
        <f>IFERROR(__xludf.DUMMYFUNCTION("""COMPUTED_VALUE"""),"TC_Admin_233")</f>
        <v>TC_Admin_233</v>
      </c>
      <c r="D106" s="523" t="str">
        <f>IFERROR(__xludf.DUMMYFUNCTION("""COMPUTED_VALUE"""),"Functional")</f>
        <v>Functional</v>
      </c>
      <c r="E106" s="524" t="str">
        <f>IFERROR(__xludf.DUMMYFUNCTION("""COMPUTED_VALUE"""),"MasterData-List-of-holiday")</f>
        <v>MasterData-List-of-holiday</v>
      </c>
      <c r="F106" s="524" t="str">
        <f>IFERROR(__xludf.DUMMYFUNCTION("""COMPUTED_VALUE"""),"1. Login to Admin
 2. MasterData dashboard
 3. List-of-holiday
 4. +Create
 5. SAVE")</f>
        <v>1. Login to Admin
 2. MasterData dashboard
 3. List-of-holiday
 4. +Create
 5. SAVE</v>
      </c>
      <c r="G106" s="524" t="str">
        <f>IFERROR(__xludf.DUMMYFUNCTION("""COMPUTED_VALUE"""),"Verify action when user clicks on CONFIRM button on confirmation pop-up [ Incase of failure]")</f>
        <v>Verify action when user clicks on CONFIRM button on confirmation pop-up [ Incase of failure]</v>
      </c>
      <c r="H106" s="524" t="str">
        <f>IFERROR(__xludf.DUMMYFUNCTION("""COMPUTED_VALUE"""),"On failure System should display failure pop-up message intimating the reason for failure with DONE button, When user clicks on DONE button user should be landed to detailview page with pre-loaded data.")</f>
        <v>On failure System should display failure pop-up message intimating the reason for failure with DONE button, When user clicks on DONE button user should be landed to detailview page with pre-loaded data.</v>
      </c>
      <c r="I106" s="523" t="str">
        <f>IFERROR(__xludf.DUMMYFUNCTION("""COMPUTED_VALUE"""),"Fail")</f>
        <v>Fail</v>
      </c>
      <c r="J106" s="523" t="str">
        <f>IFERROR(__xludf.DUMMYFUNCTION("""COMPUTED_VALUE"""),"qa-double-rc2")</f>
        <v>qa-double-rc2</v>
      </c>
      <c r="K106" s="523"/>
      <c r="L106" s="523"/>
      <c r="M106" s="523"/>
      <c r="N106" s="523"/>
      <c r="O106" s="523"/>
      <c r="P106" s="523"/>
      <c r="Q106" s="523"/>
      <c r="R106" s="523"/>
      <c r="S106" s="523"/>
      <c r="T106" s="523"/>
      <c r="U106" s="523"/>
      <c r="V106" s="523"/>
      <c r="W106" s="523"/>
      <c r="X106" s="523"/>
      <c r="Y106" s="523"/>
      <c r="Z106" s="523"/>
    </row>
    <row r="107">
      <c r="A107" s="523"/>
      <c r="B107" s="524"/>
      <c r="C107" s="523" t="str">
        <f>IFERROR(__xludf.DUMMYFUNCTION("""COMPUTED_VALUE"""),"TC_Admin_242")</f>
        <v>TC_Admin_242</v>
      </c>
      <c r="D107" s="523" t="str">
        <f>IFERROR(__xludf.DUMMYFUNCTION("""COMPUTED_VALUE"""),"Functional")</f>
        <v>Functional</v>
      </c>
      <c r="E107" s="524" t="str">
        <f>IFERROR(__xludf.DUMMYFUNCTION("""COMPUTED_VALUE"""),"MasterData-List-of-holiday")</f>
        <v>MasterData-List-of-holiday</v>
      </c>
      <c r="F107" s="524" t="str">
        <f>IFERROR(__xludf.DUMMYFUNCTION("""COMPUTED_VALUE"""),"1. Login to Admin
 2. MasterData dashboard
 3. List-of-holiday
 4. +Create
 5. SAVE
 6. ListView page
 7. Deactivation")</f>
        <v>1. Login to Admin
 2. MasterData dashboard
 3. List-of-holiday
 4. +Create
 5. SAVE
 6. ListView page
 7. Deactivation</v>
      </c>
      <c r="G107" s="524" t="str">
        <f>IFERROR(__xludf.DUMMYFUNCTION("""COMPUTED_VALUE"""),"Verify Deactivation of Active Holiday when mapping is present with Center.")</f>
        <v>Verify Deactivation of Active Holiday when mapping is present with Center.</v>
      </c>
      <c r="H107" s="524" t="str">
        <f>IFERROR(__xludf.DUMMYFUNCTION("""COMPUTED_VALUE"""),"Should display failure message with DONE button saying "" Mapping present Holiday cannot be deactivated"". 
 when user clicks on DONE button user should be back to list view page.")</f>
        <v>Should display failure message with DONE button saying " Mapping present Holiday cannot be deactivated". 
 when user clicks on DONE button user should be back to list view page.</v>
      </c>
      <c r="I107" s="523" t="str">
        <f>IFERROR(__xludf.DUMMYFUNCTION("""COMPUTED_VALUE"""),"Fail")</f>
        <v>Fail</v>
      </c>
      <c r="J107" s="523" t="str">
        <f>IFERROR(__xludf.DUMMYFUNCTION("""COMPUTED_VALUE"""),"qa-double-rc2")</f>
        <v>qa-double-rc2</v>
      </c>
      <c r="K107" s="523"/>
      <c r="L107" s="523"/>
      <c r="M107" s="523"/>
      <c r="N107" s="523"/>
      <c r="O107" s="523"/>
      <c r="P107" s="523"/>
      <c r="Q107" s="523"/>
      <c r="R107" s="523"/>
      <c r="S107" s="523"/>
      <c r="T107" s="523"/>
      <c r="U107" s="523"/>
      <c r="V107" s="523"/>
      <c r="W107" s="523"/>
      <c r="X107" s="523"/>
      <c r="Y107" s="523"/>
      <c r="Z107" s="523"/>
    </row>
    <row r="108">
      <c r="A108" s="523"/>
      <c r="B108" s="524"/>
      <c r="C108" s="523" t="str">
        <f>IFERROR(__xludf.DUMMYFUNCTION("""COMPUTED_VALUE"""),"TC_Admin_244")</f>
        <v>TC_Admin_244</v>
      </c>
      <c r="D108" s="523" t="str">
        <f>IFERROR(__xludf.DUMMYFUNCTION("""COMPUTED_VALUE"""),"Functional")</f>
        <v>Functional</v>
      </c>
      <c r="E108" s="524" t="str">
        <f>IFERROR(__xludf.DUMMYFUNCTION("""COMPUTED_VALUE"""),"MasterData-List-of-holiday")</f>
        <v>MasterData-List-of-holiday</v>
      </c>
      <c r="F108" s="524" t="str">
        <f>IFERROR(__xludf.DUMMYFUNCTION("""COMPUTED_VALUE"""),"1. Login to Admin
 2. MasterData dashboard
 3. List-of-holiday
 4. +Create
 5. SAVE
 6. ListView page
 7. EDIT")</f>
        <v>1. Login to Admin
 2. MasterData dashboard
 3. List-of-holiday
 4. +Create
 5. SAVE
 6. ListView page
 7. EDIT</v>
      </c>
      <c r="G108" s="524" t="str">
        <f>IFERROR(__xludf.DUMMYFUNCTION("""COMPUTED_VALUE"""),"To click on Save button after modifying the details under Holiday edit page.")</f>
        <v>To click on Save button after modifying the details under Holiday edit page.</v>
      </c>
      <c r="H108" s="524" t="str">
        <f>IFERROR(__xludf.DUMMYFUNCTION("""COMPUTED_VALUE"""),"The system will display a confirmation message on a pop-up asking for Administrator’s confirmation with buttons ‘Confirm’ and ‘Cancel’.
 Message on pop-up window "" “You are about to update a holiday Please ensure that all the information is correct.""")</f>
        <v>The system will display a confirmation message on a pop-up asking for Administrator’s confirmation with buttons ‘Confirm’ and ‘Cancel’.
 Message on pop-up window " “You are about to update a holiday Please ensure that all the information is correct."</v>
      </c>
      <c r="I108" s="523" t="str">
        <f>IFERROR(__xludf.DUMMYFUNCTION("""COMPUTED_VALUE"""),"Fail")</f>
        <v>Fail</v>
      </c>
      <c r="J108" s="523" t="str">
        <f>IFERROR(__xludf.DUMMYFUNCTION("""COMPUTED_VALUE"""),"qa-double-rc2")</f>
        <v>qa-double-rc2</v>
      </c>
      <c r="K108" s="523"/>
      <c r="L108" s="523"/>
      <c r="M108" s="523"/>
      <c r="N108" s="523"/>
      <c r="O108" s="523"/>
      <c r="P108" s="523"/>
      <c r="Q108" s="523"/>
      <c r="R108" s="523"/>
      <c r="S108" s="523"/>
      <c r="T108" s="523"/>
      <c r="U108" s="523"/>
      <c r="V108" s="523"/>
      <c r="W108" s="523"/>
      <c r="X108" s="523"/>
      <c r="Y108" s="523"/>
      <c r="Z108" s="523"/>
    </row>
    <row r="109">
      <c r="A109" s="523"/>
      <c r="B109" s="524"/>
      <c r="C109" s="523" t="str">
        <f>IFERROR(__xludf.DUMMYFUNCTION("""COMPUTED_VALUE"""),"TC_Admin_246")</f>
        <v>TC_Admin_246</v>
      </c>
      <c r="D109" s="523" t="str">
        <f>IFERROR(__xludf.DUMMYFUNCTION("""COMPUTED_VALUE"""),"Functional")</f>
        <v>Functional</v>
      </c>
      <c r="E109" s="524" t="str">
        <f>IFERROR(__xludf.DUMMYFUNCTION("""COMPUTED_VALUE"""),"MasterData-List-of-holiday")</f>
        <v>MasterData-List-of-holiday</v>
      </c>
      <c r="F109" s="524" t="str">
        <f>IFERROR(__xludf.DUMMYFUNCTION("""COMPUTED_VALUE"""),"1. Login to Admin
 2. MasterData dashboard
 3. List-of-holiday
 4. +Create
 5. SAVE
 6. ListView page
 7. EDIT")</f>
        <v>1. Login to Admin
 2. MasterData dashboard
 3. List-of-holiday
 4. +Create
 5. SAVE
 6. ListView page
 7. EDIT</v>
      </c>
      <c r="G109" s="524" t="str">
        <f>IFERROR(__xludf.DUMMYFUNCTION("""COMPUTED_VALUE"""),"Verify action when user click on CANCEL button in edit confirmation pop-up.")</f>
        <v>Verify action when user click on CANCEL button in edit confirmation pop-up.</v>
      </c>
      <c r="H109" s="524" t="str">
        <f>IFERROR(__xludf.DUMMYFUNCTION("""COMPUTED_VALUE"""),"user should land on Center type update page with pre-entered data.")</f>
        <v>user should land on Center type update page with pre-entered data.</v>
      </c>
      <c r="I109" s="523" t="str">
        <f>IFERROR(__xludf.DUMMYFUNCTION("""COMPUTED_VALUE"""),"Fail")</f>
        <v>Fail</v>
      </c>
      <c r="J109" s="523" t="str">
        <f>IFERROR(__xludf.DUMMYFUNCTION("""COMPUTED_VALUE"""),"qa-double-rc2")</f>
        <v>qa-double-rc2</v>
      </c>
      <c r="K109" s="523"/>
      <c r="L109" s="523"/>
      <c r="M109" s="523"/>
      <c r="N109" s="523"/>
      <c r="O109" s="523"/>
      <c r="P109" s="523"/>
      <c r="Q109" s="523"/>
      <c r="R109" s="523"/>
      <c r="S109" s="523"/>
      <c r="T109" s="523"/>
      <c r="U109" s="523"/>
      <c r="V109" s="523"/>
      <c r="W109" s="523"/>
      <c r="X109" s="523"/>
      <c r="Y109" s="523"/>
      <c r="Z109" s="523"/>
    </row>
    <row r="110">
      <c r="A110" s="523"/>
      <c r="B110" s="524"/>
      <c r="C110" s="523" t="str">
        <f>IFERROR(__xludf.DUMMYFUNCTION("""COMPUTED_VALUE"""),"TC_Admin_248")</f>
        <v>TC_Admin_248</v>
      </c>
      <c r="D110" s="523" t="str">
        <f>IFERROR(__xludf.DUMMYFUNCTION("""COMPUTED_VALUE"""),"Functional")</f>
        <v>Functional</v>
      </c>
      <c r="E110" s="524" t="str">
        <f>IFERROR(__xludf.DUMMYFUNCTION("""COMPUTED_VALUE"""),"MasterData-List-of-holiday")</f>
        <v>MasterData-List-of-holiday</v>
      </c>
      <c r="F110" s="524" t="str">
        <f>IFERROR(__xludf.DUMMYFUNCTION("""COMPUTED_VALUE"""),"1. Login to Admin
 2. MasterData dashboard
 3. List-of-holiday
 4. +Create/ Edit")</f>
        <v>1. Login to Admin
 2. MasterData dashboard
 3. List-of-holiday
 4. +Create/ Edit</v>
      </c>
      <c r="G110" s="524" t="str">
        <f>IFERROR(__xludf.DUMMYFUNCTION("""COMPUTED_VALUE"""),"User to click on other module or button to navigation somewhere else while in the Holiday Create page .")</f>
        <v>User to click on other module or button to navigation somewhere else while in the Holiday Create page .</v>
      </c>
      <c r="H110" s="524" t="str">
        <f>IFERROR(__xludf.DUMMYFUNCTION("""COMPUTED_VALUE"""),"The system should throw error as ""“Are you sure you want to navigate away from this page? Any unsaved data will be lost”"" with option as ""STAY"" anf ""Leave""")</f>
        <v>The system should throw error as "“Are you sure you want to navigate away from this page? Any unsaved data will be lost”" with option as "STAY" anf "Leave"</v>
      </c>
      <c r="I110" s="523" t="str">
        <f>IFERROR(__xludf.DUMMYFUNCTION("""COMPUTED_VALUE"""),"Fail")</f>
        <v>Fail</v>
      </c>
      <c r="J110" s="523" t="str">
        <f>IFERROR(__xludf.DUMMYFUNCTION("""COMPUTED_VALUE"""),"qa-double-rc2")</f>
        <v>qa-double-rc2</v>
      </c>
      <c r="K110" s="523"/>
      <c r="L110" s="523"/>
      <c r="M110" s="523"/>
      <c r="N110" s="523"/>
      <c r="O110" s="523"/>
      <c r="P110" s="523"/>
      <c r="Q110" s="523"/>
      <c r="R110" s="523"/>
      <c r="S110" s="523"/>
      <c r="T110" s="523"/>
      <c r="U110" s="523"/>
      <c r="V110" s="523"/>
      <c r="W110" s="523"/>
      <c r="X110" s="523"/>
      <c r="Y110" s="523"/>
      <c r="Z110" s="523"/>
    </row>
    <row r="111">
      <c r="A111" s="523"/>
      <c r="B111" s="524"/>
      <c r="C111" s="523" t="str">
        <f>IFERROR(__xludf.DUMMYFUNCTION("""COMPUTED_VALUE"""),"TC_Admin_249")</f>
        <v>TC_Admin_249</v>
      </c>
      <c r="D111" s="523" t="str">
        <f>IFERROR(__xludf.DUMMYFUNCTION("""COMPUTED_VALUE"""),"Functional")</f>
        <v>Functional</v>
      </c>
      <c r="E111" s="524" t="str">
        <f>IFERROR(__xludf.DUMMYFUNCTION("""COMPUTED_VALUE"""),"MasterData-List-of-holiday")</f>
        <v>MasterData-List-of-holiday</v>
      </c>
      <c r="F111" s="524" t="str">
        <f>IFERROR(__xludf.DUMMYFUNCTION("""COMPUTED_VALUE"""),"1. Login to Admin
 2. MasterData dashboard
 3. List-of-holiday
 4. +Create/ Edit")</f>
        <v>1. Login to Admin
 2. MasterData dashboard
 3. List-of-holiday
 4. +Create/ Edit</v>
      </c>
      <c r="G111" s="524" t="str">
        <f>IFERROR(__xludf.DUMMYFUNCTION("""COMPUTED_VALUE"""),"Verify functionality when user clicks on Stay button")</f>
        <v>Verify functionality when user clicks on Stay button</v>
      </c>
      <c r="H111" s="524" t="str">
        <f>IFERROR(__xludf.DUMMYFUNCTION("""COMPUTED_VALUE"""),"All the filled data should be-retained and the Administrator should be re-directed back to the pre-filled Holiday Create form where they can continue the action")</f>
        <v>All the filled data should be-retained and the Administrator should be re-directed back to the pre-filled Holiday Create form where they can continue the action</v>
      </c>
      <c r="I111" s="523" t="str">
        <f>IFERROR(__xludf.DUMMYFUNCTION("""COMPUTED_VALUE"""),"Fail")</f>
        <v>Fail</v>
      </c>
      <c r="J111" s="523" t="str">
        <f>IFERROR(__xludf.DUMMYFUNCTION("""COMPUTED_VALUE"""),"qa-double-rc2")</f>
        <v>qa-double-rc2</v>
      </c>
      <c r="K111" s="523"/>
      <c r="L111" s="523"/>
      <c r="M111" s="523"/>
      <c r="N111" s="523"/>
      <c r="O111" s="523"/>
      <c r="P111" s="523"/>
      <c r="Q111" s="523"/>
      <c r="R111" s="523"/>
      <c r="S111" s="523"/>
      <c r="T111" s="523"/>
      <c r="U111" s="523"/>
      <c r="V111" s="523"/>
      <c r="W111" s="523"/>
      <c r="X111" s="523"/>
      <c r="Y111" s="523"/>
      <c r="Z111" s="523"/>
    </row>
    <row r="112">
      <c r="A112" s="523"/>
      <c r="B112" s="524"/>
      <c r="C112" s="523" t="str">
        <f>IFERROR(__xludf.DUMMYFUNCTION("""COMPUTED_VALUE"""),"TC_Admin_250")</f>
        <v>TC_Admin_250</v>
      </c>
      <c r="D112" s="523" t="str">
        <f>IFERROR(__xludf.DUMMYFUNCTION("""COMPUTED_VALUE"""),"Functional")</f>
        <v>Functional</v>
      </c>
      <c r="E112" s="524" t="str">
        <f>IFERROR(__xludf.DUMMYFUNCTION("""COMPUTED_VALUE"""),"MasterData-List-of-holiday")</f>
        <v>MasterData-List-of-holiday</v>
      </c>
      <c r="F112" s="524" t="str">
        <f>IFERROR(__xludf.DUMMYFUNCTION("""COMPUTED_VALUE"""),"1. Login to Admin
 2. MasterData dashboard
 3. List-of-holiday
 4. +Create/ Edit")</f>
        <v>1. Login to Admin
 2. MasterData dashboard
 3. List-of-holiday
 4. +Create/ Edit</v>
      </c>
      <c r="G112" s="524" t="str">
        <f>IFERROR(__xludf.DUMMYFUNCTION("""COMPUTED_VALUE"""),"verify the functioanlity when user clicks on Leave button")</f>
        <v>verify the functioanlity when user clicks on Leave button</v>
      </c>
      <c r="H112" s="524" t="str">
        <f>IFERROR(__xludf.DUMMYFUNCTION("""COMPUTED_VALUE"""),"The system should not retain any data and should re-direct the Administrator to the functionality clicked upon")</f>
        <v>The system should not retain any data and should re-direct the Administrator to the functionality clicked upon</v>
      </c>
      <c r="I112" s="523" t="str">
        <f>IFERROR(__xludf.DUMMYFUNCTION("""COMPUTED_VALUE"""),"Fail")</f>
        <v>Fail</v>
      </c>
      <c r="J112" s="523" t="str">
        <f>IFERROR(__xludf.DUMMYFUNCTION("""COMPUTED_VALUE"""),"qa-double-rc2")</f>
        <v>qa-double-rc2</v>
      </c>
      <c r="K112" s="523"/>
      <c r="L112" s="523"/>
      <c r="M112" s="523"/>
      <c r="N112" s="523"/>
      <c r="O112" s="523"/>
      <c r="P112" s="523"/>
      <c r="Q112" s="523"/>
      <c r="R112" s="523"/>
      <c r="S112" s="523"/>
      <c r="T112" s="523"/>
      <c r="U112" s="523"/>
      <c r="V112" s="523"/>
      <c r="W112" s="523"/>
      <c r="X112" s="523"/>
      <c r="Y112" s="523"/>
      <c r="Z112" s="523"/>
    </row>
    <row r="113">
      <c r="A113" s="523"/>
      <c r="B113" s="524"/>
      <c r="C113" s="523" t="str">
        <f>IFERROR(__xludf.DUMMYFUNCTION("""COMPUTED_VALUE"""),"TC_Admin_257")</f>
        <v>TC_Admin_257</v>
      </c>
      <c r="D113" s="523" t="str">
        <f>IFERROR(__xludf.DUMMYFUNCTION("""COMPUTED_VALUE"""),"Functional")</f>
        <v>Functional</v>
      </c>
      <c r="E113" s="524" t="str">
        <f>IFERROR(__xludf.DUMMYFUNCTION("""COMPUTED_VALUE"""),"MasterData-List-of-holiday")</f>
        <v>MasterData-List-of-holiday</v>
      </c>
      <c r="F113" s="524" t="str">
        <f>IFERROR(__xludf.DUMMYFUNCTION("""COMPUTED_VALUE"""),"1. Login to Admin
 2. MasterData dashboard
 3. List-of-holiday
 4. Listview page
 5. clonning button")</f>
        <v>1. Login to Admin
 2. MasterData dashboard
 3. List-of-holiday
 4. Listview page
 5. clonning button</v>
      </c>
      <c r="G113" s="524" t="str">
        <f>IFERROR(__xludf.DUMMYFUNCTION("""COMPUTED_VALUE"""),"Verify Status flag After clonning the Active record .")</f>
        <v>Verify Status flag After clonning the Active record .</v>
      </c>
      <c r="H113" s="524" t="str">
        <f>IFERROR(__xludf.DUMMYFUNCTION("""COMPUTED_VALUE"""),"Holiday should be clonned and status flag should be Active .")</f>
        <v>Holiday should be clonned and status flag should be Active .</v>
      </c>
      <c r="I113" s="523" t="str">
        <f>IFERROR(__xludf.DUMMYFUNCTION("""COMPUTED_VALUE"""),"Fail")</f>
        <v>Fail</v>
      </c>
      <c r="J113" s="523" t="str">
        <f>IFERROR(__xludf.DUMMYFUNCTION("""COMPUTED_VALUE"""),"qa-double-rc2")</f>
        <v>qa-double-rc2</v>
      </c>
      <c r="K113" s="523"/>
      <c r="L113" s="523"/>
      <c r="M113" s="523"/>
      <c r="N113" s="523"/>
      <c r="O113" s="523"/>
      <c r="P113" s="523"/>
      <c r="Q113" s="523"/>
      <c r="R113" s="523"/>
      <c r="S113" s="523"/>
      <c r="T113" s="523"/>
      <c r="U113" s="523"/>
      <c r="V113" s="523"/>
      <c r="W113" s="523"/>
      <c r="X113" s="523"/>
      <c r="Y113" s="523"/>
      <c r="Z113" s="523"/>
    </row>
    <row r="114">
      <c r="A114" s="523"/>
      <c r="B114" s="524"/>
      <c r="C114" s="523" t="str">
        <f>IFERROR(__xludf.DUMMYFUNCTION("""COMPUTED_VALUE"""),"TC_Admin_259")</f>
        <v>TC_Admin_259</v>
      </c>
      <c r="D114" s="523" t="str">
        <f>IFERROR(__xludf.DUMMYFUNCTION("""COMPUTED_VALUE"""),"Functional")</f>
        <v>Functional</v>
      </c>
      <c r="E114" s="524" t="str">
        <f>IFERROR(__xludf.DUMMYFUNCTION("""COMPUTED_VALUE"""),"MasterData-List-of-holiday")</f>
        <v>MasterData-List-of-holiday</v>
      </c>
      <c r="F114" s="524" t="str">
        <f>IFERROR(__xludf.DUMMYFUNCTION("""COMPUTED_VALUE"""),"1. Login to Admin
 2. MasterData dashboard
 3. List-of-holiday
 4. Listview page
 5. clonning button")</f>
        <v>1. Login to Admin
 2. MasterData dashboard
 3. List-of-holiday
 4. Listview page
 5. clonning button</v>
      </c>
      <c r="G114" s="524" t="str">
        <f>IFERROR(__xludf.DUMMYFUNCTION("""COMPUTED_VALUE"""),"Verify status flag changes for clonned records")</f>
        <v>Verify status flag changes for clonned records</v>
      </c>
      <c r="H114" s="524" t="str">
        <f>IFERROR(__xludf.DUMMYFUNCTION("""COMPUTED_VALUE"""),"If changes status flag in one language should also change in other configured languages.")</f>
        <v>If changes status flag in one language should also change in other configured languages.</v>
      </c>
      <c r="I114" s="523" t="str">
        <f>IFERROR(__xludf.DUMMYFUNCTION("""COMPUTED_VALUE"""),"Fail")</f>
        <v>Fail</v>
      </c>
      <c r="J114" s="523" t="str">
        <f>IFERROR(__xludf.DUMMYFUNCTION("""COMPUTED_VALUE"""),"qa-double-rc2")</f>
        <v>qa-double-rc2</v>
      </c>
      <c r="K114" s="523"/>
      <c r="L114" s="523"/>
      <c r="M114" s="523"/>
      <c r="N114" s="523"/>
      <c r="O114" s="523"/>
      <c r="P114" s="523"/>
      <c r="Q114" s="523"/>
      <c r="R114" s="523"/>
      <c r="S114" s="523"/>
      <c r="T114" s="523"/>
      <c r="U114" s="523"/>
      <c r="V114" s="523"/>
      <c r="W114" s="523"/>
      <c r="X114" s="523"/>
      <c r="Y114" s="523"/>
      <c r="Z114" s="523"/>
    </row>
    <row r="115">
      <c r="A115" s="523"/>
      <c r="B115" s="524"/>
      <c r="C115" s="523" t="str">
        <f>IFERROR(__xludf.DUMMYFUNCTION("""COMPUTED_VALUE"""),"TC_Admin_272")</f>
        <v>TC_Admin_272</v>
      </c>
      <c r="D115" s="523" t="str">
        <f>IFERROR(__xludf.DUMMYFUNCTION("""COMPUTED_VALUE"""),"Functional")</f>
        <v>Functional</v>
      </c>
      <c r="E115" s="524" t="str">
        <f>IFERROR(__xludf.DUMMYFUNCTION("""COMPUTED_VALUE"""),"MasterData-Template")</f>
        <v>MasterData-Template</v>
      </c>
      <c r="F115" s="524" t="str">
        <f>IFERROR(__xludf.DUMMYFUNCTION("""COMPUTED_VALUE"""),"1. Login to Admin
 2. MasterData dashboard
 3. Template
 4. +Create
 5. SAVE")</f>
        <v>1. Login to Admin
 2. MasterData dashboard
 3. Template
 4. +Create
 5. SAVE</v>
      </c>
      <c r="G115" s="524" t="str">
        <f>IFERROR(__xludf.DUMMYFUNCTION("""COMPUTED_VALUE"""),"To verify Template creation when all mandatory fields are filled.")</f>
        <v>To verify Template creation when all mandatory fields are filled.</v>
      </c>
      <c r="H115" s="524" t="str">
        <f>IFERROR(__xludf.DUMMYFUNCTION("""COMPUTED_VALUE"""),"The system will display a confirmation message on a pop-up asking for Administrator’s confirmation with buttons ‘Confirm’ and ‘Cancel’.
 Message on pop-up window: “You are about to create a Template. Please ensure that all the information is correct. A Te"&amp;"mplate Code will be generated once you confirm”")</f>
        <v>The system will display a confirmation message on a pop-up asking for Administrator’s confirmation with buttons ‘Confirm’ and ‘Cancel’.
 Message on pop-up window: “You are about to create a Template. Please ensure that all the information is correct. A Template Code will be generated once you confirm”</v>
      </c>
      <c r="I115" s="523" t="str">
        <f>IFERROR(__xludf.DUMMYFUNCTION("""COMPUTED_VALUE"""),"Fail")</f>
        <v>Fail</v>
      </c>
      <c r="J115" s="523" t="str">
        <f>IFERROR(__xludf.DUMMYFUNCTION("""COMPUTED_VALUE"""),"qa-single-rc2
qa-double-rc2")</f>
        <v>qa-single-rc2
qa-double-rc2</v>
      </c>
      <c r="K115" s="523"/>
      <c r="L115" s="523"/>
      <c r="M115" s="523"/>
      <c r="N115" s="523"/>
      <c r="O115" s="523"/>
      <c r="P115" s="523"/>
      <c r="Q115" s="523"/>
      <c r="R115" s="523"/>
      <c r="S115" s="523"/>
      <c r="T115" s="523"/>
      <c r="U115" s="523"/>
      <c r="V115" s="523"/>
      <c r="W115" s="523"/>
      <c r="X115" s="523"/>
      <c r="Y115" s="523"/>
      <c r="Z115" s="523"/>
    </row>
    <row r="116">
      <c r="A116" s="523"/>
      <c r="B116" s="524"/>
      <c r="C116" s="523" t="str">
        <f>IFERROR(__xludf.DUMMYFUNCTION("""COMPUTED_VALUE"""),"TC_Admin_283")</f>
        <v>TC_Admin_283</v>
      </c>
      <c r="D116" s="523" t="str">
        <f>IFERROR(__xludf.DUMMYFUNCTION("""COMPUTED_VALUE"""),"Functional")</f>
        <v>Functional</v>
      </c>
      <c r="E116" s="524" t="str">
        <f>IFERROR(__xludf.DUMMYFUNCTION("""COMPUTED_VALUE"""),"MasterData-Template")</f>
        <v>MasterData-Template</v>
      </c>
      <c r="F116" s="524" t="str">
        <f>IFERROR(__xludf.DUMMYFUNCTION("""COMPUTED_VALUE"""),"1. Login to Admin
 2. MasterData dashboard
 3. Template
 4. +Create
 5. SAVE
 6. ListView page
 7. EDIT")</f>
        <v>1. Login to Admin
 2. MasterData dashboard
 3. Template
 4. +Create
 5. SAVE
 6. ListView page
 7. EDIT</v>
      </c>
      <c r="G116" s="524" t="str">
        <f>IFERROR(__xludf.DUMMYFUNCTION("""COMPUTED_VALUE"""),"To click on Save button after modifying the details under Template edit page.")</f>
        <v>To click on Save button after modifying the details under Template edit page.</v>
      </c>
      <c r="H116" s="524" t="str">
        <f>IFERROR(__xludf.DUMMYFUNCTION("""COMPUTED_VALUE"""),"The system will display a confirmation message on a pop-up asking for Administrator’s confirmation with buttons ‘Confirm’ and ‘Cancel’.
 Message on pop-up window "" “You are about to update a Template. Please ensure that all the information is correct.""")</f>
        <v>The system will display a confirmation message on a pop-up asking for Administrator’s confirmation with buttons ‘Confirm’ and ‘Cancel’.
 Message on pop-up window " “You are about to update a Template. Please ensure that all the information is correct."</v>
      </c>
      <c r="I116" s="523" t="str">
        <f>IFERROR(__xludf.DUMMYFUNCTION("""COMPUTED_VALUE"""),"Fail")</f>
        <v>Fail</v>
      </c>
      <c r="J116" s="523" t="str">
        <f>IFERROR(__xludf.DUMMYFUNCTION("""COMPUTED_VALUE"""),"qa-single-rc2
qa-double-rc2")</f>
        <v>qa-single-rc2
qa-double-rc2</v>
      </c>
      <c r="K116" s="523"/>
      <c r="L116" s="523"/>
      <c r="M116" s="523"/>
      <c r="N116" s="523"/>
      <c r="O116" s="523"/>
      <c r="P116" s="523"/>
      <c r="Q116" s="523"/>
      <c r="R116" s="523"/>
      <c r="S116" s="523"/>
      <c r="T116" s="523"/>
      <c r="U116" s="523"/>
      <c r="V116" s="523"/>
      <c r="W116" s="523"/>
      <c r="X116" s="523"/>
      <c r="Y116" s="523"/>
      <c r="Z116" s="523"/>
    </row>
    <row r="117">
      <c r="A117" s="523"/>
      <c r="B117" s="524"/>
      <c r="C117" s="523" t="str">
        <f>IFERROR(__xludf.DUMMYFUNCTION("""COMPUTED_VALUE"""),"TC_Admin_285")</f>
        <v>TC_Admin_285</v>
      </c>
      <c r="D117" s="523" t="str">
        <f>IFERROR(__xludf.DUMMYFUNCTION("""COMPUTED_VALUE"""),"Functional")</f>
        <v>Functional</v>
      </c>
      <c r="E117" s="524" t="str">
        <f>IFERROR(__xludf.DUMMYFUNCTION("""COMPUTED_VALUE"""),"MasterData-Template")</f>
        <v>MasterData-Template</v>
      </c>
      <c r="F117" s="524" t="str">
        <f>IFERROR(__xludf.DUMMYFUNCTION("""COMPUTED_VALUE"""),"1. Login to Admin
 2. MasterData dashboard
 3. Template
 4. +Create
 5. SAVE
 6. ListView page
 7. EDIT")</f>
        <v>1. Login to Admin
 2. MasterData dashboard
 3. Template
 4. +Create
 5. SAVE
 6. ListView page
 7. EDIT</v>
      </c>
      <c r="G117" s="524" t="str">
        <f>IFERROR(__xludf.DUMMYFUNCTION("""COMPUTED_VALUE"""),"Verify action when user click on CANCEL button in edit confirmation pop-up.")</f>
        <v>Verify action when user click on CANCEL button in edit confirmation pop-up.</v>
      </c>
      <c r="H117" s="524" t="str">
        <f>IFERROR(__xludf.DUMMYFUNCTION("""COMPUTED_VALUE"""),"user should land on Center type update page with pre-entered data.")</f>
        <v>user should land on Center type update page with pre-entered data.</v>
      </c>
      <c r="I117" s="523" t="str">
        <f>IFERROR(__xludf.DUMMYFUNCTION("""COMPUTED_VALUE"""),"Fail")</f>
        <v>Fail</v>
      </c>
      <c r="J117" s="523" t="str">
        <f>IFERROR(__xludf.DUMMYFUNCTION("""COMPUTED_VALUE"""),"qa-single-rc2
qa-double-rc2")</f>
        <v>qa-single-rc2
qa-double-rc2</v>
      </c>
      <c r="K117" s="523"/>
      <c r="L117" s="523"/>
      <c r="M117" s="523"/>
      <c r="N117" s="523"/>
      <c r="O117" s="523"/>
      <c r="P117" s="523"/>
      <c r="Q117" s="523"/>
      <c r="R117" s="523"/>
      <c r="S117" s="523"/>
      <c r="T117" s="523"/>
      <c r="U117" s="523"/>
      <c r="V117" s="523"/>
      <c r="W117" s="523"/>
      <c r="X117" s="523"/>
      <c r="Y117" s="523"/>
      <c r="Z117" s="523"/>
    </row>
    <row r="118">
      <c r="A118" s="523"/>
      <c r="B118" s="524"/>
      <c r="C118" s="523" t="str">
        <f>IFERROR(__xludf.DUMMYFUNCTION("""COMPUTED_VALUE"""),"TC_Admin_287")</f>
        <v>TC_Admin_287</v>
      </c>
      <c r="D118" s="523" t="str">
        <f>IFERROR(__xludf.DUMMYFUNCTION("""COMPUTED_VALUE"""),"Functional")</f>
        <v>Functional</v>
      </c>
      <c r="E118" s="524" t="str">
        <f>IFERROR(__xludf.DUMMYFUNCTION("""COMPUTED_VALUE"""),"MasterData-Template")</f>
        <v>MasterData-Template</v>
      </c>
      <c r="F118" s="524" t="str">
        <f>IFERROR(__xludf.DUMMYFUNCTION("""COMPUTED_VALUE"""),"1. Login to Admin
 2. MasterData dashboard
 3. Template
 4. +Create/ Edit")</f>
        <v>1. Login to Admin
 2. MasterData dashboard
 3. Template
 4. +Create/ Edit</v>
      </c>
      <c r="G118" s="524" t="str">
        <f>IFERROR(__xludf.DUMMYFUNCTION("""COMPUTED_VALUE"""),"User to click on other module or button to navigation somewhere else while in the Template Create page .")</f>
        <v>User to click on other module or button to navigation somewhere else while in the Template Create page .</v>
      </c>
      <c r="H118" s="524" t="str">
        <f>IFERROR(__xludf.DUMMYFUNCTION("""COMPUTED_VALUE"""),"The system should throw error as ""“Are you sure you want to navigate away from this page? Any unsaved data will be lost”"" with option as ""STAY"" anf ""Leave""")</f>
        <v>The system should throw error as "“Are you sure you want to navigate away from this page? Any unsaved data will be lost”" with option as "STAY" anf "Leave"</v>
      </c>
      <c r="I118" s="523" t="str">
        <f>IFERROR(__xludf.DUMMYFUNCTION("""COMPUTED_VALUE"""),"Fail")</f>
        <v>Fail</v>
      </c>
      <c r="J118" s="523" t="str">
        <f>IFERROR(__xludf.DUMMYFUNCTION("""COMPUTED_VALUE"""),"qa-single-rc2
qa-double-rc2")</f>
        <v>qa-single-rc2
qa-double-rc2</v>
      </c>
      <c r="K118" s="523"/>
      <c r="L118" s="523"/>
      <c r="M118" s="523"/>
      <c r="N118" s="523"/>
      <c r="O118" s="523"/>
      <c r="P118" s="523"/>
      <c r="Q118" s="523"/>
      <c r="R118" s="523"/>
      <c r="S118" s="523"/>
      <c r="T118" s="523"/>
      <c r="U118" s="523"/>
      <c r="V118" s="523"/>
      <c r="W118" s="523"/>
      <c r="X118" s="523"/>
      <c r="Y118" s="523"/>
      <c r="Z118" s="523"/>
    </row>
    <row r="119">
      <c r="A119" s="523"/>
      <c r="B119" s="524"/>
      <c r="C119" s="523" t="str">
        <f>IFERROR(__xludf.DUMMYFUNCTION("""COMPUTED_VALUE"""),"TC_Admin_288")</f>
        <v>TC_Admin_288</v>
      </c>
      <c r="D119" s="523" t="str">
        <f>IFERROR(__xludf.DUMMYFUNCTION("""COMPUTED_VALUE"""),"Functional")</f>
        <v>Functional</v>
      </c>
      <c r="E119" s="524" t="str">
        <f>IFERROR(__xludf.DUMMYFUNCTION("""COMPUTED_VALUE"""),"MasterData-Template")</f>
        <v>MasterData-Template</v>
      </c>
      <c r="F119" s="524" t="str">
        <f>IFERROR(__xludf.DUMMYFUNCTION("""COMPUTED_VALUE"""),"1. Login to Admin
 2. MasterData dashboard
 3. Template
 4. +Create/ Edit")</f>
        <v>1. Login to Admin
 2. MasterData dashboard
 3. Template
 4. +Create/ Edit</v>
      </c>
      <c r="G119" s="524" t="str">
        <f>IFERROR(__xludf.DUMMYFUNCTION("""COMPUTED_VALUE"""),"Verify functionality when user clicks on Stay button")</f>
        <v>Verify functionality when user clicks on Stay button</v>
      </c>
      <c r="H119" s="524" t="str">
        <f>IFERROR(__xludf.DUMMYFUNCTION("""COMPUTED_VALUE"""),"All the filled data should be-retained and the Administrator should be re-directed back to the pre-filled Template Create form where they can continue the action")</f>
        <v>All the filled data should be-retained and the Administrator should be re-directed back to the pre-filled Template Create form where they can continue the action</v>
      </c>
      <c r="I119" s="523" t="str">
        <f>IFERROR(__xludf.DUMMYFUNCTION("""COMPUTED_VALUE"""),"Fail")</f>
        <v>Fail</v>
      </c>
      <c r="J119" s="523" t="str">
        <f>IFERROR(__xludf.DUMMYFUNCTION("""COMPUTED_VALUE"""),"qa-single-rc2
qa-double-rc2")</f>
        <v>qa-single-rc2
qa-double-rc2</v>
      </c>
      <c r="K119" s="523"/>
      <c r="L119" s="523"/>
      <c r="M119" s="523"/>
      <c r="N119" s="523"/>
      <c r="O119" s="523"/>
      <c r="P119" s="523"/>
      <c r="Q119" s="523"/>
      <c r="R119" s="523"/>
      <c r="S119" s="523"/>
      <c r="T119" s="523"/>
      <c r="U119" s="523"/>
      <c r="V119" s="523"/>
      <c r="W119" s="523"/>
      <c r="X119" s="523"/>
      <c r="Y119" s="523"/>
      <c r="Z119" s="523"/>
    </row>
    <row r="120">
      <c r="A120" s="523"/>
      <c r="B120" s="524"/>
      <c r="C120" s="523" t="str">
        <f>IFERROR(__xludf.DUMMYFUNCTION("""COMPUTED_VALUE"""),"TC_Admin_289")</f>
        <v>TC_Admin_289</v>
      </c>
      <c r="D120" s="523" t="str">
        <f>IFERROR(__xludf.DUMMYFUNCTION("""COMPUTED_VALUE"""),"Functional")</f>
        <v>Functional</v>
      </c>
      <c r="E120" s="524" t="str">
        <f>IFERROR(__xludf.DUMMYFUNCTION("""COMPUTED_VALUE"""),"MasterData-Template")</f>
        <v>MasterData-Template</v>
      </c>
      <c r="F120" s="524" t="str">
        <f>IFERROR(__xludf.DUMMYFUNCTION("""COMPUTED_VALUE"""),"1. Login to Admin
 2. MasterData dashboard
 3. Template
 4. +Create/ Edit")</f>
        <v>1. Login to Admin
 2. MasterData dashboard
 3. Template
 4. +Create/ Edit</v>
      </c>
      <c r="G120" s="524" t="str">
        <f>IFERROR(__xludf.DUMMYFUNCTION("""COMPUTED_VALUE"""),"verify the functioanlity when user clicks on Leave button")</f>
        <v>verify the functioanlity when user clicks on Leave button</v>
      </c>
      <c r="H120" s="524" t="str">
        <f>IFERROR(__xludf.DUMMYFUNCTION("""COMPUTED_VALUE"""),"The system should not retain any data and should re-direct the Administrator to the functionality clicked upon")</f>
        <v>The system should not retain any data and should re-direct the Administrator to the functionality clicked upon</v>
      </c>
      <c r="I120" s="523" t="str">
        <f>IFERROR(__xludf.DUMMYFUNCTION("""COMPUTED_VALUE"""),"Fail")</f>
        <v>Fail</v>
      </c>
      <c r="J120" s="523" t="str">
        <f>IFERROR(__xludf.DUMMYFUNCTION("""COMPUTED_VALUE"""),"qa-single-rc2
qa-double-rc2")</f>
        <v>qa-single-rc2
qa-double-rc2</v>
      </c>
      <c r="K120" s="523"/>
      <c r="L120" s="523"/>
      <c r="M120" s="523"/>
      <c r="N120" s="523"/>
      <c r="O120" s="523"/>
      <c r="P120" s="523"/>
      <c r="Q120" s="523"/>
      <c r="R120" s="523"/>
      <c r="S120" s="523"/>
      <c r="T120" s="523"/>
      <c r="U120" s="523"/>
      <c r="V120" s="523"/>
      <c r="W120" s="523"/>
      <c r="X120" s="523"/>
      <c r="Y120" s="523"/>
      <c r="Z120" s="523"/>
    </row>
    <row r="121">
      <c r="A121" s="523"/>
      <c r="B121" s="524"/>
      <c r="C121" s="523" t="str">
        <f>IFERROR(__xludf.DUMMYFUNCTION("""COMPUTED_VALUE"""),"TC_Admin_294")</f>
        <v>TC_Admin_294</v>
      </c>
      <c r="D121" s="523" t="str">
        <f>IFERROR(__xludf.DUMMYFUNCTION("""COMPUTED_VALUE"""),"Functional")</f>
        <v>Functional</v>
      </c>
      <c r="E121" s="524" t="str">
        <f>IFERROR(__xludf.DUMMYFUNCTION("""COMPUTED_VALUE"""),"MasterData-Template")</f>
        <v>MasterData-Template</v>
      </c>
      <c r="F121" s="524" t="str">
        <f>IFERROR(__xludf.DUMMYFUNCTION("""COMPUTED_VALUE"""),"1. Login to Admin
 2. MasterData dashboard
 3. Template
 4. Listview page
 5. clonning button")</f>
        <v>1. Login to Admin
 2. MasterData dashboard
 3. Template
 4. Listview page
 5. clonning button</v>
      </c>
      <c r="G121" s="524" t="str">
        <f>IFERROR(__xludf.DUMMYFUNCTION("""COMPUTED_VALUE"""),"Verify functionality of Template clonning button")</f>
        <v>Verify functionality of Template clonning button</v>
      </c>
      <c r="H121" s="524" t="str">
        <f>IFERROR(__xludf.DUMMYFUNCTION("""COMPUTED_VALUE"""),"When user clicks on clonning button should display list records that are not available in login language, upon click on the record user should land on Center type detail view page , when all are copied to login language Template should be created successf"&amp;"ully when save button is clicked.")</f>
        <v>When user clicks on clonning button should display list records that are not available in login language, upon click on the record user should land on Center type detail view page , when all are copied to login language Template should be created successfully when save button is clicked.</v>
      </c>
      <c r="I121" s="523" t="str">
        <f>IFERROR(__xludf.DUMMYFUNCTION("""COMPUTED_VALUE"""),"Fail")</f>
        <v>Fail</v>
      </c>
      <c r="J121" s="523" t="str">
        <f>IFERROR(__xludf.DUMMYFUNCTION("""COMPUTED_VALUE"""),"qa-single-rc2
qa-double-rc2")</f>
        <v>qa-single-rc2
qa-double-rc2</v>
      </c>
      <c r="K121" s="523"/>
      <c r="L121" s="523"/>
      <c r="M121" s="523"/>
      <c r="N121" s="523"/>
      <c r="O121" s="523"/>
      <c r="P121" s="523"/>
      <c r="Q121" s="523"/>
      <c r="R121" s="523"/>
      <c r="S121" s="523"/>
      <c r="T121" s="523"/>
      <c r="U121" s="523"/>
      <c r="V121" s="523"/>
      <c r="W121" s="523"/>
      <c r="X121" s="523"/>
      <c r="Y121" s="523"/>
      <c r="Z121" s="523"/>
    </row>
    <row r="122">
      <c r="A122" s="523"/>
      <c r="B122" s="524"/>
      <c r="C122" s="523" t="str">
        <f>IFERROR(__xludf.DUMMYFUNCTION("""COMPUTED_VALUE"""),"TC_Admin_295")</f>
        <v>TC_Admin_295</v>
      </c>
      <c r="D122" s="523" t="str">
        <f>IFERROR(__xludf.DUMMYFUNCTION("""COMPUTED_VALUE"""),"Functional")</f>
        <v>Functional</v>
      </c>
      <c r="E122" s="524" t="str">
        <f>IFERROR(__xludf.DUMMYFUNCTION("""COMPUTED_VALUE"""),"MasterData-Template")</f>
        <v>MasterData-Template</v>
      </c>
      <c r="F122" s="524" t="str">
        <f>IFERROR(__xludf.DUMMYFUNCTION("""COMPUTED_VALUE"""),"1. Login to Admin
 2. MasterData dashboard
 3. Template
 4. Listview page
 5. clonning button")</f>
        <v>1. Login to Admin
 2. MasterData dashboard
 3. Template
 4. Listview page
 5. clonning button</v>
      </c>
      <c r="G122" s="524" t="str">
        <f>IFERROR(__xludf.DUMMYFUNCTION("""COMPUTED_VALUE"""),"Verify clonned record in the clonning button list again")</f>
        <v>Verify clonned record in the clonning button list again</v>
      </c>
      <c r="H122" s="524" t="str">
        <f>IFERROR(__xludf.DUMMYFUNCTION("""COMPUTED_VALUE"""),"clonned record should be removed from clonning button after successful clonning.")</f>
        <v>clonned record should be removed from clonning button after successful clonning.</v>
      </c>
      <c r="I122" s="523" t="str">
        <f>IFERROR(__xludf.DUMMYFUNCTION("""COMPUTED_VALUE"""),"Fail")</f>
        <v>Fail</v>
      </c>
      <c r="J122" s="523" t="str">
        <f>IFERROR(__xludf.DUMMYFUNCTION("""COMPUTED_VALUE"""),"qa-single-rc2
qa-double-rc2")</f>
        <v>qa-single-rc2
qa-double-rc2</v>
      </c>
      <c r="K122" s="523"/>
      <c r="L122" s="523"/>
      <c r="M122" s="523"/>
      <c r="N122" s="523"/>
      <c r="O122" s="523"/>
      <c r="P122" s="523"/>
      <c r="Q122" s="523"/>
      <c r="R122" s="523"/>
      <c r="S122" s="523"/>
      <c r="T122" s="523"/>
      <c r="U122" s="523"/>
      <c r="V122" s="523"/>
      <c r="W122" s="523"/>
      <c r="X122" s="523"/>
      <c r="Y122" s="523"/>
      <c r="Z122" s="523"/>
    </row>
    <row r="123">
      <c r="A123" s="523"/>
      <c r="B123" s="524"/>
      <c r="C123" s="523" t="str">
        <f>IFERROR(__xludf.DUMMYFUNCTION("""COMPUTED_VALUE"""),"TC_Admin_296")</f>
        <v>TC_Admin_296</v>
      </c>
      <c r="D123" s="523" t="str">
        <f>IFERROR(__xludf.DUMMYFUNCTION("""COMPUTED_VALUE"""),"Functional")</f>
        <v>Functional</v>
      </c>
      <c r="E123" s="524" t="str">
        <f>IFERROR(__xludf.DUMMYFUNCTION("""COMPUTED_VALUE"""),"MasterData-Template")</f>
        <v>MasterData-Template</v>
      </c>
      <c r="F123" s="524" t="str">
        <f>IFERROR(__xludf.DUMMYFUNCTION("""COMPUTED_VALUE"""),"1. Login to Admin
 2. MasterData dashboard
 3. Template
 4. Listview page
 5. clonning button")</f>
        <v>1. Login to Admin
 2. MasterData dashboard
 3. Template
 4. Listview page
 5. clonning button</v>
      </c>
      <c r="G123" s="524" t="str">
        <f>IFERROR(__xludf.DUMMYFUNCTION("""COMPUTED_VALUE"""),"Verify Status flag After clonning the Active record .")</f>
        <v>Verify Status flag After clonning the Active record .</v>
      </c>
      <c r="H123" s="524" t="str">
        <f>IFERROR(__xludf.DUMMYFUNCTION("""COMPUTED_VALUE"""),"Template should be clonned and status flag should be  inActive .")</f>
        <v>Template should be clonned and status flag should be  inActive .</v>
      </c>
      <c r="I123" s="523" t="str">
        <f>IFERROR(__xludf.DUMMYFUNCTION("""COMPUTED_VALUE"""),"Fail")</f>
        <v>Fail</v>
      </c>
      <c r="J123" s="523" t="str">
        <f>IFERROR(__xludf.DUMMYFUNCTION("""COMPUTED_VALUE"""),"qa-single-rc2
qa-double-rc2")</f>
        <v>qa-single-rc2
qa-double-rc2</v>
      </c>
      <c r="K123" s="523"/>
      <c r="L123" s="523"/>
      <c r="M123" s="523"/>
      <c r="N123" s="523"/>
      <c r="O123" s="523"/>
      <c r="P123" s="523"/>
      <c r="Q123" s="523"/>
      <c r="R123" s="523"/>
      <c r="S123" s="523"/>
      <c r="T123" s="523"/>
      <c r="U123" s="523"/>
      <c r="V123" s="523"/>
      <c r="W123" s="523"/>
      <c r="X123" s="523"/>
      <c r="Y123" s="523"/>
      <c r="Z123" s="523"/>
    </row>
    <row r="124">
      <c r="A124" s="523"/>
      <c r="B124" s="524"/>
      <c r="C124" s="523" t="str">
        <f>IFERROR(__xludf.DUMMYFUNCTION("""COMPUTED_VALUE"""),"TC_Admin_297")</f>
        <v>TC_Admin_297</v>
      </c>
      <c r="D124" s="523" t="str">
        <f>IFERROR(__xludf.DUMMYFUNCTION("""COMPUTED_VALUE"""),"Functional")</f>
        <v>Functional</v>
      </c>
      <c r="E124" s="524" t="str">
        <f>IFERROR(__xludf.DUMMYFUNCTION("""COMPUTED_VALUE"""),"MasterData-Template")</f>
        <v>MasterData-Template</v>
      </c>
      <c r="F124" s="524" t="str">
        <f>IFERROR(__xludf.DUMMYFUNCTION("""COMPUTED_VALUE"""),"1. Login to Admin
 2. MasterData dashboard
 3. Template
 4. Listview page
 5. clonning button")</f>
        <v>1. Login to Admin
 2. MasterData dashboard
 3. Template
 4. Listview page
 5. clonning button</v>
      </c>
      <c r="G124" s="524" t="str">
        <f>IFERROR(__xludf.DUMMYFUNCTION("""COMPUTED_VALUE"""),"Verify Status flag After clonning the Inactive record .")</f>
        <v>Verify Status flag After clonning the Inactive record .</v>
      </c>
      <c r="H124" s="524" t="str">
        <f>IFERROR(__xludf.DUMMYFUNCTION("""COMPUTED_VALUE"""),"Template should be clonned and status flag should be Deactive")</f>
        <v>Template should be clonned and status flag should be Deactive</v>
      </c>
      <c r="I124" s="523" t="str">
        <f>IFERROR(__xludf.DUMMYFUNCTION("""COMPUTED_VALUE"""),"Fail")</f>
        <v>Fail</v>
      </c>
      <c r="J124" s="523" t="str">
        <f>IFERROR(__xludf.DUMMYFUNCTION("""COMPUTED_VALUE"""),"qa-single-rc2
qa-double-rc2")</f>
        <v>qa-single-rc2
qa-double-rc2</v>
      </c>
      <c r="K124" s="523"/>
      <c r="L124" s="523"/>
      <c r="M124" s="523"/>
      <c r="N124" s="523"/>
      <c r="O124" s="523"/>
      <c r="P124" s="523"/>
      <c r="Q124" s="523"/>
      <c r="R124" s="523"/>
      <c r="S124" s="523"/>
      <c r="T124" s="523"/>
      <c r="U124" s="523"/>
      <c r="V124" s="523"/>
      <c r="W124" s="523"/>
      <c r="X124" s="523"/>
      <c r="Y124" s="523"/>
      <c r="Z124" s="523"/>
    </row>
    <row r="125">
      <c r="A125" s="523"/>
      <c r="B125" s="524"/>
      <c r="C125" s="523" t="str">
        <f>IFERROR(__xludf.DUMMYFUNCTION("""COMPUTED_VALUE"""),"TC_Admin_298")</f>
        <v>TC_Admin_298</v>
      </c>
      <c r="D125" s="523" t="str">
        <f>IFERROR(__xludf.DUMMYFUNCTION("""COMPUTED_VALUE"""),"Functional")</f>
        <v>Functional</v>
      </c>
      <c r="E125" s="524" t="str">
        <f>IFERROR(__xludf.DUMMYFUNCTION("""COMPUTED_VALUE"""),"MasterData-Template")</f>
        <v>MasterData-Template</v>
      </c>
      <c r="F125" s="524" t="str">
        <f>IFERROR(__xludf.DUMMYFUNCTION("""COMPUTED_VALUE"""),"1. Login to Admin
 2. MasterData dashboard
 3. Template
 4. Listview page
 5. clonning button")</f>
        <v>1. Login to Admin
 2. MasterData dashboard
 3. Template
 4. Listview page
 5. clonning button</v>
      </c>
      <c r="G125" s="524" t="str">
        <f>IFERROR(__xludf.DUMMYFUNCTION("""COMPUTED_VALUE"""),"Verify status flag changes for clonned records")</f>
        <v>Verify status flag changes for clonned records</v>
      </c>
      <c r="H125" s="524" t="str">
        <f>IFERROR(__xludf.DUMMYFUNCTION("""COMPUTED_VALUE"""),"If changes status flag in one language should also change in other configured languages.")</f>
        <v>If changes status flag in one language should also change in other configured languages.</v>
      </c>
      <c r="I125" s="523" t="str">
        <f>IFERROR(__xludf.DUMMYFUNCTION("""COMPUTED_VALUE"""),"Fail")</f>
        <v>Fail</v>
      </c>
      <c r="J125" s="523" t="str">
        <f>IFERROR(__xludf.DUMMYFUNCTION("""COMPUTED_VALUE"""),"qa-single-rc2
qa-double-rc2")</f>
        <v>qa-single-rc2
qa-double-rc2</v>
      </c>
      <c r="K125" s="523"/>
      <c r="L125" s="523"/>
      <c r="M125" s="523"/>
      <c r="N125" s="523"/>
      <c r="O125" s="523"/>
      <c r="P125" s="523"/>
      <c r="Q125" s="523"/>
      <c r="R125" s="523"/>
      <c r="S125" s="523"/>
      <c r="T125" s="523"/>
      <c r="U125" s="523"/>
      <c r="V125" s="523"/>
      <c r="W125" s="523"/>
      <c r="X125" s="523"/>
      <c r="Y125" s="523"/>
      <c r="Z125" s="523"/>
    </row>
    <row r="126">
      <c r="A126" s="523"/>
      <c r="B126" s="524"/>
      <c r="C126" s="523" t="str">
        <f>IFERROR(__xludf.DUMMYFUNCTION("""COMPUTED_VALUE"""),"TC_Admin_299")</f>
        <v>TC_Admin_299</v>
      </c>
      <c r="D126" s="523" t="str">
        <f>IFERROR(__xludf.DUMMYFUNCTION("""COMPUTED_VALUE"""),"Functional")</f>
        <v>Functional</v>
      </c>
      <c r="E126" s="524" t="str">
        <f>IFERROR(__xludf.DUMMYFUNCTION("""COMPUTED_VALUE"""),"MasterData-Template")</f>
        <v>MasterData-Template</v>
      </c>
      <c r="F126" s="524" t="str">
        <f>IFERROR(__xludf.DUMMYFUNCTION("""COMPUTED_VALUE"""),"1. Login to Admin
 2. MasterData dashboard
 3. Template
 4. Listview page
 5. clonning button")</f>
        <v>1. Login to Admin
 2. MasterData dashboard
 3. Template
 4. Listview page
 5. clonning button</v>
      </c>
      <c r="G126" s="524" t="str">
        <f>IFERROR(__xludf.DUMMYFUNCTION("""COMPUTED_VALUE"""),"verify editing scenario after clonning")</f>
        <v>verify editing scenario after clonning</v>
      </c>
      <c r="H126" s="524" t="str">
        <f>IFERROR(__xludf.DUMMYFUNCTION("""COMPUTED_VALUE"""),"After clonning data to arabic successfully ,If user opens the record in edit view and make changes to english data upon save user should see changes in english login")</f>
        <v>After clonning data to arabic successfully ,If user opens the record in edit view and make changes to english data upon save user should see changes in english login</v>
      </c>
      <c r="I126" s="523" t="str">
        <f>IFERROR(__xludf.DUMMYFUNCTION("""COMPUTED_VALUE"""),"Fail")</f>
        <v>Fail</v>
      </c>
      <c r="J126" s="523" t="str">
        <f>IFERROR(__xludf.DUMMYFUNCTION("""COMPUTED_VALUE"""),"qa-single-rc2
qa-double-rc2")</f>
        <v>qa-single-rc2
qa-double-rc2</v>
      </c>
      <c r="K126" s="523"/>
      <c r="L126" s="523"/>
      <c r="M126" s="523"/>
      <c r="N126" s="523"/>
      <c r="O126" s="523"/>
      <c r="P126" s="523"/>
      <c r="Q126" s="523"/>
      <c r="R126" s="523"/>
      <c r="S126" s="523"/>
      <c r="T126" s="523"/>
      <c r="U126" s="523"/>
      <c r="V126" s="523"/>
      <c r="W126" s="523"/>
      <c r="X126" s="523"/>
      <c r="Y126" s="523"/>
      <c r="Z126" s="523"/>
    </row>
    <row r="127">
      <c r="A127" s="523"/>
      <c r="B127" s="524"/>
      <c r="C127" s="523" t="str">
        <f>IFERROR(__xludf.DUMMYFUNCTION("""COMPUTED_VALUE"""),"TC_Admin_314")</f>
        <v>TC_Admin_314</v>
      </c>
      <c r="D127" s="523" t="str">
        <f>IFERROR(__xludf.DUMMYFUNCTION("""COMPUTED_VALUE"""),"Functional")</f>
        <v>Functional</v>
      </c>
      <c r="E127" s="524" t="str">
        <f>IFERROR(__xludf.DUMMYFUNCTION("""COMPUTED_VALUE"""),"MasterData-Dynamic field")</f>
        <v>MasterData-Dynamic field</v>
      </c>
      <c r="F127" s="524" t="str">
        <f>IFERROR(__xludf.DUMMYFUNCTION("""COMPUTED_VALUE"""),"1. login to Admin
 2. MasterData
 3. Dynamic field
 4. Dynamic field detail view field")</f>
        <v>1. login to Admin
 2. MasterData
 3. Dynamic field
 4. Dynamic field detail view field</v>
      </c>
      <c r="G127" s="524" t="str">
        <f>IFERROR(__xludf.DUMMYFUNCTION("""COMPUTED_VALUE"""),"verify the fields in edit mode")</f>
        <v>verify the fields in edit mode</v>
      </c>
      <c r="H127" s="524" t="str">
        <f>IFERROR(__xludf.DUMMYFUNCTION("""COMPUTED_VALUE"""),"In edit mode Name should be auto filled and same should be uneditable")</f>
        <v>In edit mode Name should be auto filled and same should be uneditable</v>
      </c>
      <c r="I127" s="523" t="str">
        <f>IFERROR(__xludf.DUMMYFUNCTION("""COMPUTED_VALUE"""),"Fail")</f>
        <v>Fail</v>
      </c>
      <c r="J127" s="523" t="str">
        <f>IFERROR(__xludf.DUMMYFUNCTION("""COMPUTED_VALUE"""),"qa-double-rc2")</f>
        <v>qa-double-rc2</v>
      </c>
      <c r="K127" s="523"/>
      <c r="L127" s="523"/>
      <c r="M127" s="523"/>
      <c r="N127" s="523"/>
      <c r="O127" s="523"/>
      <c r="P127" s="523"/>
      <c r="Q127" s="523"/>
      <c r="R127" s="523"/>
      <c r="S127" s="523"/>
      <c r="T127" s="523"/>
      <c r="U127" s="523"/>
      <c r="V127" s="523"/>
      <c r="W127" s="523"/>
      <c r="X127" s="523"/>
      <c r="Y127" s="523"/>
      <c r="Z127" s="523"/>
    </row>
    <row r="128">
      <c r="A128" s="523"/>
      <c r="B128" s="524"/>
      <c r="C128" s="523" t="str">
        <f>IFERROR(__xludf.DUMMYFUNCTION("""COMPUTED_VALUE"""),"TC_Admin_315")</f>
        <v>TC_Admin_315</v>
      </c>
      <c r="D128" s="523" t="str">
        <f>IFERROR(__xludf.DUMMYFUNCTION("""COMPUTED_VALUE"""),"Functional")</f>
        <v>Functional</v>
      </c>
      <c r="E128" s="524" t="str">
        <f>IFERROR(__xludf.DUMMYFUNCTION("""COMPUTED_VALUE"""),"MasterData-Dynamic field")</f>
        <v>MasterData-Dynamic field</v>
      </c>
      <c r="F128" s="524" t="str">
        <f>IFERROR(__xludf.DUMMYFUNCTION("""COMPUTED_VALUE"""),"1. login to Admin
 2. MasterData
 3. Dynamic field
 4. List view page")</f>
        <v>1. login to Admin
 2. MasterData
 3. Dynamic field
 4. List view page</v>
      </c>
      <c r="G128" s="524" t="str">
        <f>IFERROR(__xludf.DUMMYFUNCTION("""COMPUTED_VALUE"""),"Verify fields in filter feature")</f>
        <v>Verify fields in filter feature</v>
      </c>
      <c r="H128" s="524" t="str">
        <f>IFERROR(__xludf.DUMMYFUNCTION("""COMPUTED_VALUE"""),"Filter fields in dynamic field should be description, code, value, status")</f>
        <v>Filter fields in dynamic field should be description, code, value, status</v>
      </c>
      <c r="I128" s="523" t="str">
        <f>IFERROR(__xludf.DUMMYFUNCTION("""COMPUTED_VALUE"""),"Fail")</f>
        <v>Fail</v>
      </c>
      <c r="J128" s="523" t="str">
        <f>IFERROR(__xludf.DUMMYFUNCTION("""COMPUTED_VALUE"""),"qa-double-rc2")</f>
        <v>qa-double-rc2</v>
      </c>
      <c r="K128" s="523"/>
      <c r="L128" s="523"/>
      <c r="M128" s="523"/>
      <c r="N128" s="523"/>
      <c r="O128" s="523"/>
      <c r="P128" s="523"/>
      <c r="Q128" s="523"/>
      <c r="R128" s="523"/>
      <c r="S128" s="523"/>
      <c r="T128" s="523"/>
      <c r="U128" s="523"/>
      <c r="V128" s="523"/>
      <c r="W128" s="523"/>
      <c r="X128" s="523"/>
      <c r="Y128" s="523"/>
      <c r="Z128" s="523"/>
    </row>
    <row r="129">
      <c r="A129" s="523"/>
      <c r="B129" s="524"/>
      <c r="C129" s="523" t="str">
        <f>IFERROR(__xludf.DUMMYFUNCTION("""COMPUTED_VALUE"""),"TC_Admin_318")</f>
        <v>TC_Admin_318</v>
      </c>
      <c r="D129" s="523" t="str">
        <f>IFERROR(__xludf.DUMMYFUNCTION("""COMPUTED_VALUE"""),"Functional")</f>
        <v>Functional</v>
      </c>
      <c r="E129" s="524" t="str">
        <f>IFERROR(__xludf.DUMMYFUNCTION("""COMPUTED_VALUE"""),"MasterData-Dynamic field")</f>
        <v>MasterData-Dynamic field</v>
      </c>
      <c r="F129" s="524" t="str">
        <f>IFERROR(__xludf.DUMMYFUNCTION("""COMPUTED_VALUE"""),"1. login to Admin
 2. MasterData
 3. Dynamic field
 4. Dynamic field detail view field")</f>
        <v>1. login to Admin
 2. MasterData
 3. Dynamic field
 4. Dynamic field detail view field</v>
      </c>
      <c r="G129" s="524" t="str">
        <f>IFERROR(__xludf.DUMMYFUNCTION("""COMPUTED_VALUE"""),"Verify description in dynamic field")</f>
        <v>Verify description in dynamic field</v>
      </c>
      <c r="H129" s="524" t="str">
        <f>IFERROR(__xludf.DUMMYFUNCTION("""COMPUTED_VALUE"""),"The dynamic field Name should not be an editable field, Description is editable provided if changed then same is applied to all other descriptions for that dynamic field.")</f>
        <v>The dynamic field Name should not be an editable field, Description is editable provided if changed then same is applied to all other descriptions for that dynamic field.</v>
      </c>
      <c r="I129" s="523" t="str">
        <f>IFERROR(__xludf.DUMMYFUNCTION("""COMPUTED_VALUE"""),"Fail")</f>
        <v>Fail</v>
      </c>
      <c r="J129" s="523" t="str">
        <f>IFERROR(__xludf.DUMMYFUNCTION("""COMPUTED_VALUE"""),"qa-double-rc2")</f>
        <v>qa-double-rc2</v>
      </c>
      <c r="K129" s="523"/>
      <c r="L129" s="523"/>
      <c r="M129" s="523"/>
      <c r="N129" s="523"/>
      <c r="O129" s="523"/>
      <c r="P129" s="523"/>
      <c r="Q129" s="523"/>
      <c r="R129" s="523"/>
      <c r="S129" s="523"/>
      <c r="T129" s="523"/>
      <c r="U129" s="523"/>
      <c r="V129" s="523"/>
      <c r="W129" s="523"/>
      <c r="X129" s="523"/>
      <c r="Y129" s="523"/>
      <c r="Z129" s="523"/>
    </row>
    <row r="130">
      <c r="A130" s="523"/>
      <c r="B130" s="524"/>
      <c r="C130" s="523" t="str">
        <f>IFERROR(__xludf.DUMMYFUNCTION("""COMPUTED_VALUE"""),"TC_Admin_349")</f>
        <v>TC_Admin_349</v>
      </c>
      <c r="D130" s="523" t="str">
        <f>IFERROR(__xludf.DUMMYFUNCTION("""COMPUTED_VALUE"""),"Functional")</f>
        <v>Functional</v>
      </c>
      <c r="E130" s="524" t="str">
        <f>IFERROR(__xludf.DUMMYFUNCTION("""COMPUTED_VALUE"""),"MasterData-Device Type")</f>
        <v>MasterData-Device Type</v>
      </c>
      <c r="F130" s="524" t="str">
        <f>IFERROR(__xludf.DUMMYFUNCTION("""COMPUTED_VALUE"""),"1. Login to Admin
 2. MasterData dashboard
 3. Device Type
 4. +Create/ Edit")</f>
        <v>1. Login to Admin
 2. MasterData dashboard
 3. Device Type
 4. +Create/ Edit</v>
      </c>
      <c r="G130" s="524" t="str">
        <f>IFERROR(__xludf.DUMMYFUNCTION("""COMPUTED_VALUE"""),"Check if mapping is getting removed when we deactivate device type")</f>
        <v>Check if mapping is getting removed when we deactivate device type</v>
      </c>
      <c r="H130" s="524" t="str">
        <f>IFERROR(__xludf.DUMMYFUNCTION("""COMPUTED_VALUE"""),"Mapping with device specification should be retained even after deactivating the Device type ")</f>
        <v>Mapping with device specification should be retained even after deactivating the Device type </v>
      </c>
      <c r="I130" s="523" t="str">
        <f>IFERROR(__xludf.DUMMYFUNCTION("""COMPUTED_VALUE"""),"Fail")</f>
        <v>Fail</v>
      </c>
      <c r="J130" s="523" t="str">
        <f>IFERROR(__xludf.DUMMYFUNCTION("""COMPUTED_VALUE"""),"qa-double-rc2")</f>
        <v>qa-double-rc2</v>
      </c>
      <c r="K130" s="523"/>
      <c r="L130" s="523"/>
      <c r="M130" s="523"/>
      <c r="N130" s="523"/>
      <c r="O130" s="523"/>
      <c r="P130" s="523"/>
      <c r="Q130" s="523"/>
      <c r="R130" s="523"/>
      <c r="S130" s="523"/>
      <c r="T130" s="523"/>
      <c r="U130" s="523"/>
      <c r="V130" s="523"/>
      <c r="W130" s="523"/>
      <c r="X130" s="523"/>
      <c r="Y130" s="523"/>
      <c r="Z130" s="523"/>
    </row>
    <row r="131">
      <c r="A131" s="523"/>
      <c r="B131" s="524"/>
      <c r="C131" s="523" t="str">
        <f>IFERROR(__xludf.DUMMYFUNCTION("""COMPUTED_VALUE"""),"TC_Admin_459")</f>
        <v>TC_Admin_459</v>
      </c>
      <c r="D131" s="523" t="str">
        <f>IFERROR(__xludf.DUMMYFUNCTION("""COMPUTED_VALUE"""),"Functional")</f>
        <v>Functional</v>
      </c>
      <c r="E131" s="524" t="str">
        <f>IFERROR(__xludf.DUMMYFUNCTION("""COMPUTED_VALUE"""),"MasterData-Document type")</f>
        <v>MasterData-Document type</v>
      </c>
      <c r="F131" s="524" t="str">
        <f>IFERROR(__xludf.DUMMYFUNCTION("""COMPUTED_VALUE"""),"1. Login to Admin
 2. MasterData dashboard
 3. Document type
 4. +Create
 5. SAVE")</f>
        <v>1. Login to Admin
 2. MasterData dashboard
 3. Document type
 4. +Create
 5. SAVE</v>
      </c>
      <c r="G131" s="524" t="str">
        <f>IFERROR(__xludf.DUMMYFUNCTION("""COMPUTED_VALUE"""),"To verify Document type creation when all mandatory fields are filled.")</f>
        <v>To verify Document type creation when all mandatory fields are filled.</v>
      </c>
      <c r="H131" s="524" t="str">
        <f>IFERROR(__xludf.DUMMYFUNCTION("""COMPUTED_VALUE"""),"The system will display a confirmation message on a pop-up asking for Administrator’s confirmation with buttons ‘Confirm’ and ‘Cancel’.
 Message on pop-up window: “You are about to create a Document type. Please ensure that all the information is correct."&amp;" A Document type Code will be generated once you confirm”")</f>
        <v>The system will display a confirmation message on a pop-up asking for Administrator’s confirmation with buttons ‘Confirm’ and ‘Cancel’.
 Message on pop-up window: “You are about to create a Document type. Please ensure that all the information is correct. A Document type Code will be generated once you confirm”</v>
      </c>
      <c r="I131" s="523" t="str">
        <f>IFERROR(__xludf.DUMMYFUNCTION("""COMPUTED_VALUE"""),"Fail")</f>
        <v>Fail</v>
      </c>
      <c r="J131" s="523" t="str">
        <f>IFERROR(__xludf.DUMMYFUNCTION("""COMPUTED_VALUE"""),"qa-triple-rc2")</f>
        <v>qa-triple-rc2</v>
      </c>
      <c r="K131" s="523"/>
      <c r="L131" s="523"/>
      <c r="M131" s="523"/>
      <c r="N131" s="523"/>
      <c r="O131" s="523"/>
      <c r="P131" s="523"/>
      <c r="Q131" s="523"/>
      <c r="R131" s="523"/>
      <c r="S131" s="523"/>
      <c r="T131" s="523"/>
      <c r="U131" s="523"/>
      <c r="V131" s="523"/>
      <c r="W131" s="523"/>
      <c r="X131" s="523"/>
      <c r="Y131" s="523"/>
      <c r="Z131" s="523"/>
    </row>
    <row r="132">
      <c r="A132" s="523"/>
      <c r="B132" s="524"/>
      <c r="C132" s="523" t="str">
        <f>IFERROR(__xludf.DUMMYFUNCTION("""COMPUTED_VALUE"""),"TC_Admin_472")</f>
        <v>TC_Admin_472</v>
      </c>
      <c r="D132" s="523" t="str">
        <f>IFERROR(__xludf.DUMMYFUNCTION("""COMPUTED_VALUE"""),"Functional")</f>
        <v>Functional</v>
      </c>
      <c r="E132" s="524" t="str">
        <f>IFERROR(__xludf.DUMMYFUNCTION("""COMPUTED_VALUE"""),"MasterData-Document type")</f>
        <v>MasterData-Document type</v>
      </c>
      <c r="F132" s="524" t="str">
        <f>IFERROR(__xludf.DUMMYFUNCTION("""COMPUTED_VALUE"""),"1. Login to Admin
 2. MasterData dashboard
 3. Document type
 4. +Create
 5. SAVE
 6. ListView page
 7. EDIT")</f>
        <v>1. Login to Admin
 2. MasterData dashboard
 3. Document type
 4. +Create
 5. SAVE
 6. ListView page
 7. EDIT</v>
      </c>
      <c r="G132" s="524" t="str">
        <f>IFERROR(__xludf.DUMMYFUNCTION("""COMPUTED_VALUE"""),"To click on Save button after modifying the details under Document type edit page.")</f>
        <v>To click on Save button after modifying the details under Document type edit page.</v>
      </c>
      <c r="H132" s="524" t="str">
        <f>IFERROR(__xludf.DUMMYFUNCTION("""COMPUTED_VALUE"""),"The system will display a confirmation message on a pop-up asking for Administrator’s confirmation with buttons ‘Confirm’ and ‘Cancel’.
 Message on pop-up window "" “You are about to update a Document type. Please ensure that all the information is correc"&amp;"t.""")</f>
        <v>The system will display a confirmation message on a pop-up asking for Administrator’s confirmation with buttons ‘Confirm’ and ‘Cancel’.
 Message on pop-up window " “You are about to update a Document type. Please ensure that all the information is correct."</v>
      </c>
      <c r="I132" s="523" t="str">
        <f>IFERROR(__xludf.DUMMYFUNCTION("""COMPUTED_VALUE"""),"Fail")</f>
        <v>Fail</v>
      </c>
      <c r="J132" s="523" t="str">
        <f>IFERROR(__xludf.DUMMYFUNCTION("""COMPUTED_VALUE"""),"qa-triple-rc2")</f>
        <v>qa-triple-rc2</v>
      </c>
      <c r="K132" s="523"/>
      <c r="L132" s="523"/>
      <c r="M132" s="523"/>
      <c r="N132" s="523"/>
      <c r="O132" s="523"/>
      <c r="P132" s="523"/>
      <c r="Q132" s="523"/>
      <c r="R132" s="523"/>
      <c r="S132" s="523"/>
      <c r="T132" s="523"/>
      <c r="U132" s="523"/>
      <c r="V132" s="523"/>
      <c r="W132" s="523"/>
      <c r="X132" s="523"/>
      <c r="Y132" s="523"/>
      <c r="Z132" s="523"/>
    </row>
    <row r="133">
      <c r="A133" s="523"/>
      <c r="B133" s="524"/>
      <c r="C133" s="523" t="str">
        <f>IFERROR(__xludf.DUMMYFUNCTION("""COMPUTED_VALUE"""),"TC_Admin_474")</f>
        <v>TC_Admin_474</v>
      </c>
      <c r="D133" s="523" t="str">
        <f>IFERROR(__xludf.DUMMYFUNCTION("""COMPUTED_VALUE"""),"Functional")</f>
        <v>Functional</v>
      </c>
      <c r="E133" s="524" t="str">
        <f>IFERROR(__xludf.DUMMYFUNCTION("""COMPUTED_VALUE"""),"MasterData-Document type")</f>
        <v>MasterData-Document type</v>
      </c>
      <c r="F133" s="524" t="str">
        <f>IFERROR(__xludf.DUMMYFUNCTION("""COMPUTED_VALUE"""),"1. Login to Admin
 2. MasterData dashboard
 3. Document type
 4. +Create
 5. SAVE
 6. ListView page
 7. EDIT")</f>
        <v>1. Login to Admin
 2. MasterData dashboard
 3. Document type
 4. +Create
 5. SAVE
 6. ListView page
 7. EDIT</v>
      </c>
      <c r="G133" s="524" t="str">
        <f>IFERROR(__xludf.DUMMYFUNCTION("""COMPUTED_VALUE"""),"Verify action when user click on CANCEL button in edit confirmation pop-up.")</f>
        <v>Verify action when user click on CANCEL button in edit confirmation pop-up.</v>
      </c>
      <c r="H133" s="524" t="str">
        <f>IFERROR(__xludf.DUMMYFUNCTION("""COMPUTED_VALUE"""),"user should land on Document type update page with pre-entered data.")</f>
        <v>user should land on Document type update page with pre-entered data.</v>
      </c>
      <c r="I133" s="523" t="str">
        <f>IFERROR(__xludf.DUMMYFUNCTION("""COMPUTED_VALUE"""),"Fail")</f>
        <v>Fail</v>
      </c>
      <c r="J133" s="523" t="str">
        <f>IFERROR(__xludf.DUMMYFUNCTION("""COMPUTED_VALUE"""),"qa-triple-rc2")</f>
        <v>qa-triple-rc2</v>
      </c>
      <c r="K133" s="523"/>
      <c r="L133" s="523"/>
      <c r="M133" s="523"/>
      <c r="N133" s="523"/>
      <c r="O133" s="523"/>
      <c r="P133" s="523"/>
      <c r="Q133" s="523"/>
      <c r="R133" s="523"/>
      <c r="S133" s="523"/>
      <c r="T133" s="523"/>
      <c r="U133" s="523"/>
      <c r="V133" s="523"/>
      <c r="W133" s="523"/>
      <c r="X133" s="523"/>
      <c r="Y133" s="523"/>
      <c r="Z133" s="523"/>
    </row>
    <row r="134">
      <c r="A134" s="523"/>
      <c r="B134" s="524"/>
      <c r="C134" s="523" t="str">
        <f>IFERROR(__xludf.DUMMYFUNCTION("""COMPUTED_VALUE"""),"TC_Admin_476")</f>
        <v>TC_Admin_476</v>
      </c>
      <c r="D134" s="523" t="str">
        <f>IFERROR(__xludf.DUMMYFUNCTION("""COMPUTED_VALUE"""),"Functional")</f>
        <v>Functional</v>
      </c>
      <c r="E134" s="524" t="str">
        <f>IFERROR(__xludf.DUMMYFUNCTION("""COMPUTED_VALUE"""),"MasterData-Document type")</f>
        <v>MasterData-Document type</v>
      </c>
      <c r="F134" s="524" t="str">
        <f>IFERROR(__xludf.DUMMYFUNCTION("""COMPUTED_VALUE"""),"1. Login to Admin
 2. MasterData dashboard
 3. Document type
 4. +Create/ Edit")</f>
        <v>1. Login to Admin
 2. MasterData dashboard
 3. Document type
 4. +Create/ Edit</v>
      </c>
      <c r="G134" s="524" t="str">
        <f>IFERROR(__xludf.DUMMYFUNCTION("""COMPUTED_VALUE"""),"User to click on other module or button to navigation somewhere else while in the Document type Create page .")</f>
        <v>User to click on other module or button to navigation somewhere else while in the Document type Create page .</v>
      </c>
      <c r="H134" s="524" t="str">
        <f>IFERROR(__xludf.DUMMYFUNCTION("""COMPUTED_VALUE"""),"The system should throw error as ""“Are you sure you want to navigate away from this page? Any unsaved data will be lost”"" with option as ""STAY"" anf ""Leave""")</f>
        <v>The system should throw error as "“Are you sure you want to navigate away from this page? Any unsaved data will be lost”" with option as "STAY" anf "Leave"</v>
      </c>
      <c r="I134" s="523" t="str">
        <f>IFERROR(__xludf.DUMMYFUNCTION("""COMPUTED_VALUE"""),"Fail")</f>
        <v>Fail</v>
      </c>
      <c r="J134" s="523" t="str">
        <f>IFERROR(__xludf.DUMMYFUNCTION("""COMPUTED_VALUE"""),"qa-triple-rc2")</f>
        <v>qa-triple-rc2</v>
      </c>
      <c r="K134" s="523"/>
      <c r="L134" s="523"/>
      <c r="M134" s="523"/>
      <c r="N134" s="523"/>
      <c r="O134" s="523"/>
      <c r="P134" s="523"/>
      <c r="Q134" s="523"/>
      <c r="R134" s="523"/>
      <c r="S134" s="523"/>
      <c r="T134" s="523"/>
      <c r="U134" s="523"/>
      <c r="V134" s="523"/>
      <c r="W134" s="523"/>
      <c r="X134" s="523"/>
      <c r="Y134" s="523"/>
      <c r="Z134" s="523"/>
    </row>
    <row r="135">
      <c r="A135" s="523"/>
      <c r="B135" s="524"/>
      <c r="C135" s="523" t="str">
        <f>IFERROR(__xludf.DUMMYFUNCTION("""COMPUTED_VALUE"""),"TC_Admin_477")</f>
        <v>TC_Admin_477</v>
      </c>
      <c r="D135" s="523" t="str">
        <f>IFERROR(__xludf.DUMMYFUNCTION("""COMPUTED_VALUE"""),"Functional")</f>
        <v>Functional</v>
      </c>
      <c r="E135" s="524" t="str">
        <f>IFERROR(__xludf.DUMMYFUNCTION("""COMPUTED_VALUE"""),"MasterData-Document type")</f>
        <v>MasterData-Document type</v>
      </c>
      <c r="F135" s="524" t="str">
        <f>IFERROR(__xludf.DUMMYFUNCTION("""COMPUTED_VALUE"""),"1. Login to Admin
 2. MasterData dashboard
 3. Document type
 4. +Create/ Edit")</f>
        <v>1. Login to Admin
 2. MasterData dashboard
 3. Document type
 4. +Create/ Edit</v>
      </c>
      <c r="G135" s="524" t="str">
        <f>IFERROR(__xludf.DUMMYFUNCTION("""COMPUTED_VALUE"""),"Verify functionality when user clicks on Stay button")</f>
        <v>Verify functionality when user clicks on Stay button</v>
      </c>
      <c r="H135" s="524" t="str">
        <f>IFERROR(__xludf.DUMMYFUNCTION("""COMPUTED_VALUE"""),"All the filled data should be-retained and the Administrator should be re-directed back to the pre-filled Document type Create form where they can continue the action")</f>
        <v>All the filled data should be-retained and the Administrator should be re-directed back to the pre-filled Document type Create form where they can continue the action</v>
      </c>
      <c r="I135" s="523" t="str">
        <f>IFERROR(__xludf.DUMMYFUNCTION("""COMPUTED_VALUE"""),"Fail")</f>
        <v>Fail</v>
      </c>
      <c r="J135" s="523" t="str">
        <f>IFERROR(__xludf.DUMMYFUNCTION("""COMPUTED_VALUE"""),"qa-triple-rc2")</f>
        <v>qa-triple-rc2</v>
      </c>
      <c r="K135" s="523"/>
      <c r="L135" s="523"/>
      <c r="M135" s="523"/>
      <c r="N135" s="523"/>
      <c r="O135" s="523"/>
      <c r="P135" s="523"/>
      <c r="Q135" s="523"/>
      <c r="R135" s="523"/>
      <c r="S135" s="523"/>
      <c r="T135" s="523"/>
      <c r="U135" s="523"/>
      <c r="V135" s="523"/>
      <c r="W135" s="523"/>
      <c r="X135" s="523"/>
      <c r="Y135" s="523"/>
      <c r="Z135" s="523"/>
    </row>
    <row r="136">
      <c r="A136" s="523"/>
      <c r="B136" s="524"/>
      <c r="C136" s="523" t="str">
        <f>IFERROR(__xludf.DUMMYFUNCTION("""COMPUTED_VALUE"""),"TC_Admin_478")</f>
        <v>TC_Admin_478</v>
      </c>
      <c r="D136" s="523" t="str">
        <f>IFERROR(__xludf.DUMMYFUNCTION("""COMPUTED_VALUE"""),"Functional")</f>
        <v>Functional</v>
      </c>
      <c r="E136" s="524" t="str">
        <f>IFERROR(__xludf.DUMMYFUNCTION("""COMPUTED_VALUE"""),"MasterData-Document type")</f>
        <v>MasterData-Document type</v>
      </c>
      <c r="F136" s="524" t="str">
        <f>IFERROR(__xludf.DUMMYFUNCTION("""COMPUTED_VALUE"""),"1. Login to Admin
 2. MasterData dashboard
 3. Document type
 4. +Create/ Edit")</f>
        <v>1. Login to Admin
 2. MasterData dashboard
 3. Document type
 4. +Create/ Edit</v>
      </c>
      <c r="G136" s="524" t="str">
        <f>IFERROR(__xludf.DUMMYFUNCTION("""COMPUTED_VALUE"""),"verify the functioanlity when user clicks on Leave button")</f>
        <v>verify the functioanlity when user clicks on Leave button</v>
      </c>
      <c r="H136" s="524" t="str">
        <f>IFERROR(__xludf.DUMMYFUNCTION("""COMPUTED_VALUE"""),"The system should not retain any data and should re-direct the Administrator to the functionality clicked upon")</f>
        <v>The system should not retain any data and should re-direct the Administrator to the functionality clicked upon</v>
      </c>
      <c r="I136" s="523" t="str">
        <f>IFERROR(__xludf.DUMMYFUNCTION("""COMPUTED_VALUE"""),"Fail")</f>
        <v>Fail</v>
      </c>
      <c r="J136" s="523" t="str">
        <f>IFERROR(__xludf.DUMMYFUNCTION("""COMPUTED_VALUE"""),"qa-triple-rc2")</f>
        <v>qa-triple-rc2</v>
      </c>
      <c r="K136" s="523"/>
      <c r="L136" s="523"/>
      <c r="M136" s="523"/>
      <c r="N136" s="523"/>
      <c r="O136" s="523"/>
      <c r="P136" s="523"/>
      <c r="Q136" s="523"/>
      <c r="R136" s="523"/>
      <c r="S136" s="523"/>
      <c r="T136" s="523"/>
      <c r="U136" s="523"/>
      <c r="V136" s="523"/>
      <c r="W136" s="523"/>
      <c r="X136" s="523"/>
      <c r="Y136" s="523"/>
      <c r="Z136" s="523"/>
    </row>
    <row r="137">
      <c r="A137" s="523"/>
      <c r="B137" s="524"/>
      <c r="C137" s="523" t="str">
        <f>IFERROR(__xludf.DUMMYFUNCTION("""COMPUTED_VALUE"""),"TC_Admin_501")</f>
        <v>TC_Admin_501</v>
      </c>
      <c r="D137" s="523" t="str">
        <f>IFERROR(__xludf.DUMMYFUNCTION("""COMPUTED_VALUE"""),"Functional")</f>
        <v>Functional</v>
      </c>
      <c r="E137" s="524" t="str">
        <f>IFERROR(__xludf.DUMMYFUNCTION("""COMPUTED_VALUE"""),"MasterData-Document Category")</f>
        <v>MasterData-Document Category</v>
      </c>
      <c r="F137" s="524" t="str">
        <f>IFERROR(__xludf.DUMMYFUNCTION("""COMPUTED_VALUE"""),"1. Login to Admin
 2. MasterData dashboard
 3. Document Category
 4. +Create
 5. SAVE")</f>
        <v>1. Login to Admin
 2. MasterData dashboard
 3. Document Category
 4. +Create
 5. SAVE</v>
      </c>
      <c r="G137" s="524" t="str">
        <f>IFERROR(__xludf.DUMMYFUNCTION("""COMPUTED_VALUE"""),"To verify Document Category creation when all mandatory fields are filled.")</f>
        <v>To verify Document Category creation when all mandatory fields are filled.</v>
      </c>
      <c r="H137" s="524" t="str">
        <f>IFERROR(__xludf.DUMMYFUNCTION("""COMPUTED_VALUE"""),"The system will display a confirmation message on a pop-up asking for Administrator’s confirmation with buttons ‘Confirm’ and ‘Cancel’.
 Message on pop-up window: “You are about to create a Document Category. Please ensure that all the information is corr"&amp;"ect. A Document Category Code will be generated once you confirm”")</f>
        <v>The system will display a confirmation message on a pop-up asking for Administrator’s confirmation with buttons ‘Confirm’ and ‘Cancel’.
 Message on pop-up window: “You are about to create a Document Category. Please ensure that all the information is correct. A Document Category Code will be generated once you confirm”</v>
      </c>
      <c r="I137" s="523" t="str">
        <f>IFERROR(__xludf.DUMMYFUNCTION("""COMPUTED_VALUE"""),"Fail")</f>
        <v>Fail</v>
      </c>
      <c r="J137" s="523" t="str">
        <f>IFERROR(__xludf.DUMMYFUNCTION("""COMPUTED_VALUE"""),"qa-triple-rc2")</f>
        <v>qa-triple-rc2</v>
      </c>
      <c r="K137" s="523"/>
      <c r="L137" s="523"/>
      <c r="M137" s="523"/>
      <c r="N137" s="523"/>
      <c r="O137" s="523"/>
      <c r="P137" s="523"/>
      <c r="Q137" s="523"/>
      <c r="R137" s="523"/>
      <c r="S137" s="523"/>
      <c r="T137" s="523"/>
      <c r="U137" s="523"/>
      <c r="V137" s="523"/>
      <c r="W137" s="523"/>
      <c r="X137" s="523"/>
      <c r="Y137" s="523"/>
      <c r="Z137" s="523"/>
    </row>
    <row r="138">
      <c r="A138" s="523"/>
      <c r="B138" s="524"/>
      <c r="C138" s="523" t="str">
        <f>IFERROR(__xludf.DUMMYFUNCTION("""COMPUTED_VALUE"""),"TC_Admin_518")</f>
        <v>TC_Admin_518</v>
      </c>
      <c r="D138" s="523" t="str">
        <f>IFERROR(__xludf.DUMMYFUNCTION("""COMPUTED_VALUE"""),"Functional")</f>
        <v>Functional</v>
      </c>
      <c r="E138" s="524" t="str">
        <f>IFERROR(__xludf.DUMMYFUNCTION("""COMPUTED_VALUE"""),"MasterData-Document Category")</f>
        <v>MasterData-Document Category</v>
      </c>
      <c r="F138" s="524" t="str">
        <f>IFERROR(__xludf.DUMMYFUNCTION("""COMPUTED_VALUE"""),"1. Login to Admin
 2. MasterData dashboard
 3. Document Category
 4. +Create/ Edit")</f>
        <v>1. Login to Admin
 2. MasterData dashboard
 3. Document Category
 4. +Create/ Edit</v>
      </c>
      <c r="G138" s="524" t="str">
        <f>IFERROR(__xludf.DUMMYFUNCTION("""COMPUTED_VALUE"""),"User to click on other module or button to navigation somewhere else while in the Document Category Create page .")</f>
        <v>User to click on other module or button to navigation somewhere else while in the Document Category Create page .</v>
      </c>
      <c r="H138" s="524" t="str">
        <f>IFERROR(__xludf.DUMMYFUNCTION("""COMPUTED_VALUE"""),"The system should throw error as ""“Are you sure you want to navigate away from this page? Any unsaved data will be lost”"" with option as ""STAY"" anf ""Leave""")</f>
        <v>The system should throw error as "“Are you sure you want to navigate away from this page? Any unsaved data will be lost”" with option as "STAY" anf "Leave"</v>
      </c>
      <c r="I138" s="523" t="str">
        <f>IFERROR(__xludf.DUMMYFUNCTION("""COMPUTED_VALUE"""),"Fail")</f>
        <v>Fail</v>
      </c>
      <c r="J138" s="523" t="str">
        <f>IFERROR(__xludf.DUMMYFUNCTION("""COMPUTED_VALUE"""),"qa-triple-rc2")</f>
        <v>qa-triple-rc2</v>
      </c>
      <c r="K138" s="523"/>
      <c r="L138" s="523"/>
      <c r="M138" s="523"/>
      <c r="N138" s="523"/>
      <c r="O138" s="523"/>
      <c r="P138" s="523"/>
      <c r="Q138" s="523"/>
      <c r="R138" s="523"/>
      <c r="S138" s="523"/>
      <c r="T138" s="523"/>
      <c r="U138" s="523"/>
      <c r="V138" s="523"/>
      <c r="W138" s="523"/>
      <c r="X138" s="523"/>
      <c r="Y138" s="523"/>
      <c r="Z138" s="523"/>
    </row>
    <row r="139">
      <c r="A139" s="523"/>
      <c r="B139" s="524"/>
      <c r="C139" s="523" t="str">
        <f>IFERROR(__xludf.DUMMYFUNCTION("""COMPUTED_VALUE"""),"TC_Admin_519")</f>
        <v>TC_Admin_519</v>
      </c>
      <c r="D139" s="523" t="str">
        <f>IFERROR(__xludf.DUMMYFUNCTION("""COMPUTED_VALUE"""),"Functional")</f>
        <v>Functional</v>
      </c>
      <c r="E139" s="524" t="str">
        <f>IFERROR(__xludf.DUMMYFUNCTION("""COMPUTED_VALUE"""),"MasterData-Document Category")</f>
        <v>MasterData-Document Category</v>
      </c>
      <c r="F139" s="524" t="str">
        <f>IFERROR(__xludf.DUMMYFUNCTION("""COMPUTED_VALUE"""),"1. Login to Admin
 2. MasterData dashboard
 3. Document Category
 4. +Create/ Edit")</f>
        <v>1. Login to Admin
 2. MasterData dashboard
 3. Document Category
 4. +Create/ Edit</v>
      </c>
      <c r="G139" s="524" t="str">
        <f>IFERROR(__xludf.DUMMYFUNCTION("""COMPUTED_VALUE"""),"Verify functionality when user clicks on Stay button")</f>
        <v>Verify functionality when user clicks on Stay button</v>
      </c>
      <c r="H139" s="524" t="str">
        <f>IFERROR(__xludf.DUMMYFUNCTION("""COMPUTED_VALUE"""),"All the filled data should be-retained and the Administrator should be re-directed back to the pre-filled Document Category Create form where they can continue the action")</f>
        <v>All the filled data should be-retained and the Administrator should be re-directed back to the pre-filled Document Category Create form where they can continue the action</v>
      </c>
      <c r="I139" s="523" t="str">
        <f>IFERROR(__xludf.DUMMYFUNCTION("""COMPUTED_VALUE"""),"Fail")</f>
        <v>Fail</v>
      </c>
      <c r="J139" s="523" t="str">
        <f>IFERROR(__xludf.DUMMYFUNCTION("""COMPUTED_VALUE"""),"qa-triple-rc2")</f>
        <v>qa-triple-rc2</v>
      </c>
      <c r="K139" s="523"/>
      <c r="L139" s="523"/>
      <c r="M139" s="523"/>
      <c r="N139" s="523"/>
      <c r="O139" s="523"/>
      <c r="P139" s="523"/>
      <c r="Q139" s="523"/>
      <c r="R139" s="523"/>
      <c r="S139" s="523"/>
      <c r="T139" s="523"/>
      <c r="U139" s="523"/>
      <c r="V139" s="523"/>
      <c r="W139" s="523"/>
      <c r="X139" s="523"/>
      <c r="Y139" s="523"/>
      <c r="Z139" s="523"/>
    </row>
    <row r="140">
      <c r="A140" s="523"/>
      <c r="B140" s="524"/>
      <c r="C140" s="523" t="str">
        <f>IFERROR(__xludf.DUMMYFUNCTION("""COMPUTED_VALUE"""),"TC_Admin_520")</f>
        <v>TC_Admin_520</v>
      </c>
      <c r="D140" s="523" t="str">
        <f>IFERROR(__xludf.DUMMYFUNCTION("""COMPUTED_VALUE"""),"Functional")</f>
        <v>Functional</v>
      </c>
      <c r="E140" s="524" t="str">
        <f>IFERROR(__xludf.DUMMYFUNCTION("""COMPUTED_VALUE"""),"MasterData-Document Category")</f>
        <v>MasterData-Document Category</v>
      </c>
      <c r="F140" s="524" t="str">
        <f>IFERROR(__xludf.DUMMYFUNCTION("""COMPUTED_VALUE"""),"1. Login to Admin
 2. MasterData dashboard
 3. Document Category
 4. +Create/ Edit")</f>
        <v>1. Login to Admin
 2. MasterData dashboard
 3. Document Category
 4. +Create/ Edit</v>
      </c>
      <c r="G140" s="524" t="str">
        <f>IFERROR(__xludf.DUMMYFUNCTION("""COMPUTED_VALUE"""),"verify the functioanlity when user clicks on Leave button")</f>
        <v>verify the functioanlity when user clicks on Leave button</v>
      </c>
      <c r="H140" s="524" t="str">
        <f>IFERROR(__xludf.DUMMYFUNCTION("""COMPUTED_VALUE"""),"The system should not retain any data and should re-direct the Administrator to the functionality clicked upon")</f>
        <v>The system should not retain any data and should re-direct the Administrator to the functionality clicked upon</v>
      </c>
      <c r="I140" s="523" t="str">
        <f>IFERROR(__xludf.DUMMYFUNCTION("""COMPUTED_VALUE"""),"Fail")</f>
        <v>Fail</v>
      </c>
      <c r="J140" s="523" t="str">
        <f>IFERROR(__xludf.DUMMYFUNCTION("""COMPUTED_VALUE"""),"qa-triple-rc2")</f>
        <v>qa-triple-rc2</v>
      </c>
      <c r="K140" s="523"/>
      <c r="L140" s="523"/>
      <c r="M140" s="523"/>
      <c r="N140" s="523"/>
      <c r="O140" s="523"/>
      <c r="P140" s="523"/>
      <c r="Q140" s="523"/>
      <c r="R140" s="523"/>
      <c r="S140" s="523"/>
      <c r="T140" s="523"/>
      <c r="U140" s="523"/>
      <c r="V140" s="523"/>
      <c r="W140" s="523"/>
      <c r="X140" s="523"/>
      <c r="Y140" s="523"/>
      <c r="Z140" s="523"/>
    </row>
    <row r="141">
      <c r="A141" s="523"/>
      <c r="B141" s="524"/>
      <c r="C141" s="523" t="str">
        <f>IFERROR(__xludf.DUMMYFUNCTION("""COMPUTED_VALUE"""),"TC_Admin_583")</f>
        <v>TC_Admin_583</v>
      </c>
      <c r="D141" s="523" t="str">
        <f>IFERROR(__xludf.DUMMYFUNCTION("""COMPUTED_VALUE"""),"Functional")</f>
        <v>Functional</v>
      </c>
      <c r="E141" s="524" t="str">
        <f>IFERROR(__xludf.DUMMYFUNCTION("""COMPUTED_VALUE"""),"MasterData-Center")</f>
        <v>MasterData-Center</v>
      </c>
      <c r="F141" s="524" t="str">
        <f>IFERROR(__xludf.DUMMYFUNCTION("""COMPUTED_VALUE"""),"1. Login to Admin
 2. Resources
 3. Center
 4. Listview page
 5. +create/update")</f>
        <v>1. Login to Admin
 2. Resources
 3. Center
 4. Listview page
 5. +create/update</v>
      </c>
      <c r="G141" s="524" t="str">
        <f>IFERROR(__xludf.DUMMYFUNCTION("""COMPUTED_VALUE"""),"Create Center in lang 1 map same Center same to Device , Machine &amp; User login with lang2 and check the Center mapping in list page and in detail view of each module")</f>
        <v>Create Center in lang 1 map same Center same to Device , Machine &amp; User login with lang2 and check the Center mapping in list page and in detail view of each module</v>
      </c>
      <c r="H141" s="524" t="str">
        <f>IFERROR(__xludf.DUMMYFUNCTION("""COMPUTED_VALUE"""),"In lang1 login user should see Center mapping with the format [CenterName(CenterID)].
 In lang2 login user should see Center ID in listview and in detail view.")</f>
        <v>In lang1 login user should see Center mapping with the format [CenterName(CenterID)].
 In lang2 login user should see Center ID in listview and in detail view.</v>
      </c>
      <c r="I141" s="523" t="str">
        <f>IFERROR(__xludf.DUMMYFUNCTION("""COMPUTED_VALUE"""),"Fail")</f>
        <v>Fail</v>
      </c>
      <c r="J141" s="523" t="str">
        <f>IFERROR(__xludf.DUMMYFUNCTION("""COMPUTED_VALUE"""),"qa-triple-rc2")</f>
        <v>qa-triple-rc2</v>
      </c>
      <c r="K141" s="523"/>
      <c r="L141" s="523"/>
      <c r="M141" s="523"/>
      <c r="N141" s="523"/>
      <c r="O141" s="523"/>
      <c r="P141" s="523"/>
      <c r="Q141" s="523"/>
      <c r="R141" s="523"/>
      <c r="S141" s="523"/>
      <c r="T141" s="523"/>
      <c r="U141" s="523"/>
      <c r="V141" s="523"/>
      <c r="W141" s="523"/>
      <c r="X141" s="523"/>
      <c r="Y141" s="523"/>
      <c r="Z141" s="523"/>
    </row>
    <row r="142">
      <c r="A142" s="523"/>
      <c r="B142" s="524"/>
      <c r="C142" s="523" t="str">
        <f>IFERROR(__xludf.DUMMYFUNCTION("""COMPUTED_VALUE"""),"TC_Admin_621")</f>
        <v>TC_Admin_621</v>
      </c>
      <c r="D142" s="523" t="str">
        <f>IFERROR(__xludf.DUMMYFUNCTION("""COMPUTED_VALUE"""),"Functional")</f>
        <v>Functional</v>
      </c>
      <c r="E142" s="524" t="str">
        <f>IFERROR(__xludf.DUMMYFUNCTION("""COMPUTED_VALUE"""),"MasterData-Device")</f>
        <v>MasterData-Device</v>
      </c>
      <c r="F142" s="524" t="str">
        <f>IFERROR(__xludf.DUMMYFUNCTION("""COMPUTED_VALUE"""),"1. Login to Admin
 2. Resources
 3. Device
 4. Listview page
 5. +create/update")</f>
        <v>1. Login to Admin
 2. Resources
 3. Device
 4. Listview page
 5. +create/update</v>
      </c>
      <c r="G142" s="524" t="str">
        <f>IFERROR(__xludf.DUMMYFUNCTION("""COMPUTED_VALUE"""),"Verify Decomission functionality")</f>
        <v>Verify Decomission functionality</v>
      </c>
      <c r="H142" s="524" t="str">
        <f>IFERROR(__xludf.DUMMYFUNCTION("""COMPUTED_VALUE"""),"When clicked on decomission button device should be removed from Listview page and in DB Isactive should be set to False and IsDeleted column to True.")</f>
        <v>When clicked on decomission button device should be removed from Listview page and in DB Isactive should be set to False and IsDeleted column to True.</v>
      </c>
      <c r="I142" s="523" t="str">
        <f>IFERROR(__xludf.DUMMYFUNCTION("""COMPUTED_VALUE"""),"Fail")</f>
        <v>Fail</v>
      </c>
      <c r="J142" s="523" t="str">
        <f>IFERROR(__xludf.DUMMYFUNCTION("""COMPUTED_VALUE"""),"qa-double-rc2")</f>
        <v>qa-double-rc2</v>
      </c>
      <c r="K142" s="523"/>
      <c r="L142" s="523"/>
      <c r="M142" s="523"/>
      <c r="N142" s="523"/>
      <c r="O142" s="523"/>
      <c r="P142" s="523"/>
      <c r="Q142" s="523"/>
      <c r="R142" s="523"/>
      <c r="S142" s="523"/>
      <c r="T142" s="523"/>
      <c r="U142" s="523"/>
      <c r="V142" s="523"/>
      <c r="W142" s="523"/>
      <c r="X142" s="523"/>
      <c r="Y142" s="523"/>
      <c r="Z142" s="523"/>
    </row>
    <row r="143">
      <c r="A143" s="523" t="str">
        <f>IFERROR(__xludf.DUMMYFUNCTION("""COMPUTED_VALUE"""),"MOSIP-8446")</f>
        <v>MOSIP-8446</v>
      </c>
      <c r="B143" s="524"/>
      <c r="C143" s="523" t="str">
        <f>IFERROR(__xludf.DUMMYFUNCTION("""COMPUTED_VALUE"""),"TC_Admin_687")</f>
        <v>TC_Admin_687</v>
      </c>
      <c r="D143" s="523" t="str">
        <f>IFERROR(__xludf.DUMMYFUNCTION("""COMPUTED_VALUE"""),"Functional")</f>
        <v>Functional</v>
      </c>
      <c r="E143" s="524" t="str">
        <f>IFERROR(__xludf.DUMMYFUNCTION("""COMPUTED_VALUE"""),"MasterData bulk upload")</f>
        <v>MasterData bulk upload</v>
      </c>
      <c r="F143" s="524" t="str">
        <f>IFERROR(__xludf.DUMMYFUNCTION("""COMPUTED_VALUE"""),"1. Login to Admin
 2. Bulkupload
 3. MasterData")</f>
        <v>1. Login to Admin
 2. Bulkupload
 3. MasterData</v>
      </c>
      <c r="G143" s="524" t="str">
        <f>IFERROR(__xludf.DUMMYFUNCTION("""COMPUTED_VALUE"""),"Verify CANCEL button on MasterData upload screen")</f>
        <v>Verify CANCEL button on MasterData upload screen</v>
      </c>
      <c r="H143" s="524" t="str">
        <f>IFERROR(__xludf.DUMMYFUNCTION("""COMPUTED_VALUE"""),"When User clicks on CANCEL button or anywhere in the navigation bar, a alert pop-up window should display with leave or stay button, alerting the user that all the data will be lost if there is any data selected.
 Message on the pop-up, “Are you sure yo"&amp;"u want to navigate away from this page? Any unsaved data will be lost.“
 1. When User clicks on STAY should be redirecting user back to the MasterData upload screen with the pre-populated data.
 2. User clicks on LEAVE should be redirecting user to Ma"&amp;"sterData upload dashboard or the option clicked on the navigation bar.")</f>
        <v>When User clicks on CANCEL button or anywhere in the navigation bar, a alert pop-up window should display with leave or stay button, alerting the user that all the data will be lost if there is any data selected.
 Message on the pop-up, “Are you sure you want to navigate away from this page? Any unsaved data will be lost.“
 1. When User clicks on STAY should be redirecting user back to the MasterData upload screen with the pre-populated data.
 2. User clicks on LEAVE should be redirecting user to MasterData upload dashboard or the option clicked on the navigation bar.</v>
      </c>
      <c r="I143" s="523" t="str">
        <f>IFERROR(__xludf.DUMMYFUNCTION("""COMPUTED_VALUE"""),"Fail")</f>
        <v>Fail</v>
      </c>
      <c r="J143" s="523" t="str">
        <f>IFERROR(__xludf.DUMMYFUNCTION("""COMPUTED_VALUE"""),"qa-triple-rc2")</f>
        <v>qa-triple-rc2</v>
      </c>
      <c r="K143" s="523"/>
      <c r="L143" s="523"/>
      <c r="M143" s="523"/>
      <c r="N143" s="523"/>
      <c r="O143" s="523"/>
      <c r="P143" s="523"/>
      <c r="Q143" s="523"/>
      <c r="R143" s="523"/>
      <c r="S143" s="523"/>
      <c r="T143" s="523"/>
      <c r="U143" s="523"/>
      <c r="V143" s="523"/>
      <c r="W143" s="523"/>
      <c r="X143" s="523"/>
      <c r="Y143" s="523"/>
      <c r="Z143" s="523"/>
    </row>
    <row r="144">
      <c r="A144" s="523" t="str">
        <f>IFERROR(__xludf.DUMMYFUNCTION("""COMPUTED_VALUE"""),"MOSIP-8446")</f>
        <v>MOSIP-8446</v>
      </c>
      <c r="B144" s="524"/>
      <c r="C144" s="523" t="str">
        <f>IFERROR(__xludf.DUMMYFUNCTION("""COMPUTED_VALUE"""),"TC_Admin_697")</f>
        <v>TC_Admin_697</v>
      </c>
      <c r="D144" s="523" t="str">
        <f>IFERROR(__xludf.DUMMYFUNCTION("""COMPUTED_VALUE"""),"Functional")</f>
        <v>Functional</v>
      </c>
      <c r="E144" s="524" t="str">
        <f>IFERROR(__xludf.DUMMYFUNCTION("""COMPUTED_VALUE"""),"MasterData bulk upload")</f>
        <v>MasterData bulk upload</v>
      </c>
      <c r="F144" s="524" t="str">
        <f>IFERROR(__xludf.DUMMYFUNCTION("""COMPUTED_VALUE"""),"1. Login to Admin
 2. Bulkupload
 3. MasterData")</f>
        <v>1. Login to Admin
 2. Bulkupload
 3. MasterData</v>
      </c>
      <c r="G144" s="524" t="str">
        <f>IFERROR(__xludf.DUMMYFUNCTION("""COMPUTED_VALUE"""),"Check Audit logs for below scenario's:
 When the administrator clicks on ‘Upload option’")</f>
        <v>Check Audit logs for below scenario's:
 When the administrator clicks on ‘Upload option’</v>
      </c>
      <c r="H144" s="524" t="str">
        <f>IFERROR(__xludf.DUMMYFUNCTION("""COMPUTED_VALUE"""),"Event ID: ADM-331
 Event Name: Click: Upload
 Event Type: Navigation: Click Event
 Component ID: ADM-BDU
 Component Name: admin-data-upload
 Description: User clicked on upload option on master data dashboard")</f>
        <v>Event ID: ADM-331
 Event Name: Click: Upload
 Event Type: Navigation: Click Event
 Component ID: ADM-BDU
 Component Name: admin-data-upload
 Description: User clicked on upload option on master data dashboard</v>
      </c>
      <c r="I144" s="523" t="str">
        <f>IFERROR(__xludf.DUMMYFUNCTION("""COMPUTED_VALUE"""),"Fail")</f>
        <v>Fail</v>
      </c>
      <c r="J144" s="523" t="str">
        <f>IFERROR(__xludf.DUMMYFUNCTION("""COMPUTED_VALUE"""),"qa-triple-rc2")</f>
        <v>qa-triple-rc2</v>
      </c>
      <c r="K144" s="523"/>
      <c r="L144" s="523"/>
      <c r="M144" s="523"/>
      <c r="N144" s="523"/>
      <c r="O144" s="523"/>
      <c r="P144" s="523"/>
      <c r="Q144" s="523"/>
      <c r="R144" s="523"/>
      <c r="S144" s="523"/>
      <c r="T144" s="523"/>
      <c r="U144" s="523"/>
      <c r="V144" s="523"/>
      <c r="W144" s="523"/>
      <c r="X144" s="523"/>
      <c r="Y144" s="523"/>
      <c r="Z144" s="523"/>
    </row>
    <row r="145">
      <c r="A145" s="523" t="str">
        <f>IFERROR(__xludf.DUMMYFUNCTION("""COMPUTED_VALUE"""),"MOSIP-8446")</f>
        <v>MOSIP-8446</v>
      </c>
      <c r="B145" s="524"/>
      <c r="C145" s="523" t="str">
        <f>IFERROR(__xludf.DUMMYFUNCTION("""COMPUTED_VALUE"""),"TC_Admin_698")</f>
        <v>TC_Admin_698</v>
      </c>
      <c r="D145" s="523" t="str">
        <f>IFERROR(__xludf.DUMMYFUNCTION("""COMPUTED_VALUE"""),"Functional")</f>
        <v>Functional</v>
      </c>
      <c r="E145" s="524" t="str">
        <f>IFERROR(__xludf.DUMMYFUNCTION("""COMPUTED_VALUE"""),"MasterData bulk upload")</f>
        <v>MasterData bulk upload</v>
      </c>
      <c r="F145" s="524" t="str">
        <f>IFERROR(__xludf.DUMMYFUNCTION("""COMPUTED_VALUE"""),"1. Login to Admin
 2. Bulkupload
 3. MasterData")</f>
        <v>1. Login to Admin
 2. Bulkupload
 3. MasterData</v>
      </c>
      <c r="G145" s="524" t="str">
        <f>IFERROR(__xludf.DUMMYFUNCTION("""COMPUTED_VALUE"""),"When administrator lands on a master data upload form")</f>
        <v>When administrator lands on a master data upload form</v>
      </c>
      <c r="H145" s="524" t="str">
        <f>IFERROR(__xludf.DUMMYFUNCTION("""COMPUTED_VALUE"""),"Event ID: ADM-332
 Event name: Page View: Master Data Upload Form
 Event Type: Navigation: Page View Event
 Component ID: ADM-BDU
 Component Name: admin-data-upload
 Description: User visited master data upload screen")</f>
        <v>Event ID: ADM-332
 Event name: Page View: Master Data Upload Form
 Event Type: Navigation: Page View Event
 Component ID: ADM-BDU
 Component Name: admin-data-upload
 Description: User visited master data upload screen</v>
      </c>
      <c r="I145" s="523" t="str">
        <f>IFERROR(__xludf.DUMMYFUNCTION("""COMPUTED_VALUE"""),"Fail")</f>
        <v>Fail</v>
      </c>
      <c r="J145" s="523" t="str">
        <f>IFERROR(__xludf.DUMMYFUNCTION("""COMPUTED_VALUE"""),"qa-triple-rc2")</f>
        <v>qa-triple-rc2</v>
      </c>
      <c r="K145" s="523"/>
      <c r="L145" s="523"/>
      <c r="M145" s="523"/>
      <c r="N145" s="523"/>
      <c r="O145" s="523"/>
      <c r="P145" s="523"/>
      <c r="Q145" s="523"/>
      <c r="R145" s="523"/>
      <c r="S145" s="523"/>
      <c r="T145" s="523"/>
      <c r="U145" s="523"/>
      <c r="V145" s="523"/>
      <c r="W145" s="523"/>
      <c r="X145" s="523"/>
      <c r="Y145" s="523"/>
      <c r="Z145" s="523"/>
    </row>
    <row r="146">
      <c r="A146" s="523" t="str">
        <f>IFERROR(__xludf.DUMMYFUNCTION("""COMPUTED_VALUE"""),"MOSIP-8446")</f>
        <v>MOSIP-8446</v>
      </c>
      <c r="B146" s="524"/>
      <c r="C146" s="523" t="str">
        <f>IFERROR(__xludf.DUMMYFUNCTION("""COMPUTED_VALUE"""),"TC_Admin_699")</f>
        <v>TC_Admin_699</v>
      </c>
      <c r="D146" s="523" t="str">
        <f>IFERROR(__xludf.DUMMYFUNCTION("""COMPUTED_VALUE"""),"Functional")</f>
        <v>Functional</v>
      </c>
      <c r="E146" s="524" t="str">
        <f>IFERROR(__xludf.DUMMYFUNCTION("""COMPUTED_VALUE"""),"MasterData bulk upload")</f>
        <v>MasterData bulk upload</v>
      </c>
      <c r="F146" s="524" t="str">
        <f>IFERROR(__xludf.DUMMYFUNCTION("""COMPUTED_VALUE"""),"1. Login to Admin
 2. Bulkupload
 3. MasterData")</f>
        <v>1. Login to Admin
 2. Bulkupload
 3. MasterData</v>
      </c>
      <c r="G146" s="524" t="str">
        <f>IFERROR(__xludf.DUMMYFUNCTION("""COMPUTED_VALUE"""),"When administrator clicks on ‘Upload’ button on Master Data Upload form")</f>
        <v>When administrator clicks on ‘Upload’ button on Master Data Upload form</v>
      </c>
      <c r="H146" s="524" t="str">
        <f>IFERROR(__xludf.DUMMYFUNCTION("""COMPUTED_VALUE"""),"Event ID: ADM-333
 Event name: Click: Upload Data
 Event Type: Navigation: Click Event
 Component ID: ADM-BDU
 Component Name: admin-data-upload
 Description: User clicked on 'Upload' button on master data upload form")</f>
        <v>Event ID: ADM-333
 Event name: Click: Upload Data
 Event Type: Navigation: Click Event
 Component ID: ADM-BDU
 Component Name: admin-data-upload
 Description: User clicked on 'Upload' button on master data upload form</v>
      </c>
      <c r="I146" s="523" t="str">
        <f>IFERROR(__xludf.DUMMYFUNCTION("""COMPUTED_VALUE"""),"Fail")</f>
        <v>Fail</v>
      </c>
      <c r="J146" s="523" t="str">
        <f>IFERROR(__xludf.DUMMYFUNCTION("""COMPUTED_VALUE"""),"qa-triple-rc2")</f>
        <v>qa-triple-rc2</v>
      </c>
      <c r="K146" s="523"/>
      <c r="L146" s="523"/>
      <c r="M146" s="523"/>
      <c r="N146" s="523"/>
      <c r="O146" s="523"/>
      <c r="P146" s="523"/>
      <c r="Q146" s="523"/>
      <c r="R146" s="523"/>
      <c r="S146" s="523"/>
      <c r="T146" s="523"/>
      <c r="U146" s="523"/>
      <c r="V146" s="523"/>
      <c r="W146" s="523"/>
      <c r="X146" s="523"/>
      <c r="Y146" s="523"/>
      <c r="Z146" s="523"/>
    </row>
    <row r="147">
      <c r="A147" s="523" t="str">
        <f>IFERROR(__xludf.DUMMYFUNCTION("""COMPUTED_VALUE"""),"MOSIP-8446")</f>
        <v>MOSIP-8446</v>
      </c>
      <c r="B147" s="524"/>
      <c r="C147" s="523" t="str">
        <f>IFERROR(__xludf.DUMMYFUNCTION("""COMPUTED_VALUE"""),"TC_Admin_700")</f>
        <v>TC_Admin_700</v>
      </c>
      <c r="D147" s="523" t="str">
        <f>IFERROR(__xludf.DUMMYFUNCTION("""COMPUTED_VALUE"""),"Functional")</f>
        <v>Functional</v>
      </c>
      <c r="E147" s="524" t="str">
        <f>IFERROR(__xludf.DUMMYFUNCTION("""COMPUTED_VALUE"""),"MasterData bulk upload")</f>
        <v>MasterData bulk upload</v>
      </c>
      <c r="F147" s="524" t="str">
        <f>IFERROR(__xludf.DUMMYFUNCTION("""COMPUTED_VALUE"""),"1. Login to Admin
 2. Bulkupload
 3. MasterData")</f>
        <v>1. Login to Admin
 2. Bulkupload
 3. MasterData</v>
      </c>
      <c r="G147" s="524" t="str">
        <f>IFERROR(__xludf.DUMMYFUNCTION("""COMPUTED_VALUE"""),"When administrator confirms upload on the confirmation pop-up")</f>
        <v>When administrator confirms upload on the confirmation pop-up</v>
      </c>
      <c r="H147" s="524" t="str">
        <f>IFERROR(__xludf.DUMMYFUNCTION("""COMPUTED_VALUE"""),"Event ID: ADM-334
 Event name: Click: Confirm Upload
 Event Type: Navigation: Click Event
 Component ID: ADM-BDU
 Component Name: admin-data-upload
 Description: User confirmed upload of master data")</f>
        <v>Event ID: ADM-334
 Event name: Click: Confirm Upload
 Event Type: Navigation: Click Event
 Component ID: ADM-BDU
 Component Name: admin-data-upload
 Description: User confirmed upload of master data</v>
      </c>
      <c r="I147" s="523" t="str">
        <f>IFERROR(__xludf.DUMMYFUNCTION("""COMPUTED_VALUE"""),"Fail")</f>
        <v>Fail</v>
      </c>
      <c r="J147" s="523" t="str">
        <f>IFERROR(__xludf.DUMMYFUNCTION("""COMPUTED_VALUE"""),"qa-triple-rc2")</f>
        <v>qa-triple-rc2</v>
      </c>
      <c r="K147" s="523"/>
      <c r="L147" s="523"/>
      <c r="M147" s="523"/>
      <c r="N147" s="523"/>
      <c r="O147" s="523"/>
      <c r="P147" s="523"/>
      <c r="Q147" s="523"/>
      <c r="R147" s="523"/>
      <c r="S147" s="523"/>
      <c r="T147" s="523"/>
      <c r="U147" s="523"/>
      <c r="V147" s="523"/>
      <c r="W147" s="523"/>
      <c r="X147" s="523"/>
      <c r="Y147" s="523"/>
      <c r="Z147" s="523"/>
    </row>
    <row r="148">
      <c r="A148" s="523" t="str">
        <f>IFERROR(__xludf.DUMMYFUNCTION("""COMPUTED_VALUE"""),"MOSIP-8446")</f>
        <v>MOSIP-8446</v>
      </c>
      <c r="B148" s="524"/>
      <c r="C148" s="523" t="str">
        <f>IFERROR(__xludf.DUMMYFUNCTION("""COMPUTED_VALUE"""),"TC_Admin_701")</f>
        <v>TC_Admin_701</v>
      </c>
      <c r="D148" s="523" t="str">
        <f>IFERROR(__xludf.DUMMYFUNCTION("""COMPUTED_VALUE"""),"Functional")</f>
        <v>Functional</v>
      </c>
      <c r="E148" s="524" t="str">
        <f>IFERROR(__xludf.DUMMYFUNCTION("""COMPUTED_VALUE"""),"MasterData bulk upload")</f>
        <v>MasterData bulk upload</v>
      </c>
      <c r="F148" s="524" t="str">
        <f>IFERROR(__xludf.DUMMYFUNCTION("""COMPUTED_VALUE"""),"1. Login to Admin
 2. Bulkupload
 3. MasterData")</f>
        <v>1. Login to Admin
 2. Bulkupload
 3. MasterData</v>
      </c>
      <c r="G148" s="524" t="str">
        <f>IFERROR(__xludf.DUMMYFUNCTION("""COMPUTED_VALUE"""),"When administrator clicks on cancel button")</f>
        <v>When administrator clicks on cancel button</v>
      </c>
      <c r="H148" s="524" t="str">
        <f>IFERROR(__xludf.DUMMYFUNCTION("""COMPUTED_VALUE"""),"Event ID: ADM-335
 Event name: Click: Cancel Creation
 Event Type: Navigation: Click Event
 Component ID: ADM-BDU
 Component Name: admin-data-upload
 Description: User cancelled upload of master data")</f>
        <v>Event ID: ADM-335
 Event name: Click: Cancel Creation
 Event Type: Navigation: Click Event
 Component ID: ADM-BDU
 Component Name: admin-data-upload
 Description: User cancelled upload of master data</v>
      </c>
      <c r="I148" s="523" t="str">
        <f>IFERROR(__xludf.DUMMYFUNCTION("""COMPUTED_VALUE"""),"Fail")</f>
        <v>Fail</v>
      </c>
      <c r="J148" s="523" t="str">
        <f>IFERROR(__xludf.DUMMYFUNCTION("""COMPUTED_VALUE"""),"qa-triple-rc2")</f>
        <v>qa-triple-rc2</v>
      </c>
      <c r="K148" s="523"/>
      <c r="L148" s="523"/>
      <c r="M148" s="523"/>
      <c r="N148" s="523"/>
      <c r="O148" s="523"/>
      <c r="P148" s="523"/>
      <c r="Q148" s="523"/>
      <c r="R148" s="523"/>
      <c r="S148" s="523"/>
      <c r="T148" s="523"/>
      <c r="U148" s="523"/>
      <c r="V148" s="523"/>
      <c r="W148" s="523"/>
      <c r="X148" s="523"/>
      <c r="Y148" s="523"/>
      <c r="Z148" s="523"/>
    </row>
    <row r="149">
      <c r="A149" s="523" t="str">
        <f>IFERROR(__xludf.DUMMYFUNCTION("""COMPUTED_VALUE"""),"MOSIP-8446")</f>
        <v>MOSIP-8446</v>
      </c>
      <c r="B149" s="524"/>
      <c r="C149" s="523" t="str">
        <f>IFERROR(__xludf.DUMMYFUNCTION("""COMPUTED_VALUE"""),"TC_Admin_702")</f>
        <v>TC_Admin_702</v>
      </c>
      <c r="D149" s="523" t="str">
        <f>IFERROR(__xludf.DUMMYFUNCTION("""COMPUTED_VALUE"""),"Functional")</f>
        <v>Functional</v>
      </c>
      <c r="E149" s="524" t="str">
        <f>IFERROR(__xludf.DUMMYFUNCTION("""COMPUTED_VALUE"""),"MasterData bulk upload")</f>
        <v>MasterData bulk upload</v>
      </c>
      <c r="F149" s="524" t="str">
        <f>IFERROR(__xludf.DUMMYFUNCTION("""COMPUTED_VALUE"""),"1. Login to Admin
 2. Bulkupload
 3. MasterData")</f>
        <v>1. Login to Admin
 2. Bulkupload
 3. MasterData</v>
      </c>
      <c r="G149" s="524" t="str">
        <f>IFERROR(__xludf.DUMMYFUNCTION("""COMPUTED_VALUE"""),"When administrator Clicks on a transaction id")</f>
        <v>When administrator Clicks on a transaction id</v>
      </c>
      <c r="H149" s="524" t="str">
        <f>IFERROR(__xludf.DUMMYFUNCTION("""COMPUTED_VALUE"""),"Event ID: ADM-336
 Event name: Click: Select Transaction
 Event Type: Navigation: Click Event
 Component ID: ADM-BDU
 Component Name: admin-data-upload
 Description: User wants to views a master data transaction")</f>
        <v>Event ID: ADM-336
 Event name: Click: Select Transaction
 Event Type: Navigation: Click Event
 Component ID: ADM-BDU
 Component Name: admin-data-upload
 Description: User wants to views a master data transaction</v>
      </c>
      <c r="I149" s="523" t="str">
        <f>IFERROR(__xludf.DUMMYFUNCTION("""COMPUTED_VALUE"""),"Fail")</f>
        <v>Fail</v>
      </c>
      <c r="J149" s="523" t="str">
        <f>IFERROR(__xludf.DUMMYFUNCTION("""COMPUTED_VALUE"""),"qa-triple-rc2")</f>
        <v>qa-triple-rc2</v>
      </c>
      <c r="K149" s="523"/>
      <c r="L149" s="523"/>
      <c r="M149" s="523"/>
      <c r="N149" s="523"/>
      <c r="O149" s="523"/>
      <c r="P149" s="523"/>
      <c r="Q149" s="523"/>
      <c r="R149" s="523"/>
      <c r="S149" s="523"/>
      <c r="T149" s="523"/>
      <c r="U149" s="523"/>
      <c r="V149" s="523"/>
      <c r="W149" s="523"/>
      <c r="X149" s="523"/>
      <c r="Y149" s="523"/>
      <c r="Z149" s="523"/>
    </row>
    <row r="150">
      <c r="A150" s="523" t="str">
        <f>IFERROR(__xludf.DUMMYFUNCTION("""COMPUTED_VALUE"""),"MOSIP-8446")</f>
        <v>MOSIP-8446</v>
      </c>
      <c r="B150" s="524"/>
      <c r="C150" s="523" t="str">
        <f>IFERROR(__xludf.DUMMYFUNCTION("""COMPUTED_VALUE"""),"TC_Admin_703")</f>
        <v>TC_Admin_703</v>
      </c>
      <c r="D150" s="523" t="str">
        <f>IFERROR(__xludf.DUMMYFUNCTION("""COMPUTED_VALUE"""),"Functional")</f>
        <v>Functional</v>
      </c>
      <c r="E150" s="524" t="str">
        <f>IFERROR(__xludf.DUMMYFUNCTION("""COMPUTED_VALUE"""),"MasterData bulk upload")</f>
        <v>MasterData bulk upload</v>
      </c>
      <c r="F150" s="524" t="str">
        <f>IFERROR(__xludf.DUMMYFUNCTION("""COMPUTED_VALUE"""),"1. Login to Admin
 2. Bulkupload
 3. MasterData")</f>
        <v>1. Login to Admin
 2. Bulkupload
 3. MasterData</v>
      </c>
      <c r="G150" s="524" t="str">
        <f>IFERROR(__xludf.DUMMYFUNCTION("""COMPUTED_VALUE"""),"When administrator lands on a view transaction screen")</f>
        <v>When administrator lands on a view transaction screen</v>
      </c>
      <c r="H150" s="524" t="str">
        <f>IFERROR(__xludf.DUMMYFUNCTION("""COMPUTED_VALUE"""),"Event ID: ADM-337
 Event name: Click: View Transaction Details
 Event Type: Navigation: Page View Event
 Component ID: ADM-BDU
 Component Name: admin-data-upload
 Description: User views a master data transaction detail")</f>
        <v>Event ID: ADM-337
 Event name: Click: View Transaction Details
 Event Type: Navigation: Page View Event
 Component ID: ADM-BDU
 Component Name: admin-data-upload
 Description: User views a master data transaction detail</v>
      </c>
      <c r="I150" s="523" t="str">
        <f>IFERROR(__xludf.DUMMYFUNCTION("""COMPUTED_VALUE"""),"Fail")</f>
        <v>Fail</v>
      </c>
      <c r="J150" s="523" t="str">
        <f>IFERROR(__xludf.DUMMYFUNCTION("""COMPUTED_VALUE"""),"qa-triple-rc2")</f>
        <v>qa-triple-rc2</v>
      </c>
      <c r="K150" s="523"/>
      <c r="L150" s="523"/>
      <c r="M150" s="523"/>
      <c r="N150" s="523"/>
      <c r="O150" s="523"/>
      <c r="P150" s="523"/>
      <c r="Q150" s="523"/>
      <c r="R150" s="523"/>
      <c r="S150" s="523"/>
      <c r="T150" s="523"/>
      <c r="U150" s="523"/>
      <c r="V150" s="523"/>
      <c r="W150" s="523"/>
      <c r="X150" s="523"/>
      <c r="Y150" s="523"/>
      <c r="Z150" s="523"/>
    </row>
    <row r="151">
      <c r="A151" s="523" t="str">
        <f>IFERROR(__xludf.DUMMYFUNCTION("""COMPUTED_VALUE"""),"MOSIP-8446")</f>
        <v>MOSIP-8446</v>
      </c>
      <c r="B151" s="524"/>
      <c r="C151" s="523" t="str">
        <f>IFERROR(__xludf.DUMMYFUNCTION("""COMPUTED_VALUE"""),"TC_Admin_704")</f>
        <v>TC_Admin_704</v>
      </c>
      <c r="D151" s="523" t="str">
        <f>IFERROR(__xludf.DUMMYFUNCTION("""COMPUTED_VALUE"""),"Functional")</f>
        <v>Functional</v>
      </c>
      <c r="E151" s="524" t="str">
        <f>IFERROR(__xludf.DUMMYFUNCTION("""COMPUTED_VALUE"""),"MasterData bulk upload")</f>
        <v>MasterData bulk upload</v>
      </c>
      <c r="F151" s="524" t="str">
        <f>IFERROR(__xludf.DUMMYFUNCTION("""COMPUTED_VALUE"""),"1. Login to Admin
 2. Bulkupload
 3. MasterData")</f>
        <v>1. Login to Admin
 2. Bulkupload
 3. MasterData</v>
      </c>
      <c r="G151" s="524" t="str">
        <f>IFERROR(__xludf.DUMMYFUNCTION("""COMPUTED_VALUE"""),"When administrator clicks on back button")</f>
        <v>When administrator clicks on back button</v>
      </c>
      <c r="H151" s="524" t="str">
        <f>IFERROR(__xludf.DUMMYFUNCTION("""COMPUTED_VALUE"""),"Event ID: ADM-338
 Event name: Click: Back from Transaction Details
 Event Type: Navigation: Click Event
 Component ID: ADM-BDU
 Component Name: admin-data-upload
 Description: User come back from view transaction details for master data")</f>
        <v>Event ID: ADM-338
 Event name: Click: Back from Transaction Details
 Event Type: Navigation: Click Event
 Component ID: ADM-BDU
 Component Name: admin-data-upload
 Description: User come back from view transaction details for master data</v>
      </c>
      <c r="I151" s="523" t="str">
        <f>IFERROR(__xludf.DUMMYFUNCTION("""COMPUTED_VALUE"""),"Fail")</f>
        <v>Fail</v>
      </c>
      <c r="J151" s="523" t="str">
        <f>IFERROR(__xludf.DUMMYFUNCTION("""COMPUTED_VALUE"""),"qa-triple-rc2")</f>
        <v>qa-triple-rc2</v>
      </c>
      <c r="K151" s="523"/>
      <c r="L151" s="523"/>
      <c r="M151" s="523"/>
      <c r="N151" s="523"/>
      <c r="O151" s="523"/>
      <c r="P151" s="523"/>
      <c r="Q151" s="523"/>
      <c r="R151" s="523"/>
      <c r="S151" s="523"/>
      <c r="T151" s="523"/>
      <c r="U151" s="523"/>
      <c r="V151" s="523"/>
      <c r="W151" s="523"/>
      <c r="X151" s="523"/>
      <c r="Y151" s="523"/>
      <c r="Z151" s="523"/>
    </row>
    <row r="152">
      <c r="A152" s="523"/>
      <c r="B152" s="524"/>
      <c r="C152" s="523" t="str">
        <f>IFERROR(__xludf.DUMMYFUNCTION("""COMPUTED_VALUE"""),"TC_Admin_713")</f>
        <v>TC_Admin_713</v>
      </c>
      <c r="D152" s="523" t="str">
        <f>IFERROR(__xludf.DUMMYFUNCTION("""COMPUTED_VALUE"""),"Functional")</f>
        <v>Functional</v>
      </c>
      <c r="E152" s="524" t="str">
        <f>IFERROR(__xludf.DUMMYFUNCTION("""COMPUTED_VALUE"""),"MasterData bulkupload")</f>
        <v>MasterData bulkupload</v>
      </c>
      <c r="F152" s="524" t="str">
        <f>IFERROR(__xludf.DUMMYFUNCTION("""COMPUTED_VALUE"""),"1. Login to Admin
 2. Bulkupload
 3. MasterData")</f>
        <v>1. Login to Admin
 2. Bulkupload
 3. MasterData</v>
      </c>
      <c r="G152" s="524" t="str">
        <f>IFERROR(__xludf.DUMMYFUNCTION("""COMPUTED_VALUE"""),"Verify validation message for incorrect data paased in Csv, duplicate upload, incorrect column name, missing column name , Data type mismatch.")</f>
        <v>Verify validation message for incorrect data paased in Csv, duplicate upload, incorrect column name, missing column name , Data type mismatch.</v>
      </c>
      <c r="H152" s="524" t="str">
        <f>IFERROR(__xludf.DUMMYFUNCTION("""COMPUTED_VALUE"""),"Should give vaid error message for each case in user unstandable format.")</f>
        <v>Should give vaid error message for each case in user unstandable format.</v>
      </c>
      <c r="I152" s="523" t="str">
        <f>IFERROR(__xludf.DUMMYFUNCTION("""COMPUTED_VALUE"""),"Fail")</f>
        <v>Fail</v>
      </c>
      <c r="J152" s="523" t="str">
        <f>IFERROR(__xludf.DUMMYFUNCTION("""COMPUTED_VALUE"""),"qa-triple-rc2")</f>
        <v>qa-triple-rc2</v>
      </c>
      <c r="K152" s="523"/>
      <c r="L152" s="523"/>
      <c r="M152" s="523"/>
      <c r="N152" s="523"/>
      <c r="O152" s="523"/>
      <c r="P152" s="523"/>
      <c r="Q152" s="523"/>
      <c r="R152" s="523"/>
      <c r="S152" s="523"/>
      <c r="T152" s="523"/>
      <c r="U152" s="523"/>
      <c r="V152" s="523"/>
      <c r="W152" s="523"/>
      <c r="X152" s="523"/>
      <c r="Y152" s="523"/>
      <c r="Z152" s="523"/>
    </row>
    <row r="153">
      <c r="A153" s="523" t="str">
        <f>IFERROR(__xludf.DUMMYFUNCTION("""COMPUTED_VALUE"""),"MOSIP-8556")</f>
        <v>MOSIP-8556</v>
      </c>
      <c r="B153" s="524"/>
      <c r="C153" s="523" t="str">
        <f>IFERROR(__xludf.DUMMYFUNCTION("""COMPUTED_VALUE"""),"TC_Admin_722")</f>
        <v>TC_Admin_722</v>
      </c>
      <c r="D153" s="523" t="str">
        <f>IFERROR(__xludf.DUMMYFUNCTION("""COMPUTED_VALUE"""),"Functional")</f>
        <v>Functional</v>
      </c>
      <c r="E153" s="524" t="str">
        <f>IFERROR(__xludf.DUMMYFUNCTION("""COMPUTED_VALUE"""),"Bulk Packet upload UI")</f>
        <v>Bulk Packet upload UI</v>
      </c>
      <c r="F153" s="524" t="str">
        <f>IFERROR(__xludf.DUMMYFUNCTION("""COMPUTED_VALUE"""),"1. Login to Admin
 2. Bulkupload
 3. Packets 
 4. Packet upload screen")</f>
        <v>1. Login to Admin
 2. Bulkupload
 3. Packets 
 4. Packet upload screen</v>
      </c>
      <c r="G153" s="524" t="str">
        <f>IFERROR(__xludf.DUMMYFUNCTION("""COMPUTED_VALUE"""),"Verify CANCEL button on packet upload screen")</f>
        <v>Verify CANCEL button on packet upload screen</v>
      </c>
      <c r="H153" s="524" t="str">
        <f>IFERROR(__xludf.DUMMYFUNCTION("""COMPUTED_VALUE"""),"When User clicks on CANCEL button or anywhere in the navigation bar, a alert pop-up window should display with leave or stay button, alerting the user that all the data will be lost if there is any data selected.
 Message on the pop-up, “Are you sure yo"&amp;"u want to navigate away from this page? Any unsaved data will be lost.“
 1. When User clicks on STAY should be redirecting user back to the packet upload screen with the pre-populated data.
 2. User clicks on LEAVE should be redirecting user to packet"&amp;" upload dashboard or the option clicked on the navigation bar.")</f>
        <v>When User clicks on CANCEL button or anywhere in the navigation bar, a alert pop-up window should display with leave or stay button, alerting the user that all the data will be lost if there is any data selected.
 Message on the pop-up, “Are you sure you want to navigate away from this page? Any unsaved data will be lost.“
 1. When User clicks on STAY should be redirecting user back to the packet upload screen with the pre-populated data.
 2. User clicks on LEAVE should be redirecting user to packet upload dashboard or the option clicked on the navigation bar.</v>
      </c>
      <c r="I153" s="523" t="str">
        <f>IFERROR(__xludf.DUMMYFUNCTION("""COMPUTED_VALUE"""),"Fail")</f>
        <v>Fail</v>
      </c>
      <c r="J153" s="523" t="str">
        <f>IFERROR(__xludf.DUMMYFUNCTION("""COMPUTED_VALUE"""),"qa-triple-rc2")</f>
        <v>qa-triple-rc2</v>
      </c>
      <c r="K153" s="523"/>
      <c r="L153" s="523"/>
      <c r="M153" s="523"/>
      <c r="N153" s="523"/>
      <c r="O153" s="523"/>
      <c r="P153" s="523"/>
      <c r="Q153" s="523"/>
      <c r="R153" s="523"/>
      <c r="S153" s="523"/>
      <c r="T153" s="523"/>
      <c r="U153" s="523"/>
      <c r="V153" s="523"/>
      <c r="W153" s="523"/>
      <c r="X153" s="523"/>
      <c r="Y153" s="523"/>
      <c r="Z153" s="523"/>
    </row>
    <row r="154">
      <c r="A154" s="523" t="str">
        <f>IFERROR(__xludf.DUMMYFUNCTION("""COMPUTED_VALUE"""),"MOSIP-8556")</f>
        <v>MOSIP-8556</v>
      </c>
      <c r="B154" s="524"/>
      <c r="C154" s="523" t="str">
        <f>IFERROR(__xludf.DUMMYFUNCTION("""COMPUTED_VALUE"""),"TC_Admin_726")</f>
        <v>TC_Admin_726</v>
      </c>
      <c r="D154" s="523" t="str">
        <f>IFERROR(__xludf.DUMMYFUNCTION("""COMPUTED_VALUE"""),"Functional")</f>
        <v>Functional</v>
      </c>
      <c r="E154" s="524" t="str">
        <f>IFERROR(__xludf.DUMMYFUNCTION("""COMPUTED_VALUE"""),"Bulk Packet upload UI")</f>
        <v>Bulk Packet upload UI</v>
      </c>
      <c r="F154" s="524" t="str">
        <f>IFERROR(__xludf.DUMMYFUNCTION("""COMPUTED_VALUE"""),"1. Audit Table")</f>
        <v>1. Audit Table</v>
      </c>
      <c r="G154" s="524" t="str">
        <f>IFERROR(__xludf.DUMMYFUNCTION("""COMPUTED_VALUE"""),"Check Audit When the administrator clicks on ‘Upload option’.")</f>
        <v>Check Audit When the administrator clicks on ‘Upload option’.</v>
      </c>
      <c r="H154" s="524" t="str">
        <f>IFERROR(__xludf.DUMMYFUNCTION("""COMPUTED_VALUE"""),"Event ID: ADM-339
 Event Name: Click: Upload
 Event Type: Navigation: Click Event
 Component ID: ADM-BDU
 Component Name: admin-data-upload
 Description: User clicked on upload button on packet upload dashboard")</f>
        <v>Event ID: ADM-339
 Event Name: Click: Upload
 Event Type: Navigation: Click Event
 Component ID: ADM-BDU
 Component Name: admin-data-upload
 Description: User clicked on upload button on packet upload dashboard</v>
      </c>
      <c r="I154" s="523" t="str">
        <f>IFERROR(__xludf.DUMMYFUNCTION("""COMPUTED_VALUE"""),"Fail")</f>
        <v>Fail</v>
      </c>
      <c r="J154" s="523" t="str">
        <f>IFERROR(__xludf.DUMMYFUNCTION("""COMPUTED_VALUE"""),"qa-triple-rc2")</f>
        <v>qa-triple-rc2</v>
      </c>
      <c r="K154" s="523"/>
      <c r="L154" s="523"/>
      <c r="M154" s="523"/>
      <c r="N154" s="523"/>
      <c r="O154" s="523"/>
      <c r="P154" s="523"/>
      <c r="Q154" s="523"/>
      <c r="R154" s="523"/>
      <c r="S154" s="523"/>
      <c r="T154" s="523"/>
      <c r="U154" s="523"/>
      <c r="V154" s="523"/>
      <c r="W154" s="523"/>
      <c r="X154" s="523"/>
      <c r="Y154" s="523"/>
      <c r="Z154" s="523"/>
    </row>
    <row r="155">
      <c r="A155" s="523" t="str">
        <f>IFERROR(__xludf.DUMMYFUNCTION("""COMPUTED_VALUE"""),"MOSIP-8556")</f>
        <v>MOSIP-8556</v>
      </c>
      <c r="B155" s="524"/>
      <c r="C155" s="523" t="str">
        <f>IFERROR(__xludf.DUMMYFUNCTION("""COMPUTED_VALUE"""),"TC_Admin_727")</f>
        <v>TC_Admin_727</v>
      </c>
      <c r="D155" s="523" t="str">
        <f>IFERROR(__xludf.DUMMYFUNCTION("""COMPUTED_VALUE"""),"Functional")</f>
        <v>Functional</v>
      </c>
      <c r="E155" s="524" t="str">
        <f>IFERROR(__xludf.DUMMYFUNCTION("""COMPUTED_VALUE"""),"Bulk Packet upload UI")</f>
        <v>Bulk Packet upload UI</v>
      </c>
      <c r="F155" s="524" t="str">
        <f>IFERROR(__xludf.DUMMYFUNCTION("""COMPUTED_VALUE"""),"1. Audit Table")</f>
        <v>1. Audit Table</v>
      </c>
      <c r="G155" s="524" t="str">
        <f>IFERROR(__xludf.DUMMYFUNCTION("""COMPUTED_VALUE"""),"When administrator lands on a master data upload form")</f>
        <v>When administrator lands on a master data upload form</v>
      </c>
      <c r="H155" s="524" t="str">
        <f>IFERROR(__xludf.DUMMYFUNCTION("""COMPUTED_VALUE"""),"Event ID: ADM-340
 Event name: Page View: Master Data Upload Form
 Event Type: Navigation: Page View Event
 Component ID: ADM-BDU
 Component Name: admin-data-upload
 Description: User visited Master Data Upload Screen")</f>
        <v>Event ID: ADM-340
 Event name: Page View: Master Data Upload Form
 Event Type: Navigation: Page View Event
 Component ID: ADM-BDU
 Component Name: admin-data-upload
 Description: User visited Master Data Upload Screen</v>
      </c>
      <c r="I155" s="523" t="str">
        <f>IFERROR(__xludf.DUMMYFUNCTION("""COMPUTED_VALUE"""),"Fail")</f>
        <v>Fail</v>
      </c>
      <c r="J155" s="523" t="str">
        <f>IFERROR(__xludf.DUMMYFUNCTION("""COMPUTED_VALUE"""),"qa-triple-rc2")</f>
        <v>qa-triple-rc2</v>
      </c>
      <c r="K155" s="523"/>
      <c r="L155" s="523"/>
      <c r="M155" s="523"/>
      <c r="N155" s="523"/>
      <c r="O155" s="523"/>
      <c r="P155" s="523"/>
      <c r="Q155" s="523"/>
      <c r="R155" s="523"/>
      <c r="S155" s="523"/>
      <c r="T155" s="523"/>
      <c r="U155" s="523"/>
      <c r="V155" s="523"/>
      <c r="W155" s="523"/>
      <c r="X155" s="523"/>
      <c r="Y155" s="523"/>
      <c r="Z155" s="523"/>
    </row>
    <row r="156">
      <c r="A156" s="523" t="str">
        <f>IFERROR(__xludf.DUMMYFUNCTION("""COMPUTED_VALUE"""),"MOSIP-8556")</f>
        <v>MOSIP-8556</v>
      </c>
      <c r="B156" s="524"/>
      <c r="C156" s="523" t="str">
        <f>IFERROR(__xludf.DUMMYFUNCTION("""COMPUTED_VALUE"""),"TC_Admin_728")</f>
        <v>TC_Admin_728</v>
      </c>
      <c r="D156" s="523" t="str">
        <f>IFERROR(__xludf.DUMMYFUNCTION("""COMPUTED_VALUE"""),"Functional")</f>
        <v>Functional</v>
      </c>
      <c r="E156" s="524" t="str">
        <f>IFERROR(__xludf.DUMMYFUNCTION("""COMPUTED_VALUE"""),"Bulk Packet upload UI")</f>
        <v>Bulk Packet upload UI</v>
      </c>
      <c r="F156" s="524" t="str">
        <f>IFERROR(__xludf.DUMMYFUNCTION("""COMPUTED_VALUE"""),"1. Audit Table")</f>
        <v>1. Audit Table</v>
      </c>
      <c r="G156" s="524" t="str">
        <f>IFERROR(__xludf.DUMMYFUNCTION("""COMPUTED_VALUE"""),"When administrator clicks on ‘Upload’ button on Master Data Upload form")</f>
        <v>When administrator clicks on ‘Upload’ button on Master Data Upload form</v>
      </c>
      <c r="H156" s="524" t="str">
        <f>IFERROR(__xludf.DUMMYFUNCTION("""COMPUTED_VALUE"""),"Event ID: ADM-341
 Event name: Click: Upload Data
 Event Type: Navigation: Click Event
 Component ID: ADM-BDU
 Component Name: admin-data-upload
 Description: User clicked on 'Upload' button on Packet Upload form")</f>
        <v>Event ID: ADM-341
 Event name: Click: Upload Data
 Event Type: Navigation: Click Event
 Component ID: ADM-BDU
 Component Name: admin-data-upload
 Description: User clicked on 'Upload' button on Packet Upload form</v>
      </c>
      <c r="I156" s="523" t="str">
        <f>IFERROR(__xludf.DUMMYFUNCTION("""COMPUTED_VALUE"""),"Fail")</f>
        <v>Fail</v>
      </c>
      <c r="J156" s="523" t="str">
        <f>IFERROR(__xludf.DUMMYFUNCTION("""COMPUTED_VALUE"""),"qa-triple-rc2")</f>
        <v>qa-triple-rc2</v>
      </c>
      <c r="K156" s="523"/>
      <c r="L156" s="523"/>
      <c r="M156" s="523"/>
      <c r="N156" s="523"/>
      <c r="O156" s="523"/>
      <c r="P156" s="523"/>
      <c r="Q156" s="523"/>
      <c r="R156" s="523"/>
      <c r="S156" s="523"/>
      <c r="T156" s="523"/>
      <c r="U156" s="523"/>
      <c r="V156" s="523"/>
      <c r="W156" s="523"/>
      <c r="X156" s="523"/>
      <c r="Y156" s="523"/>
      <c r="Z156" s="523"/>
    </row>
    <row r="157">
      <c r="A157" s="523" t="str">
        <f>IFERROR(__xludf.DUMMYFUNCTION("""COMPUTED_VALUE"""),"MOSIP-8556")</f>
        <v>MOSIP-8556</v>
      </c>
      <c r="B157" s="524"/>
      <c r="C157" s="523" t="str">
        <f>IFERROR(__xludf.DUMMYFUNCTION("""COMPUTED_VALUE"""),"TC_Admin_729")</f>
        <v>TC_Admin_729</v>
      </c>
      <c r="D157" s="523" t="str">
        <f>IFERROR(__xludf.DUMMYFUNCTION("""COMPUTED_VALUE"""),"Functional")</f>
        <v>Functional</v>
      </c>
      <c r="E157" s="524" t="str">
        <f>IFERROR(__xludf.DUMMYFUNCTION("""COMPUTED_VALUE"""),"Bulk Packet upload UI")</f>
        <v>Bulk Packet upload UI</v>
      </c>
      <c r="F157" s="524" t="str">
        <f>IFERROR(__xludf.DUMMYFUNCTION("""COMPUTED_VALUE"""),"1. Audit Table")</f>
        <v>1. Audit Table</v>
      </c>
      <c r="G157" s="524" t="str">
        <f>IFERROR(__xludf.DUMMYFUNCTION("""COMPUTED_VALUE"""),"When administrator confirms upload on the confirmation pop-up")</f>
        <v>When administrator confirms upload on the confirmation pop-up</v>
      </c>
      <c r="H157" s="524" t="str">
        <f>IFERROR(__xludf.DUMMYFUNCTION("""COMPUTED_VALUE"""),"Event ID: ADM-342
 Event name: Click: Confirm Upload
 Event Type: Navigation: Click Event
 Component ID: ADM-BDU
 Component Name: admin-data-upload
 Description: User confirmed upload of packets")</f>
        <v>Event ID: ADM-342
 Event name: Click: Confirm Upload
 Event Type: Navigation: Click Event
 Component ID: ADM-BDU
 Component Name: admin-data-upload
 Description: User confirmed upload of packets</v>
      </c>
      <c r="I157" s="523" t="str">
        <f>IFERROR(__xludf.DUMMYFUNCTION("""COMPUTED_VALUE"""),"Fail")</f>
        <v>Fail</v>
      </c>
      <c r="J157" s="523" t="str">
        <f>IFERROR(__xludf.DUMMYFUNCTION("""COMPUTED_VALUE"""),"qa-triple-rc2")</f>
        <v>qa-triple-rc2</v>
      </c>
      <c r="K157" s="523"/>
      <c r="L157" s="523"/>
      <c r="M157" s="523"/>
      <c r="N157" s="523"/>
      <c r="O157" s="523"/>
      <c r="P157" s="523"/>
      <c r="Q157" s="523"/>
      <c r="R157" s="523"/>
      <c r="S157" s="523"/>
      <c r="T157" s="523"/>
      <c r="U157" s="523"/>
      <c r="V157" s="523"/>
      <c r="W157" s="523"/>
      <c r="X157" s="523"/>
      <c r="Y157" s="523"/>
      <c r="Z157" s="523"/>
    </row>
    <row r="158">
      <c r="A158" s="523" t="str">
        <f>IFERROR(__xludf.DUMMYFUNCTION("""COMPUTED_VALUE"""),"MOSIP-8556")</f>
        <v>MOSIP-8556</v>
      </c>
      <c r="B158" s="524"/>
      <c r="C158" s="523" t="str">
        <f>IFERROR(__xludf.DUMMYFUNCTION("""COMPUTED_VALUE"""),"TC_Admin_730")</f>
        <v>TC_Admin_730</v>
      </c>
      <c r="D158" s="523" t="str">
        <f>IFERROR(__xludf.DUMMYFUNCTION("""COMPUTED_VALUE"""),"Functional")</f>
        <v>Functional</v>
      </c>
      <c r="E158" s="524" t="str">
        <f>IFERROR(__xludf.DUMMYFUNCTION("""COMPUTED_VALUE"""),"Bulk Packet upload UI")</f>
        <v>Bulk Packet upload UI</v>
      </c>
      <c r="F158" s="524" t="str">
        <f>IFERROR(__xludf.DUMMYFUNCTION("""COMPUTED_VALUE"""),"1. Audit Table")</f>
        <v>1. Audit Table</v>
      </c>
      <c r="G158" s="524" t="str">
        <f>IFERROR(__xludf.DUMMYFUNCTION("""COMPUTED_VALUE"""),"When administrator clicks on cancel button")</f>
        <v>When administrator clicks on cancel button</v>
      </c>
      <c r="H158" s="524" t="str">
        <f>IFERROR(__xludf.DUMMYFUNCTION("""COMPUTED_VALUE"""),"Event ID: ADM-343
 Event name: Click: Cancel Creation
 Event Type: Navigation: Click Event
 Component ID: ADM-BDU
 Component Name: admin-data-upload
 Description: User cancelled upload of packets")</f>
        <v>Event ID: ADM-343
 Event name: Click: Cancel Creation
 Event Type: Navigation: Click Event
 Component ID: ADM-BDU
 Component Name: admin-data-upload
 Description: User cancelled upload of packets</v>
      </c>
      <c r="I158" s="523" t="str">
        <f>IFERROR(__xludf.DUMMYFUNCTION("""COMPUTED_VALUE"""),"Fail")</f>
        <v>Fail</v>
      </c>
      <c r="J158" s="523" t="str">
        <f>IFERROR(__xludf.DUMMYFUNCTION("""COMPUTED_VALUE"""),"qa-triple-rc2")</f>
        <v>qa-triple-rc2</v>
      </c>
      <c r="K158" s="523"/>
      <c r="L158" s="523"/>
      <c r="M158" s="523"/>
      <c r="N158" s="523"/>
      <c r="O158" s="523"/>
      <c r="P158" s="523"/>
      <c r="Q158" s="523"/>
      <c r="R158" s="523"/>
      <c r="S158" s="523"/>
      <c r="T158" s="523"/>
      <c r="U158" s="523"/>
      <c r="V158" s="523"/>
      <c r="W158" s="523"/>
      <c r="X158" s="523"/>
      <c r="Y158" s="523"/>
      <c r="Z158" s="523"/>
    </row>
    <row r="159">
      <c r="A159" s="523" t="str">
        <f>IFERROR(__xludf.DUMMYFUNCTION("""COMPUTED_VALUE"""),"MOSIP-8556")</f>
        <v>MOSIP-8556</v>
      </c>
      <c r="B159" s="524"/>
      <c r="C159" s="523" t="str">
        <f>IFERROR(__xludf.DUMMYFUNCTION("""COMPUTED_VALUE"""),"TC_Admin_731")</f>
        <v>TC_Admin_731</v>
      </c>
      <c r="D159" s="523" t="str">
        <f>IFERROR(__xludf.DUMMYFUNCTION("""COMPUTED_VALUE"""),"Functional")</f>
        <v>Functional</v>
      </c>
      <c r="E159" s="524" t="str">
        <f>IFERROR(__xludf.DUMMYFUNCTION("""COMPUTED_VALUE"""),"Bulk Packet upload UI")</f>
        <v>Bulk Packet upload UI</v>
      </c>
      <c r="F159" s="524" t="str">
        <f>IFERROR(__xludf.DUMMYFUNCTION("""COMPUTED_VALUE"""),"1. Audit Table")</f>
        <v>1. Audit Table</v>
      </c>
      <c r="G159" s="524" t="str">
        <f>IFERROR(__xludf.DUMMYFUNCTION("""COMPUTED_VALUE"""),"When administrator Clicks on a transaction id")</f>
        <v>When administrator Clicks on a transaction id</v>
      </c>
      <c r="H159" s="524" t="str">
        <f>IFERROR(__xludf.DUMMYFUNCTION("""COMPUTED_VALUE"""),"Event ID: ADM-344
 Event name: Click: Select Transaction
 Event Type: Navigation: Click Event
 Component ID: ADM-BDU
 Component Name: admin-data-upload
 Description: User wants to views a packet upload transaction")</f>
        <v>Event ID: ADM-344
 Event name: Click: Select Transaction
 Event Type: Navigation: Click Event
 Component ID: ADM-BDU
 Component Name: admin-data-upload
 Description: User wants to views a packet upload transaction</v>
      </c>
      <c r="I159" s="523" t="str">
        <f>IFERROR(__xludf.DUMMYFUNCTION("""COMPUTED_VALUE"""),"Fail")</f>
        <v>Fail</v>
      </c>
      <c r="J159" s="523" t="str">
        <f>IFERROR(__xludf.DUMMYFUNCTION("""COMPUTED_VALUE"""),"qa-triple-rc2")</f>
        <v>qa-triple-rc2</v>
      </c>
      <c r="K159" s="523"/>
      <c r="L159" s="523"/>
      <c r="M159" s="523"/>
      <c r="N159" s="523"/>
      <c r="O159" s="523"/>
      <c r="P159" s="523"/>
      <c r="Q159" s="523"/>
      <c r="R159" s="523"/>
      <c r="S159" s="523"/>
      <c r="T159" s="523"/>
      <c r="U159" s="523"/>
      <c r="V159" s="523"/>
      <c r="W159" s="523"/>
      <c r="X159" s="523"/>
      <c r="Y159" s="523"/>
      <c r="Z159" s="523"/>
    </row>
    <row r="160">
      <c r="A160" s="523" t="str">
        <f>IFERROR(__xludf.DUMMYFUNCTION("""COMPUTED_VALUE"""),"MOSIP-8556")</f>
        <v>MOSIP-8556</v>
      </c>
      <c r="B160" s="524"/>
      <c r="C160" s="523" t="str">
        <f>IFERROR(__xludf.DUMMYFUNCTION("""COMPUTED_VALUE"""),"TC_Admin_732")</f>
        <v>TC_Admin_732</v>
      </c>
      <c r="D160" s="523" t="str">
        <f>IFERROR(__xludf.DUMMYFUNCTION("""COMPUTED_VALUE"""),"Functional")</f>
        <v>Functional</v>
      </c>
      <c r="E160" s="524" t="str">
        <f>IFERROR(__xludf.DUMMYFUNCTION("""COMPUTED_VALUE"""),"Bulk Packet upload UI")</f>
        <v>Bulk Packet upload UI</v>
      </c>
      <c r="F160" s="524" t="str">
        <f>IFERROR(__xludf.DUMMYFUNCTION("""COMPUTED_VALUE"""),"1. Audit Table")</f>
        <v>1. Audit Table</v>
      </c>
      <c r="G160" s="524" t="str">
        <f>IFERROR(__xludf.DUMMYFUNCTION("""COMPUTED_VALUE"""),"When administrator lands on a view transaction screen")</f>
        <v>When administrator lands on a view transaction screen</v>
      </c>
      <c r="H160" s="524" t="str">
        <f>IFERROR(__xludf.DUMMYFUNCTION("""COMPUTED_VALUE"""),"Event ID: ADM-345
 Event name: Click: View Transaction Details
 Event Type: Navigation: Page View Event
 Component ID: ADM-BDU
 Component Name: admin-data-upload
 Description: User views a packet upload transaction detail")</f>
        <v>Event ID: ADM-345
 Event name: Click: View Transaction Details
 Event Type: Navigation: Page View Event
 Component ID: ADM-BDU
 Component Name: admin-data-upload
 Description: User views a packet upload transaction detail</v>
      </c>
      <c r="I160" s="523" t="str">
        <f>IFERROR(__xludf.DUMMYFUNCTION("""COMPUTED_VALUE"""),"Fail")</f>
        <v>Fail</v>
      </c>
      <c r="J160" s="523" t="str">
        <f>IFERROR(__xludf.DUMMYFUNCTION("""COMPUTED_VALUE"""),"qa-triple-rc2")</f>
        <v>qa-triple-rc2</v>
      </c>
      <c r="K160" s="523"/>
      <c r="L160" s="523"/>
      <c r="M160" s="523"/>
      <c r="N160" s="523"/>
      <c r="O160" s="523"/>
      <c r="P160" s="523"/>
      <c r="Q160" s="523"/>
      <c r="R160" s="523"/>
      <c r="S160" s="523"/>
      <c r="T160" s="523"/>
      <c r="U160" s="523"/>
      <c r="V160" s="523"/>
      <c r="W160" s="523"/>
      <c r="X160" s="523"/>
      <c r="Y160" s="523"/>
      <c r="Z160" s="523"/>
    </row>
    <row r="161">
      <c r="A161" s="523" t="str">
        <f>IFERROR(__xludf.DUMMYFUNCTION("""COMPUTED_VALUE"""),"MOSIP-8556")</f>
        <v>MOSIP-8556</v>
      </c>
      <c r="B161" s="524"/>
      <c r="C161" s="523" t="str">
        <f>IFERROR(__xludf.DUMMYFUNCTION("""COMPUTED_VALUE"""),"TC_Admin_733")</f>
        <v>TC_Admin_733</v>
      </c>
      <c r="D161" s="523" t="str">
        <f>IFERROR(__xludf.DUMMYFUNCTION("""COMPUTED_VALUE"""),"Functional")</f>
        <v>Functional</v>
      </c>
      <c r="E161" s="524" t="str">
        <f>IFERROR(__xludf.DUMMYFUNCTION("""COMPUTED_VALUE"""),"Bulk Packet upload UI")</f>
        <v>Bulk Packet upload UI</v>
      </c>
      <c r="F161" s="524" t="str">
        <f>IFERROR(__xludf.DUMMYFUNCTION("""COMPUTED_VALUE"""),"1. Audit Table")</f>
        <v>1. Audit Table</v>
      </c>
      <c r="G161" s="524" t="str">
        <f>IFERROR(__xludf.DUMMYFUNCTION("""COMPUTED_VALUE"""),"When administrator clicks on back button")</f>
        <v>When administrator clicks on back button</v>
      </c>
      <c r="H161" s="524" t="str">
        <f>IFERROR(__xludf.DUMMYFUNCTION("""COMPUTED_VALUE"""),"Event ID: ADM-335
 Event name: Click: Back from Transaction Details
 Event Type: Navigation: Click Event
 Component ID: ADM-BDU
 Component Name: admin-data-upload
 Description: User come back from packet upload view transaction details")</f>
        <v>Event ID: ADM-335
 Event name: Click: Back from Transaction Details
 Event Type: Navigation: Click Event
 Component ID: ADM-BDU
 Component Name: admin-data-upload
 Description: User come back from packet upload view transaction details</v>
      </c>
      <c r="I161" s="523" t="str">
        <f>IFERROR(__xludf.DUMMYFUNCTION("""COMPUTED_VALUE"""),"Fail")</f>
        <v>Fail</v>
      </c>
      <c r="J161" s="523" t="str">
        <f>IFERROR(__xludf.DUMMYFUNCTION("""COMPUTED_VALUE"""),"qa-triple-rc2")</f>
        <v>qa-triple-rc2</v>
      </c>
      <c r="K161" s="523"/>
      <c r="L161" s="523"/>
      <c r="M161" s="523"/>
      <c r="N161" s="523"/>
      <c r="O161" s="523"/>
      <c r="P161" s="523"/>
      <c r="Q161" s="523"/>
      <c r="R161" s="523"/>
      <c r="S161" s="523"/>
      <c r="T161" s="523"/>
      <c r="U161" s="523"/>
      <c r="V161" s="523"/>
      <c r="W161" s="523"/>
      <c r="X161" s="523"/>
      <c r="Y161" s="523"/>
      <c r="Z161" s="523"/>
    </row>
    <row r="162">
      <c r="A162" s="523"/>
      <c r="B162" s="524"/>
      <c r="C162" s="523" t="str">
        <f>IFERROR(__xludf.DUMMYFUNCTION("""COMPUTED_VALUE"""),"TC_Admin_734")</f>
        <v>TC_Admin_734</v>
      </c>
      <c r="D162" s="523" t="str">
        <f>IFERROR(__xludf.DUMMYFUNCTION("""COMPUTED_VALUE"""),"Functional")</f>
        <v>Functional</v>
      </c>
      <c r="E162" s="524" t="str">
        <f>IFERROR(__xludf.DUMMYFUNCTION("""COMPUTED_VALUE"""),"Bulk Packet upload UI")</f>
        <v>Bulk Packet upload UI</v>
      </c>
      <c r="F162" s="524" t="str">
        <f>IFERROR(__xludf.DUMMYFUNCTION("""COMPUTED_VALUE"""),"1. Login to Admin
 2. Bulkupload
 3. Packets 
 4. Packet upload screen")</f>
        <v>1. Login to Admin
 2. Bulkupload
 3. Packets 
 4. Packet upload screen</v>
      </c>
      <c r="G162" s="524" t="str">
        <f>IFERROR(__xludf.DUMMYFUNCTION("""COMPUTED_VALUE"""),"Upload packets that are synced but not uploaded in Regclient")</f>
        <v>Upload packets that are synced but not uploaded in Regclient</v>
      </c>
      <c r="H162" s="524" t="str">
        <f>IFERROR(__xludf.DUMMYFUNCTION("""COMPUTED_VALUE"""),"Upload should be successful in Admin UI with transaction ID, when user naviagates back to packet upload dashboard should see the transaction ID should was generate upon upload , when user clicks on transaction ID should take to the transaction detail view"&amp;" screen which contains all details of packet with status.")</f>
        <v>Upload should be successful in Admin UI with transaction ID, when user naviagates back to packet upload dashboard should see the transaction ID should was generate upon upload , when user clicks on transaction ID should take to the transaction detail view screen which contains all details of packet with status.</v>
      </c>
      <c r="I162" s="523" t="str">
        <f>IFERROR(__xludf.DUMMYFUNCTION("""COMPUTED_VALUE"""),"Fail")</f>
        <v>Fail</v>
      </c>
      <c r="J162" s="523" t="str">
        <f>IFERROR(__xludf.DUMMYFUNCTION("""COMPUTED_VALUE"""),"qa-double-rc2")</f>
        <v>qa-double-rc2</v>
      </c>
      <c r="K162" s="523"/>
      <c r="L162" s="523"/>
      <c r="M162" s="523"/>
      <c r="N162" s="523"/>
      <c r="O162" s="523"/>
      <c r="P162" s="523"/>
      <c r="Q162" s="523"/>
      <c r="R162" s="523"/>
      <c r="S162" s="523"/>
      <c r="T162" s="523"/>
      <c r="U162" s="523"/>
      <c r="V162" s="523"/>
      <c r="W162" s="523"/>
      <c r="X162" s="523"/>
      <c r="Y162" s="523"/>
      <c r="Z162" s="523"/>
    </row>
    <row r="163">
      <c r="A163" s="523"/>
      <c r="B163" s="524"/>
      <c r="C163" s="523" t="str">
        <f>IFERROR(__xludf.DUMMYFUNCTION("""COMPUTED_VALUE"""),"TC_Admin_735")</f>
        <v>TC_Admin_735</v>
      </c>
      <c r="D163" s="523" t="str">
        <f>IFERROR(__xludf.DUMMYFUNCTION("""COMPUTED_VALUE"""),"Functional")</f>
        <v>Functional</v>
      </c>
      <c r="E163" s="524" t="str">
        <f>IFERROR(__xludf.DUMMYFUNCTION("""COMPUTED_VALUE"""),"Bulk Packet upload UI")</f>
        <v>Bulk Packet upload UI</v>
      </c>
      <c r="F163" s="524" t="str">
        <f>IFERROR(__xludf.DUMMYFUNCTION("""COMPUTED_VALUE"""),"1. Login to Admin
 2. Bulkupload
 3. Packets 
 4. Packet upload screen")</f>
        <v>1. Login to Admin
 2. Bulkupload
 3. Packets 
 4. Packet upload screen</v>
      </c>
      <c r="G163" s="524" t="str">
        <f>IFERROR(__xludf.DUMMYFUNCTION("""COMPUTED_VALUE"""),"Upload packets that are not synced and not uploaded in Regclient")</f>
        <v>Upload packets that are not synced and not uploaded in Regclient</v>
      </c>
      <c r="H163" s="524" t="str">
        <f>IFERROR(__xludf.DUMMYFUNCTION("""COMPUTED_VALUE"""),"Should display error message "" packet not found in sync table"".")</f>
        <v>Should display error message " packet not found in sync table".</v>
      </c>
      <c r="I163" s="523" t="str">
        <f>IFERROR(__xludf.DUMMYFUNCTION("""COMPUTED_VALUE"""),"Fail")</f>
        <v>Fail</v>
      </c>
      <c r="J163" s="523" t="str">
        <f>IFERROR(__xludf.DUMMYFUNCTION("""COMPUTED_VALUE"""),"qa-double-rc2")</f>
        <v>qa-double-rc2</v>
      </c>
      <c r="K163" s="523"/>
      <c r="L163" s="523"/>
      <c r="M163" s="523"/>
      <c r="N163" s="523"/>
      <c r="O163" s="523"/>
      <c r="P163" s="523"/>
      <c r="Q163" s="523"/>
      <c r="R163" s="523"/>
      <c r="S163" s="523"/>
      <c r="T163" s="523"/>
      <c r="U163" s="523"/>
      <c r="V163" s="523"/>
      <c r="W163" s="523"/>
      <c r="X163" s="523"/>
      <c r="Y163" s="523"/>
      <c r="Z163" s="523"/>
    </row>
    <row r="164">
      <c r="A164" s="523"/>
      <c r="B164" s="524"/>
      <c r="C164" s="523" t="str">
        <f>IFERROR(__xludf.DUMMYFUNCTION("""COMPUTED_VALUE"""),"TC_Admin_736")</f>
        <v>TC_Admin_736</v>
      </c>
      <c r="D164" s="523" t="str">
        <f>IFERROR(__xludf.DUMMYFUNCTION("""COMPUTED_VALUE"""),"Functional")</f>
        <v>Functional</v>
      </c>
      <c r="E164" s="524" t="str">
        <f>IFERROR(__xludf.DUMMYFUNCTION("""COMPUTED_VALUE"""),"Bulk Packet upload UI")</f>
        <v>Bulk Packet upload UI</v>
      </c>
      <c r="F164" s="524" t="str">
        <f>IFERROR(__xludf.DUMMYFUNCTION("""COMPUTED_VALUE"""),"1. Login to Admin
 2. Bulkupload
 3. Packets 
 4. Packet upload screen")</f>
        <v>1. Login to Admin
 2. Bulkupload
 3. Packets 
 4. Packet upload screen</v>
      </c>
      <c r="G164" s="524" t="str">
        <f>IFERROR(__xludf.DUMMYFUNCTION("""COMPUTED_VALUE"""),"upload a zip file that exceeds the permitted limit")</f>
        <v>upload a zip file that exceeds the permitted limit</v>
      </c>
      <c r="H164" s="524" t="str">
        <f>IFERROR(__xludf.DUMMYFUNCTION("""COMPUTED_VALUE"""),"UI should display error message "" file size is too large""")</f>
        <v>UI should display error message " file size is too large"</v>
      </c>
      <c r="I164" s="523" t="str">
        <f>IFERROR(__xludf.DUMMYFUNCTION("""COMPUTED_VALUE"""),"Fail")</f>
        <v>Fail</v>
      </c>
      <c r="J164" s="523" t="str">
        <f>IFERROR(__xludf.DUMMYFUNCTION("""COMPUTED_VALUE"""),"qa-double-rc2")</f>
        <v>qa-double-rc2</v>
      </c>
      <c r="K164" s="523"/>
      <c r="L164" s="523"/>
      <c r="M164" s="523"/>
      <c r="N164" s="523"/>
      <c r="O164" s="523"/>
      <c r="P164" s="523"/>
      <c r="Q164" s="523"/>
      <c r="R164" s="523"/>
      <c r="S164" s="523"/>
      <c r="T164" s="523"/>
      <c r="U164" s="523"/>
      <c r="V164" s="523"/>
      <c r="W164" s="523"/>
      <c r="X164" s="523"/>
      <c r="Y164" s="523"/>
      <c r="Z164" s="523"/>
    </row>
    <row r="165">
      <c r="A165" s="523" t="str">
        <f>IFERROR(__xludf.DUMMYFUNCTION("""COMPUTED_VALUE"""),"MOSIP-8572")</f>
        <v>MOSIP-8572</v>
      </c>
      <c r="B165" s="524" t="str">
        <f>IFERROR(__xludf.DUMMYFUNCTION("""COMPUTED_VALUE"""),"API: For Packet Upload")</f>
        <v>API: For Packet Upload</v>
      </c>
      <c r="C165" s="523" t="str">
        <f>IFERROR(__xludf.DUMMYFUNCTION("""COMPUTED_VALUE"""),"TC_Admin_737")</f>
        <v>TC_Admin_737</v>
      </c>
      <c r="D165" s="523" t="str">
        <f>IFERROR(__xludf.DUMMYFUNCTION("""COMPUTED_VALUE"""),"Functional")</f>
        <v>Functional</v>
      </c>
      <c r="E165" s="524" t="str">
        <f>IFERROR(__xludf.DUMMYFUNCTION("""COMPUTED_VALUE"""),"Packet upload")</f>
        <v>Packet upload</v>
      </c>
      <c r="F165" s="524" t="str">
        <f>IFERROR(__xludf.DUMMYFUNCTION("""COMPUTED_VALUE"""),"1. Login to Admin 
 2. Packet bulkupload")</f>
        <v>1. Login to Admin 
 2. Packet bulkupload</v>
      </c>
      <c r="G165" s="524" t="str">
        <f>IFERROR(__xludf.DUMMYFUNCTION("""COMPUTED_VALUE"""),"Verify X valid packets upload from Admin portal")</f>
        <v>Verify X valid packets upload from Admin portal</v>
      </c>
      <c r="H165" s="524" t="str">
        <f>IFERROR(__xludf.DUMMYFUNCTION("""COMPUTED_VALUE"""),"1. packet should first store in Admin server
 2. All the packets are stored in a temporary location (location name can be transaction id)
 3. A response is sent to the sever stating all the packets are uploaded successfully and processing has started.
 4."&amp;" Server then starts sending packets to registration processor one by one
 5. If all the packets reach processor successfully, server updates the transaction as success with 'X' number of packets uploaded.")</f>
        <v>1. packet should first store in Admin server
 2. All the packets are stored in a temporary location (location name can be transaction id)
 3. A response is sent to the sever stating all the packets are uploaded successfully and processing has started.
 4. Server then starts sending packets to registration processor one by one
 5. If all the packets reach processor successfully, server updates the transaction as success with 'X' number of packets uploaded.</v>
      </c>
      <c r="I165" s="523" t="str">
        <f>IFERROR(__xludf.DUMMYFUNCTION("""COMPUTED_VALUE"""),"Fail")</f>
        <v>Fail</v>
      </c>
      <c r="J165" s="523" t="str">
        <f>IFERROR(__xludf.DUMMYFUNCTION("""COMPUTED_VALUE"""),"qa-double-rc2")</f>
        <v>qa-double-rc2</v>
      </c>
      <c r="K165" s="523"/>
      <c r="L165" s="523"/>
      <c r="M165" s="523"/>
      <c r="N165" s="523"/>
      <c r="O165" s="523"/>
      <c r="P165" s="523"/>
      <c r="Q165" s="523"/>
      <c r="R165" s="523"/>
      <c r="S165" s="523"/>
      <c r="T165" s="523"/>
      <c r="U165" s="523"/>
      <c r="V165" s="523"/>
      <c r="W165" s="523"/>
      <c r="X165" s="523"/>
      <c r="Y165" s="523"/>
      <c r="Z165" s="523"/>
    </row>
    <row r="166">
      <c r="A166" s="523" t="str">
        <f>IFERROR(__xludf.DUMMYFUNCTION("""COMPUTED_VALUE"""),"MOSIP-8572")</f>
        <v>MOSIP-8572</v>
      </c>
      <c r="B166" s="524"/>
      <c r="C166" s="523" t="str">
        <f>IFERROR(__xludf.DUMMYFUNCTION("""COMPUTED_VALUE"""),"TC_Admin_738")</f>
        <v>TC_Admin_738</v>
      </c>
      <c r="D166" s="523" t="str">
        <f>IFERROR(__xludf.DUMMYFUNCTION("""COMPUTED_VALUE"""),"Functional")</f>
        <v>Functional</v>
      </c>
      <c r="E166" s="524" t="str">
        <f>IFERROR(__xludf.DUMMYFUNCTION("""COMPUTED_VALUE"""),"Packet upload")</f>
        <v>Packet upload</v>
      </c>
      <c r="F166" s="524" t="str">
        <f>IFERROR(__xludf.DUMMYFUNCTION("""COMPUTED_VALUE"""),"1. Login to Admin 
 2. Packet bulkupload")</f>
        <v>1. Login to Admin 
 2. Packet bulkupload</v>
      </c>
      <c r="G166" s="524" t="str">
        <f>IFERROR(__xludf.DUMMYFUNCTION("""COMPUTED_VALUE"""),"Verify X valid &amp; invalid packets upload from Admin portal")</f>
        <v>Verify X valid &amp; invalid packets upload from Admin portal</v>
      </c>
      <c r="H166" s="524" t="str">
        <f>IFERROR(__xludf.DUMMYFUNCTION("""COMPUTED_VALUE"""),"1. packet should first store in Admin server
 2. All the packets are stored in a temporary location (location name can be transaction id)
 5. A response is sent to the sever stating all the packets are uploaded successfully and processing has started.
 6."&amp;" Server then starts sending packets to registration processor one by one
 7. Even if a single packet fails in registration processor, server tries to send all other packets
 8. Overall result here will be failed with 'Y' number of packets uploaded (where "&amp;"Y is less than X )")</f>
        <v>1. packet should first store in Admin server
 2. All the packets are stored in a temporary location (location name can be transaction id)
 5. A response is sent to the sever stating all the packets are uploaded successfully and processing has started.
 6. Server then starts sending packets to registration processor one by one
 7. Even if a single packet fails in registration processor, server tries to send all other packets
 8. Overall result here will be failed with 'Y' number of packets uploaded (where Y is less than X )</v>
      </c>
      <c r="I166" s="523" t="str">
        <f>IFERROR(__xludf.DUMMYFUNCTION("""COMPUTED_VALUE"""),"Fail")</f>
        <v>Fail</v>
      </c>
      <c r="J166" s="523" t="str">
        <f>IFERROR(__xludf.DUMMYFUNCTION("""COMPUTED_VALUE"""),"qa-double-rc2")</f>
        <v>qa-double-rc2</v>
      </c>
      <c r="K166" s="523"/>
      <c r="L166" s="523"/>
      <c r="M166" s="523"/>
      <c r="N166" s="523"/>
      <c r="O166" s="523"/>
      <c r="P166" s="523"/>
      <c r="Q166" s="523"/>
      <c r="R166" s="523"/>
      <c r="S166" s="523"/>
      <c r="T166" s="523"/>
      <c r="U166" s="523"/>
      <c r="V166" s="523"/>
      <c r="W166" s="523"/>
      <c r="X166" s="523"/>
      <c r="Y166" s="523"/>
      <c r="Z166" s="523"/>
    </row>
    <row r="167">
      <c r="A167" s="523"/>
      <c r="B167" s="524"/>
      <c r="C167" s="523" t="str">
        <f>IFERROR(__xludf.DUMMYFUNCTION("""COMPUTED_VALUE"""),"TC_Admin_739")</f>
        <v>TC_Admin_739</v>
      </c>
      <c r="D167" s="523" t="str">
        <f>IFERROR(__xludf.DUMMYFUNCTION("""COMPUTED_VALUE"""),"Functional")</f>
        <v>Functional</v>
      </c>
      <c r="E167" s="524" t="str">
        <f>IFERROR(__xludf.DUMMYFUNCTION("""COMPUTED_VALUE"""),"Check Packet Status")</f>
        <v>Check Packet Status</v>
      </c>
      <c r="F167" s="524" t="str">
        <f>IFERROR(__xludf.DUMMYFUNCTION("""COMPUTED_VALUE"""),"1. login to Admin
 2. Packet status")</f>
        <v>1. login to Admin
 2. Packet status</v>
      </c>
      <c r="G167" s="524" t="str">
        <f>IFERROR(__xludf.DUMMYFUNCTION("""COMPUTED_VALUE"""),"Check packet status in Admin UI before packet upload to registration processor from Regclient")</f>
        <v>Check packet status in Admin UI before packet upload to registration processor from Regclient</v>
      </c>
      <c r="H167" s="524" t="str">
        <f>IFERROR(__xludf.DUMMYFUNCTION("""COMPUTED_VALUE"""),"System should display error message "" packet not found"".")</f>
        <v>System should display error message " packet not found".</v>
      </c>
      <c r="I167" s="523" t="str">
        <f>IFERROR(__xludf.DUMMYFUNCTION("""COMPUTED_VALUE"""),"Fail")</f>
        <v>Fail</v>
      </c>
      <c r="J167" s="523" t="str">
        <f>IFERROR(__xludf.DUMMYFUNCTION("""COMPUTED_VALUE"""),"qa-double-rc2")</f>
        <v>qa-double-rc2</v>
      </c>
      <c r="K167" s="523"/>
      <c r="L167" s="523"/>
      <c r="M167" s="523"/>
      <c r="N167" s="523"/>
      <c r="O167" s="523"/>
      <c r="P167" s="523"/>
      <c r="Q167" s="523"/>
      <c r="R167" s="523"/>
      <c r="S167" s="523"/>
      <c r="T167" s="523"/>
      <c r="U167" s="523"/>
      <c r="V167" s="523"/>
      <c r="W167" s="523"/>
      <c r="X167" s="523"/>
      <c r="Y167" s="523"/>
      <c r="Z167" s="523"/>
    </row>
    <row r="168">
      <c r="A168" s="523"/>
      <c r="B168" s="524"/>
      <c r="C168" s="523" t="str">
        <f>IFERROR(__xludf.DUMMYFUNCTION("""COMPUTED_VALUE"""),"TC_Admin_740")</f>
        <v>TC_Admin_740</v>
      </c>
      <c r="D168" s="523" t="str">
        <f>IFERROR(__xludf.DUMMYFUNCTION("""COMPUTED_VALUE"""),"Functional")</f>
        <v>Functional</v>
      </c>
      <c r="E168" s="524" t="str">
        <f>IFERROR(__xludf.DUMMYFUNCTION("""COMPUTED_VALUE"""),"Check Packet Status")</f>
        <v>Check Packet Status</v>
      </c>
      <c r="F168" s="524" t="str">
        <f>IFERROR(__xludf.DUMMYFUNCTION("""COMPUTED_VALUE"""),"1. login to Admin
 2. Packet status")</f>
        <v>1. login to Admin
 2. Packet status</v>
      </c>
      <c r="G168" s="524" t="str">
        <f>IFERROR(__xludf.DUMMYFUNCTION("""COMPUTED_VALUE"""),"Check packet status in Admin UI after packet upload to registration processor from Regclient")</f>
        <v>Check packet status in Admin UI after packet upload to registration processor from Regclient</v>
      </c>
      <c r="H168" s="524" t="str">
        <f>IFERROR(__xludf.DUMMYFUNCTION("""COMPUTED_VALUE"""),"User should see all the stages that packet undergo once after upload")</f>
        <v>User should see all the stages that packet undergo once after upload</v>
      </c>
      <c r="I168" s="523" t="str">
        <f>IFERROR(__xludf.DUMMYFUNCTION("""COMPUTED_VALUE"""),"Fail")</f>
        <v>Fail</v>
      </c>
      <c r="J168" s="523" t="str">
        <f>IFERROR(__xludf.DUMMYFUNCTION("""COMPUTED_VALUE"""),"qa-double-rc2")</f>
        <v>qa-double-rc2</v>
      </c>
      <c r="K168" s="523"/>
      <c r="L168" s="523"/>
      <c r="M168" s="523"/>
      <c r="N168" s="523"/>
      <c r="O168" s="523"/>
      <c r="P168" s="523"/>
      <c r="Q168" s="523"/>
      <c r="R168" s="523"/>
      <c r="S168" s="523"/>
      <c r="T168" s="523"/>
      <c r="U168" s="523"/>
      <c r="V168" s="523"/>
      <c r="W168" s="523"/>
      <c r="X168" s="523"/>
      <c r="Y168" s="523"/>
      <c r="Z168" s="523"/>
    </row>
    <row r="169">
      <c r="A169" s="523"/>
      <c r="B169" s="524"/>
      <c r="C169" s="523" t="str">
        <f>IFERROR(__xludf.DUMMYFUNCTION("""COMPUTED_VALUE"""),"TC_Admin_741")</f>
        <v>TC_Admin_741</v>
      </c>
      <c r="D169" s="523" t="str">
        <f>IFERROR(__xludf.DUMMYFUNCTION("""COMPUTED_VALUE"""),"Functional")</f>
        <v>Functional</v>
      </c>
      <c r="E169" s="524" t="str">
        <f>IFERROR(__xludf.DUMMYFUNCTION("""COMPUTED_VALUE"""),"Check Packet Status")</f>
        <v>Check Packet Status</v>
      </c>
      <c r="F169" s="524" t="str">
        <f>IFERROR(__xludf.DUMMYFUNCTION("""COMPUTED_VALUE"""),"1. login to Admin
 2. Packet status")</f>
        <v>1. login to Admin
 2. Packet status</v>
      </c>
      <c r="G169" s="524" t="str">
        <f>IFERROR(__xludf.DUMMYFUNCTION("""COMPUTED_VALUE"""),"Check packet status in Admin UI when packets are upload through Admin packet upload feature")</f>
        <v>Check packet status in Admin UI when packets are upload through Admin packet upload feature</v>
      </c>
      <c r="H169" s="524" t="str">
        <f>IFERROR(__xludf.DUMMYFUNCTION("""COMPUTED_VALUE"""),"User should see all the stages that packet undergo once after upload")</f>
        <v>User should see all the stages that packet undergo once after upload</v>
      </c>
      <c r="I169" s="523" t="str">
        <f>IFERROR(__xludf.DUMMYFUNCTION("""COMPUTED_VALUE"""),"Fail")</f>
        <v>Fail</v>
      </c>
      <c r="J169" s="523" t="str">
        <f>IFERROR(__xludf.DUMMYFUNCTION("""COMPUTED_VALUE"""),"qa-double-rc2")</f>
        <v>qa-double-rc2</v>
      </c>
      <c r="K169" s="523"/>
      <c r="L169" s="523"/>
      <c r="M169" s="523"/>
      <c r="N169" s="523"/>
      <c r="O169" s="523"/>
      <c r="P169" s="523"/>
      <c r="Q169" s="523"/>
      <c r="R169" s="523"/>
      <c r="S169" s="523"/>
      <c r="T169" s="523"/>
      <c r="U169" s="523"/>
      <c r="V169" s="523"/>
      <c r="W169" s="523"/>
      <c r="X169" s="523"/>
      <c r="Y169" s="523"/>
      <c r="Z169" s="523"/>
    </row>
    <row r="170">
      <c r="A170" s="523"/>
      <c r="B170" s="524"/>
      <c r="C170" s="523" t="str">
        <f>IFERROR(__xludf.DUMMYFUNCTION("""COMPUTED_VALUE"""),"TC_Admin_742")</f>
        <v>TC_Admin_742</v>
      </c>
      <c r="D170" s="523" t="str">
        <f>IFERROR(__xludf.DUMMYFUNCTION("""COMPUTED_VALUE"""),"Functional")</f>
        <v>Functional</v>
      </c>
      <c r="E170" s="524" t="str">
        <f>IFERROR(__xludf.DUMMYFUNCTION("""COMPUTED_VALUE"""),"Check Packet Status")</f>
        <v>Check Packet Status</v>
      </c>
      <c r="F170" s="524" t="str">
        <f>IFERROR(__xludf.DUMMYFUNCTION("""COMPUTED_VALUE"""),"1. login to Admin
 2. Packet status")</f>
        <v>1. login to Admin
 2. Packet status</v>
      </c>
      <c r="G170" s="524" t="str">
        <f>IFERROR(__xludf.DUMMYFUNCTION("""COMPUTED_VALUE"""),"Check packet status in different login language that is configured")</f>
        <v>Check packet status in different login language that is configured</v>
      </c>
      <c r="H170" s="524" t="str">
        <f>IFERROR(__xludf.DUMMYFUNCTION("""COMPUTED_VALUE"""),"the message under each stage should be in logged-in language")</f>
        <v>the message under each stage should be in logged-in language</v>
      </c>
      <c r="I170" s="523" t="str">
        <f>IFERROR(__xludf.DUMMYFUNCTION("""COMPUTED_VALUE"""),"Fail")</f>
        <v>Fail</v>
      </c>
      <c r="J170" s="523" t="str">
        <f>IFERROR(__xludf.DUMMYFUNCTION("""COMPUTED_VALUE"""),"qa-double-rc2")</f>
        <v>qa-double-rc2</v>
      </c>
      <c r="K170" s="523"/>
      <c r="L170" s="523"/>
      <c r="M170" s="523"/>
      <c r="N170" s="523"/>
      <c r="O170" s="523"/>
      <c r="P170" s="523"/>
      <c r="Q170" s="523"/>
      <c r="R170" s="523"/>
      <c r="S170" s="523"/>
      <c r="T170" s="523"/>
      <c r="U170" s="523"/>
      <c r="V170" s="523"/>
      <c r="W170" s="523"/>
      <c r="X170" s="523"/>
      <c r="Y170" s="523"/>
      <c r="Z170" s="523"/>
    </row>
    <row r="171">
      <c r="A171" s="523" t="str">
        <f>IFERROR(__xludf.DUMMYFUNCTION("""COMPUTED_VALUE"""),"MOSIP-8530")</f>
        <v>MOSIP-8530</v>
      </c>
      <c r="B171" s="524"/>
      <c r="C171" s="523" t="str">
        <f>IFERROR(__xludf.DUMMYFUNCTION("""COMPUTED_VALUE"""),"TC_Admin_758")</f>
        <v>TC_Admin_758</v>
      </c>
      <c r="D171" s="523" t="str">
        <f>IFERROR(__xludf.DUMMYFUNCTION("""COMPUTED_VALUE"""),"Functional")</f>
        <v>Functional</v>
      </c>
      <c r="E171" s="524" t="str">
        <f>IFERROR(__xludf.DUMMYFUNCTION("""COMPUTED_VALUE"""),"MasterData API")</f>
        <v>MasterData API</v>
      </c>
      <c r="F171" s="524" t="str">
        <f>IFERROR(__xludf.DUMMYFUNCTION("""COMPUTED_VALUE"""),"Device controller")</f>
        <v>Device controller</v>
      </c>
      <c r="G171" s="524" t="str">
        <f>IFERROR(__xludf.DUMMYFUNCTION("""COMPUTED_VALUE"""),"Check validation message when regcenterId used which does not belong to Zonecode used which is of Logged-in administrative Zone in Device API")</f>
        <v>Check validation message when regcenterId used which does not belong to Zonecode used which is of Logged-in administrative Zone in Device API</v>
      </c>
      <c r="H171" s="524" t="str">
        <f>IFERROR(__xludf.DUMMYFUNCTION("""COMPUTED_VALUE"""),"System should display valid message saying "" Not authorized to access the Zone"".")</f>
        <v>System should display valid message saying " Not authorized to access the Zone".</v>
      </c>
      <c r="I171" s="523" t="str">
        <f>IFERROR(__xludf.DUMMYFUNCTION("""COMPUTED_VALUE"""),"Fail")</f>
        <v>Fail</v>
      </c>
      <c r="J171" s="523" t="str">
        <f>IFERROR(__xludf.DUMMYFUNCTION("""COMPUTED_VALUE"""),"qa-double-rc2")</f>
        <v>qa-double-rc2</v>
      </c>
      <c r="K171" s="523"/>
      <c r="L171" s="523"/>
      <c r="M171" s="523"/>
      <c r="N171" s="523"/>
      <c r="O171" s="523"/>
      <c r="P171" s="523"/>
      <c r="Q171" s="523"/>
      <c r="R171" s="523"/>
      <c r="S171" s="523"/>
      <c r="T171" s="523"/>
      <c r="U171" s="523"/>
      <c r="V171" s="523"/>
      <c r="W171" s="523"/>
      <c r="X171" s="523"/>
      <c r="Y171" s="523"/>
      <c r="Z171" s="523"/>
    </row>
    <row r="172">
      <c r="A172" s="523" t="str">
        <f>IFERROR(__xludf.DUMMYFUNCTION("""COMPUTED_VALUE"""),"MOSIP-8530")</f>
        <v>MOSIP-8530</v>
      </c>
      <c r="B172" s="524"/>
      <c r="C172" s="523" t="str">
        <f>IFERROR(__xludf.DUMMYFUNCTION("""COMPUTED_VALUE"""),"TC_Admin_766")</f>
        <v>TC_Admin_766</v>
      </c>
      <c r="D172" s="523" t="str">
        <f>IFERROR(__xludf.DUMMYFUNCTION("""COMPUTED_VALUE"""),"Functional")</f>
        <v>Functional</v>
      </c>
      <c r="E172" s="524" t="str">
        <f>IFERROR(__xludf.DUMMYFUNCTION("""COMPUTED_VALUE"""),"MasterData API")</f>
        <v>MasterData API</v>
      </c>
      <c r="F172" s="524" t="str">
        <f>IFERROR(__xludf.DUMMYFUNCTION("""COMPUTED_VALUE"""),"Machine controller")</f>
        <v>Machine controller</v>
      </c>
      <c r="G172" s="524" t="str">
        <f>IFERROR(__xludf.DUMMYFUNCTION("""COMPUTED_VALUE"""),"Check validation message when regcenterId used which does not belong to Zonecode used which is of Logged-in administrative Zone in Machine API")</f>
        <v>Check validation message when regcenterId used which does not belong to Zonecode used which is of Logged-in administrative Zone in Machine API</v>
      </c>
      <c r="H172" s="524" t="str">
        <f>IFERROR(__xludf.DUMMYFUNCTION("""COMPUTED_VALUE"""),"System should display valid message saying "" Not authorized to access the Zone"".")</f>
        <v>System should display valid message saying " Not authorized to access the Zone".</v>
      </c>
      <c r="I172" s="523" t="str">
        <f>IFERROR(__xludf.DUMMYFUNCTION("""COMPUTED_VALUE"""),"Fail")</f>
        <v>Fail</v>
      </c>
      <c r="J172" s="523" t="str">
        <f>IFERROR(__xludf.DUMMYFUNCTION("""COMPUTED_VALUE"""),"qa-double-rc2")</f>
        <v>qa-double-rc2</v>
      </c>
      <c r="K172" s="523"/>
      <c r="L172" s="523"/>
      <c r="M172" s="523"/>
      <c r="N172" s="523"/>
      <c r="O172" s="523"/>
      <c r="P172" s="523"/>
      <c r="Q172" s="523"/>
      <c r="R172" s="523"/>
      <c r="S172" s="523"/>
      <c r="T172" s="523"/>
      <c r="U172" s="523"/>
      <c r="V172" s="523"/>
      <c r="W172" s="523"/>
      <c r="X172" s="523"/>
      <c r="Y172" s="523"/>
      <c r="Z172" s="523"/>
    </row>
    <row r="173">
      <c r="A173" s="523" t="str">
        <f>IFERROR(__xludf.DUMMYFUNCTION("""COMPUTED_VALUE"""),"MOSIP-8530")</f>
        <v>MOSIP-8530</v>
      </c>
      <c r="B173" s="524"/>
      <c r="C173" s="523" t="str">
        <f>IFERROR(__xludf.DUMMYFUNCTION("""COMPUTED_VALUE"""),"TC_Admin_767")</f>
        <v>TC_Admin_767</v>
      </c>
      <c r="D173" s="523" t="str">
        <f>IFERROR(__xludf.DUMMYFUNCTION("""COMPUTED_VALUE"""),"Functional")</f>
        <v>Functional</v>
      </c>
      <c r="E173" s="524" t="str">
        <f>IFERROR(__xludf.DUMMYFUNCTION("""COMPUTED_VALUE"""),"MasterData API")</f>
        <v>MasterData API</v>
      </c>
      <c r="F173" s="524" t="str">
        <f>IFERROR(__xludf.DUMMYFUNCTION("""COMPUTED_VALUE"""),"Machine controller")</f>
        <v>Machine controller</v>
      </c>
      <c r="G173" s="524" t="str">
        <f>IFERROR(__xludf.DUMMYFUNCTION("""COMPUTED_VALUE"""),"Validate success response for POST request in Machine API")</f>
        <v>Validate success response for POST request in Machine API</v>
      </c>
      <c r="H173" s="524" t="str">
        <f>IFERROR(__xludf.DUMMYFUNCTION("""COMPUTED_VALUE"""),"Response should contain ZoneCode and regcenterId label and should be same as in request upon success.")</f>
        <v>Response should contain ZoneCode and regcenterId label and should be same as in request upon success.</v>
      </c>
      <c r="I173" s="523" t="str">
        <f>IFERROR(__xludf.DUMMYFUNCTION("""COMPUTED_VALUE"""),"Fail")</f>
        <v>Fail</v>
      </c>
      <c r="J173" s="523" t="str">
        <f>IFERROR(__xludf.DUMMYFUNCTION("""COMPUTED_VALUE"""),"qa-double-rc2")</f>
        <v>qa-double-rc2</v>
      </c>
      <c r="K173" s="523"/>
      <c r="L173" s="523"/>
      <c r="M173" s="523"/>
      <c r="N173" s="523"/>
      <c r="O173" s="523"/>
      <c r="P173" s="523"/>
      <c r="Q173" s="523"/>
      <c r="R173" s="523"/>
      <c r="S173" s="523"/>
      <c r="T173" s="523"/>
      <c r="U173" s="523"/>
      <c r="V173" s="523"/>
      <c r="W173" s="523"/>
      <c r="X173" s="523"/>
      <c r="Y173" s="523"/>
      <c r="Z173" s="523"/>
    </row>
    <row r="174">
      <c r="A174" s="523" t="str">
        <f>IFERROR(__xludf.DUMMYFUNCTION("""COMPUTED_VALUE"""),"MOSIP-8530")</f>
        <v>MOSIP-8530</v>
      </c>
      <c r="B174" s="524"/>
      <c r="C174" s="523" t="str">
        <f>IFERROR(__xludf.DUMMYFUNCTION("""COMPUTED_VALUE"""),"TC_Admin_768")</f>
        <v>TC_Admin_768</v>
      </c>
      <c r="D174" s="523" t="str">
        <f>IFERROR(__xludf.DUMMYFUNCTION("""COMPUTED_VALUE"""),"Functional")</f>
        <v>Functional</v>
      </c>
      <c r="E174" s="524" t="str">
        <f>IFERROR(__xludf.DUMMYFUNCTION("""COMPUTED_VALUE"""),"MasterData API")</f>
        <v>MasterData API</v>
      </c>
      <c r="F174" s="524" t="str">
        <f>IFERROR(__xludf.DUMMYFUNCTION("""COMPUTED_VALUE"""),"Machine controller")</f>
        <v>Machine controller</v>
      </c>
      <c r="G174" s="524" t="str">
        <f>IFERROR(__xludf.DUMMYFUNCTION("""COMPUTED_VALUE"""),"Validate success response for PUT request in Machine API")</f>
        <v>Validate success response for PUT request in Machine API</v>
      </c>
      <c r="H174" s="524" t="str">
        <f>IFERROR(__xludf.DUMMYFUNCTION("""COMPUTED_VALUE"""),"Response should contain ZoneCode and regcenterId label and should be same as in request upon success.")</f>
        <v>Response should contain ZoneCode and regcenterId label and should be same as in request upon success.</v>
      </c>
      <c r="I174" s="523" t="str">
        <f>IFERROR(__xludf.DUMMYFUNCTION("""COMPUTED_VALUE"""),"Fail")</f>
        <v>Fail</v>
      </c>
      <c r="J174" s="523" t="str">
        <f>IFERROR(__xludf.DUMMYFUNCTION("""COMPUTED_VALUE"""),"qa-double-rc2")</f>
        <v>qa-double-rc2</v>
      </c>
      <c r="K174" s="523"/>
      <c r="L174" s="523"/>
      <c r="M174" s="523"/>
      <c r="N174" s="523"/>
      <c r="O174" s="523"/>
      <c r="P174" s="523"/>
      <c r="Q174" s="523"/>
      <c r="R174" s="523"/>
      <c r="S174" s="523"/>
      <c r="T174" s="523"/>
      <c r="U174" s="523"/>
      <c r="V174" s="523"/>
      <c r="W174" s="523"/>
      <c r="X174" s="523"/>
      <c r="Y174" s="523"/>
      <c r="Z174" s="523"/>
    </row>
    <row r="175">
      <c r="A175" s="523" t="str">
        <f>IFERROR(__xludf.DUMMYFUNCTION("""COMPUTED_VALUE"""),"MOSIP-8530")</f>
        <v>MOSIP-8530</v>
      </c>
      <c r="B175" s="524"/>
      <c r="C175" s="523" t="str">
        <f>IFERROR(__xludf.DUMMYFUNCTION("""COMPUTED_VALUE"""),"TC_Admin_774")</f>
        <v>TC_Admin_774</v>
      </c>
      <c r="D175" s="523" t="str">
        <f>IFERROR(__xludf.DUMMYFUNCTION("""COMPUTED_VALUE"""),"Functional")</f>
        <v>Functional</v>
      </c>
      <c r="E175" s="524" t="str">
        <f>IFERROR(__xludf.DUMMYFUNCTION("""COMPUTED_VALUE"""),"SyncDataAPI")</f>
        <v>SyncDataAPI</v>
      </c>
      <c r="F175" s="524" t="str">
        <f>IFERROR(__xludf.DUMMYFUNCTION("""COMPUTED_VALUE"""),"SyncData API")</f>
        <v>SyncData API</v>
      </c>
      <c r="G175" s="524" t="str">
        <f>IFERROR(__xludf.DUMMYFUNCTION("""COMPUTED_VALUE"""),"/syncdata/publickey/ API")</f>
        <v>/syncdata/publickey/ API</v>
      </c>
      <c r="H175" s="524" t="str">
        <f>IFERROR(__xludf.DUMMYFUNCTION("""COMPUTED_VALUE"""),"Should get publickey based on application ID")</f>
        <v>Should get publickey based on application ID</v>
      </c>
      <c r="I175" s="523" t="str">
        <f>IFERROR(__xludf.DUMMYFUNCTION("""COMPUTED_VALUE"""),"Fail")</f>
        <v>Fail</v>
      </c>
      <c r="J175" s="523" t="str">
        <f>IFERROR(__xludf.DUMMYFUNCTION("""COMPUTED_VALUE"""),"qa-double-rc2")</f>
        <v>qa-double-rc2</v>
      </c>
      <c r="K175" s="523"/>
      <c r="L175" s="523"/>
      <c r="M175" s="523"/>
      <c r="N175" s="523"/>
      <c r="O175" s="523"/>
      <c r="P175" s="523"/>
      <c r="Q175" s="523"/>
      <c r="R175" s="523"/>
      <c r="S175" s="523"/>
      <c r="T175" s="523"/>
      <c r="U175" s="523"/>
      <c r="V175" s="523"/>
      <c r="W175" s="523"/>
      <c r="X175" s="523"/>
      <c r="Y175" s="523"/>
      <c r="Z175" s="523"/>
    </row>
    <row r="176">
      <c r="A176" s="523" t="str">
        <f>IFERROR(__xludf.DUMMYFUNCTION("""COMPUTED_VALUE"""),"MOSIP-12430")</f>
        <v>MOSIP-12430</v>
      </c>
      <c r="B176" s="524"/>
      <c r="C176" s="523" t="str">
        <f>IFERROR(__xludf.DUMMYFUNCTION("""COMPUTED_VALUE"""),"TC_Admin_792")</f>
        <v>TC_Admin_792</v>
      </c>
      <c r="D176" s="523" t="str">
        <f>IFERROR(__xludf.DUMMYFUNCTION("""COMPUTED_VALUE"""),"Functional")</f>
        <v>Functional</v>
      </c>
      <c r="E176" s="524" t="str">
        <f>IFERROR(__xludf.DUMMYFUNCTION("""COMPUTED_VALUE"""),"Retrieve LOST RID")</f>
        <v>Retrieve LOST RID</v>
      </c>
      <c r="F176" s="524" t="str">
        <f>IFERROR(__xludf.DUMMYFUNCTION("""COMPUTED_VALUE"""),"1. Login to Admin
 2. Retrieve LOST RID 
 3. Detail view page")</f>
        <v>1. Login to Admin
 2. Retrieve LOST RID 
 3. Detail view page</v>
      </c>
      <c r="G176" s="524" t="str">
        <f>IFERROR(__xludf.DUMMYFUNCTION("""COMPUTED_VALUE"""),"Verify the registration date limit")</f>
        <v>Verify the registration date limit</v>
      </c>
      <c r="H176" s="524" t="str">
        <f>IFERROR(__xludf.DUMMYFUNCTION("""COMPUTED_VALUE"""),"Config: registration-processor-default-dmz.properties
 mosip.registration.processor.lostrid.max-registration-date-filter-interval=15
 The error popup message should be displayed when registration date exceeds the configured range.")</f>
        <v>Config: registration-processor-default-dmz.properties
 mosip.registration.processor.lostrid.max-registration-date-filter-interval=15
 The error popup message should be displayed when registration date exceeds the configured range.</v>
      </c>
      <c r="I176" s="523" t="str">
        <f>IFERROR(__xludf.DUMMYFUNCTION("""COMPUTED_VALUE"""),"Fail")</f>
        <v>Fail</v>
      </c>
      <c r="J176" s="523" t="str">
        <f>IFERROR(__xludf.DUMMYFUNCTION("""COMPUTED_VALUE"""),"qa-double-rc2")</f>
        <v>qa-double-rc2</v>
      </c>
      <c r="K176" s="523"/>
      <c r="L176" s="523"/>
      <c r="M176" s="523"/>
      <c r="N176" s="523"/>
      <c r="O176" s="523"/>
      <c r="P176" s="523"/>
      <c r="Q176" s="523"/>
      <c r="R176" s="523"/>
      <c r="S176" s="523"/>
      <c r="T176" s="523"/>
      <c r="U176" s="523"/>
      <c r="V176" s="523"/>
      <c r="W176" s="523"/>
      <c r="X176" s="523"/>
      <c r="Y176" s="523"/>
      <c r="Z176" s="523"/>
    </row>
    <row r="177">
      <c r="A177" s="523" t="str">
        <f>IFERROR(__xludf.DUMMYFUNCTION("""COMPUTED_VALUE"""),"MOSIP-12430")</f>
        <v>MOSIP-12430</v>
      </c>
      <c r="B177" s="524"/>
      <c r="C177" s="523" t="str">
        <f>IFERROR(__xludf.DUMMYFUNCTION("""COMPUTED_VALUE"""),"TC_Admin_795")</f>
        <v>TC_Admin_795</v>
      </c>
      <c r="D177" s="523" t="str">
        <f>IFERROR(__xludf.DUMMYFUNCTION("""COMPUTED_VALUE"""),"Functional")</f>
        <v>Functional</v>
      </c>
      <c r="E177" s="524" t="str">
        <f>IFERROR(__xludf.DUMMYFUNCTION("""COMPUTED_VALUE"""),"Retrieve LOST RID")</f>
        <v>Retrieve LOST RID</v>
      </c>
      <c r="F177" s="524" t="str">
        <f>IFERROR(__xludf.DUMMYFUNCTION("""COMPUTED_VALUE"""),"1. Login to Admin
 2. Retrieve LOST RID 
 3. Detail view page")</f>
        <v>1. Login to Admin
 2. Retrieve LOST RID 
 3. Detail view page</v>
      </c>
      <c r="G177" s="524" t="str">
        <f>IFERROR(__xludf.DUMMYFUNCTION("""COMPUTED_VALUE"""),"Verify if Name column")</f>
        <v>Verify if Name column</v>
      </c>
      <c r="H177" s="524" t="str">
        <f>IFERROR(__xludf.DUMMYFUNCTION("""COMPUTED_VALUE"""),"Name should be displayed correctly and should also include details like phone, emailID if provided as an input.")</f>
        <v>Name should be displayed correctly and should also include details like phone, emailID if provided as an input.</v>
      </c>
      <c r="I177" s="523" t="str">
        <f>IFERROR(__xludf.DUMMYFUNCTION("""COMPUTED_VALUE"""),"Fail")</f>
        <v>Fail</v>
      </c>
      <c r="J177" s="523" t="str">
        <f>IFERROR(__xludf.DUMMYFUNCTION("""COMPUTED_VALUE"""),"qa-double-rc2")</f>
        <v>qa-double-rc2</v>
      </c>
      <c r="K177" s="523"/>
      <c r="L177" s="523"/>
      <c r="M177" s="523"/>
      <c r="N177" s="523"/>
      <c r="O177" s="523"/>
      <c r="P177" s="523"/>
      <c r="Q177" s="523"/>
      <c r="R177" s="523"/>
      <c r="S177" s="523"/>
      <c r="T177" s="523"/>
      <c r="U177" s="523"/>
      <c r="V177" s="523"/>
      <c r="W177" s="523"/>
      <c r="X177" s="523"/>
      <c r="Y177" s="523"/>
      <c r="Z177" s="523"/>
    </row>
    <row r="178">
      <c r="A178" s="523" t="str">
        <f>IFERROR(__xludf.DUMMYFUNCTION("""COMPUTED_VALUE"""),"MOSIP-11846")</f>
        <v>MOSIP-11846</v>
      </c>
      <c r="B178" s="524"/>
      <c r="C178" s="523" t="str">
        <f>IFERROR(__xludf.DUMMYFUNCTION("""COMPUTED_VALUE"""),"IDA_Unlock_06")</f>
        <v>IDA_Unlock_06</v>
      </c>
      <c r="D178" s="523" t="str">
        <f>IFERROR(__xludf.DUMMYFUNCTION("""COMPUTED_VALUE"""),"Integration")</f>
        <v>Integration</v>
      </c>
      <c r="E178" s="524" t="str">
        <f>IFERROR(__xludf.DUMMYFUNCTION("""COMPUTED_VALUE"""),"Unlock")</f>
        <v>Unlock</v>
      </c>
      <c r="F178" s="524" t="str">
        <f>IFERROR(__xludf.DUMMYFUNCTION("""COMPUTED_VALUE"""),"To validate that email is received at the time of lock and unlock")</f>
        <v>To validate that email is received at the time of lock and unlock</v>
      </c>
      <c r="G178" s="524"/>
      <c r="H178" s="524" t="str">
        <f>IFERROR(__xludf.DUMMYFUNCTION("""COMPUTED_VALUE"""),"The user should receive proper email")</f>
        <v>The user should receive proper email</v>
      </c>
      <c r="I178" s="523" t="str">
        <f>IFERROR(__xludf.DUMMYFUNCTION("""COMPUTED_VALUE"""),"Fail")</f>
        <v>Fail</v>
      </c>
      <c r="J178" s="523"/>
      <c r="K178" s="523"/>
      <c r="L178" s="523"/>
      <c r="M178" s="523"/>
      <c r="N178" s="523"/>
      <c r="O178" s="523"/>
      <c r="P178" s="523"/>
      <c r="Q178" s="523"/>
      <c r="R178" s="523"/>
      <c r="S178" s="523"/>
      <c r="T178" s="523"/>
      <c r="U178" s="523"/>
      <c r="V178" s="523"/>
      <c r="W178" s="523"/>
      <c r="X178" s="523"/>
      <c r="Y178" s="523"/>
      <c r="Z178" s="523"/>
    </row>
    <row r="179">
      <c r="A179" s="523" t="str">
        <f>IFERROR(__xludf.DUMMYFUNCTION("""COMPUTED_VALUE"""),"MOSIP-11846")</f>
        <v>MOSIP-11846</v>
      </c>
      <c r="B179" s="524"/>
      <c r="C179" s="523" t="str">
        <f>IFERROR(__xludf.DUMMYFUNCTION("""COMPUTED_VALUE"""),"IDA_Unlock_10")</f>
        <v>IDA_Unlock_10</v>
      </c>
      <c r="D179" s="523" t="str">
        <f>IFERROR(__xludf.DUMMYFUNCTION("""COMPUTED_VALUE"""),"Integration")</f>
        <v>Integration</v>
      </c>
      <c r="E179" s="524" t="str">
        <f>IFERROR(__xludf.DUMMYFUNCTION("""COMPUTED_VALUE"""),"Unlock")</f>
        <v>Unlock</v>
      </c>
      <c r="F179" s="524" t="str">
        <f>IFERROR(__xludf.DUMMYFUNCTION("""COMPUTED_VALUE"""),"Try to unlock the authentication type when its already unlocked for that fraction of time")</f>
        <v>Try to unlock the authentication type when its already unlocked for that fraction of time</v>
      </c>
      <c r="G179" s="524"/>
      <c r="H179" s="524" t="str">
        <f>IFERROR(__xludf.DUMMYFUNCTION("""COMPUTED_VALUE"""),"User should be get notification its already unlocked.")</f>
        <v>User should be get notification its already unlocked.</v>
      </c>
      <c r="I179" s="523" t="str">
        <f>IFERROR(__xludf.DUMMYFUNCTION("""COMPUTED_VALUE"""),"Fail")</f>
        <v>Fail</v>
      </c>
      <c r="J179" s="523"/>
      <c r="K179" s="523"/>
      <c r="L179" s="523"/>
      <c r="M179" s="523"/>
      <c r="N179" s="523"/>
      <c r="O179" s="523"/>
      <c r="P179" s="523"/>
      <c r="Q179" s="523"/>
      <c r="R179" s="523"/>
      <c r="S179" s="523"/>
      <c r="T179" s="523"/>
      <c r="U179" s="523"/>
      <c r="V179" s="523"/>
      <c r="W179" s="523"/>
      <c r="X179" s="523"/>
      <c r="Y179" s="523"/>
      <c r="Z179" s="523"/>
    </row>
    <row r="180">
      <c r="A180" s="523" t="str">
        <f>IFERROR(__xludf.DUMMYFUNCTION("""COMPUTED_VALUE"""),"MOSIP-15203")</f>
        <v>MOSIP-15203</v>
      </c>
      <c r="B180" s="524"/>
      <c r="C180" s="523" t="str">
        <f>IFERROR(__xludf.DUMMYFUNCTION("""COMPUTED_VALUE"""),"IDA_Auth_4")</f>
        <v>IDA_Auth_4</v>
      </c>
      <c r="D180" s="523" t="str">
        <f>IFERROR(__xludf.DUMMYFUNCTION("""COMPUTED_VALUE"""),"Functional")</f>
        <v>Functional</v>
      </c>
      <c r="E180" s="524" t="str">
        <f>IFERROR(__xludf.DUMMYFUNCTION("""COMPUTED_VALUE"""),"Auth")</f>
        <v>Auth</v>
      </c>
      <c r="F180" s="524" t="str">
        <f>IFERROR(__xludf.DUMMYFUNCTION("""COMPUTED_VALUE"""),"To Add Value under application property of demo service as mosip.env=abc which is not set under config propery try to do auth with it")</f>
        <v>To Add Value under application property of demo service as mosip.env=abc which is not set under config propery try to do auth with it</v>
      </c>
      <c r="G180" s="524"/>
      <c r="H180" s="524" t="str">
        <f>IFERROR(__xludf.DUMMYFUNCTION("""COMPUTED_VALUE"""),"The Auth should be unsuccessfull")</f>
        <v>The Auth should be unsuccessfull</v>
      </c>
      <c r="I180" s="523" t="str">
        <f>IFERROR(__xludf.DUMMYFUNCTION("""COMPUTED_VALUE"""),"Fail")</f>
        <v>Fail</v>
      </c>
      <c r="J180" s="523"/>
      <c r="K180" s="523"/>
      <c r="L180" s="523"/>
      <c r="M180" s="523"/>
      <c r="N180" s="523"/>
      <c r="O180" s="523"/>
      <c r="P180" s="523"/>
      <c r="Q180" s="523"/>
      <c r="R180" s="523"/>
      <c r="S180" s="523"/>
      <c r="T180" s="523"/>
      <c r="U180" s="523"/>
      <c r="V180" s="523"/>
      <c r="W180" s="523"/>
      <c r="X180" s="523"/>
      <c r="Y180" s="523"/>
      <c r="Z180" s="523"/>
    </row>
    <row r="181">
      <c r="A181" s="523" t="str">
        <f>IFERROR(__xludf.DUMMYFUNCTION("""COMPUTED_VALUE"""),"MOSIP-15206")</f>
        <v>MOSIP-15206</v>
      </c>
      <c r="B181" s="524"/>
      <c r="C181" s="523" t="str">
        <f>IFERROR(__xludf.DUMMYFUNCTION("""COMPUTED_VALUE"""),"IDA_Auth_3")</f>
        <v>IDA_Auth_3</v>
      </c>
      <c r="D181" s="523" t="str">
        <f>IFERROR(__xludf.DUMMYFUNCTION("""COMPUTED_VALUE"""),"Functional")</f>
        <v>Functional</v>
      </c>
      <c r="E181" s="524" t="str">
        <f>IFERROR(__xludf.DUMMYFUNCTION("""COMPUTED_VALUE"""),"Auth")</f>
        <v>Auth</v>
      </c>
      <c r="F181" s="524" t="str">
        <f>IFERROR(__xludf.DUMMYFUNCTION("""COMPUTED_VALUE"""),"To remove Value under mosip.ida.allowed.domain.uris= qa1.mosip.net, try to do auth with it")</f>
        <v>To remove Value under mosip.ida.allowed.domain.uris= qa1.mosip.net, try to do auth with it</v>
      </c>
      <c r="G181" s="524"/>
      <c r="H181" s="524" t="str">
        <f>IFERROR(__xludf.DUMMYFUNCTION("""COMPUTED_VALUE"""),"The Auth should be unsuccessfull")</f>
        <v>The Auth should be unsuccessfull</v>
      </c>
      <c r="I181" s="523" t="str">
        <f>IFERROR(__xludf.DUMMYFUNCTION("""COMPUTED_VALUE"""),"Fail")</f>
        <v>Fail</v>
      </c>
      <c r="J181" s="523"/>
      <c r="K181" s="523"/>
      <c r="L181" s="523"/>
      <c r="M181" s="523"/>
      <c r="N181" s="523"/>
      <c r="O181" s="523"/>
      <c r="P181" s="523"/>
      <c r="Q181" s="523"/>
      <c r="R181" s="523"/>
      <c r="S181" s="523"/>
      <c r="T181" s="523"/>
      <c r="U181" s="523"/>
      <c r="V181" s="523"/>
      <c r="W181" s="523"/>
      <c r="X181" s="523"/>
      <c r="Y181" s="523"/>
      <c r="Z181" s="523"/>
    </row>
    <row r="182">
      <c r="A182" s="523" t="str">
        <f>IFERROR(__xludf.DUMMYFUNCTION("""COMPUTED_VALUE"""),"MOSIP-14738")</f>
        <v>MOSIP-14738</v>
      </c>
      <c r="B182" s="524"/>
      <c r="C182" s="523" t="str">
        <f>IFERROR(__xludf.DUMMYFUNCTION("""COMPUTED_VALUE"""),"IDA_Internal_Auth_3")</f>
        <v>IDA_Internal_Auth_3</v>
      </c>
      <c r="D182" s="523" t="str">
        <f>IFERROR(__xludf.DUMMYFUNCTION("""COMPUTED_VALUE"""),"Functional")</f>
        <v>Functional</v>
      </c>
      <c r="E182" s="524" t="str">
        <f>IFERROR(__xludf.DUMMYFUNCTION("""COMPUTED_VALUE"""),"InternalAuth")</f>
        <v>InternalAuth</v>
      </c>
      <c r="F182" s="524" t="str">
        <f>IFERROR(__xludf.DUMMYFUNCTION("""COMPUTED_VALUE"""),"Try to perform the New Internal auth 
  a)Create internal Auth request 
  b)Copy Signature from response header
  c) Paste the Signature under internal Auth request Header")</f>
        <v>Try to perform the New Internal auth 
  a)Create internal Auth request 
  b)Copy Signature from response header
  c) Paste the Signature under internal Auth request Header</v>
      </c>
      <c r="G182" s="524"/>
      <c r="H182" s="524" t="str">
        <f>IFERROR(__xludf.DUMMYFUNCTION("""COMPUTED_VALUE"""),"The internal Auth signature is not requred and auth should get successfull")</f>
        <v>The internal Auth signature is not requred and auth should get successfull</v>
      </c>
      <c r="I182" s="523" t="str">
        <f>IFERROR(__xludf.DUMMYFUNCTION("""COMPUTED_VALUE"""),"Fail")</f>
        <v>Fail</v>
      </c>
      <c r="J182" s="523"/>
      <c r="K182" s="523"/>
      <c r="L182" s="523"/>
      <c r="M182" s="523"/>
      <c r="N182" s="523"/>
      <c r="O182" s="523"/>
      <c r="P182" s="523"/>
      <c r="Q182" s="523"/>
      <c r="R182" s="523"/>
      <c r="S182" s="523"/>
      <c r="T182" s="523"/>
      <c r="U182" s="523"/>
      <c r="V182" s="523"/>
      <c r="W182" s="523"/>
      <c r="X182" s="523"/>
      <c r="Y182" s="523"/>
      <c r="Z182" s="523"/>
    </row>
    <row r="183">
      <c r="A183" s="523" t="str">
        <f>IFERROR(__xludf.DUMMYFUNCTION("""COMPUTED_VALUE"""),"MOSIP-10476")</f>
        <v>MOSIP-10476</v>
      </c>
      <c r="B183" s="524"/>
      <c r="C183" s="523" t="str">
        <f>IFERROR(__xludf.DUMMYFUNCTION("""COMPUTED_VALUE"""),"IDA_Auth_03")</f>
        <v>IDA_Auth_03</v>
      </c>
      <c r="D183" s="523" t="str">
        <f>IFERROR(__xludf.DUMMYFUNCTION("""COMPUTED_VALUE"""),"Functional")</f>
        <v>Functional</v>
      </c>
      <c r="E183" s="524" t="str">
        <f>IFERROR(__xludf.DUMMYFUNCTION("""COMPUTED_VALUE"""),"Template")</f>
        <v>Template</v>
      </c>
      <c r="F183" s="524" t="str">
        <f>IFERROR(__xludf.DUMMYFUNCTION("""COMPUTED_VALUE"""),"Verify for email notification content for 'hin'")</f>
        <v>Verify for email notification content for 'hin'</v>
      </c>
      <c r="G183" s="524" t="str">
        <f>IFERROR(__xludf.DUMMYFUNCTION("""COMPUTED_VALUE"""),"1.Change auth-email-content template
  2.Do auth
  3. Check email notifiaction")</f>
        <v>1.Change auth-email-content template
  2.Do auth
  3. Check email notifiaction</v>
      </c>
      <c r="H183" s="524" t="str">
        <f>IFERROR(__xludf.DUMMYFUNCTION("""COMPUTED_VALUE"""),"Changed template should reflect in email content")</f>
        <v>Changed template should reflect in email content</v>
      </c>
      <c r="I183" s="523" t="str">
        <f>IFERROR(__xludf.DUMMYFUNCTION("""COMPUTED_VALUE"""),"Fail")</f>
        <v>Fail</v>
      </c>
      <c r="J183" s="523"/>
      <c r="K183" s="523" t="str">
        <f>IFERROR(__xludf.DUMMYFUNCTION("""COMPUTED_VALUE"""),"qa-double-rc2
  qa-triple-rc2")</f>
        <v>qa-double-rc2
  qa-triple-rc2</v>
      </c>
      <c r="L183" s="523"/>
      <c r="M183" s="523"/>
      <c r="N183" s="523"/>
      <c r="O183" s="523"/>
      <c r="P183" s="523"/>
      <c r="Q183" s="523"/>
      <c r="R183" s="523"/>
      <c r="S183" s="523"/>
      <c r="T183" s="523"/>
      <c r="U183" s="523"/>
      <c r="V183" s="523"/>
      <c r="W183" s="523"/>
      <c r="X183" s="523"/>
      <c r="Y183" s="523"/>
      <c r="Z183" s="523"/>
    </row>
    <row r="184">
      <c r="A184" s="523" t="str">
        <f>IFERROR(__xludf.DUMMYFUNCTION("""COMPUTED_VALUE"""),"MOSIP-10476")</f>
        <v>MOSIP-10476</v>
      </c>
      <c r="B184" s="524"/>
      <c r="C184" s="523" t="str">
        <f>IFERROR(__xludf.DUMMYFUNCTION("""COMPUTED_VALUE"""),"IDA_Auth_04")</f>
        <v>IDA_Auth_04</v>
      </c>
      <c r="D184" s="523" t="str">
        <f>IFERROR(__xludf.DUMMYFUNCTION("""COMPUTED_VALUE"""),"Functional")</f>
        <v>Functional</v>
      </c>
      <c r="E184" s="524" t="str">
        <f>IFERROR(__xludf.DUMMYFUNCTION("""COMPUTED_VALUE"""),"Template")</f>
        <v>Template</v>
      </c>
      <c r="F184" s="524" t="str">
        <f>IFERROR(__xludf.DUMMYFUNCTION("""COMPUTED_VALUE"""),"Verify for email notification content for 'kan'")</f>
        <v>Verify for email notification content for 'kan'</v>
      </c>
      <c r="G184" s="524" t="str">
        <f>IFERROR(__xludf.DUMMYFUNCTION("""COMPUTED_VALUE"""),"1.Change auth-email-content template
  2.Do auth
  3. Check email notifiaction")</f>
        <v>1.Change auth-email-content template
  2.Do auth
  3. Check email notifiaction</v>
      </c>
      <c r="H184" s="524" t="str">
        <f>IFERROR(__xludf.DUMMYFUNCTION("""COMPUTED_VALUE"""),"Changed template should reflect in email content")</f>
        <v>Changed template should reflect in email content</v>
      </c>
      <c r="I184" s="523" t="str">
        <f>IFERROR(__xludf.DUMMYFUNCTION("""COMPUTED_VALUE"""),"Fail")</f>
        <v>Fail</v>
      </c>
      <c r="J184" s="523"/>
      <c r="K184" s="523" t="str">
        <f>IFERROR(__xludf.DUMMYFUNCTION("""COMPUTED_VALUE"""),"qa-double-rc2
  qa-triple-rc2")</f>
        <v>qa-double-rc2
  qa-triple-rc2</v>
      </c>
      <c r="L184" s="523"/>
      <c r="M184" s="523"/>
      <c r="N184" s="523"/>
      <c r="O184" s="523"/>
      <c r="P184" s="523"/>
      <c r="Q184" s="523"/>
      <c r="R184" s="523"/>
      <c r="S184" s="523"/>
      <c r="T184" s="523"/>
      <c r="U184" s="523"/>
      <c r="V184" s="523"/>
      <c r="W184" s="523"/>
      <c r="X184" s="523"/>
      <c r="Y184" s="523"/>
      <c r="Z184" s="523"/>
    </row>
    <row r="185">
      <c r="A185" s="523" t="str">
        <f>IFERROR(__xludf.DUMMYFUNCTION("""COMPUTED_VALUE"""),"MOSIP-10476")</f>
        <v>MOSIP-10476</v>
      </c>
      <c r="B185" s="524"/>
      <c r="C185" s="523" t="str">
        <f>IFERROR(__xludf.DUMMYFUNCTION("""COMPUTED_VALUE"""),"IDA_Auth_05")</f>
        <v>IDA_Auth_05</v>
      </c>
      <c r="D185" s="523" t="str">
        <f>IFERROR(__xludf.DUMMYFUNCTION("""COMPUTED_VALUE"""),"Functional")</f>
        <v>Functional</v>
      </c>
      <c r="E185" s="524" t="str">
        <f>IFERROR(__xludf.DUMMYFUNCTION("""COMPUTED_VALUE"""),"Template")</f>
        <v>Template</v>
      </c>
      <c r="F185" s="524" t="str">
        <f>IFERROR(__xludf.DUMMYFUNCTION("""COMPUTED_VALUE"""),"Verify for email notification content for 'tam'")</f>
        <v>Verify for email notification content for 'tam'</v>
      </c>
      <c r="G185" s="524" t="str">
        <f>IFERROR(__xludf.DUMMYFUNCTION("""COMPUTED_VALUE"""),"1.Change auth-email-content template
  2.Do auth
  3. Check email notifiaction")</f>
        <v>1.Change auth-email-content template
  2.Do auth
  3. Check email notifiaction</v>
      </c>
      <c r="H185" s="524" t="str">
        <f>IFERROR(__xludf.DUMMYFUNCTION("""COMPUTED_VALUE"""),"Changed template should reflect in email content")</f>
        <v>Changed template should reflect in email content</v>
      </c>
      <c r="I185" s="523" t="str">
        <f>IFERROR(__xludf.DUMMYFUNCTION("""COMPUTED_VALUE"""),"Fail")</f>
        <v>Fail</v>
      </c>
      <c r="J185" s="523"/>
      <c r="K185" s="523" t="str">
        <f>IFERROR(__xludf.DUMMYFUNCTION("""COMPUTED_VALUE"""),"qa-double-rc2
  qa-triple-rc2")</f>
        <v>qa-double-rc2
  qa-triple-rc2</v>
      </c>
      <c r="L185" s="523"/>
      <c r="M185" s="523"/>
      <c r="N185" s="523"/>
      <c r="O185" s="523"/>
      <c r="P185" s="523"/>
      <c r="Q185" s="523"/>
      <c r="R185" s="523"/>
      <c r="S185" s="523"/>
      <c r="T185" s="523"/>
      <c r="U185" s="523"/>
      <c r="V185" s="523"/>
      <c r="W185" s="523"/>
      <c r="X185" s="523"/>
      <c r="Y185" s="523"/>
      <c r="Z185" s="523"/>
    </row>
    <row r="186">
      <c r="A186" s="523" t="str">
        <f>IFERROR(__xludf.DUMMYFUNCTION("""COMPUTED_VALUE"""),"MOSIP-10476")</f>
        <v>MOSIP-10476</v>
      </c>
      <c r="B186" s="524"/>
      <c r="C186" s="523" t="str">
        <f>IFERROR(__xludf.DUMMYFUNCTION("""COMPUTED_VALUE"""),"IDA_Auth_08")</f>
        <v>IDA_Auth_08</v>
      </c>
      <c r="D186" s="523" t="str">
        <f>IFERROR(__xludf.DUMMYFUNCTION("""COMPUTED_VALUE"""),"Functional")</f>
        <v>Functional</v>
      </c>
      <c r="E186" s="524" t="str">
        <f>IFERROR(__xludf.DUMMYFUNCTION("""COMPUTED_VALUE"""),"Template")</f>
        <v>Template</v>
      </c>
      <c r="F186" s="524" t="str">
        <f>IFERROR(__xludf.DUMMYFUNCTION("""COMPUTED_VALUE"""),"Verify for email subject in notification for 'hin'")</f>
        <v>Verify for email subject in notification for 'hin'</v>
      </c>
      <c r="G186" s="524" t="str">
        <f>IFERROR(__xludf.DUMMYFUNCTION("""COMPUTED_VALUE"""),"1.Change auth-email-subject template
  2.Do auth
  3. Check email notifiaction")</f>
        <v>1.Change auth-email-subject template
  2.Do auth
  3. Check email notifiaction</v>
      </c>
      <c r="H186" s="524" t="str">
        <f>IFERROR(__xludf.DUMMYFUNCTION("""COMPUTED_VALUE"""),"Changed template should reflect in email subject")</f>
        <v>Changed template should reflect in email subject</v>
      </c>
      <c r="I186" s="523" t="str">
        <f>IFERROR(__xludf.DUMMYFUNCTION("""COMPUTED_VALUE"""),"Fail")</f>
        <v>Fail</v>
      </c>
      <c r="J186" s="523"/>
      <c r="K186" s="523" t="str">
        <f>IFERROR(__xludf.DUMMYFUNCTION("""COMPUTED_VALUE"""),"qa-double-rc2
  qa-triple-rc2")</f>
        <v>qa-double-rc2
  qa-triple-rc2</v>
      </c>
      <c r="L186" s="523"/>
      <c r="M186" s="523"/>
      <c r="N186" s="523"/>
      <c r="O186" s="523"/>
      <c r="P186" s="523"/>
      <c r="Q186" s="523"/>
      <c r="R186" s="523"/>
      <c r="S186" s="523"/>
      <c r="T186" s="523"/>
      <c r="U186" s="523"/>
      <c r="V186" s="523"/>
      <c r="W186" s="523"/>
      <c r="X186" s="523"/>
      <c r="Y186" s="523"/>
      <c r="Z186" s="523"/>
    </row>
    <row r="187">
      <c r="A187" s="523" t="str">
        <f>IFERROR(__xludf.DUMMYFUNCTION("""COMPUTED_VALUE"""),"MOSIP-10476")</f>
        <v>MOSIP-10476</v>
      </c>
      <c r="B187" s="524"/>
      <c r="C187" s="523" t="str">
        <f>IFERROR(__xludf.DUMMYFUNCTION("""COMPUTED_VALUE"""),"IDA_Auth_09")</f>
        <v>IDA_Auth_09</v>
      </c>
      <c r="D187" s="523" t="str">
        <f>IFERROR(__xludf.DUMMYFUNCTION("""COMPUTED_VALUE"""),"Functional")</f>
        <v>Functional</v>
      </c>
      <c r="E187" s="524" t="str">
        <f>IFERROR(__xludf.DUMMYFUNCTION("""COMPUTED_VALUE"""),"Template")</f>
        <v>Template</v>
      </c>
      <c r="F187" s="524" t="str">
        <f>IFERROR(__xludf.DUMMYFUNCTION("""COMPUTED_VALUE"""),"Verify for email subject in notification for 'kan'")</f>
        <v>Verify for email subject in notification for 'kan'</v>
      </c>
      <c r="G187" s="524" t="str">
        <f>IFERROR(__xludf.DUMMYFUNCTION("""COMPUTED_VALUE"""),"1.Change auth-email-subject template
  2.Do auth
  3. Check email notifiaction")</f>
        <v>1.Change auth-email-subject template
  2.Do auth
  3. Check email notifiaction</v>
      </c>
      <c r="H187" s="524" t="str">
        <f>IFERROR(__xludf.DUMMYFUNCTION("""COMPUTED_VALUE"""),"Changed template should reflect in email subject")</f>
        <v>Changed template should reflect in email subject</v>
      </c>
      <c r="I187" s="523" t="str">
        <f>IFERROR(__xludf.DUMMYFUNCTION("""COMPUTED_VALUE"""),"Fail")</f>
        <v>Fail</v>
      </c>
      <c r="J187" s="523"/>
      <c r="K187" s="523" t="str">
        <f>IFERROR(__xludf.DUMMYFUNCTION("""COMPUTED_VALUE"""),"qa-double-rc2
  qa-triple-rc2")</f>
        <v>qa-double-rc2
  qa-triple-rc2</v>
      </c>
      <c r="L187" s="523"/>
      <c r="M187" s="523"/>
      <c r="N187" s="523"/>
      <c r="O187" s="523"/>
      <c r="P187" s="523"/>
      <c r="Q187" s="523"/>
      <c r="R187" s="523"/>
      <c r="S187" s="523"/>
      <c r="T187" s="523"/>
      <c r="U187" s="523"/>
      <c r="V187" s="523"/>
      <c r="W187" s="523"/>
      <c r="X187" s="523"/>
      <c r="Y187" s="523"/>
      <c r="Z187" s="523"/>
    </row>
    <row r="188">
      <c r="A188" s="523" t="str">
        <f>IFERROR(__xludf.DUMMYFUNCTION("""COMPUTED_VALUE"""),"MOSIP-10476")</f>
        <v>MOSIP-10476</v>
      </c>
      <c r="B188" s="524"/>
      <c r="C188" s="523" t="str">
        <f>IFERROR(__xludf.DUMMYFUNCTION("""COMPUTED_VALUE"""),"IDA_Auth_10")</f>
        <v>IDA_Auth_10</v>
      </c>
      <c r="D188" s="523" t="str">
        <f>IFERROR(__xludf.DUMMYFUNCTION("""COMPUTED_VALUE"""),"Functional")</f>
        <v>Functional</v>
      </c>
      <c r="E188" s="524" t="str">
        <f>IFERROR(__xludf.DUMMYFUNCTION("""COMPUTED_VALUE"""),"Template")</f>
        <v>Template</v>
      </c>
      <c r="F188" s="524" t="str">
        <f>IFERROR(__xludf.DUMMYFUNCTION("""COMPUTED_VALUE"""),"Verify for email subject in notification for 'tam'")</f>
        <v>Verify for email subject in notification for 'tam'</v>
      </c>
      <c r="G188" s="524" t="str">
        <f>IFERROR(__xludf.DUMMYFUNCTION("""COMPUTED_VALUE"""),"1.Change auth-email-subject template
  2.Do auth
  3. Check email notifiaction")</f>
        <v>1.Change auth-email-subject template
  2.Do auth
  3. Check email notifiaction</v>
      </c>
      <c r="H188" s="524" t="str">
        <f>IFERROR(__xludf.DUMMYFUNCTION("""COMPUTED_VALUE"""),"Changed template should reflect in email subject")</f>
        <v>Changed template should reflect in email subject</v>
      </c>
      <c r="I188" s="523" t="str">
        <f>IFERROR(__xludf.DUMMYFUNCTION("""COMPUTED_VALUE"""),"Fail")</f>
        <v>Fail</v>
      </c>
      <c r="J188" s="523"/>
      <c r="K188" s="523" t="str">
        <f>IFERROR(__xludf.DUMMYFUNCTION("""COMPUTED_VALUE"""),"qa-double-rc2
  qa-triple-rc2")</f>
        <v>qa-double-rc2
  qa-triple-rc2</v>
      </c>
      <c r="L188" s="523"/>
      <c r="M188" s="523"/>
      <c r="N188" s="523"/>
      <c r="O188" s="523"/>
      <c r="P188" s="523"/>
      <c r="Q188" s="523"/>
      <c r="R188" s="523"/>
      <c r="S188" s="523"/>
      <c r="T188" s="523"/>
      <c r="U188" s="523"/>
      <c r="V188" s="523"/>
      <c r="W188" s="523"/>
      <c r="X188" s="523"/>
      <c r="Y188" s="523"/>
      <c r="Z188" s="523"/>
    </row>
    <row r="189">
      <c r="A189" s="523" t="str">
        <f>IFERROR(__xludf.DUMMYFUNCTION("""COMPUTED_VALUE"""),"MOSIP-10476")</f>
        <v>MOSIP-10476</v>
      </c>
      <c r="B189" s="524"/>
      <c r="C189" s="523" t="str">
        <f>IFERROR(__xludf.DUMMYFUNCTION("""COMPUTED_VALUE"""),"IDA_Auth_13")</f>
        <v>IDA_Auth_13</v>
      </c>
      <c r="D189" s="523" t="str">
        <f>IFERROR(__xludf.DUMMYFUNCTION("""COMPUTED_VALUE"""),"Functional")</f>
        <v>Functional</v>
      </c>
      <c r="E189" s="524" t="str">
        <f>IFERROR(__xludf.DUMMYFUNCTION("""COMPUTED_VALUE"""),"Template")</f>
        <v>Template</v>
      </c>
      <c r="F189" s="524" t="str">
        <f>IFERROR(__xludf.DUMMYFUNCTION("""COMPUTED_VALUE"""),"Verify for email otp subject in notification for 'hin'")</f>
        <v>Verify for email otp subject in notification for 'hin'</v>
      </c>
      <c r="G189" s="524" t="str">
        <f>IFERROR(__xludf.DUMMYFUNCTION("""COMPUTED_VALUE"""),"1.Change auth-OTP-email-subject template
  2.Do auth
  3. Check email notifiaction")</f>
        <v>1.Change auth-OTP-email-subject template
  2.Do auth
  3. Check email notifiaction</v>
      </c>
      <c r="H189" s="524" t="str">
        <f>IFERROR(__xludf.DUMMYFUNCTION("""COMPUTED_VALUE"""),"Changed template should reflect in email OTP subject")</f>
        <v>Changed template should reflect in email OTP subject</v>
      </c>
      <c r="I189" s="523" t="str">
        <f>IFERROR(__xludf.DUMMYFUNCTION("""COMPUTED_VALUE"""),"Fail")</f>
        <v>Fail</v>
      </c>
      <c r="J189" s="523"/>
      <c r="K189" s="523" t="str">
        <f>IFERROR(__xludf.DUMMYFUNCTION("""COMPUTED_VALUE"""),"qa-double-rc2
  qa-triple-rc2")</f>
        <v>qa-double-rc2
  qa-triple-rc2</v>
      </c>
      <c r="L189" s="523"/>
      <c r="M189" s="523"/>
      <c r="N189" s="523"/>
      <c r="O189" s="523"/>
      <c r="P189" s="523"/>
      <c r="Q189" s="523"/>
      <c r="R189" s="523"/>
      <c r="S189" s="523"/>
      <c r="T189" s="523"/>
      <c r="U189" s="523"/>
      <c r="V189" s="523"/>
      <c r="W189" s="523"/>
      <c r="X189" s="523"/>
      <c r="Y189" s="523"/>
      <c r="Z189" s="523"/>
    </row>
    <row r="190">
      <c r="A190" s="523" t="str">
        <f>IFERROR(__xludf.DUMMYFUNCTION("""COMPUTED_VALUE"""),"MOSIP-10476")</f>
        <v>MOSIP-10476</v>
      </c>
      <c r="B190" s="524"/>
      <c r="C190" s="523" t="str">
        <f>IFERROR(__xludf.DUMMYFUNCTION("""COMPUTED_VALUE"""),"IDA_Auth_14")</f>
        <v>IDA_Auth_14</v>
      </c>
      <c r="D190" s="523" t="str">
        <f>IFERROR(__xludf.DUMMYFUNCTION("""COMPUTED_VALUE"""),"Functional")</f>
        <v>Functional</v>
      </c>
      <c r="E190" s="524" t="str">
        <f>IFERROR(__xludf.DUMMYFUNCTION("""COMPUTED_VALUE"""),"Template")</f>
        <v>Template</v>
      </c>
      <c r="F190" s="524" t="str">
        <f>IFERROR(__xludf.DUMMYFUNCTION("""COMPUTED_VALUE"""),"Verify for email otp subject in notification for 'kan'")</f>
        <v>Verify for email otp subject in notification for 'kan'</v>
      </c>
      <c r="G190" s="524" t="str">
        <f>IFERROR(__xludf.DUMMYFUNCTION("""COMPUTED_VALUE"""),"1.Change auth-OTP-email-subject template
  2.Do auth
  3. Check email notifiaction")</f>
        <v>1.Change auth-OTP-email-subject template
  2.Do auth
  3. Check email notifiaction</v>
      </c>
      <c r="H190" s="524" t="str">
        <f>IFERROR(__xludf.DUMMYFUNCTION("""COMPUTED_VALUE"""),"Changed template should reflect in email OTP subject")</f>
        <v>Changed template should reflect in email OTP subject</v>
      </c>
      <c r="I190" s="523" t="str">
        <f>IFERROR(__xludf.DUMMYFUNCTION("""COMPUTED_VALUE"""),"Fail")</f>
        <v>Fail</v>
      </c>
      <c r="J190" s="523"/>
      <c r="K190" s="523" t="str">
        <f>IFERROR(__xludf.DUMMYFUNCTION("""COMPUTED_VALUE"""),"qa-double-rc2
  qa-triple-rc2")</f>
        <v>qa-double-rc2
  qa-triple-rc2</v>
      </c>
      <c r="L190" s="523"/>
      <c r="M190" s="523"/>
      <c r="N190" s="523"/>
      <c r="O190" s="523"/>
      <c r="P190" s="523"/>
      <c r="Q190" s="523"/>
      <c r="R190" s="523"/>
      <c r="S190" s="523"/>
      <c r="T190" s="523"/>
      <c r="U190" s="523"/>
      <c r="V190" s="523"/>
      <c r="W190" s="523"/>
      <c r="X190" s="523"/>
      <c r="Y190" s="523"/>
      <c r="Z190" s="523"/>
    </row>
    <row r="191">
      <c r="A191" s="523" t="str">
        <f>IFERROR(__xludf.DUMMYFUNCTION("""COMPUTED_VALUE"""),"MOSIP-10476")</f>
        <v>MOSIP-10476</v>
      </c>
      <c r="B191" s="524"/>
      <c r="C191" s="523" t="str">
        <f>IFERROR(__xludf.DUMMYFUNCTION("""COMPUTED_VALUE"""),"IDA_Auth_15")</f>
        <v>IDA_Auth_15</v>
      </c>
      <c r="D191" s="523" t="str">
        <f>IFERROR(__xludf.DUMMYFUNCTION("""COMPUTED_VALUE"""),"Functional")</f>
        <v>Functional</v>
      </c>
      <c r="E191" s="524" t="str">
        <f>IFERROR(__xludf.DUMMYFUNCTION("""COMPUTED_VALUE"""),"Template")</f>
        <v>Template</v>
      </c>
      <c r="F191" s="524" t="str">
        <f>IFERROR(__xludf.DUMMYFUNCTION("""COMPUTED_VALUE"""),"Verify for email otp subject in notification for 'tam'")</f>
        <v>Verify for email otp subject in notification for 'tam'</v>
      </c>
      <c r="G191" s="524" t="str">
        <f>IFERROR(__xludf.DUMMYFUNCTION("""COMPUTED_VALUE"""),"1.Change auth-OTP-email-subject template
  2.Do auth
  3. Check email notifiaction")</f>
        <v>1.Change auth-OTP-email-subject template
  2.Do auth
  3. Check email notifiaction</v>
      </c>
      <c r="H191" s="524" t="str">
        <f>IFERROR(__xludf.DUMMYFUNCTION("""COMPUTED_VALUE"""),"Changed template should reflect in email OTP subject")</f>
        <v>Changed template should reflect in email OTP subject</v>
      </c>
      <c r="I191" s="523" t="str">
        <f>IFERROR(__xludf.DUMMYFUNCTION("""COMPUTED_VALUE"""),"Fail")</f>
        <v>Fail</v>
      </c>
      <c r="J191" s="523"/>
      <c r="K191" s="523" t="str">
        <f>IFERROR(__xludf.DUMMYFUNCTION("""COMPUTED_VALUE"""),"qa-double-rc2
  qa-triple-rc2")</f>
        <v>qa-double-rc2
  qa-triple-rc2</v>
      </c>
      <c r="L191" s="523"/>
      <c r="M191" s="523"/>
      <c r="N191" s="523"/>
      <c r="O191" s="523"/>
      <c r="P191" s="523"/>
      <c r="Q191" s="523"/>
      <c r="R191" s="523"/>
      <c r="S191" s="523"/>
      <c r="T191" s="523"/>
      <c r="U191" s="523"/>
      <c r="V191" s="523"/>
      <c r="W191" s="523"/>
      <c r="X191" s="523"/>
      <c r="Y191" s="523"/>
      <c r="Z191" s="523"/>
    </row>
    <row r="192">
      <c r="A192" s="523" t="str">
        <f>IFERROR(__xludf.DUMMYFUNCTION("""COMPUTED_VALUE"""),"MOSIP-10476")</f>
        <v>MOSIP-10476</v>
      </c>
      <c r="B192" s="524"/>
      <c r="C192" s="523" t="str">
        <f>IFERROR(__xludf.DUMMYFUNCTION("""COMPUTED_VALUE"""),"IDA_Auth_18")</f>
        <v>IDA_Auth_18</v>
      </c>
      <c r="D192" s="523" t="str">
        <f>IFERROR(__xludf.DUMMYFUNCTION("""COMPUTED_VALUE"""),"Functional")</f>
        <v>Functional</v>
      </c>
      <c r="E192" s="524" t="str">
        <f>IFERROR(__xludf.DUMMYFUNCTION("""COMPUTED_VALUE"""),"Template")</f>
        <v>Template</v>
      </c>
      <c r="F192" s="524" t="str">
        <f>IFERROR(__xludf.DUMMYFUNCTION("""COMPUTED_VALUE"""),"Verify for email otp content in notification for 'hin'")</f>
        <v>Verify for email otp content in notification for 'hin'</v>
      </c>
      <c r="G192" s="524" t="str">
        <f>IFERROR(__xludf.DUMMYFUNCTION("""COMPUTED_VALUE"""),"1.Change auth-OTP-email-content template
  2.Do auth
  3. Check email notifiaction")</f>
        <v>1.Change auth-OTP-email-content template
  2.Do auth
  3. Check email notifiaction</v>
      </c>
      <c r="H192" s="524" t="str">
        <f>IFERROR(__xludf.DUMMYFUNCTION("""COMPUTED_VALUE"""),"Changed template should reflect in email OTP content")</f>
        <v>Changed template should reflect in email OTP content</v>
      </c>
      <c r="I192" s="523" t="str">
        <f>IFERROR(__xludf.DUMMYFUNCTION("""COMPUTED_VALUE"""),"Fail")</f>
        <v>Fail</v>
      </c>
      <c r="J192" s="523"/>
      <c r="K192" s="523" t="str">
        <f>IFERROR(__xludf.DUMMYFUNCTION("""COMPUTED_VALUE"""),"qa-double-rc2
  qa-triple-rc2")</f>
        <v>qa-double-rc2
  qa-triple-rc2</v>
      </c>
      <c r="L192" s="523"/>
      <c r="M192" s="523"/>
      <c r="N192" s="523"/>
      <c r="O192" s="523"/>
      <c r="P192" s="523"/>
      <c r="Q192" s="523"/>
      <c r="R192" s="523"/>
      <c r="S192" s="523"/>
      <c r="T192" s="523"/>
      <c r="U192" s="523"/>
      <c r="V192" s="523"/>
      <c r="W192" s="523"/>
      <c r="X192" s="523"/>
      <c r="Y192" s="523"/>
      <c r="Z192" s="523"/>
    </row>
    <row r="193">
      <c r="A193" s="523" t="str">
        <f>IFERROR(__xludf.DUMMYFUNCTION("""COMPUTED_VALUE"""),"MOSIP-10476")</f>
        <v>MOSIP-10476</v>
      </c>
      <c r="B193" s="524"/>
      <c r="C193" s="523" t="str">
        <f>IFERROR(__xludf.DUMMYFUNCTION("""COMPUTED_VALUE"""),"IDA_Auth_19")</f>
        <v>IDA_Auth_19</v>
      </c>
      <c r="D193" s="523" t="str">
        <f>IFERROR(__xludf.DUMMYFUNCTION("""COMPUTED_VALUE"""),"Functional")</f>
        <v>Functional</v>
      </c>
      <c r="E193" s="524" t="str">
        <f>IFERROR(__xludf.DUMMYFUNCTION("""COMPUTED_VALUE"""),"Template")</f>
        <v>Template</v>
      </c>
      <c r="F193" s="524" t="str">
        <f>IFERROR(__xludf.DUMMYFUNCTION("""COMPUTED_VALUE"""),"Verify for email otp content in notification for 'kan'")</f>
        <v>Verify for email otp content in notification for 'kan'</v>
      </c>
      <c r="G193" s="524" t="str">
        <f>IFERROR(__xludf.DUMMYFUNCTION("""COMPUTED_VALUE"""),"1.Change auth-OTP-email-content template
  2.Do auth
  3. Check email notifiaction")</f>
        <v>1.Change auth-OTP-email-content template
  2.Do auth
  3. Check email notifiaction</v>
      </c>
      <c r="H193" s="524" t="str">
        <f>IFERROR(__xludf.DUMMYFUNCTION("""COMPUTED_VALUE"""),"Changed template should reflect in email OTP content")</f>
        <v>Changed template should reflect in email OTP content</v>
      </c>
      <c r="I193" s="523" t="str">
        <f>IFERROR(__xludf.DUMMYFUNCTION("""COMPUTED_VALUE"""),"Fail")</f>
        <v>Fail</v>
      </c>
      <c r="J193" s="523"/>
      <c r="K193" s="523" t="str">
        <f>IFERROR(__xludf.DUMMYFUNCTION("""COMPUTED_VALUE"""),"qa-double-rc2
  qa-triple-rc2")</f>
        <v>qa-double-rc2
  qa-triple-rc2</v>
      </c>
      <c r="L193" s="523"/>
      <c r="M193" s="523"/>
      <c r="N193" s="523"/>
      <c r="O193" s="523"/>
      <c r="P193" s="523"/>
      <c r="Q193" s="523"/>
      <c r="R193" s="523"/>
      <c r="S193" s="523"/>
      <c r="T193" s="523"/>
      <c r="U193" s="523"/>
      <c r="V193" s="523"/>
      <c r="W193" s="523"/>
      <c r="X193" s="523"/>
      <c r="Y193" s="523"/>
      <c r="Z193" s="523"/>
    </row>
    <row r="194">
      <c r="A194" s="523" t="str">
        <f>IFERROR(__xludf.DUMMYFUNCTION("""COMPUTED_VALUE"""),"MOSIP-10476")</f>
        <v>MOSIP-10476</v>
      </c>
      <c r="B194" s="524"/>
      <c r="C194" s="523" t="str">
        <f>IFERROR(__xludf.DUMMYFUNCTION("""COMPUTED_VALUE"""),"IDA_Auth_20")</f>
        <v>IDA_Auth_20</v>
      </c>
      <c r="D194" s="523" t="str">
        <f>IFERROR(__xludf.DUMMYFUNCTION("""COMPUTED_VALUE"""),"Functional")</f>
        <v>Functional</v>
      </c>
      <c r="E194" s="524" t="str">
        <f>IFERROR(__xludf.DUMMYFUNCTION("""COMPUTED_VALUE"""),"Template")</f>
        <v>Template</v>
      </c>
      <c r="F194" s="524" t="str">
        <f>IFERROR(__xludf.DUMMYFUNCTION("""COMPUTED_VALUE"""),"Verify for email otp content in notification for 'tam'")</f>
        <v>Verify for email otp content in notification for 'tam'</v>
      </c>
      <c r="G194" s="524" t="str">
        <f>IFERROR(__xludf.DUMMYFUNCTION("""COMPUTED_VALUE"""),"1.Change auth-OTP-email-content template
  2.Do auth
  3. Check email notifiaction")</f>
        <v>1.Change auth-OTP-email-content template
  2.Do auth
  3. Check email notifiaction</v>
      </c>
      <c r="H194" s="524" t="str">
        <f>IFERROR(__xludf.DUMMYFUNCTION("""COMPUTED_VALUE"""),"Changed template should reflect in email OTP content")</f>
        <v>Changed template should reflect in email OTP content</v>
      </c>
      <c r="I194" s="523" t="str">
        <f>IFERROR(__xludf.DUMMYFUNCTION("""COMPUTED_VALUE"""),"Fail")</f>
        <v>Fail</v>
      </c>
      <c r="J194" s="523"/>
      <c r="K194" s="523" t="str">
        <f>IFERROR(__xludf.DUMMYFUNCTION("""COMPUTED_VALUE"""),"qa-double-rc2
  qa-triple-rc2")</f>
        <v>qa-double-rc2
  qa-triple-rc2</v>
      </c>
      <c r="L194" s="523"/>
      <c r="M194" s="523"/>
      <c r="N194" s="523"/>
      <c r="O194" s="523"/>
      <c r="P194" s="523"/>
      <c r="Q194" s="523"/>
      <c r="R194" s="523"/>
      <c r="S194" s="523"/>
      <c r="T194" s="523"/>
      <c r="U194" s="523"/>
      <c r="V194" s="523"/>
      <c r="W194" s="523"/>
      <c r="X194" s="523"/>
      <c r="Y194" s="523"/>
      <c r="Z194" s="523"/>
    </row>
    <row r="195">
      <c r="A195" s="523" t="str">
        <f>IFERROR(__xludf.DUMMYFUNCTION("""COMPUTED_VALUE"""),"MOSIP-10704")</f>
        <v>MOSIP-10704</v>
      </c>
      <c r="B195" s="524"/>
      <c r="C195" s="523" t="str">
        <f>IFERROR(__xludf.DUMMYFUNCTION("""COMPUTED_VALUE"""),"IDA_FPAuth_02")</f>
        <v>IDA_FPAuth_02</v>
      </c>
      <c r="D195" s="523" t="str">
        <f>IFERROR(__xludf.DUMMYFUNCTION("""COMPUTED_VALUE"""),"Functional")</f>
        <v>Functional</v>
      </c>
      <c r="E195" s="524" t="str">
        <f>IFERROR(__xludf.DUMMYFUNCTION("""COMPUTED_VALUE"""),"FP Auth")</f>
        <v>FP Auth</v>
      </c>
      <c r="F195" s="524" t="str">
        <f>IFERROR(__xludf.DUMMYFUNCTION("""COMPUTED_VALUE"""),"Verify IDA utility supports auth using Fingerprint slab device using real MDS")</f>
        <v>Verify IDA utility supports auth using Fingerprint slab device using real MDS</v>
      </c>
      <c r="G195" s="524"/>
      <c r="H195" s="524" t="str">
        <f>IFERROR(__xludf.DUMMYFUNCTION("""COMPUTED_VALUE"""),"IDA utility should support auth using Fingerprint slab device using real MDS")</f>
        <v>IDA utility should support auth using Fingerprint slab device using real MDS</v>
      </c>
      <c r="I195" s="523" t="str">
        <f>IFERROR(__xludf.DUMMYFUNCTION("""COMPUTED_VALUE"""),"Fail")</f>
        <v>Fail</v>
      </c>
      <c r="J195" s="523"/>
      <c r="K195" s="523" t="str">
        <f>IFERROR(__xludf.DUMMYFUNCTION("""COMPUTED_VALUE"""),"dont have support for real MDS")</f>
        <v>dont have support for real MDS</v>
      </c>
      <c r="L195" s="523"/>
      <c r="M195" s="523"/>
      <c r="N195" s="523"/>
      <c r="O195" s="523"/>
      <c r="P195" s="523"/>
      <c r="Q195" s="523"/>
      <c r="R195" s="523"/>
      <c r="S195" s="523"/>
      <c r="T195" s="523"/>
      <c r="U195" s="523"/>
      <c r="V195" s="523"/>
      <c r="W195" s="523"/>
      <c r="X195" s="523"/>
      <c r="Y195" s="523"/>
      <c r="Z195" s="523"/>
    </row>
    <row r="196">
      <c r="A196" s="523" t="str">
        <f>IFERROR(__xludf.DUMMYFUNCTION("""COMPUTED_VALUE"""),"MOSIP-10704")</f>
        <v>MOSIP-10704</v>
      </c>
      <c r="B196" s="524"/>
      <c r="C196" s="523" t="str">
        <f>IFERROR(__xludf.DUMMYFUNCTION("""COMPUTED_VALUE"""),"IDA_FPAuth_03")</f>
        <v>IDA_FPAuth_03</v>
      </c>
      <c r="D196" s="523" t="str">
        <f>IFERROR(__xludf.DUMMYFUNCTION("""COMPUTED_VALUE"""),"Functional")</f>
        <v>Functional</v>
      </c>
      <c r="E196" s="524" t="str">
        <f>IFERROR(__xludf.DUMMYFUNCTION("""COMPUTED_VALUE"""),"FP Auth")</f>
        <v>FP Auth</v>
      </c>
      <c r="F196" s="524" t="str">
        <f>IFERROR(__xludf.DUMMYFUNCTION("""COMPUTED_VALUE"""),"Verify IDA utility supports auth using Fingerprint slab device of multiple vendors (Syncbyte/Mantra)")</f>
        <v>Verify IDA utility supports auth using Fingerprint slab device of multiple vendors (Syncbyte/Mantra)</v>
      </c>
      <c r="G196" s="524"/>
      <c r="H196" s="524" t="str">
        <f>IFERROR(__xludf.DUMMYFUNCTION("""COMPUTED_VALUE"""),"IDA utility should support auth using Fingerprint slab device of multiple vendors (Syncbyte/Mantra)")</f>
        <v>IDA utility should support auth using Fingerprint slab device of multiple vendors (Syncbyte/Mantra)</v>
      </c>
      <c r="I196" s="523" t="str">
        <f>IFERROR(__xludf.DUMMYFUNCTION("""COMPUTED_VALUE"""),"Fail")</f>
        <v>Fail</v>
      </c>
      <c r="J196" s="523"/>
      <c r="K196" s="523" t="str">
        <f>IFERROR(__xludf.DUMMYFUNCTION("""COMPUTED_VALUE"""),"dont have support for multiple vendors (Syncbyte/Mantra)")</f>
        <v>dont have support for multiple vendors (Syncbyte/Mantra)</v>
      </c>
      <c r="L196" s="523"/>
      <c r="M196" s="523"/>
      <c r="N196" s="523"/>
      <c r="O196" s="523"/>
      <c r="P196" s="523"/>
      <c r="Q196" s="523"/>
      <c r="R196" s="523"/>
      <c r="S196" s="523"/>
      <c r="T196" s="523"/>
      <c r="U196" s="523"/>
      <c r="V196" s="523"/>
      <c r="W196" s="523"/>
      <c r="X196" s="523"/>
      <c r="Y196" s="523"/>
      <c r="Z196" s="523"/>
    </row>
    <row r="197">
      <c r="A197" s="523" t="str">
        <f>IFERROR(__xludf.DUMMYFUNCTION("""COMPUTED_VALUE"""),"MOSIP-10477")</f>
        <v>MOSIP-10477</v>
      </c>
      <c r="B197" s="524"/>
      <c r="C197" s="523" t="str">
        <f>IFERROR(__xludf.DUMMYFUNCTION("""COMPUTED_VALUE"""),"IDA_Auth_02")</f>
        <v>IDA_Auth_02</v>
      </c>
      <c r="D197" s="523" t="str">
        <f>IFERROR(__xludf.DUMMYFUNCTION("""COMPUTED_VALUE"""),"Integration")</f>
        <v>Integration</v>
      </c>
      <c r="E197" s="524" t="str">
        <f>IFERROR(__xludf.DUMMYFUNCTION("""COMPUTED_VALUE"""),"PM_Auth Integration")</f>
        <v>PM_Auth Integration</v>
      </c>
      <c r="F197" s="524" t="str">
        <f>IFERROR(__xludf.DUMMYFUNCTION("""COMPUTED_VALUE"""),"Edit an auth policy and perform authentication")</f>
        <v>Edit an auth policy and perform authentication</v>
      </c>
      <c r="G197" s="524"/>
      <c r="H197" s="524" t="str">
        <f>IFERROR(__xludf.DUMMYFUNCTION("""COMPUTED_VALUE"""),"Notification must be sent from PM to auth and user should be able to perform auth based on the new policy")</f>
        <v>Notification must be sent from PM to auth and user should be able to perform auth based on the new policy</v>
      </c>
      <c r="I197" s="523" t="str">
        <f>IFERROR(__xludf.DUMMYFUNCTION("""COMPUTED_VALUE"""),"Fail")</f>
        <v>Fail</v>
      </c>
      <c r="J197" s="523"/>
      <c r="K197" s="523" t="str">
        <f>IFERROR(__xludf.DUMMYFUNCTION("""COMPUTED_VALUE"""),"qa-double-rc2")</f>
        <v>qa-double-rc2</v>
      </c>
      <c r="L197" s="523"/>
      <c r="M197" s="523"/>
      <c r="N197" s="523"/>
      <c r="O197" s="523"/>
      <c r="P197" s="523"/>
      <c r="Q197" s="523"/>
      <c r="R197" s="523"/>
      <c r="S197" s="523"/>
      <c r="T197" s="523"/>
      <c r="U197" s="523"/>
      <c r="V197" s="523"/>
      <c r="W197" s="523"/>
      <c r="X197" s="523"/>
      <c r="Y197" s="523"/>
      <c r="Z197" s="523"/>
    </row>
    <row r="198">
      <c r="A198" s="523" t="str">
        <f>IFERROR(__xludf.DUMMYFUNCTION("""COMPUTED_VALUE"""),"MOSIP-10477")</f>
        <v>MOSIP-10477</v>
      </c>
      <c r="B198" s="524"/>
      <c r="C198" s="523" t="str">
        <f>IFERROR(__xludf.DUMMYFUNCTION("""COMPUTED_VALUE"""),"IDA_Auth_03")</f>
        <v>IDA_Auth_03</v>
      </c>
      <c r="D198" s="523" t="str">
        <f>IFERROR(__xludf.DUMMYFUNCTION("""COMPUTED_VALUE"""),"Integration")</f>
        <v>Integration</v>
      </c>
      <c r="E198" s="524" t="str">
        <f>IFERROR(__xludf.DUMMYFUNCTION("""COMPUTED_VALUE"""),"PM_Auth Integration")</f>
        <v>PM_Auth Integration</v>
      </c>
      <c r="F198" s="524" t="str">
        <f>IFERROR(__xludf.DUMMYFUNCTION("""COMPUTED_VALUE"""),"Map the partner to a different policy and perform auth")</f>
        <v>Map the partner to a different policy and perform auth</v>
      </c>
      <c r="G198" s="524"/>
      <c r="H198" s="524" t="str">
        <f>IFERROR(__xludf.DUMMYFUNCTION("""COMPUTED_VALUE"""),"Notification must be sent from PM to auth and user should be able to perform auth based on the new policy")</f>
        <v>Notification must be sent from PM to auth and user should be able to perform auth based on the new policy</v>
      </c>
      <c r="I198" s="523" t="str">
        <f>IFERROR(__xludf.DUMMYFUNCTION("""COMPUTED_VALUE"""),"Fail")</f>
        <v>Fail</v>
      </c>
      <c r="J198" s="523"/>
      <c r="K198" s="523" t="str">
        <f>IFERROR(__xludf.DUMMYFUNCTION("""COMPUTED_VALUE"""),"qa-double-rc2")</f>
        <v>qa-double-rc2</v>
      </c>
      <c r="L198" s="523"/>
      <c r="M198" s="523"/>
      <c r="N198" s="523"/>
      <c r="O198" s="523"/>
      <c r="P198" s="523"/>
      <c r="Q198" s="523"/>
      <c r="R198" s="523"/>
      <c r="S198" s="523"/>
      <c r="T198" s="523"/>
      <c r="U198" s="523"/>
      <c r="V198" s="523"/>
      <c r="W198" s="523"/>
      <c r="X198" s="523"/>
      <c r="Y198" s="523"/>
      <c r="Z198" s="523"/>
    </row>
    <row r="199">
      <c r="A199" s="523" t="str">
        <f>IFERROR(__xludf.DUMMYFUNCTION("""COMPUTED_VALUE"""),"MOSIP-10477")</f>
        <v>MOSIP-10477</v>
      </c>
      <c r="B199" s="524"/>
      <c r="C199" s="523" t="str">
        <f>IFERROR(__xludf.DUMMYFUNCTION("""COMPUTED_VALUE"""),"IDA_Auth_04")</f>
        <v>IDA_Auth_04</v>
      </c>
      <c r="D199" s="523" t="str">
        <f>IFERROR(__xludf.DUMMYFUNCTION("""COMPUTED_VALUE"""),"Integration")</f>
        <v>Integration</v>
      </c>
      <c r="E199" s="524" t="str">
        <f>IFERROR(__xludf.DUMMYFUNCTION("""COMPUTED_VALUE"""),"PM_Auth Integration")</f>
        <v>PM_Auth Integration</v>
      </c>
      <c r="F199" s="524" t="str">
        <f>IFERROR(__xludf.DUMMYFUNCTION("""COMPUTED_VALUE"""),"Expire MISP license and perform auth")</f>
        <v>Expire MISP license and perform auth</v>
      </c>
      <c r="G199" s="524"/>
      <c r="H199" s="524" t="str">
        <f>IFERROR(__xludf.DUMMYFUNCTION("""COMPUTED_VALUE"""),"Notification must be sent from PM to auth and user should not be able to perform auth based on the new policy")</f>
        <v>Notification must be sent from PM to auth and user should not be able to perform auth based on the new policy</v>
      </c>
      <c r="I199" s="523" t="str">
        <f>IFERROR(__xludf.DUMMYFUNCTION("""COMPUTED_VALUE"""),"Fail")</f>
        <v>Fail</v>
      </c>
      <c r="J199" s="523"/>
      <c r="K199" s="523" t="str">
        <f>IFERROR(__xludf.DUMMYFUNCTION("""COMPUTED_VALUE"""),"qa-double-rc2")</f>
        <v>qa-double-rc2</v>
      </c>
      <c r="L199" s="523"/>
      <c r="M199" s="523"/>
      <c r="N199" s="523"/>
      <c r="O199" s="523"/>
      <c r="P199" s="523"/>
      <c r="Q199" s="523"/>
      <c r="R199" s="523"/>
      <c r="S199" s="523"/>
      <c r="T199" s="523"/>
      <c r="U199" s="523"/>
      <c r="V199" s="523"/>
      <c r="W199" s="523"/>
      <c r="X199" s="523"/>
      <c r="Y199" s="523"/>
      <c r="Z199" s="523"/>
    </row>
    <row r="200">
      <c r="A200" s="523" t="str">
        <f>IFERROR(__xludf.DUMMYFUNCTION("""COMPUTED_VALUE"""),"MOSIP-17072")</f>
        <v>MOSIP-17072</v>
      </c>
      <c r="B200" s="524"/>
      <c r="C200" s="523" t="str">
        <f>IFERROR(__xludf.DUMMYFUNCTION("""COMPUTED_VALUE"""),"TC_21")</f>
        <v>TC_21</v>
      </c>
      <c r="D200" s="523" t="str">
        <f>IFERROR(__xludf.DUMMYFUNCTION("""COMPUTED_VALUE"""),"Functional")</f>
        <v>Functional</v>
      </c>
      <c r="E200" s="524" t="str">
        <f>IFERROR(__xludf.DUMMYFUNCTION("""COMPUTED_VALUE"""),"Anonymous Profiling")</f>
        <v>Anonymous Profiling</v>
      </c>
      <c r="F200" s="524" t="str">
        <f>IFERROR(__xludf.DUMMYFUNCTION("""COMPUTED_VALUE"""),"verify Biometric value should carry forward when we do only demo update for the same UIN from Idrepo")</f>
        <v>verify Biometric value should carry forward when we do only demo update for the same UIN from Idrepo</v>
      </c>
      <c r="G200" s="524" t="str">
        <f>IFERROR(__xludf.DUMMYFUNCTION("""COMPUTED_VALUE"""),"1.Generate New UIN from ID repo Module. 2.Add record for the New UIN. 3.Check anonymous_profile .")</f>
        <v>1.Generate New UIN from ID repo Module. 2.Add record for the New UIN. 3.Check anonymous_profile .</v>
      </c>
      <c r="H200" s="524" t="str">
        <f>IFERROR(__xludf.DUMMYFUNCTION("""COMPUTED_VALUE"""),"Biometric value should carry forward when we do only demo update for the same UIN from Idrepo")</f>
        <v>Biometric value should carry forward when we do only demo update for the same UIN from Idrepo</v>
      </c>
      <c r="I200" s="523" t="str">
        <f>IFERROR(__xludf.DUMMYFUNCTION("""COMPUTED_VALUE"""),"Fail")</f>
        <v>Fail</v>
      </c>
      <c r="J200" s="523"/>
      <c r="K200" s="523" t="str">
        <f>IFERROR(__xludf.DUMMYFUNCTION("""COMPUTED_VALUE"""),"qa-double-rc2")</f>
        <v>qa-double-rc2</v>
      </c>
      <c r="L200" s="523"/>
      <c r="M200" s="523"/>
      <c r="N200" s="523"/>
      <c r="O200" s="523"/>
      <c r="P200" s="523"/>
      <c r="Q200" s="523"/>
      <c r="R200" s="523"/>
      <c r="S200" s="523"/>
      <c r="T200" s="523"/>
      <c r="U200" s="523"/>
      <c r="V200" s="523"/>
      <c r="W200" s="523"/>
      <c r="X200" s="523"/>
      <c r="Y200" s="523"/>
      <c r="Z200" s="523"/>
    </row>
    <row r="201">
      <c r="A201" s="523" t="str">
        <f>IFERROR(__xludf.DUMMYFUNCTION("""COMPUTED_VALUE"""),"MOSIP-9530")</f>
        <v>MOSIP-9530</v>
      </c>
      <c r="B201" s="524"/>
      <c r="C201" s="523" t="str">
        <f>IFERROR(__xludf.DUMMYFUNCTION("""COMPUTED_VALUE"""),"TC_05")</f>
        <v>TC_05</v>
      </c>
      <c r="D201" s="523" t="str">
        <f>IFERROR(__xludf.DUMMYFUNCTION("""COMPUTED_VALUE"""),"Functional")</f>
        <v>Functional</v>
      </c>
      <c r="E201" s="524" t="str">
        <f>IFERROR(__xludf.DUMMYFUNCTION("""COMPUTED_VALUE"""),"IDA")</f>
        <v>IDA</v>
      </c>
      <c r="F201" s="524" t="str">
        <f>IFERROR(__xludf.DUMMYFUNCTION("""COMPUTED_VALUE"""),"To remove Value under mosip.ida.allowed.domain.uris= qa1.mosip.net, try to do auth with it")</f>
        <v>To remove Value under mosip.ida.allowed.domain.uris= qa1.mosip.net, try to do auth with it</v>
      </c>
      <c r="G201" s="524" t="str">
        <f>IFERROR(__xludf.DUMMYFUNCTION("""COMPUTED_VALUE"""),"1.check in id-authentication-mz.properties domain uri details")</f>
        <v>1.check in id-authentication-mz.properties domain uri details</v>
      </c>
      <c r="H201" s="524" t="str">
        <f>IFERROR(__xludf.DUMMYFUNCTION("""COMPUTED_VALUE"""),"The Auth should be unsuccessfull")</f>
        <v>The Auth should be unsuccessfull</v>
      </c>
      <c r="I201" s="523" t="str">
        <f>IFERROR(__xludf.DUMMYFUNCTION("""COMPUTED_VALUE"""),"fail")</f>
        <v>fail</v>
      </c>
      <c r="J201" s="523"/>
      <c r="K201" s="523"/>
      <c r="L201" s="523"/>
      <c r="M201" s="523"/>
      <c r="N201" s="523"/>
      <c r="O201" s="523"/>
      <c r="P201" s="523"/>
      <c r="Q201" s="523"/>
      <c r="R201" s="523"/>
      <c r="S201" s="523"/>
      <c r="T201" s="523"/>
      <c r="U201" s="523"/>
      <c r="V201" s="523"/>
      <c r="W201" s="523"/>
      <c r="X201" s="523"/>
      <c r="Y201" s="523"/>
      <c r="Z201" s="523"/>
    </row>
    <row r="202">
      <c r="A202" s="523" t="str">
        <f>IFERROR(__xludf.DUMMYFUNCTION("""COMPUTED_VALUE"""),"MOSIP-9530")</f>
        <v>MOSIP-9530</v>
      </c>
      <c r="B202" s="524"/>
      <c r="C202" s="523" t="str">
        <f>IFERROR(__xludf.DUMMYFUNCTION("""COMPUTED_VALUE"""),"TC_09")</f>
        <v>TC_09</v>
      </c>
      <c r="D202" s="523" t="str">
        <f>IFERROR(__xludf.DUMMYFUNCTION("""COMPUTED_VALUE"""),"Functional")</f>
        <v>Functional</v>
      </c>
      <c r="E202" s="524" t="str">
        <f>IFERROR(__xludf.DUMMYFUNCTION("""COMPUTED_VALUE"""),"IDA")</f>
        <v>IDA</v>
      </c>
      <c r="F202" s="524" t="str">
        <f>IFERROR(__xludf.DUMMYFUNCTION("""COMPUTED_VALUE"""),"To Add Value under application property of demo service as mosip.env=abc which is not set under config propery try to do auth with it")</f>
        <v>To Add Value under application property of demo service as mosip.env=abc which is not set under config propery try to do auth with it</v>
      </c>
      <c r="G202" s="524" t="str">
        <f>IFERROR(__xludf.DUMMYFUNCTION("""COMPUTED_VALUE"""),"1.check in id-authentication-mz.properties env details")</f>
        <v>1.check in id-authentication-mz.properties env details</v>
      </c>
      <c r="H202" s="524" t="str">
        <f>IFERROR(__xludf.DUMMYFUNCTION("""COMPUTED_VALUE"""),"The Auth should be unsuccessfull")</f>
        <v>The Auth should be unsuccessfull</v>
      </c>
      <c r="I202" s="523" t="str">
        <f>IFERROR(__xludf.DUMMYFUNCTION("""COMPUTED_VALUE"""),"fail")</f>
        <v>fail</v>
      </c>
      <c r="J202" s="523"/>
      <c r="K202" s="523"/>
      <c r="L202" s="523"/>
      <c r="M202" s="523"/>
      <c r="N202" s="523"/>
      <c r="O202" s="523"/>
      <c r="P202" s="523"/>
      <c r="Q202" s="523"/>
      <c r="R202" s="523"/>
      <c r="S202" s="523"/>
      <c r="T202" s="523"/>
      <c r="U202" s="523"/>
      <c r="V202" s="523"/>
      <c r="W202" s="523"/>
      <c r="X202" s="523"/>
      <c r="Y202" s="523"/>
      <c r="Z202" s="523"/>
    </row>
    <row r="203">
      <c r="A203" s="523"/>
      <c r="B203" s="524"/>
      <c r="C203" s="523" t="str">
        <f>IFERROR(__xludf.DUMMYFUNCTION("""COMPUTED_VALUE"""),"TC_77")</f>
        <v>TC_77</v>
      </c>
      <c r="D203" s="523" t="str">
        <f>IFERROR(__xludf.DUMMYFUNCTION("""COMPUTED_VALUE"""),"Functional")</f>
        <v>Functional</v>
      </c>
      <c r="E203" s="524" t="str">
        <f>IFERROR(__xludf.DUMMYFUNCTION("""COMPUTED_VALUE"""),"IDA")</f>
        <v>IDA</v>
      </c>
      <c r="F203" s="524" t="str">
        <f>IFERROR(__xludf.DUMMYFUNCTION("""COMPUTED_VALUE"""),"To verify that user should be able to do demo/Ekyc demo Auth using Name as ""Mrs Madhu"" instead of ""Miss Madhu"" With diffenrent langauage")</f>
        <v>To verify that user should be able to do demo/Ekyc demo Auth using Name as "Mrs Madhu" instead of "Miss Madhu" With diffenrent langauage</v>
      </c>
      <c r="G203" s="524" t="str">
        <f>IFERROR(__xludf.DUMMYFUNCTION("""COMPUTED_VALUE"""),"1.Get Unused UIN. 
 2.Add record for UIN-&gt;Id gets Activated. 3.Resident data for Name field with diffetent language like ""fullName"": [
  {
  ""language"": ""hin"",
  ""value"": ""श्रीमती मधु""
  },
  {
  ""language"": ""kan"",
  ""value"": ""ಶ್ರೀಮತಿ ಮಧ"&amp;"ು""
  },
  {
  ""language"": ""tam"",
  ""value"": ""திருமதி மது""
  }
  ]
 3.Create Auth request for Name field with ""fullName"": [
  {
  ""language"": ""hin"",
  ""value"": "" मधु""
  },
  {
  ""language"": ""kan"",
  ""value"": ""ಶ್ರೀಮತಿ ಮಧು""
  },
 "&amp;" {
  ""language"": ""tam"",
  ""value"": ""மது""
  }
  ]
 4.Perform Auth for the same request. 
 5.Success Notification should trigger to mail id. 
 6.Entry has to available in ida.auth_transaction table.")</f>
        <v>1.Get Unused UIN. 
 2.Add record for UIN-&gt;Id gets Activated. 3.Resident data for Name field with diffetent language like "fullName": [
  {
  "language": "hin",
  "value": "श्रीमती मधु"
  },
  {
  "language": "kan",
  "value": "ಶ್ರೀಮತಿ ಮಧು"
  },
  {
  "language": "tam",
  "value": "திருமதி மது"
  }
  ]
 3.Create Auth request for Name field with "fullName": [
  {
  "language": "hin",
  "value": " मधु"
  },
  {
  "language": "kan",
  "value": "ಶ್ರೀಮತಿ ಮಧು"
  },
  {
  "language": "tam",
  "value": "மது"
  }
  ]
 4.Perform Auth for the same request. 
 5.Success Notification should trigger to mail id. 
 6.Entry has to available in ida.auth_transaction table.</v>
      </c>
      <c r="H203" s="524" t="str">
        <f>IFERROR(__xludf.DUMMYFUNCTION("""COMPUTED_VALUE"""),"User should able to perform the Ekyc Auth successfully")</f>
        <v>User should able to perform the Ekyc Auth successfully</v>
      </c>
      <c r="I203" s="523" t="str">
        <f>IFERROR(__xludf.DUMMYFUNCTION("""COMPUTED_VALUE"""),"Fail")</f>
        <v>Fail</v>
      </c>
      <c r="J203" s="523"/>
      <c r="K203" s="523"/>
      <c r="L203" s="523"/>
      <c r="M203" s="523"/>
      <c r="N203" s="523"/>
      <c r="O203" s="523"/>
      <c r="P203" s="523"/>
      <c r="Q203" s="523"/>
      <c r="R203" s="523"/>
      <c r="S203" s="523"/>
      <c r="T203" s="523"/>
      <c r="U203" s="523"/>
      <c r="V203" s="523"/>
      <c r="W203" s="523"/>
      <c r="X203" s="523"/>
      <c r="Y203" s="523"/>
      <c r="Z203" s="523"/>
    </row>
    <row r="204">
      <c r="A204" s="523"/>
      <c r="B204" s="524"/>
      <c r="C204" s="523" t="str">
        <f>IFERROR(__xludf.DUMMYFUNCTION("""COMPUTED_VALUE"""),"TC_221")</f>
        <v>TC_221</v>
      </c>
      <c r="D204" s="523" t="str">
        <f>IFERROR(__xludf.DUMMYFUNCTION("""COMPUTED_VALUE"""),"Functional")</f>
        <v>Functional</v>
      </c>
      <c r="E204" s="524" t="str">
        <f>IFERROR(__xludf.DUMMYFUNCTION("""COMPUTED_VALUE"""),"IDA")</f>
        <v>IDA</v>
      </c>
      <c r="F204" s="524" t="str">
        <f>IFERROR(__xludf.DUMMYFUNCTION("""COMPUTED_VALUE"""),"Verify user is Able to perform auth using VID after Hotlisting UIN")</f>
        <v>Verify user is Able to perform auth using VID after Hotlisting UIN</v>
      </c>
      <c r="G204" s="524" t="str">
        <f>IFERROR(__xludf.DUMMYFUNCTION("""COMPUTED_VALUE"""),"1.Hotlist the UIN and Create Perpetual/Temporary VID for the UIN. 2. perform demo auth using VID")</f>
        <v>1.Hotlist the UIN and Create Perpetual/Temporary VID for the UIN. 2. perform demo auth using VID</v>
      </c>
      <c r="H204" s="524" t="str">
        <f>IFERROR(__xludf.DUMMYFUNCTION("""COMPUTED_VALUE"""),"Auth should not do after Hotlisting VID NOTE: In case the individual is trying to generate a VID after the UIN is hotlisted → this can be stopped by adding the following config to id-authentication-mz.properties(i,e .ida.mosip.internal.auth.filter.classes"&amp;".in.execution.order=io.mosip.authentication.hotlistfilter.impl.IndividualIdHotlistFilterImpl )")</f>
        <v>Auth should not do after Hotlisting VID NOTE: In case the individual is trying to generate a VID after the UIN is hotlisted → this can be stopped by adding the following config to id-authentication-mz.properties(i,e .ida.mosip.internal.auth.filter.classes.in.execution.order=io.mosip.authentication.hotlistfilter.impl.IndividualIdHotlistFilterImpl )</v>
      </c>
      <c r="I204" s="523" t="str">
        <f>IFERROR(__xludf.DUMMYFUNCTION("""COMPUTED_VALUE"""),"Fail")</f>
        <v>Fail</v>
      </c>
      <c r="J204" s="523"/>
      <c r="K204" s="523"/>
      <c r="L204" s="523"/>
      <c r="M204" s="523"/>
      <c r="N204" s="523"/>
      <c r="O204" s="523"/>
      <c r="P204" s="523"/>
      <c r="Q204" s="523"/>
      <c r="R204" s="523"/>
      <c r="S204" s="523"/>
      <c r="T204" s="523"/>
      <c r="U204" s="523"/>
      <c r="V204" s="523"/>
      <c r="W204" s="523"/>
      <c r="X204" s="523"/>
      <c r="Y204" s="523"/>
      <c r="Z204" s="523"/>
    </row>
    <row r="205">
      <c r="A205" s="523"/>
      <c r="B205" s="524"/>
      <c r="C205" s="523" t="str">
        <f>IFERROR(__xludf.DUMMYFUNCTION("""COMPUTED_VALUE"""),"TC_04")</f>
        <v>TC_04</v>
      </c>
      <c r="D205" s="523" t="str">
        <f>IFERROR(__xludf.DUMMYFUNCTION("""COMPUTED_VALUE"""),"Functional")</f>
        <v>Functional</v>
      </c>
      <c r="E205" s="524" t="str">
        <f>IFERROR(__xludf.DUMMYFUNCTION("""COMPUTED_VALUE"""),"Generate VID")</f>
        <v>Generate VID</v>
      </c>
      <c r="F205" s="524" t="str">
        <f>IFERROR(__xludf.DUMMYFUNCTION("""COMPUTED_VALUE"""),"Based on data which we set in mosip-vid-policy.json for all the perpetual/temporary/OneTimeUse VID's functionality has to work")</f>
        <v>Based on data which we set in mosip-vid-policy.json for all the perpetual/temporary/OneTimeUse VID's functionality has to work</v>
      </c>
      <c r="G205" s="524" t="str">
        <f>IFERROR(__xludf.DUMMYFUNCTION("""COMPUTED_VALUE"""),"1.Switch to Github and search mosip-vid-policy.json")</f>
        <v>1.Switch to Github and search mosip-vid-policy.json</v>
      </c>
      <c r="H205" s="524" t="str">
        <f>IFERROR(__xludf.DUMMYFUNCTION("""COMPUTED_VALUE"""),"Based on data which we set in mosip-vid-policy.json all the perpetual/temporary/OneTimeUse VID's should work")</f>
        <v>Based on data which we set in mosip-vid-policy.json all the perpetual/temporary/OneTimeUse VID's should work</v>
      </c>
      <c r="I205" s="523" t="str">
        <f>IFERROR(__xludf.DUMMYFUNCTION("""COMPUTED_VALUE"""),"Fail")</f>
        <v>Fail</v>
      </c>
      <c r="J205" s="523"/>
      <c r="K205" s="523"/>
      <c r="L205" s="523"/>
      <c r="M205" s="523"/>
      <c r="N205" s="523"/>
      <c r="O205" s="523"/>
      <c r="P205" s="523"/>
      <c r="Q205" s="523"/>
      <c r="R205" s="523"/>
      <c r="S205" s="523"/>
      <c r="T205" s="523"/>
      <c r="U205" s="523"/>
      <c r="V205" s="523"/>
      <c r="W205" s="523"/>
      <c r="X205" s="523"/>
      <c r="Y205" s="523"/>
      <c r="Z205" s="523"/>
    </row>
    <row r="206">
      <c r="A206" s="523"/>
      <c r="B206" s="524"/>
      <c r="C206" s="523" t="str">
        <f>IFERROR(__xludf.DUMMYFUNCTION("""COMPUTED_VALUE"""),"TC_05")</f>
        <v>TC_05</v>
      </c>
      <c r="D206" s="523" t="str">
        <f>IFERROR(__xludf.DUMMYFUNCTION("""COMPUTED_VALUE"""),"Functional")</f>
        <v>Functional</v>
      </c>
      <c r="E206" s="524" t="str">
        <f>IFERROR(__xludf.DUMMYFUNCTION("""COMPUTED_VALUE"""),"Generate VID")</f>
        <v>Generate VID</v>
      </c>
      <c r="F206" s="524" t="str">
        <f>IFERROR(__xludf.DUMMYFUNCTION("""COMPUTED_VALUE"""),"Verify whether perpetual vid is auto revoked as per
 config properties")</f>
        <v>Verify whether perpetual vid is auto revoked as per
 config properties</v>
      </c>
      <c r="G206" s="524" t="str">
        <f>IFERROR(__xludf.DUMMYFUNCTION("""COMPUTED_VALUE"""),"1.Switch to Github and search mosip-vid-policy.json property")</f>
        <v>1.Switch to Github and search mosip-vid-policy.json property</v>
      </c>
      <c r="H206" s="524" t="str">
        <f>IFERROR(__xludf.DUMMYFUNCTION("""COMPUTED_VALUE"""),"perpetual vid should be auto revoked as per
 config properties")</f>
        <v>perpetual vid should be auto revoked as per
 config properties</v>
      </c>
      <c r="I206" s="523" t="str">
        <f>IFERROR(__xludf.DUMMYFUNCTION("""COMPUTED_VALUE"""),"Fail")</f>
        <v>Fail</v>
      </c>
      <c r="J206" s="523"/>
      <c r="K206" s="523"/>
      <c r="L206" s="523"/>
      <c r="M206" s="523"/>
      <c r="N206" s="523"/>
      <c r="O206" s="523"/>
      <c r="P206" s="523"/>
      <c r="Q206" s="523"/>
      <c r="R206" s="523"/>
      <c r="S206" s="523"/>
      <c r="T206" s="523"/>
      <c r="U206" s="523"/>
      <c r="V206" s="523"/>
      <c r="W206" s="523"/>
      <c r="X206" s="523"/>
      <c r="Y206" s="523"/>
      <c r="Z206" s="523"/>
    </row>
    <row r="207">
      <c r="A207" s="523"/>
      <c r="B207" s="524"/>
      <c r="C207" s="523" t="str">
        <f>IFERROR(__xludf.DUMMYFUNCTION("""COMPUTED_VALUE"""),"TC_20")</f>
        <v>TC_20</v>
      </c>
      <c r="D207" s="523" t="str">
        <f>IFERROR(__xludf.DUMMYFUNCTION("""COMPUTED_VALUE"""),"Functional")</f>
        <v>Functional</v>
      </c>
      <c r="E207" s="524" t="str">
        <f>IFERROR(__xludf.DUMMYFUNCTION("""COMPUTED_VALUE"""),"Generate VID")</f>
        <v>Generate VID</v>
      </c>
      <c r="F207" s="524" t="str">
        <f>IFERROR(__xludf.DUMMYFUNCTION("""COMPUTED_VALUE"""),"Verify by deactivating the VID and perform auth")</f>
        <v>Verify by deactivating the VID and perform auth</v>
      </c>
      <c r="G207" s="524" t="str">
        <f>IFERROR(__xludf.DUMMYFUNCTION("""COMPUTED_VALUE"""),"1.Get Unused UIN.. 2.Add Record for UIN. 3.Generate Vid for the UIN and do deactivate. 4.perform auth with deactivate VID.")</f>
        <v>1.Get Unused UIN.. 2.Add Record for UIN. 3.Generate Vid for the UIN and do deactivate. 4.perform auth with deactivate VID.</v>
      </c>
      <c r="H207" s="524" t="str">
        <f>IFERROR(__xludf.DUMMYFUNCTION("""COMPUTED_VALUE"""),"Auth should fail with error saying that ""vid is deactivated""")</f>
        <v>Auth should fail with error saying that "vid is deactivated"</v>
      </c>
      <c r="I207" s="523" t="str">
        <f>IFERROR(__xludf.DUMMYFUNCTION("""COMPUTED_VALUE"""),"Fail")</f>
        <v>Fail</v>
      </c>
      <c r="J207" s="523"/>
      <c r="K207" s="523"/>
      <c r="L207" s="523"/>
      <c r="M207" s="523"/>
      <c r="N207" s="523"/>
      <c r="O207" s="523"/>
      <c r="P207" s="523"/>
      <c r="Q207" s="523"/>
      <c r="R207" s="523"/>
      <c r="S207" s="523"/>
      <c r="T207" s="523"/>
      <c r="U207" s="523"/>
      <c r="V207" s="523"/>
      <c r="W207" s="523"/>
      <c r="X207" s="523"/>
      <c r="Y207" s="523"/>
      <c r="Z207" s="523"/>
    </row>
    <row r="208">
      <c r="A208" s="523" t="str">
        <f>IFERROR(__xludf.DUMMYFUNCTION("""COMPUTED_VALUE"""),"MOSIP-11478")</f>
        <v>MOSIP-11478</v>
      </c>
      <c r="B208" s="524" t="str">
        <f>IFERROR(__xludf.DUMMYFUNCTION("""COMPUTED_VALUE"""),"Prepend thumbprint changes 
 for authentication request")</f>
        <v>Prepend thumbprint changes 
 for authentication request</v>
      </c>
      <c r="C208" s="523" t="str">
        <f>IFERROR(__xludf.DUMMYFUNCTION("""COMPUTED_VALUE"""),"Residentservice_Thumbprint_01")</f>
        <v>Residentservice_Thumbprint_01</v>
      </c>
      <c r="D208" s="523" t="str">
        <f>IFERROR(__xludf.DUMMYFUNCTION("""COMPUTED_VALUE"""),"Functional")</f>
        <v>Functional</v>
      </c>
      <c r="E208" s="524" t="str">
        <f>IFERROR(__xludf.DUMMYFUNCTION("""COMPUTED_VALUE"""),"Thumbprint")</f>
        <v>Thumbprint</v>
      </c>
      <c r="F208" s="524" t="str">
        <f>IFERROR(__xludf.DUMMYFUNCTION("""COMPUTED_VALUE"""),"Verify Update UIN by making thumbprint enable 
 in ida properties")</f>
        <v>Verify Update UIN by making thumbprint enable 
 in ida properties</v>
      </c>
      <c r="G208" s="524"/>
      <c r="H208" s="524"/>
      <c r="I208" s="523" t="str">
        <f>IFERROR(__xludf.DUMMYFUNCTION("""COMPUTED_VALUE"""),"Update UIN should work")</f>
        <v>Update UIN should work</v>
      </c>
      <c r="J208" s="523" t="str">
        <f>IFERROR(__xludf.DUMMYFUNCTION("""COMPUTED_VALUE"""),"Fail")</f>
        <v>Fail</v>
      </c>
      <c r="K208" s="523" t="str">
        <f>IFERROR(__xludf.DUMMYFUNCTION("""COMPUTED_VALUE"""),"qa-double-rc2")</f>
        <v>qa-double-rc2</v>
      </c>
      <c r="L208" s="523" t="str">
        <f>IFERROR(__xludf.DUMMYFUNCTION("""COMPUTED_VALUE"""),"Not a valid story in LTS, as thumbprint is by default enabled in keymanager, enable disable option was only in 1.1.3")</f>
        <v>Not a valid story in LTS, as thumbprint is by default enabled in keymanager, enable disable option was only in 1.1.3</v>
      </c>
      <c r="M208" s="523"/>
      <c r="N208" s="523"/>
      <c r="O208" s="523"/>
      <c r="P208" s="523"/>
      <c r="Q208" s="523"/>
      <c r="R208" s="523"/>
      <c r="S208" s="523"/>
      <c r="T208" s="523"/>
      <c r="U208" s="523"/>
      <c r="V208" s="523"/>
      <c r="W208" s="523"/>
      <c r="X208" s="523"/>
      <c r="Y208" s="523"/>
      <c r="Z208" s="523"/>
    </row>
    <row r="209">
      <c r="A209" s="523" t="str">
        <f>IFERROR(__xludf.DUMMYFUNCTION("""COMPUTED_VALUE"""),"MOSIP-15617")</f>
        <v>MOSIP-15617</v>
      </c>
      <c r="B209" s="524"/>
      <c r="C209" s="523" t="str">
        <f>IFERROR(__xludf.DUMMYFUNCTION("""COMPUTED_VALUE"""),"Notification 08")</f>
        <v>Notification 08</v>
      </c>
      <c r="D209" s="523" t="str">
        <f>IFERROR(__xludf.DUMMYFUNCTION("""COMPUTED_VALUE"""),"Functional")</f>
        <v>Functional</v>
      </c>
      <c r="E209" s="524" t="str">
        <f>IFERROR(__xludf.DUMMYFUNCTION("""COMPUTED_VALUE"""),"Notification")</f>
        <v>Notification</v>
      </c>
      <c r="F209" s="524" t="str">
        <f>IFERROR(__xludf.DUMMYFUNCTION("""COMPUTED_VALUE"""),"1.Update UIN
 2. Verify email notification sent to resident.")</f>
        <v>1.Update UIN
 2. Verify email notification sent to resident.</v>
      </c>
      <c r="G209" s="524" t="str">
        <f>IFERROR(__xludf.DUMMYFUNCTION("""COMPUTED_VALUE"""),"Update UIN details and check notification lang")</f>
        <v>Update UIN details and check notification lang</v>
      </c>
      <c r="H209" s="524" t="str">
        <f>IFERROR(__xludf.DUMMYFUNCTION("""COMPUTED_VALUE"""),"Configure below mentioned settings in application-mz.properties.
 1. mosip.default.user-preferred-language-attribute=Null and mosip.default.template-languages=eng,ara,kan
 2. mosip.mandatory-languages=eng, kan and
 mosip.optional-languages=ara,eng
 3. Not"&amp;"ification Language selected in RegClient is English.")</f>
        <v>Configure below mentioned settings in application-mz.properties.
 1. mosip.default.user-preferred-language-attribute=Null and mosip.default.template-languages=eng,ara,kan
 2. mosip.mandatory-languages=eng, kan and
 mosip.optional-languages=ara,eng
 3. Notification Language selected in RegClient is English.</v>
      </c>
      <c r="I209" s="523" t="str">
        <f>IFERROR(__xludf.DUMMYFUNCTION("""COMPUTED_VALUE"""),"Notification should be sent in English, kannada languages.")</f>
        <v>Notification should be sent in English, kannada languages.</v>
      </c>
      <c r="J209" s="523" t="str">
        <f>IFERROR(__xludf.DUMMYFUNCTION("""COMPUTED_VALUE"""),"Fail")</f>
        <v>Fail</v>
      </c>
      <c r="K209" s="523" t="str">
        <f>IFERROR(__xludf.DUMMYFUNCTION("""COMPUTED_VALUE"""),"Update uin is not  working")</f>
        <v>Update uin is not  working</v>
      </c>
      <c r="L209" s="523"/>
      <c r="M209" s="523"/>
      <c r="N209" s="523"/>
      <c r="O209" s="523"/>
      <c r="P209" s="523"/>
      <c r="Q209" s="523"/>
      <c r="R209" s="523"/>
      <c r="S209" s="523"/>
      <c r="T209" s="523"/>
      <c r="U209" s="523"/>
      <c r="V209" s="523"/>
      <c r="W209" s="523"/>
      <c r="X209" s="523"/>
      <c r="Y209" s="523"/>
      <c r="Z209" s="523"/>
    </row>
    <row r="210">
      <c r="A210" s="523" t="str">
        <f>IFERROR(__xludf.DUMMYFUNCTION("""COMPUTED_VALUE"""),"MOSIP-9233")</f>
        <v>MOSIP-9233</v>
      </c>
      <c r="B210" s="524" t="str">
        <f>IFERROR(__xludf.DUMMYFUNCTION("""COMPUTED_VALUE"""),"Integrate packet manager changes
  in resident services")</f>
        <v>Integrate packet manager changes
  in resident services</v>
      </c>
      <c r="C210" s="523" t="str">
        <f>IFERROR(__xludf.DUMMYFUNCTION("""COMPUTED_VALUE"""),"Resident 01")</f>
        <v>Resident 01</v>
      </c>
      <c r="D210" s="523" t="str">
        <f>IFERROR(__xludf.DUMMYFUNCTION("""COMPUTED_VALUE"""),"Functional")</f>
        <v>Functional</v>
      </c>
      <c r="E210" s="524" t="str">
        <f>IFERROR(__xludf.DUMMYFUNCTION("""COMPUTED_VALUE"""),"update")</f>
        <v>update</v>
      </c>
      <c r="F210" s="524" t="str">
        <f>IFERROR(__xludf.DUMMYFUNCTION("""COMPUTED_VALUE"""),"Update UIN deatails")</f>
        <v>Update UIN deatails</v>
      </c>
      <c r="G210" s="524" t="str">
        <f>IFERROR(__xludf.DUMMYFUNCTION("""COMPUTED_VALUE"""),"Update DOB of resident")</f>
        <v>Update DOB of resident</v>
      </c>
      <c r="H210" s="524" t="str">
        <f>IFERROR(__xludf.DUMMYFUNCTION("""COMPUTED_VALUE"""),"1. Send otp request for Resident
 2.Update DOB of resident")</f>
        <v>1. Send otp request for Resident
 2.Update DOB of resident</v>
      </c>
      <c r="I210" s="523" t="str">
        <f>IFERROR(__xludf.DUMMYFUNCTION("""COMPUTED_VALUE"""),"DOB of resident should get updated")</f>
        <v>DOB of resident should get updated</v>
      </c>
      <c r="J210" s="523" t="str">
        <f>IFERROR(__xludf.DUMMYFUNCTION("""COMPUTED_VALUE"""),"Fail")</f>
        <v>Fail</v>
      </c>
      <c r="K210" s="523" t="str">
        <f>IFERROR(__xludf.DUMMYFUNCTION("""COMPUTED_VALUE"""),"qa-triple-rc2")</f>
        <v>qa-triple-rc2</v>
      </c>
      <c r="L210" s="523" t="str">
        <f>IFERROR(__xludf.DUMMYFUNCTION("""COMPUTED_VALUE"""),"Update uin is not working")</f>
        <v>Update uin is not working</v>
      </c>
      <c r="M210" s="523"/>
      <c r="N210" s="523"/>
      <c r="O210" s="523"/>
      <c r="P210" s="523"/>
      <c r="Q210" s="523"/>
      <c r="R210" s="523"/>
      <c r="S210" s="523"/>
      <c r="T210" s="523"/>
      <c r="U210" s="523"/>
      <c r="V210" s="523"/>
      <c r="W210" s="523"/>
      <c r="X210" s="523"/>
      <c r="Y210" s="523"/>
      <c r="Z210" s="523"/>
    </row>
    <row r="211">
      <c r="A211" s="523" t="str">
        <f>IFERROR(__xludf.DUMMYFUNCTION("""COMPUTED_VALUE"""),"MOSIP-9233")</f>
        <v>MOSIP-9233</v>
      </c>
      <c r="B211" s="524"/>
      <c r="C211" s="523" t="str">
        <f>IFERROR(__xludf.DUMMYFUNCTION("""COMPUTED_VALUE"""),"Resident 02")</f>
        <v>Resident 02</v>
      </c>
      <c r="D211" s="523" t="str">
        <f>IFERROR(__xludf.DUMMYFUNCTION("""COMPUTED_VALUE"""),"Functional")</f>
        <v>Functional</v>
      </c>
      <c r="E211" s="524" t="str">
        <f>IFERROR(__xludf.DUMMYFUNCTION("""COMPUTED_VALUE"""),"update")</f>
        <v>update</v>
      </c>
      <c r="F211" s="524"/>
      <c r="G211" s="524" t="str">
        <f>IFERROR(__xludf.DUMMYFUNCTION("""COMPUTED_VALUE"""),"Update name of resident")</f>
        <v>Update name of resident</v>
      </c>
      <c r="H211" s="524" t="str">
        <f>IFERROR(__xludf.DUMMYFUNCTION("""COMPUTED_VALUE"""),"1. Send otp request for Resident
 2.Update name of resident")</f>
        <v>1. Send otp request for Resident
 2.Update name of resident</v>
      </c>
      <c r="I211" s="523" t="str">
        <f>IFERROR(__xludf.DUMMYFUNCTION("""COMPUTED_VALUE"""),"Name of resident should get updated")</f>
        <v>Name of resident should get updated</v>
      </c>
      <c r="J211" s="523" t="str">
        <f>IFERROR(__xludf.DUMMYFUNCTION("""COMPUTED_VALUE"""),"Fail")</f>
        <v>Fail</v>
      </c>
      <c r="K211" s="523" t="str">
        <f>IFERROR(__xludf.DUMMYFUNCTION("""COMPUTED_VALUE"""),"qa-triple-rc2")</f>
        <v>qa-triple-rc2</v>
      </c>
      <c r="L211" s="523" t="str">
        <f>IFERROR(__xludf.DUMMYFUNCTION("""COMPUTED_VALUE"""),"Update uin is not working")</f>
        <v>Update uin is not working</v>
      </c>
      <c r="M211" s="523"/>
      <c r="N211" s="523"/>
      <c r="O211" s="523"/>
      <c r="P211" s="523"/>
      <c r="Q211" s="523"/>
      <c r="R211" s="523"/>
      <c r="S211" s="523"/>
      <c r="T211" s="523"/>
      <c r="U211" s="523"/>
      <c r="V211" s="523"/>
      <c r="W211" s="523"/>
      <c r="X211" s="523"/>
      <c r="Y211" s="523"/>
      <c r="Z211" s="523"/>
    </row>
    <row r="212">
      <c r="A212" s="523" t="str">
        <f>IFERROR(__xludf.DUMMYFUNCTION("""COMPUTED_VALUE"""),"MOSIP-9233")</f>
        <v>MOSIP-9233</v>
      </c>
      <c r="B212" s="524"/>
      <c r="C212" s="523" t="str">
        <f>IFERROR(__xludf.DUMMYFUNCTION("""COMPUTED_VALUE"""),"Resident 03")</f>
        <v>Resident 03</v>
      </c>
      <c r="D212" s="523" t="str">
        <f>IFERROR(__xludf.DUMMYFUNCTION("""COMPUTED_VALUE"""),"Functional")</f>
        <v>Functional</v>
      </c>
      <c r="E212" s="524" t="str">
        <f>IFERROR(__xludf.DUMMYFUNCTION("""COMPUTED_VALUE"""),"update")</f>
        <v>update</v>
      </c>
      <c r="F212" s="524"/>
      <c r="G212" s="524" t="str">
        <f>IFERROR(__xludf.DUMMYFUNCTION("""COMPUTED_VALUE"""),"Update address of resident")</f>
        <v>Update address of resident</v>
      </c>
      <c r="H212" s="524" t="str">
        <f>IFERROR(__xludf.DUMMYFUNCTION("""COMPUTED_VALUE"""),"1. Send otp request for Resident
 2.Update address of resident")</f>
        <v>1. Send otp request for Resident
 2.Update address of resident</v>
      </c>
      <c r="I212" s="523" t="str">
        <f>IFERROR(__xludf.DUMMYFUNCTION("""COMPUTED_VALUE"""),"Address of resident should get updated")</f>
        <v>Address of resident should get updated</v>
      </c>
      <c r="J212" s="523" t="str">
        <f>IFERROR(__xludf.DUMMYFUNCTION("""COMPUTED_VALUE"""),"Fail")</f>
        <v>Fail</v>
      </c>
      <c r="K212" s="523" t="str">
        <f>IFERROR(__xludf.DUMMYFUNCTION("""COMPUTED_VALUE"""),"qa-triple-rc2")</f>
        <v>qa-triple-rc2</v>
      </c>
      <c r="L212" s="523" t="str">
        <f>IFERROR(__xludf.DUMMYFUNCTION("""COMPUTED_VALUE"""),"Update uin is not working")</f>
        <v>Update uin is not working</v>
      </c>
      <c r="M212" s="523"/>
      <c r="N212" s="523"/>
      <c r="O212" s="523"/>
      <c r="P212" s="523"/>
      <c r="Q212" s="523"/>
      <c r="R212" s="523"/>
      <c r="S212" s="523"/>
      <c r="T212" s="523"/>
      <c r="U212" s="523"/>
      <c r="V212" s="523"/>
      <c r="W212" s="523"/>
      <c r="X212" s="523"/>
      <c r="Y212" s="523"/>
      <c r="Z212" s="523"/>
    </row>
    <row r="213">
      <c r="A213" s="523" t="str">
        <f>IFERROR(__xludf.DUMMYFUNCTION("""COMPUTED_VALUE"""),"MOSIP-9233")</f>
        <v>MOSIP-9233</v>
      </c>
      <c r="B213" s="524"/>
      <c r="C213" s="523" t="str">
        <f>IFERROR(__xludf.DUMMYFUNCTION("""COMPUTED_VALUE"""),"Resident 04")</f>
        <v>Resident 04</v>
      </c>
      <c r="D213" s="523" t="str">
        <f>IFERROR(__xludf.DUMMYFUNCTION("""COMPUTED_VALUE"""),"Functional")</f>
        <v>Functional</v>
      </c>
      <c r="E213" s="524" t="str">
        <f>IFERROR(__xludf.DUMMYFUNCTION("""COMPUTED_VALUE"""),"update")</f>
        <v>update</v>
      </c>
      <c r="F213" s="524"/>
      <c r="G213" s="524" t="str">
        <f>IFERROR(__xludf.DUMMYFUNCTION("""COMPUTED_VALUE"""),"Update Email of resident")</f>
        <v>Update Email of resident</v>
      </c>
      <c r="H213" s="524" t="str">
        <f>IFERROR(__xludf.DUMMYFUNCTION("""COMPUTED_VALUE"""),"1. Send otp request for Resident
 2.Update Email of resident")</f>
        <v>1. Send otp request for Resident
 2.Update Email of resident</v>
      </c>
      <c r="I213" s="523" t="str">
        <f>IFERROR(__xludf.DUMMYFUNCTION("""COMPUTED_VALUE"""),"Email of resident should get updated")</f>
        <v>Email of resident should get updated</v>
      </c>
      <c r="J213" s="523" t="str">
        <f>IFERROR(__xludf.DUMMYFUNCTION("""COMPUTED_VALUE"""),"Fail")</f>
        <v>Fail</v>
      </c>
      <c r="K213" s="523" t="str">
        <f>IFERROR(__xludf.DUMMYFUNCTION("""COMPUTED_VALUE"""),"qa-triple-rc2")</f>
        <v>qa-triple-rc2</v>
      </c>
      <c r="L213" s="523" t="str">
        <f>IFERROR(__xludf.DUMMYFUNCTION("""COMPUTED_VALUE"""),"Update uin is not working")</f>
        <v>Update uin is not working</v>
      </c>
      <c r="M213" s="523"/>
      <c r="N213" s="523"/>
      <c r="O213" s="523"/>
      <c r="P213" s="523"/>
      <c r="Q213" s="523"/>
      <c r="R213" s="523"/>
      <c r="S213" s="523"/>
      <c r="T213" s="523"/>
      <c r="U213" s="523"/>
      <c r="V213" s="523"/>
      <c r="W213" s="523"/>
      <c r="X213" s="523"/>
      <c r="Y213" s="523"/>
      <c r="Z213" s="523"/>
    </row>
    <row r="214">
      <c r="A214" s="523" t="str">
        <f>IFERROR(__xludf.DUMMYFUNCTION("""COMPUTED_VALUE"""),"MOSIP-9233")</f>
        <v>MOSIP-9233</v>
      </c>
      <c r="B214" s="524"/>
      <c r="C214" s="523" t="str">
        <f>IFERROR(__xludf.DUMMYFUNCTION("""COMPUTED_VALUE"""),"Resident 05")</f>
        <v>Resident 05</v>
      </c>
      <c r="D214" s="523" t="str">
        <f>IFERROR(__xludf.DUMMYFUNCTION("""COMPUTED_VALUE"""),"Functional")</f>
        <v>Functional</v>
      </c>
      <c r="E214" s="524" t="str">
        <f>IFERROR(__xludf.DUMMYFUNCTION("""COMPUTED_VALUE"""),"update")</f>
        <v>update</v>
      </c>
      <c r="F214" s="524"/>
      <c r="G214" s="524" t="str">
        <f>IFERROR(__xludf.DUMMYFUNCTION("""COMPUTED_VALUE"""),"Update Phone number of resident")</f>
        <v>Update Phone number of resident</v>
      </c>
      <c r="H214" s="524" t="str">
        <f>IFERROR(__xludf.DUMMYFUNCTION("""COMPUTED_VALUE"""),"1. Send otp request for Resident
 2.Update Phone number of resident")</f>
        <v>1. Send otp request for Resident
 2.Update Phone number of resident</v>
      </c>
      <c r="I214" s="523" t="str">
        <f>IFERROR(__xludf.DUMMYFUNCTION("""COMPUTED_VALUE"""),"Phone number of resident should get updated")</f>
        <v>Phone number of resident should get updated</v>
      </c>
      <c r="J214" s="523" t="str">
        <f>IFERROR(__xludf.DUMMYFUNCTION("""COMPUTED_VALUE"""),"Fail")</f>
        <v>Fail</v>
      </c>
      <c r="K214" s="523" t="str">
        <f>IFERROR(__xludf.DUMMYFUNCTION("""COMPUTED_VALUE"""),"qa-triple-rc2")</f>
        <v>qa-triple-rc2</v>
      </c>
      <c r="L214" s="523" t="str">
        <f>IFERROR(__xludf.DUMMYFUNCTION("""COMPUTED_VALUE"""),"Update uin is not working")</f>
        <v>Update uin is not working</v>
      </c>
      <c r="M214" s="523"/>
      <c r="N214" s="523"/>
      <c r="O214" s="523"/>
      <c r="P214" s="523"/>
      <c r="Q214" s="523"/>
      <c r="R214" s="523"/>
      <c r="S214" s="523"/>
      <c r="T214" s="523"/>
      <c r="U214" s="523"/>
      <c r="V214" s="523"/>
      <c r="W214" s="523"/>
      <c r="X214" s="523"/>
      <c r="Y214" s="523"/>
      <c r="Z214" s="523"/>
    </row>
    <row r="215">
      <c r="A215" s="523" t="str">
        <f>IFERROR(__xludf.DUMMYFUNCTION("""COMPUTED_VALUE"""),"MOSIP-9233")</f>
        <v>MOSIP-9233</v>
      </c>
      <c r="B215" s="524"/>
      <c r="C215" s="523" t="str">
        <f>IFERROR(__xludf.DUMMYFUNCTION("""COMPUTED_VALUE"""),"Resident 06")</f>
        <v>Resident 06</v>
      </c>
      <c r="D215" s="523" t="str">
        <f>IFERROR(__xludf.DUMMYFUNCTION("""COMPUTED_VALUE"""),"Functional")</f>
        <v>Functional</v>
      </c>
      <c r="E215" s="524" t="str">
        <f>IFERROR(__xludf.DUMMYFUNCTION("""COMPUTED_VALUE"""),"update")</f>
        <v>update</v>
      </c>
      <c r="F215" s="524"/>
      <c r="G215" s="524" t="str">
        <f>IFERROR(__xludf.DUMMYFUNCTION("""COMPUTED_VALUE"""),"Update Dob of resident with invalid format")</f>
        <v>Update Dob of resident with invalid format</v>
      </c>
      <c r="H215" s="524" t="str">
        <f>IFERROR(__xludf.DUMMYFUNCTION("""COMPUTED_VALUE"""),"1. Send otp request for Resident
 2.Update DOB of resident as yyyy/MM/DD")</f>
        <v>1. Send otp request for Resident
 2.Update DOB of resident as yyyy/MM/DD</v>
      </c>
      <c r="I215" s="523" t="str">
        <f>IFERROR(__xludf.DUMMYFUNCTION("""COMPUTED_VALUE"""),"DOB of resident should not get updated")</f>
        <v>DOB of resident should not get updated</v>
      </c>
      <c r="J215" s="523" t="str">
        <f>IFERROR(__xludf.DUMMYFUNCTION("""COMPUTED_VALUE"""),"Fail")</f>
        <v>Fail</v>
      </c>
      <c r="K215" s="523" t="str">
        <f>IFERROR(__xludf.DUMMYFUNCTION("""COMPUTED_VALUE"""),"qa-triple-rc2")</f>
        <v>qa-triple-rc2</v>
      </c>
      <c r="L215" s="523" t="str">
        <f>IFERROR(__xludf.DUMMYFUNCTION("""COMPUTED_VALUE"""),"Update uin is not working")</f>
        <v>Update uin is not working</v>
      </c>
      <c r="M215" s="523"/>
      <c r="N215" s="523"/>
      <c r="O215" s="523"/>
      <c r="P215" s="523"/>
      <c r="Q215" s="523"/>
      <c r="R215" s="523"/>
      <c r="S215" s="523"/>
      <c r="T215" s="523"/>
      <c r="U215" s="523"/>
      <c r="V215" s="523"/>
      <c r="W215" s="523"/>
      <c r="X215" s="523"/>
      <c r="Y215" s="523"/>
      <c r="Z215" s="523"/>
    </row>
    <row r="216">
      <c r="A216" s="523" t="str">
        <f>IFERROR(__xludf.DUMMYFUNCTION("""COMPUTED_VALUE"""),"MOSIP-8553")</f>
        <v>MOSIP-8553</v>
      </c>
      <c r="B216" s="524"/>
      <c r="C216" s="523" t="str">
        <f>IFERROR(__xludf.DUMMYFUNCTION("""COMPUTED_VALUE"""),"Resident 04")</f>
        <v>Resident 04</v>
      </c>
      <c r="D216" s="523" t="str">
        <f>IFERROR(__xludf.DUMMYFUNCTION("""COMPUTED_VALUE"""),"Functional")</f>
        <v>Functional</v>
      </c>
      <c r="E216" s="524" t="str">
        <f>IFERROR(__xludf.DUMMYFUNCTION("""COMPUTED_VALUE"""),"Check status")</f>
        <v>Check status</v>
      </c>
      <c r="F216" s="524" t="str">
        <f>IFERROR(__xludf.DUMMYFUNCTION("""COMPUTED_VALUE"""),"To update uin and check RID status for the same")</f>
        <v>To update uin and check RID status for the same</v>
      </c>
      <c r="G216" s="524"/>
      <c r="H216" s="524" t="str">
        <f>IFERROR(__xludf.DUMMYFUNCTION("""COMPUTED_VALUE"""),"1. Send Otp request
 2. Update Any field of UIN
 3. Check status for RID got from update UIN")</f>
        <v>1. Send Otp request
 2. Update Any field of UIN
 3. Check status for RID got from update UIN</v>
      </c>
      <c r="I216" s="523" t="str">
        <f>IFERROR(__xludf.DUMMYFUNCTION("""COMPUTED_VALUE"""),"UIN to get updated and should get 
 RID status")</f>
        <v>UIN to get updated and should get 
 RID status</v>
      </c>
      <c r="J216" s="523" t="str">
        <f>IFERROR(__xludf.DUMMYFUNCTION("""COMPUTED_VALUE"""),"Fail")</f>
        <v>Fail</v>
      </c>
      <c r="K216" s="523"/>
      <c r="L216" s="523"/>
      <c r="M216" s="523"/>
      <c r="N216" s="523"/>
      <c r="O216" s="523"/>
      <c r="P216" s="523"/>
      <c r="Q216" s="523"/>
      <c r="R216" s="523"/>
      <c r="S216" s="523"/>
      <c r="T216" s="523"/>
      <c r="U216" s="523"/>
      <c r="V216" s="523"/>
      <c r="W216" s="523"/>
      <c r="X216" s="523"/>
      <c r="Y216" s="523"/>
      <c r="Z216" s="523"/>
    </row>
    <row r="217">
      <c r="A217" s="523"/>
      <c r="B217" s="524"/>
      <c r="C217" s="523" t="str">
        <f>IFERROR(__xludf.DUMMYFUNCTION("""COMPUTED_VALUE"""),"Resident 09")</f>
        <v>Resident 09</v>
      </c>
      <c r="D217" s="523"/>
      <c r="E217" s="524"/>
      <c r="F217" s="524"/>
      <c r="G217" s="524" t="str">
        <f>IFERROR(__xludf.DUMMYFUNCTION("""COMPUTED_VALUE"""),"Perform demo/bio auth/ekyc using revoked temporary vid")</f>
        <v>Perform demo/bio auth/ekyc using revoked temporary vid</v>
      </c>
      <c r="H217" s="524" t="str">
        <f>IFERROR(__xludf.DUMMYFUNCTION("""COMPUTED_VALUE"""),"1. Send Otp request 
 2. Revoke temporary Vid
 3.demo/bio auth/ekyc should get fail for revoked VID
 4. Check email notification for demo/bio auth failure")</f>
        <v>1. Send Otp request 
 2. Revoke temporary Vid
 3.demo/bio auth/ekyc should get fail for revoked VID
 4. Check email notification for demo/bio auth failure</v>
      </c>
      <c r="I217" s="523" t="str">
        <f>IFERROR(__xludf.DUMMYFUNCTION("""COMPUTED_VALUE"""),"Demo/bio auth/ekyc should get fail with revoked temporary VID")</f>
        <v>Demo/bio auth/ekyc should get fail with revoked temporary VID</v>
      </c>
      <c r="J217" s="523" t="str">
        <f>IFERROR(__xludf.DUMMYFUNCTION("""COMPUTED_VALUE"""),"Fail")</f>
        <v>Fail</v>
      </c>
      <c r="K217" s="523" t="str">
        <f>IFERROR(__xludf.DUMMYFUNCTION("""COMPUTED_VALUE"""),"auth getting success with revoked vid")</f>
        <v>auth getting success with revoked vid</v>
      </c>
      <c r="L217" s="523"/>
      <c r="M217" s="523"/>
      <c r="N217" s="523"/>
      <c r="O217" s="523"/>
      <c r="P217" s="523"/>
      <c r="Q217" s="523"/>
      <c r="R217" s="523"/>
      <c r="S217" s="523"/>
      <c r="T217" s="523"/>
      <c r="U217" s="523"/>
      <c r="V217" s="523"/>
      <c r="W217" s="523"/>
      <c r="X217" s="523"/>
      <c r="Y217" s="523"/>
      <c r="Z217" s="523"/>
    </row>
    <row r="218">
      <c r="A218" s="523"/>
      <c r="B218" s="524"/>
      <c r="C218" s="523" t="str">
        <f>IFERROR(__xludf.DUMMYFUNCTION("""COMPUTED_VALUE"""),"Resident 10")</f>
        <v>Resident 10</v>
      </c>
      <c r="D218" s="523"/>
      <c r="E218" s="524"/>
      <c r="F218" s="524"/>
      <c r="G218" s="524" t="str">
        <f>IFERROR(__xludf.DUMMYFUNCTION("""COMPUTED_VALUE"""),"perform otp auth /ekyc using revoked temporary vid")</f>
        <v>perform otp auth /ekyc using revoked temporary vid</v>
      </c>
      <c r="H218" s="524" t="str">
        <f>IFERROR(__xludf.DUMMYFUNCTION("""COMPUTED_VALUE"""),"1. Send Otp request 
 2. Revoke temporary Vid
 3.otp auth/ekyc should get fail for revoked VID
 4. Email should trigger for otp auth/ekyc failure")</f>
        <v>1. Send Otp request 
 2. Revoke temporary Vid
 3.otp auth/ekyc should get fail for revoked VID
 4. Email should trigger for otp auth/ekyc failure</v>
      </c>
      <c r="I218" s="523" t="str">
        <f>IFERROR(__xludf.DUMMYFUNCTION("""COMPUTED_VALUE"""),"Otp auth/ekyc should get fail with revoked temporary VID")</f>
        <v>Otp auth/ekyc should get fail with revoked temporary VID</v>
      </c>
      <c r="J218" s="523" t="str">
        <f>IFERROR(__xludf.DUMMYFUNCTION("""COMPUTED_VALUE"""),"Fail")</f>
        <v>Fail</v>
      </c>
      <c r="K218" s="523" t="str">
        <f>IFERROR(__xludf.DUMMYFUNCTION("""COMPUTED_VALUE"""),"auth getting success with revoked vid")</f>
        <v>auth getting success with revoked vid</v>
      </c>
      <c r="L218" s="523"/>
      <c r="M218" s="523"/>
      <c r="N218" s="523"/>
      <c r="O218" s="523"/>
      <c r="P218" s="523"/>
      <c r="Q218" s="523"/>
      <c r="R218" s="523"/>
      <c r="S218" s="523"/>
      <c r="T218" s="523"/>
      <c r="U218" s="523"/>
      <c r="V218" s="523"/>
      <c r="W218" s="523"/>
      <c r="X218" s="523"/>
      <c r="Y218" s="523"/>
      <c r="Z218" s="523"/>
    </row>
    <row r="219">
      <c r="A219" s="523"/>
      <c r="B219" s="524"/>
      <c r="C219" s="523" t="str">
        <f>IFERROR(__xludf.DUMMYFUNCTION("""COMPUTED_VALUE"""),"Resident 16")</f>
        <v>Resident 16</v>
      </c>
      <c r="D219" s="523"/>
      <c r="E219" s="524"/>
      <c r="F219" s="524"/>
      <c r="G219" s="524" t="str">
        <f>IFERROR(__xludf.DUMMYFUNCTION("""COMPUTED_VALUE"""),"Change the config proerties and test the same 
 {
  ""vidType"": ""Temporary"",
  ""vidPolicy"": {
  ""validForInMinutes"": 2,
  ""transactionsAllowed"":2,
  ""instancesAllowed"": 3,
  ""autoRestoreAllowed"": false
  ""restoreOnAction"": ""Regenrate""
  }")</f>
        <v>Change the config proerties and test the same 
 {
  "vidType": "Temporary",
  "vidPolicy": {
  "validForInMinutes": 2,
  "transactionsAllowed":2,
  "instancesAllowed": 3,
  "autoRestoreAllowed": false
  "restoreOnAction": "Regenrate"
  }</v>
      </c>
      <c r="H219" s="524" t="str">
        <f>IFERROR(__xludf.DUMMYFUNCTION("""COMPUTED_VALUE"""),"1. Go to https://github.com/mosip/mosip-config/blob/qa-triple-rc2/sandbox/mosip-vid-policy.json
 2. Check for temporary vid type config properties and edit
 3. Generate VID")</f>
        <v>1. Go to https://github.com/mosip/mosip-config/blob/qa-triple-rc2/sandbox/mosip-vid-policy.json
 2. Check for temporary vid type config properties and edit
 3. Generate VID</v>
      </c>
      <c r="I219" s="523" t="str">
        <f>IFERROR(__xludf.DUMMYFUNCTION("""COMPUTED_VALUE"""),"According to changed config properties 
 a. temporary vid should get revoked after 2min
 b. temporary vid can be used at only 2 instance
 3. Only 3 temporary is allowed to be active at a time
 4. First temporary vid should not be auto revoked when second "&amp;"temporary vid is generated")</f>
        <v>According to changed config properties 
 a. temporary vid should get revoked after 2min
 b. temporary vid can be used at only 2 instance
 3. Only 3 temporary is allowed to be active at a time
 4. First temporary vid should not be auto revoked when second temporary vid is generated</v>
      </c>
      <c r="J219" s="523" t="str">
        <f>IFERROR(__xludf.DUMMYFUNCTION("""COMPUTED_VALUE"""),"Fail")</f>
        <v>Fail</v>
      </c>
      <c r="K219" s="523" t="str">
        <f>IFERROR(__xludf.DUMMYFUNCTION("""COMPUTED_VALUE"""),"Transcations allowed is not working properly")</f>
        <v>Transcations allowed is not working properly</v>
      </c>
      <c r="L219" s="523"/>
      <c r="M219" s="523"/>
      <c r="N219" s="523"/>
      <c r="O219" s="523"/>
      <c r="P219" s="523"/>
      <c r="Q219" s="523"/>
      <c r="R219" s="523"/>
      <c r="S219" s="523"/>
      <c r="T219" s="523"/>
      <c r="U219" s="523"/>
      <c r="V219" s="523"/>
      <c r="W219" s="523"/>
      <c r="X219" s="523"/>
      <c r="Y219" s="523"/>
      <c r="Z219" s="523"/>
    </row>
    <row r="220">
      <c r="A220" s="523"/>
      <c r="B220" s="524"/>
      <c r="C220" s="523" t="str">
        <f>IFERROR(__xludf.DUMMYFUNCTION("""COMPUTED_VALUE"""),"Resident 19")</f>
        <v>Resident 19</v>
      </c>
      <c r="D220" s="523"/>
      <c r="E220" s="524"/>
      <c r="F220" s="524"/>
      <c r="G220" s="524" t="str">
        <f>IFERROR(__xludf.DUMMYFUNCTION("""COMPUTED_VALUE"""),"With the same above config properties with already generated vid try to do transcation more than twice")</f>
        <v>With the same above config properties with already generated vid try to do transcation more than twice</v>
      </c>
      <c r="H220" s="524" t="str">
        <f>IFERROR(__xludf.DUMMYFUNCTION("""COMPUTED_VALUE"""),"1. Send otp request using temporary
 2. request for credentail id
 3. Do auth lock
 4. Do auth unlock
")</f>
        <v>1. Send otp request using temporary
 2. request for credentail id
 3. Do auth lock
 4. Do auth unlock
</v>
      </c>
      <c r="I220" s="523" t="str">
        <f>IFERROR(__xludf.DUMMYFUNCTION("""COMPUTED_VALUE"""),"Temporary vid should get allowed to use at only 3 times, Auth unlock should get fail")</f>
        <v>Temporary vid should get allowed to use at only 3 times, Auth unlock should get fail</v>
      </c>
      <c r="J220" s="523" t="str">
        <f>IFERROR(__xludf.DUMMYFUNCTION("""COMPUTED_VALUE"""),"Fail")</f>
        <v>Fail</v>
      </c>
      <c r="K220" s="523" t="str">
        <f>IFERROR(__xludf.DUMMYFUNCTION("""COMPUTED_VALUE"""),"Able to use in only one transaction")</f>
        <v>Able to use in only one transaction</v>
      </c>
      <c r="L220" s="523"/>
      <c r="M220" s="523"/>
      <c r="N220" s="523"/>
      <c r="O220" s="523"/>
      <c r="P220" s="523"/>
      <c r="Q220" s="523"/>
      <c r="R220" s="523"/>
      <c r="S220" s="523"/>
      <c r="T220" s="523"/>
      <c r="U220" s="523"/>
      <c r="V220" s="523"/>
      <c r="W220" s="523"/>
      <c r="X220" s="523"/>
      <c r="Y220" s="523"/>
      <c r="Z220" s="523"/>
    </row>
    <row r="221">
      <c r="A221" s="523"/>
      <c r="B221" s="524"/>
      <c r="C221" s="523" t="str">
        <f>IFERROR(__xludf.DUMMYFUNCTION("""COMPUTED_VALUE"""),"Resident 29")</f>
        <v>Resident 29</v>
      </c>
      <c r="D221" s="523"/>
      <c r="E221" s="524"/>
      <c r="F221" s="524"/>
      <c r="G221" s="524" t="str">
        <f>IFERROR(__xludf.DUMMYFUNCTION("""COMPUTED_VALUE"""),"Perform demo/bio auth using revoked perpetual vid")</f>
        <v>Perform demo/bio auth using revoked perpetual vid</v>
      </c>
      <c r="H221" s="524" t="str">
        <f>IFERROR(__xludf.DUMMYFUNCTION("""COMPUTED_VALUE"""),"1. Send Otp request 
 2. Revoke perpetual Vid
 3.Perform demo/bio auth using revoked VID")</f>
        <v>1. Send Otp request 
 2. Revoke perpetual Vid
 3.Perform demo/bio auth using revoked VID</v>
      </c>
      <c r="I221" s="523" t="str">
        <f>IFERROR(__xludf.DUMMYFUNCTION("""COMPUTED_VALUE"""),"Demo/bio auth should get fail with revoked perpetual VID")</f>
        <v>Demo/bio auth should get fail with revoked perpetual VID</v>
      </c>
      <c r="J221" s="523" t="str">
        <f>IFERROR(__xludf.DUMMYFUNCTION("""COMPUTED_VALUE"""),"Fail")</f>
        <v>Fail</v>
      </c>
      <c r="K221" s="523"/>
      <c r="L221" s="523"/>
      <c r="M221" s="523"/>
      <c r="N221" s="523"/>
      <c r="O221" s="523"/>
      <c r="P221" s="523"/>
      <c r="Q221" s="523"/>
      <c r="R221" s="523"/>
      <c r="S221" s="523"/>
      <c r="T221" s="523"/>
      <c r="U221" s="523"/>
      <c r="V221" s="523"/>
      <c r="W221" s="523"/>
      <c r="X221" s="523"/>
      <c r="Y221" s="523"/>
      <c r="Z221" s="523"/>
    </row>
    <row r="222">
      <c r="A222" s="523"/>
      <c r="B222" s="524"/>
      <c r="C222" s="523" t="str">
        <f>IFERROR(__xludf.DUMMYFUNCTION("""COMPUTED_VALUE"""),"Resident 30")</f>
        <v>Resident 30</v>
      </c>
      <c r="D222" s="523"/>
      <c r="E222" s="524"/>
      <c r="F222" s="524"/>
      <c r="G222" s="524" t="str">
        <f>IFERROR(__xludf.DUMMYFUNCTION("""COMPUTED_VALUE"""),"Perform ekyc demo/bio auth using revoked perpetual vid")</f>
        <v>Perform ekyc demo/bio auth using revoked perpetual vid</v>
      </c>
      <c r="H222" s="524" t="str">
        <f>IFERROR(__xludf.DUMMYFUNCTION("""COMPUTED_VALUE"""),"1. Send Otp request 
 2. Revoke perpetual Vid
 3.Perform ekyc demo/bio auth using revoked VID")</f>
        <v>1. Send Otp request 
 2. Revoke perpetual Vid
 3.Perform ekyc demo/bio auth using revoked VID</v>
      </c>
      <c r="I222" s="523" t="str">
        <f>IFERROR(__xludf.DUMMYFUNCTION("""COMPUTED_VALUE"""),"ekyc Demo/bio auth should get fail with revoked perpetual VID")</f>
        <v>ekyc Demo/bio auth should get fail with revoked perpetual VID</v>
      </c>
      <c r="J222" s="523" t="str">
        <f>IFERROR(__xludf.DUMMYFUNCTION("""COMPUTED_VALUE"""),"Fail")</f>
        <v>Fail</v>
      </c>
      <c r="K222" s="523"/>
      <c r="L222" s="523"/>
      <c r="M222" s="523"/>
      <c r="N222" s="523"/>
      <c r="O222" s="523"/>
      <c r="P222" s="523"/>
      <c r="Q222" s="523"/>
      <c r="R222" s="523"/>
      <c r="S222" s="523"/>
      <c r="T222" s="523"/>
      <c r="U222" s="523"/>
      <c r="V222" s="523"/>
      <c r="W222" s="523"/>
      <c r="X222" s="523"/>
      <c r="Y222" s="523"/>
      <c r="Z222" s="523"/>
    </row>
    <row r="223">
      <c r="A223" s="523"/>
      <c r="B223" s="524"/>
      <c r="C223" s="523" t="str">
        <f>IFERROR(__xludf.DUMMYFUNCTION("""COMPUTED_VALUE"""),"Resident 31")</f>
        <v>Resident 31</v>
      </c>
      <c r="D223" s="523"/>
      <c r="E223" s="524"/>
      <c r="F223" s="524"/>
      <c r="G223" s="524" t="str">
        <f>IFERROR(__xludf.DUMMYFUNCTION("""COMPUTED_VALUE"""),"Perform otp auth/ekyc using revoked perpetual Vid")</f>
        <v>Perform otp auth/ekyc using revoked perpetual Vid</v>
      </c>
      <c r="H223" s="524" t="str">
        <f>IFERROR(__xludf.DUMMYFUNCTION("""COMPUTED_VALUE"""),"1. Send Otp request 
 2. Revoke perpetual Vid
 3.Perform otp auth/ekyc using revoked VID")</f>
        <v>1. Send Otp request 
 2. Revoke perpetual Vid
 3.Perform otp auth/ekyc using revoked VID</v>
      </c>
      <c r="I223" s="523" t="str">
        <f>IFERROR(__xludf.DUMMYFUNCTION("""COMPUTED_VALUE"""),"otp auth/ekyc should get fail with revoked perpetual VID")</f>
        <v>otp auth/ekyc should get fail with revoked perpetual VID</v>
      </c>
      <c r="J223" s="523" t="str">
        <f>IFERROR(__xludf.DUMMYFUNCTION("""COMPUTED_VALUE"""),"Fail")</f>
        <v>Fail</v>
      </c>
      <c r="K223" s="523"/>
      <c r="L223" s="523"/>
      <c r="M223" s="523"/>
      <c r="N223" s="523"/>
      <c r="O223" s="523"/>
      <c r="P223" s="523"/>
      <c r="Q223" s="523"/>
      <c r="R223" s="523"/>
      <c r="S223" s="523"/>
      <c r="T223" s="523"/>
      <c r="U223" s="523"/>
      <c r="V223" s="523"/>
      <c r="W223" s="523"/>
      <c r="X223" s="523"/>
      <c r="Y223" s="523"/>
      <c r="Z223" s="523"/>
    </row>
    <row r="224">
      <c r="A224" s="523"/>
      <c r="B224" s="524"/>
      <c r="C224" s="523" t="str">
        <f>IFERROR(__xludf.DUMMYFUNCTION("""COMPUTED_VALUE"""),"Resident 35")</f>
        <v>Resident 35</v>
      </c>
      <c r="D224" s="523"/>
      <c r="E224" s="524"/>
      <c r="F224" s="524"/>
      <c r="G224" s="524" t="str">
        <f>IFERROR(__xludf.DUMMYFUNCTION("""COMPUTED_VALUE"""),"With the same above config properties check auto revoke of perpetual vid is happening")</f>
        <v>With the same above config properties check auto revoke of perpetual vid is happening</v>
      </c>
      <c r="H224" s="524" t="str">
        <f>IFERROR(__xludf.DUMMYFUNCTION("""COMPUTED_VALUE"""),"1. Request for otp using uin
 2. Generate 2 perpetual vids")</f>
        <v>1. Request for otp using uin
 2. Generate 2 perpetual vids</v>
      </c>
      <c r="I224" s="523" t="str">
        <f>IFERROR(__xludf.DUMMYFUNCTION("""COMPUTED_VALUE"""),"1st generated vid should get auto revoked when 2nd perpetual vid is genertaed")</f>
        <v>1st generated vid should get auto revoked when 2nd perpetual vid is genertaed</v>
      </c>
      <c r="J224" s="523" t="str">
        <f>IFERROR(__xludf.DUMMYFUNCTION("""COMPUTED_VALUE"""),"Fail")</f>
        <v>Fail</v>
      </c>
      <c r="K224" s="523" t="str">
        <f>IFERROR(__xludf.DUMMYFUNCTION("""COMPUTED_VALUE"""),"Able to request otp using 1st perpetual vid")</f>
        <v>Able to request otp using 1st perpetual vid</v>
      </c>
      <c r="L224" s="523"/>
      <c r="M224" s="523"/>
      <c r="N224" s="523"/>
      <c r="O224" s="523"/>
      <c r="P224" s="523"/>
      <c r="Q224" s="523"/>
      <c r="R224" s="523"/>
      <c r="S224" s="523"/>
      <c r="T224" s="523"/>
      <c r="U224" s="523"/>
      <c r="V224" s="523"/>
      <c r="W224" s="523"/>
      <c r="X224" s="523"/>
      <c r="Y224" s="523"/>
      <c r="Z224" s="523"/>
    </row>
    <row r="225">
      <c r="A225" s="523"/>
      <c r="B225" s="524"/>
      <c r="C225" s="523" t="str">
        <f>IFERROR(__xludf.DUMMYFUNCTION("""COMPUTED_VALUE"""),"Resident 36")</f>
        <v>Resident 36</v>
      </c>
      <c r="D225" s="523"/>
      <c r="E225" s="524"/>
      <c r="F225" s="524"/>
      <c r="G225" s="524" t="str">
        <f>IFERROR(__xludf.DUMMYFUNCTION("""COMPUTED_VALUE"""),"{
  ""vidType"": ""Perpetual"",
  ""vidPolicy"": {
  ""validForInMinutes"": 5,
  ""transactionsAllowed"": 2,
  ""instancesAllowed"": 2,
  ""autoRestoreAllowed"": true,
  ""restoreOnAction"": ""Revoked""
  }")</f>
        <v>{
  "vidType": "Perpetual",
  "vidPolicy": {
  "validForInMinutes": 5,
  "transactionsAllowed": 2,
  "instancesAllowed": 2,
  "autoRestoreAllowed": true,
  "restoreOnAction": "Revoked"
  }</v>
      </c>
      <c r="H225" s="524" t="str">
        <f>IFERROR(__xludf.DUMMYFUNCTION("""COMPUTED_VALUE"""),"1. Go to https://github.com/mosip/mosip-config/blob/qa-triple-rc2/sandbox/mosip-vid-policy.json
 2. Check for perpetual vid type config properties and edit
 3. Generate VID")</f>
        <v>1. Go to https://github.com/mosip/mosip-config/blob/qa-triple-rc2/sandbox/mosip-vid-policy.json
 2. Check for perpetual vid type config properties and edit
 3. Generate VID</v>
      </c>
      <c r="I225" s="523" t="str">
        <f>IFERROR(__xludf.DUMMYFUNCTION("""COMPUTED_VALUE"""),"According to changed config properties 
 a. Perpetual vid should get revoked after 5min
 b. Perpetual vid should be allowed to use at 2 transactions
 3. Only 2 perpetual is allowed to be active at a time
 4. First perpetual vid should get auto revoked whe"&amp;"n second perpetual vid is generated")</f>
        <v>According to changed config properties 
 a. Perpetual vid should get revoked after 5min
 b. Perpetual vid should be allowed to use at 2 transactions
 3. Only 2 perpetual is allowed to be active at a time
 4. First perpetual vid should get auto revoked when second perpetual vid is generated</v>
      </c>
      <c r="J225" s="523" t="str">
        <f>IFERROR(__xludf.DUMMYFUNCTION("""COMPUTED_VALUE"""),"Fail")</f>
        <v>Fail</v>
      </c>
      <c r="K225" s="523" t="str">
        <f>IFERROR(__xludf.DUMMYFUNCTION("""COMPUTED_VALUE"""),"transcationsallowed not working properly")</f>
        <v>transcationsallowed not working properly</v>
      </c>
      <c r="L225" s="523"/>
      <c r="M225" s="523"/>
      <c r="N225" s="523"/>
      <c r="O225" s="523"/>
      <c r="P225" s="523"/>
      <c r="Q225" s="523"/>
      <c r="R225" s="523"/>
      <c r="S225" s="523"/>
      <c r="T225" s="523"/>
      <c r="U225" s="523"/>
      <c r="V225" s="523"/>
      <c r="W225" s="523"/>
      <c r="X225" s="523"/>
      <c r="Y225" s="523"/>
      <c r="Z225" s="523"/>
    </row>
    <row r="226">
      <c r="A226" s="523"/>
      <c r="B226" s="524"/>
      <c r="C226" s="523" t="str">
        <f>IFERROR(__xludf.DUMMYFUNCTION("""COMPUTED_VALUE"""),"Resident 38")</f>
        <v>Resident 38</v>
      </c>
      <c r="D226" s="523"/>
      <c r="E226" s="524"/>
      <c r="F226" s="524"/>
      <c r="G226" s="524" t="str">
        <f>IFERROR(__xludf.DUMMYFUNCTION("""COMPUTED_VALUE"""),"With the same above config properties with already generated vid try to do more than 2 transcation")</f>
        <v>With the same above config properties with already generated vid try to do more than 2 transcation</v>
      </c>
      <c r="H226" s="524" t="str">
        <f>IFERROR(__xludf.DUMMYFUNCTION("""COMPUTED_VALUE"""),"1. Request for otp using uin
 2. Generate perpetual vids
 3. Use the same perpetual vid for transcations")</f>
        <v>1. Request for otp using uin
 2. Generate perpetual vids
 3. Use the same perpetual vid for transcations</v>
      </c>
      <c r="I226" s="523" t="str">
        <f>IFERROR(__xludf.DUMMYFUNCTION("""COMPUTED_VALUE"""),"perpetual vid should be allowed to use only twice")</f>
        <v>perpetual vid should be allowed to use only twice</v>
      </c>
      <c r="J226" s="523" t="str">
        <f>IFERROR(__xludf.DUMMYFUNCTION("""COMPUTED_VALUE"""),"Fail")</f>
        <v>Fail</v>
      </c>
      <c r="K226" s="523" t="str">
        <f>IFERROR(__xludf.DUMMYFUNCTION("""COMPUTED_VALUE"""),"Allowed to use only once")</f>
        <v>Allowed to use only once</v>
      </c>
      <c r="L226" s="523"/>
      <c r="M226" s="523"/>
      <c r="N226" s="523"/>
      <c r="O226" s="523"/>
      <c r="P226" s="523"/>
      <c r="Q226" s="523"/>
      <c r="R226" s="523"/>
      <c r="S226" s="523"/>
      <c r="T226" s="523"/>
      <c r="U226" s="523"/>
      <c r="V226" s="523"/>
      <c r="W226" s="523"/>
      <c r="X226" s="523"/>
      <c r="Y226" s="523"/>
      <c r="Z226" s="523"/>
    </row>
    <row r="227">
      <c r="A227" s="523"/>
      <c r="B227" s="524"/>
      <c r="C227" s="523" t="str">
        <f>IFERROR(__xludf.DUMMYFUNCTION("""COMPUTED_VALUE"""),"Resident 41")</f>
        <v>Resident 41</v>
      </c>
      <c r="D227" s="523"/>
      <c r="E227" s="524"/>
      <c r="F227" s="524" t="str">
        <f>IFERROR(__xludf.DUMMYFUNCTION("""COMPUTED_VALUE"""),"1. Generate onetimeuse VID for resident UIN")</f>
        <v>1. Generate onetimeuse VID for resident UIN</v>
      </c>
      <c r="G227" s="524" t="str">
        <f>IFERROR(__xludf.DUMMYFUNCTION("""COMPUTED_VALUE"""),"Generate onetimeuse VID")</f>
        <v>Generate onetimeuse VID</v>
      </c>
      <c r="H227" s="524" t="str">
        <f>IFERROR(__xludf.DUMMYFUNCTION("""COMPUTED_VALUE"""),"1. Send otp Request
 2. generate Onetimeuse VID")</f>
        <v>1. Send otp Request
 2. generate Onetimeuse VID</v>
      </c>
      <c r="I227" s="523" t="str">
        <f>IFERROR(__xludf.DUMMYFUNCTION("""COMPUTED_VALUE"""),"Genration of onetimeuse vid shpuld get success")</f>
        <v>Genration of onetimeuse vid shpuld get success</v>
      </c>
      <c r="J227" s="523" t="str">
        <f>IFERROR(__xludf.DUMMYFUNCTION("""COMPUTED_VALUE"""),"Fail")</f>
        <v>Fail</v>
      </c>
      <c r="K227" s="523"/>
      <c r="L227" s="523"/>
      <c r="M227" s="523"/>
      <c r="N227" s="523"/>
      <c r="O227" s="523"/>
      <c r="P227" s="523"/>
      <c r="Q227" s="523"/>
      <c r="R227" s="523"/>
      <c r="S227" s="523"/>
      <c r="T227" s="523"/>
      <c r="U227" s="523"/>
      <c r="V227" s="523"/>
      <c r="W227" s="523"/>
      <c r="X227" s="523"/>
      <c r="Y227" s="523"/>
      <c r="Z227" s="523"/>
    </row>
    <row r="228">
      <c r="A228" s="523"/>
      <c r="B228" s="524"/>
      <c r="C228" s="523" t="str">
        <f>IFERROR(__xludf.DUMMYFUNCTION("""COMPUTED_VALUE"""),"Resident 103")</f>
        <v>Resident 103</v>
      </c>
      <c r="D228" s="523"/>
      <c r="E228" s="524"/>
      <c r="F228" s="524"/>
      <c r="G228" s="524" t="str">
        <f>IFERROR(__xludf.DUMMYFUNCTION("""COMPUTED_VALUE"""),"Perform  OTP auth/ekyc for the same UIN")</f>
        <v>Perform  OTP auth/ekyc for the same UIN</v>
      </c>
      <c r="H228" s="524" t="str">
        <f>IFERROR(__xludf.DUMMYFUNCTION("""COMPUTED_VALUE"""),"1. send otp request 
 2. Auth lock for otp authentication
 3. Perform otp auth/ekyc")</f>
        <v>1. send otp request 
 2. Auth lock for otp authentication
 3. Perform otp auth/ekyc</v>
      </c>
      <c r="I228" s="523" t="str">
        <f>IFERROR(__xludf.DUMMYFUNCTION("""COMPUTED_VALUE"""),"otp auth/ekyc for UIN should get fail")</f>
        <v>otp auth/ekyc for UIN should get fail</v>
      </c>
      <c r="J228" s="523" t="str">
        <f>IFERROR(__xludf.DUMMYFUNCTION("""COMPUTED_VALUE"""),"Fail")</f>
        <v>Fail</v>
      </c>
      <c r="K228" s="523"/>
      <c r="L228" s="523" t="str">
        <f>IFERROR(__xludf.DUMMYFUNCTION("""COMPUTED_VALUE"""),"lock otp is not working from resident")</f>
        <v>lock otp is not working from resident</v>
      </c>
      <c r="M228" s="523"/>
      <c r="N228" s="523"/>
      <c r="O228" s="523"/>
      <c r="P228" s="523"/>
      <c r="Q228" s="523"/>
      <c r="R228" s="523"/>
      <c r="S228" s="523"/>
      <c r="T228" s="523"/>
      <c r="U228" s="523"/>
      <c r="V228" s="523"/>
      <c r="W228" s="523"/>
      <c r="X228" s="523"/>
      <c r="Y228" s="523"/>
      <c r="Z228" s="523"/>
    </row>
    <row r="229">
      <c r="A229" s="523"/>
      <c r="B229" s="524"/>
      <c r="C229" s="523" t="str">
        <f>IFERROR(__xludf.DUMMYFUNCTION("""COMPUTED_VALUE"""),"Resident 110")</f>
        <v>Resident 110</v>
      </c>
      <c r="D229" s="523"/>
      <c r="E229" s="524"/>
      <c r="F229" s="524"/>
      <c r="G229" s="524" t="str">
        <f>IFERROR(__xludf.DUMMYFUNCTION("""COMPUTED_VALUE"""),"Auth lock for otp authentication for VID")</f>
        <v>Auth lock for otp authentication for VID</v>
      </c>
      <c r="H229" s="524" t="str">
        <f>IFERROR(__xludf.DUMMYFUNCTION("""COMPUTED_VALUE"""),"1. send otp request 
 2. Auth lock for otp authentication")</f>
        <v>1. send otp request 
 2. Auth lock for otp authentication</v>
      </c>
      <c r="I229" s="523" t="str">
        <f>IFERROR(__xludf.DUMMYFUNCTION("""COMPUTED_VALUE"""),"otp authentication for VID should get locked")</f>
        <v>otp authentication for VID should get locked</v>
      </c>
      <c r="J229" s="523" t="str">
        <f>IFERROR(__xludf.DUMMYFUNCTION("""COMPUTED_VALUE"""),"Fail")</f>
        <v>Fail</v>
      </c>
      <c r="K229" s="523"/>
      <c r="L229" s="523"/>
      <c r="M229" s="523"/>
      <c r="N229" s="523"/>
      <c r="O229" s="523"/>
      <c r="P229" s="523"/>
      <c r="Q229" s="523"/>
      <c r="R229" s="523"/>
      <c r="S229" s="523"/>
      <c r="T229" s="523"/>
      <c r="U229" s="523"/>
      <c r="V229" s="523"/>
      <c r="W229" s="523"/>
      <c r="X229" s="523"/>
      <c r="Y229" s="523"/>
      <c r="Z229" s="523"/>
    </row>
    <row r="230">
      <c r="A230" s="523"/>
      <c r="B230" s="524"/>
      <c r="C230" s="523" t="str">
        <f>IFERROR(__xludf.DUMMYFUNCTION("""COMPUTED_VALUE"""),"Resident 119")</f>
        <v>Resident 119</v>
      </c>
      <c r="D230" s="523"/>
      <c r="E230" s="524"/>
      <c r="F230" s="524"/>
      <c r="G230" s="524" t="str">
        <f>IFERROR(__xludf.DUMMYFUNCTION("""COMPUTED_VALUE"""),"Auth unlock for otp authentication for UIN")</f>
        <v>Auth unlock for otp authentication for UIN</v>
      </c>
      <c r="H230" s="524" t="str">
        <f>IFERROR(__xludf.DUMMYFUNCTION("""COMPUTED_VALUE"""),"1. send otp request 
 2. Auth unlock for otp authentication")</f>
        <v>1. send otp request 
 2. Auth unlock for otp authentication</v>
      </c>
      <c r="I230" s="523" t="str">
        <f>IFERROR(__xludf.DUMMYFUNCTION("""COMPUTED_VALUE"""),"otp authentication for UIN should get unlocked")</f>
        <v>otp authentication for UIN should get unlocked</v>
      </c>
      <c r="J230" s="523" t="str">
        <f>IFERROR(__xludf.DUMMYFUNCTION("""COMPUTED_VALUE"""),"Fail")</f>
        <v>Fail</v>
      </c>
      <c r="K230" s="523"/>
      <c r="L230" s="523"/>
      <c r="M230" s="523"/>
      <c r="N230" s="523"/>
      <c r="O230" s="523"/>
      <c r="P230" s="523"/>
      <c r="Q230" s="523"/>
      <c r="R230" s="523"/>
      <c r="S230" s="523"/>
      <c r="T230" s="523"/>
      <c r="U230" s="523"/>
      <c r="V230" s="523"/>
      <c r="W230" s="523"/>
      <c r="X230" s="523"/>
      <c r="Y230" s="523"/>
      <c r="Z230" s="523"/>
    </row>
    <row r="231">
      <c r="A231" s="523"/>
      <c r="B231" s="524"/>
      <c r="C231" s="523" t="str">
        <f>IFERROR(__xludf.DUMMYFUNCTION("""COMPUTED_VALUE"""),"Resident 134")</f>
        <v>Resident 134</v>
      </c>
      <c r="D231" s="523"/>
      <c r="E231" s="524" t="str">
        <f>IFERROR(__xludf.DUMMYFUNCTION("""COMPUTED_VALUE"""),"8.Update")</f>
        <v>8.Update</v>
      </c>
      <c r="F231" s="524" t="str">
        <f>IFERROR(__xludf.DUMMYFUNCTION("""COMPUTED_VALUE"""),"1. Update resdient details")</f>
        <v>1. Update resdient details</v>
      </c>
      <c r="G231" s="524" t="str">
        <f>IFERROR(__xludf.DUMMYFUNCTION("""COMPUTED_VALUE"""),"Update resident DOB")</f>
        <v>Update resident DOB</v>
      </c>
      <c r="H231" s="524" t="str">
        <f>IFERROR(__xludf.DUMMYFUNCTION("""COMPUTED_VALUE"""),"1. Send otp request
 2. Update DOB of resdient using identity json
 ew0KCSJpZGVudGl0eSI6IHsNCgkJImRhdGVPZkJpcnRoIjogIjE5ODcvMDkvMDkiLA0KCQkiSURTY2hlbWFWZXJzaW9uIjogMC4yLA0KCQkiVUlOIjogIjQ2MzU3ODQzODYiDQoJfQ0KfQ")</f>
        <v>1. Send otp request
 2. Update DOB of resdient using identity json
 ew0KCSJpZGVudGl0eSI6IHsNCgkJImRhdGVPZkJpcnRoIjogIjE5ODcvMDkvMDkiLA0KCQkiSURTY2hlbWFWZXJzaW9uIjogMC4yLA0KCQkiVUlOIjogIjQ2MzU3ODQzODYiDQoJfQ0KfQ</v>
      </c>
      <c r="I231" s="523" t="str">
        <f>IFERROR(__xludf.DUMMYFUNCTION("""COMPUTED_VALUE"""),"Update of DOB should get success")</f>
        <v>Update of DOB should get success</v>
      </c>
      <c r="J231" s="523" t="str">
        <f>IFERROR(__xludf.DUMMYFUNCTION("""COMPUTED_VALUE"""),"Fail")</f>
        <v>Fail</v>
      </c>
      <c r="K231" s="523" t="str">
        <f>IFERROR(__xludf.DUMMYFUNCTION("""COMPUTED_VALUE"""),"update is not working")</f>
        <v>update is not working</v>
      </c>
      <c r="L231" s="523"/>
      <c r="M231" s="523"/>
      <c r="N231" s="523"/>
      <c r="O231" s="523"/>
      <c r="P231" s="523"/>
      <c r="Q231" s="523"/>
      <c r="R231" s="523"/>
      <c r="S231" s="523"/>
      <c r="T231" s="523"/>
      <c r="U231" s="523"/>
      <c r="V231" s="523"/>
      <c r="W231" s="523"/>
      <c r="X231" s="523"/>
      <c r="Y231" s="523"/>
      <c r="Z231" s="523"/>
    </row>
    <row r="232">
      <c r="A232" s="523"/>
      <c r="B232" s="524"/>
      <c r="C232" s="523" t="str">
        <f>IFERROR(__xludf.DUMMYFUNCTION("""COMPUTED_VALUE"""),"Resident 135")</f>
        <v>Resident 135</v>
      </c>
      <c r="D232" s="523"/>
      <c r="E232" s="524"/>
      <c r="F232" s="524"/>
      <c r="G232" s="524" t="str">
        <f>IFERROR(__xludf.DUMMYFUNCTION("""COMPUTED_VALUE"""),"Perform demo authentication for updated DOB using resident UIN")</f>
        <v>Perform demo authentication for updated DOB using resident UIN</v>
      </c>
      <c r="H232" s="524" t="str">
        <f>IFERROR(__xludf.DUMMYFUNCTION("""COMPUTED_VALUE"""),"Perform demo auth using same updated resident UIN")</f>
        <v>Perform demo auth using same updated resident UIN</v>
      </c>
      <c r="I232" s="523" t="str">
        <f>IFERROR(__xludf.DUMMYFUNCTION("""COMPUTED_VALUE"""),"Demo Auth should get success with updated dob")</f>
        <v>Demo Auth should get success with updated dob</v>
      </c>
      <c r="J232" s="523" t="str">
        <f>IFERROR(__xludf.DUMMYFUNCTION("""COMPUTED_VALUE"""),"Fail")</f>
        <v>Fail</v>
      </c>
      <c r="K232" s="523"/>
      <c r="L232" s="523"/>
      <c r="M232" s="523"/>
      <c r="N232" s="523"/>
      <c r="O232" s="523"/>
      <c r="P232" s="523"/>
      <c r="Q232" s="523"/>
      <c r="R232" s="523"/>
      <c r="S232" s="523"/>
      <c r="T232" s="523"/>
      <c r="U232" s="523"/>
      <c r="V232" s="523"/>
      <c r="W232" s="523"/>
      <c r="X232" s="523"/>
      <c r="Y232" s="523"/>
      <c r="Z232" s="523"/>
    </row>
    <row r="233">
      <c r="A233" s="523"/>
      <c r="B233" s="524"/>
      <c r="C233" s="523" t="str">
        <f>IFERROR(__xludf.DUMMYFUNCTION("""COMPUTED_VALUE"""),"Resident 136")</f>
        <v>Resident 136</v>
      </c>
      <c r="D233" s="523"/>
      <c r="E233" s="524"/>
      <c r="F233" s="524"/>
      <c r="G233" s="524" t="str">
        <f>IFERROR(__xludf.DUMMYFUNCTION("""COMPUTED_VALUE"""),"Update resident name")</f>
        <v>Update resident name</v>
      </c>
      <c r="H233" s="524" t="str">
        <f>IFERROR(__xludf.DUMMYFUNCTION("""COMPUTED_VALUE"""),"1. Send otp request
 2. Update name of resdient using identity json
 ew0KCSJpZGVudGl0eSI6IHsNCgkJImZ1bGxOYW1lIjogWw0KICAgICAgICAgICAgICAgIHsNCiAgICAgICAgICAgICAgICAgICAgImxhbmd1YWdlIjogImhpbiIsDQogICAgICAgICAgICAgICAgICAgICJ2YWx1ZSI6ICJUZXN0UUEiDQogICAgIC"&amp;"AgICAgICAgICAgfSwNCiAgICAgICAgICAgICAgICB7DQogICAgICAgICAgICAgICAgICAgICJsYW5ndWFnZSI6ICJrYW4iLA0KICAgICAgICAgICAgICAgICAgICAidmFsdWUiOiAi4LKq4LKw4LOA4LKV4LON4LK34LOGIg0KICAgICAgICAgICAgICAgIH0sDQogICAgICAgICAgICAgICAgew0KICAgICAgICAgICAgICAgICAgICAibGFuZ"&amp;"3VhZ2UiOiAidGFtIiwNCiAgICAgICAgICAgICAgICAgICAgInZhbHVlIjogIuCumuCvi+CupOCuqeCviCINCiAgICAgICAgICAgICAgICB9DQogICAgICAgICAgICBdLA0KCQkiSURTY2hlbWFWZXJzaW9uIjogMC4yLA0KCQkiVUlOIjogIjQ2MzU3ODQzODYiDQoJfQ0KfQ")</f>
        <v>1. Send otp request
 2. Update name of resdient using identity json
 ew0KCSJpZGVudGl0eSI6IHsNCgkJImZ1bGxOYW1lIjogWw0KICAgICAgICAgICAgICAgIHsNCiAgICAgICAgICAgICAgICAgICAgImxhbmd1YWdlIjogImhpbiIsDQogICAgICAgICAgICAgICAgICAgICJ2YWx1ZSI6ICJUZXN0UUEiDQogICAgICAgICAgICAgICAgfSwNCiAgICAgICAgICAgICAgICB7DQogICAgICAgICAgICAgICAgICAgICJsYW5ndWFnZSI6ICJrYW4iLA0KICAgICAgICAgICAgICAgICAgICAidmFsdWUiOiAi4LKq4LKw4LOA4LKV4LON4LK34LOGIg0KICAgICAgICAgICAgICAgIH0sDQogICAgICAgICAgICAgICAgew0KICAgICAgICAgICAgICAgICAgICAibGFuZ3VhZ2UiOiAidGFtIiwNCiAgICAgICAgICAgICAgICAgICAgInZhbHVlIjogIuCumuCvi+CupOCuqeCviCINCiAgICAgICAgICAgICAgICB9DQogICAgICAgICAgICBdLA0KCQkiSURTY2hlbWFWZXJzaW9uIjogMC4yLA0KCQkiVUlOIjogIjQ2MzU3ODQzODYiDQoJfQ0KfQ</v>
      </c>
      <c r="I233" s="523" t="str">
        <f>IFERROR(__xludf.DUMMYFUNCTION("""COMPUTED_VALUE"""),"Update of resdient name should get success")</f>
        <v>Update of resdient name should get success</v>
      </c>
      <c r="J233" s="523" t="str">
        <f>IFERROR(__xludf.DUMMYFUNCTION("""COMPUTED_VALUE"""),"Fail")</f>
        <v>Fail</v>
      </c>
      <c r="K233" s="523"/>
      <c r="L233" s="523"/>
      <c r="M233" s="523"/>
      <c r="N233" s="523"/>
      <c r="O233" s="523"/>
      <c r="P233" s="523"/>
      <c r="Q233" s="523"/>
      <c r="R233" s="523"/>
      <c r="S233" s="523"/>
      <c r="T233" s="523"/>
      <c r="U233" s="523"/>
      <c r="V233" s="523"/>
      <c r="W233" s="523"/>
      <c r="X233" s="523"/>
      <c r="Y233" s="523"/>
      <c r="Z233" s="523"/>
    </row>
    <row r="234">
      <c r="A234" s="523"/>
      <c r="B234" s="524"/>
      <c r="C234" s="523" t="str">
        <f>IFERROR(__xludf.DUMMYFUNCTION("""COMPUTED_VALUE"""),"Resident 137")</f>
        <v>Resident 137</v>
      </c>
      <c r="D234" s="523"/>
      <c r="E234" s="524"/>
      <c r="F234" s="524"/>
      <c r="G234" s="524" t="str">
        <f>IFERROR(__xludf.DUMMYFUNCTION("""COMPUTED_VALUE"""),"Perform demo authentication for updated name using resident UIN")</f>
        <v>Perform demo authentication for updated name using resident UIN</v>
      </c>
      <c r="H234" s="524" t="str">
        <f>IFERROR(__xludf.DUMMYFUNCTION("""COMPUTED_VALUE"""),"Perform demo auth using same updated resident UIN")</f>
        <v>Perform demo auth using same updated resident UIN</v>
      </c>
      <c r="I234" s="523" t="str">
        <f>IFERROR(__xludf.DUMMYFUNCTION("""COMPUTED_VALUE"""),"Demo Auth should get success with updated name")</f>
        <v>Demo Auth should get success with updated name</v>
      </c>
      <c r="J234" s="523" t="str">
        <f>IFERROR(__xludf.DUMMYFUNCTION("""COMPUTED_VALUE"""),"Fail")</f>
        <v>Fail</v>
      </c>
      <c r="K234" s="523"/>
      <c r="L234" s="523"/>
      <c r="M234" s="523"/>
      <c r="N234" s="523"/>
      <c r="O234" s="523"/>
      <c r="P234" s="523"/>
      <c r="Q234" s="523"/>
      <c r="R234" s="523"/>
      <c r="S234" s="523"/>
      <c r="T234" s="523"/>
      <c r="U234" s="523"/>
      <c r="V234" s="523"/>
      <c r="W234" s="523"/>
      <c r="X234" s="523"/>
      <c r="Y234" s="523"/>
      <c r="Z234" s="523"/>
    </row>
    <row r="235">
      <c r="A235" s="523"/>
      <c r="B235" s="524"/>
      <c r="C235" s="523" t="str">
        <f>IFERROR(__xludf.DUMMYFUNCTION("""COMPUTED_VALUE"""),"Resident 138")</f>
        <v>Resident 138</v>
      </c>
      <c r="D235" s="523"/>
      <c r="E235" s="524"/>
      <c r="F235" s="524"/>
      <c r="G235" s="524" t="str">
        <f>IFERROR(__xludf.DUMMYFUNCTION("""COMPUTED_VALUE"""),"Update resident phone number")</f>
        <v>Update resident phone number</v>
      </c>
      <c r="H235" s="524" t="str">
        <f>IFERROR(__xludf.DUMMYFUNCTION("""COMPUTED_VALUE"""),"1. Send otp request
 2. Update name of resdient using identity json
 ew0KCSJpZGVudGl0eSI6IHsNCgkJICJwaG9uZSI6ICI5ODc4Njc1NDM0IiwNCgkJIklEU2NoZW1hVmVyc2lvbiI6IDAuMiwNCgkJIlVJTiI6ICI0NjM1Nzg0Mzg2Ig0KCX0NCn0")</f>
        <v>1. Send otp request
 2. Update name of resdient using identity json
 ew0KCSJpZGVudGl0eSI6IHsNCgkJICJwaG9uZSI6ICI5ODc4Njc1NDM0IiwNCgkJIklEU2NoZW1hVmVyc2lvbiI6IDAuMiwNCgkJIlVJTiI6ICI0NjM1Nzg0Mzg2Ig0KCX0NCn0</v>
      </c>
      <c r="I235" s="523" t="str">
        <f>IFERROR(__xludf.DUMMYFUNCTION("""COMPUTED_VALUE"""),"Update of resident phone number should get success")</f>
        <v>Update of resident phone number should get success</v>
      </c>
      <c r="J235" s="523" t="str">
        <f>IFERROR(__xludf.DUMMYFUNCTION("""COMPUTED_VALUE"""),"Fail")</f>
        <v>Fail</v>
      </c>
      <c r="K235" s="523"/>
      <c r="L235" s="523"/>
      <c r="M235" s="523"/>
      <c r="N235" s="523"/>
      <c r="O235" s="523"/>
      <c r="P235" s="523"/>
      <c r="Q235" s="523"/>
      <c r="R235" s="523"/>
      <c r="S235" s="523"/>
      <c r="T235" s="523"/>
      <c r="U235" s="523"/>
      <c r="V235" s="523"/>
      <c r="W235" s="523"/>
      <c r="X235" s="523"/>
      <c r="Y235" s="523"/>
      <c r="Z235" s="523"/>
    </row>
    <row r="236">
      <c r="A236" s="523"/>
      <c r="B236" s="524"/>
      <c r="C236" s="523" t="str">
        <f>IFERROR(__xludf.DUMMYFUNCTION("""COMPUTED_VALUE"""),"Resident 139")</f>
        <v>Resident 139</v>
      </c>
      <c r="D236" s="523"/>
      <c r="E236" s="524"/>
      <c r="F236" s="524"/>
      <c r="G236" s="524" t="str">
        <f>IFERROR(__xludf.DUMMYFUNCTION("""COMPUTED_VALUE"""),"Perform demo authentication for updated phone number using resident UIN")</f>
        <v>Perform demo authentication for updated phone number using resident UIN</v>
      </c>
      <c r="H236" s="524" t="str">
        <f>IFERROR(__xludf.DUMMYFUNCTION("""COMPUTED_VALUE"""),"Perform demo auth using same updated resident UIN")</f>
        <v>Perform demo auth using same updated resident UIN</v>
      </c>
      <c r="I236" s="523" t="str">
        <f>IFERROR(__xludf.DUMMYFUNCTION("""COMPUTED_VALUE"""),"Demo Auth should get success with updated phone number")</f>
        <v>Demo Auth should get success with updated phone number</v>
      </c>
      <c r="J236" s="523" t="str">
        <f>IFERROR(__xludf.DUMMYFUNCTION("""COMPUTED_VALUE"""),"Fail")</f>
        <v>Fail</v>
      </c>
      <c r="K236" s="523"/>
      <c r="L236" s="523"/>
      <c r="M236" s="523"/>
      <c r="N236" s="523"/>
      <c r="O236" s="523"/>
      <c r="P236" s="523"/>
      <c r="Q236" s="523"/>
      <c r="R236" s="523"/>
      <c r="S236" s="523"/>
      <c r="T236" s="523"/>
      <c r="U236" s="523"/>
      <c r="V236" s="523"/>
      <c r="W236" s="523"/>
      <c r="X236" s="523"/>
      <c r="Y236" s="523"/>
      <c r="Z236" s="523"/>
    </row>
    <row r="237">
      <c r="A237" s="523"/>
      <c r="B237" s="524"/>
      <c r="C237" s="523" t="str">
        <f>IFERROR(__xludf.DUMMYFUNCTION("""COMPUTED_VALUE"""),"Resident 140")</f>
        <v>Resident 140</v>
      </c>
      <c r="D237" s="523"/>
      <c r="E237" s="524"/>
      <c r="F237" s="524"/>
      <c r="G237" s="524" t="str">
        <f>IFERROR(__xludf.DUMMYFUNCTION("""COMPUTED_VALUE"""),"Update resident Email")</f>
        <v>Update resident Email</v>
      </c>
      <c r="H237" s="524" t="str">
        <f>IFERROR(__xludf.DUMMYFUNCTION("""COMPUTED_VALUE"""),"1. Send otp request
 2. Update name of resdient using identity json
 ew0KCSJpZGVudGl0eSI6IHsNCgkJICJlbWFpbCI6ICIxMjM0NUBnbWFpbC5jb20iLA0KCQkiSURTY2hlbWFWZXJzaW9uIjogMC4yLA0KCQkiVUlOIjogIjQ2MzU3ODQzODYiDQoJfQ0KfQ")</f>
        <v>1. Send otp request
 2. Update name of resdient using identity json
 ew0KCSJpZGVudGl0eSI6IHsNCgkJICJlbWFpbCI6ICIxMjM0NUBnbWFpbC5jb20iLA0KCQkiSURTY2hlbWFWZXJzaW9uIjogMC4yLA0KCQkiVUlOIjogIjQ2MzU3ODQzODYiDQoJfQ0KfQ</v>
      </c>
      <c r="I237" s="523" t="str">
        <f>IFERROR(__xludf.DUMMYFUNCTION("""COMPUTED_VALUE"""),"Update of resident email should get success")</f>
        <v>Update of resident email should get success</v>
      </c>
      <c r="J237" s="523" t="str">
        <f>IFERROR(__xludf.DUMMYFUNCTION("""COMPUTED_VALUE"""),"Fail")</f>
        <v>Fail</v>
      </c>
      <c r="K237" s="523"/>
      <c r="L237" s="523"/>
      <c r="M237" s="523"/>
      <c r="N237" s="523"/>
      <c r="O237" s="523"/>
      <c r="P237" s="523"/>
      <c r="Q237" s="523"/>
      <c r="R237" s="523"/>
      <c r="S237" s="523"/>
      <c r="T237" s="523"/>
      <c r="U237" s="523"/>
      <c r="V237" s="523"/>
      <c r="W237" s="523"/>
      <c r="X237" s="523"/>
      <c r="Y237" s="523"/>
      <c r="Z237" s="523"/>
    </row>
    <row r="238">
      <c r="A238" s="523"/>
      <c r="B238" s="524"/>
      <c r="C238" s="523" t="str">
        <f>IFERROR(__xludf.DUMMYFUNCTION("""COMPUTED_VALUE"""),"Resident 141")</f>
        <v>Resident 141</v>
      </c>
      <c r="D238" s="523"/>
      <c r="E238" s="524"/>
      <c r="F238" s="524"/>
      <c r="G238" s="524" t="str">
        <f>IFERROR(__xludf.DUMMYFUNCTION("""COMPUTED_VALUE"""),"Perform demo authentication for updated Email using resident UIN")</f>
        <v>Perform demo authentication for updated Email using resident UIN</v>
      </c>
      <c r="H238" s="524" t="str">
        <f>IFERROR(__xludf.DUMMYFUNCTION("""COMPUTED_VALUE"""),"Perform demo auth using same updated resident UIN")</f>
        <v>Perform demo auth using same updated resident UIN</v>
      </c>
      <c r="I238" s="523" t="str">
        <f>IFERROR(__xludf.DUMMYFUNCTION("""COMPUTED_VALUE"""),"Demo Auth should get success with updated email")</f>
        <v>Demo Auth should get success with updated email</v>
      </c>
      <c r="J238" s="523" t="str">
        <f>IFERROR(__xludf.DUMMYFUNCTION("""COMPUTED_VALUE"""),"Fail")</f>
        <v>Fail</v>
      </c>
      <c r="K238" s="523"/>
      <c r="L238" s="523"/>
      <c r="M238" s="523"/>
      <c r="N238" s="523"/>
      <c r="O238" s="523"/>
      <c r="P238" s="523"/>
      <c r="Q238" s="523"/>
      <c r="R238" s="523"/>
      <c r="S238" s="523"/>
      <c r="T238" s="523"/>
      <c r="U238" s="523"/>
      <c r="V238" s="523"/>
      <c r="W238" s="523"/>
      <c r="X238" s="523"/>
      <c r="Y238" s="523"/>
      <c r="Z238" s="523"/>
    </row>
    <row r="239">
      <c r="A239" s="523"/>
      <c r="B239" s="524"/>
      <c r="C239" s="523" t="str">
        <f>IFERROR(__xludf.DUMMYFUNCTION("""COMPUTED_VALUE"""),"Resident 142")</f>
        <v>Resident 142</v>
      </c>
      <c r="D239" s="523"/>
      <c r="E239" s="524"/>
      <c r="F239" s="524"/>
      <c r="G239" s="524" t="str">
        <f>IFERROR(__xludf.DUMMYFUNCTION("""COMPUTED_VALUE"""),"Update DOB of resident in invalid format")</f>
        <v>Update DOB of resident in invalid format</v>
      </c>
      <c r="H239" s="524" t="str">
        <f>IFERROR(__xludf.DUMMYFUNCTION("""COMPUTED_VALUE"""),"1. Send otp request
 2. Update name of resdient using identity json
 ew0KCSJpZGVudGl0eSI6IHsNCgkJImRhdGVPZkJpcnRoIjogIjE5ODYiLA0KCQkiSURTY2hlbWFWZXJzaW9uIjogMC4yLA0KCQkiVUlOIjogIjQ2MzU3ODQzODYiDQoJfQ0KfQ")</f>
        <v>1. Send otp request
 2. Update name of resdient using identity json
 ew0KCSJpZGVudGl0eSI6IHsNCgkJImRhdGVPZkJpcnRoIjogIjE5ODYiLA0KCQkiSURTY2hlbWFWZXJzaW9uIjogMC4yLA0KCQkiVUlOIjogIjQ2MzU3ODQzODYiDQoJfQ0KfQ</v>
      </c>
      <c r="I239" s="523" t="str">
        <f>IFERROR(__xludf.DUMMYFUNCTION("""COMPUTED_VALUE"""),"Update of DOB should get fail with invalid format")</f>
        <v>Update of DOB should get fail with invalid format</v>
      </c>
      <c r="J239" s="523" t="str">
        <f>IFERROR(__xludf.DUMMYFUNCTION("""COMPUTED_VALUE"""),"Fail")</f>
        <v>Fail</v>
      </c>
      <c r="K239" s="523"/>
      <c r="L239" s="523"/>
      <c r="M239" s="523"/>
      <c r="N239" s="523"/>
      <c r="O239" s="523"/>
      <c r="P239" s="523"/>
      <c r="Q239" s="523"/>
      <c r="R239" s="523"/>
      <c r="S239" s="523"/>
      <c r="T239" s="523"/>
      <c r="U239" s="523"/>
      <c r="V239" s="523"/>
      <c r="W239" s="523"/>
      <c r="X239" s="523"/>
      <c r="Y239" s="523"/>
      <c r="Z239" s="523"/>
    </row>
    <row r="240">
      <c r="A240" s="523"/>
      <c r="B240" s="524"/>
      <c r="C240" s="523" t="str">
        <f>IFERROR(__xludf.DUMMYFUNCTION("""COMPUTED_VALUE"""),"Resident 143")</f>
        <v>Resident 143</v>
      </c>
      <c r="D240" s="523"/>
      <c r="E240" s="524" t="str">
        <f>IFERROR(__xludf.DUMMYFUNCTION("""COMPUTED_VALUE"""),"9. RID status")</f>
        <v>9. RID status</v>
      </c>
      <c r="F240" s="524" t="str">
        <f>IFERROR(__xludf.DUMMYFUNCTION("""COMPUTED_VALUE"""),"Check RID status")</f>
        <v>Check RID status</v>
      </c>
      <c r="G240" s="524" t="str">
        <f>IFERROR(__xludf.DUMMYFUNCTION("""COMPUTED_VALUE"""),"Check status of RID generated after update of resident details")</f>
        <v>Check status of RID generated after update of resident details</v>
      </c>
      <c r="H240" s="524" t="str">
        <f>IFERROR(__xludf.DUMMYFUNCTION("""COMPUTED_VALUE"""),"1. request for otp
 2.Update uin details
 3. Check status of RID after updtae")</f>
        <v>1. request for otp
 2.Update uin details
 3. Check status of RID after updtae</v>
      </c>
      <c r="I240" s="523" t="str">
        <f>IFERROR(__xludf.DUMMYFUNCTION("""COMPUTED_VALUE"""),"Status of rid should be 
 UNDER PROCESSING
 REJECTED
 FAILED
 RESEND
 REREGISTER""")</f>
        <v>Status of rid should be 
 UNDER PROCESSING
 REJECTED
 FAILED
 RESEND
 REREGISTER"</v>
      </c>
      <c r="J240" s="523" t="str">
        <f>IFERROR(__xludf.DUMMYFUNCTION("""COMPUTED_VALUE"""),"Fail")</f>
        <v>Fail</v>
      </c>
      <c r="K240" s="523" t="str">
        <f>IFERROR(__xludf.DUMMYFUNCTION("""COMPUTED_VALUE"""),"Update is not working")</f>
        <v>Update is not working</v>
      </c>
      <c r="L240" s="523"/>
      <c r="M240" s="523"/>
      <c r="N240" s="523"/>
      <c r="O240" s="523"/>
      <c r="P240" s="523"/>
      <c r="Q240" s="523"/>
      <c r="R240" s="523"/>
      <c r="S240" s="523"/>
      <c r="T240" s="523"/>
      <c r="U240" s="523"/>
      <c r="V240" s="523"/>
      <c r="W240" s="523"/>
      <c r="X240" s="523"/>
      <c r="Y240" s="523"/>
      <c r="Z240" s="523"/>
    </row>
    <row r="241">
      <c r="A241" s="523"/>
      <c r="B241" s="524"/>
      <c r="C241" s="523" t="str">
        <f>IFERROR(__xludf.DUMMYFUNCTION("""COMPUTED_VALUE"""),"Resident 154")</f>
        <v>Resident 154</v>
      </c>
      <c r="D241" s="523"/>
      <c r="E241" s="524" t="str">
        <f>IFERROR(__xludf.DUMMYFUNCTION("""COMPUTED_VALUE"""),"11. Hotlist")</f>
        <v>11. Hotlist</v>
      </c>
      <c r="F241" s="524" t="str">
        <f>IFERROR(__xludf.DUMMYFUNCTION("""COMPUTED_VALUE"""),"1.Hotlist UIN")</f>
        <v>1.Hotlist UIN</v>
      </c>
      <c r="G241" s="524" t="str">
        <f>IFERROR(__xludf.DUMMYFUNCTION("""COMPUTED_VALUE"""),"Hotlist resident UIN and request for otp")</f>
        <v>Hotlist resident UIN and request for otp</v>
      </c>
      <c r="H241" s="524" t="str">
        <f>IFERROR(__xludf.DUMMYFUNCTION("""COMPUTED_VALUE"""),"go to id-authentication mz properties, ida.mosip.internal.auth.filter.classes.in.execution.order= hotlistfilter.impl to be added in git hub
 1. Hotlist UIN
 2. Send otp request of the same UIN")</f>
        <v>go to id-authentication mz properties, ida.mosip.internal.auth.filter.classes.in.execution.order= hotlistfilter.impl to be added in git hub
 1. Hotlist UIN
 2. Send otp request of the same UIN</v>
      </c>
      <c r="I241" s="523" t="str">
        <f>IFERROR(__xludf.DUMMYFUNCTION("""COMPUTED_VALUE"""),"Send otp request should fail on condition, in id-authentication mz properties, ida.mosip.internal.auth.filter.classes.in.execution.order= hotlistfilter.impl to be added")</f>
        <v>Send otp request should fail on condition, in id-authentication mz properties, ida.mosip.internal.auth.filter.classes.in.execution.order= hotlistfilter.impl to be added</v>
      </c>
      <c r="J241" s="523" t="str">
        <f>IFERROR(__xludf.DUMMYFUNCTION("""COMPUTED_VALUE"""),"Fail")</f>
        <v>Fail</v>
      </c>
      <c r="K241" s="523"/>
      <c r="L241" s="523"/>
      <c r="M241" s="523"/>
      <c r="N241" s="523"/>
      <c r="O241" s="523"/>
      <c r="P241" s="523"/>
      <c r="Q241" s="523"/>
      <c r="R241" s="523"/>
      <c r="S241" s="523"/>
      <c r="T241" s="523"/>
      <c r="U241" s="523"/>
      <c r="V241" s="523"/>
      <c r="W241" s="523"/>
      <c r="X241" s="523"/>
      <c r="Y241" s="523"/>
      <c r="Z241" s="523"/>
    </row>
    <row r="242">
      <c r="A242" s="523"/>
      <c r="B242" s="524"/>
      <c r="C242" s="523" t="str">
        <f>IFERROR(__xludf.DUMMYFUNCTION("""COMPUTED_VALUE"""),"Resident 155")</f>
        <v>Resident 155</v>
      </c>
      <c r="D242" s="523"/>
      <c r="E242" s="524"/>
      <c r="F242" s="524" t="str">
        <f>IFERROR(__xludf.DUMMYFUNCTION("""COMPUTED_VALUE"""),"2.Hotlist VID")</f>
        <v>2.Hotlist VID</v>
      </c>
      <c r="G242" s="524" t="str">
        <f>IFERROR(__xludf.DUMMYFUNCTION("""COMPUTED_VALUE"""),"Hotlist resident VID and request for otp")</f>
        <v>Hotlist resident VID and request for otp</v>
      </c>
      <c r="H242" s="524" t="str">
        <f>IFERROR(__xludf.DUMMYFUNCTION("""COMPUTED_VALUE"""),"go to id-authentication mz properties, ida.mosip.internal.auth.filter.classes.in.execution.order= hotlistfilter.impl to be added in git hub
 1. Hotlist VID
 2. Send otp request of the same VID")</f>
        <v>go to id-authentication mz properties, ida.mosip.internal.auth.filter.classes.in.execution.order= hotlistfilter.impl to be added in git hub
 1. Hotlist VID
 2. Send otp request of the same VID</v>
      </c>
      <c r="I242" s="523" t="str">
        <f>IFERROR(__xludf.DUMMYFUNCTION("""COMPUTED_VALUE"""),"Send otp request should fail on condition, in id-authentication mz properties, ida.mosip.internal.auth.filter.classes.in.execution.order= hotlistfilter.impl to be added")</f>
        <v>Send otp request should fail on condition, in id-authentication mz properties, ida.mosip.internal.auth.filter.classes.in.execution.order= hotlistfilter.impl to be added</v>
      </c>
      <c r="J242" s="523" t="str">
        <f>IFERROR(__xludf.DUMMYFUNCTION("""COMPUTED_VALUE"""),"Fail")</f>
        <v>Fail</v>
      </c>
      <c r="K242" s="523"/>
      <c r="L242" s="523"/>
      <c r="M242" s="523"/>
      <c r="N242" s="523"/>
      <c r="O242" s="523"/>
      <c r="P242" s="523"/>
      <c r="Q242" s="523"/>
      <c r="R242" s="523"/>
      <c r="S242" s="523"/>
      <c r="T242" s="523"/>
      <c r="U242" s="523"/>
      <c r="V242" s="523"/>
      <c r="W242" s="523"/>
      <c r="X242" s="523"/>
      <c r="Y242" s="523"/>
      <c r="Z242" s="523"/>
    </row>
    <row r="243">
      <c r="A243" s="523"/>
      <c r="B243" s="524"/>
      <c r="C243" s="523" t="str">
        <f>IFERROR(__xludf.DUMMYFUNCTION("""COMPUTED_VALUE"""),"Resident 162")</f>
        <v>Resident 162</v>
      </c>
      <c r="D243" s="523"/>
      <c r="E243" s="524"/>
      <c r="F243" s="524"/>
      <c r="G243" s="524" t="str">
        <f>IFERROR(__xludf.DUMMYFUNCTION("""COMPUTED_VALUE"""),"Update resident details and check for RID in notification")</f>
        <v>Update resident details and check for RID in notification</v>
      </c>
      <c r="H243" s="524" t="str">
        <f>IFERROR(__xludf.DUMMYFUNCTION("""COMPUTED_VALUE"""),"1.Send otp request for UIN
 2. Update resident detailsand check for RID in email notification")</f>
        <v>1.Send otp request for UIN
 2. Update resident detailsand check for RID in email notification</v>
      </c>
      <c r="I243" s="523" t="str">
        <f>IFERROR(__xludf.DUMMYFUNCTION("""COMPUTED_VALUE"""),"Resident should receive RID email notifications")</f>
        <v>Resident should receive RID email notifications</v>
      </c>
      <c r="J243" s="523" t="str">
        <f>IFERROR(__xludf.DUMMYFUNCTION("""COMPUTED_VALUE"""),"Fail")</f>
        <v>Fail</v>
      </c>
      <c r="K243" s="523" t="str">
        <f>IFERROR(__xludf.DUMMYFUNCTION("""COMPUTED_VALUE"""),"Update is not working")</f>
        <v>Update is not working</v>
      </c>
      <c r="L243" s="523"/>
      <c r="M243" s="523"/>
      <c r="N243" s="523"/>
      <c r="O243" s="523"/>
      <c r="P243" s="523"/>
      <c r="Q243" s="523"/>
      <c r="R243" s="523"/>
      <c r="S243" s="523"/>
      <c r="T243" s="523"/>
      <c r="U243" s="523"/>
      <c r="V243" s="523"/>
      <c r="W243" s="523"/>
      <c r="X243" s="523"/>
      <c r="Y243" s="523"/>
      <c r="Z243" s="523"/>
    </row>
    <row r="244">
      <c r="A244" s="523" t="str">
        <f>IFERROR(__xludf.DUMMYFUNCTION("""COMPUTED_VALUE"""),"MOSIP- 17920")</f>
        <v>MOSIP- 17920</v>
      </c>
      <c r="B244" s="524"/>
      <c r="C244" s="523" t="str">
        <f>IFERROR(__xludf.DUMMYFUNCTION("""COMPUTED_VALUE"""),"TC 07")</f>
        <v>TC 07</v>
      </c>
      <c r="D244" s="523" t="str">
        <f>IFERROR(__xludf.DUMMYFUNCTION("""COMPUTED_VALUE"""),"Functional")</f>
        <v>Functional</v>
      </c>
      <c r="E244" s="524"/>
      <c r="F244" s="524" t="str">
        <f>IFERROR(__xludf.DUMMYFUNCTION("""COMPUTED_VALUE"""),"Updation of policy group after publish")</f>
        <v>Updation of policy group after publish</v>
      </c>
      <c r="G244" s="524" t="str">
        <f>IFERROR(__xludf.DUMMYFUNCTION("""COMPUTED_VALUE"""),"1. Login to PMS.
 2. Click on Policy -&gt; policy group
 3. search for policy gropu created, click on elipics and edit
 4. edit details and save")</f>
        <v>1. Login to PMS.
 2. Click on Policy -&gt; policy group
 3. search for policy gropu created, click on elipics and edit
 4. edit details and save</v>
      </c>
      <c r="H244" s="524" t="str">
        <f>IFERROR(__xludf.DUMMYFUNCTION("""COMPUTED_VALUE"""),"Policy group should not get updated once published")</f>
        <v>Policy group should not get updated once published</v>
      </c>
      <c r="I244" s="523" t="str">
        <f>IFERROR(__xludf.DUMMYFUNCTION("""COMPUTED_VALUE"""),"Fail")</f>
        <v>Fail</v>
      </c>
      <c r="J244" s="523" t="str">
        <f>IFERROR(__xludf.DUMMYFUNCTION("""COMPUTED_VALUE"""),"Able to update name/description after publish")</f>
        <v>Able to update name/description after publish</v>
      </c>
      <c r="K244" s="523"/>
      <c r="L244" s="523"/>
      <c r="M244" s="523"/>
      <c r="N244" s="523"/>
      <c r="O244" s="523"/>
      <c r="P244" s="523"/>
      <c r="Q244" s="523"/>
      <c r="R244" s="523"/>
      <c r="S244" s="523"/>
      <c r="T244" s="523"/>
      <c r="U244" s="523"/>
      <c r="V244" s="523"/>
      <c r="W244" s="523"/>
      <c r="X244" s="523"/>
      <c r="Y244" s="523"/>
      <c r="Z244" s="523"/>
    </row>
    <row r="245">
      <c r="A245" s="523" t="str">
        <f>IFERROR(__xludf.DUMMYFUNCTION("""COMPUTED_VALUE"""),"MOSIP- 17920")</f>
        <v>MOSIP- 17920</v>
      </c>
      <c r="B245" s="524"/>
      <c r="C245" s="523" t="str">
        <f>IFERROR(__xludf.DUMMYFUNCTION("""COMPUTED_VALUE"""),"TC 19")</f>
        <v>TC 19</v>
      </c>
      <c r="D245" s="523" t="str">
        <f>IFERROR(__xludf.DUMMYFUNCTION("""COMPUTED_VALUE"""),"Functional")</f>
        <v>Functional</v>
      </c>
      <c r="E245" s="524"/>
      <c r="F245" s="524" t="str">
        <f>IFERROR(__xludf.DUMMYFUNCTION("""COMPUTED_VALUE"""),"Filtering the policies and cancel search")</f>
        <v>Filtering the policies and cancel search</v>
      </c>
      <c r="G245" s="524" t="str">
        <f>IFERROR(__xludf.DUMMYFUNCTION("""COMPUTED_VALUE"""),"1. Click on Policy-&gt; Auth Policy.
 2. Click on filter.
 3. Enter the filter for the fields name and/or description.
 4. Click on cancel.")</f>
        <v>1. Click on Policy-&gt; Auth Policy.
 2. Click on filter.
 3. Enter the filter for the fields name and/or description.
 4. Click on cancel.</v>
      </c>
      <c r="H245" s="524" t="str">
        <f>IFERROR(__xludf.DUMMYFUNCTION("""COMPUTED_VALUE"""),"The search should not be performed.")</f>
        <v>The search should not be performed.</v>
      </c>
      <c r="I245" s="523" t="str">
        <f>IFERROR(__xludf.DUMMYFUNCTION("""COMPUTED_VALUE"""),"Fail")</f>
        <v>Fail</v>
      </c>
      <c r="J245" s="523" t="str">
        <f>IFERROR(__xludf.DUMMYFUNCTION("""COMPUTED_VALUE"""),"using policy group search failed")</f>
        <v>using policy group search failed</v>
      </c>
      <c r="K245" s="523"/>
      <c r="L245" s="523"/>
      <c r="M245" s="523"/>
      <c r="N245" s="523"/>
      <c r="O245" s="523"/>
      <c r="P245" s="523"/>
      <c r="Q245" s="523"/>
      <c r="R245" s="523"/>
      <c r="S245" s="523"/>
      <c r="T245" s="523"/>
      <c r="U245" s="523"/>
      <c r="V245" s="523"/>
      <c r="W245" s="523"/>
      <c r="X245" s="523"/>
      <c r="Y245" s="523"/>
      <c r="Z245" s="523"/>
    </row>
    <row r="246">
      <c r="A246" s="523" t="str">
        <f>IFERROR(__xludf.DUMMYFUNCTION("""COMPUTED_VALUE"""),"MOSIP- 17920")</f>
        <v>MOSIP- 17920</v>
      </c>
      <c r="B246" s="524"/>
      <c r="C246" s="523" t="str">
        <f>IFERROR(__xludf.DUMMYFUNCTION("""COMPUTED_VALUE"""),"TC 31")</f>
        <v>TC 31</v>
      </c>
      <c r="D246" s="523" t="str">
        <f>IFERROR(__xludf.DUMMYFUNCTION("""COMPUTED_VALUE"""),"Functional")</f>
        <v>Functional</v>
      </c>
      <c r="E246" s="524"/>
      <c r="F246" s="524" t="str">
        <f>IFERROR(__xludf.DUMMYFUNCTION("""COMPUTED_VALUE"""),"Filtering the policies")</f>
        <v>Filtering the policies</v>
      </c>
      <c r="G246" s="524" t="str">
        <f>IFERROR(__xludf.DUMMYFUNCTION("""COMPUTED_VALUE"""),"1. Click on Policy-&gt; data share policy.
 2. Click on filter.
 3. Enter the filter for the fields name and/or description, policy group
 4. Click on apply.")</f>
        <v>1. Click on Policy-&gt; data share policy.
 2. Click on filter.
 3. Enter the filter for the fields name and/or description, policy group
 4. Click on apply.</v>
      </c>
      <c r="H246" s="524" t="str">
        <f>IFERROR(__xludf.DUMMYFUNCTION("""COMPUTED_VALUE"""),"The search should be performed and the matching results should be displayed.")</f>
        <v>The search should be performed and the matching results should be displayed.</v>
      </c>
      <c r="I246" s="523" t="str">
        <f>IFERROR(__xludf.DUMMYFUNCTION("""COMPUTED_VALUE"""),"Fail")</f>
        <v>Fail</v>
      </c>
      <c r="J246" s="523" t="str">
        <f>IFERROR(__xludf.DUMMYFUNCTION("""COMPUTED_VALUE"""),"search with policy group is failed")</f>
        <v>search with policy group is failed</v>
      </c>
      <c r="K246" s="523"/>
      <c r="L246" s="523"/>
      <c r="M246" s="523"/>
      <c r="N246" s="523"/>
      <c r="O246" s="523"/>
      <c r="P246" s="523"/>
      <c r="Q246" s="523"/>
      <c r="R246" s="523"/>
      <c r="S246" s="523"/>
      <c r="T246" s="523"/>
      <c r="U246" s="523"/>
      <c r="V246" s="523"/>
      <c r="W246" s="523"/>
      <c r="X246" s="523"/>
      <c r="Y246" s="523"/>
      <c r="Z246" s="523"/>
    </row>
    <row r="247">
      <c r="A247" s="523" t="str">
        <f>IFERROR(__xludf.DUMMYFUNCTION("""COMPUTED_VALUE"""),"MOSIP-17921")</f>
        <v>MOSIP-17921</v>
      </c>
      <c r="B247" s="524"/>
      <c r="C247" s="523" t="str">
        <f>IFERROR(__xludf.DUMMYFUNCTION("""COMPUTED_VALUE"""),"TC 16")</f>
        <v>TC 16</v>
      </c>
      <c r="D247" s="523" t="str">
        <f>IFERROR(__xludf.DUMMYFUNCTION("""COMPUTED_VALUE"""),"Functional")</f>
        <v>Functional</v>
      </c>
      <c r="E247" s="524"/>
      <c r="F247" s="524" t="str">
        <f>IFERROR(__xludf.DUMMYFUNCTION("""COMPUTED_VALUE"""),"Downloading the partner certificate.")</f>
        <v>Downloading the partner certificate.</v>
      </c>
      <c r="G247" s="524" t="str">
        <f>IFERROR(__xludf.DUMMYFUNCTION("""COMPUTED_VALUE"""),"1. Login to PMS ui using Partner admin role.
 2. Navigate to Partner page.
 3. Choose a record and click on ellipsis.
 4. Click on View certificate for a partner with certificate.")</f>
        <v>1. Login to PMS ui using Partner admin role.
 2. Navigate to Partner page.
 3. Choose a record and click on ellipsis.
 4. Click on View certificate for a partner with certificate.</v>
      </c>
      <c r="H247" s="524" t="str">
        <f>IFERROR(__xludf.DUMMYFUNCTION("""COMPUTED_VALUE"""),"Download option should be available for the user to download and save the certificate.")</f>
        <v>Download option should be available for the user to download and save the certificate.</v>
      </c>
      <c r="I247" s="523" t="str">
        <f>IFERROR(__xludf.DUMMYFUNCTION("""COMPUTED_VALUE"""),"Fail")</f>
        <v>Fail</v>
      </c>
      <c r="J247" s="523" t="str">
        <f>IFERROR(__xludf.DUMMYFUNCTION("""COMPUTED_VALUE"""),"Download not implemented")</f>
        <v>Download not implemented</v>
      </c>
      <c r="K247" s="523"/>
      <c r="L247" s="523"/>
      <c r="M247" s="523"/>
      <c r="N247" s="523"/>
      <c r="O247" s="523"/>
      <c r="P247" s="523"/>
      <c r="Q247" s="523"/>
      <c r="R247" s="523"/>
      <c r="S247" s="523"/>
      <c r="T247" s="523"/>
      <c r="U247" s="523"/>
      <c r="V247" s="523"/>
      <c r="W247" s="523"/>
      <c r="X247" s="523"/>
      <c r="Y247" s="523"/>
      <c r="Z247" s="523"/>
    </row>
    <row r="248">
      <c r="A248" s="523" t="str">
        <f>IFERROR(__xludf.DUMMYFUNCTION("""COMPUTED_VALUE"""),"MOSIP-17921")</f>
        <v>MOSIP-17921</v>
      </c>
      <c r="B248" s="524"/>
      <c r="C248" s="523" t="str">
        <f>IFERROR(__xludf.DUMMYFUNCTION("""COMPUTED_VALUE"""),"TC 29")</f>
        <v>TC 29</v>
      </c>
      <c r="D248" s="523" t="str">
        <f>IFERROR(__xludf.DUMMYFUNCTION("""COMPUTED_VALUE"""),"Functional")</f>
        <v>Functional</v>
      </c>
      <c r="E248" s="524"/>
      <c r="F248" s="524" t="str">
        <f>IFERROR(__xludf.DUMMYFUNCTION("""COMPUTED_VALUE"""),"Verify of Partner admin is able to filter all device models")</f>
        <v>Verify of Partner admin is able to filter all device models</v>
      </c>
      <c r="G248" s="524" t="str">
        <f>IFERROR(__xludf.DUMMYFUNCTION("""COMPUTED_VALUE"""),"1.Login as Partner admin.
 2.Navigate to device details page.
 3.Filter the device on make/model.")</f>
        <v>1.Login as Partner admin.
 2.Navigate to device details page.
 3.Filter the device on make/model.</v>
      </c>
      <c r="H248" s="524" t="str">
        <f>IFERROR(__xludf.DUMMYFUNCTION("""COMPUTED_VALUE"""),"The partner admin should be able to filter all types of device make/models.")</f>
        <v>The partner admin should be able to filter all types of device make/models.</v>
      </c>
      <c r="I248" s="523" t="str">
        <f>IFERROR(__xludf.DUMMYFUNCTION("""COMPUTED_VALUE"""),"Fail")</f>
        <v>Fail</v>
      </c>
      <c r="J248" s="523"/>
      <c r="K248" s="523"/>
      <c r="L248" s="523"/>
      <c r="M248" s="523"/>
      <c r="N248" s="523"/>
      <c r="O248" s="523"/>
      <c r="P248" s="523"/>
      <c r="Q248" s="523"/>
      <c r="R248" s="523"/>
      <c r="S248" s="523"/>
      <c r="T248" s="523"/>
      <c r="U248" s="523"/>
      <c r="V248" s="523"/>
      <c r="W248" s="523"/>
      <c r="X248" s="523"/>
      <c r="Y248" s="523"/>
      <c r="Z248" s="523"/>
    </row>
    <row r="249">
      <c r="A249" s="523" t="str">
        <f>IFERROR(__xludf.DUMMYFUNCTION("""COMPUTED_VALUE"""),"MOSIP-17921")</f>
        <v>MOSIP-17921</v>
      </c>
      <c r="B249" s="524"/>
      <c r="C249" s="523" t="str">
        <f>IFERROR(__xludf.DUMMYFUNCTION("""COMPUTED_VALUE"""),"TC 45")</f>
        <v>TC 45</v>
      </c>
      <c r="D249" s="523" t="str">
        <f>IFERROR(__xludf.DUMMYFUNCTION("""COMPUTED_VALUE"""),"Functional")</f>
        <v>Functional</v>
      </c>
      <c r="E249" s="524"/>
      <c r="F249" s="524" t="str">
        <f>IFERROR(__xludf.DUMMYFUNCTION("""COMPUTED_VALUE"""),"Verify if partner admin able to activate FTM model request")</f>
        <v>Verify if partner admin able to activate FTM model request</v>
      </c>
      <c r="G249" s="524" t="str">
        <f>IFERROR(__xludf.DUMMYFUNCTION("""COMPUTED_VALUE"""),"1.Login as Partner admin.
 2.Navigate to FTM details page.
 3.Choose a record.
 Click on ellipsis and activate the record.")</f>
        <v>1.Login as Partner admin.
 2.Navigate to FTM details page.
 3.Choose a record.
 Click on ellipsis and activate the record.</v>
      </c>
      <c r="H249" s="524" t="str">
        <f>IFERROR(__xludf.DUMMYFUNCTION("""COMPUTED_VALUE"""),"The partner admin should be able to approve FTM details request by a partner admin. The status should change to Active in the list.")</f>
        <v>The partner admin should be able to approve FTM details request by a partner admin. The status should change to Active in the list.</v>
      </c>
      <c r="I249" s="523" t="str">
        <f>IFERROR(__xludf.DUMMYFUNCTION("""COMPUTED_VALUE"""),"Fail")</f>
        <v>Fail</v>
      </c>
      <c r="J249" s="523" t="str">
        <f>IFERROR(__xludf.DUMMYFUNCTION("""COMPUTED_VALUE"""),"not able to activate")</f>
        <v>not able to activate</v>
      </c>
      <c r="K249" s="523"/>
      <c r="L249" s="523"/>
      <c r="M249" s="523"/>
      <c r="N249" s="523"/>
      <c r="O249" s="523"/>
      <c r="P249" s="523"/>
      <c r="Q249" s="523"/>
      <c r="R249" s="523"/>
      <c r="S249" s="523"/>
      <c r="T249" s="523"/>
      <c r="U249" s="523"/>
      <c r="V249" s="523"/>
      <c r="W249" s="523"/>
      <c r="X249" s="523"/>
      <c r="Y249" s="523"/>
      <c r="Z249" s="523"/>
    </row>
    <row r="250">
      <c r="A250" s="523" t="str">
        <f>IFERROR(__xludf.DUMMYFUNCTION("""COMPUTED_VALUE"""),"MOSIP- 17959")</f>
        <v>MOSIP- 17959</v>
      </c>
      <c r="B250" s="524"/>
      <c r="C250" s="523" t="str">
        <f>IFERROR(__xludf.DUMMYFUNCTION("""COMPUTED_VALUE"""),"TC 08")</f>
        <v>TC 08</v>
      </c>
      <c r="D250" s="523" t="str">
        <f>IFERROR(__xludf.DUMMYFUNCTION("""COMPUTED_VALUE"""),"Functional")</f>
        <v>Functional</v>
      </c>
      <c r="E250" s="524"/>
      <c r="F250" s="524" t="str">
        <f>IFERROR(__xludf.DUMMYFUNCTION("""COMPUTED_VALUE"""),"Verify if auth partner able to download  partner  certificate")</f>
        <v>Verify if auth partner able to download  partner  certificate</v>
      </c>
      <c r="G250" s="524" t="str">
        <f>IFERROR(__xludf.DUMMYFUNCTION("""COMPUTED_VALUE"""),"1. Login to the PMS portal as auth/credentail partner
 2. Download partner certificate.")</f>
        <v>1. Login to the PMS portal as auth/credentail partner
 2. Download partner certificate.</v>
      </c>
      <c r="H250" s="524" t="str">
        <f>IFERROR(__xludf.DUMMYFUNCTION("""COMPUTED_VALUE"""),"The partner should be able to download partner certificate")</f>
        <v>The partner should be able to download partner certificate</v>
      </c>
      <c r="I250" s="523" t="str">
        <f>IFERROR(__xludf.DUMMYFUNCTION("""COMPUTED_VALUE"""),"Fail")</f>
        <v>Fail</v>
      </c>
      <c r="J250" s="523" t="str">
        <f>IFERROR(__xludf.DUMMYFUNCTION("""COMPUTED_VALUE"""),"Download option not implemented")</f>
        <v>Download option not implemented</v>
      </c>
      <c r="K250" s="523"/>
      <c r="L250" s="523"/>
      <c r="M250" s="523"/>
      <c r="N250" s="523"/>
      <c r="O250" s="523"/>
      <c r="P250" s="523"/>
      <c r="Q250" s="523"/>
      <c r="R250" s="523"/>
      <c r="S250" s="523"/>
      <c r="T250" s="523"/>
      <c r="U250" s="523"/>
      <c r="V250" s="523"/>
      <c r="W250" s="523"/>
      <c r="X250" s="523"/>
      <c r="Y250" s="523"/>
      <c r="Z250" s="523"/>
    </row>
    <row r="251">
      <c r="A251" s="523" t="str">
        <f>IFERROR(__xludf.DUMMYFUNCTION("""COMPUTED_VALUE"""),"MOSIP- 17959")</f>
        <v>MOSIP- 17959</v>
      </c>
      <c r="B251" s="524"/>
      <c r="C251" s="523" t="str">
        <f>IFERROR(__xludf.DUMMYFUNCTION("""COMPUTED_VALUE"""),"TC 18")</f>
        <v>TC 18</v>
      </c>
      <c r="D251" s="523" t="str">
        <f>IFERROR(__xludf.DUMMYFUNCTION("""COMPUTED_VALUE"""),"Functional")</f>
        <v>Functional</v>
      </c>
      <c r="E251" s="524"/>
      <c r="F251" s="524" t="str">
        <f>IFERROR(__xludf.DUMMYFUNCTION("""COMPUTED_VALUE"""),"Verify if credentail partner able to download  partner  certificate")</f>
        <v>Verify if credentail partner able to download  partner  certificate</v>
      </c>
      <c r="G251" s="524" t="str">
        <f>IFERROR(__xludf.DUMMYFUNCTION("""COMPUTED_VALUE"""),"1. Login to the PMS portal as credentail partner
 2. Download partner certificate.")</f>
        <v>1. Login to the PMS portal as credentail partner
 2. Download partner certificate.</v>
      </c>
      <c r="H251" s="524" t="str">
        <f>IFERROR(__xludf.DUMMYFUNCTION("""COMPUTED_VALUE"""),"The credentail should be able to download partner certificate")</f>
        <v>The credentail should be able to download partner certificate</v>
      </c>
      <c r="I251" s="523" t="str">
        <f>IFERROR(__xludf.DUMMYFUNCTION("""COMPUTED_VALUE"""),"Fail")</f>
        <v>Fail</v>
      </c>
      <c r="J251" s="523" t="str">
        <f>IFERROR(__xludf.DUMMYFUNCTION("""COMPUTED_VALUE"""),"download not implemented")</f>
        <v>download not implemented</v>
      </c>
      <c r="K251" s="523"/>
      <c r="L251" s="523"/>
      <c r="M251" s="523"/>
      <c r="N251" s="523"/>
      <c r="O251" s="523"/>
      <c r="P251" s="523"/>
      <c r="Q251" s="523"/>
      <c r="R251" s="523"/>
      <c r="S251" s="523"/>
      <c r="T251" s="523"/>
      <c r="U251" s="523"/>
      <c r="V251" s="523"/>
      <c r="W251" s="523"/>
      <c r="X251" s="523"/>
      <c r="Y251" s="523"/>
      <c r="Z251" s="523"/>
    </row>
    <row r="252">
      <c r="A252" s="523" t="str">
        <f>IFERROR(__xludf.DUMMYFUNCTION("""COMPUTED_VALUE"""),"MOSIP- 17959")</f>
        <v>MOSIP- 17959</v>
      </c>
      <c r="B252" s="524"/>
      <c r="C252" s="523" t="str">
        <f>IFERROR(__xludf.DUMMYFUNCTION("""COMPUTED_VALUE"""),"TC 29")</f>
        <v>TC 29</v>
      </c>
      <c r="D252" s="523" t="str">
        <f>IFERROR(__xludf.DUMMYFUNCTION("""COMPUTED_VALUE"""),"Functional")</f>
        <v>Functional</v>
      </c>
      <c r="E252" s="524"/>
      <c r="F252" s="524" t="str">
        <f>IFERROR(__xludf.DUMMYFUNCTION("""COMPUTED_VALUE"""),"Verify if device provdider partner able to download partner  certificate")</f>
        <v>Verify if device provdider partner able to download partner  certificate</v>
      </c>
      <c r="G252" s="524" t="str">
        <f>IFERROR(__xludf.DUMMYFUNCTION("""COMPUTED_VALUE"""),"1. Login to the PMS portal as credentail partner
 2. Download partner certificate.")</f>
        <v>1. Login to the PMS portal as credentail partner
 2. Download partner certificate.</v>
      </c>
      <c r="H252" s="524" t="str">
        <f>IFERROR(__xludf.DUMMYFUNCTION("""COMPUTED_VALUE"""),"The device partner should be able to download partner certificate")</f>
        <v>The device partner should be able to download partner certificate</v>
      </c>
      <c r="I252" s="523" t="str">
        <f>IFERROR(__xludf.DUMMYFUNCTION("""COMPUTED_VALUE"""),"Fail")</f>
        <v>Fail</v>
      </c>
      <c r="J252" s="523" t="str">
        <f>IFERROR(__xludf.DUMMYFUNCTION("""COMPUTED_VALUE"""),"download not implemented")</f>
        <v>download not implemented</v>
      </c>
      <c r="K252" s="523"/>
      <c r="L252" s="523"/>
      <c r="M252" s="523"/>
      <c r="N252" s="523"/>
      <c r="O252" s="523"/>
      <c r="P252" s="523"/>
      <c r="Q252" s="523"/>
      <c r="R252" s="523"/>
      <c r="S252" s="523"/>
      <c r="T252" s="523"/>
      <c r="U252" s="523"/>
      <c r="V252" s="523"/>
      <c r="W252" s="523"/>
      <c r="X252" s="523"/>
      <c r="Y252" s="523"/>
      <c r="Z252" s="523"/>
    </row>
    <row r="253">
      <c r="A253" s="523" t="str">
        <f>IFERROR(__xludf.DUMMYFUNCTION("""COMPUTED_VALUE"""),"MOSIP- 17959")</f>
        <v>MOSIP- 17959</v>
      </c>
      <c r="B253" s="524"/>
      <c r="C253" s="523" t="str">
        <f>IFERROR(__xludf.DUMMYFUNCTION("""COMPUTED_VALUE"""),"TC 42")</f>
        <v>TC 42</v>
      </c>
      <c r="D253" s="523" t="str">
        <f>IFERROR(__xludf.DUMMYFUNCTION("""COMPUTED_VALUE"""),"Functional")</f>
        <v>Functional</v>
      </c>
      <c r="E253" s="524"/>
      <c r="F253" s="524" t="str">
        <f>IFERROR(__xludf.DUMMYFUNCTION("""COMPUTED_VALUE"""),"Verify if FTM partner able to download  partner  certificate")</f>
        <v>Verify if FTM partner able to download  partner  certificate</v>
      </c>
      <c r="G253" s="524" t="str">
        <f>IFERROR(__xludf.DUMMYFUNCTION("""COMPUTED_VALUE"""),"1. Login to the PMS portal as FTM partner
 2. Download partner certificate.")</f>
        <v>1. Login to the PMS portal as FTM partner
 2. Download partner certificate.</v>
      </c>
      <c r="H253" s="524" t="str">
        <f>IFERROR(__xludf.DUMMYFUNCTION("""COMPUTED_VALUE"""),"The FTM  partner should be able to download partner certificate")</f>
        <v>The FTM  partner should be able to download partner certificate</v>
      </c>
      <c r="I253" s="523" t="str">
        <f>IFERROR(__xludf.DUMMYFUNCTION("""COMPUTED_VALUE"""),"Fail")</f>
        <v>Fail</v>
      </c>
      <c r="J253" s="523" t="str">
        <f>IFERROR(__xludf.DUMMYFUNCTION("""COMPUTED_VALUE"""),"download not implemeted")</f>
        <v>download not implemeted</v>
      </c>
      <c r="K253" s="523"/>
      <c r="L253" s="523"/>
      <c r="M253" s="523"/>
      <c r="N253" s="523"/>
      <c r="O253" s="523"/>
      <c r="P253" s="523"/>
      <c r="Q253" s="523"/>
      <c r="R253" s="523"/>
      <c r="S253" s="523"/>
      <c r="T253" s="523"/>
      <c r="U253" s="523"/>
      <c r="V253" s="523"/>
      <c r="W253" s="523"/>
      <c r="X253" s="523"/>
      <c r="Y253" s="523"/>
      <c r="Z253" s="523"/>
    </row>
    <row r="254">
      <c r="A254" s="523" t="str">
        <f>IFERROR(__xludf.DUMMYFUNCTION("""COMPUTED_VALUE"""),"MOSIP-18350")</f>
        <v>MOSIP-18350</v>
      </c>
      <c r="B254" s="524"/>
      <c r="C254" s="523" t="str">
        <f>IFERROR(__xludf.DUMMYFUNCTION("""COMPUTED_VALUE"""),"TC 17")</f>
        <v>TC 17</v>
      </c>
      <c r="D254" s="523" t="str">
        <f>IFERROR(__xludf.DUMMYFUNCTION("""COMPUTED_VALUE"""),"Functional")</f>
        <v>Functional</v>
      </c>
      <c r="E254" s="524"/>
      <c r="F254" s="524" t="str">
        <f>IFERROR(__xludf.DUMMYFUNCTION("""COMPUTED_VALUE"""),"Verify to deactivate the partner policy details")</f>
        <v>Verify to deactivate the partner policy details</v>
      </c>
      <c r="G254" s="524" t="str">
        <f>IFERROR(__xludf.DUMMYFUNCTION("""COMPUTED_VALUE"""),"1. Login as partner admin
2. Partner policy mapping page
3. search for partner, click on ellipsis and edit
4. deactivate label")</f>
        <v>1. Login as partner admin
2. Partner policy mapping page
3. search for partner, click on ellipsis and edit
4. deactivate label</v>
      </c>
      <c r="H254" s="524" t="str">
        <f>IFERROR(__xludf.DUMMYFUNCTION("""COMPUTED_VALUE"""),"Should be able to deactivate partner policy mapping only when all API key for mapping are deactivated")</f>
        <v>Should be able to deactivate partner policy mapping only when all API key for mapping are deactivated</v>
      </c>
      <c r="I254" s="523" t="str">
        <f>IFERROR(__xludf.DUMMYFUNCTION("""COMPUTED_VALUE"""),"Fail")</f>
        <v>Fail</v>
      </c>
      <c r="J254" s="523" t="str">
        <f>IFERROR(__xludf.DUMMYFUNCTION("""COMPUTED_VALUE"""),"deactivate not implemented yet")</f>
        <v>deactivate not implemented yet</v>
      </c>
      <c r="K254" s="523"/>
      <c r="L254" s="523"/>
      <c r="M254" s="523"/>
      <c r="N254" s="523"/>
      <c r="O254" s="523"/>
      <c r="P254" s="523"/>
      <c r="Q254" s="523"/>
      <c r="R254" s="523"/>
      <c r="S254" s="523"/>
      <c r="T254" s="523"/>
      <c r="U254" s="523"/>
      <c r="V254" s="523"/>
      <c r="W254" s="523"/>
      <c r="X254" s="523"/>
      <c r="Y254" s="523"/>
      <c r="Z254" s="523"/>
    </row>
    <row r="255">
      <c r="A255" s="523" t="str">
        <f>IFERROR(__xludf.DUMMYFUNCTION("""COMPUTED_VALUE"""),"MOSIP-12001")</f>
        <v>MOSIP-12001</v>
      </c>
      <c r="B255" s="524"/>
      <c r="C255" s="523" t="str">
        <f>IFERROR(__xludf.DUMMYFUNCTION("""COMPUTED_VALUE"""),"TC 13")</f>
        <v>TC 13</v>
      </c>
      <c r="D255" s="523" t="str">
        <f>IFERROR(__xludf.DUMMYFUNCTION("""COMPUTED_VALUE"""),"Functional")</f>
        <v>Functional</v>
      </c>
      <c r="E255" s="524"/>
      <c r="F255" s="524" t="str">
        <f>IFERROR(__xludf.DUMMYFUNCTION("""COMPUTED_VALUE"""),"Verify to Update SBI details after approved")</f>
        <v>Verify to Update SBI details after approved</v>
      </c>
      <c r="G255" s="524" t="str">
        <f>IFERROR(__xludf.DUMMYFUNCTION("""COMPUTED_VALUE"""),"1. login as partner admin
 2. Go to SBI details, click on elipics approve device
 3. try to update SBI details")</f>
        <v>1. login as partner admin
 2. Go to SBI details, click on elipics approve device
 3. try to update SBI details</v>
      </c>
      <c r="H255" s="524" t="str">
        <f>IFERROR(__xludf.DUMMYFUNCTION("""COMPUTED_VALUE"""),"Should not be abe to updated device details once approved")</f>
        <v>Should not be abe to updated device details once approved</v>
      </c>
      <c r="I255" s="523" t="str">
        <f>IFERROR(__xludf.DUMMYFUNCTION("""COMPUTED_VALUE"""),"Fail")</f>
        <v>Fail</v>
      </c>
      <c r="J255" s="523"/>
      <c r="K255" s="523"/>
      <c r="L255" s="523"/>
      <c r="M255" s="523"/>
      <c r="N255" s="523"/>
      <c r="O255" s="523"/>
      <c r="P255" s="523"/>
      <c r="Q255" s="523"/>
      <c r="R255" s="523"/>
      <c r="S255" s="523"/>
      <c r="T255" s="523"/>
      <c r="U255" s="523"/>
      <c r="V255" s="523"/>
      <c r="W255" s="523"/>
      <c r="X255" s="523"/>
      <c r="Y255" s="523"/>
      <c r="Z255" s="523"/>
    </row>
    <row r="256">
      <c r="A256" s="523"/>
      <c r="B256" s="524"/>
      <c r="C256" s="523" t="str">
        <f>IFERROR(__xludf.DUMMYFUNCTION("""COMPUTED_VALUE"""),"integartion 42")</f>
        <v>integartion 42</v>
      </c>
      <c r="D256" s="523"/>
      <c r="E256" s="524"/>
      <c r="F256" s="524" t="str">
        <f>IFERROR(__xludf.DUMMYFUNCTION("""COMPUTED_VALUE"""),"To check for validforminutes when typeofshare in datasharepolices as ""datashare"" and issue credentail")</f>
        <v>To check for validforminutes when typeofshare in datasharepolices as "datashare" and issue credentail</v>
      </c>
      <c r="G256" s="524" t="str">
        <f>IFERROR(__xludf.DUMMYFUNCTION("""COMPUTED_VALUE"""),"1. Login as partner admin/policy manager
 2.Create Datashare policy by giving typeofshare in datasharepolices as ""datashare"" 
 3. Issue credential
 4. Check for url validity")</f>
        <v>1. Login as partner admin/policy manager
 2.Create Datashare policy by giving typeofshare in datasharepolices as "datashare" 
 3. Issue credential
 4. Check for url validity</v>
      </c>
      <c r="H256" s="524" t="str">
        <f>IFERROR(__xludf.DUMMYFUNCTION("""COMPUTED_VALUE"""),"Credential should get issued and url to get expired after validforminutes in policy")</f>
        <v>Credential should get issued and url to get expired after validforminutes in policy</v>
      </c>
      <c r="I256" s="523" t="str">
        <f>IFERROR(__xludf.DUMMYFUNCTION("""COMPUTED_VALUE"""),"Fail")</f>
        <v>Fail</v>
      </c>
      <c r="J256" s="523" t="str">
        <f>IFERROR(__xludf.DUMMYFUNCTION("""COMPUTED_VALUE"""),"Able to access url after validinforminutes also")</f>
        <v>Able to access url after validinforminutes also</v>
      </c>
      <c r="K256" s="523"/>
      <c r="L256" s="523"/>
      <c r="M256" s="523"/>
      <c r="N256" s="523"/>
      <c r="O256" s="523"/>
      <c r="P256" s="523"/>
      <c r="Q256" s="523"/>
      <c r="R256" s="523"/>
      <c r="S256" s="523"/>
      <c r="T256" s="523"/>
      <c r="U256" s="523"/>
      <c r="V256" s="523"/>
      <c r="W256" s="523"/>
      <c r="X256" s="523"/>
      <c r="Y256" s="523"/>
      <c r="Z256" s="523"/>
    </row>
    <row r="257">
      <c r="A257" s="523"/>
      <c r="B257" s="524"/>
      <c r="C257" s="523" t="str">
        <f>IFERROR(__xludf.DUMMYFUNCTION("""COMPUTED_VALUE"""),"integartion 45")</f>
        <v>integartion 45</v>
      </c>
      <c r="D257" s="523"/>
      <c r="E257" s="524"/>
      <c r="F257" s="524" t="str">
        <f>IFERROR(__xludf.DUMMYFUNCTION("""COMPUTED_VALUE"""),"Verify to create datashare policy by giving encryption type as ""none"" in datashare polices ")</f>
        <v>Verify to create datashare policy by giving encryption type as "none" in datashare polices </v>
      </c>
      <c r="G257" s="524" t="str">
        <f>IFERROR(__xludf.DUMMYFUNCTION("""COMPUTED_VALUE"""),"1. Login as partner admin/policy manager
 2.Create Datashare policy by giving encryptiontype as""none"" in datashare polices
 3. Issue credential")</f>
        <v>1. Login as partner admin/policy manager
 2.Create Datashare policy by giving encryptiontype as"none" in datashare polices
 3. Issue credential</v>
      </c>
      <c r="H257" s="524" t="str">
        <f>IFERROR(__xludf.DUMMYFUNCTION("""COMPUTED_VALUE"""),"credentail should get issued and data should be in readble format")</f>
        <v>credentail should get issued and data should be in readble format</v>
      </c>
      <c r="I257" s="523" t="str">
        <f>IFERROR(__xludf.DUMMYFUNCTION("""COMPUTED_VALUE"""),"Fail")</f>
        <v>Fail</v>
      </c>
      <c r="J257" s="523"/>
      <c r="K257" s="523"/>
      <c r="L257" s="523"/>
      <c r="M257" s="523"/>
      <c r="N257" s="523"/>
      <c r="O257" s="523"/>
      <c r="P257" s="523"/>
      <c r="Q257" s="523"/>
      <c r="R257" s="523"/>
      <c r="S257" s="523"/>
      <c r="T257" s="523"/>
      <c r="U257" s="523"/>
      <c r="V257" s="523"/>
      <c r="W257" s="523"/>
      <c r="X257" s="523"/>
      <c r="Y257" s="523"/>
      <c r="Z257" s="523"/>
    </row>
    <row r="258">
      <c r="A258" s="523"/>
      <c r="B258" s="524"/>
      <c r="C258" s="523" t="str">
        <f>IFERROR(__xludf.DUMMYFUNCTION("""COMPUTED_VALUE"""),"integartion 54")</f>
        <v>integartion 54</v>
      </c>
      <c r="D258" s="523"/>
      <c r="E258" s="524"/>
      <c r="F258" s="524" t="str">
        <f>IFERROR(__xludf.DUMMYFUNCTION("""COMPUTED_VALUE"""),"Verify to create reprint policy by removing any attribute in shareable attributes and print UIN card")</f>
        <v>Verify to create reprint policy by removing any attribute in shareable attributes and print UIN card</v>
      </c>
      <c r="G258" s="524" t="str">
        <f>IFERROR(__xludf.DUMMYFUNCTION("""COMPUTED_VALUE"""),"1. Login to partner admin/policy manager
 2.Create datashare policy for reprint by removing gender attribute
3. Remove attribute in template and identity json from config also 
 3.Download card")</f>
        <v>1. Login to partner admin/policy manager
 2.Create datashare policy for reprint by removing gender attribute
3. Remove attribute in template and identity json from config also 
 3.Download card</v>
      </c>
      <c r="H258" s="524" t="str">
        <f>IFERROR(__xludf.DUMMYFUNCTION("""COMPUTED_VALUE"""),"Removed attribute details should not be displayed in dowloaded card")</f>
        <v>Removed attribute details should not be displayed in dowloaded card</v>
      </c>
      <c r="I258" s="523" t="str">
        <f>IFERROR(__xludf.DUMMYFUNCTION("""COMPUTED_VALUE"""),"Fail")</f>
        <v>Fail</v>
      </c>
      <c r="J258" s="523"/>
      <c r="K258" s="523"/>
      <c r="L258" s="523"/>
      <c r="M258" s="523"/>
      <c r="N258" s="523"/>
      <c r="O258" s="523"/>
      <c r="P258" s="523"/>
      <c r="Q258" s="523"/>
      <c r="R258" s="523"/>
      <c r="S258" s="523"/>
      <c r="T258" s="523"/>
      <c r="U258" s="523"/>
      <c r="V258" s="523"/>
      <c r="W258" s="523"/>
      <c r="X258" s="523"/>
      <c r="Y258" s="523"/>
      <c r="Z258" s="523"/>
    </row>
    <row r="259">
      <c r="A259" s="523"/>
      <c r="B259" s="524"/>
      <c r="C259" s="523" t="str">
        <f>IFERROR(__xludf.DUMMYFUNCTION("""COMPUTED_VALUE"""),"integartion 55")</f>
        <v>integartion 55</v>
      </c>
      <c r="D259" s="523"/>
      <c r="E259" s="524"/>
      <c r="F259" s="524" t="str">
        <f>IFERROR(__xludf.DUMMYFUNCTION("""COMPUTED_VALUE"""),"Verify to create reprint policy by marking encrypted as true for any attribute in shareable attributes and print UIN card")</f>
        <v>Verify to create reprint policy by marking encrypted as true for any attribute in shareable attributes and print UIN card</v>
      </c>
      <c r="G259" s="524" t="str">
        <f>IFERROR(__xludf.DUMMYFUNCTION("""COMPUTED_VALUE"""),"1. Login to partner admin/policy manager
 2.Create datashare policy for reprint by giving encrypted as true for any attribute 
 3.Download card")</f>
        <v>1. Login to partner admin/policy manager
 2.Create datashare policy for reprint by giving encrypted as true for any attribute 
 3.Download card</v>
      </c>
      <c r="H259" s="524" t="str">
        <f>IFERROR(__xludf.DUMMYFUNCTION("""COMPUTED_VALUE"""),"Attribute marked as encrypted true should not be in readable format in downloaded card")</f>
        <v>Attribute marked as encrypted true should not be in readable format in downloaded card</v>
      </c>
      <c r="I259" s="523" t="str">
        <f>IFERROR(__xludf.DUMMYFUNCTION("""COMPUTED_VALUE"""),"Fail")</f>
        <v>Fail</v>
      </c>
      <c r="J259" s="523"/>
      <c r="K259" s="523"/>
      <c r="L259" s="523"/>
      <c r="M259" s="523"/>
      <c r="N259" s="523"/>
      <c r="O259" s="523"/>
      <c r="P259" s="523"/>
      <c r="Q259" s="523"/>
      <c r="R259" s="523"/>
      <c r="S259" s="523"/>
      <c r="T259" s="523"/>
      <c r="U259" s="523"/>
      <c r="V259" s="523"/>
      <c r="W259" s="523"/>
      <c r="X259" s="523"/>
      <c r="Y259" s="523"/>
      <c r="Z259" s="523"/>
    </row>
    <row r="260">
      <c r="A260" s="523"/>
      <c r="B260" s="524"/>
      <c r="C260" s="523"/>
      <c r="D260" s="523"/>
      <c r="E260" s="524"/>
      <c r="F260" s="524"/>
      <c r="G260" s="524"/>
      <c r="H260" s="524"/>
      <c r="I260" s="523"/>
      <c r="J260" s="523"/>
      <c r="K260" s="523"/>
      <c r="L260" s="523"/>
      <c r="M260" s="523"/>
      <c r="N260" s="523"/>
      <c r="O260" s="523"/>
      <c r="P260" s="523"/>
      <c r="Q260" s="523"/>
      <c r="R260" s="523"/>
      <c r="S260" s="523"/>
      <c r="T260" s="523"/>
      <c r="U260" s="523"/>
      <c r="V260" s="523"/>
      <c r="W260" s="523"/>
      <c r="X260" s="523"/>
      <c r="Y260" s="523"/>
      <c r="Z260" s="523"/>
    </row>
    <row r="261">
      <c r="A261" s="523"/>
      <c r="B261" s="524"/>
      <c r="C261" s="523"/>
      <c r="D261" s="523"/>
      <c r="E261" s="524"/>
      <c r="F261" s="524"/>
      <c r="G261" s="524"/>
      <c r="H261" s="524"/>
      <c r="I261" s="523"/>
      <c r="J261" s="523"/>
      <c r="K261" s="523"/>
      <c r="L261" s="523"/>
      <c r="M261" s="523"/>
      <c r="N261" s="523"/>
      <c r="O261" s="523"/>
      <c r="P261" s="523"/>
      <c r="Q261" s="523"/>
      <c r="R261" s="523"/>
      <c r="S261" s="523"/>
      <c r="T261" s="523"/>
      <c r="U261" s="523"/>
      <c r="V261" s="523"/>
      <c r="W261" s="523"/>
      <c r="X261" s="523"/>
      <c r="Y261" s="523"/>
      <c r="Z261" s="523"/>
    </row>
    <row r="262">
      <c r="A262" s="523"/>
      <c r="B262" s="524"/>
      <c r="C262" s="523"/>
      <c r="D262" s="523"/>
      <c r="E262" s="524"/>
      <c r="F262" s="524"/>
      <c r="G262" s="524"/>
      <c r="H262" s="524"/>
      <c r="I262" s="523"/>
      <c r="J262" s="523"/>
      <c r="K262" s="523"/>
      <c r="L262" s="523"/>
      <c r="M262" s="523"/>
      <c r="N262" s="523"/>
      <c r="O262" s="523"/>
      <c r="P262" s="523"/>
      <c r="Q262" s="523"/>
      <c r="R262" s="523"/>
      <c r="S262" s="523"/>
      <c r="T262" s="523"/>
      <c r="U262" s="523"/>
      <c r="V262" s="523"/>
      <c r="W262" s="523"/>
      <c r="X262" s="523"/>
      <c r="Y262" s="523"/>
      <c r="Z262" s="523"/>
    </row>
    <row r="263">
      <c r="A263" s="523"/>
      <c r="B263" s="524"/>
      <c r="C263" s="523"/>
      <c r="D263" s="523"/>
      <c r="E263" s="524"/>
      <c r="F263" s="524"/>
      <c r="G263" s="524"/>
      <c r="H263" s="524"/>
      <c r="I263" s="523"/>
      <c r="J263" s="523"/>
      <c r="K263" s="523"/>
      <c r="L263" s="523"/>
      <c r="M263" s="523"/>
      <c r="N263" s="523"/>
      <c r="O263" s="523"/>
      <c r="P263" s="523"/>
      <c r="Q263" s="523"/>
      <c r="R263" s="523"/>
      <c r="S263" s="523"/>
      <c r="T263" s="523"/>
      <c r="U263" s="523"/>
      <c r="V263" s="523"/>
      <c r="W263" s="523"/>
      <c r="X263" s="523"/>
      <c r="Y263" s="523"/>
      <c r="Z263" s="523"/>
    </row>
    <row r="264">
      <c r="A264" s="523"/>
      <c r="B264" s="524"/>
      <c r="C264" s="523"/>
      <c r="D264" s="523"/>
      <c r="E264" s="524"/>
      <c r="F264" s="524"/>
      <c r="G264" s="524"/>
      <c r="H264" s="524"/>
      <c r="I264" s="523"/>
      <c r="J264" s="523"/>
      <c r="K264" s="523"/>
      <c r="L264" s="523"/>
      <c r="M264" s="523"/>
      <c r="N264" s="523"/>
      <c r="O264" s="523"/>
      <c r="P264" s="523"/>
      <c r="Q264" s="523"/>
      <c r="R264" s="523"/>
      <c r="S264" s="523"/>
      <c r="T264" s="523"/>
      <c r="U264" s="523"/>
      <c r="V264" s="523"/>
      <c r="W264" s="523"/>
      <c r="X264" s="523"/>
      <c r="Y264" s="523"/>
      <c r="Z264" s="523"/>
    </row>
    <row r="265">
      <c r="A265" s="523"/>
      <c r="B265" s="524"/>
      <c r="C265" s="523"/>
      <c r="D265" s="523"/>
      <c r="E265" s="524"/>
      <c r="F265" s="524"/>
      <c r="G265" s="524"/>
      <c r="H265" s="524"/>
      <c r="I265" s="523"/>
      <c r="J265" s="523"/>
      <c r="K265" s="523"/>
      <c r="L265" s="523"/>
      <c r="M265" s="523"/>
      <c r="N265" s="523"/>
      <c r="O265" s="523"/>
      <c r="P265" s="523"/>
      <c r="Q265" s="523"/>
      <c r="R265" s="523"/>
      <c r="S265" s="523"/>
      <c r="T265" s="523"/>
      <c r="U265" s="523"/>
      <c r="V265" s="523"/>
      <c r="W265" s="523"/>
      <c r="X265" s="523"/>
      <c r="Y265" s="523"/>
      <c r="Z265" s="523"/>
    </row>
    <row r="266">
      <c r="A266" s="523"/>
      <c r="B266" s="524"/>
      <c r="C266" s="523"/>
      <c r="D266" s="523"/>
      <c r="E266" s="524"/>
      <c r="F266" s="524"/>
      <c r="G266" s="524"/>
      <c r="H266" s="524"/>
      <c r="I266" s="523"/>
      <c r="J266" s="523"/>
      <c r="K266" s="523"/>
      <c r="L266" s="523"/>
      <c r="M266" s="523"/>
      <c r="N266" s="523"/>
      <c r="O266" s="523"/>
      <c r="P266" s="523"/>
      <c r="Q266" s="523"/>
      <c r="R266" s="523"/>
      <c r="S266" s="523"/>
      <c r="T266" s="523"/>
      <c r="U266" s="523"/>
      <c r="V266" s="523"/>
      <c r="W266" s="523"/>
      <c r="X266" s="523"/>
      <c r="Y266" s="523"/>
      <c r="Z266" s="523"/>
    </row>
    <row r="267">
      <c r="A267" s="523"/>
      <c r="B267" s="524"/>
      <c r="C267" s="523"/>
      <c r="D267" s="523"/>
      <c r="E267" s="524"/>
      <c r="F267" s="524"/>
      <c r="G267" s="524"/>
      <c r="H267" s="524"/>
      <c r="I267" s="523"/>
      <c r="J267" s="523"/>
      <c r="K267" s="523"/>
      <c r="L267" s="523"/>
      <c r="M267" s="523"/>
      <c r="N267" s="523"/>
      <c r="O267" s="523"/>
      <c r="P267" s="523"/>
      <c r="Q267" s="523"/>
      <c r="R267" s="523"/>
      <c r="S267" s="523"/>
      <c r="T267" s="523"/>
      <c r="U267" s="523"/>
      <c r="V267" s="523"/>
      <c r="W267" s="523"/>
      <c r="X267" s="523"/>
      <c r="Y267" s="523"/>
      <c r="Z267" s="523"/>
    </row>
    <row r="268">
      <c r="A268" s="523"/>
      <c r="B268" s="524"/>
      <c r="C268" s="523"/>
      <c r="D268" s="523"/>
      <c r="E268" s="524"/>
      <c r="F268" s="524"/>
      <c r="G268" s="524"/>
      <c r="H268" s="524"/>
      <c r="I268" s="523"/>
      <c r="J268" s="523"/>
      <c r="K268" s="523"/>
      <c r="L268" s="523"/>
      <c r="M268" s="523"/>
      <c r="N268" s="523"/>
      <c r="O268" s="523"/>
      <c r="P268" s="523"/>
      <c r="Q268" s="523"/>
      <c r="R268" s="523"/>
      <c r="S268" s="523"/>
      <c r="T268" s="523"/>
      <c r="U268" s="523"/>
      <c r="V268" s="523"/>
      <c r="W268" s="523"/>
      <c r="X268" s="523"/>
      <c r="Y268" s="523"/>
      <c r="Z268" s="523"/>
    </row>
    <row r="269">
      <c r="A269" s="523"/>
      <c r="B269" s="524"/>
      <c r="C269" s="523"/>
      <c r="D269" s="523"/>
      <c r="E269" s="524"/>
      <c r="F269" s="524"/>
      <c r="G269" s="524"/>
      <c r="H269" s="524"/>
      <c r="I269" s="523"/>
      <c r="J269" s="523"/>
      <c r="K269" s="523"/>
      <c r="L269" s="523"/>
      <c r="M269" s="523"/>
      <c r="N269" s="523"/>
      <c r="O269" s="523"/>
      <c r="P269" s="523"/>
      <c r="Q269" s="523"/>
      <c r="R269" s="523"/>
      <c r="S269" s="523"/>
      <c r="T269" s="523"/>
      <c r="U269" s="523"/>
      <c r="V269" s="523"/>
      <c r="W269" s="523"/>
      <c r="X269" s="523"/>
      <c r="Y269" s="523"/>
      <c r="Z269" s="523"/>
    </row>
    <row r="270">
      <c r="A270" s="523"/>
      <c r="B270" s="524"/>
      <c r="C270" s="523"/>
      <c r="D270" s="523"/>
      <c r="E270" s="524"/>
      <c r="F270" s="524"/>
      <c r="G270" s="524"/>
      <c r="H270" s="524"/>
      <c r="I270" s="523"/>
      <c r="J270" s="523"/>
      <c r="K270" s="523"/>
      <c r="L270" s="523"/>
      <c r="M270" s="523"/>
      <c r="N270" s="523"/>
      <c r="O270" s="523"/>
      <c r="P270" s="523"/>
      <c r="Q270" s="523"/>
      <c r="R270" s="523"/>
      <c r="S270" s="523"/>
      <c r="T270" s="523"/>
      <c r="U270" s="523"/>
      <c r="V270" s="523"/>
      <c r="W270" s="523"/>
      <c r="X270" s="523"/>
      <c r="Y270" s="523"/>
      <c r="Z270" s="523"/>
    </row>
    <row r="271">
      <c r="A271" s="523"/>
      <c r="B271" s="524"/>
      <c r="C271" s="523"/>
      <c r="D271" s="523"/>
      <c r="E271" s="524"/>
      <c r="F271" s="524"/>
      <c r="G271" s="524"/>
      <c r="H271" s="524"/>
      <c r="I271" s="523"/>
      <c r="J271" s="523"/>
      <c r="K271" s="523"/>
      <c r="L271" s="523"/>
      <c r="M271" s="523"/>
      <c r="N271" s="523"/>
      <c r="O271" s="523"/>
      <c r="P271" s="523"/>
      <c r="Q271" s="523"/>
      <c r="R271" s="523"/>
      <c r="S271" s="523"/>
      <c r="T271" s="523"/>
      <c r="U271" s="523"/>
      <c r="V271" s="523"/>
      <c r="W271" s="523"/>
      <c r="X271" s="523"/>
      <c r="Y271" s="523"/>
      <c r="Z271" s="523"/>
    </row>
    <row r="272">
      <c r="A272" s="523"/>
      <c r="B272" s="524"/>
      <c r="C272" s="523"/>
      <c r="D272" s="523"/>
      <c r="E272" s="524"/>
      <c r="F272" s="524"/>
      <c r="G272" s="524"/>
      <c r="H272" s="524"/>
      <c r="I272" s="523"/>
      <c r="J272" s="523"/>
      <c r="K272" s="523"/>
      <c r="L272" s="523"/>
      <c r="M272" s="523"/>
      <c r="N272" s="523"/>
      <c r="O272" s="523"/>
      <c r="P272" s="523"/>
      <c r="Q272" s="523"/>
      <c r="R272" s="523"/>
      <c r="S272" s="523"/>
      <c r="T272" s="523"/>
      <c r="U272" s="523"/>
      <c r="V272" s="523"/>
      <c r="W272" s="523"/>
      <c r="X272" s="523"/>
      <c r="Y272" s="523"/>
      <c r="Z272" s="523"/>
    </row>
    <row r="273">
      <c r="A273" s="523"/>
      <c r="B273" s="524"/>
      <c r="C273" s="523"/>
      <c r="D273" s="523"/>
      <c r="E273" s="524"/>
      <c r="F273" s="524"/>
      <c r="G273" s="524"/>
      <c r="H273" s="524"/>
      <c r="I273" s="523"/>
      <c r="J273" s="523"/>
      <c r="K273" s="523"/>
      <c r="L273" s="523"/>
      <c r="M273" s="523"/>
      <c r="N273" s="523"/>
      <c r="O273" s="523"/>
      <c r="P273" s="523"/>
      <c r="Q273" s="523"/>
      <c r="R273" s="523"/>
      <c r="S273" s="523"/>
      <c r="T273" s="523"/>
      <c r="U273" s="523"/>
      <c r="V273" s="523"/>
      <c r="W273" s="523"/>
      <c r="X273" s="523"/>
      <c r="Y273" s="523"/>
      <c r="Z273" s="523"/>
    </row>
    <row r="274">
      <c r="A274" s="523"/>
      <c r="B274" s="524"/>
      <c r="C274" s="523"/>
      <c r="D274" s="523"/>
      <c r="E274" s="524"/>
      <c r="F274" s="524"/>
      <c r="G274" s="524"/>
      <c r="H274" s="524"/>
      <c r="I274" s="523"/>
      <c r="J274" s="523"/>
      <c r="K274" s="523"/>
      <c r="L274" s="523"/>
      <c r="M274" s="523"/>
      <c r="N274" s="523"/>
      <c r="O274" s="523"/>
      <c r="P274" s="523"/>
      <c r="Q274" s="523"/>
      <c r="R274" s="523"/>
      <c r="S274" s="523"/>
      <c r="T274" s="523"/>
      <c r="U274" s="523"/>
      <c r="V274" s="523"/>
      <c r="W274" s="523"/>
      <c r="X274" s="523"/>
      <c r="Y274" s="523"/>
      <c r="Z274" s="523"/>
    </row>
    <row r="275">
      <c r="A275" s="523"/>
      <c r="B275" s="524"/>
      <c r="C275" s="523"/>
      <c r="D275" s="523"/>
      <c r="E275" s="524"/>
      <c r="F275" s="524"/>
      <c r="G275" s="524"/>
      <c r="H275" s="524"/>
      <c r="I275" s="523"/>
      <c r="J275" s="523"/>
      <c r="K275" s="523"/>
      <c r="L275" s="523"/>
      <c r="M275" s="523"/>
      <c r="N275" s="523"/>
      <c r="O275" s="523"/>
      <c r="P275" s="523"/>
      <c r="Q275" s="523"/>
      <c r="R275" s="523"/>
      <c r="S275" s="523"/>
      <c r="T275" s="523"/>
      <c r="U275" s="523"/>
      <c r="V275" s="523"/>
      <c r="W275" s="523"/>
      <c r="X275" s="523"/>
      <c r="Y275" s="523"/>
      <c r="Z275" s="523"/>
    </row>
    <row r="276">
      <c r="A276" s="523"/>
      <c r="B276" s="524"/>
      <c r="C276" s="523"/>
      <c r="D276" s="523"/>
      <c r="E276" s="524"/>
      <c r="F276" s="524"/>
      <c r="G276" s="524"/>
      <c r="H276" s="524"/>
      <c r="I276" s="523"/>
      <c r="J276" s="523"/>
      <c r="K276" s="523"/>
      <c r="L276" s="523"/>
      <c r="M276" s="523"/>
      <c r="N276" s="523"/>
      <c r="O276" s="523"/>
      <c r="P276" s="523"/>
      <c r="Q276" s="523"/>
      <c r="R276" s="523"/>
      <c r="S276" s="523"/>
      <c r="T276" s="523"/>
      <c r="U276" s="523"/>
      <c r="V276" s="523"/>
      <c r="W276" s="523"/>
      <c r="X276" s="523"/>
      <c r="Y276" s="523"/>
      <c r="Z276" s="523"/>
    </row>
    <row r="277">
      <c r="A277" s="523"/>
      <c r="B277" s="524"/>
      <c r="C277" s="523"/>
      <c r="D277" s="523"/>
      <c r="E277" s="524"/>
      <c r="F277" s="524"/>
      <c r="G277" s="524"/>
      <c r="H277" s="524"/>
      <c r="I277" s="523"/>
      <c r="J277" s="523"/>
      <c r="K277" s="523"/>
      <c r="L277" s="523"/>
      <c r="M277" s="523"/>
      <c r="N277" s="523"/>
      <c r="O277" s="523"/>
      <c r="P277" s="523"/>
      <c r="Q277" s="523"/>
      <c r="R277" s="523"/>
      <c r="S277" s="523"/>
      <c r="T277" s="523"/>
      <c r="U277" s="523"/>
      <c r="V277" s="523"/>
      <c r="W277" s="523"/>
      <c r="X277" s="523"/>
      <c r="Y277" s="523"/>
      <c r="Z277" s="523"/>
    </row>
    <row r="278">
      <c r="A278" s="523"/>
      <c r="B278" s="524"/>
      <c r="C278" s="523"/>
      <c r="D278" s="523"/>
      <c r="E278" s="524"/>
      <c r="F278" s="524"/>
      <c r="G278" s="524"/>
      <c r="H278" s="524"/>
      <c r="I278" s="523"/>
      <c r="J278" s="523"/>
      <c r="K278" s="523"/>
      <c r="L278" s="523"/>
      <c r="M278" s="523"/>
      <c r="N278" s="523"/>
      <c r="O278" s="523"/>
      <c r="P278" s="523"/>
      <c r="Q278" s="523"/>
      <c r="R278" s="523"/>
      <c r="S278" s="523"/>
      <c r="T278" s="523"/>
      <c r="U278" s="523"/>
      <c r="V278" s="523"/>
      <c r="W278" s="523"/>
      <c r="X278" s="523"/>
      <c r="Y278" s="523"/>
      <c r="Z278" s="523"/>
    </row>
    <row r="279">
      <c r="A279" s="523"/>
      <c r="B279" s="524"/>
      <c r="C279" s="523"/>
      <c r="D279" s="523"/>
      <c r="E279" s="524"/>
      <c r="F279" s="524"/>
      <c r="G279" s="524"/>
      <c r="H279" s="524"/>
      <c r="I279" s="523"/>
      <c r="J279" s="523"/>
      <c r="K279" s="523"/>
      <c r="L279" s="523"/>
      <c r="M279" s="523"/>
      <c r="N279" s="523"/>
      <c r="O279" s="523"/>
      <c r="P279" s="523"/>
      <c r="Q279" s="523"/>
      <c r="R279" s="523"/>
      <c r="S279" s="523"/>
      <c r="T279" s="523"/>
      <c r="U279" s="523"/>
      <c r="V279" s="523"/>
      <c r="W279" s="523"/>
      <c r="X279" s="523"/>
      <c r="Y279" s="523"/>
      <c r="Z279" s="523"/>
    </row>
    <row r="280">
      <c r="A280" s="523"/>
      <c r="B280" s="524"/>
      <c r="C280" s="523"/>
      <c r="D280" s="523"/>
      <c r="E280" s="524"/>
      <c r="F280" s="524"/>
      <c r="G280" s="524"/>
      <c r="H280" s="524"/>
      <c r="I280" s="523"/>
      <c r="J280" s="523"/>
      <c r="K280" s="523"/>
      <c r="L280" s="523"/>
      <c r="M280" s="523"/>
      <c r="N280" s="523"/>
      <c r="O280" s="523"/>
      <c r="P280" s="523"/>
      <c r="Q280" s="523"/>
      <c r="R280" s="523"/>
      <c r="S280" s="523"/>
      <c r="T280" s="523"/>
      <c r="U280" s="523"/>
      <c r="V280" s="523"/>
      <c r="W280" s="523"/>
      <c r="X280" s="523"/>
      <c r="Y280" s="523"/>
      <c r="Z280" s="523"/>
    </row>
    <row r="281">
      <c r="A281" s="523"/>
      <c r="B281" s="524"/>
      <c r="C281" s="523"/>
      <c r="D281" s="523"/>
      <c r="E281" s="524"/>
      <c r="F281" s="524"/>
      <c r="G281" s="524"/>
      <c r="H281" s="524"/>
      <c r="I281" s="523"/>
      <c r="J281" s="523"/>
      <c r="K281" s="523"/>
      <c r="L281" s="523"/>
      <c r="M281" s="523"/>
      <c r="N281" s="523"/>
      <c r="O281" s="523"/>
      <c r="P281" s="523"/>
      <c r="Q281" s="523"/>
      <c r="R281" s="523"/>
      <c r="S281" s="523"/>
      <c r="T281" s="523"/>
      <c r="U281" s="523"/>
      <c r="V281" s="523"/>
      <c r="W281" s="523"/>
      <c r="X281" s="523"/>
      <c r="Y281" s="523"/>
      <c r="Z281" s="523"/>
    </row>
    <row r="282">
      <c r="A282" s="523"/>
      <c r="B282" s="524"/>
      <c r="C282" s="523"/>
      <c r="D282" s="523"/>
      <c r="E282" s="524"/>
      <c r="F282" s="524"/>
      <c r="G282" s="524"/>
      <c r="H282" s="524"/>
      <c r="I282" s="523"/>
      <c r="J282" s="523"/>
      <c r="K282" s="523"/>
      <c r="L282" s="523"/>
      <c r="M282" s="523"/>
      <c r="N282" s="523"/>
      <c r="O282" s="523"/>
      <c r="P282" s="523"/>
      <c r="Q282" s="523"/>
      <c r="R282" s="523"/>
      <c r="S282" s="523"/>
      <c r="T282" s="523"/>
      <c r="U282" s="523"/>
      <c r="V282" s="523"/>
      <c r="W282" s="523"/>
      <c r="X282" s="523"/>
      <c r="Y282" s="523"/>
      <c r="Z282" s="523"/>
    </row>
    <row r="283">
      <c r="A283" s="523"/>
      <c r="B283" s="524"/>
      <c r="C283" s="523"/>
      <c r="D283" s="523"/>
      <c r="E283" s="524"/>
      <c r="F283" s="524"/>
      <c r="G283" s="524"/>
      <c r="H283" s="524"/>
      <c r="I283" s="523"/>
      <c r="J283" s="523"/>
      <c r="K283" s="523"/>
      <c r="L283" s="523"/>
      <c r="M283" s="523"/>
      <c r="N283" s="523"/>
      <c r="O283" s="523"/>
      <c r="P283" s="523"/>
      <c r="Q283" s="523"/>
      <c r="R283" s="523"/>
      <c r="S283" s="523"/>
      <c r="T283" s="523"/>
      <c r="U283" s="523"/>
      <c r="V283" s="523"/>
      <c r="W283" s="523"/>
      <c r="X283" s="523"/>
      <c r="Y283" s="523"/>
      <c r="Z283" s="523"/>
    </row>
    <row r="284">
      <c r="A284" s="523"/>
      <c r="B284" s="524"/>
      <c r="C284" s="523"/>
      <c r="D284" s="523"/>
      <c r="E284" s="524"/>
      <c r="F284" s="524"/>
      <c r="G284" s="524"/>
      <c r="H284" s="524"/>
      <c r="I284" s="523"/>
      <c r="J284" s="523"/>
      <c r="K284" s="523"/>
      <c r="L284" s="523"/>
      <c r="M284" s="523"/>
      <c r="N284" s="523"/>
      <c r="O284" s="523"/>
      <c r="P284" s="523"/>
      <c r="Q284" s="523"/>
      <c r="R284" s="523"/>
      <c r="S284" s="523"/>
      <c r="T284" s="523"/>
      <c r="U284" s="523"/>
      <c r="V284" s="523"/>
      <c r="W284" s="523"/>
      <c r="X284" s="523"/>
      <c r="Y284" s="523"/>
      <c r="Z284" s="523"/>
    </row>
    <row r="285">
      <c r="A285" s="523"/>
      <c r="B285" s="524"/>
      <c r="C285" s="523"/>
      <c r="D285" s="523"/>
      <c r="E285" s="524"/>
      <c r="F285" s="524"/>
      <c r="G285" s="524"/>
      <c r="H285" s="524"/>
      <c r="I285" s="523"/>
      <c r="J285" s="523"/>
      <c r="K285" s="523"/>
      <c r="L285" s="523"/>
      <c r="M285" s="523"/>
      <c r="N285" s="523"/>
      <c r="O285" s="523"/>
      <c r="P285" s="523"/>
      <c r="Q285" s="523"/>
      <c r="R285" s="523"/>
      <c r="S285" s="523"/>
      <c r="T285" s="523"/>
      <c r="U285" s="523"/>
      <c r="V285" s="523"/>
      <c r="W285" s="523"/>
      <c r="X285" s="523"/>
      <c r="Y285" s="523"/>
      <c r="Z285" s="523"/>
    </row>
    <row r="286">
      <c r="A286" s="523"/>
      <c r="B286" s="524"/>
      <c r="C286" s="523"/>
      <c r="D286" s="523"/>
      <c r="E286" s="524"/>
      <c r="F286" s="524"/>
      <c r="G286" s="524"/>
      <c r="H286" s="524"/>
      <c r="I286" s="523"/>
      <c r="J286" s="523"/>
      <c r="K286" s="523"/>
      <c r="L286" s="523"/>
      <c r="M286" s="523"/>
      <c r="N286" s="523"/>
      <c r="O286" s="523"/>
      <c r="P286" s="523"/>
      <c r="Q286" s="523"/>
      <c r="R286" s="523"/>
      <c r="S286" s="523"/>
      <c r="T286" s="523"/>
      <c r="U286" s="523"/>
      <c r="V286" s="523"/>
      <c r="W286" s="523"/>
      <c r="X286" s="523"/>
      <c r="Y286" s="523"/>
      <c r="Z286" s="523"/>
    </row>
    <row r="287">
      <c r="A287" s="523"/>
      <c r="B287" s="524"/>
      <c r="C287" s="523"/>
      <c r="D287" s="523"/>
      <c r="E287" s="524"/>
      <c r="F287" s="524"/>
      <c r="G287" s="524"/>
      <c r="H287" s="524"/>
      <c r="I287" s="523"/>
      <c r="J287" s="523"/>
      <c r="K287" s="523"/>
      <c r="L287" s="523"/>
      <c r="M287" s="523"/>
      <c r="N287" s="523"/>
      <c r="O287" s="523"/>
      <c r="P287" s="523"/>
      <c r="Q287" s="523"/>
      <c r="R287" s="523"/>
      <c r="S287" s="523"/>
      <c r="T287" s="523"/>
      <c r="U287" s="523"/>
      <c r="V287" s="523"/>
      <c r="W287" s="523"/>
      <c r="X287" s="523"/>
      <c r="Y287" s="523"/>
      <c r="Z287" s="523"/>
    </row>
    <row r="288">
      <c r="A288" s="523"/>
      <c r="B288" s="524"/>
      <c r="C288" s="523"/>
      <c r="D288" s="523"/>
      <c r="E288" s="524"/>
      <c r="F288" s="524"/>
      <c r="G288" s="524"/>
      <c r="H288" s="524"/>
      <c r="I288" s="523"/>
      <c r="J288" s="523"/>
      <c r="K288" s="523"/>
      <c r="L288" s="523"/>
      <c r="M288" s="523"/>
      <c r="N288" s="523"/>
      <c r="O288" s="523"/>
      <c r="P288" s="523"/>
      <c r="Q288" s="523"/>
      <c r="R288" s="523"/>
      <c r="S288" s="523"/>
      <c r="T288" s="523"/>
      <c r="U288" s="523"/>
      <c r="V288" s="523"/>
      <c r="W288" s="523"/>
      <c r="X288" s="523"/>
      <c r="Y288" s="523"/>
      <c r="Z288" s="523"/>
    </row>
    <row r="289">
      <c r="A289" s="523"/>
      <c r="B289" s="524"/>
      <c r="C289" s="523"/>
      <c r="D289" s="523"/>
      <c r="E289" s="524"/>
      <c r="F289" s="524"/>
      <c r="G289" s="524"/>
      <c r="H289" s="524"/>
      <c r="I289" s="523"/>
      <c r="J289" s="523"/>
      <c r="K289" s="523"/>
      <c r="L289" s="523"/>
      <c r="M289" s="523"/>
      <c r="N289" s="523"/>
      <c r="O289" s="523"/>
      <c r="P289" s="523"/>
      <c r="Q289" s="523"/>
      <c r="R289" s="523"/>
      <c r="S289" s="523"/>
      <c r="T289" s="523"/>
      <c r="U289" s="523"/>
      <c r="V289" s="523"/>
      <c r="W289" s="523"/>
      <c r="X289" s="523"/>
      <c r="Y289" s="523"/>
      <c r="Z289" s="523"/>
    </row>
    <row r="290">
      <c r="A290" s="523"/>
      <c r="B290" s="524"/>
      <c r="C290" s="523"/>
      <c r="D290" s="523"/>
      <c r="E290" s="524"/>
      <c r="F290" s="524"/>
      <c r="G290" s="524"/>
      <c r="H290" s="524"/>
      <c r="I290" s="523"/>
      <c r="J290" s="523"/>
      <c r="K290" s="523"/>
      <c r="L290" s="523"/>
      <c r="M290" s="523"/>
      <c r="N290" s="523"/>
      <c r="O290" s="523"/>
      <c r="P290" s="523"/>
      <c r="Q290" s="523"/>
      <c r="R290" s="523"/>
      <c r="S290" s="523"/>
      <c r="T290" s="523"/>
      <c r="U290" s="523"/>
      <c r="V290" s="523"/>
      <c r="W290" s="523"/>
      <c r="X290" s="523"/>
      <c r="Y290" s="523"/>
      <c r="Z290" s="523"/>
    </row>
    <row r="291">
      <c r="A291" s="523"/>
      <c r="B291" s="524"/>
      <c r="C291" s="523"/>
      <c r="D291" s="523"/>
      <c r="E291" s="524"/>
      <c r="F291" s="524"/>
      <c r="G291" s="524"/>
      <c r="H291" s="524"/>
      <c r="I291" s="523"/>
      <c r="J291" s="523"/>
      <c r="K291" s="523"/>
      <c r="L291" s="523"/>
      <c r="M291" s="523"/>
      <c r="N291" s="523"/>
      <c r="O291" s="523"/>
      <c r="P291" s="523"/>
      <c r="Q291" s="523"/>
      <c r="R291" s="523"/>
      <c r="S291" s="523"/>
      <c r="T291" s="523"/>
      <c r="U291" s="523"/>
      <c r="V291" s="523"/>
      <c r="W291" s="523"/>
      <c r="X291" s="523"/>
      <c r="Y291" s="523"/>
      <c r="Z291" s="523"/>
    </row>
    <row r="292">
      <c r="A292" s="523"/>
      <c r="B292" s="524"/>
      <c r="C292" s="523"/>
      <c r="D292" s="523"/>
      <c r="E292" s="524"/>
      <c r="F292" s="524"/>
      <c r="G292" s="524"/>
      <c r="H292" s="524"/>
      <c r="I292" s="523"/>
      <c r="J292" s="523"/>
      <c r="K292" s="523"/>
      <c r="L292" s="523"/>
      <c r="M292" s="523"/>
      <c r="N292" s="523"/>
      <c r="O292" s="523"/>
      <c r="P292" s="523"/>
      <c r="Q292" s="523"/>
      <c r="R292" s="523"/>
      <c r="S292" s="523"/>
      <c r="T292" s="523"/>
      <c r="U292" s="523"/>
      <c r="V292" s="523"/>
      <c r="W292" s="523"/>
      <c r="X292" s="523"/>
      <c r="Y292" s="523"/>
      <c r="Z292" s="523"/>
    </row>
    <row r="293">
      <c r="A293" s="523"/>
      <c r="B293" s="524"/>
      <c r="C293" s="523"/>
      <c r="D293" s="523"/>
      <c r="E293" s="524"/>
      <c r="F293" s="524"/>
      <c r="G293" s="524"/>
      <c r="H293" s="524"/>
      <c r="I293" s="523"/>
      <c r="J293" s="523"/>
      <c r="K293" s="523"/>
      <c r="L293" s="523"/>
      <c r="M293" s="523"/>
      <c r="N293" s="523"/>
      <c r="O293" s="523"/>
      <c r="P293" s="523"/>
      <c r="Q293" s="523"/>
      <c r="R293" s="523"/>
      <c r="S293" s="523"/>
      <c r="T293" s="523"/>
      <c r="U293" s="523"/>
      <c r="V293" s="523"/>
      <c r="W293" s="523"/>
      <c r="X293" s="523"/>
      <c r="Y293" s="523"/>
      <c r="Z293" s="523"/>
    </row>
    <row r="294">
      <c r="A294" s="523"/>
      <c r="B294" s="524"/>
      <c r="C294" s="523"/>
      <c r="D294" s="523"/>
      <c r="E294" s="524"/>
      <c r="F294" s="524"/>
      <c r="G294" s="524"/>
      <c r="H294" s="524"/>
      <c r="I294" s="523"/>
      <c r="J294" s="523"/>
      <c r="K294" s="523"/>
      <c r="L294" s="523"/>
      <c r="M294" s="523"/>
      <c r="N294" s="523"/>
      <c r="O294" s="523"/>
      <c r="P294" s="523"/>
      <c r="Q294" s="523"/>
      <c r="R294" s="523"/>
      <c r="S294" s="523"/>
      <c r="T294" s="523"/>
      <c r="U294" s="523"/>
      <c r="V294" s="523"/>
      <c r="W294" s="523"/>
      <c r="X294" s="523"/>
      <c r="Y294" s="523"/>
      <c r="Z294" s="523"/>
    </row>
    <row r="295">
      <c r="A295" s="523"/>
      <c r="B295" s="524"/>
      <c r="C295" s="523"/>
      <c r="D295" s="523"/>
      <c r="E295" s="524"/>
      <c r="F295" s="524"/>
      <c r="G295" s="524"/>
      <c r="H295" s="524"/>
      <c r="I295" s="523"/>
      <c r="J295" s="523"/>
      <c r="K295" s="523"/>
      <c r="L295" s="523"/>
      <c r="M295" s="523"/>
      <c r="N295" s="523"/>
      <c r="O295" s="523"/>
      <c r="P295" s="523"/>
      <c r="Q295" s="523"/>
      <c r="R295" s="523"/>
      <c r="S295" s="523"/>
      <c r="T295" s="523"/>
      <c r="U295" s="523"/>
      <c r="V295" s="523"/>
      <c r="W295" s="523"/>
      <c r="X295" s="523"/>
      <c r="Y295" s="523"/>
      <c r="Z295" s="523"/>
    </row>
    <row r="296">
      <c r="A296" s="523"/>
      <c r="B296" s="524"/>
      <c r="C296" s="523"/>
      <c r="D296" s="523"/>
      <c r="E296" s="524"/>
      <c r="F296" s="524"/>
      <c r="G296" s="524"/>
      <c r="H296" s="524"/>
      <c r="I296" s="523"/>
      <c r="J296" s="523"/>
      <c r="K296" s="523"/>
      <c r="L296" s="523"/>
      <c r="M296" s="523"/>
      <c r="N296" s="523"/>
      <c r="O296" s="523"/>
      <c r="P296" s="523"/>
      <c r="Q296" s="523"/>
      <c r="R296" s="523"/>
      <c r="S296" s="523"/>
      <c r="T296" s="523"/>
      <c r="U296" s="523"/>
      <c r="V296" s="523"/>
      <c r="W296" s="523"/>
      <c r="X296" s="523"/>
      <c r="Y296" s="523"/>
      <c r="Z296" s="523"/>
    </row>
    <row r="297">
      <c r="A297" s="523"/>
      <c r="B297" s="524"/>
      <c r="C297" s="523"/>
      <c r="D297" s="523"/>
      <c r="E297" s="524"/>
      <c r="F297" s="524"/>
      <c r="G297" s="524"/>
      <c r="H297" s="524"/>
      <c r="I297" s="523"/>
      <c r="J297" s="523"/>
      <c r="K297" s="523"/>
      <c r="L297" s="523"/>
      <c r="M297" s="523"/>
      <c r="N297" s="523"/>
      <c r="O297" s="523"/>
      <c r="P297" s="523"/>
      <c r="Q297" s="523"/>
      <c r="R297" s="523"/>
      <c r="S297" s="523"/>
      <c r="T297" s="523"/>
      <c r="U297" s="523"/>
      <c r="V297" s="523"/>
      <c r="W297" s="523"/>
      <c r="X297" s="523"/>
      <c r="Y297" s="523"/>
      <c r="Z297" s="523"/>
    </row>
    <row r="298">
      <c r="A298" s="523"/>
      <c r="B298" s="524"/>
      <c r="C298" s="523"/>
      <c r="D298" s="523"/>
      <c r="E298" s="524"/>
      <c r="F298" s="524"/>
      <c r="G298" s="524"/>
      <c r="H298" s="524"/>
      <c r="I298" s="523"/>
      <c r="J298" s="523"/>
      <c r="K298" s="523"/>
      <c r="L298" s="523"/>
      <c r="M298" s="523"/>
      <c r="N298" s="523"/>
      <c r="O298" s="523"/>
      <c r="P298" s="523"/>
      <c r="Q298" s="523"/>
      <c r="R298" s="523"/>
      <c r="S298" s="523"/>
      <c r="T298" s="523"/>
      <c r="U298" s="523"/>
      <c r="V298" s="523"/>
      <c r="W298" s="523"/>
      <c r="X298" s="523"/>
      <c r="Y298" s="523"/>
      <c r="Z298" s="523"/>
    </row>
    <row r="299">
      <c r="A299" s="523"/>
      <c r="B299" s="524"/>
      <c r="C299" s="523"/>
      <c r="D299" s="523"/>
      <c r="E299" s="524"/>
      <c r="F299" s="524"/>
      <c r="G299" s="524"/>
      <c r="H299" s="524"/>
      <c r="I299" s="523"/>
      <c r="J299" s="523"/>
      <c r="K299" s="523"/>
      <c r="L299" s="523"/>
      <c r="M299" s="523"/>
      <c r="N299" s="523"/>
      <c r="O299" s="523"/>
      <c r="P299" s="523"/>
      <c r="Q299" s="523"/>
      <c r="R299" s="523"/>
      <c r="S299" s="523"/>
      <c r="T299" s="523"/>
      <c r="U299" s="523"/>
      <c r="V299" s="523"/>
      <c r="W299" s="523"/>
      <c r="X299" s="523"/>
      <c r="Y299" s="523"/>
      <c r="Z299" s="523"/>
    </row>
    <row r="300">
      <c r="A300" s="523"/>
      <c r="B300" s="524"/>
      <c r="C300" s="523"/>
      <c r="D300" s="523"/>
      <c r="E300" s="524"/>
      <c r="F300" s="524"/>
      <c r="G300" s="524"/>
      <c r="H300" s="524"/>
      <c r="I300" s="523"/>
      <c r="J300" s="523"/>
      <c r="K300" s="523"/>
      <c r="L300" s="523"/>
      <c r="M300" s="523"/>
      <c r="N300" s="523"/>
      <c r="O300" s="523"/>
      <c r="P300" s="523"/>
      <c r="Q300" s="523"/>
      <c r="R300" s="523"/>
      <c r="S300" s="523"/>
      <c r="T300" s="523"/>
      <c r="U300" s="523"/>
      <c r="V300" s="523"/>
      <c r="W300" s="523"/>
      <c r="X300" s="523"/>
      <c r="Y300" s="523"/>
      <c r="Z300" s="523"/>
    </row>
    <row r="301">
      <c r="A301" s="523"/>
      <c r="B301" s="524"/>
      <c r="C301" s="523"/>
      <c r="D301" s="523"/>
      <c r="E301" s="524"/>
      <c r="F301" s="524"/>
      <c r="G301" s="524"/>
      <c r="H301" s="524"/>
      <c r="I301" s="523"/>
      <c r="J301" s="523"/>
      <c r="K301" s="523"/>
      <c r="L301" s="523"/>
      <c r="M301" s="523"/>
      <c r="N301" s="523"/>
      <c r="O301" s="523"/>
      <c r="P301" s="523"/>
      <c r="Q301" s="523"/>
      <c r="R301" s="523"/>
      <c r="S301" s="523"/>
      <c r="T301" s="523"/>
      <c r="U301" s="523"/>
      <c r="V301" s="523"/>
      <c r="W301" s="523"/>
      <c r="X301" s="523"/>
      <c r="Y301" s="523"/>
      <c r="Z301" s="523"/>
    </row>
    <row r="302">
      <c r="A302" s="523"/>
      <c r="B302" s="524"/>
      <c r="C302" s="523"/>
      <c r="D302" s="523"/>
      <c r="E302" s="524"/>
      <c r="F302" s="524"/>
      <c r="G302" s="524"/>
      <c r="H302" s="524"/>
      <c r="I302" s="523"/>
      <c r="J302" s="523"/>
      <c r="K302" s="523"/>
      <c r="L302" s="523"/>
      <c r="M302" s="523"/>
      <c r="N302" s="523"/>
      <c r="O302" s="523"/>
      <c r="P302" s="523"/>
      <c r="Q302" s="523"/>
      <c r="R302" s="523"/>
      <c r="S302" s="523"/>
      <c r="T302" s="523"/>
      <c r="U302" s="523"/>
      <c r="V302" s="523"/>
      <c r="W302" s="523"/>
      <c r="X302" s="523"/>
      <c r="Y302" s="523"/>
      <c r="Z302" s="523"/>
    </row>
    <row r="303">
      <c r="A303" s="523"/>
      <c r="B303" s="524"/>
      <c r="C303" s="523"/>
      <c r="D303" s="523"/>
      <c r="E303" s="524"/>
      <c r="F303" s="524"/>
      <c r="G303" s="524"/>
      <c r="H303" s="524"/>
      <c r="I303" s="523"/>
      <c r="J303" s="523"/>
      <c r="K303" s="523"/>
      <c r="L303" s="523"/>
      <c r="M303" s="523"/>
      <c r="N303" s="523"/>
      <c r="O303" s="523"/>
      <c r="P303" s="523"/>
      <c r="Q303" s="523"/>
      <c r="R303" s="523"/>
      <c r="S303" s="523"/>
      <c r="T303" s="523"/>
      <c r="U303" s="523"/>
      <c r="V303" s="523"/>
      <c r="W303" s="523"/>
      <c r="X303" s="523"/>
      <c r="Y303" s="523"/>
      <c r="Z303" s="523"/>
    </row>
    <row r="304">
      <c r="A304" s="523"/>
      <c r="B304" s="524"/>
      <c r="C304" s="523"/>
      <c r="D304" s="523"/>
      <c r="E304" s="524"/>
      <c r="F304" s="524"/>
      <c r="G304" s="524"/>
      <c r="H304" s="524"/>
      <c r="I304" s="523"/>
      <c r="J304" s="523"/>
      <c r="K304" s="523"/>
      <c r="L304" s="523"/>
      <c r="M304" s="523"/>
      <c r="N304" s="523"/>
      <c r="O304" s="523"/>
      <c r="P304" s="523"/>
      <c r="Q304" s="523"/>
      <c r="R304" s="523"/>
      <c r="S304" s="523"/>
      <c r="T304" s="523"/>
      <c r="U304" s="523"/>
      <c r="V304" s="523"/>
      <c r="W304" s="523"/>
      <c r="X304" s="523"/>
      <c r="Y304" s="523"/>
      <c r="Z304" s="523"/>
    </row>
    <row r="305">
      <c r="A305" s="523"/>
      <c r="B305" s="524"/>
      <c r="C305" s="523"/>
      <c r="D305" s="523"/>
      <c r="E305" s="524"/>
      <c r="F305" s="524"/>
      <c r="G305" s="524"/>
      <c r="H305" s="524"/>
      <c r="I305" s="523"/>
      <c r="J305" s="523"/>
      <c r="K305" s="523"/>
      <c r="L305" s="523"/>
      <c r="M305" s="523"/>
      <c r="N305" s="523"/>
      <c r="O305" s="523"/>
      <c r="P305" s="523"/>
      <c r="Q305" s="523"/>
      <c r="R305" s="523"/>
      <c r="S305" s="523"/>
      <c r="T305" s="523"/>
      <c r="U305" s="523"/>
      <c r="V305" s="523"/>
      <c r="W305" s="523"/>
      <c r="X305" s="523"/>
      <c r="Y305" s="523"/>
      <c r="Z305" s="523"/>
    </row>
    <row r="306">
      <c r="A306" s="523"/>
      <c r="B306" s="524"/>
      <c r="C306" s="523"/>
      <c r="D306" s="523"/>
      <c r="E306" s="524"/>
      <c r="F306" s="524"/>
      <c r="G306" s="524"/>
      <c r="H306" s="524"/>
      <c r="I306" s="523"/>
      <c r="J306" s="523"/>
      <c r="K306" s="523"/>
      <c r="L306" s="523"/>
      <c r="M306" s="523"/>
      <c r="N306" s="523"/>
      <c r="O306" s="523"/>
      <c r="P306" s="523"/>
      <c r="Q306" s="523"/>
      <c r="R306" s="523"/>
      <c r="S306" s="523"/>
      <c r="T306" s="523"/>
      <c r="U306" s="523"/>
      <c r="V306" s="523"/>
      <c r="W306" s="523"/>
      <c r="X306" s="523"/>
      <c r="Y306" s="523"/>
      <c r="Z306" s="523"/>
    </row>
    <row r="307">
      <c r="A307" s="523"/>
      <c r="B307" s="524"/>
      <c r="C307" s="523"/>
      <c r="D307" s="523"/>
      <c r="E307" s="524"/>
      <c r="F307" s="524"/>
      <c r="G307" s="524"/>
      <c r="H307" s="524"/>
      <c r="I307" s="523"/>
      <c r="J307" s="523"/>
      <c r="K307" s="523"/>
      <c r="L307" s="523"/>
      <c r="M307" s="523"/>
      <c r="N307" s="523"/>
      <c r="O307" s="523"/>
      <c r="P307" s="523"/>
      <c r="Q307" s="523"/>
      <c r="R307" s="523"/>
      <c r="S307" s="523"/>
      <c r="T307" s="523"/>
      <c r="U307" s="523"/>
      <c r="V307" s="523"/>
      <c r="W307" s="523"/>
      <c r="X307" s="523"/>
      <c r="Y307" s="523"/>
      <c r="Z307" s="523"/>
    </row>
    <row r="308">
      <c r="A308" s="523"/>
      <c r="B308" s="524"/>
      <c r="C308" s="523"/>
      <c r="D308" s="523"/>
      <c r="E308" s="524"/>
      <c r="F308" s="524"/>
      <c r="G308" s="524"/>
      <c r="H308" s="524"/>
      <c r="I308" s="523"/>
      <c r="J308" s="523"/>
      <c r="K308" s="523"/>
      <c r="L308" s="523"/>
      <c r="M308" s="523"/>
      <c r="N308" s="523"/>
      <c r="O308" s="523"/>
      <c r="P308" s="523"/>
      <c r="Q308" s="523"/>
      <c r="R308" s="523"/>
      <c r="S308" s="523"/>
      <c r="T308" s="523"/>
      <c r="U308" s="523"/>
      <c r="V308" s="523"/>
      <c r="W308" s="523"/>
      <c r="X308" s="523"/>
      <c r="Y308" s="523"/>
      <c r="Z308" s="523"/>
    </row>
    <row r="309">
      <c r="A309" s="523"/>
      <c r="B309" s="524"/>
      <c r="C309" s="523"/>
      <c r="D309" s="523"/>
      <c r="E309" s="524"/>
      <c r="F309" s="524"/>
      <c r="G309" s="524"/>
      <c r="H309" s="524"/>
      <c r="I309" s="523"/>
      <c r="J309" s="523"/>
      <c r="K309" s="523"/>
      <c r="L309" s="523"/>
      <c r="M309" s="523"/>
      <c r="N309" s="523"/>
      <c r="O309" s="523"/>
      <c r="P309" s="523"/>
      <c r="Q309" s="523"/>
      <c r="R309" s="523"/>
      <c r="S309" s="523"/>
      <c r="T309" s="523"/>
      <c r="U309" s="523"/>
      <c r="V309" s="523"/>
      <c r="W309" s="523"/>
      <c r="X309" s="523"/>
      <c r="Y309" s="523"/>
      <c r="Z309" s="523"/>
    </row>
    <row r="310">
      <c r="A310" s="523"/>
      <c r="B310" s="524"/>
      <c r="C310" s="523"/>
      <c r="D310" s="523"/>
      <c r="E310" s="524"/>
      <c r="F310" s="524"/>
      <c r="G310" s="524"/>
      <c r="H310" s="524"/>
      <c r="I310" s="523"/>
      <c r="J310" s="523"/>
      <c r="K310" s="523"/>
      <c r="L310" s="523"/>
      <c r="M310" s="523"/>
      <c r="N310" s="523"/>
      <c r="O310" s="523"/>
      <c r="P310" s="523"/>
      <c r="Q310" s="523"/>
      <c r="R310" s="523"/>
      <c r="S310" s="523"/>
      <c r="T310" s="523"/>
      <c r="U310" s="523"/>
      <c r="V310" s="523"/>
      <c r="W310" s="523"/>
      <c r="X310" s="523"/>
      <c r="Y310" s="523"/>
      <c r="Z310" s="523"/>
    </row>
    <row r="311">
      <c r="A311" s="523"/>
      <c r="B311" s="524"/>
      <c r="C311" s="523"/>
      <c r="D311" s="523"/>
      <c r="E311" s="524"/>
      <c r="F311" s="524"/>
      <c r="G311" s="524"/>
      <c r="H311" s="524"/>
      <c r="I311" s="523"/>
      <c r="J311" s="523"/>
      <c r="K311" s="523"/>
      <c r="L311" s="523"/>
      <c r="M311" s="523"/>
      <c r="N311" s="523"/>
      <c r="O311" s="523"/>
      <c r="P311" s="523"/>
      <c r="Q311" s="523"/>
      <c r="R311" s="523"/>
      <c r="S311" s="523"/>
      <c r="T311" s="523"/>
      <c r="U311" s="523"/>
      <c r="V311" s="523"/>
      <c r="W311" s="523"/>
      <c r="X311" s="523"/>
      <c r="Y311" s="523"/>
      <c r="Z311" s="523"/>
    </row>
    <row r="312">
      <c r="A312" s="523"/>
      <c r="B312" s="524"/>
      <c r="C312" s="523"/>
      <c r="D312" s="523"/>
      <c r="E312" s="524"/>
      <c r="F312" s="524"/>
      <c r="G312" s="524"/>
      <c r="H312" s="524"/>
      <c r="I312" s="523"/>
      <c r="J312" s="523"/>
      <c r="K312" s="523"/>
      <c r="L312" s="523"/>
      <c r="M312" s="523"/>
      <c r="N312" s="523"/>
      <c r="O312" s="523"/>
      <c r="P312" s="523"/>
      <c r="Q312" s="523"/>
      <c r="R312" s="523"/>
      <c r="S312" s="523"/>
      <c r="T312" s="523"/>
      <c r="U312" s="523"/>
      <c r="V312" s="523"/>
      <c r="W312" s="523"/>
      <c r="X312" s="523"/>
      <c r="Y312" s="523"/>
      <c r="Z312" s="523"/>
    </row>
    <row r="313">
      <c r="A313" s="523"/>
      <c r="B313" s="524"/>
      <c r="C313" s="523"/>
      <c r="D313" s="523"/>
      <c r="E313" s="524"/>
      <c r="F313" s="524"/>
      <c r="G313" s="524"/>
      <c r="H313" s="524"/>
      <c r="I313" s="523"/>
      <c r="J313" s="523"/>
      <c r="K313" s="523"/>
      <c r="L313" s="523"/>
      <c r="M313" s="523"/>
      <c r="N313" s="523"/>
      <c r="O313" s="523"/>
      <c r="P313" s="523"/>
      <c r="Q313" s="523"/>
      <c r="R313" s="523"/>
      <c r="S313" s="523"/>
      <c r="T313" s="523"/>
      <c r="U313" s="523"/>
      <c r="V313" s="523"/>
      <c r="W313" s="523"/>
      <c r="X313" s="523"/>
      <c r="Y313" s="523"/>
      <c r="Z313" s="523"/>
    </row>
    <row r="314">
      <c r="A314" s="523"/>
      <c r="B314" s="524"/>
      <c r="C314" s="523"/>
      <c r="D314" s="523"/>
      <c r="E314" s="524"/>
      <c r="F314" s="524"/>
      <c r="G314" s="524"/>
      <c r="H314" s="524"/>
      <c r="I314" s="523"/>
      <c r="J314" s="523"/>
      <c r="K314" s="523"/>
      <c r="L314" s="523"/>
      <c r="M314" s="523"/>
      <c r="N314" s="523"/>
      <c r="O314" s="523"/>
      <c r="P314" s="523"/>
      <c r="Q314" s="523"/>
      <c r="R314" s="523"/>
      <c r="S314" s="523"/>
      <c r="T314" s="523"/>
      <c r="U314" s="523"/>
      <c r="V314" s="523"/>
      <c r="W314" s="523"/>
      <c r="X314" s="523"/>
      <c r="Y314" s="523"/>
      <c r="Z314" s="523"/>
    </row>
    <row r="315">
      <c r="A315" s="523"/>
      <c r="B315" s="524"/>
      <c r="C315" s="523"/>
      <c r="D315" s="523"/>
      <c r="E315" s="524"/>
      <c r="F315" s="524"/>
      <c r="G315" s="524"/>
      <c r="H315" s="524"/>
      <c r="I315" s="523"/>
      <c r="J315" s="523"/>
      <c r="K315" s="523"/>
      <c r="L315" s="523"/>
      <c r="M315" s="523"/>
      <c r="N315" s="523"/>
      <c r="O315" s="523"/>
      <c r="P315" s="523"/>
      <c r="Q315" s="523"/>
      <c r="R315" s="523"/>
      <c r="S315" s="523"/>
      <c r="T315" s="523"/>
      <c r="U315" s="523"/>
      <c r="V315" s="523"/>
      <c r="W315" s="523"/>
      <c r="X315" s="523"/>
      <c r="Y315" s="523"/>
      <c r="Z315" s="523"/>
    </row>
    <row r="316">
      <c r="A316" s="523"/>
      <c r="B316" s="524"/>
      <c r="C316" s="523"/>
      <c r="D316" s="523"/>
      <c r="E316" s="524"/>
      <c r="F316" s="524"/>
      <c r="G316" s="524"/>
      <c r="H316" s="524"/>
      <c r="I316" s="523"/>
      <c r="J316" s="523"/>
      <c r="K316" s="523"/>
      <c r="L316" s="523"/>
      <c r="M316" s="523"/>
      <c r="N316" s="523"/>
      <c r="O316" s="523"/>
      <c r="P316" s="523"/>
      <c r="Q316" s="523"/>
      <c r="R316" s="523"/>
      <c r="S316" s="523"/>
      <c r="T316" s="523"/>
      <c r="U316" s="523"/>
      <c r="V316" s="523"/>
      <c r="W316" s="523"/>
      <c r="X316" s="523"/>
      <c r="Y316" s="523"/>
      <c r="Z316" s="523"/>
    </row>
    <row r="317">
      <c r="A317" s="523"/>
      <c r="B317" s="524"/>
      <c r="C317" s="523"/>
      <c r="D317" s="523"/>
      <c r="E317" s="524"/>
      <c r="F317" s="524"/>
      <c r="G317" s="524"/>
      <c r="H317" s="524"/>
      <c r="I317" s="523"/>
      <c r="J317" s="523"/>
      <c r="K317" s="523"/>
      <c r="L317" s="523"/>
      <c r="M317" s="523"/>
      <c r="N317" s="523"/>
      <c r="O317" s="523"/>
      <c r="P317" s="523"/>
      <c r="Q317" s="523"/>
      <c r="R317" s="523"/>
      <c r="S317" s="523"/>
      <c r="T317" s="523"/>
      <c r="U317" s="523"/>
      <c r="V317" s="523"/>
      <c r="W317" s="523"/>
      <c r="X317" s="523"/>
      <c r="Y317" s="523"/>
      <c r="Z317" s="523"/>
    </row>
    <row r="318">
      <c r="A318" s="523"/>
      <c r="B318" s="524"/>
      <c r="C318" s="523"/>
      <c r="D318" s="523"/>
      <c r="E318" s="524"/>
      <c r="F318" s="524"/>
      <c r="G318" s="524"/>
      <c r="H318" s="524"/>
      <c r="I318" s="523"/>
      <c r="J318" s="523"/>
      <c r="K318" s="523"/>
      <c r="L318" s="523"/>
      <c r="M318" s="523"/>
      <c r="N318" s="523"/>
      <c r="O318" s="523"/>
      <c r="P318" s="523"/>
      <c r="Q318" s="523"/>
      <c r="R318" s="523"/>
      <c r="S318" s="523"/>
      <c r="T318" s="523"/>
      <c r="U318" s="523"/>
      <c r="V318" s="523"/>
      <c r="W318" s="523"/>
      <c r="X318" s="523"/>
      <c r="Y318" s="523"/>
      <c r="Z318" s="523"/>
    </row>
    <row r="319">
      <c r="A319" s="523"/>
      <c r="B319" s="524"/>
      <c r="C319" s="523"/>
      <c r="D319" s="523"/>
      <c r="E319" s="524"/>
      <c r="F319" s="524"/>
      <c r="G319" s="524"/>
      <c r="H319" s="524"/>
      <c r="I319" s="523"/>
      <c r="J319" s="523"/>
      <c r="K319" s="523"/>
      <c r="L319" s="523"/>
      <c r="M319" s="523"/>
      <c r="N319" s="523"/>
      <c r="O319" s="523"/>
      <c r="P319" s="523"/>
      <c r="Q319" s="523"/>
      <c r="R319" s="523"/>
      <c r="S319" s="523"/>
      <c r="T319" s="523"/>
      <c r="U319" s="523"/>
      <c r="V319" s="523"/>
      <c r="W319" s="523"/>
      <c r="X319" s="523"/>
      <c r="Y319" s="523"/>
      <c r="Z319" s="523"/>
    </row>
    <row r="320">
      <c r="A320" s="523"/>
      <c r="B320" s="524"/>
      <c r="C320" s="523"/>
      <c r="D320" s="523"/>
      <c r="E320" s="524"/>
      <c r="F320" s="524"/>
      <c r="G320" s="524"/>
      <c r="H320" s="524"/>
      <c r="I320" s="523"/>
      <c r="J320" s="523"/>
      <c r="K320" s="523"/>
      <c r="L320" s="523"/>
      <c r="M320" s="523"/>
      <c r="N320" s="523"/>
      <c r="O320" s="523"/>
      <c r="P320" s="523"/>
      <c r="Q320" s="523"/>
      <c r="R320" s="523"/>
      <c r="S320" s="523"/>
      <c r="T320" s="523"/>
      <c r="U320" s="523"/>
      <c r="V320" s="523"/>
      <c r="W320" s="523"/>
      <c r="X320" s="523"/>
      <c r="Y320" s="523"/>
      <c r="Z320" s="523"/>
    </row>
    <row r="321">
      <c r="A321" s="523"/>
      <c r="B321" s="524"/>
      <c r="C321" s="523"/>
      <c r="D321" s="523"/>
      <c r="E321" s="524"/>
      <c r="F321" s="524"/>
      <c r="G321" s="524"/>
      <c r="H321" s="524"/>
      <c r="I321" s="523"/>
      <c r="J321" s="523"/>
      <c r="K321" s="523"/>
      <c r="L321" s="523"/>
      <c r="M321" s="523"/>
      <c r="N321" s="523"/>
      <c r="O321" s="523"/>
      <c r="P321" s="523"/>
      <c r="Q321" s="523"/>
      <c r="R321" s="523"/>
      <c r="S321" s="523"/>
      <c r="T321" s="523"/>
      <c r="U321" s="523"/>
      <c r="V321" s="523"/>
      <c r="W321" s="523"/>
      <c r="X321" s="523"/>
      <c r="Y321" s="523"/>
      <c r="Z321" s="523"/>
    </row>
    <row r="322">
      <c r="A322" s="523"/>
      <c r="B322" s="524"/>
      <c r="C322" s="523"/>
      <c r="D322" s="523"/>
      <c r="E322" s="524"/>
      <c r="F322" s="524"/>
      <c r="G322" s="524"/>
      <c r="H322" s="524"/>
      <c r="I322" s="523"/>
      <c r="J322" s="523"/>
      <c r="K322" s="523"/>
      <c r="L322" s="523"/>
      <c r="M322" s="523"/>
      <c r="N322" s="523"/>
      <c r="O322" s="523"/>
      <c r="P322" s="523"/>
      <c r="Q322" s="523"/>
      <c r="R322" s="523"/>
      <c r="S322" s="523"/>
      <c r="T322" s="523"/>
      <c r="U322" s="523"/>
      <c r="V322" s="523"/>
      <c r="W322" s="523"/>
      <c r="X322" s="523"/>
      <c r="Y322" s="523"/>
      <c r="Z322" s="523"/>
    </row>
    <row r="323">
      <c r="A323" s="523"/>
      <c r="B323" s="524"/>
      <c r="C323" s="523"/>
      <c r="D323" s="523"/>
      <c r="E323" s="524"/>
      <c r="F323" s="524"/>
      <c r="G323" s="524"/>
      <c r="H323" s="524"/>
      <c r="I323" s="523"/>
      <c r="J323" s="523"/>
      <c r="K323" s="523"/>
      <c r="L323" s="523"/>
      <c r="M323" s="523"/>
      <c r="N323" s="523"/>
      <c r="O323" s="523"/>
      <c r="P323" s="523"/>
      <c r="Q323" s="523"/>
      <c r="R323" s="523"/>
      <c r="S323" s="523"/>
      <c r="T323" s="523"/>
      <c r="U323" s="523"/>
      <c r="V323" s="523"/>
      <c r="W323" s="523"/>
      <c r="X323" s="523"/>
      <c r="Y323" s="523"/>
      <c r="Z323" s="523"/>
    </row>
    <row r="324">
      <c r="A324" s="523"/>
      <c r="B324" s="524"/>
      <c r="C324" s="523"/>
      <c r="D324" s="523"/>
      <c r="E324" s="524"/>
      <c r="F324" s="524"/>
      <c r="G324" s="524"/>
      <c r="H324" s="524"/>
      <c r="I324" s="523"/>
      <c r="J324" s="523"/>
      <c r="K324" s="523"/>
      <c r="L324" s="523"/>
      <c r="M324" s="523"/>
      <c r="N324" s="523"/>
      <c r="O324" s="523"/>
      <c r="P324" s="523"/>
      <c r="Q324" s="523"/>
      <c r="R324" s="523"/>
      <c r="S324" s="523"/>
      <c r="T324" s="523"/>
      <c r="U324" s="523"/>
      <c r="V324" s="523"/>
      <c r="W324" s="523"/>
      <c r="X324" s="523"/>
      <c r="Y324" s="523"/>
      <c r="Z324" s="523"/>
    </row>
    <row r="325">
      <c r="A325" s="523"/>
      <c r="B325" s="524"/>
      <c r="C325" s="523"/>
      <c r="D325" s="523"/>
      <c r="E325" s="524"/>
      <c r="F325" s="524"/>
      <c r="G325" s="524"/>
      <c r="H325" s="524"/>
      <c r="I325" s="523"/>
      <c r="J325" s="523"/>
      <c r="K325" s="523"/>
      <c r="L325" s="523"/>
      <c r="M325" s="523"/>
      <c r="N325" s="523"/>
      <c r="O325" s="523"/>
      <c r="P325" s="523"/>
      <c r="Q325" s="523"/>
      <c r="R325" s="523"/>
      <c r="S325" s="523"/>
      <c r="T325" s="523"/>
      <c r="U325" s="523"/>
      <c r="V325" s="523"/>
      <c r="W325" s="523"/>
      <c r="X325" s="523"/>
      <c r="Y325" s="523"/>
      <c r="Z325" s="523"/>
    </row>
    <row r="326">
      <c r="A326" s="523"/>
      <c r="B326" s="524"/>
      <c r="C326" s="523"/>
      <c r="D326" s="523"/>
      <c r="E326" s="524"/>
      <c r="F326" s="524"/>
      <c r="G326" s="524"/>
      <c r="H326" s="524"/>
      <c r="I326" s="523"/>
      <c r="J326" s="523"/>
      <c r="K326" s="523"/>
      <c r="L326" s="523"/>
      <c r="M326" s="523"/>
      <c r="N326" s="523"/>
      <c r="O326" s="523"/>
      <c r="P326" s="523"/>
      <c r="Q326" s="523"/>
      <c r="R326" s="523"/>
      <c r="S326" s="523"/>
      <c r="T326" s="523"/>
      <c r="U326" s="523"/>
      <c r="V326" s="523"/>
      <c r="W326" s="523"/>
      <c r="X326" s="523"/>
      <c r="Y326" s="523"/>
      <c r="Z326" s="523"/>
    </row>
    <row r="327">
      <c r="A327" s="523"/>
      <c r="B327" s="524"/>
      <c r="C327" s="523"/>
      <c r="D327" s="523"/>
      <c r="E327" s="524"/>
      <c r="F327" s="524"/>
      <c r="G327" s="524"/>
      <c r="H327" s="524"/>
      <c r="I327" s="523"/>
      <c r="J327" s="523"/>
      <c r="K327" s="523"/>
      <c r="L327" s="523"/>
      <c r="M327" s="523"/>
      <c r="N327" s="523"/>
      <c r="O327" s="523"/>
      <c r="P327" s="523"/>
      <c r="Q327" s="523"/>
      <c r="R327" s="523"/>
      <c r="S327" s="523"/>
      <c r="T327" s="523"/>
      <c r="U327" s="523"/>
      <c r="V327" s="523"/>
      <c r="W327" s="523"/>
      <c r="X327" s="523"/>
      <c r="Y327" s="523"/>
      <c r="Z327" s="523"/>
    </row>
    <row r="328">
      <c r="A328" s="523"/>
      <c r="B328" s="524"/>
      <c r="C328" s="523"/>
      <c r="D328" s="523"/>
      <c r="E328" s="524"/>
      <c r="F328" s="524"/>
      <c r="G328" s="524"/>
      <c r="H328" s="524"/>
      <c r="I328" s="523"/>
      <c r="J328" s="523"/>
      <c r="K328" s="523"/>
      <c r="L328" s="523"/>
      <c r="M328" s="523"/>
      <c r="N328" s="523"/>
      <c r="O328" s="523"/>
      <c r="P328" s="523"/>
      <c r="Q328" s="523"/>
      <c r="R328" s="523"/>
      <c r="S328" s="523"/>
      <c r="T328" s="523"/>
      <c r="U328" s="523"/>
      <c r="V328" s="523"/>
      <c r="W328" s="523"/>
      <c r="X328" s="523"/>
      <c r="Y328" s="523"/>
      <c r="Z328" s="523"/>
    </row>
    <row r="329">
      <c r="A329" s="523"/>
      <c r="B329" s="524"/>
      <c r="C329" s="523"/>
      <c r="D329" s="523"/>
      <c r="E329" s="524"/>
      <c r="F329" s="524"/>
      <c r="G329" s="524"/>
      <c r="H329" s="524"/>
      <c r="I329" s="523"/>
      <c r="J329" s="523"/>
      <c r="K329" s="523"/>
      <c r="L329" s="523"/>
      <c r="M329" s="523"/>
      <c r="N329" s="523"/>
      <c r="O329" s="523"/>
      <c r="P329" s="523"/>
      <c r="Q329" s="523"/>
      <c r="R329" s="523"/>
      <c r="S329" s="523"/>
      <c r="T329" s="523"/>
      <c r="U329" s="523"/>
      <c r="V329" s="523"/>
      <c r="W329" s="523"/>
      <c r="X329" s="523"/>
      <c r="Y329" s="523"/>
      <c r="Z329" s="523"/>
    </row>
    <row r="330">
      <c r="A330" s="523"/>
      <c r="B330" s="524"/>
      <c r="C330" s="523"/>
      <c r="D330" s="523"/>
      <c r="E330" s="524"/>
      <c r="F330" s="524"/>
      <c r="G330" s="524"/>
      <c r="H330" s="524"/>
      <c r="I330" s="523"/>
      <c r="J330" s="523"/>
      <c r="K330" s="523"/>
      <c r="L330" s="523"/>
      <c r="M330" s="523"/>
      <c r="N330" s="523"/>
      <c r="O330" s="523"/>
      <c r="P330" s="523"/>
      <c r="Q330" s="523"/>
      <c r="R330" s="523"/>
      <c r="S330" s="523"/>
      <c r="T330" s="523"/>
      <c r="U330" s="523"/>
      <c r="V330" s="523"/>
      <c r="W330" s="523"/>
      <c r="X330" s="523"/>
      <c r="Y330" s="523"/>
      <c r="Z330" s="523"/>
    </row>
    <row r="331">
      <c r="A331" s="523"/>
      <c r="B331" s="524"/>
      <c r="C331" s="523"/>
      <c r="D331" s="523"/>
      <c r="E331" s="524"/>
      <c r="F331" s="524"/>
      <c r="G331" s="524"/>
      <c r="H331" s="524"/>
      <c r="I331" s="523"/>
      <c r="J331" s="523"/>
      <c r="K331" s="523"/>
      <c r="L331" s="523"/>
      <c r="M331" s="523"/>
      <c r="N331" s="523"/>
      <c r="O331" s="523"/>
      <c r="P331" s="523"/>
      <c r="Q331" s="523"/>
      <c r="R331" s="523"/>
      <c r="S331" s="523"/>
      <c r="T331" s="523"/>
      <c r="U331" s="523"/>
      <c r="V331" s="523"/>
      <c r="W331" s="523"/>
      <c r="X331" s="523"/>
      <c r="Y331" s="523"/>
      <c r="Z331" s="523"/>
    </row>
    <row r="332">
      <c r="A332" s="523"/>
      <c r="B332" s="524"/>
      <c r="C332" s="523"/>
      <c r="D332" s="523"/>
      <c r="E332" s="524"/>
      <c r="F332" s="524"/>
      <c r="G332" s="524"/>
      <c r="H332" s="524"/>
      <c r="I332" s="523"/>
      <c r="J332" s="523"/>
      <c r="K332" s="523"/>
      <c r="L332" s="523"/>
      <c r="M332" s="523"/>
      <c r="N332" s="523"/>
      <c r="O332" s="523"/>
      <c r="P332" s="523"/>
      <c r="Q332" s="523"/>
      <c r="R332" s="523"/>
      <c r="S332" s="523"/>
      <c r="T332" s="523"/>
      <c r="U332" s="523"/>
      <c r="V332" s="523"/>
      <c r="W332" s="523"/>
      <c r="X332" s="523"/>
      <c r="Y332" s="523"/>
      <c r="Z332" s="523"/>
    </row>
    <row r="333">
      <c r="A333" s="523"/>
      <c r="B333" s="524"/>
      <c r="C333" s="523"/>
      <c r="D333" s="523"/>
      <c r="E333" s="524"/>
      <c r="F333" s="524"/>
      <c r="G333" s="524"/>
      <c r="H333" s="524"/>
      <c r="I333" s="523"/>
      <c r="J333" s="523"/>
      <c r="K333" s="523"/>
      <c r="L333" s="523"/>
      <c r="M333" s="523"/>
      <c r="N333" s="523"/>
      <c r="O333" s="523"/>
      <c r="P333" s="523"/>
      <c r="Q333" s="523"/>
      <c r="R333" s="523"/>
      <c r="S333" s="523"/>
      <c r="T333" s="523"/>
      <c r="U333" s="523"/>
      <c r="V333" s="523"/>
      <c r="W333" s="523"/>
      <c r="X333" s="523"/>
      <c r="Y333" s="523"/>
      <c r="Z333" s="523"/>
    </row>
    <row r="334">
      <c r="A334" s="523"/>
      <c r="B334" s="524"/>
      <c r="C334" s="523"/>
      <c r="D334" s="523"/>
      <c r="E334" s="524"/>
      <c r="F334" s="524"/>
      <c r="G334" s="524"/>
      <c r="H334" s="524"/>
      <c r="I334" s="523"/>
      <c r="J334" s="523"/>
      <c r="K334" s="523"/>
      <c r="L334" s="523"/>
      <c r="M334" s="523"/>
      <c r="N334" s="523"/>
      <c r="O334" s="523"/>
      <c r="P334" s="523"/>
      <c r="Q334" s="523"/>
      <c r="R334" s="523"/>
      <c r="S334" s="523"/>
      <c r="T334" s="523"/>
      <c r="U334" s="523"/>
      <c r="V334" s="523"/>
      <c r="W334" s="523"/>
      <c r="X334" s="523"/>
      <c r="Y334" s="523"/>
      <c r="Z334" s="523"/>
    </row>
    <row r="335">
      <c r="A335" s="523"/>
      <c r="B335" s="524"/>
      <c r="C335" s="523"/>
      <c r="D335" s="523"/>
      <c r="E335" s="524"/>
      <c r="F335" s="524"/>
      <c r="G335" s="524"/>
      <c r="H335" s="524"/>
      <c r="I335" s="523"/>
      <c r="J335" s="523"/>
      <c r="K335" s="523"/>
      <c r="L335" s="523"/>
      <c r="M335" s="523"/>
      <c r="N335" s="523"/>
      <c r="O335" s="523"/>
      <c r="P335" s="523"/>
      <c r="Q335" s="523"/>
      <c r="R335" s="523"/>
      <c r="S335" s="523"/>
      <c r="T335" s="523"/>
      <c r="U335" s="523"/>
      <c r="V335" s="523"/>
      <c r="W335" s="523"/>
      <c r="X335" s="523"/>
      <c r="Y335" s="523"/>
      <c r="Z335" s="523"/>
    </row>
    <row r="336">
      <c r="A336" s="523"/>
      <c r="B336" s="524"/>
      <c r="C336" s="523"/>
      <c r="D336" s="523"/>
      <c r="E336" s="524"/>
      <c r="F336" s="524"/>
      <c r="G336" s="524"/>
      <c r="H336" s="524"/>
      <c r="I336" s="523"/>
      <c r="J336" s="523"/>
      <c r="K336" s="523"/>
      <c r="L336" s="523"/>
      <c r="M336" s="523"/>
      <c r="N336" s="523"/>
      <c r="O336" s="523"/>
      <c r="P336" s="523"/>
      <c r="Q336" s="523"/>
      <c r="R336" s="523"/>
      <c r="S336" s="523"/>
      <c r="T336" s="523"/>
      <c r="U336" s="523"/>
      <c r="V336" s="523"/>
      <c r="W336" s="523"/>
      <c r="X336" s="523"/>
      <c r="Y336" s="523"/>
      <c r="Z336" s="523"/>
    </row>
    <row r="337">
      <c r="A337" s="523"/>
      <c r="B337" s="524"/>
      <c r="C337" s="523"/>
      <c r="D337" s="523"/>
      <c r="E337" s="524"/>
      <c r="F337" s="524"/>
      <c r="G337" s="524"/>
      <c r="H337" s="524"/>
      <c r="I337" s="523"/>
      <c r="J337" s="523"/>
      <c r="K337" s="523"/>
      <c r="L337" s="523"/>
      <c r="M337" s="523"/>
      <c r="N337" s="523"/>
      <c r="O337" s="523"/>
      <c r="P337" s="523"/>
      <c r="Q337" s="523"/>
      <c r="R337" s="523"/>
      <c r="S337" s="523"/>
      <c r="T337" s="523"/>
      <c r="U337" s="523"/>
      <c r="V337" s="523"/>
      <c r="W337" s="523"/>
      <c r="X337" s="523"/>
      <c r="Y337" s="523"/>
      <c r="Z337" s="523"/>
    </row>
    <row r="338">
      <c r="A338" s="523"/>
      <c r="B338" s="524"/>
      <c r="C338" s="523"/>
      <c r="D338" s="523"/>
      <c r="E338" s="524"/>
      <c r="F338" s="524"/>
      <c r="G338" s="524"/>
      <c r="H338" s="524"/>
      <c r="I338" s="523"/>
      <c r="J338" s="523"/>
      <c r="K338" s="523"/>
      <c r="L338" s="523"/>
      <c r="M338" s="523"/>
      <c r="N338" s="523"/>
      <c r="O338" s="523"/>
      <c r="P338" s="523"/>
      <c r="Q338" s="523"/>
      <c r="R338" s="523"/>
      <c r="S338" s="523"/>
      <c r="T338" s="523"/>
      <c r="U338" s="523"/>
      <c r="V338" s="523"/>
      <c r="W338" s="523"/>
      <c r="X338" s="523"/>
      <c r="Y338" s="523"/>
      <c r="Z338" s="523"/>
    </row>
    <row r="339">
      <c r="A339" s="523"/>
      <c r="B339" s="524"/>
      <c r="C339" s="523"/>
      <c r="D339" s="523"/>
      <c r="E339" s="524"/>
      <c r="F339" s="524"/>
      <c r="G339" s="524"/>
      <c r="H339" s="524"/>
      <c r="I339" s="523"/>
      <c r="J339" s="523"/>
      <c r="K339" s="523"/>
      <c r="L339" s="523"/>
      <c r="M339" s="523"/>
      <c r="N339" s="523"/>
      <c r="O339" s="523"/>
      <c r="P339" s="523"/>
      <c r="Q339" s="523"/>
      <c r="R339" s="523"/>
      <c r="S339" s="523"/>
      <c r="T339" s="523"/>
      <c r="U339" s="523"/>
      <c r="V339" s="523"/>
      <c r="W339" s="523"/>
      <c r="X339" s="523"/>
      <c r="Y339" s="523"/>
      <c r="Z339" s="523"/>
    </row>
    <row r="340">
      <c r="A340" s="523"/>
      <c r="B340" s="524"/>
      <c r="C340" s="523"/>
      <c r="D340" s="523"/>
      <c r="E340" s="524"/>
      <c r="F340" s="524"/>
      <c r="G340" s="524"/>
      <c r="H340" s="524"/>
      <c r="I340" s="523"/>
      <c r="J340" s="523"/>
      <c r="K340" s="523"/>
      <c r="L340" s="523"/>
      <c r="M340" s="523"/>
      <c r="N340" s="523"/>
      <c r="O340" s="523"/>
      <c r="P340" s="523"/>
      <c r="Q340" s="523"/>
      <c r="R340" s="523"/>
      <c r="S340" s="523"/>
      <c r="T340" s="523"/>
      <c r="U340" s="523"/>
      <c r="V340" s="523"/>
      <c r="W340" s="523"/>
      <c r="X340" s="523"/>
      <c r="Y340" s="523"/>
      <c r="Z340" s="523"/>
    </row>
    <row r="341">
      <c r="A341" s="523"/>
      <c r="B341" s="524"/>
      <c r="C341" s="523"/>
      <c r="D341" s="523"/>
      <c r="E341" s="524"/>
      <c r="F341" s="524"/>
      <c r="G341" s="524"/>
      <c r="H341" s="524"/>
      <c r="I341" s="523"/>
      <c r="J341" s="523"/>
      <c r="K341" s="523"/>
      <c r="L341" s="523"/>
      <c r="M341" s="523"/>
      <c r="N341" s="523"/>
      <c r="O341" s="523"/>
      <c r="P341" s="523"/>
      <c r="Q341" s="523"/>
      <c r="R341" s="523"/>
      <c r="S341" s="523"/>
      <c r="T341" s="523"/>
      <c r="U341" s="523"/>
      <c r="V341" s="523"/>
      <c r="W341" s="523"/>
      <c r="X341" s="523"/>
      <c r="Y341" s="523"/>
      <c r="Z341" s="523"/>
    </row>
    <row r="342">
      <c r="A342" s="523"/>
      <c r="B342" s="524"/>
      <c r="C342" s="523"/>
      <c r="D342" s="523"/>
      <c r="E342" s="524"/>
      <c r="F342" s="524"/>
      <c r="G342" s="524"/>
      <c r="H342" s="524"/>
      <c r="I342" s="523"/>
      <c r="J342" s="523"/>
      <c r="K342" s="523"/>
      <c r="L342" s="523"/>
      <c r="M342" s="523"/>
      <c r="N342" s="523"/>
      <c r="O342" s="523"/>
      <c r="P342" s="523"/>
      <c r="Q342" s="523"/>
      <c r="R342" s="523"/>
      <c r="S342" s="523"/>
      <c r="T342" s="523"/>
      <c r="U342" s="523"/>
      <c r="V342" s="523"/>
      <c r="W342" s="523"/>
      <c r="X342" s="523"/>
      <c r="Y342" s="523"/>
      <c r="Z342" s="523"/>
    </row>
    <row r="343">
      <c r="A343" s="523"/>
      <c r="B343" s="524"/>
      <c r="C343" s="523"/>
      <c r="D343" s="523"/>
      <c r="E343" s="524"/>
      <c r="F343" s="524"/>
      <c r="G343" s="524"/>
      <c r="H343" s="524"/>
      <c r="I343" s="523"/>
      <c r="J343" s="523"/>
      <c r="K343" s="523"/>
      <c r="L343" s="523"/>
      <c r="M343" s="523"/>
      <c r="N343" s="523"/>
      <c r="O343" s="523"/>
      <c r="P343" s="523"/>
      <c r="Q343" s="523"/>
      <c r="R343" s="523"/>
      <c r="S343" s="523"/>
      <c r="T343" s="523"/>
      <c r="U343" s="523"/>
      <c r="V343" s="523"/>
      <c r="W343" s="523"/>
      <c r="X343" s="523"/>
      <c r="Y343" s="523"/>
      <c r="Z343" s="523"/>
    </row>
    <row r="344">
      <c r="A344" s="523"/>
      <c r="B344" s="524"/>
      <c r="C344" s="523"/>
      <c r="D344" s="523"/>
      <c r="E344" s="524"/>
      <c r="F344" s="524"/>
      <c r="G344" s="524"/>
      <c r="H344" s="524"/>
      <c r="I344" s="523"/>
      <c r="J344" s="523"/>
      <c r="K344" s="523"/>
      <c r="L344" s="523"/>
      <c r="M344" s="523"/>
      <c r="N344" s="523"/>
      <c r="O344" s="523"/>
      <c r="P344" s="523"/>
      <c r="Q344" s="523"/>
      <c r="R344" s="523"/>
      <c r="S344" s="523"/>
      <c r="T344" s="523"/>
      <c r="U344" s="523"/>
      <c r="V344" s="523"/>
      <c r="W344" s="523"/>
      <c r="X344" s="523"/>
      <c r="Y344" s="523"/>
      <c r="Z344" s="523"/>
    </row>
    <row r="345">
      <c r="A345" s="523"/>
      <c r="B345" s="524"/>
      <c r="C345" s="523"/>
      <c r="D345" s="523"/>
      <c r="E345" s="524"/>
      <c r="F345" s="524"/>
      <c r="G345" s="524"/>
      <c r="H345" s="524"/>
      <c r="I345" s="523"/>
      <c r="J345" s="523"/>
      <c r="K345" s="523"/>
      <c r="L345" s="523"/>
      <c r="M345" s="523"/>
      <c r="N345" s="523"/>
      <c r="O345" s="523"/>
      <c r="P345" s="523"/>
      <c r="Q345" s="523"/>
      <c r="R345" s="523"/>
      <c r="S345" s="523"/>
      <c r="T345" s="523"/>
      <c r="U345" s="523"/>
      <c r="V345" s="523"/>
      <c r="W345" s="523"/>
      <c r="X345" s="523"/>
      <c r="Y345" s="523"/>
      <c r="Z345" s="523"/>
    </row>
    <row r="346">
      <c r="A346" s="523"/>
      <c r="B346" s="524"/>
      <c r="C346" s="523"/>
      <c r="D346" s="523"/>
      <c r="E346" s="524"/>
      <c r="F346" s="524"/>
      <c r="G346" s="524"/>
      <c r="H346" s="524"/>
      <c r="I346" s="523"/>
      <c r="J346" s="523"/>
      <c r="K346" s="523"/>
      <c r="L346" s="523"/>
      <c r="M346" s="523"/>
      <c r="N346" s="523"/>
      <c r="O346" s="523"/>
      <c r="P346" s="523"/>
      <c r="Q346" s="523"/>
      <c r="R346" s="523"/>
      <c r="S346" s="523"/>
      <c r="T346" s="523"/>
      <c r="U346" s="523"/>
      <c r="V346" s="523"/>
      <c r="W346" s="523"/>
      <c r="X346" s="523"/>
      <c r="Y346" s="523"/>
      <c r="Z346" s="523"/>
    </row>
    <row r="347">
      <c r="A347" s="523"/>
      <c r="B347" s="524"/>
      <c r="C347" s="523"/>
      <c r="D347" s="523"/>
      <c r="E347" s="524"/>
      <c r="F347" s="524"/>
      <c r="G347" s="524"/>
      <c r="H347" s="524"/>
      <c r="I347" s="523"/>
      <c r="J347" s="523"/>
      <c r="K347" s="523"/>
      <c r="L347" s="523"/>
      <c r="M347" s="523"/>
      <c r="N347" s="523"/>
      <c r="O347" s="523"/>
      <c r="P347" s="523"/>
      <c r="Q347" s="523"/>
      <c r="R347" s="523"/>
      <c r="S347" s="523"/>
      <c r="T347" s="523"/>
      <c r="U347" s="523"/>
      <c r="V347" s="523"/>
      <c r="W347" s="523"/>
      <c r="X347" s="523"/>
      <c r="Y347" s="523"/>
      <c r="Z347" s="523"/>
    </row>
    <row r="348">
      <c r="A348" s="523"/>
      <c r="B348" s="524"/>
      <c r="C348" s="523"/>
      <c r="D348" s="523"/>
      <c r="E348" s="524"/>
      <c r="F348" s="524"/>
      <c r="G348" s="524"/>
      <c r="H348" s="524"/>
      <c r="I348" s="523"/>
      <c r="J348" s="523"/>
      <c r="K348" s="523"/>
      <c r="L348" s="523"/>
      <c r="M348" s="523"/>
      <c r="N348" s="523"/>
      <c r="O348" s="523"/>
      <c r="P348" s="523"/>
      <c r="Q348" s="523"/>
      <c r="R348" s="523"/>
      <c r="S348" s="523"/>
      <c r="T348" s="523"/>
      <c r="U348" s="523"/>
      <c r="V348" s="523"/>
      <c r="W348" s="523"/>
      <c r="X348" s="523"/>
      <c r="Y348" s="523"/>
      <c r="Z348" s="523"/>
    </row>
    <row r="349">
      <c r="A349" s="523"/>
      <c r="B349" s="524"/>
      <c r="C349" s="523"/>
      <c r="D349" s="523"/>
      <c r="E349" s="524"/>
      <c r="F349" s="524"/>
      <c r="G349" s="524"/>
      <c r="H349" s="524"/>
      <c r="I349" s="523"/>
      <c r="J349" s="523"/>
      <c r="K349" s="523"/>
      <c r="L349" s="523"/>
      <c r="M349" s="523"/>
      <c r="N349" s="523"/>
      <c r="O349" s="523"/>
      <c r="P349" s="523"/>
      <c r="Q349" s="523"/>
      <c r="R349" s="523"/>
      <c r="S349" s="523"/>
      <c r="T349" s="523"/>
      <c r="U349" s="523"/>
      <c r="V349" s="523"/>
      <c r="W349" s="523"/>
      <c r="X349" s="523"/>
      <c r="Y349" s="523"/>
      <c r="Z349" s="523"/>
    </row>
    <row r="350">
      <c r="A350" s="523"/>
      <c r="B350" s="524"/>
      <c r="C350" s="523"/>
      <c r="D350" s="523"/>
      <c r="E350" s="524"/>
      <c r="F350" s="524"/>
      <c r="G350" s="524"/>
      <c r="H350" s="524"/>
      <c r="I350" s="523"/>
      <c r="J350" s="523"/>
      <c r="K350" s="523"/>
      <c r="L350" s="523"/>
      <c r="M350" s="523"/>
      <c r="N350" s="523"/>
      <c r="O350" s="523"/>
      <c r="P350" s="523"/>
      <c r="Q350" s="523"/>
      <c r="R350" s="523"/>
      <c r="S350" s="523"/>
      <c r="T350" s="523"/>
      <c r="U350" s="523"/>
      <c r="V350" s="523"/>
      <c r="W350" s="523"/>
      <c r="X350" s="523"/>
      <c r="Y350" s="523"/>
      <c r="Z350" s="523"/>
    </row>
    <row r="351">
      <c r="A351" s="523"/>
      <c r="B351" s="524"/>
      <c r="C351" s="523"/>
      <c r="D351" s="523"/>
      <c r="E351" s="524"/>
      <c r="F351" s="524"/>
      <c r="G351" s="524"/>
      <c r="H351" s="524"/>
      <c r="I351" s="523"/>
      <c r="J351" s="523"/>
      <c r="K351" s="523"/>
      <c r="L351" s="523"/>
      <c r="M351" s="523"/>
      <c r="N351" s="523"/>
      <c r="O351" s="523"/>
      <c r="P351" s="523"/>
      <c r="Q351" s="523"/>
      <c r="R351" s="523"/>
      <c r="S351" s="523"/>
      <c r="T351" s="523"/>
      <c r="U351" s="523"/>
      <c r="V351" s="523"/>
      <c r="W351" s="523"/>
      <c r="X351" s="523"/>
      <c r="Y351" s="523"/>
      <c r="Z351" s="523"/>
    </row>
    <row r="352">
      <c r="A352" s="523"/>
      <c r="B352" s="524"/>
      <c r="C352" s="523"/>
      <c r="D352" s="523"/>
      <c r="E352" s="524"/>
      <c r="F352" s="524"/>
      <c r="G352" s="524"/>
      <c r="H352" s="524"/>
      <c r="I352" s="523"/>
      <c r="J352" s="523"/>
      <c r="K352" s="523"/>
      <c r="L352" s="523"/>
      <c r="M352" s="523"/>
      <c r="N352" s="523"/>
      <c r="O352" s="523"/>
      <c r="P352" s="523"/>
      <c r="Q352" s="523"/>
      <c r="R352" s="523"/>
      <c r="S352" s="523"/>
      <c r="T352" s="523"/>
      <c r="U352" s="523"/>
      <c r="V352" s="523"/>
      <c r="W352" s="523"/>
      <c r="X352" s="523"/>
      <c r="Y352" s="523"/>
      <c r="Z352" s="523"/>
    </row>
    <row r="353">
      <c r="A353" s="523"/>
      <c r="B353" s="524"/>
      <c r="C353" s="523"/>
      <c r="D353" s="523"/>
      <c r="E353" s="524"/>
      <c r="F353" s="524"/>
      <c r="G353" s="524"/>
      <c r="H353" s="524"/>
      <c r="I353" s="523"/>
      <c r="J353" s="523"/>
      <c r="K353" s="523"/>
      <c r="L353" s="523"/>
      <c r="M353" s="523"/>
      <c r="N353" s="523"/>
      <c r="O353" s="523"/>
      <c r="P353" s="523"/>
      <c r="Q353" s="523"/>
      <c r="R353" s="523"/>
      <c r="S353" s="523"/>
      <c r="T353" s="523"/>
      <c r="U353" s="523"/>
      <c r="V353" s="523"/>
      <c r="W353" s="523"/>
      <c r="X353" s="523"/>
      <c r="Y353" s="523"/>
      <c r="Z353" s="523"/>
    </row>
    <row r="354">
      <c r="A354" s="523"/>
      <c r="B354" s="524"/>
      <c r="C354" s="523"/>
      <c r="D354" s="523"/>
      <c r="E354" s="524"/>
      <c r="F354" s="524"/>
      <c r="G354" s="524"/>
      <c r="H354" s="524"/>
      <c r="I354" s="523"/>
      <c r="J354" s="523"/>
      <c r="K354" s="523"/>
      <c r="L354" s="523"/>
      <c r="M354" s="523"/>
      <c r="N354" s="523"/>
      <c r="O354" s="523"/>
      <c r="P354" s="523"/>
      <c r="Q354" s="523"/>
      <c r="R354" s="523"/>
      <c r="S354" s="523"/>
      <c r="T354" s="523"/>
      <c r="U354" s="523"/>
      <c r="V354" s="523"/>
      <c r="W354" s="523"/>
      <c r="X354" s="523"/>
      <c r="Y354" s="523"/>
      <c r="Z354" s="523"/>
    </row>
    <row r="355">
      <c r="A355" s="523"/>
      <c r="B355" s="524"/>
      <c r="C355" s="523"/>
      <c r="D355" s="523"/>
      <c r="E355" s="524"/>
      <c r="F355" s="524"/>
      <c r="G355" s="524"/>
      <c r="H355" s="524"/>
      <c r="I355" s="523"/>
      <c r="J355" s="523"/>
      <c r="K355" s="523"/>
      <c r="L355" s="523"/>
      <c r="M355" s="523"/>
      <c r="N355" s="523"/>
      <c r="O355" s="523"/>
      <c r="P355" s="523"/>
      <c r="Q355" s="523"/>
      <c r="R355" s="523"/>
      <c r="S355" s="523"/>
      <c r="T355" s="523"/>
      <c r="U355" s="523"/>
      <c r="V355" s="523"/>
      <c r="W355" s="523"/>
      <c r="X355" s="523"/>
      <c r="Y355" s="523"/>
      <c r="Z355" s="523"/>
    </row>
    <row r="356">
      <c r="A356" s="523"/>
      <c r="B356" s="524"/>
      <c r="C356" s="523"/>
      <c r="D356" s="523"/>
      <c r="E356" s="524"/>
      <c r="F356" s="524"/>
      <c r="G356" s="524"/>
      <c r="H356" s="524"/>
      <c r="I356" s="523"/>
      <c r="J356" s="523"/>
      <c r="K356" s="523"/>
      <c r="L356" s="523"/>
      <c r="M356" s="523"/>
      <c r="N356" s="523"/>
      <c r="O356" s="523"/>
      <c r="P356" s="523"/>
      <c r="Q356" s="523"/>
      <c r="R356" s="523"/>
      <c r="S356" s="523"/>
      <c r="T356" s="523"/>
      <c r="U356" s="523"/>
      <c r="V356" s="523"/>
      <c r="W356" s="523"/>
      <c r="X356" s="523"/>
      <c r="Y356" s="523"/>
      <c r="Z356" s="523"/>
    </row>
    <row r="357">
      <c r="A357" s="523"/>
      <c r="B357" s="524"/>
      <c r="C357" s="523"/>
      <c r="D357" s="523"/>
      <c r="E357" s="524"/>
      <c r="F357" s="524"/>
      <c r="G357" s="524"/>
      <c r="H357" s="524"/>
      <c r="I357" s="523"/>
      <c r="J357" s="523"/>
      <c r="K357" s="523"/>
      <c r="L357" s="523"/>
      <c r="M357" s="523"/>
      <c r="N357" s="523"/>
      <c r="O357" s="523"/>
      <c r="P357" s="523"/>
      <c r="Q357" s="523"/>
      <c r="R357" s="523"/>
      <c r="S357" s="523"/>
      <c r="T357" s="523"/>
      <c r="U357" s="523"/>
      <c r="V357" s="523"/>
      <c r="W357" s="523"/>
      <c r="X357" s="523"/>
      <c r="Y357" s="523"/>
      <c r="Z357" s="523"/>
    </row>
    <row r="358">
      <c r="A358" s="523"/>
      <c r="B358" s="524"/>
      <c r="C358" s="523"/>
      <c r="D358" s="523"/>
      <c r="E358" s="524"/>
      <c r="F358" s="524"/>
      <c r="G358" s="524"/>
      <c r="H358" s="524"/>
      <c r="I358" s="523"/>
      <c r="J358" s="523"/>
      <c r="K358" s="523"/>
      <c r="L358" s="523"/>
      <c r="M358" s="523"/>
      <c r="N358" s="523"/>
      <c r="O358" s="523"/>
      <c r="P358" s="523"/>
      <c r="Q358" s="523"/>
      <c r="R358" s="523"/>
      <c r="S358" s="523"/>
      <c r="T358" s="523"/>
      <c r="U358" s="523"/>
      <c r="V358" s="523"/>
      <c r="W358" s="523"/>
      <c r="X358" s="523"/>
      <c r="Y358" s="523"/>
      <c r="Z358" s="523"/>
    </row>
    <row r="359">
      <c r="A359" s="523"/>
      <c r="B359" s="524"/>
      <c r="C359" s="523"/>
      <c r="D359" s="523"/>
      <c r="E359" s="524"/>
      <c r="F359" s="524"/>
      <c r="G359" s="524"/>
      <c r="H359" s="524"/>
      <c r="I359" s="523"/>
      <c r="J359" s="523"/>
      <c r="K359" s="523"/>
      <c r="L359" s="523"/>
      <c r="M359" s="523"/>
      <c r="N359" s="523"/>
      <c r="O359" s="523"/>
      <c r="P359" s="523"/>
      <c r="Q359" s="523"/>
      <c r="R359" s="523"/>
      <c r="S359" s="523"/>
      <c r="T359" s="523"/>
      <c r="U359" s="523"/>
      <c r="V359" s="523"/>
      <c r="W359" s="523"/>
      <c r="X359" s="523"/>
      <c r="Y359" s="523"/>
      <c r="Z359" s="523"/>
    </row>
    <row r="360">
      <c r="A360" s="523"/>
      <c r="B360" s="524"/>
      <c r="C360" s="523"/>
      <c r="D360" s="523"/>
      <c r="E360" s="524"/>
      <c r="F360" s="524"/>
      <c r="G360" s="524"/>
      <c r="H360" s="524"/>
      <c r="I360" s="523"/>
      <c r="J360" s="523"/>
      <c r="K360" s="523"/>
      <c r="L360" s="523"/>
      <c r="M360" s="523"/>
      <c r="N360" s="523"/>
      <c r="O360" s="523"/>
      <c r="P360" s="523"/>
      <c r="Q360" s="523"/>
      <c r="R360" s="523"/>
      <c r="S360" s="523"/>
      <c r="T360" s="523"/>
      <c r="U360" s="523"/>
      <c r="V360" s="523"/>
      <c r="W360" s="523"/>
      <c r="X360" s="523"/>
      <c r="Y360" s="523"/>
      <c r="Z360" s="523"/>
    </row>
    <row r="361">
      <c r="A361" s="523"/>
      <c r="B361" s="524"/>
      <c r="C361" s="523"/>
      <c r="D361" s="523"/>
      <c r="E361" s="524"/>
      <c r="F361" s="524"/>
      <c r="G361" s="524"/>
      <c r="H361" s="524"/>
      <c r="I361" s="523"/>
      <c r="J361" s="523"/>
      <c r="K361" s="523"/>
      <c r="L361" s="523"/>
      <c r="M361" s="523"/>
      <c r="N361" s="523"/>
      <c r="O361" s="523"/>
      <c r="P361" s="523"/>
      <c r="Q361" s="523"/>
      <c r="R361" s="523"/>
      <c r="S361" s="523"/>
      <c r="T361" s="523"/>
      <c r="U361" s="523"/>
      <c r="V361" s="523"/>
      <c r="W361" s="523"/>
      <c r="X361" s="523"/>
      <c r="Y361" s="523"/>
      <c r="Z361" s="523"/>
    </row>
    <row r="362">
      <c r="A362" s="523"/>
      <c r="B362" s="524"/>
      <c r="C362" s="523"/>
      <c r="D362" s="523"/>
      <c r="E362" s="524"/>
      <c r="F362" s="524"/>
      <c r="G362" s="524"/>
      <c r="H362" s="524"/>
      <c r="I362" s="523"/>
      <c r="J362" s="523"/>
      <c r="K362" s="523"/>
      <c r="L362" s="523"/>
      <c r="M362" s="523"/>
      <c r="N362" s="523"/>
      <c r="O362" s="523"/>
      <c r="P362" s="523"/>
      <c r="Q362" s="523"/>
      <c r="R362" s="523"/>
      <c r="S362" s="523"/>
      <c r="T362" s="523"/>
      <c r="U362" s="523"/>
      <c r="V362" s="523"/>
      <c r="W362" s="523"/>
      <c r="X362" s="523"/>
      <c r="Y362" s="523"/>
      <c r="Z362" s="523"/>
    </row>
    <row r="363">
      <c r="A363" s="523"/>
      <c r="B363" s="524"/>
      <c r="C363" s="523"/>
      <c r="D363" s="523"/>
      <c r="E363" s="524"/>
      <c r="F363" s="524"/>
      <c r="G363" s="524"/>
      <c r="H363" s="524"/>
      <c r="I363" s="523"/>
      <c r="J363" s="523"/>
      <c r="K363" s="523"/>
      <c r="L363" s="523"/>
      <c r="M363" s="523"/>
      <c r="N363" s="523"/>
      <c r="O363" s="523"/>
      <c r="P363" s="523"/>
      <c r="Q363" s="523"/>
      <c r="R363" s="523"/>
      <c r="S363" s="523"/>
      <c r="T363" s="523"/>
      <c r="U363" s="523"/>
      <c r="V363" s="523"/>
      <c r="W363" s="523"/>
      <c r="X363" s="523"/>
      <c r="Y363" s="523"/>
      <c r="Z363" s="523"/>
    </row>
    <row r="364">
      <c r="A364" s="523"/>
      <c r="B364" s="524"/>
      <c r="C364" s="523"/>
      <c r="D364" s="523"/>
      <c r="E364" s="524"/>
      <c r="F364" s="524"/>
      <c r="G364" s="524"/>
      <c r="H364" s="524"/>
      <c r="I364" s="523"/>
      <c r="J364" s="523"/>
      <c r="K364" s="523"/>
      <c r="L364" s="523"/>
      <c r="M364" s="523"/>
      <c r="N364" s="523"/>
      <c r="O364" s="523"/>
      <c r="P364" s="523"/>
      <c r="Q364" s="523"/>
      <c r="R364" s="523"/>
      <c r="S364" s="523"/>
      <c r="T364" s="523"/>
      <c r="U364" s="523"/>
      <c r="V364" s="523"/>
      <c r="W364" s="523"/>
      <c r="X364" s="523"/>
      <c r="Y364" s="523"/>
      <c r="Z364" s="523"/>
    </row>
    <row r="365">
      <c r="A365" s="523"/>
      <c r="B365" s="524"/>
      <c r="C365" s="523"/>
      <c r="D365" s="523"/>
      <c r="E365" s="524"/>
      <c r="F365" s="524"/>
      <c r="G365" s="524"/>
      <c r="H365" s="524"/>
      <c r="I365" s="523"/>
      <c r="J365" s="523"/>
      <c r="K365" s="523"/>
      <c r="L365" s="523"/>
      <c r="M365" s="523"/>
      <c r="N365" s="523"/>
      <c r="O365" s="523"/>
      <c r="P365" s="523"/>
      <c r="Q365" s="523"/>
      <c r="R365" s="523"/>
      <c r="S365" s="523"/>
      <c r="T365" s="523"/>
      <c r="U365" s="523"/>
      <c r="V365" s="523"/>
      <c r="W365" s="523"/>
      <c r="X365" s="523"/>
      <c r="Y365" s="523"/>
      <c r="Z365" s="523"/>
    </row>
    <row r="366">
      <c r="A366" s="523"/>
      <c r="B366" s="524"/>
      <c r="C366" s="523"/>
      <c r="D366" s="523"/>
      <c r="E366" s="524"/>
      <c r="F366" s="524"/>
      <c r="G366" s="524"/>
      <c r="H366" s="524"/>
      <c r="I366" s="523"/>
      <c r="J366" s="523"/>
      <c r="K366" s="523"/>
      <c r="L366" s="523"/>
      <c r="M366" s="523"/>
      <c r="N366" s="523"/>
      <c r="O366" s="523"/>
      <c r="P366" s="523"/>
      <c r="Q366" s="523"/>
      <c r="R366" s="523"/>
      <c r="S366" s="523"/>
      <c r="T366" s="523"/>
      <c r="U366" s="523"/>
      <c r="V366" s="523"/>
      <c r="W366" s="523"/>
      <c r="X366" s="523"/>
      <c r="Y366" s="523"/>
      <c r="Z366" s="523"/>
    </row>
    <row r="367">
      <c r="A367" s="523"/>
      <c r="B367" s="524"/>
      <c r="C367" s="523"/>
      <c r="D367" s="523"/>
      <c r="E367" s="524"/>
      <c r="F367" s="524"/>
      <c r="G367" s="524"/>
      <c r="H367" s="524"/>
      <c r="I367" s="523"/>
      <c r="J367" s="523"/>
      <c r="K367" s="523"/>
      <c r="L367" s="523"/>
      <c r="M367" s="523"/>
      <c r="N367" s="523"/>
      <c r="O367" s="523"/>
      <c r="P367" s="523"/>
      <c r="Q367" s="523"/>
      <c r="R367" s="523"/>
      <c r="S367" s="523"/>
      <c r="T367" s="523"/>
      <c r="U367" s="523"/>
      <c r="V367" s="523"/>
      <c r="W367" s="523"/>
      <c r="X367" s="523"/>
      <c r="Y367" s="523"/>
      <c r="Z367" s="523"/>
    </row>
    <row r="368">
      <c r="A368" s="523"/>
      <c r="B368" s="524"/>
      <c r="C368" s="523"/>
      <c r="D368" s="523"/>
      <c r="E368" s="524"/>
      <c r="F368" s="524"/>
      <c r="G368" s="524"/>
      <c r="H368" s="524"/>
      <c r="I368" s="523"/>
      <c r="J368" s="523"/>
      <c r="K368" s="523"/>
      <c r="L368" s="523"/>
      <c r="M368" s="523"/>
      <c r="N368" s="523"/>
      <c r="O368" s="523"/>
      <c r="P368" s="523"/>
      <c r="Q368" s="523"/>
      <c r="R368" s="523"/>
      <c r="S368" s="523"/>
      <c r="T368" s="523"/>
      <c r="U368" s="523"/>
      <c r="V368" s="523"/>
      <c r="W368" s="523"/>
      <c r="X368" s="523"/>
      <c r="Y368" s="523"/>
      <c r="Z368" s="523"/>
    </row>
    <row r="369">
      <c r="A369" s="523"/>
      <c r="B369" s="524"/>
      <c r="C369" s="523"/>
      <c r="D369" s="523"/>
      <c r="E369" s="524"/>
      <c r="F369" s="524"/>
      <c r="G369" s="524"/>
      <c r="H369" s="524"/>
      <c r="I369" s="523"/>
      <c r="J369" s="523"/>
      <c r="K369" s="523"/>
      <c r="L369" s="523"/>
      <c r="M369" s="523"/>
      <c r="N369" s="523"/>
      <c r="O369" s="523"/>
      <c r="P369" s="523"/>
      <c r="Q369" s="523"/>
      <c r="R369" s="523"/>
      <c r="S369" s="523"/>
      <c r="T369" s="523"/>
      <c r="U369" s="523"/>
      <c r="V369" s="523"/>
      <c r="W369" s="523"/>
      <c r="X369" s="523"/>
      <c r="Y369" s="523"/>
      <c r="Z369" s="523"/>
    </row>
    <row r="370">
      <c r="A370" s="523"/>
      <c r="B370" s="524"/>
      <c r="C370" s="523"/>
      <c r="D370" s="523"/>
      <c r="E370" s="524"/>
      <c r="F370" s="524"/>
      <c r="G370" s="524"/>
      <c r="H370" s="524"/>
      <c r="I370" s="523"/>
      <c r="J370" s="523"/>
      <c r="K370" s="523"/>
      <c r="L370" s="523"/>
      <c r="M370" s="523"/>
      <c r="N370" s="523"/>
      <c r="O370" s="523"/>
      <c r="P370" s="523"/>
      <c r="Q370" s="523"/>
      <c r="R370" s="523"/>
      <c r="S370" s="523"/>
      <c r="T370" s="523"/>
      <c r="U370" s="523"/>
      <c r="V370" s="523"/>
      <c r="W370" s="523"/>
      <c r="X370" s="523"/>
      <c r="Y370" s="523"/>
      <c r="Z370" s="523"/>
    </row>
    <row r="371">
      <c r="A371" s="523"/>
      <c r="B371" s="524"/>
      <c r="C371" s="523"/>
      <c r="D371" s="523"/>
      <c r="E371" s="524"/>
      <c r="F371" s="524"/>
      <c r="G371" s="524"/>
      <c r="H371" s="524"/>
      <c r="I371" s="523"/>
      <c r="J371" s="523"/>
      <c r="K371" s="523"/>
      <c r="L371" s="523"/>
      <c r="M371" s="523"/>
      <c r="N371" s="523"/>
      <c r="O371" s="523"/>
      <c r="P371" s="523"/>
      <c r="Q371" s="523"/>
      <c r="R371" s="523"/>
      <c r="S371" s="523"/>
      <c r="T371" s="523"/>
      <c r="U371" s="523"/>
      <c r="V371" s="523"/>
      <c r="W371" s="523"/>
      <c r="X371" s="523"/>
      <c r="Y371" s="523"/>
      <c r="Z371" s="523"/>
    </row>
    <row r="372">
      <c r="A372" s="523"/>
      <c r="B372" s="524"/>
      <c r="C372" s="523"/>
      <c r="D372" s="523"/>
      <c r="E372" s="524"/>
      <c r="F372" s="524"/>
      <c r="G372" s="524"/>
      <c r="H372" s="524"/>
      <c r="I372" s="523"/>
      <c r="J372" s="523"/>
      <c r="K372" s="523"/>
      <c r="L372" s="523"/>
      <c r="M372" s="523"/>
      <c r="N372" s="523"/>
      <c r="O372" s="523"/>
      <c r="P372" s="523"/>
      <c r="Q372" s="523"/>
      <c r="R372" s="523"/>
      <c r="S372" s="523"/>
      <c r="T372" s="523"/>
      <c r="U372" s="523"/>
      <c r="V372" s="523"/>
      <c r="W372" s="523"/>
      <c r="X372" s="523"/>
      <c r="Y372" s="523"/>
      <c r="Z372" s="523"/>
    </row>
    <row r="373">
      <c r="A373" s="523"/>
      <c r="B373" s="524"/>
      <c r="C373" s="523"/>
      <c r="D373" s="523"/>
      <c r="E373" s="524"/>
      <c r="F373" s="524"/>
      <c r="G373" s="524"/>
      <c r="H373" s="524"/>
      <c r="I373" s="523"/>
      <c r="J373" s="523"/>
      <c r="K373" s="523"/>
      <c r="L373" s="523"/>
      <c r="M373" s="523"/>
      <c r="N373" s="523"/>
      <c r="O373" s="523"/>
      <c r="P373" s="523"/>
      <c r="Q373" s="523"/>
      <c r="R373" s="523"/>
      <c r="S373" s="523"/>
      <c r="T373" s="523"/>
      <c r="U373" s="523"/>
      <c r="V373" s="523"/>
      <c r="W373" s="523"/>
      <c r="X373" s="523"/>
      <c r="Y373" s="523"/>
      <c r="Z373" s="523"/>
    </row>
    <row r="374">
      <c r="A374" s="523"/>
      <c r="B374" s="524"/>
      <c r="C374" s="523"/>
      <c r="D374" s="523"/>
      <c r="E374" s="524"/>
      <c r="F374" s="524"/>
      <c r="G374" s="524"/>
      <c r="H374" s="524"/>
      <c r="I374" s="523"/>
      <c r="J374" s="523"/>
      <c r="K374" s="523"/>
      <c r="L374" s="523"/>
      <c r="M374" s="523"/>
      <c r="N374" s="523"/>
      <c r="O374" s="523"/>
      <c r="P374" s="523"/>
      <c r="Q374" s="523"/>
      <c r="R374" s="523"/>
      <c r="S374" s="523"/>
      <c r="T374" s="523"/>
      <c r="U374" s="523"/>
      <c r="V374" s="523"/>
      <c r="W374" s="523"/>
      <c r="X374" s="523"/>
      <c r="Y374" s="523"/>
      <c r="Z374" s="523"/>
    </row>
    <row r="375">
      <c r="A375" s="523"/>
      <c r="B375" s="524"/>
      <c r="C375" s="523"/>
      <c r="D375" s="523"/>
      <c r="E375" s="524"/>
      <c r="F375" s="524"/>
      <c r="G375" s="524"/>
      <c r="H375" s="524"/>
      <c r="I375" s="523"/>
      <c r="J375" s="523"/>
      <c r="K375" s="523"/>
      <c r="L375" s="523"/>
      <c r="M375" s="523"/>
      <c r="N375" s="523"/>
      <c r="O375" s="523"/>
      <c r="P375" s="523"/>
      <c r="Q375" s="523"/>
      <c r="R375" s="523"/>
      <c r="S375" s="523"/>
      <c r="T375" s="523"/>
      <c r="U375" s="523"/>
      <c r="V375" s="523"/>
      <c r="W375" s="523"/>
      <c r="X375" s="523"/>
      <c r="Y375" s="523"/>
      <c r="Z375" s="523"/>
    </row>
    <row r="376">
      <c r="A376" s="523"/>
      <c r="B376" s="524"/>
      <c r="C376" s="523"/>
      <c r="D376" s="523"/>
      <c r="E376" s="524"/>
      <c r="F376" s="524"/>
      <c r="G376" s="524"/>
      <c r="H376" s="524"/>
      <c r="I376" s="523"/>
      <c r="J376" s="523"/>
      <c r="K376" s="523"/>
      <c r="L376" s="523"/>
      <c r="M376" s="523"/>
      <c r="N376" s="523"/>
      <c r="O376" s="523"/>
      <c r="P376" s="523"/>
      <c r="Q376" s="523"/>
      <c r="R376" s="523"/>
      <c r="S376" s="523"/>
      <c r="T376" s="523"/>
      <c r="U376" s="523"/>
      <c r="V376" s="523"/>
      <c r="W376" s="523"/>
      <c r="X376" s="523"/>
      <c r="Y376" s="523"/>
      <c r="Z376" s="523"/>
    </row>
    <row r="377">
      <c r="A377" s="523"/>
      <c r="B377" s="524"/>
      <c r="C377" s="523"/>
      <c r="D377" s="523"/>
      <c r="E377" s="524"/>
      <c r="F377" s="524"/>
      <c r="G377" s="524"/>
      <c r="H377" s="524"/>
      <c r="I377" s="523"/>
      <c r="J377" s="523"/>
      <c r="K377" s="523"/>
      <c r="L377" s="523"/>
      <c r="M377" s="523"/>
      <c r="N377" s="523"/>
      <c r="O377" s="523"/>
      <c r="P377" s="523"/>
      <c r="Q377" s="523"/>
      <c r="R377" s="523"/>
      <c r="S377" s="523"/>
      <c r="T377" s="523"/>
      <c r="U377" s="523"/>
      <c r="V377" s="523"/>
      <c r="W377" s="523"/>
      <c r="X377" s="523"/>
      <c r="Y377" s="523"/>
      <c r="Z377" s="523"/>
    </row>
    <row r="378">
      <c r="A378" s="523"/>
      <c r="B378" s="524"/>
      <c r="C378" s="523"/>
      <c r="D378" s="523"/>
      <c r="E378" s="524"/>
      <c r="F378" s="524"/>
      <c r="G378" s="524"/>
      <c r="H378" s="524"/>
      <c r="I378" s="523"/>
      <c r="J378" s="523"/>
      <c r="K378" s="523"/>
      <c r="L378" s="523"/>
      <c r="M378" s="523"/>
      <c r="N378" s="523"/>
      <c r="O378" s="523"/>
      <c r="P378" s="523"/>
      <c r="Q378" s="523"/>
      <c r="R378" s="523"/>
      <c r="S378" s="523"/>
      <c r="T378" s="523"/>
      <c r="U378" s="523"/>
      <c r="V378" s="523"/>
      <c r="W378" s="523"/>
      <c r="X378" s="523"/>
      <c r="Y378" s="523"/>
      <c r="Z378" s="523"/>
    </row>
    <row r="379">
      <c r="A379" s="523"/>
      <c r="B379" s="524"/>
      <c r="C379" s="523"/>
      <c r="D379" s="523"/>
      <c r="E379" s="524"/>
      <c r="F379" s="524"/>
      <c r="G379" s="524"/>
      <c r="H379" s="524"/>
      <c r="I379" s="523"/>
      <c r="J379" s="523"/>
      <c r="K379" s="523"/>
      <c r="L379" s="523"/>
      <c r="M379" s="523"/>
      <c r="N379" s="523"/>
      <c r="O379" s="523"/>
      <c r="P379" s="523"/>
      <c r="Q379" s="523"/>
      <c r="R379" s="523"/>
      <c r="S379" s="523"/>
      <c r="T379" s="523"/>
      <c r="U379" s="523"/>
      <c r="V379" s="523"/>
      <c r="W379" s="523"/>
      <c r="X379" s="523"/>
      <c r="Y379" s="523"/>
      <c r="Z379" s="523"/>
    </row>
    <row r="380">
      <c r="A380" s="523"/>
      <c r="B380" s="524"/>
      <c r="C380" s="523"/>
      <c r="D380" s="523"/>
      <c r="E380" s="524"/>
      <c r="F380" s="524"/>
      <c r="G380" s="524"/>
      <c r="H380" s="524"/>
      <c r="I380" s="523"/>
      <c r="J380" s="523"/>
      <c r="K380" s="523"/>
      <c r="L380" s="523"/>
      <c r="M380" s="523"/>
      <c r="N380" s="523"/>
      <c r="O380" s="523"/>
      <c r="P380" s="523"/>
      <c r="Q380" s="523"/>
      <c r="R380" s="523"/>
      <c r="S380" s="523"/>
      <c r="T380" s="523"/>
      <c r="U380" s="523"/>
      <c r="V380" s="523"/>
      <c r="W380" s="523"/>
      <c r="X380" s="523"/>
      <c r="Y380" s="523"/>
      <c r="Z380" s="523"/>
    </row>
    <row r="381">
      <c r="A381" s="523"/>
      <c r="B381" s="524"/>
      <c r="C381" s="523"/>
      <c r="D381" s="523"/>
      <c r="E381" s="524"/>
      <c r="F381" s="524"/>
      <c r="G381" s="524"/>
      <c r="H381" s="524"/>
      <c r="I381" s="523"/>
      <c r="J381" s="523"/>
      <c r="K381" s="523"/>
      <c r="L381" s="523"/>
      <c r="M381" s="523"/>
      <c r="N381" s="523"/>
      <c r="O381" s="523"/>
      <c r="P381" s="523"/>
      <c r="Q381" s="523"/>
      <c r="R381" s="523"/>
      <c r="S381" s="523"/>
      <c r="T381" s="523"/>
      <c r="U381" s="523"/>
      <c r="V381" s="523"/>
      <c r="W381" s="523"/>
      <c r="X381" s="523"/>
      <c r="Y381" s="523"/>
      <c r="Z381" s="523"/>
    </row>
    <row r="382">
      <c r="A382" s="523"/>
      <c r="B382" s="524"/>
      <c r="C382" s="523"/>
      <c r="D382" s="523"/>
      <c r="E382" s="524"/>
      <c r="F382" s="524"/>
      <c r="G382" s="524"/>
      <c r="H382" s="524"/>
      <c r="I382" s="523"/>
      <c r="J382" s="523"/>
      <c r="K382" s="523"/>
      <c r="L382" s="523"/>
      <c r="M382" s="523"/>
      <c r="N382" s="523"/>
      <c r="O382" s="523"/>
      <c r="P382" s="523"/>
      <c r="Q382" s="523"/>
      <c r="R382" s="523"/>
      <c r="S382" s="523"/>
      <c r="T382" s="523"/>
      <c r="U382" s="523"/>
      <c r="V382" s="523"/>
      <c r="W382" s="523"/>
      <c r="X382" s="523"/>
      <c r="Y382" s="523"/>
      <c r="Z382" s="523"/>
    </row>
    <row r="383">
      <c r="A383" s="523"/>
      <c r="B383" s="524"/>
      <c r="C383" s="523"/>
      <c r="D383" s="523"/>
      <c r="E383" s="524"/>
      <c r="F383" s="524"/>
      <c r="G383" s="524"/>
      <c r="H383" s="524"/>
      <c r="I383" s="523"/>
      <c r="J383" s="523"/>
      <c r="K383" s="523"/>
      <c r="L383" s="523"/>
      <c r="M383" s="523"/>
      <c r="N383" s="523"/>
      <c r="O383" s="523"/>
      <c r="P383" s="523"/>
      <c r="Q383" s="523"/>
      <c r="R383" s="523"/>
      <c r="S383" s="523"/>
      <c r="T383" s="523"/>
      <c r="U383" s="523"/>
      <c r="V383" s="523"/>
      <c r="W383" s="523"/>
      <c r="X383" s="523"/>
      <c r="Y383" s="523"/>
      <c r="Z383" s="523"/>
    </row>
    <row r="384">
      <c r="A384" s="523"/>
      <c r="B384" s="524"/>
      <c r="C384" s="523"/>
      <c r="D384" s="523"/>
      <c r="E384" s="524"/>
      <c r="F384" s="524"/>
      <c r="G384" s="524"/>
      <c r="H384" s="524"/>
      <c r="I384" s="523"/>
      <c r="J384" s="523"/>
      <c r="K384" s="523"/>
      <c r="L384" s="523"/>
      <c r="M384" s="523"/>
      <c r="N384" s="523"/>
      <c r="O384" s="523"/>
      <c r="P384" s="523"/>
      <c r="Q384" s="523"/>
      <c r="R384" s="523"/>
      <c r="S384" s="523"/>
      <c r="T384" s="523"/>
      <c r="U384" s="523"/>
      <c r="V384" s="523"/>
      <c r="W384" s="523"/>
      <c r="X384" s="523"/>
      <c r="Y384" s="523"/>
      <c r="Z384" s="523"/>
    </row>
    <row r="385">
      <c r="A385" s="523"/>
      <c r="B385" s="524"/>
      <c r="C385" s="523"/>
      <c r="D385" s="523"/>
      <c r="E385" s="524"/>
      <c r="F385" s="524"/>
      <c r="G385" s="524"/>
      <c r="H385" s="524"/>
      <c r="I385" s="523"/>
      <c r="J385" s="523"/>
      <c r="K385" s="523"/>
      <c r="L385" s="523"/>
      <c r="M385" s="523"/>
      <c r="N385" s="523"/>
      <c r="O385" s="523"/>
      <c r="P385" s="523"/>
      <c r="Q385" s="523"/>
      <c r="R385" s="523"/>
      <c r="S385" s="523"/>
      <c r="T385" s="523"/>
      <c r="U385" s="523"/>
      <c r="V385" s="523"/>
      <c r="W385" s="523"/>
      <c r="X385" s="523"/>
      <c r="Y385" s="523"/>
      <c r="Z385" s="523"/>
    </row>
    <row r="386">
      <c r="A386" s="523"/>
      <c r="B386" s="524"/>
      <c r="C386" s="523"/>
      <c r="D386" s="523"/>
      <c r="E386" s="524"/>
      <c r="F386" s="524"/>
      <c r="G386" s="524"/>
      <c r="H386" s="524"/>
      <c r="I386" s="523"/>
      <c r="J386" s="523"/>
      <c r="K386" s="523"/>
      <c r="L386" s="523"/>
      <c r="M386" s="523"/>
      <c r="N386" s="523"/>
      <c r="O386" s="523"/>
      <c r="P386" s="523"/>
      <c r="Q386" s="523"/>
      <c r="R386" s="523"/>
      <c r="S386" s="523"/>
      <c r="T386" s="523"/>
      <c r="U386" s="523"/>
      <c r="V386" s="523"/>
      <c r="W386" s="523"/>
      <c r="X386" s="523"/>
      <c r="Y386" s="523"/>
      <c r="Z386" s="523"/>
    </row>
    <row r="387">
      <c r="A387" s="523"/>
      <c r="B387" s="524"/>
      <c r="C387" s="523"/>
      <c r="D387" s="523"/>
      <c r="E387" s="524"/>
      <c r="F387" s="524"/>
      <c r="G387" s="524"/>
      <c r="H387" s="524"/>
      <c r="I387" s="523"/>
      <c r="J387" s="523"/>
      <c r="K387" s="523"/>
      <c r="L387" s="523"/>
      <c r="M387" s="523"/>
      <c r="N387" s="523"/>
      <c r="O387" s="523"/>
      <c r="P387" s="523"/>
      <c r="Q387" s="523"/>
      <c r="R387" s="523"/>
      <c r="S387" s="523"/>
      <c r="T387" s="523"/>
      <c r="U387" s="523"/>
      <c r="V387" s="523"/>
      <c r="W387" s="523"/>
      <c r="X387" s="523"/>
      <c r="Y387" s="523"/>
      <c r="Z387" s="523"/>
    </row>
    <row r="388">
      <c r="A388" s="523"/>
      <c r="B388" s="524"/>
      <c r="C388" s="523"/>
      <c r="D388" s="523"/>
      <c r="E388" s="524"/>
      <c r="F388" s="524"/>
      <c r="G388" s="524"/>
      <c r="H388" s="524"/>
      <c r="I388" s="523"/>
      <c r="J388" s="523"/>
      <c r="K388" s="523"/>
      <c r="L388" s="523"/>
      <c r="M388" s="523"/>
      <c r="N388" s="523"/>
      <c r="O388" s="523"/>
      <c r="P388" s="523"/>
      <c r="Q388" s="523"/>
      <c r="R388" s="523"/>
      <c r="S388" s="523"/>
      <c r="T388" s="523"/>
      <c r="U388" s="523"/>
      <c r="V388" s="523"/>
      <c r="W388" s="523"/>
      <c r="X388" s="523"/>
      <c r="Y388" s="523"/>
      <c r="Z388" s="523"/>
    </row>
    <row r="389">
      <c r="A389" s="523"/>
      <c r="B389" s="524"/>
      <c r="C389" s="523"/>
      <c r="D389" s="523"/>
      <c r="E389" s="524"/>
      <c r="F389" s="524"/>
      <c r="G389" s="524"/>
      <c r="H389" s="524"/>
      <c r="I389" s="523"/>
      <c r="J389" s="523"/>
      <c r="K389" s="523"/>
      <c r="L389" s="523"/>
      <c r="M389" s="523"/>
      <c r="N389" s="523"/>
      <c r="O389" s="523"/>
      <c r="P389" s="523"/>
      <c r="Q389" s="523"/>
      <c r="R389" s="523"/>
      <c r="S389" s="523"/>
      <c r="T389" s="523"/>
      <c r="U389" s="523"/>
      <c r="V389" s="523"/>
      <c r="W389" s="523"/>
      <c r="X389" s="523"/>
      <c r="Y389" s="523"/>
      <c r="Z389" s="523"/>
    </row>
    <row r="390">
      <c r="A390" s="523"/>
      <c r="B390" s="524"/>
      <c r="C390" s="523"/>
      <c r="D390" s="523"/>
      <c r="E390" s="524"/>
      <c r="F390" s="524"/>
      <c r="G390" s="524"/>
      <c r="H390" s="524"/>
      <c r="I390" s="523"/>
      <c r="J390" s="523"/>
      <c r="K390" s="523"/>
      <c r="L390" s="523"/>
      <c r="M390" s="523"/>
      <c r="N390" s="523"/>
      <c r="O390" s="523"/>
      <c r="P390" s="523"/>
      <c r="Q390" s="523"/>
      <c r="R390" s="523"/>
      <c r="S390" s="523"/>
      <c r="T390" s="523"/>
      <c r="U390" s="523"/>
      <c r="V390" s="523"/>
      <c r="W390" s="523"/>
      <c r="X390" s="523"/>
      <c r="Y390" s="523"/>
      <c r="Z390" s="523"/>
    </row>
    <row r="391">
      <c r="A391" s="523"/>
      <c r="B391" s="524"/>
      <c r="C391" s="523"/>
      <c r="D391" s="523"/>
      <c r="E391" s="524"/>
      <c r="F391" s="524"/>
      <c r="G391" s="524"/>
      <c r="H391" s="524"/>
      <c r="I391" s="523"/>
      <c r="J391" s="523"/>
      <c r="K391" s="523"/>
      <c r="L391" s="523"/>
      <c r="M391" s="523"/>
      <c r="N391" s="523"/>
      <c r="O391" s="523"/>
      <c r="P391" s="523"/>
      <c r="Q391" s="523"/>
      <c r="R391" s="523"/>
      <c r="S391" s="523"/>
      <c r="T391" s="523"/>
      <c r="U391" s="523"/>
      <c r="V391" s="523"/>
      <c r="W391" s="523"/>
      <c r="X391" s="523"/>
      <c r="Y391" s="523"/>
      <c r="Z391" s="523"/>
    </row>
    <row r="392">
      <c r="A392" s="523"/>
      <c r="B392" s="524"/>
      <c r="C392" s="523"/>
      <c r="D392" s="523"/>
      <c r="E392" s="524"/>
      <c r="F392" s="524"/>
      <c r="G392" s="524"/>
      <c r="H392" s="524"/>
      <c r="I392" s="523"/>
      <c r="J392" s="523"/>
      <c r="K392" s="523"/>
      <c r="L392" s="523"/>
      <c r="M392" s="523"/>
      <c r="N392" s="523"/>
      <c r="O392" s="523"/>
      <c r="P392" s="523"/>
      <c r="Q392" s="523"/>
      <c r="R392" s="523"/>
      <c r="S392" s="523"/>
      <c r="T392" s="523"/>
      <c r="U392" s="523"/>
      <c r="V392" s="523"/>
      <c r="W392" s="523"/>
      <c r="X392" s="523"/>
      <c r="Y392" s="523"/>
      <c r="Z392" s="523"/>
    </row>
    <row r="393">
      <c r="A393" s="523"/>
      <c r="B393" s="524"/>
      <c r="C393" s="523"/>
      <c r="D393" s="523"/>
      <c r="E393" s="524"/>
      <c r="F393" s="524"/>
      <c r="G393" s="524"/>
      <c r="H393" s="524"/>
      <c r="I393" s="523"/>
      <c r="J393" s="523"/>
      <c r="K393" s="523"/>
      <c r="L393" s="523"/>
      <c r="M393" s="523"/>
      <c r="N393" s="523"/>
      <c r="O393" s="523"/>
      <c r="P393" s="523"/>
      <c r="Q393" s="523"/>
      <c r="R393" s="523"/>
      <c r="S393" s="523"/>
      <c r="T393" s="523"/>
      <c r="U393" s="523"/>
      <c r="V393" s="523"/>
      <c r="W393" s="523"/>
      <c r="X393" s="523"/>
      <c r="Y393" s="523"/>
      <c r="Z393" s="523"/>
    </row>
    <row r="394">
      <c r="A394" s="523"/>
      <c r="B394" s="524"/>
      <c r="C394" s="523"/>
      <c r="D394" s="523"/>
      <c r="E394" s="524"/>
      <c r="F394" s="524"/>
      <c r="G394" s="524"/>
      <c r="H394" s="524"/>
      <c r="I394" s="523"/>
      <c r="J394" s="523"/>
      <c r="K394" s="523"/>
      <c r="L394" s="523"/>
      <c r="M394" s="523"/>
      <c r="N394" s="523"/>
      <c r="O394" s="523"/>
      <c r="P394" s="523"/>
      <c r="Q394" s="523"/>
      <c r="R394" s="523"/>
      <c r="S394" s="523"/>
      <c r="T394" s="523"/>
      <c r="U394" s="523"/>
      <c r="V394" s="523"/>
      <c r="W394" s="523"/>
      <c r="X394" s="523"/>
      <c r="Y394" s="523"/>
      <c r="Z394" s="523"/>
    </row>
    <row r="395">
      <c r="A395" s="523"/>
      <c r="B395" s="524"/>
      <c r="C395" s="523"/>
      <c r="D395" s="523"/>
      <c r="E395" s="524"/>
      <c r="F395" s="524"/>
      <c r="G395" s="524"/>
      <c r="H395" s="524"/>
      <c r="I395" s="523"/>
      <c r="J395" s="523"/>
      <c r="K395" s="523"/>
      <c r="L395" s="523"/>
      <c r="M395" s="523"/>
      <c r="N395" s="523"/>
      <c r="O395" s="523"/>
      <c r="P395" s="523"/>
      <c r="Q395" s="523"/>
      <c r="R395" s="523"/>
      <c r="S395" s="523"/>
      <c r="T395" s="523"/>
      <c r="U395" s="523"/>
      <c r="V395" s="523"/>
      <c r="W395" s="523"/>
      <c r="X395" s="523"/>
      <c r="Y395" s="523"/>
      <c r="Z395" s="523"/>
    </row>
    <row r="396">
      <c r="A396" s="523"/>
      <c r="B396" s="524"/>
      <c r="C396" s="523"/>
      <c r="D396" s="523"/>
      <c r="E396" s="524"/>
      <c r="F396" s="524"/>
      <c r="G396" s="524"/>
      <c r="H396" s="524"/>
      <c r="I396" s="523"/>
      <c r="J396" s="523"/>
      <c r="K396" s="523"/>
      <c r="L396" s="523"/>
      <c r="M396" s="523"/>
      <c r="N396" s="523"/>
      <c r="O396" s="523"/>
      <c r="P396" s="523"/>
      <c r="Q396" s="523"/>
      <c r="R396" s="523"/>
      <c r="S396" s="523"/>
      <c r="T396" s="523"/>
      <c r="U396" s="523"/>
      <c r="V396" s="523"/>
      <c r="W396" s="523"/>
      <c r="X396" s="523"/>
      <c r="Y396" s="523"/>
      <c r="Z396" s="523"/>
    </row>
    <row r="397">
      <c r="A397" s="523"/>
      <c r="B397" s="524"/>
      <c r="C397" s="523"/>
      <c r="D397" s="523"/>
      <c r="E397" s="524"/>
      <c r="F397" s="524"/>
      <c r="G397" s="524"/>
      <c r="H397" s="524"/>
      <c r="I397" s="523"/>
      <c r="J397" s="523"/>
      <c r="K397" s="523"/>
      <c r="L397" s="523"/>
      <c r="M397" s="523"/>
      <c r="N397" s="523"/>
      <c r="O397" s="523"/>
      <c r="P397" s="523"/>
      <c r="Q397" s="523"/>
      <c r="R397" s="523"/>
      <c r="S397" s="523"/>
      <c r="T397" s="523"/>
      <c r="U397" s="523"/>
      <c r="V397" s="523"/>
      <c r="W397" s="523"/>
      <c r="X397" s="523"/>
      <c r="Y397" s="523"/>
      <c r="Z397" s="523"/>
    </row>
    <row r="398">
      <c r="A398" s="523"/>
      <c r="B398" s="524"/>
      <c r="C398" s="523"/>
      <c r="D398" s="523"/>
      <c r="E398" s="524"/>
      <c r="F398" s="524"/>
      <c r="G398" s="524"/>
      <c r="H398" s="524"/>
      <c r="I398" s="523"/>
      <c r="J398" s="523"/>
      <c r="K398" s="523"/>
      <c r="L398" s="523"/>
      <c r="M398" s="523"/>
      <c r="N398" s="523"/>
      <c r="O398" s="523"/>
      <c r="P398" s="523"/>
      <c r="Q398" s="523"/>
      <c r="R398" s="523"/>
      <c r="S398" s="523"/>
      <c r="T398" s="523"/>
      <c r="U398" s="523"/>
      <c r="V398" s="523"/>
      <c r="W398" s="523"/>
      <c r="X398" s="523"/>
      <c r="Y398" s="523"/>
      <c r="Z398" s="523"/>
    </row>
    <row r="399">
      <c r="A399" s="523"/>
      <c r="B399" s="524"/>
      <c r="C399" s="523"/>
      <c r="D399" s="523"/>
      <c r="E399" s="524"/>
      <c r="F399" s="524"/>
      <c r="G399" s="524"/>
      <c r="H399" s="524"/>
      <c r="I399" s="523"/>
      <c r="J399" s="523"/>
      <c r="K399" s="523"/>
      <c r="L399" s="523"/>
      <c r="M399" s="523"/>
      <c r="N399" s="523"/>
      <c r="O399" s="523"/>
      <c r="P399" s="523"/>
      <c r="Q399" s="523"/>
      <c r="R399" s="523"/>
      <c r="S399" s="523"/>
      <c r="T399" s="523"/>
      <c r="U399" s="523"/>
      <c r="V399" s="523"/>
      <c r="W399" s="523"/>
      <c r="X399" s="523"/>
      <c r="Y399" s="523"/>
      <c r="Z399" s="523"/>
    </row>
    <row r="400">
      <c r="A400" s="523"/>
      <c r="B400" s="524"/>
      <c r="C400" s="523"/>
      <c r="D400" s="523"/>
      <c r="E400" s="524"/>
      <c r="F400" s="524"/>
      <c r="G400" s="524"/>
      <c r="H400" s="524"/>
      <c r="I400" s="523"/>
      <c r="J400" s="523"/>
      <c r="K400" s="523"/>
      <c r="L400" s="523"/>
      <c r="M400" s="523"/>
      <c r="N400" s="523"/>
      <c r="O400" s="523"/>
      <c r="P400" s="523"/>
      <c r="Q400" s="523"/>
      <c r="R400" s="523"/>
      <c r="S400" s="523"/>
      <c r="T400" s="523"/>
      <c r="U400" s="523"/>
      <c r="V400" s="523"/>
      <c r="W400" s="523"/>
      <c r="X400" s="523"/>
      <c r="Y400" s="523"/>
      <c r="Z400" s="523"/>
    </row>
    <row r="401">
      <c r="A401" s="523"/>
      <c r="B401" s="524"/>
      <c r="C401" s="523"/>
      <c r="D401" s="523"/>
      <c r="E401" s="524"/>
      <c r="F401" s="524"/>
      <c r="G401" s="524"/>
      <c r="H401" s="524"/>
      <c r="I401" s="523"/>
      <c r="J401" s="523"/>
      <c r="K401" s="523"/>
      <c r="L401" s="523"/>
      <c r="M401" s="523"/>
      <c r="N401" s="523"/>
      <c r="O401" s="523"/>
      <c r="P401" s="523"/>
      <c r="Q401" s="523"/>
      <c r="R401" s="523"/>
      <c r="S401" s="523"/>
      <c r="T401" s="523"/>
      <c r="U401" s="523"/>
      <c r="V401" s="523"/>
      <c r="W401" s="523"/>
      <c r="X401" s="523"/>
      <c r="Y401" s="523"/>
      <c r="Z401" s="523"/>
    </row>
    <row r="402">
      <c r="A402" s="523"/>
      <c r="B402" s="524"/>
      <c r="C402" s="523"/>
      <c r="D402" s="523"/>
      <c r="E402" s="524"/>
      <c r="F402" s="524"/>
      <c r="G402" s="524"/>
      <c r="H402" s="524"/>
      <c r="I402" s="523"/>
      <c r="J402" s="523"/>
      <c r="K402" s="523"/>
      <c r="L402" s="523"/>
      <c r="M402" s="523"/>
      <c r="N402" s="523"/>
      <c r="O402" s="523"/>
      <c r="P402" s="523"/>
      <c r="Q402" s="523"/>
      <c r="R402" s="523"/>
      <c r="S402" s="523"/>
      <c r="T402" s="523"/>
      <c r="U402" s="523"/>
      <c r="V402" s="523"/>
      <c r="W402" s="523"/>
      <c r="X402" s="523"/>
      <c r="Y402" s="523"/>
      <c r="Z402" s="523"/>
    </row>
    <row r="403">
      <c r="A403" s="523"/>
      <c r="B403" s="524"/>
      <c r="C403" s="523"/>
      <c r="D403" s="523"/>
      <c r="E403" s="524"/>
      <c r="F403" s="524"/>
      <c r="G403" s="524"/>
      <c r="H403" s="524"/>
      <c r="I403" s="523"/>
      <c r="J403" s="523"/>
      <c r="K403" s="523"/>
      <c r="L403" s="523"/>
      <c r="M403" s="523"/>
      <c r="N403" s="523"/>
      <c r="O403" s="523"/>
      <c r="P403" s="523"/>
      <c r="Q403" s="523"/>
      <c r="R403" s="523"/>
      <c r="S403" s="523"/>
      <c r="T403" s="523"/>
      <c r="U403" s="523"/>
      <c r="V403" s="523"/>
      <c r="W403" s="523"/>
      <c r="X403" s="523"/>
      <c r="Y403" s="523"/>
      <c r="Z403" s="523"/>
    </row>
    <row r="404">
      <c r="A404" s="523"/>
      <c r="B404" s="524"/>
      <c r="C404" s="523"/>
      <c r="D404" s="523"/>
      <c r="E404" s="524"/>
      <c r="F404" s="524"/>
      <c r="G404" s="524"/>
      <c r="H404" s="524"/>
      <c r="I404" s="523"/>
      <c r="J404" s="523"/>
      <c r="K404" s="523"/>
      <c r="L404" s="523"/>
      <c r="M404" s="523"/>
      <c r="N404" s="523"/>
      <c r="O404" s="523"/>
      <c r="P404" s="523"/>
      <c r="Q404" s="523"/>
      <c r="R404" s="523"/>
      <c r="S404" s="523"/>
      <c r="T404" s="523"/>
      <c r="U404" s="523"/>
      <c r="V404" s="523"/>
      <c r="W404" s="523"/>
      <c r="X404" s="523"/>
      <c r="Y404" s="523"/>
      <c r="Z404" s="523"/>
    </row>
    <row r="405">
      <c r="A405" s="523"/>
      <c r="B405" s="524"/>
      <c r="C405" s="523"/>
      <c r="D405" s="523"/>
      <c r="E405" s="524"/>
      <c r="F405" s="524"/>
      <c r="G405" s="524"/>
      <c r="H405" s="524"/>
      <c r="I405" s="523"/>
      <c r="J405" s="523"/>
      <c r="K405" s="523"/>
      <c r="L405" s="523"/>
      <c r="M405" s="523"/>
      <c r="N405" s="523"/>
      <c r="O405" s="523"/>
      <c r="P405" s="523"/>
      <c r="Q405" s="523"/>
      <c r="R405" s="523"/>
      <c r="S405" s="523"/>
      <c r="T405" s="523"/>
      <c r="U405" s="523"/>
      <c r="V405" s="523"/>
      <c r="W405" s="523"/>
      <c r="X405" s="523"/>
      <c r="Y405" s="523"/>
      <c r="Z405" s="523"/>
    </row>
    <row r="406">
      <c r="A406" s="523"/>
      <c r="B406" s="524"/>
      <c r="C406" s="523"/>
      <c r="D406" s="523"/>
      <c r="E406" s="524"/>
      <c r="F406" s="524"/>
      <c r="G406" s="524"/>
      <c r="H406" s="524"/>
      <c r="I406" s="523"/>
      <c r="J406" s="523"/>
      <c r="K406" s="523"/>
      <c r="L406" s="523"/>
      <c r="M406" s="523"/>
      <c r="N406" s="523"/>
      <c r="O406" s="523"/>
      <c r="P406" s="523"/>
      <c r="Q406" s="523"/>
      <c r="R406" s="523"/>
      <c r="S406" s="523"/>
      <c r="T406" s="523"/>
      <c r="U406" s="523"/>
      <c r="V406" s="523"/>
      <c r="W406" s="523"/>
      <c r="X406" s="523"/>
      <c r="Y406" s="523"/>
      <c r="Z406" s="523"/>
    </row>
    <row r="407">
      <c r="A407" s="523"/>
      <c r="B407" s="524"/>
      <c r="C407" s="523"/>
      <c r="D407" s="523"/>
      <c r="E407" s="524"/>
      <c r="F407" s="524"/>
      <c r="G407" s="524"/>
      <c r="H407" s="524"/>
      <c r="I407" s="523"/>
      <c r="J407" s="523"/>
      <c r="K407" s="523"/>
      <c r="L407" s="523"/>
      <c r="M407" s="523"/>
      <c r="N407" s="523"/>
      <c r="O407" s="523"/>
      <c r="P407" s="523"/>
      <c r="Q407" s="523"/>
      <c r="R407" s="523"/>
      <c r="S407" s="523"/>
      <c r="T407" s="523"/>
      <c r="U407" s="523"/>
      <c r="V407" s="523"/>
      <c r="W407" s="523"/>
      <c r="X407" s="523"/>
      <c r="Y407" s="523"/>
      <c r="Z407" s="523"/>
    </row>
    <row r="408">
      <c r="A408" s="523"/>
      <c r="B408" s="524"/>
      <c r="C408" s="523"/>
      <c r="D408" s="523"/>
      <c r="E408" s="524"/>
      <c r="F408" s="524"/>
      <c r="G408" s="524"/>
      <c r="H408" s="524"/>
      <c r="I408" s="523"/>
      <c r="J408" s="523"/>
      <c r="K408" s="523"/>
      <c r="L408" s="523"/>
      <c r="M408" s="523"/>
      <c r="N408" s="523"/>
      <c r="O408" s="523"/>
      <c r="P408" s="523"/>
      <c r="Q408" s="523"/>
      <c r="R408" s="523"/>
      <c r="S408" s="523"/>
      <c r="T408" s="523"/>
      <c r="U408" s="523"/>
      <c r="V408" s="523"/>
      <c r="W408" s="523"/>
      <c r="X408" s="523"/>
      <c r="Y408" s="523"/>
      <c r="Z408" s="523"/>
    </row>
    <row r="409">
      <c r="A409" s="523"/>
      <c r="B409" s="524"/>
      <c r="C409" s="523"/>
      <c r="D409" s="523"/>
      <c r="E409" s="524"/>
      <c r="F409" s="524"/>
      <c r="G409" s="524"/>
      <c r="H409" s="524"/>
      <c r="I409" s="523"/>
      <c r="J409" s="523"/>
      <c r="K409" s="523"/>
      <c r="L409" s="523"/>
      <c r="M409" s="523"/>
      <c r="N409" s="523"/>
      <c r="O409" s="523"/>
      <c r="P409" s="523"/>
      <c r="Q409" s="523"/>
      <c r="R409" s="523"/>
      <c r="S409" s="523"/>
      <c r="T409" s="523"/>
      <c r="U409" s="523"/>
      <c r="V409" s="523"/>
      <c r="W409" s="523"/>
      <c r="X409" s="523"/>
      <c r="Y409" s="523"/>
      <c r="Z409" s="523"/>
    </row>
    <row r="410">
      <c r="A410" s="523"/>
      <c r="B410" s="524"/>
      <c r="C410" s="523"/>
      <c r="D410" s="523"/>
      <c r="E410" s="524"/>
      <c r="F410" s="524"/>
      <c r="G410" s="524"/>
      <c r="H410" s="524"/>
      <c r="I410" s="523"/>
      <c r="J410" s="523"/>
      <c r="K410" s="523"/>
      <c r="L410" s="523"/>
      <c r="M410" s="523"/>
      <c r="N410" s="523"/>
      <c r="O410" s="523"/>
      <c r="P410" s="523"/>
      <c r="Q410" s="523"/>
      <c r="R410" s="523"/>
      <c r="S410" s="523"/>
      <c r="T410" s="523"/>
      <c r="U410" s="523"/>
      <c r="V410" s="523"/>
      <c r="W410" s="523"/>
      <c r="X410" s="523"/>
      <c r="Y410" s="523"/>
      <c r="Z410" s="523"/>
    </row>
    <row r="411">
      <c r="A411" s="523"/>
      <c r="B411" s="524"/>
      <c r="C411" s="523"/>
      <c r="D411" s="523"/>
      <c r="E411" s="524"/>
      <c r="F411" s="524"/>
      <c r="G411" s="524"/>
      <c r="H411" s="524"/>
      <c r="I411" s="523"/>
      <c r="J411" s="523"/>
      <c r="K411" s="523"/>
      <c r="L411" s="523"/>
      <c r="M411" s="523"/>
      <c r="N411" s="523"/>
      <c r="O411" s="523"/>
      <c r="P411" s="523"/>
      <c r="Q411" s="523"/>
      <c r="R411" s="523"/>
      <c r="S411" s="523"/>
      <c r="T411" s="523"/>
      <c r="U411" s="523"/>
      <c r="V411" s="523"/>
      <c r="W411" s="523"/>
      <c r="X411" s="523"/>
      <c r="Y411" s="523"/>
      <c r="Z411" s="523"/>
    </row>
    <row r="412">
      <c r="A412" s="523"/>
      <c r="B412" s="524"/>
      <c r="C412" s="523"/>
      <c r="D412" s="523"/>
      <c r="E412" s="524"/>
      <c r="F412" s="524"/>
      <c r="G412" s="524"/>
      <c r="H412" s="524"/>
      <c r="I412" s="523"/>
      <c r="J412" s="523"/>
      <c r="K412" s="523"/>
      <c r="L412" s="523"/>
      <c r="M412" s="523"/>
      <c r="N412" s="523"/>
      <c r="O412" s="523"/>
      <c r="P412" s="523"/>
      <c r="Q412" s="523"/>
      <c r="R412" s="523"/>
      <c r="S412" s="523"/>
      <c r="T412" s="523"/>
      <c r="U412" s="523"/>
      <c r="V412" s="523"/>
      <c r="W412" s="523"/>
      <c r="X412" s="523"/>
      <c r="Y412" s="523"/>
      <c r="Z412" s="523"/>
    </row>
    <row r="413">
      <c r="A413" s="523"/>
      <c r="B413" s="524"/>
      <c r="C413" s="523"/>
      <c r="D413" s="523"/>
      <c r="E413" s="524"/>
      <c r="F413" s="524"/>
      <c r="G413" s="524"/>
      <c r="H413" s="524"/>
      <c r="I413" s="523"/>
      <c r="J413" s="523"/>
      <c r="K413" s="523"/>
      <c r="L413" s="523"/>
      <c r="M413" s="523"/>
      <c r="N413" s="523"/>
      <c r="O413" s="523"/>
      <c r="P413" s="523"/>
      <c r="Q413" s="523"/>
      <c r="R413" s="523"/>
      <c r="S413" s="523"/>
      <c r="T413" s="523"/>
      <c r="U413" s="523"/>
      <c r="V413" s="523"/>
      <c r="W413" s="523"/>
      <c r="X413" s="523"/>
      <c r="Y413" s="523"/>
      <c r="Z413" s="523"/>
    </row>
    <row r="414">
      <c r="A414" s="523"/>
      <c r="B414" s="524"/>
      <c r="C414" s="523"/>
      <c r="D414" s="523"/>
      <c r="E414" s="524"/>
      <c r="F414" s="524"/>
      <c r="G414" s="524"/>
      <c r="H414" s="524"/>
      <c r="I414" s="523"/>
      <c r="J414" s="523"/>
      <c r="K414" s="523"/>
      <c r="L414" s="523"/>
      <c r="M414" s="523"/>
      <c r="N414" s="523"/>
      <c r="O414" s="523"/>
      <c r="P414" s="523"/>
      <c r="Q414" s="523"/>
      <c r="R414" s="523"/>
      <c r="S414" s="523"/>
      <c r="T414" s="523"/>
      <c r="U414" s="523"/>
      <c r="V414" s="523"/>
      <c r="W414" s="523"/>
      <c r="X414" s="523"/>
      <c r="Y414" s="523"/>
      <c r="Z414" s="523"/>
    </row>
    <row r="415">
      <c r="A415" s="523"/>
      <c r="B415" s="524"/>
      <c r="C415" s="523"/>
      <c r="D415" s="523"/>
      <c r="E415" s="524"/>
      <c r="F415" s="524"/>
      <c r="G415" s="524"/>
      <c r="H415" s="524"/>
      <c r="I415" s="523"/>
      <c r="J415" s="523"/>
      <c r="K415" s="523"/>
      <c r="L415" s="523"/>
      <c r="M415" s="523"/>
      <c r="N415" s="523"/>
      <c r="O415" s="523"/>
      <c r="P415" s="523"/>
      <c r="Q415" s="523"/>
      <c r="R415" s="523"/>
      <c r="S415" s="523"/>
      <c r="T415" s="523"/>
      <c r="U415" s="523"/>
      <c r="V415" s="523"/>
      <c r="W415" s="523"/>
      <c r="X415" s="523"/>
      <c r="Y415" s="523"/>
      <c r="Z415" s="523"/>
    </row>
    <row r="416">
      <c r="A416" s="523"/>
      <c r="B416" s="524"/>
      <c r="C416" s="523"/>
      <c r="D416" s="523"/>
      <c r="E416" s="524"/>
      <c r="F416" s="524"/>
      <c r="G416" s="524"/>
      <c r="H416" s="524"/>
      <c r="I416" s="523"/>
      <c r="J416" s="523"/>
      <c r="K416" s="523"/>
      <c r="L416" s="523"/>
      <c r="M416" s="523"/>
      <c r="N416" s="523"/>
      <c r="O416" s="523"/>
      <c r="P416" s="523"/>
      <c r="Q416" s="523"/>
      <c r="R416" s="523"/>
      <c r="S416" s="523"/>
      <c r="T416" s="523"/>
      <c r="U416" s="523"/>
      <c r="V416" s="523"/>
      <c r="W416" s="523"/>
      <c r="X416" s="523"/>
      <c r="Y416" s="523"/>
      <c r="Z416" s="523"/>
    </row>
    <row r="417">
      <c r="A417" s="523"/>
      <c r="B417" s="524"/>
      <c r="C417" s="523"/>
      <c r="D417" s="523"/>
      <c r="E417" s="524"/>
      <c r="F417" s="524"/>
      <c r="G417" s="524"/>
      <c r="H417" s="524"/>
      <c r="I417" s="523"/>
      <c r="J417" s="523"/>
      <c r="K417" s="523"/>
      <c r="L417" s="523"/>
      <c r="M417" s="523"/>
      <c r="N417" s="523"/>
      <c r="O417" s="523"/>
      <c r="P417" s="523"/>
      <c r="Q417" s="523"/>
      <c r="R417" s="523"/>
      <c r="S417" s="523"/>
      <c r="T417" s="523"/>
      <c r="U417" s="523"/>
      <c r="V417" s="523"/>
      <c r="W417" s="523"/>
      <c r="X417" s="523"/>
      <c r="Y417" s="523"/>
      <c r="Z417" s="523"/>
    </row>
    <row r="418">
      <c r="A418" s="523"/>
      <c r="B418" s="524"/>
      <c r="C418" s="523"/>
      <c r="D418" s="523"/>
      <c r="E418" s="524"/>
      <c r="F418" s="524"/>
      <c r="G418" s="524"/>
      <c r="H418" s="524"/>
      <c r="I418" s="523"/>
      <c r="J418" s="523"/>
      <c r="K418" s="523"/>
      <c r="L418" s="523"/>
      <c r="M418" s="523"/>
      <c r="N418" s="523"/>
      <c r="O418" s="523"/>
      <c r="P418" s="523"/>
      <c r="Q418" s="523"/>
      <c r="R418" s="523"/>
      <c r="S418" s="523"/>
      <c r="T418" s="523"/>
      <c r="U418" s="523"/>
      <c r="V418" s="523"/>
      <c r="W418" s="523"/>
      <c r="X418" s="523"/>
      <c r="Y418" s="523"/>
      <c r="Z418" s="523"/>
    </row>
    <row r="419">
      <c r="A419" s="523"/>
      <c r="B419" s="524"/>
      <c r="C419" s="523"/>
      <c r="D419" s="523"/>
      <c r="E419" s="524"/>
      <c r="F419" s="524"/>
      <c r="G419" s="524"/>
      <c r="H419" s="524"/>
      <c r="I419" s="523"/>
      <c r="J419" s="523"/>
      <c r="K419" s="523"/>
      <c r="L419" s="523"/>
      <c r="M419" s="523"/>
      <c r="N419" s="523"/>
      <c r="O419" s="523"/>
      <c r="P419" s="523"/>
      <c r="Q419" s="523"/>
      <c r="R419" s="523"/>
      <c r="S419" s="523"/>
      <c r="T419" s="523"/>
      <c r="U419" s="523"/>
      <c r="V419" s="523"/>
      <c r="W419" s="523"/>
      <c r="X419" s="523"/>
      <c r="Y419" s="523"/>
      <c r="Z419" s="523"/>
    </row>
    <row r="420">
      <c r="A420" s="523"/>
      <c r="B420" s="524"/>
      <c r="C420" s="523"/>
      <c r="D420" s="523"/>
      <c r="E420" s="524"/>
      <c r="F420" s="524"/>
      <c r="G420" s="524"/>
      <c r="H420" s="524"/>
      <c r="I420" s="523"/>
      <c r="J420" s="523"/>
      <c r="K420" s="523"/>
      <c r="L420" s="523"/>
      <c r="M420" s="523"/>
      <c r="N420" s="523"/>
      <c r="O420" s="523"/>
      <c r="P420" s="523"/>
      <c r="Q420" s="523"/>
      <c r="R420" s="523"/>
      <c r="S420" s="523"/>
      <c r="T420" s="523"/>
      <c r="U420" s="523"/>
      <c r="V420" s="523"/>
      <c r="W420" s="523"/>
      <c r="X420" s="523"/>
      <c r="Y420" s="523"/>
      <c r="Z420" s="523"/>
    </row>
    <row r="421">
      <c r="A421" s="523"/>
      <c r="B421" s="524"/>
      <c r="C421" s="523"/>
      <c r="D421" s="523"/>
      <c r="E421" s="524"/>
      <c r="F421" s="524"/>
      <c r="G421" s="524"/>
      <c r="H421" s="524"/>
      <c r="I421" s="523"/>
      <c r="J421" s="523"/>
      <c r="K421" s="523"/>
      <c r="L421" s="523"/>
      <c r="M421" s="523"/>
      <c r="N421" s="523"/>
      <c r="O421" s="523"/>
      <c r="P421" s="523"/>
      <c r="Q421" s="523"/>
      <c r="R421" s="523"/>
      <c r="S421" s="523"/>
      <c r="T421" s="523"/>
      <c r="U421" s="523"/>
      <c r="V421" s="523"/>
      <c r="W421" s="523"/>
      <c r="X421" s="523"/>
      <c r="Y421" s="523"/>
      <c r="Z421" s="523"/>
    </row>
    <row r="422">
      <c r="A422" s="523"/>
      <c r="B422" s="524"/>
      <c r="C422" s="523"/>
      <c r="D422" s="523"/>
      <c r="E422" s="524"/>
      <c r="F422" s="524"/>
      <c r="G422" s="524"/>
      <c r="H422" s="524"/>
      <c r="I422" s="523"/>
      <c r="J422" s="523"/>
      <c r="K422" s="523"/>
      <c r="L422" s="523"/>
      <c r="M422" s="523"/>
      <c r="N422" s="523"/>
      <c r="O422" s="523"/>
      <c r="P422" s="523"/>
      <c r="Q422" s="523"/>
      <c r="R422" s="523"/>
      <c r="S422" s="523"/>
      <c r="T422" s="523"/>
      <c r="U422" s="523"/>
      <c r="V422" s="523"/>
      <c r="W422" s="523"/>
      <c r="X422" s="523"/>
      <c r="Y422" s="523"/>
      <c r="Z422" s="523"/>
    </row>
    <row r="423">
      <c r="A423" s="523"/>
      <c r="B423" s="524"/>
      <c r="C423" s="523"/>
      <c r="D423" s="523"/>
      <c r="E423" s="524"/>
      <c r="F423" s="524"/>
      <c r="G423" s="524"/>
      <c r="H423" s="524"/>
      <c r="I423" s="523"/>
      <c r="J423" s="523"/>
      <c r="K423" s="523"/>
      <c r="L423" s="523"/>
      <c r="M423" s="523"/>
      <c r="N423" s="523"/>
      <c r="O423" s="523"/>
      <c r="P423" s="523"/>
      <c r="Q423" s="523"/>
      <c r="R423" s="523"/>
      <c r="S423" s="523"/>
      <c r="T423" s="523"/>
      <c r="U423" s="523"/>
      <c r="V423" s="523"/>
      <c r="W423" s="523"/>
      <c r="X423" s="523"/>
      <c r="Y423" s="523"/>
      <c r="Z423" s="523"/>
    </row>
    <row r="424">
      <c r="A424" s="523"/>
      <c r="B424" s="524"/>
      <c r="C424" s="523"/>
      <c r="D424" s="523"/>
      <c r="E424" s="524"/>
      <c r="F424" s="524"/>
      <c r="G424" s="524"/>
      <c r="H424" s="524"/>
      <c r="I424" s="523"/>
      <c r="J424" s="523"/>
      <c r="K424" s="523"/>
      <c r="L424" s="523"/>
      <c r="M424" s="523"/>
      <c r="N424" s="523"/>
      <c r="O424" s="523"/>
      <c r="P424" s="523"/>
      <c r="Q424" s="523"/>
      <c r="R424" s="523"/>
      <c r="S424" s="523"/>
      <c r="T424" s="523"/>
      <c r="U424" s="523"/>
      <c r="V424" s="523"/>
      <c r="W424" s="523"/>
      <c r="X424" s="523"/>
      <c r="Y424" s="523"/>
      <c r="Z424" s="523"/>
    </row>
    <row r="425">
      <c r="A425" s="523"/>
      <c r="B425" s="524"/>
      <c r="C425" s="523"/>
      <c r="D425" s="523"/>
      <c r="E425" s="524"/>
      <c r="F425" s="524"/>
      <c r="G425" s="524"/>
      <c r="H425" s="524"/>
      <c r="I425" s="523"/>
      <c r="J425" s="523"/>
      <c r="K425" s="523"/>
      <c r="L425" s="523"/>
      <c r="M425" s="523"/>
      <c r="N425" s="523"/>
      <c r="O425" s="523"/>
      <c r="P425" s="523"/>
      <c r="Q425" s="523"/>
      <c r="R425" s="523"/>
      <c r="S425" s="523"/>
      <c r="T425" s="523"/>
      <c r="U425" s="523"/>
      <c r="V425" s="523"/>
      <c r="W425" s="523"/>
      <c r="X425" s="523"/>
      <c r="Y425" s="523"/>
      <c r="Z425" s="523"/>
    </row>
    <row r="426">
      <c r="A426" s="523"/>
      <c r="B426" s="524"/>
      <c r="C426" s="523"/>
      <c r="D426" s="523"/>
      <c r="E426" s="524"/>
      <c r="F426" s="524"/>
      <c r="G426" s="524"/>
      <c r="H426" s="524"/>
      <c r="I426" s="523"/>
      <c r="J426" s="523"/>
      <c r="K426" s="523"/>
      <c r="L426" s="523"/>
      <c r="M426" s="523"/>
      <c r="N426" s="523"/>
      <c r="O426" s="523"/>
      <c r="P426" s="523"/>
      <c r="Q426" s="523"/>
      <c r="R426" s="523"/>
      <c r="S426" s="523"/>
      <c r="T426" s="523"/>
      <c r="U426" s="523"/>
      <c r="V426" s="523"/>
      <c r="W426" s="523"/>
      <c r="X426" s="523"/>
      <c r="Y426" s="523"/>
      <c r="Z426" s="523"/>
    </row>
    <row r="427">
      <c r="A427" s="523"/>
      <c r="B427" s="524"/>
      <c r="C427" s="523"/>
      <c r="D427" s="523"/>
      <c r="E427" s="524"/>
      <c r="F427" s="524"/>
      <c r="G427" s="524"/>
      <c r="H427" s="524"/>
      <c r="I427" s="523"/>
      <c r="J427" s="523"/>
      <c r="K427" s="523"/>
      <c r="L427" s="523"/>
      <c r="M427" s="523"/>
      <c r="N427" s="523"/>
      <c r="O427" s="523"/>
      <c r="P427" s="523"/>
      <c r="Q427" s="523"/>
      <c r="R427" s="523"/>
      <c r="S427" s="523"/>
      <c r="T427" s="523"/>
      <c r="U427" s="523"/>
      <c r="V427" s="523"/>
      <c r="W427" s="523"/>
      <c r="X427" s="523"/>
      <c r="Y427" s="523"/>
      <c r="Z427" s="523"/>
    </row>
    <row r="428">
      <c r="A428" s="523"/>
      <c r="B428" s="524"/>
      <c r="C428" s="523"/>
      <c r="D428" s="523"/>
      <c r="E428" s="524"/>
      <c r="F428" s="524"/>
      <c r="G428" s="524"/>
      <c r="H428" s="524"/>
      <c r="I428" s="523"/>
      <c r="J428" s="523"/>
      <c r="K428" s="523"/>
      <c r="L428" s="523"/>
      <c r="M428" s="523"/>
      <c r="N428" s="523"/>
      <c r="O428" s="523"/>
      <c r="P428" s="523"/>
      <c r="Q428" s="523"/>
      <c r="R428" s="523"/>
      <c r="S428" s="523"/>
      <c r="T428" s="523"/>
      <c r="U428" s="523"/>
      <c r="V428" s="523"/>
      <c r="W428" s="523"/>
      <c r="X428" s="523"/>
      <c r="Y428" s="523"/>
      <c r="Z428" s="523"/>
    </row>
    <row r="429">
      <c r="A429" s="523"/>
      <c r="B429" s="524"/>
      <c r="C429" s="523"/>
      <c r="D429" s="523"/>
      <c r="E429" s="524"/>
      <c r="F429" s="524"/>
      <c r="G429" s="524"/>
      <c r="H429" s="524"/>
      <c r="I429" s="523"/>
      <c r="J429" s="523"/>
      <c r="K429" s="523"/>
      <c r="L429" s="523"/>
      <c r="M429" s="523"/>
      <c r="N429" s="523"/>
      <c r="O429" s="523"/>
      <c r="P429" s="523"/>
      <c r="Q429" s="523"/>
      <c r="R429" s="523"/>
      <c r="S429" s="523"/>
      <c r="T429" s="523"/>
      <c r="U429" s="523"/>
      <c r="V429" s="523"/>
      <c r="W429" s="523"/>
      <c r="X429" s="523"/>
      <c r="Y429" s="523"/>
      <c r="Z429" s="523"/>
    </row>
    <row r="430">
      <c r="A430" s="523"/>
      <c r="B430" s="524"/>
      <c r="C430" s="523"/>
      <c r="D430" s="523"/>
      <c r="E430" s="524"/>
      <c r="F430" s="524"/>
      <c r="G430" s="524"/>
      <c r="H430" s="524"/>
      <c r="I430" s="523"/>
      <c r="J430" s="523"/>
      <c r="K430" s="523"/>
      <c r="L430" s="523"/>
      <c r="M430" s="523"/>
      <c r="N430" s="523"/>
      <c r="O430" s="523"/>
      <c r="P430" s="523"/>
      <c r="Q430" s="523"/>
      <c r="R430" s="523"/>
      <c r="S430" s="523"/>
      <c r="T430" s="523"/>
      <c r="U430" s="523"/>
      <c r="V430" s="523"/>
      <c r="W430" s="523"/>
      <c r="X430" s="523"/>
      <c r="Y430" s="523"/>
      <c r="Z430" s="523"/>
    </row>
    <row r="431">
      <c r="A431" s="523"/>
      <c r="B431" s="524"/>
      <c r="C431" s="523"/>
      <c r="D431" s="523"/>
      <c r="E431" s="524"/>
      <c r="F431" s="524"/>
      <c r="G431" s="524"/>
      <c r="H431" s="524"/>
      <c r="I431" s="523"/>
      <c r="J431" s="523"/>
      <c r="K431" s="523"/>
      <c r="L431" s="523"/>
      <c r="M431" s="523"/>
      <c r="N431" s="523"/>
      <c r="O431" s="523"/>
      <c r="P431" s="523"/>
      <c r="Q431" s="523"/>
      <c r="R431" s="523"/>
      <c r="S431" s="523"/>
      <c r="T431" s="523"/>
      <c r="U431" s="523"/>
      <c r="V431" s="523"/>
      <c r="W431" s="523"/>
      <c r="X431" s="523"/>
      <c r="Y431" s="523"/>
      <c r="Z431" s="523"/>
    </row>
    <row r="432">
      <c r="A432" s="523"/>
      <c r="B432" s="524"/>
      <c r="C432" s="523"/>
      <c r="D432" s="523"/>
      <c r="E432" s="524"/>
      <c r="F432" s="524"/>
      <c r="G432" s="524"/>
      <c r="H432" s="524"/>
      <c r="I432" s="523"/>
      <c r="J432" s="523"/>
      <c r="K432" s="523"/>
      <c r="L432" s="523"/>
      <c r="M432" s="523"/>
      <c r="N432" s="523"/>
      <c r="O432" s="523"/>
      <c r="P432" s="523"/>
      <c r="Q432" s="523"/>
      <c r="R432" s="523"/>
      <c r="S432" s="523"/>
      <c r="T432" s="523"/>
      <c r="U432" s="523"/>
      <c r="V432" s="523"/>
      <c r="W432" s="523"/>
      <c r="X432" s="523"/>
      <c r="Y432" s="523"/>
      <c r="Z432" s="523"/>
    </row>
    <row r="433">
      <c r="A433" s="523"/>
      <c r="B433" s="524"/>
      <c r="C433" s="523"/>
      <c r="D433" s="523"/>
      <c r="E433" s="524"/>
      <c r="F433" s="524"/>
      <c r="G433" s="524"/>
      <c r="H433" s="524"/>
      <c r="I433" s="523"/>
      <c r="J433" s="523"/>
      <c r="K433" s="523"/>
      <c r="L433" s="523"/>
      <c r="M433" s="523"/>
      <c r="N433" s="523"/>
      <c r="O433" s="523"/>
      <c r="P433" s="523"/>
      <c r="Q433" s="523"/>
      <c r="R433" s="523"/>
      <c r="S433" s="523"/>
      <c r="T433" s="523"/>
      <c r="U433" s="523"/>
      <c r="V433" s="523"/>
      <c r="W433" s="523"/>
      <c r="X433" s="523"/>
      <c r="Y433" s="523"/>
      <c r="Z433" s="523"/>
    </row>
    <row r="434">
      <c r="A434" s="523"/>
      <c r="B434" s="524"/>
      <c r="C434" s="523"/>
      <c r="D434" s="523"/>
      <c r="E434" s="524"/>
      <c r="F434" s="524"/>
      <c r="G434" s="524"/>
      <c r="H434" s="524"/>
      <c r="I434" s="523"/>
      <c r="J434" s="523"/>
      <c r="K434" s="523"/>
      <c r="L434" s="523"/>
      <c r="M434" s="523"/>
      <c r="N434" s="523"/>
      <c r="O434" s="523"/>
      <c r="P434" s="523"/>
      <c r="Q434" s="523"/>
      <c r="R434" s="523"/>
      <c r="S434" s="523"/>
      <c r="T434" s="523"/>
      <c r="U434" s="523"/>
      <c r="V434" s="523"/>
      <c r="W434" s="523"/>
      <c r="X434" s="523"/>
      <c r="Y434" s="523"/>
      <c r="Z434" s="523"/>
    </row>
    <row r="435">
      <c r="A435" s="523"/>
      <c r="B435" s="524"/>
      <c r="C435" s="523"/>
      <c r="D435" s="523"/>
      <c r="E435" s="524"/>
      <c r="F435" s="524"/>
      <c r="G435" s="524"/>
      <c r="H435" s="524"/>
      <c r="I435" s="523"/>
      <c r="J435" s="523"/>
      <c r="K435" s="523"/>
      <c r="L435" s="523"/>
      <c r="M435" s="523"/>
      <c r="N435" s="523"/>
      <c r="O435" s="523"/>
      <c r="P435" s="523"/>
      <c r="Q435" s="523"/>
      <c r="R435" s="523"/>
      <c r="S435" s="523"/>
      <c r="T435" s="523"/>
      <c r="U435" s="523"/>
      <c r="V435" s="523"/>
      <c r="W435" s="523"/>
      <c r="X435" s="523"/>
      <c r="Y435" s="523"/>
      <c r="Z435" s="523"/>
    </row>
    <row r="436">
      <c r="A436" s="523"/>
      <c r="B436" s="524"/>
      <c r="C436" s="523"/>
      <c r="D436" s="523"/>
      <c r="E436" s="524"/>
      <c r="F436" s="524"/>
      <c r="G436" s="524"/>
      <c r="H436" s="524"/>
      <c r="I436" s="523"/>
      <c r="J436" s="523"/>
      <c r="K436" s="523"/>
      <c r="L436" s="523"/>
      <c r="M436" s="523"/>
      <c r="N436" s="523"/>
      <c r="O436" s="523"/>
      <c r="P436" s="523"/>
      <c r="Q436" s="523"/>
      <c r="R436" s="523"/>
      <c r="S436" s="523"/>
      <c r="T436" s="523"/>
      <c r="U436" s="523"/>
      <c r="V436" s="523"/>
      <c r="W436" s="523"/>
      <c r="X436" s="523"/>
      <c r="Y436" s="523"/>
      <c r="Z436" s="523"/>
    </row>
    <row r="437">
      <c r="A437" s="523"/>
      <c r="B437" s="524"/>
      <c r="C437" s="523"/>
      <c r="D437" s="523"/>
      <c r="E437" s="524"/>
      <c r="F437" s="524"/>
      <c r="G437" s="524"/>
      <c r="H437" s="524"/>
      <c r="I437" s="523"/>
      <c r="J437" s="523"/>
      <c r="K437" s="523"/>
      <c r="L437" s="523"/>
      <c r="M437" s="523"/>
      <c r="N437" s="523"/>
      <c r="O437" s="523"/>
      <c r="P437" s="523"/>
      <c r="Q437" s="523"/>
      <c r="R437" s="523"/>
      <c r="S437" s="523"/>
      <c r="T437" s="523"/>
      <c r="U437" s="523"/>
      <c r="V437" s="523"/>
      <c r="W437" s="523"/>
      <c r="X437" s="523"/>
      <c r="Y437" s="523"/>
      <c r="Z437" s="523"/>
    </row>
    <row r="438">
      <c r="A438" s="523"/>
      <c r="B438" s="524"/>
      <c r="C438" s="523"/>
      <c r="D438" s="523"/>
      <c r="E438" s="524"/>
      <c r="F438" s="524"/>
      <c r="G438" s="524"/>
      <c r="H438" s="524"/>
      <c r="I438" s="523"/>
      <c r="J438" s="523"/>
      <c r="K438" s="523"/>
      <c r="L438" s="523"/>
      <c r="M438" s="523"/>
      <c r="N438" s="523"/>
      <c r="O438" s="523"/>
      <c r="P438" s="523"/>
      <c r="Q438" s="523"/>
      <c r="R438" s="523"/>
      <c r="S438" s="523"/>
      <c r="T438" s="523"/>
      <c r="U438" s="523"/>
      <c r="V438" s="523"/>
      <c r="W438" s="523"/>
      <c r="X438" s="523"/>
      <c r="Y438" s="523"/>
      <c r="Z438" s="523"/>
    </row>
    <row r="439">
      <c r="A439" s="523"/>
      <c r="B439" s="524"/>
      <c r="C439" s="523"/>
      <c r="D439" s="523"/>
      <c r="E439" s="524"/>
      <c r="F439" s="524"/>
      <c r="G439" s="524"/>
      <c r="H439" s="524"/>
      <c r="I439" s="523"/>
      <c r="J439" s="523"/>
      <c r="K439" s="523"/>
      <c r="L439" s="523"/>
      <c r="M439" s="523"/>
      <c r="N439" s="523"/>
      <c r="O439" s="523"/>
      <c r="P439" s="523"/>
      <c r="Q439" s="523"/>
      <c r="R439" s="523"/>
      <c r="S439" s="523"/>
      <c r="T439" s="523"/>
      <c r="U439" s="523"/>
      <c r="V439" s="523"/>
      <c r="W439" s="523"/>
      <c r="X439" s="523"/>
      <c r="Y439" s="523"/>
      <c r="Z439" s="523"/>
    </row>
    <row r="440">
      <c r="A440" s="523"/>
      <c r="B440" s="524"/>
      <c r="C440" s="523"/>
      <c r="D440" s="523"/>
      <c r="E440" s="524"/>
      <c r="F440" s="524"/>
      <c r="G440" s="524"/>
      <c r="H440" s="524"/>
      <c r="I440" s="523"/>
      <c r="J440" s="523"/>
      <c r="K440" s="523"/>
      <c r="L440" s="523"/>
      <c r="M440" s="523"/>
      <c r="N440" s="523"/>
      <c r="O440" s="523"/>
      <c r="P440" s="523"/>
      <c r="Q440" s="523"/>
      <c r="R440" s="523"/>
      <c r="S440" s="523"/>
      <c r="T440" s="523"/>
      <c r="U440" s="523"/>
      <c r="V440" s="523"/>
      <c r="W440" s="523"/>
      <c r="X440" s="523"/>
      <c r="Y440" s="523"/>
      <c r="Z440" s="523"/>
    </row>
    <row r="441">
      <c r="A441" s="523"/>
      <c r="B441" s="524"/>
      <c r="C441" s="523"/>
      <c r="D441" s="523"/>
      <c r="E441" s="524"/>
      <c r="F441" s="524"/>
      <c r="G441" s="524"/>
      <c r="H441" s="524"/>
      <c r="I441" s="523"/>
      <c r="J441" s="523"/>
      <c r="K441" s="523"/>
      <c r="L441" s="523"/>
      <c r="M441" s="523"/>
      <c r="N441" s="523"/>
      <c r="O441" s="523"/>
      <c r="P441" s="523"/>
      <c r="Q441" s="523"/>
      <c r="R441" s="523"/>
      <c r="S441" s="523"/>
      <c r="T441" s="523"/>
      <c r="U441" s="523"/>
      <c r="V441" s="523"/>
      <c r="W441" s="523"/>
      <c r="X441" s="523"/>
      <c r="Y441" s="523"/>
      <c r="Z441" s="523"/>
    </row>
    <row r="442">
      <c r="A442" s="523"/>
      <c r="B442" s="524"/>
      <c r="C442" s="523"/>
      <c r="D442" s="523"/>
      <c r="E442" s="524"/>
      <c r="F442" s="524"/>
      <c r="G442" s="524"/>
      <c r="H442" s="524"/>
      <c r="I442" s="523"/>
      <c r="J442" s="523"/>
      <c r="K442" s="523"/>
      <c r="L442" s="523"/>
      <c r="M442" s="523"/>
      <c r="N442" s="523"/>
      <c r="O442" s="523"/>
      <c r="P442" s="523"/>
      <c r="Q442" s="523"/>
      <c r="R442" s="523"/>
      <c r="S442" s="523"/>
      <c r="T442" s="523"/>
      <c r="U442" s="523"/>
      <c r="V442" s="523"/>
      <c r="W442" s="523"/>
      <c r="X442" s="523"/>
      <c r="Y442" s="523"/>
      <c r="Z442" s="523"/>
    </row>
    <row r="443">
      <c r="A443" s="523"/>
      <c r="B443" s="524"/>
      <c r="C443" s="523"/>
      <c r="D443" s="523"/>
      <c r="E443" s="524"/>
      <c r="F443" s="524"/>
      <c r="G443" s="524"/>
      <c r="H443" s="524"/>
      <c r="I443" s="523"/>
      <c r="J443" s="523"/>
      <c r="K443" s="523"/>
      <c r="L443" s="523"/>
      <c r="M443" s="523"/>
      <c r="N443" s="523"/>
      <c r="O443" s="523"/>
      <c r="P443" s="523"/>
      <c r="Q443" s="523"/>
      <c r="R443" s="523"/>
      <c r="S443" s="523"/>
      <c r="T443" s="523"/>
      <c r="U443" s="523"/>
      <c r="V443" s="523"/>
      <c r="W443" s="523"/>
      <c r="X443" s="523"/>
      <c r="Y443" s="523"/>
      <c r="Z443" s="523"/>
    </row>
    <row r="444">
      <c r="A444" s="523"/>
      <c r="B444" s="524"/>
      <c r="C444" s="523"/>
      <c r="D444" s="523"/>
      <c r="E444" s="524"/>
      <c r="F444" s="524"/>
      <c r="G444" s="524"/>
      <c r="H444" s="524"/>
      <c r="I444" s="523"/>
      <c r="J444" s="523"/>
      <c r="K444" s="523"/>
      <c r="L444" s="523"/>
      <c r="M444" s="523"/>
      <c r="N444" s="523"/>
      <c r="O444" s="523"/>
      <c r="P444" s="523"/>
      <c r="Q444" s="523"/>
      <c r="R444" s="523"/>
      <c r="S444" s="523"/>
      <c r="T444" s="523"/>
      <c r="U444" s="523"/>
      <c r="V444" s="523"/>
      <c r="W444" s="523"/>
      <c r="X444" s="523"/>
      <c r="Y444" s="523"/>
      <c r="Z444" s="523"/>
    </row>
    <row r="445">
      <c r="A445" s="523"/>
      <c r="B445" s="524"/>
      <c r="C445" s="523"/>
      <c r="D445" s="523"/>
      <c r="E445" s="524"/>
      <c r="F445" s="524"/>
      <c r="G445" s="524"/>
      <c r="H445" s="524"/>
      <c r="I445" s="523"/>
      <c r="J445" s="523"/>
      <c r="K445" s="523"/>
      <c r="L445" s="523"/>
      <c r="M445" s="523"/>
      <c r="N445" s="523"/>
      <c r="O445" s="523"/>
      <c r="P445" s="523"/>
      <c r="Q445" s="523"/>
      <c r="R445" s="523"/>
      <c r="S445" s="523"/>
      <c r="T445" s="523"/>
      <c r="U445" s="523"/>
      <c r="V445" s="523"/>
      <c r="W445" s="523"/>
      <c r="X445" s="523"/>
      <c r="Y445" s="523"/>
      <c r="Z445" s="523"/>
    </row>
    <row r="446">
      <c r="A446" s="523"/>
      <c r="B446" s="524"/>
      <c r="C446" s="523"/>
      <c r="D446" s="523"/>
      <c r="E446" s="524"/>
      <c r="F446" s="524"/>
      <c r="G446" s="524"/>
      <c r="H446" s="524"/>
      <c r="I446" s="523"/>
      <c r="J446" s="523"/>
      <c r="K446" s="523"/>
      <c r="L446" s="523"/>
      <c r="M446" s="523"/>
      <c r="N446" s="523"/>
      <c r="O446" s="523"/>
      <c r="P446" s="523"/>
      <c r="Q446" s="523"/>
      <c r="R446" s="523"/>
      <c r="S446" s="523"/>
      <c r="T446" s="523"/>
      <c r="U446" s="523"/>
      <c r="V446" s="523"/>
      <c r="W446" s="523"/>
      <c r="X446" s="523"/>
      <c r="Y446" s="523"/>
      <c r="Z446" s="523"/>
    </row>
    <row r="447">
      <c r="A447" s="523"/>
      <c r="B447" s="524"/>
      <c r="C447" s="523"/>
      <c r="D447" s="523"/>
      <c r="E447" s="524"/>
      <c r="F447" s="524"/>
      <c r="G447" s="524"/>
      <c r="H447" s="524"/>
      <c r="I447" s="523"/>
      <c r="J447" s="523"/>
      <c r="K447" s="523"/>
      <c r="L447" s="523"/>
      <c r="M447" s="523"/>
      <c r="N447" s="523"/>
      <c r="O447" s="523"/>
      <c r="P447" s="523"/>
      <c r="Q447" s="523"/>
      <c r="R447" s="523"/>
      <c r="S447" s="523"/>
      <c r="T447" s="523"/>
      <c r="U447" s="523"/>
      <c r="V447" s="523"/>
      <c r="W447" s="523"/>
      <c r="X447" s="523"/>
      <c r="Y447" s="523"/>
      <c r="Z447" s="523"/>
    </row>
    <row r="448">
      <c r="A448" s="523"/>
      <c r="B448" s="524"/>
      <c r="C448" s="523"/>
      <c r="D448" s="523"/>
      <c r="E448" s="524"/>
      <c r="F448" s="524"/>
      <c r="G448" s="524"/>
      <c r="H448" s="524"/>
      <c r="I448" s="523"/>
      <c r="J448" s="523"/>
      <c r="K448" s="523"/>
      <c r="L448" s="523"/>
      <c r="M448" s="523"/>
      <c r="N448" s="523"/>
      <c r="O448" s="523"/>
      <c r="P448" s="523"/>
      <c r="Q448" s="523"/>
      <c r="R448" s="523"/>
      <c r="S448" s="523"/>
      <c r="T448" s="523"/>
      <c r="U448" s="523"/>
      <c r="V448" s="523"/>
      <c r="W448" s="523"/>
      <c r="X448" s="523"/>
      <c r="Y448" s="523"/>
      <c r="Z448" s="523"/>
    </row>
    <row r="449">
      <c r="A449" s="523"/>
      <c r="B449" s="524"/>
      <c r="C449" s="523"/>
      <c r="D449" s="523"/>
      <c r="E449" s="524"/>
      <c r="F449" s="524"/>
      <c r="G449" s="524"/>
      <c r="H449" s="524"/>
      <c r="I449" s="523"/>
      <c r="J449" s="523"/>
      <c r="K449" s="523"/>
      <c r="L449" s="523"/>
      <c r="M449" s="523"/>
      <c r="N449" s="523"/>
      <c r="O449" s="523"/>
      <c r="P449" s="523"/>
      <c r="Q449" s="523"/>
      <c r="R449" s="523"/>
      <c r="S449" s="523"/>
      <c r="T449" s="523"/>
      <c r="U449" s="523"/>
      <c r="V449" s="523"/>
      <c r="W449" s="523"/>
      <c r="X449" s="523"/>
      <c r="Y449" s="523"/>
      <c r="Z449" s="523"/>
    </row>
    <row r="450">
      <c r="A450" s="523"/>
      <c r="B450" s="524"/>
      <c r="C450" s="523"/>
      <c r="D450" s="523"/>
      <c r="E450" s="524"/>
      <c r="F450" s="524"/>
      <c r="G450" s="524"/>
      <c r="H450" s="524"/>
      <c r="I450" s="523"/>
      <c r="J450" s="523"/>
      <c r="K450" s="523"/>
      <c r="L450" s="523"/>
      <c r="M450" s="523"/>
      <c r="N450" s="523"/>
      <c r="O450" s="523"/>
      <c r="P450" s="523"/>
      <c r="Q450" s="523"/>
      <c r="R450" s="523"/>
      <c r="S450" s="523"/>
      <c r="T450" s="523"/>
      <c r="U450" s="523"/>
      <c r="V450" s="523"/>
      <c r="W450" s="523"/>
      <c r="X450" s="523"/>
      <c r="Y450" s="523"/>
      <c r="Z450" s="523"/>
    </row>
    <row r="451">
      <c r="A451" s="523"/>
      <c r="B451" s="524"/>
      <c r="C451" s="523"/>
      <c r="D451" s="523"/>
      <c r="E451" s="524"/>
      <c r="F451" s="524"/>
      <c r="G451" s="524"/>
      <c r="H451" s="524"/>
      <c r="I451" s="523"/>
      <c r="J451" s="523"/>
      <c r="K451" s="523"/>
      <c r="L451" s="523"/>
      <c r="M451" s="523"/>
      <c r="N451" s="523"/>
      <c r="O451" s="523"/>
      <c r="P451" s="523"/>
      <c r="Q451" s="523"/>
      <c r="R451" s="523"/>
      <c r="S451" s="523"/>
      <c r="T451" s="523"/>
      <c r="U451" s="523"/>
      <c r="V451" s="523"/>
      <c r="W451" s="523"/>
      <c r="X451" s="523"/>
      <c r="Y451" s="523"/>
      <c r="Z451" s="523"/>
    </row>
    <row r="452">
      <c r="A452" s="523"/>
      <c r="B452" s="524"/>
      <c r="C452" s="523"/>
      <c r="D452" s="523"/>
      <c r="E452" s="524"/>
      <c r="F452" s="524"/>
      <c r="G452" s="524"/>
      <c r="H452" s="524"/>
      <c r="I452" s="523"/>
      <c r="J452" s="523"/>
      <c r="K452" s="523"/>
      <c r="L452" s="523"/>
      <c r="M452" s="523"/>
      <c r="N452" s="523"/>
      <c r="O452" s="523"/>
      <c r="P452" s="523"/>
      <c r="Q452" s="523"/>
      <c r="R452" s="523"/>
      <c r="S452" s="523"/>
      <c r="T452" s="523"/>
      <c r="U452" s="523"/>
      <c r="V452" s="523"/>
      <c r="W452" s="523"/>
      <c r="X452" s="523"/>
      <c r="Y452" s="523"/>
      <c r="Z452" s="523"/>
    </row>
    <row r="453">
      <c r="A453" s="523"/>
      <c r="B453" s="524"/>
      <c r="C453" s="523"/>
      <c r="D453" s="523"/>
      <c r="E453" s="524"/>
      <c r="F453" s="524"/>
      <c r="G453" s="524"/>
      <c r="H453" s="524"/>
      <c r="I453" s="523"/>
      <c r="J453" s="523"/>
      <c r="K453" s="523"/>
      <c r="L453" s="523"/>
      <c r="M453" s="523"/>
      <c r="N453" s="523"/>
      <c r="O453" s="523"/>
      <c r="P453" s="523"/>
      <c r="Q453" s="523"/>
      <c r="R453" s="523"/>
      <c r="S453" s="523"/>
      <c r="T453" s="523"/>
      <c r="U453" s="523"/>
      <c r="V453" s="523"/>
      <c r="W453" s="523"/>
      <c r="X453" s="523"/>
      <c r="Y453" s="523"/>
      <c r="Z453" s="523"/>
    </row>
    <row r="454">
      <c r="A454" s="523"/>
      <c r="B454" s="524"/>
      <c r="C454" s="523"/>
      <c r="D454" s="523"/>
      <c r="E454" s="524"/>
      <c r="F454" s="524"/>
      <c r="G454" s="524"/>
      <c r="H454" s="524"/>
      <c r="I454" s="523"/>
      <c r="J454" s="523"/>
      <c r="K454" s="523"/>
      <c r="L454" s="523"/>
      <c r="M454" s="523"/>
      <c r="N454" s="523"/>
      <c r="O454" s="523"/>
      <c r="P454" s="523"/>
      <c r="Q454" s="523"/>
      <c r="R454" s="523"/>
      <c r="S454" s="523"/>
      <c r="T454" s="523"/>
      <c r="U454" s="523"/>
      <c r="V454" s="523"/>
      <c r="W454" s="523"/>
      <c r="X454" s="523"/>
      <c r="Y454" s="523"/>
      <c r="Z454" s="523"/>
    </row>
    <row r="455">
      <c r="A455" s="523"/>
      <c r="B455" s="524"/>
      <c r="C455" s="523"/>
      <c r="D455" s="523"/>
      <c r="E455" s="524"/>
      <c r="F455" s="524"/>
      <c r="G455" s="524"/>
      <c r="H455" s="524"/>
      <c r="I455" s="523"/>
      <c r="J455" s="523"/>
      <c r="K455" s="523"/>
      <c r="L455" s="523"/>
      <c r="M455" s="523"/>
      <c r="N455" s="523"/>
      <c r="O455" s="523"/>
      <c r="P455" s="523"/>
      <c r="Q455" s="523"/>
      <c r="R455" s="523"/>
      <c r="S455" s="523"/>
      <c r="T455" s="523"/>
      <c r="U455" s="523"/>
      <c r="V455" s="523"/>
      <c r="W455" s="523"/>
      <c r="X455" s="523"/>
      <c r="Y455" s="523"/>
      <c r="Z455" s="523"/>
    </row>
    <row r="456">
      <c r="A456" s="523"/>
      <c r="B456" s="524"/>
      <c r="C456" s="523"/>
      <c r="D456" s="523"/>
      <c r="E456" s="524"/>
      <c r="F456" s="524"/>
      <c r="G456" s="524"/>
      <c r="H456" s="524"/>
      <c r="I456" s="523"/>
      <c r="J456" s="523"/>
      <c r="K456" s="523"/>
      <c r="L456" s="523"/>
      <c r="M456" s="523"/>
      <c r="N456" s="523"/>
      <c r="O456" s="523"/>
      <c r="P456" s="523"/>
      <c r="Q456" s="523"/>
      <c r="R456" s="523"/>
      <c r="S456" s="523"/>
      <c r="T456" s="523"/>
      <c r="U456" s="523"/>
      <c r="V456" s="523"/>
      <c r="W456" s="523"/>
      <c r="X456" s="523"/>
      <c r="Y456" s="523"/>
      <c r="Z456" s="523"/>
    </row>
    <row r="457">
      <c r="A457" s="523"/>
      <c r="B457" s="524"/>
      <c r="C457" s="523"/>
      <c r="D457" s="523"/>
      <c r="E457" s="524"/>
      <c r="F457" s="524"/>
      <c r="G457" s="524"/>
      <c r="H457" s="524"/>
      <c r="I457" s="523"/>
      <c r="J457" s="523"/>
      <c r="K457" s="523"/>
      <c r="L457" s="523"/>
      <c r="M457" s="523"/>
      <c r="N457" s="523"/>
      <c r="O457" s="523"/>
      <c r="P457" s="523"/>
      <c r="Q457" s="523"/>
      <c r="R457" s="523"/>
      <c r="S457" s="523"/>
      <c r="T457" s="523"/>
      <c r="U457" s="523"/>
      <c r="V457" s="523"/>
      <c r="W457" s="523"/>
      <c r="X457" s="523"/>
      <c r="Y457" s="523"/>
      <c r="Z457" s="523"/>
    </row>
    <row r="458">
      <c r="A458" s="523"/>
      <c r="B458" s="524"/>
      <c r="C458" s="523"/>
      <c r="D458" s="523"/>
      <c r="E458" s="524"/>
      <c r="F458" s="524"/>
      <c r="G458" s="524"/>
      <c r="H458" s="524"/>
      <c r="I458" s="523"/>
      <c r="J458" s="523"/>
      <c r="K458" s="523"/>
      <c r="L458" s="523"/>
      <c r="M458" s="523"/>
      <c r="N458" s="523"/>
      <c r="O458" s="523"/>
      <c r="P458" s="523"/>
      <c r="Q458" s="523"/>
      <c r="R458" s="523"/>
      <c r="S458" s="523"/>
      <c r="T458" s="523"/>
      <c r="U458" s="523"/>
      <c r="V458" s="523"/>
      <c r="W458" s="523"/>
      <c r="X458" s="523"/>
      <c r="Y458" s="523"/>
      <c r="Z458" s="523"/>
    </row>
    <row r="459">
      <c r="A459" s="523"/>
      <c r="B459" s="524"/>
      <c r="C459" s="523"/>
      <c r="D459" s="523"/>
      <c r="E459" s="524"/>
      <c r="F459" s="524"/>
      <c r="G459" s="524"/>
      <c r="H459" s="524"/>
      <c r="I459" s="523"/>
      <c r="J459" s="523"/>
      <c r="K459" s="523"/>
      <c r="L459" s="523"/>
      <c r="M459" s="523"/>
      <c r="N459" s="523"/>
      <c r="O459" s="523"/>
      <c r="P459" s="523"/>
      <c r="Q459" s="523"/>
      <c r="R459" s="523"/>
      <c r="S459" s="523"/>
      <c r="T459" s="523"/>
      <c r="U459" s="523"/>
      <c r="V459" s="523"/>
      <c r="W459" s="523"/>
      <c r="X459" s="523"/>
      <c r="Y459" s="523"/>
      <c r="Z459" s="523"/>
    </row>
    <row r="460">
      <c r="A460" s="523"/>
      <c r="B460" s="524"/>
      <c r="C460" s="523"/>
      <c r="D460" s="523"/>
      <c r="E460" s="524"/>
      <c r="F460" s="524"/>
      <c r="G460" s="524"/>
      <c r="H460" s="524"/>
      <c r="I460" s="523"/>
      <c r="J460" s="523"/>
      <c r="K460" s="523"/>
      <c r="L460" s="523"/>
      <c r="M460" s="523"/>
      <c r="N460" s="523"/>
      <c r="O460" s="523"/>
      <c r="P460" s="523"/>
      <c r="Q460" s="523"/>
      <c r="R460" s="523"/>
      <c r="S460" s="523"/>
      <c r="T460" s="523"/>
      <c r="U460" s="523"/>
      <c r="V460" s="523"/>
      <c r="W460" s="523"/>
      <c r="X460" s="523"/>
      <c r="Y460" s="523"/>
      <c r="Z460" s="523"/>
    </row>
    <row r="461">
      <c r="A461" s="523"/>
      <c r="B461" s="524"/>
      <c r="C461" s="523"/>
      <c r="D461" s="523"/>
      <c r="E461" s="524"/>
      <c r="F461" s="524"/>
      <c r="G461" s="524"/>
      <c r="H461" s="524"/>
      <c r="I461" s="523"/>
      <c r="J461" s="523"/>
      <c r="K461" s="523"/>
      <c r="L461" s="523"/>
      <c r="M461" s="523"/>
      <c r="N461" s="523"/>
      <c r="O461" s="523"/>
      <c r="P461" s="523"/>
      <c r="Q461" s="523"/>
      <c r="R461" s="523"/>
      <c r="S461" s="523"/>
      <c r="T461" s="523"/>
      <c r="U461" s="523"/>
      <c r="V461" s="523"/>
      <c r="W461" s="523"/>
      <c r="X461" s="523"/>
      <c r="Y461" s="523"/>
      <c r="Z461" s="523"/>
    </row>
    <row r="462">
      <c r="A462" s="523"/>
      <c r="B462" s="524"/>
      <c r="C462" s="523"/>
      <c r="D462" s="523"/>
      <c r="E462" s="524"/>
      <c r="F462" s="524"/>
      <c r="G462" s="524"/>
      <c r="H462" s="524"/>
      <c r="I462" s="523"/>
      <c r="J462" s="523"/>
      <c r="K462" s="523"/>
      <c r="L462" s="523"/>
      <c r="M462" s="523"/>
      <c r="N462" s="523"/>
      <c r="O462" s="523"/>
      <c r="P462" s="523"/>
      <c r="Q462" s="523"/>
      <c r="R462" s="523"/>
      <c r="S462" s="523"/>
      <c r="T462" s="523"/>
      <c r="U462" s="523"/>
      <c r="V462" s="523"/>
      <c r="W462" s="523"/>
      <c r="X462" s="523"/>
      <c r="Y462" s="523"/>
      <c r="Z462" s="523"/>
    </row>
    <row r="463">
      <c r="A463" s="523"/>
      <c r="B463" s="524"/>
      <c r="C463" s="523"/>
      <c r="D463" s="523"/>
      <c r="E463" s="524"/>
      <c r="F463" s="524"/>
      <c r="G463" s="524"/>
      <c r="H463" s="524"/>
      <c r="I463" s="523"/>
      <c r="J463" s="523"/>
      <c r="K463" s="523"/>
      <c r="L463" s="523"/>
      <c r="M463" s="523"/>
      <c r="N463" s="523"/>
      <c r="O463" s="523"/>
      <c r="P463" s="523"/>
      <c r="Q463" s="523"/>
      <c r="R463" s="523"/>
      <c r="S463" s="523"/>
      <c r="T463" s="523"/>
      <c r="U463" s="523"/>
      <c r="V463" s="523"/>
      <c r="W463" s="523"/>
      <c r="X463" s="523"/>
      <c r="Y463" s="523"/>
      <c r="Z463" s="523"/>
    </row>
    <row r="464">
      <c r="A464" s="523"/>
      <c r="B464" s="524"/>
      <c r="C464" s="523"/>
      <c r="D464" s="523"/>
      <c r="E464" s="524"/>
      <c r="F464" s="524"/>
      <c r="G464" s="524"/>
      <c r="H464" s="524"/>
      <c r="I464" s="523"/>
      <c r="J464" s="523"/>
      <c r="K464" s="523"/>
      <c r="L464" s="523"/>
      <c r="M464" s="523"/>
      <c r="N464" s="523"/>
      <c r="O464" s="523"/>
      <c r="P464" s="523"/>
      <c r="Q464" s="523"/>
      <c r="R464" s="523"/>
      <c r="S464" s="523"/>
      <c r="T464" s="523"/>
      <c r="U464" s="523"/>
      <c r="V464" s="523"/>
      <c r="W464" s="523"/>
      <c r="X464" s="523"/>
      <c r="Y464" s="523"/>
      <c r="Z464" s="523"/>
    </row>
    <row r="465">
      <c r="A465" s="523"/>
      <c r="B465" s="524"/>
      <c r="C465" s="523"/>
      <c r="D465" s="523"/>
      <c r="E465" s="524"/>
      <c r="F465" s="524"/>
      <c r="G465" s="524"/>
      <c r="H465" s="524"/>
      <c r="I465" s="523"/>
      <c r="J465" s="523"/>
      <c r="K465" s="523"/>
      <c r="L465" s="523"/>
      <c r="M465" s="523"/>
      <c r="N465" s="523"/>
      <c r="O465" s="523"/>
      <c r="P465" s="523"/>
      <c r="Q465" s="523"/>
      <c r="R465" s="523"/>
      <c r="S465" s="523"/>
      <c r="T465" s="523"/>
      <c r="U465" s="523"/>
      <c r="V465" s="523"/>
      <c r="W465" s="523"/>
      <c r="X465" s="523"/>
      <c r="Y465" s="523"/>
      <c r="Z465" s="523"/>
    </row>
    <row r="466">
      <c r="A466" s="523"/>
      <c r="B466" s="524"/>
      <c r="C466" s="523"/>
      <c r="D466" s="523"/>
      <c r="E466" s="524"/>
      <c r="F466" s="524"/>
      <c r="G466" s="524"/>
      <c r="H466" s="524"/>
      <c r="I466" s="523"/>
      <c r="J466" s="523"/>
      <c r="K466" s="523"/>
      <c r="L466" s="523"/>
      <c r="M466" s="523"/>
      <c r="N466" s="523"/>
      <c r="O466" s="523"/>
      <c r="P466" s="523"/>
      <c r="Q466" s="523"/>
      <c r="R466" s="523"/>
      <c r="S466" s="523"/>
      <c r="T466" s="523"/>
      <c r="U466" s="523"/>
      <c r="V466" s="523"/>
      <c r="W466" s="523"/>
      <c r="X466" s="523"/>
      <c r="Y466" s="523"/>
      <c r="Z466" s="523"/>
    </row>
    <row r="467">
      <c r="A467" s="523"/>
      <c r="B467" s="524"/>
      <c r="C467" s="523"/>
      <c r="D467" s="523"/>
      <c r="E467" s="524"/>
      <c r="F467" s="524"/>
      <c r="G467" s="524"/>
      <c r="H467" s="524"/>
      <c r="I467" s="523"/>
      <c r="J467" s="523"/>
      <c r="K467" s="523"/>
      <c r="L467" s="523"/>
      <c r="M467" s="523"/>
      <c r="N467" s="523"/>
      <c r="O467" s="523"/>
      <c r="P467" s="523"/>
      <c r="Q467" s="523"/>
      <c r="R467" s="523"/>
      <c r="S467" s="523"/>
      <c r="T467" s="523"/>
      <c r="U467" s="523"/>
      <c r="V467" s="523"/>
      <c r="W467" s="523"/>
      <c r="X467" s="523"/>
      <c r="Y467" s="523"/>
      <c r="Z467" s="523"/>
    </row>
    <row r="468">
      <c r="A468" s="523"/>
      <c r="B468" s="524"/>
      <c r="C468" s="523"/>
      <c r="D468" s="523"/>
      <c r="E468" s="524"/>
      <c r="F468" s="524"/>
      <c r="G468" s="524"/>
      <c r="H468" s="524"/>
      <c r="I468" s="523"/>
      <c r="J468" s="523"/>
      <c r="K468" s="523"/>
      <c r="L468" s="523"/>
      <c r="M468" s="523"/>
      <c r="N468" s="523"/>
      <c r="O468" s="523"/>
      <c r="P468" s="523"/>
      <c r="Q468" s="523"/>
      <c r="R468" s="523"/>
      <c r="S468" s="523"/>
      <c r="T468" s="523"/>
      <c r="U468" s="523"/>
      <c r="V468" s="523"/>
      <c r="W468" s="523"/>
      <c r="X468" s="523"/>
      <c r="Y468" s="523"/>
      <c r="Z468" s="523"/>
    </row>
    <row r="469">
      <c r="A469" s="523"/>
      <c r="B469" s="524"/>
      <c r="C469" s="523"/>
      <c r="D469" s="523"/>
      <c r="E469" s="524"/>
      <c r="F469" s="524"/>
      <c r="G469" s="524"/>
      <c r="H469" s="524"/>
      <c r="I469" s="523"/>
      <c r="J469" s="523"/>
      <c r="K469" s="523"/>
      <c r="L469" s="523"/>
      <c r="M469" s="523"/>
      <c r="N469" s="523"/>
      <c r="O469" s="523"/>
      <c r="P469" s="523"/>
      <c r="Q469" s="523"/>
      <c r="R469" s="523"/>
      <c r="S469" s="523"/>
      <c r="T469" s="523"/>
      <c r="U469" s="523"/>
      <c r="V469" s="523"/>
      <c r="W469" s="523"/>
      <c r="X469" s="523"/>
      <c r="Y469" s="523"/>
      <c r="Z469" s="523"/>
    </row>
    <row r="470">
      <c r="A470" s="523"/>
      <c r="B470" s="524"/>
      <c r="C470" s="523"/>
      <c r="D470" s="523"/>
      <c r="E470" s="524"/>
      <c r="F470" s="524"/>
      <c r="G470" s="524"/>
      <c r="H470" s="524"/>
      <c r="I470" s="523"/>
      <c r="J470" s="523"/>
      <c r="K470" s="523"/>
      <c r="L470" s="523"/>
      <c r="M470" s="523"/>
      <c r="N470" s="523"/>
      <c r="O470" s="523"/>
      <c r="P470" s="523"/>
      <c r="Q470" s="523"/>
      <c r="R470" s="523"/>
      <c r="S470" s="523"/>
      <c r="T470" s="523"/>
      <c r="U470" s="523"/>
      <c r="V470" s="523"/>
      <c r="W470" s="523"/>
      <c r="X470" s="523"/>
      <c r="Y470" s="523"/>
      <c r="Z470" s="523"/>
    </row>
    <row r="471">
      <c r="A471" s="523"/>
      <c r="B471" s="524"/>
      <c r="C471" s="523"/>
      <c r="D471" s="523"/>
      <c r="E471" s="524"/>
      <c r="F471" s="524"/>
      <c r="G471" s="524"/>
      <c r="H471" s="524"/>
      <c r="I471" s="523"/>
      <c r="J471" s="523"/>
      <c r="K471" s="523"/>
      <c r="L471" s="523"/>
      <c r="M471" s="523"/>
      <c r="N471" s="523"/>
      <c r="O471" s="523"/>
      <c r="P471" s="523"/>
      <c r="Q471" s="523"/>
      <c r="R471" s="523"/>
      <c r="S471" s="523"/>
      <c r="T471" s="523"/>
      <c r="U471" s="523"/>
      <c r="V471" s="523"/>
      <c r="W471" s="523"/>
      <c r="X471" s="523"/>
      <c r="Y471" s="523"/>
      <c r="Z471" s="523"/>
    </row>
    <row r="472">
      <c r="A472" s="523"/>
      <c r="B472" s="524"/>
      <c r="C472" s="523"/>
      <c r="D472" s="523"/>
      <c r="E472" s="524"/>
      <c r="F472" s="524"/>
      <c r="G472" s="524"/>
      <c r="H472" s="524"/>
      <c r="I472" s="523"/>
      <c r="J472" s="523"/>
      <c r="K472" s="523"/>
      <c r="L472" s="523"/>
      <c r="M472" s="523"/>
      <c r="N472" s="523"/>
      <c r="O472" s="523"/>
      <c r="P472" s="523"/>
      <c r="Q472" s="523"/>
      <c r="R472" s="523"/>
      <c r="S472" s="523"/>
      <c r="T472" s="523"/>
      <c r="U472" s="523"/>
      <c r="V472" s="523"/>
      <c r="W472" s="523"/>
      <c r="X472" s="523"/>
      <c r="Y472" s="523"/>
      <c r="Z472" s="523"/>
    </row>
    <row r="473">
      <c r="A473" s="523"/>
      <c r="B473" s="524"/>
      <c r="C473" s="523"/>
      <c r="D473" s="523"/>
      <c r="E473" s="524"/>
      <c r="F473" s="524"/>
      <c r="G473" s="524"/>
      <c r="H473" s="524"/>
      <c r="I473" s="523"/>
      <c r="J473" s="523"/>
      <c r="K473" s="523"/>
      <c r="L473" s="523"/>
      <c r="M473" s="523"/>
      <c r="N473" s="523"/>
      <c r="O473" s="523"/>
      <c r="P473" s="523"/>
      <c r="Q473" s="523"/>
      <c r="R473" s="523"/>
      <c r="S473" s="523"/>
      <c r="T473" s="523"/>
      <c r="U473" s="523"/>
      <c r="V473" s="523"/>
      <c r="W473" s="523"/>
      <c r="X473" s="523"/>
      <c r="Y473" s="523"/>
      <c r="Z473" s="523"/>
    </row>
    <row r="474">
      <c r="A474" s="523"/>
      <c r="B474" s="524"/>
      <c r="C474" s="523"/>
      <c r="D474" s="523"/>
      <c r="E474" s="524"/>
      <c r="F474" s="524"/>
      <c r="G474" s="524"/>
      <c r="H474" s="524"/>
      <c r="I474" s="523"/>
      <c r="J474" s="523"/>
      <c r="K474" s="523"/>
      <c r="L474" s="523"/>
      <c r="M474" s="523"/>
      <c r="N474" s="523"/>
      <c r="O474" s="523"/>
      <c r="P474" s="523"/>
      <c r="Q474" s="523"/>
      <c r="R474" s="523"/>
      <c r="S474" s="523"/>
      <c r="T474" s="523"/>
      <c r="U474" s="523"/>
      <c r="V474" s="523"/>
      <c r="W474" s="523"/>
      <c r="X474" s="523"/>
      <c r="Y474" s="523"/>
      <c r="Z474" s="523"/>
    </row>
    <row r="475">
      <c r="A475" s="523"/>
      <c r="B475" s="524"/>
      <c r="C475" s="523"/>
      <c r="D475" s="523"/>
      <c r="E475" s="524"/>
      <c r="F475" s="524"/>
      <c r="G475" s="524"/>
      <c r="H475" s="524"/>
      <c r="I475" s="523"/>
      <c r="J475" s="523"/>
      <c r="K475" s="523"/>
      <c r="L475" s="523"/>
      <c r="M475" s="523"/>
      <c r="N475" s="523"/>
      <c r="O475" s="523"/>
      <c r="P475" s="523"/>
      <c r="Q475" s="523"/>
      <c r="R475" s="523"/>
      <c r="S475" s="523"/>
      <c r="T475" s="523"/>
      <c r="U475" s="523"/>
      <c r="V475" s="523"/>
      <c r="W475" s="523"/>
      <c r="X475" s="523"/>
      <c r="Y475" s="523"/>
      <c r="Z475" s="523"/>
    </row>
    <row r="476">
      <c r="A476" s="523"/>
      <c r="B476" s="524"/>
      <c r="C476" s="523"/>
      <c r="D476" s="523"/>
      <c r="E476" s="524"/>
      <c r="F476" s="524"/>
      <c r="G476" s="524"/>
      <c r="H476" s="524"/>
      <c r="I476" s="523"/>
      <c r="J476" s="523"/>
      <c r="K476" s="523"/>
      <c r="L476" s="523"/>
      <c r="M476" s="523"/>
      <c r="N476" s="523"/>
      <c r="O476" s="523"/>
      <c r="P476" s="523"/>
      <c r="Q476" s="523"/>
      <c r="R476" s="523"/>
      <c r="S476" s="523"/>
      <c r="T476" s="523"/>
      <c r="U476" s="523"/>
      <c r="V476" s="523"/>
      <c r="W476" s="523"/>
      <c r="X476" s="523"/>
      <c r="Y476" s="523"/>
      <c r="Z476" s="523"/>
    </row>
    <row r="477">
      <c r="A477" s="523"/>
      <c r="B477" s="524"/>
      <c r="C477" s="523"/>
      <c r="D477" s="523"/>
      <c r="E477" s="524"/>
      <c r="F477" s="524"/>
      <c r="G477" s="524"/>
      <c r="H477" s="524"/>
      <c r="I477" s="523"/>
      <c r="J477" s="523"/>
      <c r="K477" s="523"/>
      <c r="L477" s="523"/>
      <c r="M477" s="523"/>
      <c r="N477" s="523"/>
      <c r="O477" s="523"/>
      <c r="P477" s="523"/>
      <c r="Q477" s="523"/>
      <c r="R477" s="523"/>
      <c r="S477" s="523"/>
      <c r="T477" s="523"/>
      <c r="U477" s="523"/>
      <c r="V477" s="523"/>
      <c r="W477" s="523"/>
      <c r="X477" s="523"/>
      <c r="Y477" s="523"/>
      <c r="Z477" s="523"/>
    </row>
    <row r="478">
      <c r="A478" s="523"/>
      <c r="B478" s="524"/>
      <c r="C478" s="523"/>
      <c r="D478" s="523"/>
      <c r="E478" s="524"/>
      <c r="F478" s="524"/>
      <c r="G478" s="524"/>
      <c r="H478" s="524"/>
      <c r="I478" s="523"/>
      <c r="J478" s="523"/>
      <c r="K478" s="523"/>
      <c r="L478" s="523"/>
      <c r="M478" s="523"/>
      <c r="N478" s="523"/>
      <c r="O478" s="523"/>
      <c r="P478" s="523"/>
      <c r="Q478" s="523"/>
      <c r="R478" s="523"/>
      <c r="S478" s="523"/>
      <c r="T478" s="523"/>
      <c r="U478" s="523"/>
      <c r="V478" s="523"/>
      <c r="W478" s="523"/>
      <c r="X478" s="523"/>
      <c r="Y478" s="523"/>
      <c r="Z478" s="523"/>
    </row>
    <row r="479">
      <c r="A479" s="523"/>
      <c r="B479" s="524"/>
      <c r="C479" s="523"/>
      <c r="D479" s="523"/>
      <c r="E479" s="524"/>
      <c r="F479" s="524"/>
      <c r="G479" s="524"/>
      <c r="H479" s="524"/>
      <c r="I479" s="523"/>
      <c r="J479" s="523"/>
      <c r="K479" s="523"/>
      <c r="L479" s="523"/>
      <c r="M479" s="523"/>
      <c r="N479" s="523"/>
      <c r="O479" s="523"/>
      <c r="P479" s="523"/>
      <c r="Q479" s="523"/>
      <c r="R479" s="523"/>
      <c r="S479" s="523"/>
      <c r="T479" s="523"/>
      <c r="U479" s="523"/>
      <c r="V479" s="523"/>
      <c r="W479" s="523"/>
      <c r="X479" s="523"/>
      <c r="Y479" s="523"/>
      <c r="Z479" s="523"/>
    </row>
    <row r="480">
      <c r="A480" s="523"/>
      <c r="B480" s="524"/>
      <c r="C480" s="523"/>
      <c r="D480" s="523"/>
      <c r="E480" s="524"/>
      <c r="F480" s="524"/>
      <c r="G480" s="524"/>
      <c r="H480" s="524"/>
      <c r="I480" s="523"/>
      <c r="J480" s="523"/>
      <c r="K480" s="523"/>
      <c r="L480" s="523"/>
      <c r="M480" s="523"/>
      <c r="N480" s="523"/>
      <c r="O480" s="523"/>
      <c r="P480" s="523"/>
      <c r="Q480" s="523"/>
      <c r="R480" s="523"/>
      <c r="S480" s="523"/>
      <c r="T480" s="523"/>
      <c r="U480" s="523"/>
      <c r="V480" s="523"/>
      <c r="W480" s="523"/>
      <c r="X480" s="523"/>
      <c r="Y480" s="523"/>
      <c r="Z480" s="523"/>
    </row>
    <row r="481">
      <c r="A481" s="523"/>
      <c r="B481" s="524"/>
      <c r="C481" s="523"/>
      <c r="D481" s="523"/>
      <c r="E481" s="524"/>
      <c r="F481" s="524"/>
      <c r="G481" s="524"/>
      <c r="H481" s="524"/>
      <c r="I481" s="523"/>
      <c r="J481" s="523"/>
      <c r="K481" s="523"/>
      <c r="L481" s="523"/>
      <c r="M481" s="523"/>
      <c r="N481" s="523"/>
      <c r="O481" s="523"/>
      <c r="P481" s="523"/>
      <c r="Q481" s="523"/>
      <c r="R481" s="523"/>
      <c r="S481" s="523"/>
      <c r="T481" s="523"/>
      <c r="U481" s="523"/>
      <c r="V481" s="523"/>
      <c r="W481" s="523"/>
      <c r="X481" s="523"/>
      <c r="Y481" s="523"/>
      <c r="Z481" s="523"/>
    </row>
    <row r="482">
      <c r="A482" s="523"/>
      <c r="B482" s="524"/>
      <c r="C482" s="523"/>
      <c r="D482" s="523"/>
      <c r="E482" s="524"/>
      <c r="F482" s="524"/>
      <c r="G482" s="524"/>
      <c r="H482" s="524"/>
      <c r="I482" s="523"/>
      <c r="J482" s="523"/>
      <c r="K482" s="523"/>
      <c r="L482" s="523"/>
      <c r="M482" s="523"/>
      <c r="N482" s="523"/>
      <c r="O482" s="523"/>
      <c r="P482" s="523"/>
      <c r="Q482" s="523"/>
      <c r="R482" s="523"/>
      <c r="S482" s="523"/>
      <c r="T482" s="523"/>
      <c r="U482" s="523"/>
      <c r="V482" s="523"/>
      <c r="W482" s="523"/>
      <c r="X482" s="523"/>
      <c r="Y482" s="523"/>
      <c r="Z482" s="523"/>
    </row>
    <row r="483">
      <c r="A483" s="523"/>
      <c r="B483" s="524"/>
      <c r="C483" s="523"/>
      <c r="D483" s="523"/>
      <c r="E483" s="524"/>
      <c r="F483" s="524"/>
      <c r="G483" s="524"/>
      <c r="H483" s="524"/>
      <c r="I483" s="523"/>
      <c r="J483" s="523"/>
      <c r="K483" s="523"/>
      <c r="L483" s="523"/>
      <c r="M483" s="523"/>
      <c r="N483" s="523"/>
      <c r="O483" s="523"/>
      <c r="P483" s="523"/>
      <c r="Q483" s="523"/>
      <c r="R483" s="523"/>
      <c r="S483" s="523"/>
      <c r="T483" s="523"/>
      <c r="U483" s="523"/>
      <c r="V483" s="523"/>
      <c r="W483" s="523"/>
      <c r="X483" s="523"/>
      <c r="Y483" s="523"/>
      <c r="Z483" s="523"/>
    </row>
    <row r="484">
      <c r="A484" s="523"/>
      <c r="B484" s="524"/>
      <c r="C484" s="523"/>
      <c r="D484" s="523"/>
      <c r="E484" s="524"/>
      <c r="F484" s="524"/>
      <c r="G484" s="524"/>
      <c r="H484" s="524"/>
      <c r="I484" s="523"/>
      <c r="J484" s="523"/>
      <c r="K484" s="523"/>
      <c r="L484" s="523"/>
      <c r="M484" s="523"/>
      <c r="N484" s="523"/>
      <c r="O484" s="523"/>
      <c r="P484" s="523"/>
      <c r="Q484" s="523"/>
      <c r="R484" s="523"/>
      <c r="S484" s="523"/>
      <c r="T484" s="523"/>
      <c r="U484" s="523"/>
      <c r="V484" s="523"/>
      <c r="W484" s="523"/>
      <c r="X484" s="523"/>
      <c r="Y484" s="523"/>
      <c r="Z484" s="523"/>
    </row>
    <row r="485">
      <c r="A485" s="523"/>
      <c r="B485" s="524"/>
      <c r="C485" s="523"/>
      <c r="D485" s="523"/>
      <c r="E485" s="524"/>
      <c r="F485" s="524"/>
      <c r="G485" s="524"/>
      <c r="H485" s="524"/>
      <c r="I485" s="523"/>
      <c r="J485" s="523"/>
      <c r="K485" s="523"/>
      <c r="L485" s="523"/>
      <c r="M485" s="523"/>
      <c r="N485" s="523"/>
      <c r="O485" s="523"/>
      <c r="P485" s="523"/>
      <c r="Q485" s="523"/>
      <c r="R485" s="523"/>
      <c r="S485" s="523"/>
      <c r="T485" s="523"/>
      <c r="U485" s="523"/>
      <c r="V485" s="523"/>
      <c r="W485" s="523"/>
      <c r="X485" s="523"/>
      <c r="Y485" s="523"/>
      <c r="Z485" s="523"/>
    </row>
    <row r="486">
      <c r="A486" s="523"/>
      <c r="B486" s="524"/>
      <c r="C486" s="523"/>
      <c r="D486" s="523"/>
      <c r="E486" s="524"/>
      <c r="F486" s="524"/>
      <c r="G486" s="524"/>
      <c r="H486" s="524"/>
      <c r="I486" s="523"/>
      <c r="J486" s="523"/>
      <c r="K486" s="523"/>
      <c r="L486" s="523"/>
      <c r="M486" s="523"/>
      <c r="N486" s="523"/>
      <c r="O486" s="523"/>
      <c r="P486" s="523"/>
      <c r="Q486" s="523"/>
      <c r="R486" s="523"/>
      <c r="S486" s="523"/>
      <c r="T486" s="523"/>
      <c r="U486" s="523"/>
      <c r="V486" s="523"/>
      <c r="W486" s="523"/>
      <c r="X486" s="523"/>
      <c r="Y486" s="523"/>
      <c r="Z486" s="523"/>
    </row>
    <row r="487">
      <c r="A487" s="523"/>
      <c r="B487" s="524"/>
      <c r="C487" s="523"/>
      <c r="D487" s="523"/>
      <c r="E487" s="524"/>
      <c r="F487" s="524"/>
      <c r="G487" s="524"/>
      <c r="H487" s="524"/>
      <c r="I487" s="523"/>
      <c r="J487" s="523"/>
      <c r="K487" s="523"/>
      <c r="L487" s="523"/>
      <c r="M487" s="523"/>
      <c r="N487" s="523"/>
      <c r="O487" s="523"/>
      <c r="P487" s="523"/>
      <c r="Q487" s="523"/>
      <c r="R487" s="523"/>
      <c r="S487" s="523"/>
      <c r="T487" s="523"/>
      <c r="U487" s="523"/>
      <c r="V487" s="523"/>
      <c r="W487" s="523"/>
      <c r="X487" s="523"/>
      <c r="Y487" s="523"/>
      <c r="Z487" s="523"/>
    </row>
    <row r="488">
      <c r="A488" s="523"/>
      <c r="B488" s="524"/>
      <c r="C488" s="523"/>
      <c r="D488" s="523"/>
      <c r="E488" s="524"/>
      <c r="F488" s="524"/>
      <c r="G488" s="524"/>
      <c r="H488" s="524"/>
      <c r="I488" s="523"/>
      <c r="J488" s="523"/>
      <c r="K488" s="523"/>
      <c r="L488" s="523"/>
      <c r="M488" s="523"/>
      <c r="N488" s="523"/>
      <c r="O488" s="523"/>
      <c r="P488" s="523"/>
      <c r="Q488" s="523"/>
      <c r="R488" s="523"/>
      <c r="S488" s="523"/>
      <c r="T488" s="523"/>
      <c r="U488" s="523"/>
      <c r="V488" s="523"/>
      <c r="W488" s="523"/>
      <c r="X488" s="523"/>
      <c r="Y488" s="523"/>
      <c r="Z488" s="523"/>
    </row>
    <row r="489">
      <c r="A489" s="523"/>
      <c r="B489" s="524"/>
      <c r="C489" s="523"/>
      <c r="D489" s="523"/>
      <c r="E489" s="524"/>
      <c r="F489" s="524"/>
      <c r="G489" s="524"/>
      <c r="H489" s="524"/>
      <c r="I489" s="523"/>
      <c r="J489" s="523"/>
      <c r="K489" s="523"/>
      <c r="L489" s="523"/>
      <c r="M489" s="523"/>
      <c r="N489" s="523"/>
      <c r="O489" s="523"/>
      <c r="P489" s="523"/>
      <c r="Q489" s="523"/>
      <c r="R489" s="523"/>
      <c r="S489" s="523"/>
      <c r="T489" s="523"/>
      <c r="U489" s="523"/>
      <c r="V489" s="523"/>
      <c r="W489" s="523"/>
      <c r="X489" s="523"/>
      <c r="Y489" s="523"/>
      <c r="Z489" s="523"/>
    </row>
    <row r="490">
      <c r="A490" s="523"/>
      <c r="B490" s="524"/>
      <c r="C490" s="523"/>
      <c r="D490" s="523"/>
      <c r="E490" s="524"/>
      <c r="F490" s="524"/>
      <c r="G490" s="524"/>
      <c r="H490" s="524"/>
      <c r="I490" s="523"/>
      <c r="J490" s="523"/>
      <c r="K490" s="523"/>
      <c r="L490" s="523"/>
      <c r="M490" s="523"/>
      <c r="N490" s="523"/>
      <c r="O490" s="523"/>
      <c r="P490" s="523"/>
      <c r="Q490" s="523"/>
      <c r="R490" s="523"/>
      <c r="S490" s="523"/>
      <c r="T490" s="523"/>
      <c r="U490" s="523"/>
      <c r="V490" s="523"/>
      <c r="W490" s="523"/>
      <c r="X490" s="523"/>
      <c r="Y490" s="523"/>
      <c r="Z490" s="523"/>
    </row>
    <row r="491">
      <c r="A491" s="523"/>
      <c r="B491" s="524"/>
      <c r="C491" s="523"/>
      <c r="D491" s="523"/>
      <c r="E491" s="524"/>
      <c r="F491" s="524"/>
      <c r="G491" s="524"/>
      <c r="H491" s="524"/>
      <c r="I491" s="523"/>
      <c r="J491" s="523"/>
      <c r="K491" s="523"/>
      <c r="L491" s="523"/>
      <c r="M491" s="523"/>
      <c r="N491" s="523"/>
      <c r="O491" s="523"/>
      <c r="P491" s="523"/>
      <c r="Q491" s="523"/>
      <c r="R491" s="523"/>
      <c r="S491" s="523"/>
      <c r="T491" s="523"/>
      <c r="U491" s="523"/>
      <c r="V491" s="523"/>
      <c r="W491" s="523"/>
      <c r="X491" s="523"/>
      <c r="Y491" s="523"/>
      <c r="Z491" s="523"/>
    </row>
    <row r="492">
      <c r="A492" s="523"/>
      <c r="B492" s="524"/>
      <c r="C492" s="523"/>
      <c r="D492" s="523"/>
      <c r="E492" s="524"/>
      <c r="F492" s="524"/>
      <c r="G492" s="524"/>
      <c r="H492" s="524"/>
      <c r="I492" s="523"/>
      <c r="J492" s="523"/>
      <c r="K492" s="523"/>
      <c r="L492" s="523"/>
      <c r="M492" s="523"/>
      <c r="N492" s="523"/>
      <c r="O492" s="523"/>
      <c r="P492" s="523"/>
      <c r="Q492" s="523"/>
      <c r="R492" s="523"/>
      <c r="S492" s="523"/>
      <c r="T492" s="523"/>
      <c r="U492" s="523"/>
      <c r="V492" s="523"/>
      <c r="W492" s="523"/>
      <c r="X492" s="523"/>
      <c r="Y492" s="523"/>
      <c r="Z492" s="523"/>
    </row>
    <row r="493">
      <c r="A493" s="523"/>
      <c r="B493" s="524"/>
      <c r="C493" s="523"/>
      <c r="D493" s="523"/>
      <c r="E493" s="524"/>
      <c r="F493" s="524"/>
      <c r="G493" s="524"/>
      <c r="H493" s="524"/>
      <c r="I493" s="523"/>
      <c r="J493" s="523"/>
      <c r="K493" s="523"/>
      <c r="L493" s="523"/>
      <c r="M493" s="523"/>
      <c r="N493" s="523"/>
      <c r="O493" s="523"/>
      <c r="P493" s="523"/>
      <c r="Q493" s="523"/>
      <c r="R493" s="523"/>
      <c r="S493" s="523"/>
      <c r="T493" s="523"/>
      <c r="U493" s="523"/>
      <c r="V493" s="523"/>
      <c r="W493" s="523"/>
      <c r="X493" s="523"/>
      <c r="Y493" s="523"/>
      <c r="Z493" s="523"/>
    </row>
    <row r="494">
      <c r="A494" s="523"/>
      <c r="B494" s="524"/>
      <c r="C494" s="523"/>
      <c r="D494" s="523"/>
      <c r="E494" s="524"/>
      <c r="F494" s="524"/>
      <c r="G494" s="524"/>
      <c r="H494" s="524"/>
      <c r="I494" s="523"/>
      <c r="J494" s="523"/>
      <c r="K494" s="523"/>
      <c r="L494" s="523"/>
      <c r="M494" s="523"/>
      <c r="N494" s="523"/>
      <c r="O494" s="523"/>
      <c r="P494" s="523"/>
      <c r="Q494" s="523"/>
      <c r="R494" s="523"/>
      <c r="S494" s="523"/>
      <c r="T494" s="523"/>
      <c r="U494" s="523"/>
      <c r="V494" s="523"/>
      <c r="W494" s="523"/>
      <c r="X494" s="523"/>
      <c r="Y494" s="523"/>
      <c r="Z494" s="523"/>
    </row>
    <row r="495">
      <c r="A495" s="523"/>
      <c r="B495" s="524"/>
      <c r="C495" s="523"/>
      <c r="D495" s="523"/>
      <c r="E495" s="524"/>
      <c r="F495" s="524"/>
      <c r="G495" s="524"/>
      <c r="H495" s="524"/>
      <c r="I495" s="523"/>
      <c r="J495" s="523"/>
      <c r="K495" s="523"/>
      <c r="L495" s="523"/>
      <c r="M495" s="523"/>
      <c r="N495" s="523"/>
      <c r="O495" s="523"/>
      <c r="P495" s="523"/>
      <c r="Q495" s="523"/>
      <c r="R495" s="523"/>
      <c r="S495" s="523"/>
      <c r="T495" s="523"/>
      <c r="U495" s="523"/>
      <c r="V495" s="523"/>
      <c r="W495" s="523"/>
      <c r="X495" s="523"/>
      <c r="Y495" s="523"/>
      <c r="Z495" s="523"/>
    </row>
    <row r="496">
      <c r="A496" s="523"/>
      <c r="B496" s="524"/>
      <c r="C496" s="523"/>
      <c r="D496" s="523"/>
      <c r="E496" s="524"/>
      <c r="F496" s="524"/>
      <c r="G496" s="524"/>
      <c r="H496" s="524"/>
      <c r="I496" s="523"/>
      <c r="J496" s="523"/>
      <c r="K496" s="523"/>
      <c r="L496" s="523"/>
      <c r="M496" s="523"/>
      <c r="N496" s="523"/>
      <c r="O496" s="523"/>
      <c r="P496" s="523"/>
      <c r="Q496" s="523"/>
      <c r="R496" s="523"/>
      <c r="S496" s="523"/>
      <c r="T496" s="523"/>
      <c r="U496" s="523"/>
      <c r="V496" s="523"/>
      <c r="W496" s="523"/>
      <c r="X496" s="523"/>
      <c r="Y496" s="523"/>
      <c r="Z496" s="523"/>
    </row>
    <row r="497">
      <c r="A497" s="523"/>
      <c r="B497" s="524"/>
      <c r="C497" s="523"/>
      <c r="D497" s="523"/>
      <c r="E497" s="524"/>
      <c r="F497" s="524"/>
      <c r="G497" s="524"/>
      <c r="H497" s="524"/>
      <c r="I497" s="523"/>
      <c r="J497" s="523"/>
      <c r="K497" s="523"/>
      <c r="L497" s="523"/>
      <c r="M497" s="523"/>
      <c r="N497" s="523"/>
      <c r="O497" s="523"/>
      <c r="P497" s="523"/>
      <c r="Q497" s="523"/>
      <c r="R497" s="523"/>
      <c r="S497" s="523"/>
      <c r="T497" s="523"/>
      <c r="U497" s="523"/>
      <c r="V497" s="523"/>
      <c r="W497" s="523"/>
      <c r="X497" s="523"/>
      <c r="Y497" s="523"/>
      <c r="Z497" s="523"/>
    </row>
    <row r="498">
      <c r="A498" s="523"/>
      <c r="B498" s="524"/>
      <c r="C498" s="523"/>
      <c r="D498" s="523"/>
      <c r="E498" s="524"/>
      <c r="F498" s="524"/>
      <c r="G498" s="524"/>
      <c r="H498" s="524"/>
      <c r="I498" s="523"/>
      <c r="J498" s="523"/>
      <c r="K498" s="523"/>
      <c r="L498" s="523"/>
      <c r="M498" s="523"/>
      <c r="N498" s="523"/>
      <c r="O498" s="523"/>
      <c r="P498" s="523"/>
      <c r="Q498" s="523"/>
      <c r="R498" s="523"/>
      <c r="S498" s="523"/>
      <c r="T498" s="523"/>
      <c r="U498" s="523"/>
      <c r="V498" s="523"/>
      <c r="W498" s="523"/>
      <c r="X498" s="523"/>
      <c r="Y498" s="523"/>
      <c r="Z498" s="523"/>
    </row>
    <row r="499">
      <c r="A499" s="523"/>
      <c r="B499" s="524"/>
      <c r="C499" s="523"/>
      <c r="D499" s="523"/>
      <c r="E499" s="524"/>
      <c r="F499" s="524"/>
      <c r="G499" s="524"/>
      <c r="H499" s="524"/>
      <c r="I499" s="523"/>
      <c r="J499" s="523"/>
      <c r="K499" s="523"/>
      <c r="L499" s="523"/>
      <c r="M499" s="523"/>
      <c r="N499" s="523"/>
      <c r="O499" s="523"/>
      <c r="P499" s="523"/>
      <c r="Q499" s="523"/>
      <c r="R499" s="523"/>
      <c r="S499" s="523"/>
      <c r="T499" s="523"/>
      <c r="U499" s="523"/>
      <c r="V499" s="523"/>
      <c r="W499" s="523"/>
      <c r="X499" s="523"/>
      <c r="Y499" s="523"/>
      <c r="Z499" s="523"/>
    </row>
    <row r="500">
      <c r="A500" s="523"/>
      <c r="B500" s="524"/>
      <c r="C500" s="523"/>
      <c r="D500" s="523"/>
      <c r="E500" s="524"/>
      <c r="F500" s="524"/>
      <c r="G500" s="524"/>
      <c r="H500" s="524"/>
      <c r="I500" s="523"/>
      <c r="J500" s="523"/>
      <c r="K500" s="523"/>
      <c r="L500" s="523"/>
      <c r="M500" s="523"/>
      <c r="N500" s="523"/>
      <c r="O500" s="523"/>
      <c r="P500" s="523"/>
      <c r="Q500" s="523"/>
      <c r="R500" s="523"/>
      <c r="S500" s="523"/>
      <c r="T500" s="523"/>
      <c r="U500" s="523"/>
      <c r="V500" s="523"/>
      <c r="W500" s="523"/>
      <c r="X500" s="523"/>
      <c r="Y500" s="523"/>
      <c r="Z500" s="523"/>
    </row>
    <row r="501">
      <c r="A501" s="523"/>
      <c r="B501" s="524"/>
      <c r="C501" s="523"/>
      <c r="D501" s="523"/>
      <c r="E501" s="524"/>
      <c r="F501" s="524"/>
      <c r="G501" s="524"/>
      <c r="H501" s="524"/>
      <c r="I501" s="523"/>
      <c r="J501" s="523"/>
      <c r="K501" s="523"/>
      <c r="L501" s="523"/>
      <c r="M501" s="523"/>
      <c r="N501" s="523"/>
      <c r="O501" s="523"/>
      <c r="P501" s="523"/>
      <c r="Q501" s="523"/>
      <c r="R501" s="523"/>
      <c r="S501" s="523"/>
      <c r="T501" s="523"/>
      <c r="U501" s="523"/>
      <c r="V501" s="523"/>
      <c r="W501" s="523"/>
      <c r="X501" s="523"/>
      <c r="Y501" s="523"/>
      <c r="Z501" s="523"/>
    </row>
    <row r="502">
      <c r="A502" s="523"/>
      <c r="B502" s="524"/>
      <c r="C502" s="523"/>
      <c r="D502" s="523"/>
      <c r="E502" s="524"/>
      <c r="F502" s="524"/>
      <c r="G502" s="524"/>
      <c r="H502" s="524"/>
      <c r="I502" s="523"/>
      <c r="J502" s="523"/>
      <c r="K502" s="523"/>
      <c r="L502" s="523"/>
      <c r="M502" s="523"/>
      <c r="N502" s="523"/>
      <c r="O502" s="523"/>
      <c r="P502" s="523"/>
      <c r="Q502" s="523"/>
      <c r="R502" s="523"/>
      <c r="S502" s="523"/>
      <c r="T502" s="523"/>
      <c r="U502" s="523"/>
      <c r="V502" s="523"/>
      <c r="W502" s="523"/>
      <c r="X502" s="523"/>
      <c r="Y502" s="523"/>
      <c r="Z502" s="523"/>
    </row>
    <row r="503">
      <c r="A503" s="523"/>
      <c r="B503" s="524"/>
      <c r="C503" s="523"/>
      <c r="D503" s="523"/>
      <c r="E503" s="524"/>
      <c r="F503" s="524"/>
      <c r="G503" s="524"/>
      <c r="H503" s="524"/>
      <c r="I503" s="523"/>
      <c r="J503" s="523"/>
      <c r="K503" s="523"/>
      <c r="L503" s="523"/>
      <c r="M503" s="523"/>
      <c r="N503" s="523"/>
      <c r="O503" s="523"/>
      <c r="P503" s="523"/>
      <c r="Q503" s="523"/>
      <c r="R503" s="523"/>
      <c r="S503" s="523"/>
      <c r="T503" s="523"/>
      <c r="U503" s="523"/>
      <c r="V503" s="523"/>
      <c r="W503" s="523"/>
      <c r="X503" s="523"/>
      <c r="Y503" s="523"/>
      <c r="Z503" s="523"/>
    </row>
    <row r="504">
      <c r="A504" s="523"/>
      <c r="B504" s="524"/>
      <c r="C504" s="523"/>
      <c r="D504" s="523"/>
      <c r="E504" s="524"/>
      <c r="F504" s="524"/>
      <c r="G504" s="524"/>
      <c r="H504" s="524"/>
      <c r="I504" s="523"/>
      <c r="J504" s="523"/>
      <c r="K504" s="523"/>
      <c r="L504" s="523"/>
      <c r="M504" s="523"/>
      <c r="N504" s="523"/>
      <c r="O504" s="523"/>
      <c r="P504" s="523"/>
      <c r="Q504" s="523"/>
      <c r="R504" s="523"/>
      <c r="S504" s="523"/>
      <c r="T504" s="523"/>
      <c r="U504" s="523"/>
      <c r="V504" s="523"/>
      <c r="W504" s="523"/>
      <c r="X504" s="523"/>
      <c r="Y504" s="523"/>
      <c r="Z504" s="523"/>
    </row>
    <row r="505">
      <c r="A505" s="523"/>
      <c r="B505" s="524"/>
      <c r="C505" s="523"/>
      <c r="D505" s="523"/>
      <c r="E505" s="524"/>
      <c r="F505" s="524"/>
      <c r="G505" s="524"/>
      <c r="H505" s="524"/>
      <c r="I505" s="523"/>
      <c r="J505" s="523"/>
      <c r="K505" s="523"/>
      <c r="L505" s="523"/>
      <c r="M505" s="523"/>
      <c r="N505" s="523"/>
      <c r="O505" s="523"/>
      <c r="P505" s="523"/>
      <c r="Q505" s="523"/>
      <c r="R505" s="523"/>
      <c r="S505" s="523"/>
      <c r="T505" s="523"/>
      <c r="U505" s="523"/>
      <c r="V505" s="523"/>
      <c r="W505" s="523"/>
      <c r="X505" s="523"/>
      <c r="Y505" s="523"/>
      <c r="Z505" s="523"/>
    </row>
    <row r="506">
      <c r="A506" s="523"/>
      <c r="B506" s="524"/>
      <c r="C506" s="523"/>
      <c r="D506" s="523"/>
      <c r="E506" s="524"/>
      <c r="F506" s="524"/>
      <c r="G506" s="524"/>
      <c r="H506" s="524"/>
      <c r="I506" s="523"/>
      <c r="J506" s="523"/>
      <c r="K506" s="523"/>
      <c r="L506" s="523"/>
      <c r="M506" s="523"/>
      <c r="N506" s="523"/>
      <c r="O506" s="523"/>
      <c r="P506" s="523"/>
      <c r="Q506" s="523"/>
      <c r="R506" s="523"/>
      <c r="S506" s="523"/>
      <c r="T506" s="523"/>
      <c r="U506" s="523"/>
      <c r="V506" s="523"/>
      <c r="W506" s="523"/>
      <c r="X506" s="523"/>
      <c r="Y506" s="523"/>
      <c r="Z506" s="523"/>
    </row>
    <row r="507">
      <c r="A507" s="523"/>
      <c r="B507" s="524"/>
      <c r="C507" s="523"/>
      <c r="D507" s="523"/>
      <c r="E507" s="524"/>
      <c r="F507" s="524"/>
      <c r="G507" s="524"/>
      <c r="H507" s="524"/>
      <c r="I507" s="523"/>
      <c r="J507" s="523"/>
      <c r="K507" s="523"/>
      <c r="L507" s="523"/>
      <c r="M507" s="523"/>
      <c r="N507" s="523"/>
      <c r="O507" s="523"/>
      <c r="P507" s="523"/>
      <c r="Q507" s="523"/>
      <c r="R507" s="523"/>
      <c r="S507" s="523"/>
      <c r="T507" s="523"/>
      <c r="U507" s="523"/>
      <c r="V507" s="523"/>
      <c r="W507" s="523"/>
      <c r="X507" s="523"/>
      <c r="Y507" s="523"/>
      <c r="Z507" s="523"/>
    </row>
    <row r="508">
      <c r="A508" s="523"/>
      <c r="B508" s="524"/>
      <c r="C508" s="523"/>
      <c r="D508" s="523"/>
      <c r="E508" s="524"/>
      <c r="F508" s="524"/>
      <c r="G508" s="524"/>
      <c r="H508" s="524"/>
      <c r="I508" s="523"/>
      <c r="J508" s="523"/>
      <c r="K508" s="523"/>
      <c r="L508" s="523"/>
      <c r="M508" s="523"/>
      <c r="N508" s="523"/>
      <c r="O508" s="523"/>
      <c r="P508" s="523"/>
      <c r="Q508" s="523"/>
      <c r="R508" s="523"/>
      <c r="S508" s="523"/>
      <c r="T508" s="523"/>
      <c r="U508" s="523"/>
      <c r="V508" s="523"/>
      <c r="W508" s="523"/>
      <c r="X508" s="523"/>
      <c r="Y508" s="523"/>
      <c r="Z508" s="523"/>
    </row>
    <row r="509">
      <c r="A509" s="523"/>
      <c r="B509" s="524"/>
      <c r="C509" s="523"/>
      <c r="D509" s="523"/>
      <c r="E509" s="524"/>
      <c r="F509" s="524"/>
      <c r="G509" s="524"/>
      <c r="H509" s="524"/>
      <c r="I509" s="523"/>
      <c r="J509" s="523"/>
      <c r="K509" s="523"/>
      <c r="L509" s="523"/>
      <c r="M509" s="523"/>
      <c r="N509" s="523"/>
      <c r="O509" s="523"/>
      <c r="P509" s="523"/>
      <c r="Q509" s="523"/>
      <c r="R509" s="523"/>
      <c r="S509" s="523"/>
      <c r="T509" s="523"/>
      <c r="U509" s="523"/>
      <c r="V509" s="523"/>
      <c r="W509" s="523"/>
      <c r="X509" s="523"/>
      <c r="Y509" s="523"/>
      <c r="Z509" s="523"/>
    </row>
    <row r="510">
      <c r="A510" s="523"/>
      <c r="B510" s="524"/>
      <c r="C510" s="523"/>
      <c r="D510" s="523"/>
      <c r="E510" s="524"/>
      <c r="F510" s="524"/>
      <c r="G510" s="524"/>
      <c r="H510" s="524"/>
      <c r="I510" s="523"/>
      <c r="J510" s="523"/>
      <c r="K510" s="523"/>
      <c r="L510" s="523"/>
      <c r="M510" s="523"/>
      <c r="N510" s="523"/>
      <c r="O510" s="523"/>
      <c r="P510" s="523"/>
      <c r="Q510" s="523"/>
      <c r="R510" s="523"/>
      <c r="S510" s="523"/>
      <c r="T510" s="523"/>
      <c r="U510" s="523"/>
      <c r="V510" s="523"/>
      <c r="W510" s="523"/>
      <c r="X510" s="523"/>
      <c r="Y510" s="523"/>
      <c r="Z510" s="523"/>
    </row>
    <row r="511">
      <c r="A511" s="523"/>
      <c r="B511" s="524"/>
      <c r="C511" s="523"/>
      <c r="D511" s="523"/>
      <c r="E511" s="524"/>
      <c r="F511" s="524"/>
      <c r="G511" s="524"/>
      <c r="H511" s="524"/>
      <c r="I511" s="523"/>
      <c r="J511" s="523"/>
      <c r="K511" s="523"/>
      <c r="L511" s="523"/>
      <c r="M511" s="523"/>
      <c r="N511" s="523"/>
      <c r="O511" s="523"/>
      <c r="P511" s="523"/>
      <c r="Q511" s="523"/>
      <c r="R511" s="523"/>
      <c r="S511" s="523"/>
      <c r="T511" s="523"/>
      <c r="U511" s="523"/>
      <c r="V511" s="523"/>
      <c r="W511" s="523"/>
      <c r="X511" s="523"/>
      <c r="Y511" s="523"/>
      <c r="Z511" s="523"/>
    </row>
    <row r="512">
      <c r="A512" s="523"/>
      <c r="B512" s="524"/>
      <c r="C512" s="523"/>
      <c r="D512" s="523"/>
      <c r="E512" s="524"/>
      <c r="F512" s="524"/>
      <c r="G512" s="524"/>
      <c r="H512" s="524"/>
      <c r="I512" s="523"/>
      <c r="J512" s="523"/>
      <c r="K512" s="523"/>
      <c r="L512" s="523"/>
      <c r="M512" s="523"/>
      <c r="N512" s="523"/>
      <c r="O512" s="523"/>
      <c r="P512" s="523"/>
      <c r="Q512" s="523"/>
      <c r="R512" s="523"/>
      <c r="S512" s="523"/>
      <c r="T512" s="523"/>
      <c r="U512" s="523"/>
      <c r="V512" s="523"/>
      <c r="W512" s="523"/>
      <c r="X512" s="523"/>
      <c r="Y512" s="523"/>
      <c r="Z512" s="523"/>
    </row>
    <row r="513">
      <c r="A513" s="523"/>
      <c r="B513" s="524"/>
      <c r="C513" s="523"/>
      <c r="D513" s="523"/>
      <c r="E513" s="524"/>
      <c r="F513" s="524"/>
      <c r="G513" s="524"/>
      <c r="H513" s="524"/>
      <c r="I513" s="523"/>
      <c r="J513" s="523"/>
      <c r="K513" s="523"/>
      <c r="L513" s="523"/>
      <c r="M513" s="523"/>
      <c r="N513" s="523"/>
      <c r="O513" s="523"/>
      <c r="P513" s="523"/>
      <c r="Q513" s="523"/>
      <c r="R513" s="523"/>
      <c r="S513" s="523"/>
      <c r="T513" s="523"/>
      <c r="U513" s="523"/>
      <c r="V513" s="523"/>
      <c r="W513" s="523"/>
      <c r="X513" s="523"/>
      <c r="Y513" s="523"/>
      <c r="Z513" s="523"/>
    </row>
    <row r="514">
      <c r="A514" s="523"/>
      <c r="B514" s="524"/>
      <c r="C514" s="523"/>
      <c r="D514" s="523"/>
      <c r="E514" s="524"/>
      <c r="F514" s="524"/>
      <c r="G514" s="524"/>
      <c r="H514" s="524"/>
      <c r="I514" s="523"/>
      <c r="J514" s="523"/>
      <c r="K514" s="523"/>
      <c r="L514" s="523"/>
      <c r="M514" s="523"/>
      <c r="N514" s="523"/>
      <c r="O514" s="523"/>
      <c r="P514" s="523"/>
      <c r="Q514" s="523"/>
      <c r="R514" s="523"/>
      <c r="S514" s="523"/>
      <c r="T514" s="523"/>
      <c r="U514" s="523"/>
      <c r="V514" s="523"/>
      <c r="W514" s="523"/>
      <c r="X514" s="523"/>
      <c r="Y514" s="523"/>
      <c r="Z514" s="523"/>
    </row>
    <row r="515">
      <c r="A515" s="523"/>
      <c r="B515" s="524"/>
      <c r="C515" s="523"/>
      <c r="D515" s="523"/>
      <c r="E515" s="524"/>
      <c r="F515" s="524"/>
      <c r="G515" s="524"/>
      <c r="H515" s="524"/>
      <c r="I515" s="523"/>
      <c r="J515" s="523"/>
      <c r="K515" s="523"/>
      <c r="L515" s="523"/>
      <c r="M515" s="523"/>
      <c r="N515" s="523"/>
      <c r="O515" s="523"/>
      <c r="P515" s="523"/>
      <c r="Q515" s="523"/>
      <c r="R515" s="523"/>
      <c r="S515" s="523"/>
      <c r="T515" s="523"/>
      <c r="U515" s="523"/>
      <c r="V515" s="523"/>
      <c r="W515" s="523"/>
      <c r="X515" s="523"/>
      <c r="Y515" s="523"/>
      <c r="Z515" s="523"/>
    </row>
    <row r="516">
      <c r="A516" s="523"/>
      <c r="B516" s="524"/>
      <c r="C516" s="523"/>
      <c r="D516" s="523"/>
      <c r="E516" s="524"/>
      <c r="F516" s="524"/>
      <c r="G516" s="524"/>
      <c r="H516" s="524"/>
      <c r="I516" s="523"/>
      <c r="J516" s="523"/>
      <c r="K516" s="523"/>
      <c r="L516" s="523"/>
      <c r="M516" s="523"/>
      <c r="N516" s="523"/>
      <c r="O516" s="523"/>
      <c r="P516" s="523"/>
      <c r="Q516" s="523"/>
      <c r="R516" s="523"/>
      <c r="S516" s="523"/>
      <c r="T516" s="523"/>
      <c r="U516" s="523"/>
      <c r="V516" s="523"/>
      <c r="W516" s="523"/>
      <c r="X516" s="523"/>
      <c r="Y516" s="523"/>
      <c r="Z516" s="523"/>
    </row>
    <row r="517">
      <c r="A517" s="523"/>
      <c r="B517" s="524"/>
      <c r="C517" s="523"/>
      <c r="D517" s="523"/>
      <c r="E517" s="524"/>
      <c r="F517" s="524"/>
      <c r="G517" s="524"/>
      <c r="H517" s="524"/>
      <c r="I517" s="523"/>
      <c r="J517" s="523"/>
      <c r="K517" s="523"/>
      <c r="L517" s="523"/>
      <c r="M517" s="523"/>
      <c r="N517" s="523"/>
      <c r="O517" s="523"/>
      <c r="P517" s="523"/>
      <c r="Q517" s="523"/>
      <c r="R517" s="523"/>
      <c r="S517" s="523"/>
      <c r="T517" s="523"/>
      <c r="U517" s="523"/>
      <c r="V517" s="523"/>
      <c r="W517" s="523"/>
      <c r="X517" s="523"/>
      <c r="Y517" s="523"/>
      <c r="Z517" s="523"/>
    </row>
    <row r="518">
      <c r="A518" s="523"/>
      <c r="B518" s="524"/>
      <c r="C518" s="523"/>
      <c r="D518" s="523"/>
      <c r="E518" s="524"/>
      <c r="F518" s="524"/>
      <c r="G518" s="524"/>
      <c r="H518" s="524"/>
      <c r="I518" s="523"/>
      <c r="J518" s="523"/>
      <c r="K518" s="523"/>
      <c r="L518" s="523"/>
      <c r="M518" s="523"/>
      <c r="N518" s="523"/>
      <c r="O518" s="523"/>
      <c r="P518" s="523"/>
      <c r="Q518" s="523"/>
      <c r="R518" s="523"/>
      <c r="S518" s="523"/>
      <c r="T518" s="523"/>
      <c r="U518" s="523"/>
      <c r="V518" s="523"/>
      <c r="W518" s="523"/>
      <c r="X518" s="523"/>
      <c r="Y518" s="523"/>
      <c r="Z518" s="523"/>
    </row>
    <row r="519">
      <c r="A519" s="523"/>
      <c r="B519" s="524"/>
      <c r="C519" s="523"/>
      <c r="D519" s="523"/>
      <c r="E519" s="524"/>
      <c r="F519" s="524"/>
      <c r="G519" s="524"/>
      <c r="H519" s="524"/>
      <c r="I519" s="523"/>
      <c r="J519" s="523"/>
      <c r="K519" s="523"/>
      <c r="L519" s="523"/>
      <c r="M519" s="523"/>
      <c r="N519" s="523"/>
      <c r="O519" s="523"/>
      <c r="P519" s="523"/>
      <c r="Q519" s="523"/>
      <c r="R519" s="523"/>
      <c r="S519" s="523"/>
      <c r="T519" s="523"/>
      <c r="U519" s="523"/>
      <c r="V519" s="523"/>
      <c r="W519" s="523"/>
      <c r="X519" s="523"/>
      <c r="Y519" s="523"/>
      <c r="Z519" s="523"/>
    </row>
    <row r="520">
      <c r="A520" s="523"/>
      <c r="B520" s="524"/>
      <c r="C520" s="523"/>
      <c r="D520" s="523"/>
      <c r="E520" s="524"/>
      <c r="F520" s="524"/>
      <c r="G520" s="524"/>
      <c r="H520" s="524"/>
      <c r="I520" s="523"/>
      <c r="J520" s="523"/>
      <c r="K520" s="523"/>
      <c r="L520" s="523"/>
      <c r="M520" s="523"/>
      <c r="N520" s="523"/>
      <c r="O520" s="523"/>
      <c r="P520" s="523"/>
      <c r="Q520" s="523"/>
      <c r="R520" s="523"/>
      <c r="S520" s="523"/>
      <c r="T520" s="523"/>
      <c r="U520" s="523"/>
      <c r="V520" s="523"/>
      <c r="W520" s="523"/>
      <c r="X520" s="523"/>
      <c r="Y520" s="523"/>
      <c r="Z520" s="523"/>
    </row>
    <row r="521">
      <c r="A521" s="523"/>
      <c r="B521" s="524"/>
      <c r="C521" s="523"/>
      <c r="D521" s="523"/>
      <c r="E521" s="524"/>
      <c r="F521" s="524"/>
      <c r="G521" s="524"/>
      <c r="H521" s="524"/>
      <c r="I521" s="523"/>
      <c r="J521" s="523"/>
      <c r="K521" s="523"/>
      <c r="L521" s="523"/>
      <c r="M521" s="523"/>
      <c r="N521" s="523"/>
      <c r="O521" s="523"/>
      <c r="P521" s="523"/>
      <c r="Q521" s="523"/>
      <c r="R521" s="523"/>
      <c r="S521" s="523"/>
      <c r="T521" s="523"/>
      <c r="U521" s="523"/>
      <c r="V521" s="523"/>
      <c r="W521" s="523"/>
      <c r="X521" s="523"/>
      <c r="Y521" s="523"/>
      <c r="Z521" s="523"/>
    </row>
    <row r="522">
      <c r="A522" s="523"/>
      <c r="B522" s="524"/>
      <c r="C522" s="523"/>
      <c r="D522" s="523"/>
      <c r="E522" s="524"/>
      <c r="F522" s="524"/>
      <c r="G522" s="524"/>
      <c r="H522" s="524"/>
      <c r="I522" s="523"/>
      <c r="J522" s="523"/>
      <c r="K522" s="523"/>
      <c r="L522" s="523"/>
      <c r="M522" s="523"/>
      <c r="N522" s="523"/>
      <c r="O522" s="523"/>
      <c r="P522" s="523"/>
      <c r="Q522" s="523"/>
      <c r="R522" s="523"/>
      <c r="S522" s="523"/>
      <c r="T522" s="523"/>
      <c r="U522" s="523"/>
      <c r="V522" s="523"/>
      <c r="W522" s="523"/>
      <c r="X522" s="523"/>
      <c r="Y522" s="523"/>
      <c r="Z522" s="523"/>
    </row>
    <row r="523">
      <c r="A523" s="523"/>
      <c r="B523" s="524"/>
      <c r="C523" s="523"/>
      <c r="D523" s="523"/>
      <c r="E523" s="524"/>
      <c r="F523" s="524"/>
      <c r="G523" s="524"/>
      <c r="H523" s="524"/>
      <c r="I523" s="523"/>
      <c r="J523" s="523"/>
      <c r="K523" s="523"/>
      <c r="L523" s="523"/>
      <c r="M523" s="523"/>
      <c r="N523" s="523"/>
      <c r="O523" s="523"/>
      <c r="P523" s="523"/>
      <c r="Q523" s="523"/>
      <c r="R523" s="523"/>
      <c r="S523" s="523"/>
      <c r="T523" s="523"/>
      <c r="U523" s="523"/>
      <c r="V523" s="523"/>
      <c r="W523" s="523"/>
      <c r="X523" s="523"/>
      <c r="Y523" s="523"/>
      <c r="Z523" s="523"/>
    </row>
    <row r="524">
      <c r="A524" s="523"/>
      <c r="B524" s="524"/>
      <c r="C524" s="523"/>
      <c r="D524" s="523"/>
      <c r="E524" s="524"/>
      <c r="F524" s="524"/>
      <c r="G524" s="524"/>
      <c r="H524" s="524"/>
      <c r="I524" s="523"/>
      <c r="J524" s="523"/>
      <c r="K524" s="523"/>
      <c r="L524" s="523"/>
      <c r="M524" s="523"/>
      <c r="N524" s="523"/>
      <c r="O524" s="523"/>
      <c r="P524" s="523"/>
      <c r="Q524" s="523"/>
      <c r="R524" s="523"/>
      <c r="S524" s="523"/>
      <c r="T524" s="523"/>
      <c r="U524" s="523"/>
      <c r="V524" s="523"/>
      <c r="W524" s="523"/>
      <c r="X524" s="523"/>
      <c r="Y524" s="523"/>
      <c r="Z524" s="523"/>
    </row>
    <row r="525">
      <c r="A525" s="523"/>
      <c r="B525" s="524"/>
      <c r="C525" s="523"/>
      <c r="D525" s="523"/>
      <c r="E525" s="524"/>
      <c r="F525" s="524"/>
      <c r="G525" s="524"/>
      <c r="H525" s="524"/>
      <c r="I525" s="523"/>
      <c r="J525" s="523"/>
      <c r="K525" s="523"/>
      <c r="L525" s="523"/>
      <c r="M525" s="523"/>
      <c r="N525" s="523"/>
      <c r="O525" s="523"/>
      <c r="P525" s="523"/>
      <c r="Q525" s="523"/>
      <c r="R525" s="523"/>
      <c r="S525" s="523"/>
      <c r="T525" s="523"/>
      <c r="U525" s="523"/>
      <c r="V525" s="523"/>
      <c r="W525" s="523"/>
      <c r="X525" s="523"/>
      <c r="Y525" s="523"/>
      <c r="Z525" s="523"/>
    </row>
    <row r="526">
      <c r="A526" s="523"/>
      <c r="B526" s="524"/>
      <c r="C526" s="523"/>
      <c r="D526" s="523"/>
      <c r="E526" s="524"/>
      <c r="F526" s="524"/>
      <c r="G526" s="524"/>
      <c r="H526" s="524"/>
      <c r="I526" s="523"/>
      <c r="J526" s="523"/>
      <c r="K526" s="523"/>
      <c r="L526" s="523"/>
      <c r="M526" s="523"/>
      <c r="N526" s="523"/>
      <c r="O526" s="523"/>
      <c r="P526" s="523"/>
      <c r="Q526" s="523"/>
      <c r="R526" s="523"/>
      <c r="S526" s="523"/>
      <c r="T526" s="523"/>
      <c r="U526" s="523"/>
      <c r="V526" s="523"/>
      <c r="W526" s="523"/>
      <c r="X526" s="523"/>
      <c r="Y526" s="523"/>
      <c r="Z526" s="523"/>
    </row>
    <row r="527">
      <c r="A527" s="523"/>
      <c r="B527" s="524"/>
      <c r="C527" s="523"/>
      <c r="D527" s="523"/>
      <c r="E527" s="524"/>
      <c r="F527" s="524"/>
      <c r="G527" s="524"/>
      <c r="H527" s="524"/>
      <c r="I527" s="523"/>
      <c r="J527" s="523"/>
      <c r="K527" s="523"/>
      <c r="L527" s="523"/>
      <c r="M527" s="523"/>
      <c r="N527" s="523"/>
      <c r="O527" s="523"/>
      <c r="P527" s="523"/>
      <c r="Q527" s="523"/>
      <c r="R527" s="523"/>
      <c r="S527" s="523"/>
      <c r="T527" s="523"/>
      <c r="U527" s="523"/>
      <c r="V527" s="523"/>
      <c r="W527" s="523"/>
      <c r="X527" s="523"/>
      <c r="Y527" s="523"/>
      <c r="Z527" s="523"/>
    </row>
    <row r="528">
      <c r="A528" s="523"/>
      <c r="B528" s="524"/>
      <c r="C528" s="523"/>
      <c r="D528" s="523"/>
      <c r="E528" s="524"/>
      <c r="F528" s="524"/>
      <c r="G528" s="524"/>
      <c r="H528" s="524"/>
      <c r="I528" s="523"/>
      <c r="J528" s="523"/>
      <c r="K528" s="523"/>
      <c r="L528" s="523"/>
      <c r="M528" s="523"/>
      <c r="N528" s="523"/>
      <c r="O528" s="523"/>
      <c r="P528" s="523"/>
      <c r="Q528" s="523"/>
      <c r="R528" s="523"/>
      <c r="S528" s="523"/>
      <c r="T528" s="523"/>
      <c r="U528" s="523"/>
      <c r="V528" s="523"/>
      <c r="W528" s="523"/>
      <c r="X528" s="523"/>
      <c r="Y528" s="523"/>
      <c r="Z528" s="523"/>
    </row>
    <row r="529">
      <c r="A529" s="523"/>
      <c r="B529" s="524"/>
      <c r="C529" s="523"/>
      <c r="D529" s="523"/>
      <c r="E529" s="524"/>
      <c r="F529" s="524"/>
      <c r="G529" s="524"/>
      <c r="H529" s="524"/>
      <c r="I529" s="523"/>
      <c r="J529" s="523"/>
      <c r="K529" s="523"/>
      <c r="L529" s="523"/>
      <c r="M529" s="523"/>
      <c r="N529" s="523"/>
      <c r="O529" s="523"/>
      <c r="P529" s="523"/>
      <c r="Q529" s="523"/>
      <c r="R529" s="523"/>
      <c r="S529" s="523"/>
      <c r="T529" s="523"/>
      <c r="U529" s="523"/>
      <c r="V529" s="523"/>
      <c r="W529" s="523"/>
      <c r="X529" s="523"/>
      <c r="Y529" s="523"/>
      <c r="Z529" s="523"/>
    </row>
    <row r="530">
      <c r="A530" s="523"/>
      <c r="B530" s="524"/>
      <c r="C530" s="523"/>
      <c r="D530" s="523"/>
      <c r="E530" s="524"/>
      <c r="F530" s="524"/>
      <c r="G530" s="524"/>
      <c r="H530" s="524"/>
      <c r="I530" s="523"/>
      <c r="J530" s="523"/>
      <c r="K530" s="523"/>
      <c r="L530" s="523"/>
      <c r="M530" s="523"/>
      <c r="N530" s="523"/>
      <c r="O530" s="523"/>
      <c r="P530" s="523"/>
      <c r="Q530" s="523"/>
      <c r="R530" s="523"/>
      <c r="S530" s="523"/>
      <c r="T530" s="523"/>
      <c r="U530" s="523"/>
      <c r="V530" s="523"/>
      <c r="W530" s="523"/>
      <c r="X530" s="523"/>
      <c r="Y530" s="523"/>
      <c r="Z530" s="523"/>
    </row>
    <row r="531">
      <c r="A531" s="523"/>
      <c r="B531" s="524"/>
      <c r="C531" s="523"/>
      <c r="D531" s="523"/>
      <c r="E531" s="524"/>
      <c r="F531" s="524"/>
      <c r="G531" s="524"/>
      <c r="H531" s="524"/>
      <c r="I531" s="523"/>
      <c r="J531" s="523"/>
      <c r="K531" s="523"/>
      <c r="L531" s="523"/>
      <c r="M531" s="523"/>
      <c r="N531" s="523"/>
      <c r="O531" s="523"/>
      <c r="P531" s="523"/>
      <c r="Q531" s="523"/>
      <c r="R531" s="523"/>
      <c r="S531" s="523"/>
      <c r="T531" s="523"/>
      <c r="U531" s="523"/>
      <c r="V531" s="523"/>
      <c r="W531" s="523"/>
      <c r="X531" s="523"/>
      <c r="Y531" s="523"/>
      <c r="Z531" s="523"/>
    </row>
    <row r="532">
      <c r="A532" s="523"/>
      <c r="B532" s="524"/>
      <c r="C532" s="523"/>
      <c r="D532" s="523"/>
      <c r="E532" s="524"/>
      <c r="F532" s="524"/>
      <c r="G532" s="524"/>
      <c r="H532" s="524"/>
      <c r="I532" s="523"/>
      <c r="J532" s="523"/>
      <c r="K532" s="523"/>
      <c r="L532" s="523"/>
      <c r="M532" s="523"/>
      <c r="N532" s="523"/>
      <c r="O532" s="523"/>
      <c r="P532" s="523"/>
      <c r="Q532" s="523"/>
      <c r="R532" s="523"/>
      <c r="S532" s="523"/>
      <c r="T532" s="523"/>
      <c r="U532" s="523"/>
      <c r="V532" s="523"/>
      <c r="W532" s="523"/>
      <c r="X532" s="523"/>
      <c r="Y532" s="523"/>
      <c r="Z532" s="523"/>
    </row>
    <row r="533">
      <c r="A533" s="523"/>
      <c r="B533" s="524"/>
      <c r="C533" s="523"/>
      <c r="D533" s="523"/>
      <c r="E533" s="524"/>
      <c r="F533" s="524"/>
      <c r="G533" s="524"/>
      <c r="H533" s="524"/>
      <c r="I533" s="523"/>
      <c r="J533" s="523"/>
      <c r="K533" s="523"/>
      <c r="L533" s="523"/>
      <c r="M533" s="523"/>
      <c r="N533" s="523"/>
      <c r="O533" s="523"/>
      <c r="P533" s="523"/>
      <c r="Q533" s="523"/>
      <c r="R533" s="523"/>
      <c r="S533" s="523"/>
      <c r="T533" s="523"/>
      <c r="U533" s="523"/>
      <c r="V533" s="523"/>
      <c r="W533" s="523"/>
      <c r="X533" s="523"/>
      <c r="Y533" s="523"/>
      <c r="Z533" s="523"/>
    </row>
    <row r="534">
      <c r="A534" s="523"/>
      <c r="B534" s="524"/>
      <c r="C534" s="523"/>
      <c r="D534" s="523"/>
      <c r="E534" s="524"/>
      <c r="F534" s="524"/>
      <c r="G534" s="524"/>
      <c r="H534" s="524"/>
      <c r="I534" s="523"/>
      <c r="J534" s="523"/>
      <c r="K534" s="523"/>
      <c r="L534" s="523"/>
      <c r="M534" s="523"/>
      <c r="N534" s="523"/>
      <c r="O534" s="523"/>
      <c r="P534" s="523"/>
      <c r="Q534" s="523"/>
      <c r="R534" s="523"/>
      <c r="S534" s="523"/>
      <c r="T534" s="523"/>
      <c r="U534" s="523"/>
      <c r="V534" s="523"/>
      <c r="W534" s="523"/>
      <c r="X534" s="523"/>
      <c r="Y534" s="523"/>
      <c r="Z534" s="523"/>
    </row>
    <row r="535">
      <c r="A535" s="523"/>
      <c r="B535" s="524"/>
      <c r="C535" s="523"/>
      <c r="D535" s="523"/>
      <c r="E535" s="524"/>
      <c r="F535" s="524"/>
      <c r="G535" s="524"/>
      <c r="H535" s="524"/>
      <c r="I535" s="523"/>
      <c r="J535" s="523"/>
      <c r="K535" s="523"/>
      <c r="L535" s="523"/>
      <c r="M535" s="523"/>
      <c r="N535" s="523"/>
      <c r="O535" s="523"/>
      <c r="P535" s="523"/>
      <c r="Q535" s="523"/>
      <c r="R535" s="523"/>
      <c r="S535" s="523"/>
      <c r="T535" s="523"/>
      <c r="U535" s="523"/>
      <c r="V535" s="523"/>
      <c r="W535" s="523"/>
      <c r="X535" s="523"/>
      <c r="Y535" s="523"/>
      <c r="Z535" s="523"/>
    </row>
    <row r="536">
      <c r="A536" s="523"/>
      <c r="B536" s="524"/>
      <c r="C536" s="523"/>
      <c r="D536" s="523"/>
      <c r="E536" s="524"/>
      <c r="F536" s="524"/>
      <c r="G536" s="524"/>
      <c r="H536" s="524"/>
      <c r="I536" s="523"/>
      <c r="J536" s="523"/>
      <c r="K536" s="523"/>
      <c r="L536" s="523"/>
      <c r="M536" s="523"/>
      <c r="N536" s="523"/>
      <c r="O536" s="523"/>
      <c r="P536" s="523"/>
      <c r="Q536" s="523"/>
      <c r="R536" s="523"/>
      <c r="S536" s="523"/>
      <c r="T536" s="523"/>
      <c r="U536" s="523"/>
      <c r="V536" s="523"/>
      <c r="W536" s="523"/>
      <c r="X536" s="523"/>
      <c r="Y536" s="523"/>
      <c r="Z536" s="523"/>
    </row>
    <row r="537">
      <c r="A537" s="523"/>
      <c r="B537" s="524"/>
      <c r="C537" s="523"/>
      <c r="D537" s="523"/>
      <c r="E537" s="524"/>
      <c r="F537" s="524"/>
      <c r="G537" s="524"/>
      <c r="H537" s="524"/>
      <c r="I537" s="523"/>
      <c r="J537" s="523"/>
      <c r="K537" s="523"/>
      <c r="L537" s="523"/>
      <c r="M537" s="523"/>
      <c r="N537" s="523"/>
      <c r="O537" s="523"/>
      <c r="P537" s="523"/>
      <c r="Q537" s="523"/>
      <c r="R537" s="523"/>
      <c r="S537" s="523"/>
      <c r="T537" s="523"/>
      <c r="U537" s="523"/>
      <c r="V537" s="523"/>
      <c r="W537" s="523"/>
      <c r="X537" s="523"/>
      <c r="Y537" s="523"/>
      <c r="Z537" s="523"/>
    </row>
    <row r="538">
      <c r="A538" s="523"/>
      <c r="B538" s="524"/>
      <c r="C538" s="523"/>
      <c r="D538" s="523"/>
      <c r="E538" s="524"/>
      <c r="F538" s="524"/>
      <c r="G538" s="524"/>
      <c r="H538" s="524"/>
      <c r="I538" s="523"/>
      <c r="J538" s="523"/>
      <c r="K538" s="523"/>
      <c r="L538" s="523"/>
      <c r="M538" s="523"/>
      <c r="N538" s="523"/>
      <c r="O538" s="523"/>
      <c r="P538" s="523"/>
      <c r="Q538" s="523"/>
      <c r="R538" s="523"/>
      <c r="S538" s="523"/>
      <c r="T538" s="523"/>
      <c r="U538" s="523"/>
      <c r="V538" s="523"/>
      <c r="W538" s="523"/>
      <c r="X538" s="523"/>
      <c r="Y538" s="523"/>
      <c r="Z538" s="523"/>
    </row>
    <row r="539">
      <c r="A539" s="523"/>
      <c r="B539" s="524"/>
      <c r="C539" s="523"/>
      <c r="D539" s="523"/>
      <c r="E539" s="524"/>
      <c r="F539" s="524"/>
      <c r="G539" s="524"/>
      <c r="H539" s="524"/>
      <c r="I539" s="523"/>
      <c r="J539" s="523"/>
      <c r="K539" s="523"/>
      <c r="L539" s="523"/>
      <c r="M539" s="523"/>
      <c r="N539" s="523"/>
      <c r="O539" s="523"/>
      <c r="P539" s="523"/>
      <c r="Q539" s="523"/>
      <c r="R539" s="523"/>
      <c r="S539" s="523"/>
      <c r="T539" s="523"/>
      <c r="U539" s="523"/>
      <c r="V539" s="523"/>
      <c r="W539" s="523"/>
      <c r="X539" s="523"/>
      <c r="Y539" s="523"/>
      <c r="Z539" s="523"/>
    </row>
    <row r="540">
      <c r="A540" s="523"/>
      <c r="B540" s="524"/>
      <c r="C540" s="523"/>
      <c r="D540" s="523"/>
      <c r="E540" s="524"/>
      <c r="F540" s="524"/>
      <c r="G540" s="524"/>
      <c r="H540" s="524"/>
      <c r="I540" s="523"/>
      <c r="J540" s="523"/>
      <c r="K540" s="523"/>
      <c r="L540" s="523"/>
      <c r="M540" s="523"/>
      <c r="N540" s="523"/>
      <c r="O540" s="523"/>
      <c r="P540" s="523"/>
      <c r="Q540" s="523"/>
      <c r="R540" s="523"/>
      <c r="S540" s="523"/>
      <c r="T540" s="523"/>
      <c r="U540" s="523"/>
      <c r="V540" s="523"/>
      <c r="W540" s="523"/>
      <c r="X540" s="523"/>
      <c r="Y540" s="523"/>
      <c r="Z540" s="523"/>
    </row>
    <row r="541">
      <c r="A541" s="523"/>
      <c r="B541" s="524"/>
      <c r="C541" s="523"/>
      <c r="D541" s="523"/>
      <c r="E541" s="524"/>
      <c r="F541" s="524"/>
      <c r="G541" s="524"/>
      <c r="H541" s="524"/>
      <c r="I541" s="523"/>
      <c r="J541" s="523"/>
      <c r="K541" s="523"/>
      <c r="L541" s="523"/>
      <c r="M541" s="523"/>
      <c r="N541" s="523"/>
      <c r="O541" s="523"/>
      <c r="P541" s="523"/>
      <c r="Q541" s="523"/>
      <c r="R541" s="523"/>
      <c r="S541" s="523"/>
      <c r="T541" s="523"/>
      <c r="U541" s="523"/>
      <c r="V541" s="523"/>
      <c r="W541" s="523"/>
      <c r="X541" s="523"/>
      <c r="Y541" s="523"/>
      <c r="Z541" s="523"/>
    </row>
    <row r="542">
      <c r="A542" s="523"/>
      <c r="B542" s="524"/>
      <c r="C542" s="523"/>
      <c r="D542" s="523"/>
      <c r="E542" s="524"/>
      <c r="F542" s="524"/>
      <c r="G542" s="524"/>
      <c r="H542" s="524"/>
      <c r="I542" s="523"/>
      <c r="J542" s="523"/>
      <c r="K542" s="523"/>
      <c r="L542" s="523"/>
      <c r="M542" s="523"/>
      <c r="N542" s="523"/>
      <c r="O542" s="523"/>
      <c r="P542" s="523"/>
      <c r="Q542" s="523"/>
      <c r="R542" s="523"/>
      <c r="S542" s="523"/>
      <c r="T542" s="523"/>
      <c r="U542" s="523"/>
      <c r="V542" s="523"/>
      <c r="W542" s="523"/>
      <c r="X542" s="523"/>
      <c r="Y542" s="523"/>
      <c r="Z542" s="523"/>
    </row>
    <row r="543">
      <c r="A543" s="523"/>
      <c r="B543" s="524"/>
      <c r="C543" s="523"/>
      <c r="D543" s="523"/>
      <c r="E543" s="524"/>
      <c r="F543" s="524"/>
      <c r="G543" s="524"/>
      <c r="H543" s="524"/>
      <c r="I543" s="523"/>
      <c r="J543" s="523"/>
      <c r="K543" s="523"/>
      <c r="L543" s="523"/>
      <c r="M543" s="523"/>
      <c r="N543" s="523"/>
      <c r="O543" s="523"/>
      <c r="P543" s="523"/>
      <c r="Q543" s="523"/>
      <c r="R543" s="523"/>
      <c r="S543" s="523"/>
      <c r="T543" s="523"/>
      <c r="U543" s="523"/>
      <c r="V543" s="523"/>
      <c r="W543" s="523"/>
      <c r="X543" s="523"/>
      <c r="Y543" s="523"/>
      <c r="Z543" s="523"/>
    </row>
    <row r="544">
      <c r="A544" s="523"/>
      <c r="B544" s="524"/>
      <c r="C544" s="523"/>
      <c r="D544" s="523"/>
      <c r="E544" s="524"/>
      <c r="F544" s="524"/>
      <c r="G544" s="524"/>
      <c r="H544" s="524"/>
      <c r="I544" s="523"/>
      <c r="J544" s="523"/>
      <c r="K544" s="523"/>
      <c r="L544" s="523"/>
      <c r="M544" s="523"/>
      <c r="N544" s="523"/>
      <c r="O544" s="523"/>
      <c r="P544" s="523"/>
      <c r="Q544" s="523"/>
      <c r="R544" s="523"/>
      <c r="S544" s="523"/>
      <c r="T544" s="523"/>
      <c r="U544" s="523"/>
      <c r="V544" s="523"/>
      <c r="W544" s="523"/>
      <c r="X544" s="523"/>
      <c r="Y544" s="523"/>
      <c r="Z544" s="523"/>
    </row>
    <row r="545">
      <c r="A545" s="523"/>
      <c r="B545" s="524"/>
      <c r="C545" s="523"/>
      <c r="D545" s="523"/>
      <c r="E545" s="524"/>
      <c r="F545" s="524"/>
      <c r="G545" s="524"/>
      <c r="H545" s="524"/>
      <c r="I545" s="523"/>
      <c r="J545" s="523"/>
      <c r="K545" s="523"/>
      <c r="L545" s="523"/>
      <c r="M545" s="523"/>
      <c r="N545" s="523"/>
      <c r="O545" s="523"/>
      <c r="P545" s="523"/>
      <c r="Q545" s="523"/>
      <c r="R545" s="523"/>
      <c r="S545" s="523"/>
      <c r="T545" s="523"/>
      <c r="U545" s="523"/>
      <c r="V545" s="523"/>
      <c r="W545" s="523"/>
      <c r="X545" s="523"/>
      <c r="Y545" s="523"/>
      <c r="Z545" s="523"/>
    </row>
    <row r="546">
      <c r="A546" s="523"/>
      <c r="B546" s="524"/>
      <c r="C546" s="523"/>
      <c r="D546" s="523"/>
      <c r="E546" s="524"/>
      <c r="F546" s="524"/>
      <c r="G546" s="524"/>
      <c r="H546" s="524"/>
      <c r="I546" s="523"/>
      <c r="J546" s="523"/>
      <c r="K546" s="523"/>
      <c r="L546" s="523"/>
      <c r="M546" s="523"/>
      <c r="N546" s="523"/>
      <c r="O546" s="523"/>
      <c r="P546" s="523"/>
      <c r="Q546" s="523"/>
      <c r="R546" s="523"/>
      <c r="S546" s="523"/>
      <c r="T546" s="523"/>
      <c r="U546" s="523"/>
      <c r="V546" s="523"/>
      <c r="W546" s="523"/>
      <c r="X546" s="523"/>
      <c r="Y546" s="523"/>
      <c r="Z546" s="523"/>
    </row>
    <row r="547">
      <c r="A547" s="523"/>
      <c r="B547" s="524"/>
      <c r="C547" s="523"/>
      <c r="D547" s="523"/>
      <c r="E547" s="524"/>
      <c r="F547" s="524"/>
      <c r="G547" s="524"/>
      <c r="H547" s="524"/>
      <c r="I547" s="523"/>
      <c r="J547" s="523"/>
      <c r="K547" s="523"/>
      <c r="L547" s="523"/>
      <c r="M547" s="523"/>
      <c r="N547" s="523"/>
      <c r="O547" s="523"/>
      <c r="P547" s="523"/>
      <c r="Q547" s="523"/>
      <c r="R547" s="523"/>
      <c r="S547" s="523"/>
      <c r="T547" s="523"/>
      <c r="U547" s="523"/>
      <c r="V547" s="523"/>
      <c r="W547" s="523"/>
      <c r="X547" s="523"/>
      <c r="Y547" s="523"/>
      <c r="Z547" s="523"/>
    </row>
    <row r="548">
      <c r="A548" s="523"/>
      <c r="B548" s="524"/>
      <c r="C548" s="523"/>
      <c r="D548" s="523"/>
      <c r="E548" s="524"/>
      <c r="F548" s="524"/>
      <c r="G548" s="524"/>
      <c r="H548" s="524"/>
      <c r="I548" s="523"/>
      <c r="J548" s="523"/>
      <c r="K548" s="523"/>
      <c r="L548" s="523"/>
      <c r="M548" s="523"/>
      <c r="N548" s="523"/>
      <c r="O548" s="523"/>
      <c r="P548" s="523"/>
      <c r="Q548" s="523"/>
      <c r="R548" s="523"/>
      <c r="S548" s="523"/>
      <c r="T548" s="523"/>
      <c r="U548" s="523"/>
      <c r="V548" s="523"/>
      <c r="W548" s="523"/>
      <c r="X548" s="523"/>
      <c r="Y548" s="523"/>
      <c r="Z548" s="523"/>
    </row>
    <row r="549">
      <c r="A549" s="523"/>
      <c r="B549" s="524"/>
      <c r="C549" s="523"/>
      <c r="D549" s="523"/>
      <c r="E549" s="524"/>
      <c r="F549" s="524"/>
      <c r="G549" s="524"/>
      <c r="H549" s="524"/>
      <c r="I549" s="523"/>
      <c r="J549" s="523"/>
      <c r="K549" s="523"/>
      <c r="L549" s="523"/>
      <c r="M549" s="523"/>
      <c r="N549" s="523"/>
      <c r="O549" s="523"/>
      <c r="P549" s="523"/>
      <c r="Q549" s="523"/>
      <c r="R549" s="523"/>
      <c r="S549" s="523"/>
      <c r="T549" s="523"/>
      <c r="U549" s="523"/>
      <c r="V549" s="523"/>
      <c r="W549" s="523"/>
      <c r="X549" s="523"/>
      <c r="Y549" s="523"/>
      <c r="Z549" s="523"/>
    </row>
    <row r="550">
      <c r="A550" s="523"/>
      <c r="B550" s="524"/>
      <c r="C550" s="523"/>
      <c r="D550" s="523"/>
      <c r="E550" s="524"/>
      <c r="F550" s="524"/>
      <c r="G550" s="524"/>
      <c r="H550" s="524"/>
      <c r="I550" s="523"/>
      <c r="J550" s="523"/>
      <c r="K550" s="523"/>
      <c r="L550" s="523"/>
      <c r="M550" s="523"/>
      <c r="N550" s="523"/>
      <c r="O550" s="523"/>
      <c r="P550" s="523"/>
      <c r="Q550" s="523"/>
      <c r="R550" s="523"/>
      <c r="S550" s="523"/>
      <c r="T550" s="523"/>
      <c r="U550" s="523"/>
      <c r="V550" s="523"/>
      <c r="W550" s="523"/>
      <c r="X550" s="523"/>
      <c r="Y550" s="523"/>
      <c r="Z550" s="523"/>
    </row>
    <row r="551">
      <c r="A551" s="523"/>
      <c r="B551" s="524"/>
      <c r="C551" s="523"/>
      <c r="D551" s="523"/>
      <c r="E551" s="524"/>
      <c r="F551" s="524"/>
      <c r="G551" s="524"/>
      <c r="H551" s="524"/>
      <c r="I551" s="523"/>
      <c r="J551" s="523"/>
      <c r="K551" s="523"/>
      <c r="L551" s="523"/>
      <c r="M551" s="523"/>
      <c r="N551" s="523"/>
      <c r="O551" s="523"/>
      <c r="P551" s="523"/>
      <c r="Q551" s="523"/>
      <c r="R551" s="523"/>
      <c r="S551" s="523"/>
      <c r="T551" s="523"/>
      <c r="U551" s="523"/>
      <c r="V551" s="523"/>
      <c r="W551" s="523"/>
      <c r="X551" s="523"/>
      <c r="Y551" s="523"/>
      <c r="Z551" s="523"/>
    </row>
    <row r="552">
      <c r="A552" s="523"/>
      <c r="B552" s="524"/>
      <c r="C552" s="523"/>
      <c r="D552" s="523"/>
      <c r="E552" s="524"/>
      <c r="F552" s="524"/>
      <c r="G552" s="524"/>
      <c r="H552" s="524"/>
      <c r="I552" s="523"/>
      <c r="J552" s="523"/>
      <c r="K552" s="523"/>
      <c r="L552" s="523"/>
      <c r="M552" s="523"/>
      <c r="N552" s="523"/>
      <c r="O552" s="523"/>
      <c r="P552" s="523"/>
      <c r="Q552" s="523"/>
      <c r="R552" s="523"/>
      <c r="S552" s="523"/>
      <c r="T552" s="523"/>
      <c r="U552" s="523"/>
      <c r="V552" s="523"/>
      <c r="W552" s="523"/>
      <c r="X552" s="523"/>
      <c r="Y552" s="523"/>
      <c r="Z552" s="523"/>
    </row>
    <row r="553">
      <c r="A553" s="523"/>
      <c r="B553" s="524"/>
      <c r="C553" s="523"/>
      <c r="D553" s="523"/>
      <c r="E553" s="524"/>
      <c r="F553" s="524"/>
      <c r="G553" s="524"/>
      <c r="H553" s="524"/>
      <c r="I553" s="523"/>
      <c r="J553" s="523"/>
      <c r="K553" s="523"/>
      <c r="L553" s="523"/>
      <c r="M553" s="523"/>
      <c r="N553" s="523"/>
      <c r="O553" s="523"/>
      <c r="P553" s="523"/>
      <c r="Q553" s="523"/>
      <c r="R553" s="523"/>
      <c r="S553" s="523"/>
      <c r="T553" s="523"/>
      <c r="U553" s="523"/>
      <c r="V553" s="523"/>
      <c r="W553" s="523"/>
      <c r="X553" s="523"/>
      <c r="Y553" s="523"/>
      <c r="Z553" s="523"/>
    </row>
    <row r="554">
      <c r="A554" s="523"/>
      <c r="B554" s="524"/>
      <c r="C554" s="523"/>
      <c r="D554" s="523"/>
      <c r="E554" s="524"/>
      <c r="F554" s="524"/>
      <c r="G554" s="524"/>
      <c r="H554" s="524"/>
      <c r="I554" s="523"/>
      <c r="J554" s="523"/>
      <c r="K554" s="523"/>
      <c r="L554" s="523"/>
      <c r="M554" s="523"/>
      <c r="N554" s="523"/>
      <c r="O554" s="523"/>
      <c r="P554" s="523"/>
      <c r="Q554" s="523"/>
      <c r="R554" s="523"/>
      <c r="S554" s="523"/>
      <c r="T554" s="523"/>
      <c r="U554" s="523"/>
      <c r="V554" s="523"/>
      <c r="W554" s="523"/>
      <c r="X554" s="523"/>
      <c r="Y554" s="523"/>
      <c r="Z554" s="523"/>
    </row>
    <row r="555">
      <c r="A555" s="523"/>
      <c r="B555" s="524"/>
      <c r="C555" s="523"/>
      <c r="D555" s="523"/>
      <c r="E555" s="524"/>
      <c r="F555" s="524"/>
      <c r="G555" s="524"/>
      <c r="H555" s="524"/>
      <c r="I555" s="523"/>
      <c r="J555" s="523"/>
      <c r="K555" s="523"/>
      <c r="L555" s="523"/>
      <c r="M555" s="523"/>
      <c r="N555" s="523"/>
      <c r="O555" s="523"/>
      <c r="P555" s="523"/>
      <c r="Q555" s="523"/>
      <c r="R555" s="523"/>
      <c r="S555" s="523"/>
      <c r="T555" s="523"/>
      <c r="U555" s="523"/>
      <c r="V555" s="523"/>
      <c r="W555" s="523"/>
      <c r="X555" s="523"/>
      <c r="Y555" s="523"/>
      <c r="Z555" s="523"/>
    </row>
    <row r="556">
      <c r="A556" s="523"/>
      <c r="B556" s="524"/>
      <c r="C556" s="523"/>
      <c r="D556" s="523"/>
      <c r="E556" s="524"/>
      <c r="F556" s="524"/>
      <c r="G556" s="524"/>
      <c r="H556" s="524"/>
      <c r="I556" s="523"/>
      <c r="J556" s="523"/>
      <c r="K556" s="523"/>
      <c r="L556" s="523"/>
      <c r="M556" s="523"/>
      <c r="N556" s="523"/>
      <c r="O556" s="523"/>
      <c r="P556" s="523"/>
      <c r="Q556" s="523"/>
      <c r="R556" s="523"/>
      <c r="S556" s="523"/>
      <c r="T556" s="523"/>
      <c r="U556" s="523"/>
      <c r="V556" s="523"/>
      <c r="W556" s="523"/>
      <c r="X556" s="523"/>
      <c r="Y556" s="523"/>
      <c r="Z556" s="523"/>
    </row>
    <row r="557">
      <c r="A557" s="523"/>
      <c r="B557" s="524"/>
      <c r="C557" s="523"/>
      <c r="D557" s="523"/>
      <c r="E557" s="524"/>
      <c r="F557" s="524"/>
      <c r="G557" s="524"/>
      <c r="H557" s="524"/>
      <c r="I557" s="523"/>
      <c r="J557" s="523"/>
      <c r="K557" s="523"/>
      <c r="L557" s="523"/>
      <c r="M557" s="523"/>
      <c r="N557" s="523"/>
      <c r="O557" s="523"/>
      <c r="P557" s="523"/>
      <c r="Q557" s="523"/>
      <c r="R557" s="523"/>
      <c r="S557" s="523"/>
      <c r="T557" s="523"/>
      <c r="U557" s="523"/>
      <c r="V557" s="523"/>
      <c r="W557" s="523"/>
      <c r="X557" s="523"/>
      <c r="Y557" s="523"/>
      <c r="Z557" s="523"/>
    </row>
    <row r="558">
      <c r="A558" s="523"/>
      <c r="B558" s="524"/>
      <c r="C558" s="523"/>
      <c r="D558" s="523"/>
      <c r="E558" s="524"/>
      <c r="F558" s="524"/>
      <c r="G558" s="524"/>
      <c r="H558" s="524"/>
      <c r="I558" s="523"/>
      <c r="J558" s="523"/>
      <c r="K558" s="523"/>
      <c r="L558" s="523"/>
      <c r="M558" s="523"/>
      <c r="N558" s="523"/>
      <c r="O558" s="523"/>
      <c r="P558" s="523"/>
      <c r="Q558" s="523"/>
      <c r="R558" s="523"/>
      <c r="S558" s="523"/>
      <c r="T558" s="523"/>
      <c r="U558" s="523"/>
      <c r="V558" s="523"/>
      <c r="W558" s="523"/>
      <c r="X558" s="523"/>
      <c r="Y558" s="523"/>
      <c r="Z558" s="523"/>
    </row>
    <row r="559">
      <c r="A559" s="523"/>
      <c r="B559" s="524"/>
      <c r="C559" s="523"/>
      <c r="D559" s="523"/>
      <c r="E559" s="524"/>
      <c r="F559" s="524"/>
      <c r="G559" s="524"/>
      <c r="H559" s="524"/>
      <c r="I559" s="523"/>
      <c r="J559" s="523"/>
      <c r="K559" s="523"/>
      <c r="L559" s="523"/>
      <c r="M559" s="523"/>
      <c r="N559" s="523"/>
      <c r="O559" s="523"/>
      <c r="P559" s="523"/>
      <c r="Q559" s="523"/>
      <c r="R559" s="523"/>
      <c r="S559" s="523"/>
      <c r="T559" s="523"/>
      <c r="U559" s="523"/>
      <c r="V559" s="523"/>
      <c r="W559" s="523"/>
      <c r="X559" s="523"/>
      <c r="Y559" s="523"/>
      <c r="Z559" s="523"/>
    </row>
    <row r="560">
      <c r="A560" s="523"/>
      <c r="B560" s="524"/>
      <c r="C560" s="523"/>
      <c r="D560" s="523"/>
      <c r="E560" s="524"/>
      <c r="F560" s="524"/>
      <c r="G560" s="524"/>
      <c r="H560" s="524"/>
      <c r="I560" s="523"/>
      <c r="J560" s="523"/>
      <c r="K560" s="523"/>
      <c r="L560" s="523"/>
      <c r="M560" s="523"/>
      <c r="N560" s="523"/>
      <c r="O560" s="523"/>
      <c r="P560" s="523"/>
      <c r="Q560" s="523"/>
      <c r="R560" s="523"/>
      <c r="S560" s="523"/>
      <c r="T560" s="523"/>
      <c r="U560" s="523"/>
      <c r="V560" s="523"/>
      <c r="W560" s="523"/>
      <c r="X560" s="523"/>
      <c r="Y560" s="523"/>
      <c r="Z560" s="523"/>
    </row>
    <row r="561">
      <c r="A561" s="523"/>
      <c r="B561" s="524"/>
      <c r="C561" s="523"/>
      <c r="D561" s="523"/>
      <c r="E561" s="524"/>
      <c r="F561" s="524"/>
      <c r="G561" s="524"/>
      <c r="H561" s="524"/>
      <c r="I561" s="523"/>
      <c r="J561" s="523"/>
      <c r="K561" s="523"/>
      <c r="L561" s="523"/>
      <c r="M561" s="523"/>
      <c r="N561" s="523"/>
      <c r="O561" s="523"/>
      <c r="P561" s="523"/>
      <c r="Q561" s="523"/>
      <c r="R561" s="523"/>
      <c r="S561" s="523"/>
      <c r="T561" s="523"/>
      <c r="U561" s="523"/>
      <c r="V561" s="523"/>
      <c r="W561" s="523"/>
      <c r="X561" s="523"/>
      <c r="Y561" s="523"/>
      <c r="Z561" s="523"/>
    </row>
    <row r="562">
      <c r="A562" s="523"/>
      <c r="B562" s="524"/>
      <c r="C562" s="523"/>
      <c r="D562" s="523"/>
      <c r="E562" s="524"/>
      <c r="F562" s="524"/>
      <c r="G562" s="524"/>
      <c r="H562" s="524"/>
      <c r="I562" s="523"/>
      <c r="J562" s="523"/>
      <c r="K562" s="523"/>
      <c r="L562" s="523"/>
      <c r="M562" s="523"/>
      <c r="N562" s="523"/>
      <c r="O562" s="523"/>
      <c r="P562" s="523"/>
      <c r="Q562" s="523"/>
      <c r="R562" s="523"/>
      <c r="S562" s="523"/>
      <c r="T562" s="523"/>
      <c r="U562" s="523"/>
      <c r="V562" s="523"/>
      <c r="W562" s="523"/>
      <c r="X562" s="523"/>
      <c r="Y562" s="523"/>
      <c r="Z562" s="523"/>
    </row>
    <row r="563">
      <c r="A563" s="523"/>
      <c r="B563" s="524"/>
      <c r="C563" s="523"/>
      <c r="D563" s="523"/>
      <c r="E563" s="524"/>
      <c r="F563" s="524"/>
      <c r="G563" s="524"/>
      <c r="H563" s="524"/>
      <c r="I563" s="523"/>
      <c r="J563" s="523"/>
      <c r="K563" s="523"/>
      <c r="L563" s="523"/>
      <c r="M563" s="523"/>
      <c r="N563" s="523"/>
      <c r="O563" s="523"/>
      <c r="P563" s="523"/>
      <c r="Q563" s="523"/>
      <c r="R563" s="523"/>
      <c r="S563" s="523"/>
      <c r="T563" s="523"/>
      <c r="U563" s="523"/>
      <c r="V563" s="523"/>
      <c r="W563" s="523"/>
      <c r="X563" s="523"/>
      <c r="Y563" s="523"/>
      <c r="Z563" s="523"/>
    </row>
    <row r="564">
      <c r="A564" s="523"/>
      <c r="B564" s="524"/>
      <c r="C564" s="523"/>
      <c r="D564" s="523"/>
      <c r="E564" s="524"/>
      <c r="F564" s="524"/>
      <c r="G564" s="524"/>
      <c r="H564" s="524"/>
      <c r="I564" s="523"/>
      <c r="J564" s="523"/>
      <c r="K564" s="523"/>
      <c r="L564" s="523"/>
      <c r="M564" s="523"/>
      <c r="N564" s="523"/>
      <c r="O564" s="523"/>
      <c r="P564" s="523"/>
      <c r="Q564" s="523"/>
      <c r="R564" s="523"/>
      <c r="S564" s="523"/>
      <c r="T564" s="523"/>
      <c r="U564" s="523"/>
      <c r="V564" s="523"/>
      <c r="W564" s="523"/>
      <c r="X564" s="523"/>
      <c r="Y564" s="523"/>
      <c r="Z564" s="523"/>
    </row>
    <row r="565">
      <c r="A565" s="523"/>
      <c r="B565" s="524"/>
      <c r="C565" s="523"/>
      <c r="D565" s="523"/>
      <c r="E565" s="524"/>
      <c r="F565" s="524"/>
      <c r="G565" s="524"/>
      <c r="H565" s="524"/>
      <c r="I565" s="523"/>
      <c r="J565" s="523"/>
      <c r="K565" s="523"/>
      <c r="L565" s="523"/>
      <c r="M565" s="523"/>
      <c r="N565" s="523"/>
      <c r="O565" s="523"/>
      <c r="P565" s="523"/>
      <c r="Q565" s="523"/>
      <c r="R565" s="523"/>
      <c r="S565" s="523"/>
      <c r="T565" s="523"/>
      <c r="U565" s="523"/>
      <c r="V565" s="523"/>
      <c r="W565" s="523"/>
      <c r="X565" s="523"/>
      <c r="Y565" s="523"/>
      <c r="Z565" s="523"/>
    </row>
    <row r="566">
      <c r="A566" s="523"/>
      <c r="B566" s="524"/>
      <c r="C566" s="523"/>
      <c r="D566" s="523"/>
      <c r="E566" s="524"/>
      <c r="F566" s="524"/>
      <c r="G566" s="524"/>
      <c r="H566" s="524"/>
      <c r="I566" s="523"/>
      <c r="J566" s="523"/>
      <c r="K566" s="523"/>
      <c r="L566" s="523"/>
      <c r="M566" s="523"/>
      <c r="N566" s="523"/>
      <c r="O566" s="523"/>
      <c r="P566" s="523"/>
      <c r="Q566" s="523"/>
      <c r="R566" s="523"/>
      <c r="S566" s="523"/>
      <c r="T566" s="523"/>
      <c r="U566" s="523"/>
      <c r="V566" s="523"/>
      <c r="W566" s="523"/>
      <c r="X566" s="523"/>
      <c r="Y566" s="523"/>
      <c r="Z566" s="523"/>
    </row>
    <row r="567">
      <c r="A567" s="523"/>
      <c r="B567" s="524"/>
      <c r="C567" s="523"/>
      <c r="D567" s="523"/>
      <c r="E567" s="524"/>
      <c r="F567" s="524"/>
      <c r="G567" s="524"/>
      <c r="H567" s="524"/>
      <c r="I567" s="523"/>
      <c r="J567" s="523"/>
      <c r="K567" s="523"/>
      <c r="L567" s="523"/>
      <c r="M567" s="523"/>
      <c r="N567" s="523"/>
      <c r="O567" s="523"/>
      <c r="P567" s="523"/>
      <c r="Q567" s="523"/>
      <c r="R567" s="523"/>
      <c r="S567" s="523"/>
      <c r="T567" s="523"/>
      <c r="U567" s="523"/>
      <c r="V567" s="523"/>
      <c r="W567" s="523"/>
      <c r="X567" s="523"/>
      <c r="Y567" s="523"/>
      <c r="Z567" s="523"/>
    </row>
    <row r="568">
      <c r="A568" s="523"/>
      <c r="B568" s="524"/>
      <c r="C568" s="523"/>
      <c r="D568" s="523"/>
      <c r="E568" s="524"/>
      <c r="F568" s="524"/>
      <c r="G568" s="524"/>
      <c r="H568" s="524"/>
      <c r="I568" s="523"/>
      <c r="J568" s="523"/>
      <c r="K568" s="523"/>
      <c r="L568" s="523"/>
      <c r="M568" s="523"/>
      <c r="N568" s="523"/>
      <c r="O568" s="523"/>
      <c r="P568" s="523"/>
      <c r="Q568" s="523"/>
      <c r="R568" s="523"/>
      <c r="S568" s="523"/>
      <c r="T568" s="523"/>
      <c r="U568" s="523"/>
      <c r="V568" s="523"/>
      <c r="W568" s="523"/>
      <c r="X568" s="523"/>
      <c r="Y568" s="523"/>
      <c r="Z568" s="523"/>
    </row>
    <row r="569">
      <c r="A569" s="523"/>
      <c r="B569" s="524"/>
      <c r="C569" s="523"/>
      <c r="D569" s="523"/>
      <c r="E569" s="524"/>
      <c r="F569" s="524"/>
      <c r="G569" s="524"/>
      <c r="H569" s="524"/>
      <c r="I569" s="523"/>
      <c r="J569" s="523"/>
      <c r="K569" s="523"/>
      <c r="L569" s="523"/>
      <c r="M569" s="523"/>
      <c r="N569" s="523"/>
      <c r="O569" s="523"/>
      <c r="P569" s="523"/>
      <c r="Q569" s="523"/>
      <c r="R569" s="523"/>
      <c r="S569" s="523"/>
      <c r="T569" s="523"/>
      <c r="U569" s="523"/>
      <c r="V569" s="523"/>
      <c r="W569" s="523"/>
      <c r="X569" s="523"/>
      <c r="Y569" s="523"/>
      <c r="Z569" s="523"/>
    </row>
    <row r="570">
      <c r="A570" s="523"/>
      <c r="B570" s="524"/>
      <c r="C570" s="523"/>
      <c r="D570" s="523"/>
      <c r="E570" s="524"/>
      <c r="F570" s="524"/>
      <c r="G570" s="524"/>
      <c r="H570" s="524"/>
      <c r="I570" s="523"/>
      <c r="J570" s="523"/>
      <c r="K570" s="523"/>
      <c r="L570" s="523"/>
      <c r="M570" s="523"/>
      <c r="N570" s="523"/>
      <c r="O570" s="523"/>
      <c r="P570" s="523"/>
      <c r="Q570" s="523"/>
      <c r="R570" s="523"/>
      <c r="S570" s="523"/>
      <c r="T570" s="523"/>
      <c r="U570" s="523"/>
      <c r="V570" s="523"/>
      <c r="W570" s="523"/>
      <c r="X570" s="523"/>
      <c r="Y570" s="523"/>
      <c r="Z570" s="523"/>
    </row>
    <row r="571">
      <c r="A571" s="523"/>
      <c r="B571" s="524"/>
      <c r="C571" s="523"/>
      <c r="D571" s="523"/>
      <c r="E571" s="524"/>
      <c r="F571" s="524"/>
      <c r="G571" s="524"/>
      <c r="H571" s="524"/>
      <c r="I571" s="523"/>
      <c r="J571" s="523"/>
      <c r="K571" s="523"/>
      <c r="L571" s="523"/>
      <c r="M571" s="523"/>
      <c r="N571" s="523"/>
      <c r="O571" s="523"/>
      <c r="P571" s="523"/>
      <c r="Q571" s="523"/>
      <c r="R571" s="523"/>
      <c r="S571" s="523"/>
      <c r="T571" s="523"/>
      <c r="U571" s="523"/>
      <c r="V571" s="523"/>
      <c r="W571" s="523"/>
      <c r="X571" s="523"/>
      <c r="Y571" s="523"/>
      <c r="Z571" s="523"/>
    </row>
    <row r="572">
      <c r="A572" s="523"/>
      <c r="B572" s="524"/>
      <c r="C572" s="523"/>
      <c r="D572" s="523"/>
      <c r="E572" s="524"/>
      <c r="F572" s="524"/>
      <c r="G572" s="524"/>
      <c r="H572" s="524"/>
      <c r="I572" s="523"/>
      <c r="J572" s="523"/>
      <c r="K572" s="523"/>
      <c r="L572" s="523"/>
      <c r="M572" s="523"/>
      <c r="N572" s="523"/>
      <c r="O572" s="523"/>
      <c r="P572" s="523"/>
      <c r="Q572" s="523"/>
      <c r="R572" s="523"/>
      <c r="S572" s="523"/>
      <c r="T572" s="523"/>
      <c r="U572" s="523"/>
      <c r="V572" s="523"/>
      <c r="W572" s="523"/>
      <c r="X572" s="523"/>
      <c r="Y572" s="523"/>
      <c r="Z572" s="523"/>
    </row>
    <row r="573">
      <c r="A573" s="523"/>
      <c r="B573" s="524"/>
      <c r="C573" s="523"/>
      <c r="D573" s="523"/>
      <c r="E573" s="524"/>
      <c r="F573" s="524"/>
      <c r="G573" s="524"/>
      <c r="H573" s="524"/>
      <c r="I573" s="523"/>
      <c r="J573" s="523"/>
      <c r="K573" s="523"/>
      <c r="L573" s="523"/>
      <c r="M573" s="523"/>
      <c r="N573" s="523"/>
      <c r="O573" s="523"/>
      <c r="P573" s="523"/>
      <c r="Q573" s="523"/>
      <c r="R573" s="523"/>
      <c r="S573" s="523"/>
      <c r="T573" s="523"/>
      <c r="U573" s="523"/>
      <c r="V573" s="523"/>
      <c r="W573" s="523"/>
      <c r="X573" s="523"/>
      <c r="Y573" s="523"/>
      <c r="Z573" s="523"/>
    </row>
    <row r="574">
      <c r="A574" s="523"/>
      <c r="B574" s="524"/>
      <c r="C574" s="523"/>
      <c r="D574" s="523"/>
      <c r="E574" s="524"/>
      <c r="F574" s="524"/>
      <c r="G574" s="524"/>
      <c r="H574" s="524"/>
      <c r="I574" s="523"/>
      <c r="J574" s="523"/>
      <c r="K574" s="523"/>
      <c r="L574" s="523"/>
      <c r="M574" s="523"/>
      <c r="N574" s="523"/>
      <c r="O574" s="523"/>
      <c r="P574" s="523"/>
      <c r="Q574" s="523"/>
      <c r="R574" s="523"/>
      <c r="S574" s="523"/>
      <c r="T574" s="523"/>
      <c r="U574" s="523"/>
      <c r="V574" s="523"/>
      <c r="W574" s="523"/>
      <c r="X574" s="523"/>
      <c r="Y574" s="523"/>
      <c r="Z574" s="523"/>
    </row>
    <row r="575">
      <c r="A575" s="523"/>
      <c r="B575" s="524"/>
      <c r="C575" s="523"/>
      <c r="D575" s="523"/>
      <c r="E575" s="524"/>
      <c r="F575" s="524"/>
      <c r="G575" s="524"/>
      <c r="H575" s="524"/>
      <c r="I575" s="523"/>
      <c r="J575" s="523"/>
      <c r="K575" s="523"/>
      <c r="L575" s="523"/>
      <c r="M575" s="523"/>
      <c r="N575" s="523"/>
      <c r="O575" s="523"/>
      <c r="P575" s="523"/>
      <c r="Q575" s="523"/>
      <c r="R575" s="523"/>
      <c r="S575" s="523"/>
      <c r="T575" s="523"/>
      <c r="U575" s="523"/>
      <c r="V575" s="523"/>
      <c r="W575" s="523"/>
      <c r="X575" s="523"/>
      <c r="Y575" s="523"/>
      <c r="Z575" s="523"/>
    </row>
    <row r="576">
      <c r="A576" s="523"/>
      <c r="B576" s="524"/>
      <c r="C576" s="523"/>
      <c r="D576" s="523"/>
      <c r="E576" s="524"/>
      <c r="F576" s="524"/>
      <c r="G576" s="524"/>
      <c r="H576" s="524"/>
      <c r="I576" s="523"/>
      <c r="J576" s="523"/>
      <c r="K576" s="523"/>
      <c r="L576" s="523"/>
      <c r="M576" s="523"/>
      <c r="N576" s="523"/>
      <c r="O576" s="523"/>
      <c r="P576" s="523"/>
      <c r="Q576" s="523"/>
      <c r="R576" s="523"/>
      <c r="S576" s="523"/>
      <c r="T576" s="523"/>
      <c r="U576" s="523"/>
      <c r="V576" s="523"/>
      <c r="W576" s="523"/>
      <c r="X576" s="523"/>
      <c r="Y576" s="523"/>
      <c r="Z576" s="523"/>
    </row>
    <row r="577">
      <c r="A577" s="523"/>
      <c r="B577" s="524"/>
      <c r="C577" s="523"/>
      <c r="D577" s="523"/>
      <c r="E577" s="524"/>
      <c r="F577" s="524"/>
      <c r="G577" s="524"/>
      <c r="H577" s="524"/>
      <c r="I577" s="523"/>
      <c r="J577" s="523"/>
      <c r="K577" s="523"/>
      <c r="L577" s="523"/>
      <c r="M577" s="523"/>
      <c r="N577" s="523"/>
      <c r="O577" s="523"/>
      <c r="P577" s="523"/>
      <c r="Q577" s="523"/>
      <c r="R577" s="523"/>
      <c r="S577" s="523"/>
      <c r="T577" s="523"/>
      <c r="U577" s="523"/>
      <c r="V577" s="523"/>
      <c r="W577" s="523"/>
      <c r="X577" s="523"/>
      <c r="Y577" s="523"/>
      <c r="Z577" s="523"/>
    </row>
    <row r="578">
      <c r="A578" s="523"/>
      <c r="B578" s="524"/>
      <c r="C578" s="523"/>
      <c r="D578" s="523"/>
      <c r="E578" s="524"/>
      <c r="F578" s="524"/>
      <c r="G578" s="524"/>
      <c r="H578" s="524"/>
      <c r="I578" s="523"/>
      <c r="J578" s="523"/>
      <c r="K578" s="523"/>
      <c r="L578" s="523"/>
      <c r="M578" s="523"/>
      <c r="N578" s="523"/>
      <c r="O578" s="523"/>
      <c r="P578" s="523"/>
      <c r="Q578" s="523"/>
      <c r="R578" s="523"/>
      <c r="S578" s="523"/>
      <c r="T578" s="523"/>
      <c r="U578" s="523"/>
      <c r="V578" s="523"/>
      <c r="W578" s="523"/>
      <c r="X578" s="523"/>
      <c r="Y578" s="523"/>
      <c r="Z578" s="523"/>
    </row>
    <row r="579">
      <c r="A579" s="523"/>
      <c r="B579" s="524"/>
      <c r="C579" s="523"/>
      <c r="D579" s="523"/>
      <c r="E579" s="524"/>
      <c r="F579" s="524"/>
      <c r="G579" s="524"/>
      <c r="H579" s="524"/>
      <c r="I579" s="523"/>
      <c r="J579" s="523"/>
      <c r="K579" s="523"/>
      <c r="L579" s="523"/>
      <c r="M579" s="523"/>
      <c r="N579" s="523"/>
      <c r="O579" s="523"/>
      <c r="P579" s="523"/>
      <c r="Q579" s="523"/>
      <c r="R579" s="523"/>
      <c r="S579" s="523"/>
      <c r="T579" s="523"/>
      <c r="U579" s="523"/>
      <c r="V579" s="523"/>
      <c r="W579" s="523"/>
      <c r="X579" s="523"/>
      <c r="Y579" s="523"/>
      <c r="Z579" s="523"/>
    </row>
    <row r="580">
      <c r="A580" s="523"/>
      <c r="B580" s="524"/>
      <c r="C580" s="523"/>
      <c r="D580" s="523"/>
      <c r="E580" s="524"/>
      <c r="F580" s="524"/>
      <c r="G580" s="524"/>
      <c r="H580" s="524"/>
      <c r="I580" s="523"/>
      <c r="J580" s="523"/>
      <c r="K580" s="523"/>
      <c r="L580" s="523"/>
      <c r="M580" s="523"/>
      <c r="N580" s="523"/>
      <c r="O580" s="523"/>
      <c r="P580" s="523"/>
      <c r="Q580" s="523"/>
      <c r="R580" s="523"/>
      <c r="S580" s="523"/>
      <c r="T580" s="523"/>
      <c r="U580" s="523"/>
      <c r="V580" s="523"/>
      <c r="W580" s="523"/>
      <c r="X580" s="523"/>
      <c r="Y580" s="523"/>
      <c r="Z580" s="523"/>
    </row>
    <row r="581">
      <c r="A581" s="523"/>
      <c r="B581" s="524"/>
      <c r="C581" s="523"/>
      <c r="D581" s="523"/>
      <c r="E581" s="524"/>
      <c r="F581" s="524"/>
      <c r="G581" s="524"/>
      <c r="H581" s="524"/>
      <c r="I581" s="523"/>
      <c r="J581" s="523"/>
      <c r="K581" s="523"/>
      <c r="L581" s="523"/>
      <c r="M581" s="523"/>
      <c r="N581" s="523"/>
      <c r="O581" s="523"/>
      <c r="P581" s="523"/>
      <c r="Q581" s="523"/>
      <c r="R581" s="523"/>
      <c r="S581" s="523"/>
      <c r="T581" s="523"/>
      <c r="U581" s="523"/>
      <c r="V581" s="523"/>
      <c r="W581" s="523"/>
      <c r="X581" s="523"/>
      <c r="Y581" s="523"/>
      <c r="Z581" s="523"/>
    </row>
    <row r="582">
      <c r="A582" s="523"/>
      <c r="B582" s="524"/>
      <c r="C582" s="523"/>
      <c r="D582" s="523"/>
      <c r="E582" s="524"/>
      <c r="F582" s="524"/>
      <c r="G582" s="524"/>
      <c r="H582" s="524"/>
      <c r="I582" s="523"/>
      <c r="J582" s="523"/>
      <c r="K582" s="523"/>
      <c r="L582" s="523"/>
      <c r="M582" s="523"/>
      <c r="N582" s="523"/>
      <c r="O582" s="523"/>
      <c r="P582" s="523"/>
      <c r="Q582" s="523"/>
      <c r="R582" s="523"/>
      <c r="S582" s="523"/>
      <c r="T582" s="523"/>
      <c r="U582" s="523"/>
      <c r="V582" s="523"/>
      <c r="W582" s="523"/>
      <c r="X582" s="523"/>
      <c r="Y582" s="523"/>
      <c r="Z582" s="523"/>
    </row>
    <row r="583">
      <c r="A583" s="523"/>
      <c r="B583" s="524"/>
      <c r="C583" s="523"/>
      <c r="D583" s="523"/>
      <c r="E583" s="524"/>
      <c r="F583" s="524"/>
      <c r="G583" s="524"/>
      <c r="H583" s="524"/>
      <c r="I583" s="523"/>
      <c r="J583" s="523"/>
      <c r="K583" s="523"/>
      <c r="L583" s="523"/>
      <c r="M583" s="523"/>
      <c r="N583" s="523"/>
      <c r="O583" s="523"/>
      <c r="P583" s="523"/>
      <c r="Q583" s="523"/>
      <c r="R583" s="523"/>
      <c r="S583" s="523"/>
      <c r="T583" s="523"/>
      <c r="U583" s="523"/>
      <c r="V583" s="523"/>
      <c r="W583" s="523"/>
      <c r="X583" s="523"/>
      <c r="Y583" s="523"/>
      <c r="Z583" s="523"/>
    </row>
    <row r="584">
      <c r="A584" s="523"/>
      <c r="B584" s="524"/>
      <c r="C584" s="523"/>
      <c r="D584" s="523"/>
      <c r="E584" s="524"/>
      <c r="F584" s="524"/>
      <c r="G584" s="524"/>
      <c r="H584" s="524"/>
      <c r="I584" s="523"/>
      <c r="J584" s="523"/>
      <c r="K584" s="523"/>
      <c r="L584" s="523"/>
      <c r="M584" s="523"/>
      <c r="N584" s="523"/>
      <c r="O584" s="523"/>
      <c r="P584" s="523"/>
      <c r="Q584" s="523"/>
      <c r="R584" s="523"/>
      <c r="S584" s="523"/>
      <c r="T584" s="523"/>
      <c r="U584" s="523"/>
      <c r="V584" s="523"/>
      <c r="W584" s="523"/>
      <c r="X584" s="523"/>
      <c r="Y584" s="523"/>
      <c r="Z584" s="523"/>
    </row>
    <row r="585">
      <c r="A585" s="523"/>
      <c r="B585" s="524"/>
      <c r="C585" s="523"/>
      <c r="D585" s="523"/>
      <c r="E585" s="524"/>
      <c r="F585" s="524"/>
      <c r="G585" s="524"/>
      <c r="H585" s="524"/>
      <c r="I585" s="523"/>
      <c r="J585" s="523"/>
      <c r="K585" s="523"/>
      <c r="L585" s="523"/>
      <c r="M585" s="523"/>
      <c r="N585" s="523"/>
      <c r="O585" s="523"/>
      <c r="P585" s="523"/>
      <c r="Q585" s="523"/>
      <c r="R585" s="523"/>
      <c r="S585" s="523"/>
      <c r="T585" s="523"/>
      <c r="U585" s="523"/>
      <c r="V585" s="523"/>
      <c r="W585" s="523"/>
      <c r="X585" s="523"/>
      <c r="Y585" s="523"/>
      <c r="Z585" s="523"/>
    </row>
    <row r="586">
      <c r="A586" s="523"/>
      <c r="B586" s="524"/>
      <c r="C586" s="523"/>
      <c r="D586" s="523"/>
      <c r="E586" s="524"/>
      <c r="F586" s="524"/>
      <c r="G586" s="524"/>
      <c r="H586" s="524"/>
      <c r="I586" s="523"/>
      <c r="J586" s="523"/>
      <c r="K586" s="523"/>
      <c r="L586" s="523"/>
      <c r="M586" s="523"/>
      <c r="N586" s="523"/>
      <c r="O586" s="523"/>
      <c r="P586" s="523"/>
      <c r="Q586" s="523"/>
      <c r="R586" s="523"/>
      <c r="S586" s="523"/>
      <c r="T586" s="523"/>
      <c r="U586" s="523"/>
      <c r="V586" s="523"/>
      <c r="W586" s="523"/>
      <c r="X586" s="523"/>
      <c r="Y586" s="523"/>
      <c r="Z586" s="523"/>
    </row>
    <row r="587">
      <c r="A587" s="523"/>
      <c r="B587" s="524"/>
      <c r="C587" s="523"/>
      <c r="D587" s="523"/>
      <c r="E587" s="524"/>
      <c r="F587" s="524"/>
      <c r="G587" s="524"/>
      <c r="H587" s="524"/>
      <c r="I587" s="523"/>
      <c r="J587" s="523"/>
      <c r="K587" s="523"/>
      <c r="L587" s="523"/>
      <c r="M587" s="523"/>
      <c r="N587" s="523"/>
      <c r="O587" s="523"/>
      <c r="P587" s="523"/>
      <c r="Q587" s="523"/>
      <c r="R587" s="523"/>
      <c r="S587" s="523"/>
      <c r="T587" s="523"/>
      <c r="U587" s="523"/>
      <c r="V587" s="523"/>
      <c r="W587" s="523"/>
      <c r="X587" s="523"/>
      <c r="Y587" s="523"/>
      <c r="Z587" s="523"/>
    </row>
    <row r="588">
      <c r="A588" s="523"/>
      <c r="B588" s="524"/>
      <c r="C588" s="523"/>
      <c r="D588" s="523"/>
      <c r="E588" s="524"/>
      <c r="F588" s="524"/>
      <c r="G588" s="524"/>
      <c r="H588" s="524"/>
      <c r="I588" s="523"/>
      <c r="J588" s="523"/>
      <c r="K588" s="523"/>
      <c r="L588" s="523"/>
      <c r="M588" s="523"/>
      <c r="N588" s="523"/>
      <c r="O588" s="523"/>
      <c r="P588" s="523"/>
      <c r="Q588" s="523"/>
      <c r="R588" s="523"/>
      <c r="S588" s="523"/>
      <c r="T588" s="523"/>
      <c r="U588" s="523"/>
      <c r="V588" s="523"/>
      <c r="W588" s="523"/>
      <c r="X588" s="523"/>
      <c r="Y588" s="523"/>
      <c r="Z588" s="523"/>
    </row>
    <row r="589">
      <c r="A589" s="523"/>
      <c r="B589" s="524"/>
      <c r="C589" s="523"/>
      <c r="D589" s="523"/>
      <c r="E589" s="524"/>
      <c r="F589" s="524"/>
      <c r="G589" s="524"/>
      <c r="H589" s="524"/>
      <c r="I589" s="523"/>
      <c r="J589" s="523"/>
      <c r="K589" s="523"/>
      <c r="L589" s="523"/>
      <c r="M589" s="523"/>
      <c r="N589" s="523"/>
      <c r="O589" s="523"/>
      <c r="P589" s="523"/>
      <c r="Q589" s="523"/>
      <c r="R589" s="523"/>
      <c r="S589" s="523"/>
      <c r="T589" s="523"/>
      <c r="U589" s="523"/>
      <c r="V589" s="523"/>
      <c r="W589" s="523"/>
      <c r="X589" s="523"/>
      <c r="Y589" s="523"/>
      <c r="Z589" s="523"/>
    </row>
    <row r="590">
      <c r="A590" s="523"/>
      <c r="B590" s="524"/>
      <c r="C590" s="523"/>
      <c r="D590" s="523"/>
      <c r="E590" s="524"/>
      <c r="F590" s="524"/>
      <c r="G590" s="524"/>
      <c r="H590" s="524"/>
      <c r="I590" s="523"/>
      <c r="J590" s="523"/>
      <c r="K590" s="523"/>
      <c r="L590" s="523"/>
      <c r="M590" s="523"/>
      <c r="N590" s="523"/>
      <c r="O590" s="523"/>
      <c r="P590" s="523"/>
      <c r="Q590" s="523"/>
      <c r="R590" s="523"/>
      <c r="S590" s="523"/>
      <c r="T590" s="523"/>
      <c r="U590" s="523"/>
      <c r="V590" s="523"/>
      <c r="W590" s="523"/>
      <c r="X590" s="523"/>
      <c r="Y590" s="523"/>
      <c r="Z590" s="523"/>
    </row>
    <row r="591">
      <c r="A591" s="523"/>
      <c r="B591" s="524"/>
      <c r="C591" s="523"/>
      <c r="D591" s="523"/>
      <c r="E591" s="524"/>
      <c r="F591" s="524"/>
      <c r="G591" s="524"/>
      <c r="H591" s="524"/>
      <c r="I591" s="523"/>
      <c r="J591" s="523"/>
      <c r="K591" s="523"/>
      <c r="L591" s="523"/>
      <c r="M591" s="523"/>
      <c r="N591" s="523"/>
      <c r="O591" s="523"/>
      <c r="P591" s="523"/>
      <c r="Q591" s="523"/>
      <c r="R591" s="523"/>
      <c r="S591" s="523"/>
      <c r="T591" s="523"/>
      <c r="U591" s="523"/>
      <c r="V591" s="523"/>
      <c r="W591" s="523"/>
      <c r="X591" s="523"/>
      <c r="Y591" s="523"/>
      <c r="Z591" s="523"/>
    </row>
    <row r="592">
      <c r="A592" s="523"/>
      <c r="B592" s="524"/>
      <c r="C592" s="523"/>
      <c r="D592" s="523"/>
      <c r="E592" s="524"/>
      <c r="F592" s="524"/>
      <c r="G592" s="524"/>
      <c r="H592" s="524"/>
      <c r="I592" s="523"/>
      <c r="J592" s="523"/>
      <c r="K592" s="523"/>
      <c r="L592" s="523"/>
      <c r="M592" s="523"/>
      <c r="N592" s="523"/>
      <c r="O592" s="523"/>
      <c r="P592" s="523"/>
      <c r="Q592" s="523"/>
      <c r="R592" s="523"/>
      <c r="S592" s="523"/>
      <c r="T592" s="523"/>
      <c r="U592" s="523"/>
      <c r="V592" s="523"/>
      <c r="W592" s="523"/>
      <c r="X592" s="523"/>
      <c r="Y592" s="523"/>
      <c r="Z592" s="523"/>
    </row>
    <row r="593">
      <c r="A593" s="523"/>
      <c r="B593" s="524"/>
      <c r="C593" s="523"/>
      <c r="D593" s="523"/>
      <c r="E593" s="524"/>
      <c r="F593" s="524"/>
      <c r="G593" s="524"/>
      <c r="H593" s="524"/>
      <c r="I593" s="523"/>
      <c r="J593" s="523"/>
      <c r="K593" s="523"/>
      <c r="L593" s="523"/>
      <c r="M593" s="523"/>
      <c r="N593" s="523"/>
      <c r="O593" s="523"/>
      <c r="P593" s="523"/>
      <c r="Q593" s="523"/>
      <c r="R593" s="523"/>
      <c r="S593" s="523"/>
      <c r="T593" s="523"/>
      <c r="U593" s="523"/>
      <c r="V593" s="523"/>
      <c r="W593" s="523"/>
      <c r="X593" s="523"/>
      <c r="Y593" s="523"/>
      <c r="Z593" s="523"/>
    </row>
    <row r="594">
      <c r="A594" s="523"/>
      <c r="B594" s="524"/>
      <c r="C594" s="523"/>
      <c r="D594" s="523"/>
      <c r="E594" s="524"/>
      <c r="F594" s="524"/>
      <c r="G594" s="524"/>
      <c r="H594" s="524"/>
      <c r="I594" s="523"/>
      <c r="J594" s="523"/>
      <c r="K594" s="523"/>
      <c r="L594" s="523"/>
      <c r="M594" s="523"/>
      <c r="N594" s="523"/>
      <c r="O594" s="523"/>
      <c r="P594" s="523"/>
      <c r="Q594" s="523"/>
      <c r="R594" s="523"/>
      <c r="S594" s="523"/>
      <c r="T594" s="523"/>
      <c r="U594" s="523"/>
      <c r="V594" s="523"/>
      <c r="W594" s="523"/>
      <c r="X594" s="523"/>
      <c r="Y594" s="523"/>
      <c r="Z594" s="523"/>
    </row>
    <row r="595">
      <c r="A595" s="523"/>
      <c r="B595" s="524"/>
      <c r="C595" s="523"/>
      <c r="D595" s="523"/>
      <c r="E595" s="524"/>
      <c r="F595" s="524"/>
      <c r="G595" s="524"/>
      <c r="H595" s="524"/>
      <c r="I595" s="523"/>
      <c r="J595" s="523"/>
      <c r="K595" s="523"/>
      <c r="L595" s="523"/>
      <c r="M595" s="523"/>
      <c r="N595" s="523"/>
      <c r="O595" s="523"/>
      <c r="P595" s="523"/>
      <c r="Q595" s="523"/>
      <c r="R595" s="523"/>
      <c r="S595" s="523"/>
      <c r="T595" s="523"/>
      <c r="U595" s="523"/>
      <c r="V595" s="523"/>
      <c r="W595" s="523"/>
      <c r="X595" s="523"/>
      <c r="Y595" s="523"/>
      <c r="Z595" s="523"/>
    </row>
    <row r="596">
      <c r="A596" s="523"/>
      <c r="B596" s="524"/>
      <c r="C596" s="523"/>
      <c r="D596" s="523"/>
      <c r="E596" s="524"/>
      <c r="F596" s="524"/>
      <c r="G596" s="524"/>
      <c r="H596" s="524"/>
      <c r="I596" s="523"/>
      <c r="J596" s="523"/>
      <c r="K596" s="523"/>
      <c r="L596" s="523"/>
      <c r="M596" s="523"/>
      <c r="N596" s="523"/>
      <c r="O596" s="523"/>
      <c r="P596" s="523"/>
      <c r="Q596" s="523"/>
      <c r="R596" s="523"/>
      <c r="S596" s="523"/>
      <c r="T596" s="523"/>
      <c r="U596" s="523"/>
      <c r="V596" s="523"/>
      <c r="W596" s="523"/>
      <c r="X596" s="523"/>
      <c r="Y596" s="523"/>
      <c r="Z596" s="523"/>
    </row>
    <row r="597">
      <c r="A597" s="523"/>
      <c r="B597" s="524"/>
      <c r="C597" s="523"/>
      <c r="D597" s="523"/>
      <c r="E597" s="524"/>
      <c r="F597" s="524"/>
      <c r="G597" s="524"/>
      <c r="H597" s="524"/>
      <c r="I597" s="523"/>
      <c r="J597" s="523"/>
      <c r="K597" s="523"/>
      <c r="L597" s="523"/>
      <c r="M597" s="523"/>
      <c r="N597" s="523"/>
      <c r="O597" s="523"/>
      <c r="P597" s="523"/>
      <c r="Q597" s="523"/>
      <c r="R597" s="523"/>
      <c r="S597" s="523"/>
      <c r="T597" s="523"/>
      <c r="U597" s="523"/>
      <c r="V597" s="523"/>
      <c r="W597" s="523"/>
      <c r="X597" s="523"/>
      <c r="Y597" s="523"/>
      <c r="Z597" s="523"/>
    </row>
    <row r="598">
      <c r="A598" s="523"/>
      <c r="B598" s="524"/>
      <c r="C598" s="523"/>
      <c r="D598" s="523"/>
      <c r="E598" s="524"/>
      <c r="F598" s="524"/>
      <c r="G598" s="524"/>
      <c r="H598" s="524"/>
      <c r="I598" s="523"/>
      <c r="J598" s="523"/>
      <c r="K598" s="523"/>
      <c r="L598" s="523"/>
      <c r="M598" s="523"/>
      <c r="N598" s="523"/>
      <c r="O598" s="523"/>
      <c r="P598" s="523"/>
      <c r="Q598" s="523"/>
      <c r="R598" s="523"/>
      <c r="S598" s="523"/>
      <c r="T598" s="523"/>
      <c r="U598" s="523"/>
      <c r="V598" s="523"/>
      <c r="W598" s="523"/>
      <c r="X598" s="523"/>
      <c r="Y598" s="523"/>
      <c r="Z598" s="523"/>
    </row>
    <row r="599">
      <c r="A599" s="523"/>
      <c r="B599" s="524"/>
      <c r="C599" s="523"/>
      <c r="D599" s="523"/>
      <c r="E599" s="524"/>
      <c r="F599" s="524"/>
      <c r="G599" s="524"/>
      <c r="H599" s="524"/>
      <c r="I599" s="523"/>
      <c r="J599" s="523"/>
      <c r="K599" s="523"/>
      <c r="L599" s="523"/>
      <c r="M599" s="523"/>
      <c r="N599" s="523"/>
      <c r="O599" s="523"/>
      <c r="P599" s="523"/>
      <c r="Q599" s="523"/>
      <c r="R599" s="523"/>
      <c r="S599" s="523"/>
      <c r="T599" s="523"/>
      <c r="U599" s="523"/>
      <c r="V599" s="523"/>
      <c r="W599" s="523"/>
      <c r="X599" s="523"/>
      <c r="Y599" s="523"/>
      <c r="Z599" s="523"/>
    </row>
    <row r="600">
      <c r="A600" s="523"/>
      <c r="B600" s="524"/>
      <c r="C600" s="523"/>
      <c r="D600" s="523"/>
      <c r="E600" s="524"/>
      <c r="F600" s="524"/>
      <c r="G600" s="524"/>
      <c r="H600" s="524"/>
      <c r="I600" s="523"/>
      <c r="J600" s="523"/>
      <c r="K600" s="523"/>
      <c r="L600" s="523"/>
      <c r="M600" s="523"/>
      <c r="N600" s="523"/>
      <c r="O600" s="523"/>
      <c r="P600" s="523"/>
      <c r="Q600" s="523"/>
      <c r="R600" s="523"/>
      <c r="S600" s="523"/>
      <c r="T600" s="523"/>
      <c r="U600" s="523"/>
      <c r="V600" s="523"/>
      <c r="W600" s="523"/>
      <c r="X600" s="523"/>
      <c r="Y600" s="523"/>
      <c r="Z600" s="523"/>
    </row>
    <row r="601">
      <c r="A601" s="523"/>
      <c r="B601" s="524"/>
      <c r="C601" s="523"/>
      <c r="D601" s="523"/>
      <c r="E601" s="524"/>
      <c r="F601" s="524"/>
      <c r="G601" s="524"/>
      <c r="H601" s="524"/>
      <c r="I601" s="523"/>
      <c r="J601" s="523"/>
      <c r="K601" s="523"/>
      <c r="L601" s="523"/>
      <c r="M601" s="523"/>
      <c r="N601" s="523"/>
      <c r="O601" s="523"/>
      <c r="P601" s="523"/>
      <c r="Q601" s="523"/>
      <c r="R601" s="523"/>
      <c r="S601" s="523"/>
      <c r="T601" s="523"/>
      <c r="U601" s="523"/>
      <c r="V601" s="523"/>
      <c r="W601" s="523"/>
      <c r="X601" s="523"/>
      <c r="Y601" s="523"/>
      <c r="Z601" s="523"/>
    </row>
    <row r="602">
      <c r="A602" s="523"/>
      <c r="B602" s="524"/>
      <c r="C602" s="523"/>
      <c r="D602" s="523"/>
      <c r="E602" s="524"/>
      <c r="F602" s="524"/>
      <c r="G602" s="524"/>
      <c r="H602" s="524"/>
      <c r="I602" s="523"/>
      <c r="J602" s="523"/>
      <c r="K602" s="523"/>
      <c r="L602" s="523"/>
      <c r="M602" s="523"/>
      <c r="N602" s="523"/>
      <c r="O602" s="523"/>
      <c r="P602" s="523"/>
      <c r="Q602" s="523"/>
      <c r="R602" s="523"/>
      <c r="S602" s="523"/>
      <c r="T602" s="523"/>
      <c r="U602" s="523"/>
      <c r="V602" s="523"/>
      <c r="W602" s="523"/>
      <c r="X602" s="523"/>
      <c r="Y602" s="523"/>
      <c r="Z602" s="523"/>
    </row>
    <row r="603">
      <c r="A603" s="523"/>
      <c r="B603" s="524"/>
      <c r="C603" s="523"/>
      <c r="D603" s="523"/>
      <c r="E603" s="524"/>
      <c r="F603" s="524"/>
      <c r="G603" s="524"/>
      <c r="H603" s="524"/>
      <c r="I603" s="523"/>
      <c r="J603" s="523"/>
      <c r="K603" s="523"/>
      <c r="L603" s="523"/>
      <c r="M603" s="523"/>
      <c r="N603" s="523"/>
      <c r="O603" s="523"/>
      <c r="P603" s="523"/>
      <c r="Q603" s="523"/>
      <c r="R603" s="523"/>
      <c r="S603" s="523"/>
      <c r="T603" s="523"/>
      <c r="U603" s="523"/>
      <c r="V603" s="523"/>
      <c r="W603" s="523"/>
      <c r="X603" s="523"/>
      <c r="Y603" s="523"/>
      <c r="Z603" s="523"/>
    </row>
    <row r="604">
      <c r="A604" s="523"/>
      <c r="B604" s="524"/>
      <c r="C604" s="523"/>
      <c r="D604" s="523"/>
      <c r="E604" s="524"/>
      <c r="F604" s="524"/>
      <c r="G604" s="524"/>
      <c r="H604" s="524"/>
      <c r="I604" s="523"/>
      <c r="J604" s="523"/>
      <c r="K604" s="523"/>
      <c r="L604" s="523"/>
      <c r="M604" s="523"/>
      <c r="N604" s="523"/>
      <c r="O604" s="523"/>
      <c r="P604" s="523"/>
      <c r="Q604" s="523"/>
      <c r="R604" s="523"/>
      <c r="S604" s="523"/>
      <c r="T604" s="523"/>
      <c r="U604" s="523"/>
      <c r="V604" s="523"/>
      <c r="W604" s="523"/>
      <c r="X604" s="523"/>
      <c r="Y604" s="523"/>
      <c r="Z604" s="523"/>
    </row>
    <row r="605">
      <c r="A605" s="523"/>
      <c r="B605" s="524"/>
      <c r="C605" s="523"/>
      <c r="D605" s="523"/>
      <c r="E605" s="524"/>
      <c r="F605" s="524"/>
      <c r="G605" s="524"/>
      <c r="H605" s="524"/>
      <c r="I605" s="523"/>
      <c r="J605" s="523"/>
      <c r="K605" s="523"/>
      <c r="L605" s="523"/>
      <c r="M605" s="523"/>
      <c r="N605" s="523"/>
      <c r="O605" s="523"/>
      <c r="P605" s="523"/>
      <c r="Q605" s="523"/>
      <c r="R605" s="523"/>
      <c r="S605" s="523"/>
      <c r="T605" s="523"/>
      <c r="U605" s="523"/>
      <c r="V605" s="523"/>
      <c r="W605" s="523"/>
      <c r="X605" s="523"/>
      <c r="Y605" s="523"/>
      <c r="Z605" s="523"/>
    </row>
    <row r="606">
      <c r="A606" s="523"/>
      <c r="B606" s="524"/>
      <c r="C606" s="523"/>
      <c r="D606" s="523"/>
      <c r="E606" s="524"/>
      <c r="F606" s="524"/>
      <c r="G606" s="524"/>
      <c r="H606" s="524"/>
      <c r="I606" s="523"/>
      <c r="J606" s="523"/>
      <c r="K606" s="523"/>
      <c r="L606" s="523"/>
      <c r="M606" s="523"/>
      <c r="N606" s="523"/>
      <c r="O606" s="523"/>
      <c r="P606" s="523"/>
      <c r="Q606" s="523"/>
      <c r="R606" s="523"/>
      <c r="S606" s="523"/>
      <c r="T606" s="523"/>
      <c r="U606" s="523"/>
      <c r="V606" s="523"/>
      <c r="W606" s="523"/>
      <c r="X606" s="523"/>
      <c r="Y606" s="523"/>
      <c r="Z606" s="523"/>
    </row>
    <row r="607">
      <c r="A607" s="523"/>
      <c r="B607" s="524"/>
      <c r="C607" s="523"/>
      <c r="D607" s="523"/>
      <c r="E607" s="524"/>
      <c r="F607" s="524"/>
      <c r="G607" s="524"/>
      <c r="H607" s="524"/>
      <c r="I607" s="523"/>
      <c r="J607" s="523"/>
      <c r="K607" s="523"/>
      <c r="L607" s="523"/>
      <c r="M607" s="523"/>
      <c r="N607" s="523"/>
      <c r="O607" s="523"/>
      <c r="P607" s="523"/>
      <c r="Q607" s="523"/>
      <c r="R607" s="523"/>
      <c r="S607" s="523"/>
      <c r="T607" s="523"/>
      <c r="U607" s="523"/>
      <c r="V607" s="523"/>
      <c r="W607" s="523"/>
      <c r="X607" s="523"/>
      <c r="Y607" s="523"/>
      <c r="Z607" s="523"/>
    </row>
    <row r="608">
      <c r="A608" s="523"/>
      <c r="B608" s="524"/>
      <c r="C608" s="523"/>
      <c r="D608" s="523"/>
      <c r="E608" s="524"/>
      <c r="F608" s="524"/>
      <c r="G608" s="524"/>
      <c r="H608" s="524"/>
      <c r="I608" s="523"/>
      <c r="J608" s="523"/>
      <c r="K608" s="523"/>
      <c r="L608" s="523"/>
      <c r="M608" s="523"/>
      <c r="N608" s="523"/>
      <c r="O608" s="523"/>
      <c r="P608" s="523"/>
      <c r="Q608" s="523"/>
      <c r="R608" s="523"/>
      <c r="S608" s="523"/>
      <c r="T608" s="523"/>
      <c r="U608" s="523"/>
      <c r="V608" s="523"/>
      <c r="W608" s="523"/>
      <c r="X608" s="523"/>
      <c r="Y608" s="523"/>
      <c r="Z608" s="523"/>
    </row>
    <row r="609">
      <c r="A609" s="523"/>
      <c r="B609" s="524"/>
      <c r="C609" s="523"/>
      <c r="D609" s="523"/>
      <c r="E609" s="524"/>
      <c r="F609" s="524"/>
      <c r="G609" s="524"/>
      <c r="H609" s="524"/>
      <c r="I609" s="523"/>
      <c r="J609" s="523"/>
      <c r="K609" s="523"/>
      <c r="L609" s="523"/>
      <c r="M609" s="523"/>
      <c r="N609" s="523"/>
      <c r="O609" s="523"/>
      <c r="P609" s="523"/>
      <c r="Q609" s="523"/>
      <c r="R609" s="523"/>
      <c r="S609" s="523"/>
      <c r="T609" s="523"/>
      <c r="U609" s="523"/>
      <c r="V609" s="523"/>
      <c r="W609" s="523"/>
      <c r="X609" s="523"/>
      <c r="Y609" s="523"/>
      <c r="Z609" s="523"/>
    </row>
    <row r="610">
      <c r="A610" s="523"/>
      <c r="B610" s="524"/>
      <c r="C610" s="523"/>
      <c r="D610" s="523"/>
      <c r="E610" s="524"/>
      <c r="F610" s="524"/>
      <c r="G610" s="524"/>
      <c r="H610" s="524"/>
      <c r="I610" s="523"/>
      <c r="J610" s="523"/>
      <c r="K610" s="523"/>
      <c r="L610" s="523"/>
      <c r="M610" s="523"/>
      <c r="N610" s="523"/>
      <c r="O610" s="523"/>
      <c r="P610" s="523"/>
      <c r="Q610" s="523"/>
      <c r="R610" s="523"/>
      <c r="S610" s="523"/>
      <c r="T610" s="523"/>
      <c r="U610" s="523"/>
      <c r="V610" s="523"/>
      <c r="W610" s="523"/>
      <c r="X610" s="523"/>
      <c r="Y610" s="523"/>
      <c r="Z610" s="523"/>
    </row>
    <row r="611">
      <c r="A611" s="523"/>
      <c r="B611" s="524"/>
      <c r="C611" s="523"/>
      <c r="D611" s="523"/>
      <c r="E611" s="524"/>
      <c r="F611" s="524"/>
      <c r="G611" s="524"/>
      <c r="H611" s="524"/>
      <c r="I611" s="523"/>
      <c r="J611" s="523"/>
      <c r="K611" s="523"/>
      <c r="L611" s="523"/>
      <c r="M611" s="523"/>
      <c r="N611" s="523"/>
      <c r="O611" s="523"/>
      <c r="P611" s="523"/>
      <c r="Q611" s="523"/>
      <c r="R611" s="523"/>
      <c r="S611" s="523"/>
      <c r="T611" s="523"/>
      <c r="U611" s="523"/>
      <c r="V611" s="523"/>
      <c r="W611" s="523"/>
      <c r="X611" s="523"/>
      <c r="Y611" s="523"/>
      <c r="Z611" s="523"/>
    </row>
    <row r="612">
      <c r="A612" s="523"/>
      <c r="B612" s="524"/>
      <c r="C612" s="523"/>
      <c r="D612" s="523"/>
      <c r="E612" s="524"/>
      <c r="F612" s="524"/>
      <c r="G612" s="524"/>
      <c r="H612" s="524"/>
      <c r="I612" s="523"/>
      <c r="J612" s="523"/>
      <c r="K612" s="523"/>
      <c r="L612" s="523"/>
      <c r="M612" s="523"/>
      <c r="N612" s="523"/>
      <c r="O612" s="523"/>
      <c r="P612" s="523"/>
      <c r="Q612" s="523"/>
      <c r="R612" s="523"/>
      <c r="S612" s="523"/>
      <c r="T612" s="523"/>
      <c r="U612" s="523"/>
      <c r="V612" s="523"/>
      <c r="W612" s="523"/>
      <c r="X612" s="523"/>
      <c r="Y612" s="523"/>
      <c r="Z612" s="523"/>
    </row>
    <row r="613">
      <c r="A613" s="523"/>
      <c r="B613" s="524"/>
      <c r="C613" s="523"/>
      <c r="D613" s="523"/>
      <c r="E613" s="524"/>
      <c r="F613" s="524"/>
      <c r="G613" s="524"/>
      <c r="H613" s="524"/>
      <c r="I613" s="523"/>
      <c r="J613" s="523"/>
      <c r="K613" s="523"/>
      <c r="L613" s="523"/>
      <c r="M613" s="523"/>
      <c r="N613" s="523"/>
      <c r="O613" s="523"/>
      <c r="P613" s="523"/>
      <c r="Q613" s="523"/>
      <c r="R613" s="523"/>
      <c r="S613" s="523"/>
      <c r="T613" s="523"/>
      <c r="U613" s="523"/>
      <c r="V613" s="523"/>
      <c r="W613" s="523"/>
      <c r="X613" s="523"/>
      <c r="Y613" s="523"/>
      <c r="Z613" s="523"/>
    </row>
    <row r="614">
      <c r="A614" s="523"/>
      <c r="B614" s="524"/>
      <c r="C614" s="523"/>
      <c r="D614" s="523"/>
      <c r="E614" s="524"/>
      <c r="F614" s="524"/>
      <c r="G614" s="524"/>
      <c r="H614" s="524"/>
      <c r="I614" s="523"/>
      <c r="J614" s="523"/>
      <c r="K614" s="523"/>
      <c r="L614" s="523"/>
      <c r="M614" s="523"/>
      <c r="N614" s="523"/>
      <c r="O614" s="523"/>
      <c r="P614" s="523"/>
      <c r="Q614" s="523"/>
      <c r="R614" s="523"/>
      <c r="S614" s="523"/>
      <c r="T614" s="523"/>
      <c r="U614" s="523"/>
      <c r="V614" s="523"/>
      <c r="W614" s="523"/>
      <c r="X614" s="523"/>
      <c r="Y614" s="523"/>
      <c r="Z614" s="523"/>
    </row>
    <row r="615">
      <c r="A615" s="523"/>
      <c r="B615" s="524"/>
      <c r="C615" s="523"/>
      <c r="D615" s="523"/>
      <c r="E615" s="524"/>
      <c r="F615" s="524"/>
      <c r="G615" s="524"/>
      <c r="H615" s="524"/>
      <c r="I615" s="523"/>
      <c r="J615" s="523"/>
      <c r="K615" s="523"/>
      <c r="L615" s="523"/>
      <c r="M615" s="523"/>
      <c r="N615" s="523"/>
      <c r="O615" s="523"/>
      <c r="P615" s="523"/>
      <c r="Q615" s="523"/>
      <c r="R615" s="523"/>
      <c r="S615" s="523"/>
      <c r="T615" s="523"/>
      <c r="U615" s="523"/>
      <c r="V615" s="523"/>
      <c r="W615" s="523"/>
      <c r="X615" s="523"/>
      <c r="Y615" s="523"/>
      <c r="Z615" s="523"/>
    </row>
    <row r="616">
      <c r="A616" s="523"/>
      <c r="B616" s="524"/>
      <c r="C616" s="523"/>
      <c r="D616" s="523"/>
      <c r="E616" s="524"/>
      <c r="F616" s="524"/>
      <c r="G616" s="524"/>
      <c r="H616" s="524"/>
      <c r="I616" s="523"/>
      <c r="J616" s="523"/>
      <c r="K616" s="523"/>
      <c r="L616" s="523"/>
      <c r="M616" s="523"/>
      <c r="N616" s="523"/>
      <c r="O616" s="523"/>
      <c r="P616" s="523"/>
      <c r="Q616" s="523"/>
      <c r="R616" s="523"/>
      <c r="S616" s="523"/>
      <c r="T616" s="523"/>
      <c r="U616" s="523"/>
      <c r="V616" s="523"/>
      <c r="W616" s="523"/>
      <c r="X616" s="523"/>
      <c r="Y616" s="523"/>
      <c r="Z616" s="523"/>
    </row>
    <row r="617">
      <c r="A617" s="523"/>
      <c r="B617" s="524"/>
      <c r="C617" s="523"/>
      <c r="D617" s="523"/>
      <c r="E617" s="524"/>
      <c r="F617" s="524"/>
      <c r="G617" s="524"/>
      <c r="H617" s="524"/>
      <c r="I617" s="523"/>
      <c r="J617" s="523"/>
      <c r="K617" s="523"/>
      <c r="L617" s="523"/>
      <c r="M617" s="523"/>
      <c r="N617" s="523"/>
      <c r="O617" s="523"/>
      <c r="P617" s="523"/>
      <c r="Q617" s="523"/>
      <c r="R617" s="523"/>
      <c r="S617" s="523"/>
      <c r="T617" s="523"/>
      <c r="U617" s="523"/>
      <c r="V617" s="523"/>
      <c r="W617" s="523"/>
      <c r="X617" s="523"/>
      <c r="Y617" s="523"/>
      <c r="Z617" s="523"/>
    </row>
    <row r="618">
      <c r="A618" s="523"/>
      <c r="B618" s="524"/>
      <c r="C618" s="523"/>
      <c r="D618" s="523"/>
      <c r="E618" s="524"/>
      <c r="F618" s="524"/>
      <c r="G618" s="524"/>
      <c r="H618" s="524"/>
      <c r="I618" s="523"/>
      <c r="J618" s="523"/>
      <c r="K618" s="523"/>
      <c r="L618" s="523"/>
      <c r="M618" s="523"/>
      <c r="N618" s="523"/>
      <c r="O618" s="523"/>
      <c r="P618" s="523"/>
      <c r="Q618" s="523"/>
      <c r="R618" s="523"/>
      <c r="S618" s="523"/>
      <c r="T618" s="523"/>
      <c r="U618" s="523"/>
      <c r="V618" s="523"/>
      <c r="W618" s="523"/>
      <c r="X618" s="523"/>
      <c r="Y618" s="523"/>
      <c r="Z618" s="523"/>
    </row>
    <row r="619">
      <c r="A619" s="523"/>
      <c r="B619" s="524"/>
      <c r="C619" s="523"/>
      <c r="D619" s="523"/>
      <c r="E619" s="524"/>
      <c r="F619" s="524"/>
      <c r="G619" s="524"/>
      <c r="H619" s="524"/>
      <c r="I619" s="523"/>
      <c r="J619" s="523"/>
      <c r="K619" s="523"/>
      <c r="L619" s="523"/>
      <c r="M619" s="523"/>
      <c r="N619" s="523"/>
      <c r="O619" s="523"/>
      <c r="P619" s="523"/>
      <c r="Q619" s="523"/>
      <c r="R619" s="523"/>
      <c r="S619" s="523"/>
      <c r="T619" s="523"/>
      <c r="U619" s="523"/>
      <c r="V619" s="523"/>
      <c r="W619" s="523"/>
      <c r="X619" s="523"/>
      <c r="Y619" s="523"/>
      <c r="Z619" s="523"/>
    </row>
    <row r="620">
      <c r="A620" s="523"/>
      <c r="B620" s="524"/>
      <c r="C620" s="523"/>
      <c r="D620" s="523"/>
      <c r="E620" s="524"/>
      <c r="F620" s="524"/>
      <c r="G620" s="524"/>
      <c r="H620" s="524"/>
      <c r="I620" s="523"/>
      <c r="J620" s="523"/>
      <c r="K620" s="523"/>
      <c r="L620" s="523"/>
      <c r="M620" s="523"/>
      <c r="N620" s="523"/>
      <c r="O620" s="523"/>
      <c r="P620" s="523"/>
      <c r="Q620" s="523"/>
      <c r="R620" s="523"/>
      <c r="S620" s="523"/>
      <c r="T620" s="523"/>
      <c r="U620" s="523"/>
      <c r="V620" s="523"/>
      <c r="W620" s="523"/>
      <c r="X620" s="523"/>
      <c r="Y620" s="523"/>
      <c r="Z620" s="523"/>
    </row>
    <row r="621">
      <c r="A621" s="523"/>
      <c r="B621" s="524"/>
      <c r="C621" s="523"/>
      <c r="D621" s="523"/>
      <c r="E621" s="524"/>
      <c r="F621" s="524"/>
      <c r="G621" s="524"/>
      <c r="H621" s="524"/>
      <c r="I621" s="523"/>
      <c r="J621" s="523"/>
      <c r="K621" s="523"/>
      <c r="L621" s="523"/>
      <c r="M621" s="523"/>
      <c r="N621" s="523"/>
      <c r="O621" s="523"/>
      <c r="P621" s="523"/>
      <c r="Q621" s="523"/>
      <c r="R621" s="523"/>
      <c r="S621" s="523"/>
      <c r="T621" s="523"/>
      <c r="U621" s="523"/>
      <c r="V621" s="523"/>
      <c r="W621" s="523"/>
      <c r="X621" s="523"/>
      <c r="Y621" s="523"/>
      <c r="Z621" s="523"/>
    </row>
    <row r="622">
      <c r="A622" s="523"/>
      <c r="B622" s="524"/>
      <c r="C622" s="523"/>
      <c r="D622" s="523"/>
      <c r="E622" s="524"/>
      <c r="F622" s="524"/>
      <c r="G622" s="524"/>
      <c r="H622" s="524"/>
      <c r="I622" s="523"/>
      <c r="J622" s="523"/>
      <c r="K622" s="523"/>
      <c r="L622" s="523"/>
      <c r="M622" s="523"/>
      <c r="N622" s="523"/>
      <c r="O622" s="523"/>
      <c r="P622" s="523"/>
      <c r="Q622" s="523"/>
      <c r="R622" s="523"/>
      <c r="S622" s="523"/>
      <c r="T622" s="523"/>
      <c r="U622" s="523"/>
      <c r="V622" s="523"/>
      <c r="W622" s="523"/>
      <c r="X622" s="523"/>
      <c r="Y622" s="523"/>
      <c r="Z622" s="523"/>
    </row>
    <row r="623">
      <c r="A623" s="523"/>
      <c r="B623" s="524"/>
      <c r="C623" s="523"/>
      <c r="D623" s="523"/>
      <c r="E623" s="524"/>
      <c r="F623" s="524"/>
      <c r="G623" s="524"/>
      <c r="H623" s="524"/>
      <c r="I623" s="523"/>
      <c r="J623" s="523"/>
      <c r="K623" s="523"/>
      <c r="L623" s="523"/>
      <c r="M623" s="523"/>
      <c r="N623" s="523"/>
      <c r="O623" s="523"/>
      <c r="P623" s="523"/>
      <c r="Q623" s="523"/>
      <c r="R623" s="523"/>
      <c r="S623" s="523"/>
      <c r="T623" s="523"/>
      <c r="U623" s="523"/>
      <c r="V623" s="523"/>
      <c r="W623" s="523"/>
      <c r="X623" s="523"/>
      <c r="Y623" s="523"/>
      <c r="Z623" s="523"/>
    </row>
    <row r="624">
      <c r="A624" s="523"/>
      <c r="B624" s="524"/>
      <c r="C624" s="523"/>
      <c r="D624" s="523"/>
      <c r="E624" s="524"/>
      <c r="F624" s="524"/>
      <c r="G624" s="524"/>
      <c r="H624" s="524"/>
      <c r="I624" s="523"/>
      <c r="J624" s="523"/>
      <c r="K624" s="523"/>
      <c r="L624" s="523"/>
      <c r="M624" s="523"/>
      <c r="N624" s="523"/>
      <c r="O624" s="523"/>
      <c r="P624" s="523"/>
      <c r="Q624" s="523"/>
      <c r="R624" s="523"/>
      <c r="S624" s="523"/>
      <c r="T624" s="523"/>
      <c r="U624" s="523"/>
      <c r="V624" s="523"/>
      <c r="W624" s="523"/>
      <c r="X624" s="523"/>
      <c r="Y624" s="523"/>
      <c r="Z624" s="523"/>
    </row>
    <row r="625">
      <c r="A625" s="523"/>
      <c r="B625" s="524"/>
      <c r="C625" s="523"/>
      <c r="D625" s="523"/>
      <c r="E625" s="524"/>
      <c r="F625" s="524"/>
      <c r="G625" s="524"/>
      <c r="H625" s="524"/>
      <c r="I625" s="523"/>
      <c r="J625" s="523"/>
      <c r="K625" s="523"/>
      <c r="L625" s="523"/>
      <c r="M625" s="523"/>
      <c r="N625" s="523"/>
      <c r="O625" s="523"/>
      <c r="P625" s="523"/>
      <c r="Q625" s="523"/>
      <c r="R625" s="523"/>
      <c r="S625" s="523"/>
      <c r="T625" s="523"/>
      <c r="U625" s="523"/>
      <c r="V625" s="523"/>
      <c r="W625" s="523"/>
      <c r="X625" s="523"/>
      <c r="Y625" s="523"/>
      <c r="Z625" s="523"/>
    </row>
    <row r="626">
      <c r="A626" s="523"/>
      <c r="B626" s="524"/>
      <c r="C626" s="523"/>
      <c r="D626" s="523"/>
      <c r="E626" s="524"/>
      <c r="F626" s="524"/>
      <c r="G626" s="524"/>
      <c r="H626" s="524"/>
      <c r="I626" s="523"/>
      <c r="J626" s="523"/>
      <c r="K626" s="523"/>
      <c r="L626" s="523"/>
      <c r="M626" s="523"/>
      <c r="N626" s="523"/>
      <c r="O626" s="523"/>
      <c r="P626" s="523"/>
      <c r="Q626" s="523"/>
      <c r="R626" s="523"/>
      <c r="S626" s="523"/>
      <c r="T626" s="523"/>
      <c r="U626" s="523"/>
      <c r="V626" s="523"/>
      <c r="W626" s="523"/>
      <c r="X626" s="523"/>
      <c r="Y626" s="523"/>
      <c r="Z626" s="523"/>
    </row>
    <row r="627">
      <c r="A627" s="523"/>
      <c r="B627" s="524"/>
      <c r="C627" s="523"/>
      <c r="D627" s="523"/>
      <c r="E627" s="524"/>
      <c r="F627" s="524"/>
      <c r="G627" s="524"/>
      <c r="H627" s="524"/>
      <c r="I627" s="523"/>
      <c r="J627" s="523"/>
      <c r="K627" s="523"/>
      <c r="L627" s="523"/>
      <c r="M627" s="523"/>
      <c r="N627" s="523"/>
      <c r="O627" s="523"/>
      <c r="P627" s="523"/>
      <c r="Q627" s="523"/>
      <c r="R627" s="523"/>
      <c r="S627" s="523"/>
      <c r="T627" s="523"/>
      <c r="U627" s="523"/>
      <c r="V627" s="523"/>
      <c r="W627" s="523"/>
      <c r="X627" s="523"/>
      <c r="Y627" s="523"/>
      <c r="Z627" s="523"/>
    </row>
    <row r="628">
      <c r="A628" s="523"/>
      <c r="B628" s="524"/>
      <c r="C628" s="523"/>
      <c r="D628" s="523"/>
      <c r="E628" s="524"/>
      <c r="F628" s="524"/>
      <c r="G628" s="524"/>
      <c r="H628" s="524"/>
      <c r="I628" s="523"/>
      <c r="J628" s="523"/>
      <c r="K628" s="523"/>
      <c r="L628" s="523"/>
      <c r="M628" s="523"/>
      <c r="N628" s="523"/>
      <c r="O628" s="523"/>
      <c r="P628" s="523"/>
      <c r="Q628" s="523"/>
      <c r="R628" s="523"/>
      <c r="S628" s="523"/>
      <c r="T628" s="523"/>
      <c r="U628" s="523"/>
      <c r="V628" s="523"/>
      <c r="W628" s="523"/>
      <c r="X628" s="523"/>
      <c r="Y628" s="523"/>
      <c r="Z628" s="523"/>
    </row>
    <row r="629">
      <c r="A629" s="523"/>
      <c r="B629" s="524"/>
      <c r="C629" s="523"/>
      <c r="D629" s="523"/>
      <c r="E629" s="524"/>
      <c r="F629" s="524"/>
      <c r="G629" s="524"/>
      <c r="H629" s="524"/>
      <c r="I629" s="523"/>
      <c r="J629" s="523"/>
      <c r="K629" s="523"/>
      <c r="L629" s="523"/>
      <c r="M629" s="523"/>
      <c r="N629" s="523"/>
      <c r="O629" s="523"/>
      <c r="P629" s="523"/>
      <c r="Q629" s="523"/>
      <c r="R629" s="523"/>
      <c r="S629" s="523"/>
      <c r="T629" s="523"/>
      <c r="U629" s="523"/>
      <c r="V629" s="523"/>
      <c r="W629" s="523"/>
      <c r="X629" s="523"/>
      <c r="Y629" s="523"/>
      <c r="Z629" s="523"/>
    </row>
    <row r="630">
      <c r="A630" s="523"/>
      <c r="B630" s="524"/>
      <c r="C630" s="523"/>
      <c r="D630" s="523"/>
      <c r="E630" s="524"/>
      <c r="F630" s="524"/>
      <c r="G630" s="524"/>
      <c r="H630" s="524"/>
      <c r="I630" s="523"/>
      <c r="J630" s="523"/>
      <c r="K630" s="523"/>
      <c r="L630" s="523"/>
      <c r="M630" s="523"/>
      <c r="N630" s="523"/>
      <c r="O630" s="523"/>
      <c r="P630" s="523"/>
      <c r="Q630" s="523"/>
      <c r="R630" s="523"/>
      <c r="S630" s="523"/>
      <c r="T630" s="523"/>
      <c r="U630" s="523"/>
      <c r="V630" s="523"/>
      <c r="W630" s="523"/>
      <c r="X630" s="523"/>
      <c r="Y630" s="523"/>
      <c r="Z630" s="523"/>
    </row>
    <row r="631">
      <c r="A631" s="523"/>
      <c r="B631" s="524"/>
      <c r="C631" s="523"/>
      <c r="D631" s="523"/>
      <c r="E631" s="524"/>
      <c r="F631" s="524"/>
      <c r="G631" s="524"/>
      <c r="H631" s="524"/>
      <c r="I631" s="523"/>
      <c r="J631" s="523"/>
      <c r="K631" s="523"/>
      <c r="L631" s="523"/>
      <c r="M631" s="523"/>
      <c r="N631" s="523"/>
      <c r="O631" s="523"/>
      <c r="P631" s="523"/>
      <c r="Q631" s="523"/>
      <c r="R631" s="523"/>
      <c r="S631" s="523"/>
      <c r="T631" s="523"/>
      <c r="U631" s="523"/>
      <c r="V631" s="523"/>
      <c r="W631" s="523"/>
      <c r="X631" s="523"/>
      <c r="Y631" s="523"/>
      <c r="Z631" s="523"/>
    </row>
    <row r="632">
      <c r="A632" s="523"/>
      <c r="B632" s="524"/>
      <c r="C632" s="523"/>
      <c r="D632" s="523"/>
      <c r="E632" s="524"/>
      <c r="F632" s="524"/>
      <c r="G632" s="524"/>
      <c r="H632" s="524"/>
      <c r="I632" s="523"/>
      <c r="J632" s="523"/>
      <c r="K632" s="523"/>
      <c r="L632" s="523"/>
      <c r="M632" s="523"/>
      <c r="N632" s="523"/>
      <c r="O632" s="523"/>
      <c r="P632" s="523"/>
      <c r="Q632" s="523"/>
      <c r="R632" s="523"/>
      <c r="S632" s="523"/>
      <c r="T632" s="523"/>
      <c r="U632" s="523"/>
      <c r="V632" s="523"/>
      <c r="W632" s="523"/>
      <c r="X632" s="523"/>
      <c r="Y632" s="523"/>
      <c r="Z632" s="523"/>
    </row>
    <row r="633">
      <c r="A633" s="523"/>
      <c r="B633" s="524"/>
      <c r="C633" s="523"/>
      <c r="D633" s="523"/>
      <c r="E633" s="524"/>
      <c r="F633" s="524"/>
      <c r="G633" s="524"/>
      <c r="H633" s="524"/>
      <c r="I633" s="523"/>
      <c r="J633" s="523"/>
      <c r="K633" s="523"/>
      <c r="L633" s="523"/>
      <c r="M633" s="523"/>
      <c r="N633" s="523"/>
      <c r="O633" s="523"/>
      <c r="P633" s="523"/>
      <c r="Q633" s="523"/>
      <c r="R633" s="523"/>
      <c r="S633" s="523"/>
      <c r="T633" s="523"/>
      <c r="U633" s="523"/>
      <c r="V633" s="523"/>
      <c r="W633" s="523"/>
      <c r="X633" s="523"/>
      <c r="Y633" s="523"/>
      <c r="Z633" s="523"/>
    </row>
    <row r="634">
      <c r="A634" s="523"/>
      <c r="B634" s="524"/>
      <c r="C634" s="523"/>
      <c r="D634" s="523"/>
      <c r="E634" s="524"/>
      <c r="F634" s="524"/>
      <c r="G634" s="524"/>
      <c r="H634" s="524"/>
      <c r="I634" s="523"/>
      <c r="J634" s="523"/>
      <c r="K634" s="523"/>
      <c r="L634" s="523"/>
      <c r="M634" s="523"/>
      <c r="N634" s="523"/>
      <c r="O634" s="523"/>
      <c r="P634" s="523"/>
      <c r="Q634" s="523"/>
      <c r="R634" s="523"/>
      <c r="S634" s="523"/>
      <c r="T634" s="523"/>
      <c r="U634" s="523"/>
      <c r="V634" s="523"/>
      <c r="W634" s="523"/>
      <c r="X634" s="523"/>
      <c r="Y634" s="523"/>
      <c r="Z634" s="523"/>
    </row>
    <row r="635">
      <c r="A635" s="523"/>
      <c r="B635" s="524"/>
      <c r="C635" s="523"/>
      <c r="D635" s="523"/>
      <c r="E635" s="524"/>
      <c r="F635" s="524"/>
      <c r="G635" s="524"/>
      <c r="H635" s="524"/>
      <c r="I635" s="523"/>
      <c r="J635" s="523"/>
      <c r="K635" s="523"/>
      <c r="L635" s="523"/>
      <c r="M635" s="523"/>
      <c r="N635" s="523"/>
      <c r="O635" s="523"/>
      <c r="P635" s="523"/>
      <c r="Q635" s="523"/>
      <c r="R635" s="523"/>
      <c r="S635" s="523"/>
      <c r="T635" s="523"/>
      <c r="U635" s="523"/>
      <c r="V635" s="523"/>
      <c r="W635" s="523"/>
      <c r="X635" s="523"/>
      <c r="Y635" s="523"/>
      <c r="Z635" s="523"/>
    </row>
    <row r="636">
      <c r="A636" s="523"/>
      <c r="B636" s="524"/>
      <c r="C636" s="523"/>
      <c r="D636" s="523"/>
      <c r="E636" s="524"/>
      <c r="F636" s="524"/>
      <c r="G636" s="524"/>
      <c r="H636" s="524"/>
      <c r="I636" s="523"/>
      <c r="J636" s="523"/>
      <c r="K636" s="523"/>
      <c r="L636" s="523"/>
      <c r="M636" s="523"/>
      <c r="N636" s="523"/>
      <c r="O636" s="523"/>
      <c r="P636" s="523"/>
      <c r="Q636" s="523"/>
      <c r="R636" s="523"/>
      <c r="S636" s="523"/>
      <c r="T636" s="523"/>
      <c r="U636" s="523"/>
      <c r="V636" s="523"/>
      <c r="W636" s="523"/>
      <c r="X636" s="523"/>
      <c r="Y636" s="523"/>
      <c r="Z636" s="523"/>
    </row>
    <row r="637">
      <c r="A637" s="523"/>
      <c r="B637" s="524"/>
      <c r="C637" s="523"/>
      <c r="D637" s="523"/>
      <c r="E637" s="524"/>
      <c r="F637" s="524"/>
      <c r="G637" s="524"/>
      <c r="H637" s="524"/>
      <c r="I637" s="523"/>
      <c r="J637" s="523"/>
      <c r="K637" s="523"/>
      <c r="L637" s="523"/>
      <c r="M637" s="523"/>
      <c r="N637" s="523"/>
      <c r="O637" s="523"/>
      <c r="P637" s="523"/>
      <c r="Q637" s="523"/>
      <c r="R637" s="523"/>
      <c r="S637" s="523"/>
      <c r="T637" s="523"/>
      <c r="U637" s="523"/>
      <c r="V637" s="523"/>
      <c r="W637" s="523"/>
      <c r="X637" s="523"/>
      <c r="Y637" s="523"/>
      <c r="Z637" s="523"/>
    </row>
    <row r="638">
      <c r="A638" s="523"/>
      <c r="B638" s="524"/>
      <c r="C638" s="523"/>
      <c r="D638" s="523"/>
      <c r="E638" s="524"/>
      <c r="F638" s="524"/>
      <c r="G638" s="524"/>
      <c r="H638" s="524"/>
      <c r="I638" s="523"/>
      <c r="J638" s="523"/>
      <c r="K638" s="523"/>
      <c r="L638" s="523"/>
      <c r="M638" s="523"/>
      <c r="N638" s="523"/>
      <c r="O638" s="523"/>
      <c r="P638" s="523"/>
      <c r="Q638" s="523"/>
      <c r="R638" s="523"/>
      <c r="S638" s="523"/>
      <c r="T638" s="523"/>
      <c r="U638" s="523"/>
      <c r="V638" s="523"/>
      <c r="W638" s="523"/>
      <c r="X638" s="523"/>
      <c r="Y638" s="523"/>
      <c r="Z638" s="523"/>
    </row>
    <row r="639">
      <c r="A639" s="523"/>
      <c r="B639" s="524"/>
      <c r="C639" s="523"/>
      <c r="D639" s="523"/>
      <c r="E639" s="524"/>
      <c r="F639" s="524"/>
      <c r="G639" s="524"/>
      <c r="H639" s="524"/>
      <c r="I639" s="523"/>
      <c r="J639" s="523"/>
      <c r="K639" s="523"/>
      <c r="L639" s="523"/>
      <c r="M639" s="523"/>
      <c r="N639" s="523"/>
      <c r="O639" s="523"/>
      <c r="P639" s="523"/>
      <c r="Q639" s="523"/>
      <c r="R639" s="523"/>
      <c r="S639" s="523"/>
      <c r="T639" s="523"/>
      <c r="U639" s="523"/>
      <c r="V639" s="523"/>
      <c r="W639" s="523"/>
      <c r="X639" s="523"/>
      <c r="Y639" s="523"/>
      <c r="Z639" s="523"/>
    </row>
    <row r="640">
      <c r="A640" s="523"/>
      <c r="B640" s="524"/>
      <c r="C640" s="523"/>
      <c r="D640" s="523"/>
      <c r="E640" s="524"/>
      <c r="F640" s="524"/>
      <c r="G640" s="524"/>
      <c r="H640" s="524"/>
      <c r="I640" s="523"/>
      <c r="J640" s="523"/>
      <c r="K640" s="523"/>
      <c r="L640" s="523"/>
      <c r="M640" s="523"/>
      <c r="N640" s="523"/>
      <c r="O640" s="523"/>
      <c r="P640" s="523"/>
      <c r="Q640" s="523"/>
      <c r="R640" s="523"/>
      <c r="S640" s="523"/>
      <c r="T640" s="523"/>
      <c r="U640" s="523"/>
      <c r="V640" s="523"/>
      <c r="W640" s="523"/>
      <c r="X640" s="523"/>
      <c r="Y640" s="523"/>
      <c r="Z640" s="523"/>
    </row>
    <row r="641">
      <c r="A641" s="523"/>
      <c r="B641" s="524"/>
      <c r="C641" s="523"/>
      <c r="D641" s="523"/>
      <c r="E641" s="524"/>
      <c r="F641" s="524"/>
      <c r="G641" s="524"/>
      <c r="H641" s="524"/>
      <c r="I641" s="523"/>
      <c r="J641" s="523"/>
      <c r="K641" s="523"/>
      <c r="L641" s="523"/>
      <c r="M641" s="523"/>
      <c r="N641" s="523"/>
      <c r="O641" s="523"/>
      <c r="P641" s="523"/>
      <c r="Q641" s="523"/>
      <c r="R641" s="523"/>
      <c r="S641" s="523"/>
      <c r="T641" s="523"/>
      <c r="U641" s="523"/>
      <c r="V641" s="523"/>
      <c r="W641" s="523"/>
      <c r="X641" s="523"/>
      <c r="Y641" s="523"/>
      <c r="Z641" s="523"/>
    </row>
    <row r="642">
      <c r="A642" s="523"/>
      <c r="B642" s="524"/>
      <c r="C642" s="523"/>
      <c r="D642" s="523"/>
      <c r="E642" s="524"/>
      <c r="F642" s="524"/>
      <c r="G642" s="524"/>
      <c r="H642" s="524"/>
      <c r="I642" s="523"/>
      <c r="J642" s="523"/>
      <c r="K642" s="523"/>
      <c r="L642" s="523"/>
      <c r="M642" s="523"/>
      <c r="N642" s="523"/>
      <c r="O642" s="523"/>
      <c r="P642" s="523"/>
      <c r="Q642" s="523"/>
      <c r="R642" s="523"/>
      <c r="S642" s="523"/>
      <c r="T642" s="523"/>
      <c r="U642" s="523"/>
      <c r="V642" s="523"/>
      <c r="W642" s="523"/>
      <c r="X642" s="523"/>
      <c r="Y642" s="523"/>
      <c r="Z642" s="523"/>
    </row>
    <row r="643">
      <c r="A643" s="523"/>
      <c r="B643" s="524"/>
      <c r="C643" s="523"/>
      <c r="D643" s="523"/>
      <c r="E643" s="524"/>
      <c r="F643" s="524"/>
      <c r="G643" s="524"/>
      <c r="H643" s="524"/>
      <c r="I643" s="523"/>
      <c r="J643" s="523"/>
      <c r="K643" s="523"/>
      <c r="L643" s="523"/>
      <c r="M643" s="523"/>
      <c r="N643" s="523"/>
      <c r="O643" s="523"/>
      <c r="P643" s="523"/>
      <c r="Q643" s="523"/>
      <c r="R643" s="523"/>
      <c r="S643" s="523"/>
      <c r="T643" s="523"/>
      <c r="U643" s="523"/>
      <c r="V643" s="523"/>
      <c r="W643" s="523"/>
      <c r="X643" s="523"/>
      <c r="Y643" s="523"/>
      <c r="Z643" s="523"/>
    </row>
    <row r="644">
      <c r="A644" s="523"/>
      <c r="B644" s="524"/>
      <c r="C644" s="523"/>
      <c r="D644" s="523"/>
      <c r="E644" s="524"/>
      <c r="F644" s="524"/>
      <c r="G644" s="524"/>
      <c r="H644" s="524"/>
      <c r="I644" s="523"/>
      <c r="J644" s="523"/>
      <c r="K644" s="523"/>
      <c r="L644" s="523"/>
      <c r="M644" s="523"/>
      <c r="N644" s="523"/>
      <c r="O644" s="523"/>
      <c r="P644" s="523"/>
      <c r="Q644" s="523"/>
      <c r="R644" s="523"/>
      <c r="S644" s="523"/>
      <c r="T644" s="523"/>
      <c r="U644" s="523"/>
      <c r="V644" s="523"/>
      <c r="W644" s="523"/>
      <c r="X644" s="523"/>
      <c r="Y644" s="523"/>
      <c r="Z644" s="523"/>
    </row>
    <row r="645">
      <c r="A645" s="523"/>
      <c r="B645" s="524"/>
      <c r="C645" s="523"/>
      <c r="D645" s="523"/>
      <c r="E645" s="524"/>
      <c r="F645" s="524"/>
      <c r="G645" s="524"/>
      <c r="H645" s="524"/>
      <c r="I645" s="523"/>
      <c r="J645" s="523"/>
      <c r="K645" s="523"/>
      <c r="L645" s="523"/>
      <c r="M645" s="523"/>
      <c r="N645" s="523"/>
      <c r="O645" s="523"/>
      <c r="P645" s="523"/>
      <c r="Q645" s="523"/>
      <c r="R645" s="523"/>
      <c r="S645" s="523"/>
      <c r="T645" s="523"/>
      <c r="U645" s="523"/>
      <c r="V645" s="523"/>
      <c r="W645" s="523"/>
      <c r="X645" s="523"/>
      <c r="Y645" s="523"/>
      <c r="Z645" s="523"/>
    </row>
    <row r="646">
      <c r="A646" s="523"/>
      <c r="B646" s="524"/>
      <c r="C646" s="523"/>
      <c r="D646" s="523"/>
      <c r="E646" s="524"/>
      <c r="F646" s="524"/>
      <c r="G646" s="524"/>
      <c r="H646" s="524"/>
      <c r="I646" s="523"/>
      <c r="J646" s="523"/>
      <c r="K646" s="523"/>
      <c r="L646" s="523"/>
      <c r="M646" s="523"/>
      <c r="N646" s="523"/>
      <c r="O646" s="523"/>
      <c r="P646" s="523"/>
      <c r="Q646" s="523"/>
      <c r="R646" s="523"/>
      <c r="S646" s="523"/>
      <c r="T646" s="523"/>
      <c r="U646" s="523"/>
      <c r="V646" s="523"/>
      <c r="W646" s="523"/>
      <c r="X646" s="523"/>
      <c r="Y646" s="523"/>
      <c r="Z646" s="523"/>
    </row>
    <row r="647">
      <c r="A647" s="523"/>
      <c r="B647" s="524"/>
      <c r="C647" s="523"/>
      <c r="D647" s="523"/>
      <c r="E647" s="524"/>
      <c r="F647" s="524"/>
      <c r="G647" s="524"/>
      <c r="H647" s="524"/>
      <c r="I647" s="523"/>
      <c r="J647" s="523"/>
      <c r="K647" s="523"/>
      <c r="L647" s="523"/>
      <c r="M647" s="523"/>
      <c r="N647" s="523"/>
      <c r="O647" s="523"/>
      <c r="P647" s="523"/>
      <c r="Q647" s="523"/>
      <c r="R647" s="523"/>
      <c r="S647" s="523"/>
      <c r="T647" s="523"/>
      <c r="U647" s="523"/>
      <c r="V647" s="523"/>
      <c r="W647" s="523"/>
      <c r="X647" s="523"/>
      <c r="Y647" s="523"/>
      <c r="Z647" s="523"/>
    </row>
    <row r="648">
      <c r="A648" s="523"/>
      <c r="B648" s="524"/>
      <c r="C648" s="523"/>
      <c r="D648" s="523"/>
      <c r="E648" s="524"/>
      <c r="F648" s="524"/>
      <c r="G648" s="524"/>
      <c r="H648" s="524"/>
      <c r="I648" s="523"/>
      <c r="J648" s="523"/>
      <c r="K648" s="523"/>
      <c r="L648" s="523"/>
      <c r="M648" s="523"/>
      <c r="N648" s="523"/>
      <c r="O648" s="523"/>
      <c r="P648" s="523"/>
      <c r="Q648" s="523"/>
      <c r="R648" s="523"/>
      <c r="S648" s="523"/>
      <c r="T648" s="523"/>
      <c r="U648" s="523"/>
      <c r="V648" s="523"/>
      <c r="W648" s="523"/>
      <c r="X648" s="523"/>
      <c r="Y648" s="523"/>
      <c r="Z648" s="523"/>
    </row>
    <row r="649">
      <c r="A649" s="523"/>
      <c r="B649" s="524"/>
      <c r="C649" s="523"/>
      <c r="D649" s="523"/>
      <c r="E649" s="524"/>
      <c r="F649" s="524"/>
      <c r="G649" s="524"/>
      <c r="H649" s="524"/>
      <c r="I649" s="523"/>
      <c r="J649" s="523"/>
      <c r="K649" s="523"/>
      <c r="L649" s="523"/>
      <c r="M649" s="523"/>
      <c r="N649" s="523"/>
      <c r="O649" s="523"/>
      <c r="P649" s="523"/>
      <c r="Q649" s="523"/>
      <c r="R649" s="523"/>
      <c r="S649" s="523"/>
      <c r="T649" s="523"/>
      <c r="U649" s="523"/>
      <c r="V649" s="523"/>
      <c r="W649" s="523"/>
      <c r="X649" s="523"/>
      <c r="Y649" s="523"/>
      <c r="Z649" s="523"/>
    </row>
    <row r="650">
      <c r="A650" s="523"/>
      <c r="B650" s="524"/>
      <c r="C650" s="523"/>
      <c r="D650" s="523"/>
      <c r="E650" s="524"/>
      <c r="F650" s="524"/>
      <c r="G650" s="524"/>
      <c r="H650" s="524"/>
      <c r="I650" s="523"/>
      <c r="J650" s="523"/>
      <c r="K650" s="523"/>
      <c r="L650" s="523"/>
      <c r="M650" s="523"/>
      <c r="N650" s="523"/>
      <c r="O650" s="523"/>
      <c r="P650" s="523"/>
      <c r="Q650" s="523"/>
      <c r="R650" s="523"/>
      <c r="S650" s="523"/>
      <c r="T650" s="523"/>
      <c r="U650" s="523"/>
      <c r="V650" s="523"/>
      <c r="W650" s="523"/>
      <c r="X650" s="523"/>
      <c r="Y650" s="523"/>
      <c r="Z650" s="523"/>
    </row>
    <row r="651">
      <c r="A651" s="523"/>
      <c r="B651" s="524"/>
      <c r="C651" s="523"/>
      <c r="D651" s="523"/>
      <c r="E651" s="524"/>
      <c r="F651" s="524"/>
      <c r="G651" s="524"/>
      <c r="H651" s="524"/>
      <c r="I651" s="523"/>
      <c r="J651" s="523"/>
      <c r="K651" s="523"/>
      <c r="L651" s="523"/>
      <c r="M651" s="523"/>
      <c r="N651" s="523"/>
      <c r="O651" s="523"/>
      <c r="P651" s="523"/>
      <c r="Q651" s="523"/>
      <c r="R651" s="523"/>
      <c r="S651" s="523"/>
      <c r="T651" s="523"/>
      <c r="U651" s="523"/>
      <c r="V651" s="523"/>
      <c r="W651" s="523"/>
      <c r="X651" s="523"/>
      <c r="Y651" s="523"/>
      <c r="Z651" s="523"/>
    </row>
    <row r="652">
      <c r="A652" s="523"/>
      <c r="B652" s="524"/>
      <c r="C652" s="523"/>
      <c r="D652" s="523"/>
      <c r="E652" s="524"/>
      <c r="F652" s="524"/>
      <c r="G652" s="524"/>
      <c r="H652" s="524"/>
      <c r="I652" s="523"/>
      <c r="J652" s="523"/>
      <c r="K652" s="523"/>
      <c r="L652" s="523"/>
      <c r="M652" s="523"/>
      <c r="N652" s="523"/>
      <c r="O652" s="523"/>
      <c r="P652" s="523"/>
      <c r="Q652" s="523"/>
      <c r="R652" s="523"/>
      <c r="S652" s="523"/>
      <c r="T652" s="523"/>
      <c r="U652" s="523"/>
      <c r="V652" s="523"/>
      <c r="W652" s="523"/>
      <c r="X652" s="523"/>
      <c r="Y652" s="523"/>
      <c r="Z652" s="523"/>
    </row>
    <row r="653">
      <c r="A653" s="523"/>
      <c r="B653" s="524"/>
      <c r="C653" s="523"/>
      <c r="D653" s="523"/>
      <c r="E653" s="524"/>
      <c r="F653" s="524"/>
      <c r="G653" s="524"/>
      <c r="H653" s="524"/>
      <c r="I653" s="523"/>
      <c r="J653" s="523"/>
      <c r="K653" s="523"/>
      <c r="L653" s="523"/>
      <c r="M653" s="523"/>
      <c r="N653" s="523"/>
      <c r="O653" s="523"/>
      <c r="P653" s="523"/>
      <c r="Q653" s="523"/>
      <c r="R653" s="523"/>
      <c r="S653" s="523"/>
      <c r="T653" s="523"/>
      <c r="U653" s="523"/>
      <c r="V653" s="523"/>
      <c r="W653" s="523"/>
      <c r="X653" s="523"/>
      <c r="Y653" s="523"/>
      <c r="Z653" s="523"/>
    </row>
    <row r="654">
      <c r="A654" s="523"/>
      <c r="B654" s="524"/>
      <c r="C654" s="523"/>
      <c r="D654" s="523"/>
      <c r="E654" s="524"/>
      <c r="F654" s="524"/>
      <c r="G654" s="524"/>
      <c r="H654" s="524"/>
      <c r="I654" s="523"/>
      <c r="J654" s="523"/>
      <c r="K654" s="523"/>
      <c r="L654" s="523"/>
      <c r="M654" s="523"/>
      <c r="N654" s="523"/>
      <c r="O654" s="523"/>
      <c r="P654" s="523"/>
      <c r="Q654" s="523"/>
      <c r="R654" s="523"/>
      <c r="S654" s="523"/>
      <c r="T654" s="523"/>
      <c r="U654" s="523"/>
      <c r="V654" s="523"/>
      <c r="W654" s="523"/>
      <c r="X654" s="523"/>
      <c r="Y654" s="523"/>
      <c r="Z654" s="523"/>
    </row>
    <row r="655">
      <c r="A655" s="523"/>
      <c r="B655" s="524"/>
      <c r="C655" s="523"/>
      <c r="D655" s="523"/>
      <c r="E655" s="524"/>
      <c r="F655" s="524"/>
      <c r="G655" s="524"/>
      <c r="H655" s="524"/>
      <c r="I655" s="523"/>
      <c r="J655" s="523"/>
      <c r="K655" s="523"/>
      <c r="L655" s="523"/>
      <c r="M655" s="523"/>
      <c r="N655" s="523"/>
      <c r="O655" s="523"/>
      <c r="P655" s="523"/>
      <c r="Q655" s="523"/>
      <c r="R655" s="523"/>
      <c r="S655" s="523"/>
      <c r="T655" s="523"/>
      <c r="U655" s="523"/>
      <c r="V655" s="523"/>
      <c r="W655" s="523"/>
      <c r="X655" s="523"/>
      <c r="Y655" s="523"/>
      <c r="Z655" s="523"/>
    </row>
    <row r="656">
      <c r="A656" s="523"/>
      <c r="B656" s="524"/>
      <c r="C656" s="523"/>
      <c r="D656" s="523"/>
      <c r="E656" s="524"/>
      <c r="F656" s="524"/>
      <c r="G656" s="524"/>
      <c r="H656" s="524"/>
      <c r="I656" s="523"/>
      <c r="J656" s="523"/>
      <c r="K656" s="523"/>
      <c r="L656" s="523"/>
      <c r="M656" s="523"/>
      <c r="N656" s="523"/>
      <c r="O656" s="523"/>
      <c r="P656" s="523"/>
      <c r="Q656" s="523"/>
      <c r="R656" s="523"/>
      <c r="S656" s="523"/>
      <c r="T656" s="523"/>
      <c r="U656" s="523"/>
      <c r="V656" s="523"/>
      <c r="W656" s="523"/>
      <c r="X656" s="523"/>
      <c r="Y656" s="523"/>
      <c r="Z656" s="523"/>
    </row>
    <row r="657">
      <c r="A657" s="523"/>
      <c r="B657" s="524"/>
      <c r="C657" s="523"/>
      <c r="D657" s="523"/>
      <c r="E657" s="524"/>
      <c r="F657" s="524"/>
      <c r="G657" s="524"/>
      <c r="H657" s="524"/>
      <c r="I657" s="523"/>
      <c r="J657" s="523"/>
      <c r="K657" s="523"/>
      <c r="L657" s="523"/>
      <c r="M657" s="523"/>
      <c r="N657" s="523"/>
      <c r="O657" s="523"/>
      <c r="P657" s="523"/>
      <c r="Q657" s="523"/>
      <c r="R657" s="523"/>
      <c r="S657" s="523"/>
      <c r="T657" s="523"/>
      <c r="U657" s="523"/>
      <c r="V657" s="523"/>
      <c r="W657" s="523"/>
      <c r="X657" s="523"/>
      <c r="Y657" s="523"/>
      <c r="Z657" s="523"/>
    </row>
    <row r="658">
      <c r="A658" s="523"/>
      <c r="B658" s="524"/>
      <c r="C658" s="523"/>
      <c r="D658" s="523"/>
      <c r="E658" s="524"/>
      <c r="F658" s="524"/>
      <c r="G658" s="524"/>
      <c r="H658" s="524"/>
      <c r="I658" s="523"/>
      <c r="J658" s="523"/>
      <c r="K658" s="523"/>
      <c r="L658" s="523"/>
      <c r="M658" s="523"/>
      <c r="N658" s="523"/>
      <c r="O658" s="523"/>
      <c r="P658" s="523"/>
      <c r="Q658" s="523"/>
      <c r="R658" s="523"/>
      <c r="S658" s="523"/>
      <c r="T658" s="523"/>
      <c r="U658" s="523"/>
      <c r="V658" s="523"/>
      <c r="W658" s="523"/>
      <c r="X658" s="523"/>
      <c r="Y658" s="523"/>
      <c r="Z658" s="523"/>
    </row>
    <row r="659">
      <c r="A659" s="523"/>
      <c r="B659" s="524"/>
      <c r="C659" s="523"/>
      <c r="D659" s="523"/>
      <c r="E659" s="524"/>
      <c r="F659" s="524"/>
      <c r="G659" s="524"/>
      <c r="H659" s="524"/>
      <c r="I659" s="523"/>
      <c r="J659" s="523"/>
      <c r="K659" s="523"/>
      <c r="L659" s="523"/>
      <c r="M659" s="523"/>
      <c r="N659" s="523"/>
      <c r="O659" s="523"/>
      <c r="P659" s="523"/>
      <c r="Q659" s="523"/>
      <c r="R659" s="523"/>
      <c r="S659" s="523"/>
      <c r="T659" s="523"/>
      <c r="U659" s="523"/>
      <c r="V659" s="523"/>
      <c r="W659" s="523"/>
      <c r="X659" s="523"/>
      <c r="Y659" s="523"/>
      <c r="Z659" s="523"/>
    </row>
    <row r="660">
      <c r="A660" s="523"/>
      <c r="B660" s="524"/>
      <c r="C660" s="523"/>
      <c r="D660" s="523"/>
      <c r="E660" s="524"/>
      <c r="F660" s="524"/>
      <c r="G660" s="524"/>
      <c r="H660" s="524"/>
      <c r="I660" s="523"/>
      <c r="J660" s="523"/>
      <c r="K660" s="523"/>
      <c r="L660" s="523"/>
      <c r="M660" s="523"/>
      <c r="N660" s="523"/>
      <c r="O660" s="523"/>
      <c r="P660" s="523"/>
      <c r="Q660" s="523"/>
      <c r="R660" s="523"/>
      <c r="S660" s="523"/>
      <c r="T660" s="523"/>
      <c r="U660" s="523"/>
      <c r="V660" s="523"/>
      <c r="W660" s="523"/>
      <c r="X660" s="523"/>
      <c r="Y660" s="523"/>
      <c r="Z660" s="523"/>
    </row>
    <row r="661">
      <c r="A661" s="523"/>
      <c r="B661" s="524"/>
      <c r="C661" s="523"/>
      <c r="D661" s="523"/>
      <c r="E661" s="524"/>
      <c r="F661" s="524"/>
      <c r="G661" s="524"/>
      <c r="H661" s="524"/>
      <c r="I661" s="523"/>
      <c r="J661" s="523"/>
      <c r="K661" s="523"/>
      <c r="L661" s="523"/>
      <c r="M661" s="523"/>
      <c r="N661" s="523"/>
      <c r="O661" s="523"/>
      <c r="P661" s="523"/>
      <c r="Q661" s="523"/>
      <c r="R661" s="523"/>
      <c r="S661" s="523"/>
      <c r="T661" s="523"/>
      <c r="U661" s="523"/>
      <c r="V661" s="523"/>
      <c r="W661" s="523"/>
      <c r="X661" s="523"/>
      <c r="Y661" s="523"/>
      <c r="Z661" s="523"/>
    </row>
    <row r="662">
      <c r="A662" s="523"/>
      <c r="B662" s="524"/>
      <c r="C662" s="523"/>
      <c r="D662" s="523"/>
      <c r="E662" s="524"/>
      <c r="F662" s="524"/>
      <c r="G662" s="524"/>
      <c r="H662" s="524"/>
      <c r="I662" s="523"/>
      <c r="J662" s="523"/>
      <c r="K662" s="523"/>
      <c r="L662" s="523"/>
      <c r="M662" s="523"/>
      <c r="N662" s="523"/>
      <c r="O662" s="523"/>
      <c r="P662" s="523"/>
      <c r="Q662" s="523"/>
      <c r="R662" s="523"/>
      <c r="S662" s="523"/>
      <c r="T662" s="523"/>
      <c r="U662" s="523"/>
      <c r="V662" s="523"/>
      <c r="W662" s="523"/>
      <c r="X662" s="523"/>
      <c r="Y662" s="523"/>
      <c r="Z662" s="523"/>
    </row>
    <row r="663">
      <c r="A663" s="523"/>
      <c r="B663" s="524"/>
      <c r="C663" s="523"/>
      <c r="D663" s="523"/>
      <c r="E663" s="524"/>
      <c r="F663" s="524"/>
      <c r="G663" s="524"/>
      <c r="H663" s="524"/>
      <c r="I663" s="523"/>
      <c r="J663" s="523"/>
      <c r="K663" s="523"/>
      <c r="L663" s="523"/>
      <c r="M663" s="523"/>
      <c r="N663" s="523"/>
      <c r="O663" s="523"/>
      <c r="P663" s="523"/>
      <c r="Q663" s="523"/>
      <c r="R663" s="523"/>
      <c r="S663" s="523"/>
      <c r="T663" s="523"/>
      <c r="U663" s="523"/>
      <c r="V663" s="523"/>
      <c r="W663" s="523"/>
      <c r="X663" s="523"/>
      <c r="Y663" s="523"/>
      <c r="Z663" s="523"/>
    </row>
    <row r="664">
      <c r="A664" s="523"/>
      <c r="B664" s="524"/>
      <c r="C664" s="523"/>
      <c r="D664" s="523"/>
      <c r="E664" s="524"/>
      <c r="F664" s="524"/>
      <c r="G664" s="524"/>
      <c r="H664" s="524"/>
      <c r="I664" s="523"/>
      <c r="J664" s="523"/>
      <c r="K664" s="523"/>
      <c r="L664" s="523"/>
      <c r="M664" s="523"/>
      <c r="N664" s="523"/>
      <c r="O664" s="523"/>
      <c r="P664" s="523"/>
      <c r="Q664" s="523"/>
      <c r="R664" s="523"/>
      <c r="S664" s="523"/>
      <c r="T664" s="523"/>
      <c r="U664" s="523"/>
      <c r="V664" s="523"/>
      <c r="W664" s="523"/>
      <c r="X664" s="523"/>
      <c r="Y664" s="523"/>
      <c r="Z664" s="523"/>
    </row>
    <row r="665">
      <c r="A665" s="523"/>
      <c r="B665" s="524"/>
      <c r="C665" s="523"/>
      <c r="D665" s="523"/>
      <c r="E665" s="524"/>
      <c r="F665" s="524"/>
      <c r="G665" s="524"/>
      <c r="H665" s="524"/>
      <c r="I665" s="523"/>
      <c r="J665" s="523"/>
      <c r="K665" s="523"/>
      <c r="L665" s="523"/>
      <c r="M665" s="523"/>
      <c r="N665" s="523"/>
      <c r="O665" s="523"/>
      <c r="P665" s="523"/>
      <c r="Q665" s="523"/>
      <c r="R665" s="523"/>
      <c r="S665" s="523"/>
      <c r="T665" s="523"/>
      <c r="U665" s="523"/>
      <c r="V665" s="523"/>
      <c r="W665" s="523"/>
      <c r="X665" s="523"/>
      <c r="Y665" s="523"/>
      <c r="Z665" s="523"/>
    </row>
    <row r="666">
      <c r="A666" s="523"/>
      <c r="B666" s="524"/>
      <c r="C666" s="523"/>
      <c r="D666" s="523"/>
      <c r="E666" s="524"/>
      <c r="F666" s="524"/>
      <c r="G666" s="524"/>
      <c r="H666" s="524"/>
      <c r="I666" s="523"/>
      <c r="J666" s="523"/>
      <c r="K666" s="523"/>
      <c r="L666" s="523"/>
      <c r="M666" s="523"/>
      <c r="N666" s="523"/>
      <c r="O666" s="523"/>
      <c r="P666" s="523"/>
      <c r="Q666" s="523"/>
      <c r="R666" s="523"/>
      <c r="S666" s="523"/>
      <c r="T666" s="523"/>
      <c r="U666" s="523"/>
      <c r="V666" s="523"/>
      <c r="W666" s="523"/>
      <c r="X666" s="523"/>
      <c r="Y666" s="523"/>
      <c r="Z666" s="523"/>
    </row>
    <row r="667">
      <c r="A667" s="523"/>
      <c r="B667" s="524"/>
      <c r="C667" s="523"/>
      <c r="D667" s="523"/>
      <c r="E667" s="524"/>
      <c r="F667" s="524"/>
      <c r="G667" s="524"/>
      <c r="H667" s="524"/>
      <c r="I667" s="523"/>
      <c r="J667" s="523"/>
      <c r="K667" s="523"/>
      <c r="L667" s="523"/>
      <c r="M667" s="523"/>
      <c r="N667" s="523"/>
      <c r="O667" s="523"/>
      <c r="P667" s="523"/>
      <c r="Q667" s="523"/>
      <c r="R667" s="523"/>
      <c r="S667" s="523"/>
      <c r="T667" s="523"/>
      <c r="U667" s="523"/>
      <c r="V667" s="523"/>
      <c r="W667" s="523"/>
      <c r="X667" s="523"/>
      <c r="Y667" s="523"/>
      <c r="Z667" s="523"/>
    </row>
    <row r="668">
      <c r="A668" s="523"/>
      <c r="B668" s="524"/>
      <c r="C668" s="523"/>
      <c r="D668" s="523"/>
      <c r="E668" s="524"/>
      <c r="F668" s="524"/>
      <c r="G668" s="524"/>
      <c r="H668" s="524"/>
      <c r="I668" s="523"/>
      <c r="J668" s="523"/>
      <c r="K668" s="523"/>
      <c r="L668" s="523"/>
      <c r="M668" s="523"/>
      <c r="N668" s="523"/>
      <c r="O668" s="523"/>
      <c r="P668" s="523"/>
      <c r="Q668" s="523"/>
      <c r="R668" s="523"/>
      <c r="S668" s="523"/>
      <c r="T668" s="523"/>
      <c r="U668" s="523"/>
      <c r="V668" s="523"/>
      <c r="W668" s="523"/>
      <c r="X668" s="523"/>
      <c r="Y668" s="523"/>
      <c r="Z668" s="523"/>
    </row>
    <row r="669">
      <c r="A669" s="523"/>
      <c r="B669" s="524"/>
      <c r="C669" s="523"/>
      <c r="D669" s="523"/>
      <c r="E669" s="524"/>
      <c r="F669" s="524"/>
      <c r="G669" s="524"/>
      <c r="H669" s="524"/>
      <c r="I669" s="523"/>
      <c r="J669" s="523"/>
      <c r="K669" s="523"/>
      <c r="L669" s="523"/>
      <c r="M669" s="523"/>
      <c r="N669" s="523"/>
      <c r="O669" s="523"/>
      <c r="P669" s="523"/>
      <c r="Q669" s="523"/>
      <c r="R669" s="523"/>
      <c r="S669" s="523"/>
      <c r="T669" s="523"/>
      <c r="U669" s="523"/>
      <c r="V669" s="523"/>
      <c r="W669" s="523"/>
      <c r="X669" s="523"/>
      <c r="Y669" s="523"/>
      <c r="Z669" s="523"/>
    </row>
    <row r="670">
      <c r="A670" s="523"/>
      <c r="B670" s="524"/>
      <c r="C670" s="523"/>
      <c r="D670" s="523"/>
      <c r="E670" s="524"/>
      <c r="F670" s="524"/>
      <c r="G670" s="524"/>
      <c r="H670" s="524"/>
      <c r="I670" s="523"/>
      <c r="J670" s="523"/>
      <c r="K670" s="523"/>
      <c r="L670" s="523"/>
      <c r="M670" s="523"/>
      <c r="N670" s="523"/>
      <c r="O670" s="523"/>
      <c r="P670" s="523"/>
      <c r="Q670" s="523"/>
      <c r="R670" s="523"/>
      <c r="S670" s="523"/>
      <c r="T670" s="523"/>
      <c r="U670" s="523"/>
      <c r="V670" s="523"/>
      <c r="W670" s="523"/>
      <c r="X670" s="523"/>
      <c r="Y670" s="523"/>
      <c r="Z670" s="523"/>
    </row>
    <row r="671">
      <c r="A671" s="523"/>
      <c r="B671" s="524"/>
      <c r="C671" s="523"/>
      <c r="D671" s="523"/>
      <c r="E671" s="524"/>
      <c r="F671" s="524"/>
      <c r="G671" s="524"/>
      <c r="H671" s="524"/>
      <c r="I671" s="523"/>
      <c r="J671" s="523"/>
      <c r="K671" s="523"/>
      <c r="L671" s="523"/>
      <c r="M671" s="523"/>
      <c r="N671" s="523"/>
      <c r="O671" s="523"/>
      <c r="P671" s="523"/>
      <c r="Q671" s="523"/>
      <c r="R671" s="523"/>
      <c r="S671" s="523"/>
      <c r="T671" s="523"/>
      <c r="U671" s="523"/>
      <c r="V671" s="523"/>
      <c r="W671" s="523"/>
      <c r="X671" s="523"/>
      <c r="Y671" s="523"/>
      <c r="Z671" s="523"/>
    </row>
    <row r="672">
      <c r="A672" s="523"/>
      <c r="B672" s="524"/>
      <c r="C672" s="523"/>
      <c r="D672" s="523"/>
      <c r="E672" s="524"/>
      <c r="F672" s="524"/>
      <c r="G672" s="524"/>
      <c r="H672" s="524"/>
      <c r="I672" s="523"/>
      <c r="J672" s="523"/>
      <c r="K672" s="523"/>
      <c r="L672" s="523"/>
      <c r="M672" s="523"/>
      <c r="N672" s="523"/>
      <c r="O672" s="523"/>
      <c r="P672" s="523"/>
      <c r="Q672" s="523"/>
      <c r="R672" s="523"/>
      <c r="S672" s="523"/>
      <c r="T672" s="523"/>
      <c r="U672" s="523"/>
      <c r="V672" s="523"/>
      <c r="W672" s="523"/>
      <c r="X672" s="523"/>
      <c r="Y672" s="523"/>
      <c r="Z672" s="523"/>
    </row>
    <row r="673">
      <c r="A673" s="523"/>
      <c r="B673" s="524"/>
      <c r="C673" s="523"/>
      <c r="D673" s="523"/>
      <c r="E673" s="524"/>
      <c r="F673" s="524"/>
      <c r="G673" s="524"/>
      <c r="H673" s="524"/>
      <c r="I673" s="523"/>
      <c r="J673" s="523"/>
      <c r="K673" s="523"/>
      <c r="L673" s="523"/>
      <c r="M673" s="523"/>
      <c r="N673" s="523"/>
      <c r="O673" s="523"/>
      <c r="P673" s="523"/>
      <c r="Q673" s="523"/>
      <c r="R673" s="523"/>
      <c r="S673" s="523"/>
      <c r="T673" s="523"/>
      <c r="U673" s="523"/>
      <c r="V673" s="523"/>
      <c r="W673" s="523"/>
      <c r="X673" s="523"/>
      <c r="Y673" s="523"/>
      <c r="Z673" s="523"/>
    </row>
    <row r="674">
      <c r="A674" s="523"/>
      <c r="B674" s="524"/>
      <c r="C674" s="523"/>
      <c r="D674" s="523"/>
      <c r="E674" s="524"/>
      <c r="F674" s="524"/>
      <c r="G674" s="524"/>
      <c r="H674" s="524"/>
      <c r="I674" s="523"/>
      <c r="J674" s="523"/>
      <c r="K674" s="523"/>
      <c r="L674" s="523"/>
      <c r="M674" s="523"/>
      <c r="N674" s="523"/>
      <c r="O674" s="523"/>
      <c r="P674" s="523"/>
      <c r="Q674" s="523"/>
      <c r="R674" s="523"/>
      <c r="S674" s="523"/>
      <c r="T674" s="523"/>
      <c r="U674" s="523"/>
      <c r="V674" s="523"/>
      <c r="W674" s="523"/>
      <c r="X674" s="523"/>
      <c r="Y674" s="523"/>
      <c r="Z674" s="523"/>
    </row>
    <row r="675">
      <c r="A675" s="523"/>
      <c r="B675" s="524"/>
      <c r="C675" s="523"/>
      <c r="D675" s="523"/>
      <c r="E675" s="524"/>
      <c r="F675" s="524"/>
      <c r="G675" s="524"/>
      <c r="H675" s="524"/>
      <c r="I675" s="523"/>
      <c r="J675" s="523"/>
      <c r="K675" s="523"/>
      <c r="L675" s="523"/>
      <c r="M675" s="523"/>
      <c r="N675" s="523"/>
      <c r="O675" s="523"/>
      <c r="P675" s="523"/>
      <c r="Q675" s="523"/>
      <c r="R675" s="523"/>
      <c r="S675" s="523"/>
      <c r="T675" s="523"/>
      <c r="U675" s="523"/>
      <c r="V675" s="523"/>
      <c r="W675" s="523"/>
      <c r="X675" s="523"/>
      <c r="Y675" s="523"/>
      <c r="Z675" s="523"/>
    </row>
    <row r="676">
      <c r="A676" s="523"/>
      <c r="B676" s="524"/>
      <c r="C676" s="523"/>
      <c r="D676" s="523"/>
      <c r="E676" s="524"/>
      <c r="F676" s="524"/>
      <c r="G676" s="524"/>
      <c r="H676" s="524"/>
      <c r="I676" s="523"/>
      <c r="J676" s="523"/>
      <c r="K676" s="523"/>
      <c r="L676" s="523"/>
      <c r="M676" s="523"/>
      <c r="N676" s="523"/>
      <c r="O676" s="523"/>
      <c r="P676" s="523"/>
      <c r="Q676" s="523"/>
      <c r="R676" s="523"/>
      <c r="S676" s="523"/>
      <c r="T676" s="523"/>
      <c r="U676" s="523"/>
      <c r="V676" s="523"/>
      <c r="W676" s="523"/>
      <c r="X676" s="523"/>
      <c r="Y676" s="523"/>
      <c r="Z676" s="523"/>
    </row>
    <row r="677">
      <c r="A677" s="523"/>
      <c r="B677" s="524"/>
      <c r="C677" s="523"/>
      <c r="D677" s="523"/>
      <c r="E677" s="524"/>
      <c r="F677" s="524"/>
      <c r="G677" s="524"/>
      <c r="H677" s="524"/>
      <c r="I677" s="523"/>
      <c r="J677" s="523"/>
      <c r="K677" s="523"/>
      <c r="L677" s="523"/>
      <c r="M677" s="523"/>
      <c r="N677" s="523"/>
      <c r="O677" s="523"/>
      <c r="P677" s="523"/>
      <c r="Q677" s="523"/>
      <c r="R677" s="523"/>
      <c r="S677" s="523"/>
      <c r="T677" s="523"/>
      <c r="U677" s="523"/>
      <c r="V677" s="523"/>
      <c r="W677" s="523"/>
      <c r="X677" s="523"/>
      <c r="Y677" s="523"/>
      <c r="Z677" s="523"/>
    </row>
    <row r="678">
      <c r="A678" s="523"/>
      <c r="B678" s="524"/>
      <c r="C678" s="523"/>
      <c r="D678" s="523"/>
      <c r="E678" s="524"/>
      <c r="F678" s="524"/>
      <c r="G678" s="524"/>
      <c r="H678" s="524"/>
      <c r="I678" s="523"/>
      <c r="J678" s="523"/>
      <c r="K678" s="523"/>
      <c r="L678" s="523"/>
      <c r="M678" s="523"/>
      <c r="N678" s="523"/>
      <c r="O678" s="523"/>
      <c r="P678" s="523"/>
      <c r="Q678" s="523"/>
      <c r="R678" s="523"/>
      <c r="S678" s="523"/>
      <c r="T678" s="523"/>
      <c r="U678" s="523"/>
      <c r="V678" s="523"/>
      <c r="W678" s="523"/>
      <c r="X678" s="523"/>
      <c r="Y678" s="523"/>
      <c r="Z678" s="523"/>
    </row>
    <row r="679">
      <c r="A679" s="523"/>
      <c r="B679" s="524"/>
      <c r="C679" s="523"/>
      <c r="D679" s="523"/>
      <c r="E679" s="524"/>
      <c r="F679" s="524"/>
      <c r="G679" s="524"/>
      <c r="H679" s="524"/>
      <c r="I679" s="523"/>
      <c r="J679" s="523"/>
      <c r="K679" s="523"/>
      <c r="L679" s="523"/>
      <c r="M679" s="523"/>
      <c r="N679" s="523"/>
      <c r="O679" s="523"/>
      <c r="P679" s="523"/>
      <c r="Q679" s="523"/>
      <c r="R679" s="523"/>
      <c r="S679" s="523"/>
      <c r="T679" s="523"/>
      <c r="U679" s="523"/>
      <c r="V679" s="523"/>
      <c r="W679" s="523"/>
      <c r="X679" s="523"/>
      <c r="Y679" s="523"/>
      <c r="Z679" s="523"/>
    </row>
    <row r="680">
      <c r="A680" s="523"/>
      <c r="B680" s="524"/>
      <c r="C680" s="523"/>
      <c r="D680" s="523"/>
      <c r="E680" s="524"/>
      <c r="F680" s="524"/>
      <c r="G680" s="524"/>
      <c r="H680" s="524"/>
      <c r="I680" s="523"/>
      <c r="J680" s="523"/>
      <c r="K680" s="523"/>
      <c r="L680" s="523"/>
      <c r="M680" s="523"/>
      <c r="N680" s="523"/>
      <c r="O680" s="523"/>
      <c r="P680" s="523"/>
      <c r="Q680" s="523"/>
      <c r="R680" s="523"/>
      <c r="S680" s="523"/>
      <c r="T680" s="523"/>
      <c r="U680" s="523"/>
      <c r="V680" s="523"/>
      <c r="W680" s="523"/>
      <c r="X680" s="523"/>
      <c r="Y680" s="523"/>
      <c r="Z680" s="523"/>
    </row>
    <row r="681">
      <c r="A681" s="523"/>
      <c r="B681" s="524"/>
      <c r="C681" s="523"/>
      <c r="D681" s="523"/>
      <c r="E681" s="524"/>
      <c r="F681" s="524"/>
      <c r="G681" s="524"/>
      <c r="H681" s="524"/>
      <c r="I681" s="523"/>
      <c r="J681" s="523"/>
      <c r="K681" s="523"/>
      <c r="L681" s="523"/>
      <c r="M681" s="523"/>
      <c r="N681" s="523"/>
      <c r="O681" s="523"/>
      <c r="P681" s="523"/>
      <c r="Q681" s="523"/>
      <c r="R681" s="523"/>
      <c r="S681" s="523"/>
      <c r="T681" s="523"/>
      <c r="U681" s="523"/>
      <c r="V681" s="523"/>
      <c r="W681" s="523"/>
      <c r="X681" s="523"/>
      <c r="Y681" s="523"/>
      <c r="Z681" s="523"/>
    </row>
    <row r="682">
      <c r="A682" s="523"/>
      <c r="B682" s="524"/>
      <c r="C682" s="523"/>
      <c r="D682" s="523"/>
      <c r="E682" s="524"/>
      <c r="F682" s="524"/>
      <c r="G682" s="524"/>
      <c r="H682" s="524"/>
      <c r="I682" s="523"/>
      <c r="J682" s="523"/>
      <c r="K682" s="523"/>
      <c r="L682" s="523"/>
      <c r="M682" s="523"/>
      <c r="N682" s="523"/>
      <c r="O682" s="523"/>
      <c r="P682" s="523"/>
      <c r="Q682" s="523"/>
      <c r="R682" s="523"/>
      <c r="S682" s="523"/>
      <c r="T682" s="523"/>
      <c r="U682" s="523"/>
      <c r="V682" s="523"/>
      <c r="W682" s="523"/>
      <c r="X682" s="523"/>
      <c r="Y682" s="523"/>
      <c r="Z682" s="523"/>
    </row>
    <row r="683">
      <c r="A683" s="523"/>
      <c r="B683" s="524"/>
      <c r="C683" s="523"/>
      <c r="D683" s="523"/>
      <c r="E683" s="524"/>
      <c r="F683" s="524"/>
      <c r="G683" s="524"/>
      <c r="H683" s="524"/>
      <c r="I683" s="523"/>
      <c r="J683" s="523"/>
      <c r="K683" s="523"/>
      <c r="L683" s="523"/>
      <c r="M683" s="523"/>
      <c r="N683" s="523"/>
      <c r="O683" s="523"/>
      <c r="P683" s="523"/>
      <c r="Q683" s="523"/>
      <c r="R683" s="523"/>
      <c r="S683" s="523"/>
      <c r="T683" s="523"/>
      <c r="U683" s="523"/>
      <c r="V683" s="523"/>
      <c r="W683" s="523"/>
      <c r="X683" s="523"/>
      <c r="Y683" s="523"/>
      <c r="Z683" s="523"/>
    </row>
    <row r="684">
      <c r="A684" s="523"/>
      <c r="B684" s="524"/>
      <c r="C684" s="523"/>
      <c r="D684" s="523"/>
      <c r="E684" s="524"/>
      <c r="F684" s="524"/>
      <c r="G684" s="524"/>
      <c r="H684" s="524"/>
      <c r="I684" s="523"/>
      <c r="J684" s="523"/>
      <c r="K684" s="523"/>
      <c r="L684" s="523"/>
      <c r="M684" s="523"/>
      <c r="N684" s="523"/>
      <c r="O684" s="523"/>
      <c r="P684" s="523"/>
      <c r="Q684" s="523"/>
      <c r="R684" s="523"/>
      <c r="S684" s="523"/>
      <c r="T684" s="523"/>
      <c r="U684" s="523"/>
      <c r="V684" s="523"/>
      <c r="W684" s="523"/>
      <c r="X684" s="523"/>
      <c r="Y684" s="523"/>
      <c r="Z684" s="523"/>
    </row>
    <row r="685">
      <c r="A685" s="523"/>
      <c r="B685" s="524"/>
      <c r="C685" s="523"/>
      <c r="D685" s="523"/>
      <c r="E685" s="524"/>
      <c r="F685" s="524"/>
      <c r="G685" s="524"/>
      <c r="H685" s="524"/>
      <c r="I685" s="523"/>
      <c r="J685" s="523"/>
      <c r="K685" s="523"/>
      <c r="L685" s="523"/>
      <c r="M685" s="523"/>
      <c r="N685" s="523"/>
      <c r="O685" s="523"/>
      <c r="P685" s="523"/>
      <c r="Q685" s="523"/>
      <c r="R685" s="523"/>
      <c r="S685" s="523"/>
      <c r="T685" s="523"/>
      <c r="U685" s="523"/>
      <c r="V685" s="523"/>
      <c r="W685" s="523"/>
      <c r="X685" s="523"/>
      <c r="Y685" s="523"/>
      <c r="Z685" s="523"/>
    </row>
    <row r="686">
      <c r="A686" s="523"/>
      <c r="B686" s="524"/>
      <c r="C686" s="523"/>
      <c r="D686" s="523"/>
      <c r="E686" s="524"/>
      <c r="F686" s="524"/>
      <c r="G686" s="524"/>
      <c r="H686" s="524"/>
      <c r="I686" s="523"/>
      <c r="J686" s="523"/>
      <c r="K686" s="523"/>
      <c r="L686" s="523"/>
      <c r="M686" s="523"/>
      <c r="N686" s="523"/>
      <c r="O686" s="523"/>
      <c r="P686" s="523"/>
      <c r="Q686" s="523"/>
      <c r="R686" s="523"/>
      <c r="S686" s="523"/>
      <c r="T686" s="523"/>
      <c r="U686" s="523"/>
      <c r="V686" s="523"/>
      <c r="W686" s="523"/>
      <c r="X686" s="523"/>
      <c r="Y686" s="523"/>
      <c r="Z686" s="523"/>
    </row>
    <row r="687">
      <c r="A687" s="523"/>
      <c r="B687" s="524"/>
      <c r="C687" s="523"/>
      <c r="D687" s="523"/>
      <c r="E687" s="524"/>
      <c r="F687" s="524"/>
      <c r="G687" s="524"/>
      <c r="H687" s="524"/>
      <c r="I687" s="523"/>
      <c r="J687" s="523"/>
      <c r="K687" s="523"/>
      <c r="L687" s="523"/>
      <c r="M687" s="523"/>
      <c r="N687" s="523"/>
      <c r="O687" s="523"/>
      <c r="P687" s="523"/>
      <c r="Q687" s="523"/>
      <c r="R687" s="523"/>
      <c r="S687" s="523"/>
      <c r="T687" s="523"/>
      <c r="U687" s="523"/>
      <c r="V687" s="523"/>
      <c r="W687" s="523"/>
      <c r="X687" s="523"/>
      <c r="Y687" s="523"/>
      <c r="Z687" s="523"/>
    </row>
    <row r="688">
      <c r="A688" s="523"/>
      <c r="B688" s="524"/>
      <c r="C688" s="523"/>
      <c r="D688" s="523"/>
      <c r="E688" s="524"/>
      <c r="F688" s="524"/>
      <c r="G688" s="524"/>
      <c r="H688" s="524"/>
      <c r="I688" s="523"/>
      <c r="J688" s="523"/>
      <c r="K688" s="523"/>
      <c r="L688" s="523"/>
      <c r="M688" s="523"/>
      <c r="N688" s="523"/>
      <c r="O688" s="523"/>
      <c r="P688" s="523"/>
      <c r="Q688" s="523"/>
      <c r="R688" s="523"/>
      <c r="S688" s="523"/>
      <c r="T688" s="523"/>
      <c r="U688" s="523"/>
      <c r="V688" s="523"/>
      <c r="W688" s="523"/>
      <c r="X688" s="523"/>
      <c r="Y688" s="523"/>
      <c r="Z688" s="523"/>
    </row>
    <row r="689">
      <c r="A689" s="523"/>
      <c r="B689" s="524"/>
      <c r="C689" s="523"/>
      <c r="D689" s="523"/>
      <c r="E689" s="524"/>
      <c r="F689" s="524"/>
      <c r="G689" s="524"/>
      <c r="H689" s="524"/>
      <c r="I689" s="523"/>
      <c r="J689" s="523"/>
      <c r="K689" s="523"/>
      <c r="L689" s="523"/>
      <c r="M689" s="523"/>
      <c r="N689" s="523"/>
      <c r="O689" s="523"/>
      <c r="P689" s="523"/>
      <c r="Q689" s="523"/>
      <c r="R689" s="523"/>
      <c r="S689" s="523"/>
      <c r="T689" s="523"/>
      <c r="U689" s="523"/>
      <c r="V689" s="523"/>
      <c r="W689" s="523"/>
      <c r="X689" s="523"/>
      <c r="Y689" s="523"/>
      <c r="Z689" s="523"/>
    </row>
    <row r="690">
      <c r="A690" s="523"/>
      <c r="B690" s="524"/>
      <c r="C690" s="523"/>
      <c r="D690" s="523"/>
      <c r="E690" s="524"/>
      <c r="F690" s="524"/>
      <c r="G690" s="524"/>
      <c r="H690" s="524"/>
      <c r="I690" s="523"/>
      <c r="J690" s="523"/>
      <c r="K690" s="523"/>
      <c r="L690" s="523"/>
      <c r="M690" s="523"/>
      <c r="N690" s="523"/>
      <c r="O690" s="523"/>
      <c r="P690" s="523"/>
      <c r="Q690" s="523"/>
      <c r="R690" s="523"/>
      <c r="S690" s="523"/>
      <c r="T690" s="523"/>
      <c r="U690" s="523"/>
      <c r="V690" s="523"/>
      <c r="W690" s="523"/>
      <c r="X690" s="523"/>
      <c r="Y690" s="523"/>
      <c r="Z690" s="523"/>
    </row>
    <row r="691">
      <c r="A691" s="523"/>
      <c r="B691" s="524"/>
      <c r="C691" s="523"/>
      <c r="D691" s="523"/>
      <c r="E691" s="524"/>
      <c r="F691" s="524"/>
      <c r="G691" s="524"/>
      <c r="H691" s="524"/>
      <c r="I691" s="523"/>
      <c r="J691" s="523"/>
      <c r="K691" s="523"/>
      <c r="L691" s="523"/>
      <c r="M691" s="523"/>
      <c r="N691" s="523"/>
      <c r="O691" s="523"/>
      <c r="P691" s="523"/>
      <c r="Q691" s="523"/>
      <c r="R691" s="523"/>
      <c r="S691" s="523"/>
      <c r="T691" s="523"/>
      <c r="U691" s="523"/>
      <c r="V691" s="523"/>
      <c r="W691" s="523"/>
      <c r="X691" s="523"/>
      <c r="Y691" s="523"/>
      <c r="Z691" s="523"/>
    </row>
    <row r="692">
      <c r="A692" s="523"/>
      <c r="B692" s="524"/>
      <c r="C692" s="523"/>
      <c r="D692" s="523"/>
      <c r="E692" s="524"/>
      <c r="F692" s="524"/>
      <c r="G692" s="524"/>
      <c r="H692" s="524"/>
      <c r="I692" s="523"/>
      <c r="J692" s="523"/>
      <c r="K692" s="523"/>
      <c r="L692" s="523"/>
      <c r="M692" s="523"/>
      <c r="N692" s="523"/>
      <c r="O692" s="523"/>
      <c r="P692" s="523"/>
      <c r="Q692" s="523"/>
      <c r="R692" s="523"/>
      <c r="S692" s="523"/>
      <c r="T692" s="523"/>
      <c r="U692" s="523"/>
      <c r="V692" s="523"/>
      <c r="W692" s="523"/>
      <c r="X692" s="523"/>
      <c r="Y692" s="523"/>
      <c r="Z692" s="523"/>
    </row>
    <row r="693">
      <c r="A693" s="523"/>
      <c r="B693" s="524"/>
      <c r="C693" s="523"/>
      <c r="D693" s="523"/>
      <c r="E693" s="524"/>
      <c r="F693" s="524"/>
      <c r="G693" s="524"/>
      <c r="H693" s="524"/>
      <c r="I693" s="523"/>
      <c r="J693" s="523"/>
      <c r="K693" s="523"/>
      <c r="L693" s="523"/>
      <c r="M693" s="523"/>
      <c r="N693" s="523"/>
      <c r="O693" s="523"/>
      <c r="P693" s="523"/>
      <c r="Q693" s="523"/>
      <c r="R693" s="523"/>
      <c r="S693" s="523"/>
      <c r="T693" s="523"/>
      <c r="U693" s="523"/>
      <c r="V693" s="523"/>
      <c r="W693" s="523"/>
      <c r="X693" s="523"/>
      <c r="Y693" s="523"/>
      <c r="Z693" s="523"/>
    </row>
    <row r="694">
      <c r="A694" s="523"/>
      <c r="B694" s="524"/>
      <c r="C694" s="523"/>
      <c r="D694" s="523"/>
      <c r="E694" s="524"/>
      <c r="F694" s="524"/>
      <c r="G694" s="524"/>
      <c r="H694" s="524"/>
      <c r="I694" s="523"/>
      <c r="J694" s="523"/>
      <c r="K694" s="523"/>
      <c r="L694" s="523"/>
      <c r="M694" s="523"/>
      <c r="N694" s="523"/>
      <c r="O694" s="523"/>
      <c r="P694" s="523"/>
      <c r="Q694" s="523"/>
      <c r="R694" s="523"/>
      <c r="S694" s="523"/>
      <c r="T694" s="523"/>
      <c r="U694" s="523"/>
      <c r="V694" s="523"/>
      <c r="W694" s="523"/>
      <c r="X694" s="523"/>
      <c r="Y694" s="523"/>
      <c r="Z694" s="523"/>
    </row>
    <row r="695">
      <c r="A695" s="523"/>
      <c r="B695" s="524"/>
      <c r="C695" s="523"/>
      <c r="D695" s="523"/>
      <c r="E695" s="524"/>
      <c r="F695" s="524"/>
      <c r="G695" s="524"/>
      <c r="H695" s="524"/>
      <c r="I695" s="523"/>
      <c r="J695" s="523"/>
      <c r="K695" s="523"/>
      <c r="L695" s="523"/>
      <c r="M695" s="523"/>
      <c r="N695" s="523"/>
      <c r="O695" s="523"/>
      <c r="P695" s="523"/>
      <c r="Q695" s="523"/>
      <c r="R695" s="523"/>
      <c r="S695" s="523"/>
      <c r="T695" s="523"/>
      <c r="U695" s="523"/>
      <c r="V695" s="523"/>
      <c r="W695" s="523"/>
      <c r="X695" s="523"/>
      <c r="Y695" s="523"/>
      <c r="Z695" s="523"/>
    </row>
    <row r="696">
      <c r="A696" s="523"/>
      <c r="B696" s="524"/>
      <c r="C696" s="523"/>
      <c r="D696" s="523"/>
      <c r="E696" s="524"/>
      <c r="F696" s="524"/>
      <c r="G696" s="524"/>
      <c r="H696" s="524"/>
      <c r="I696" s="523"/>
      <c r="J696" s="523"/>
      <c r="K696" s="523"/>
      <c r="L696" s="523"/>
      <c r="M696" s="523"/>
      <c r="N696" s="523"/>
      <c r="O696" s="523"/>
      <c r="P696" s="523"/>
      <c r="Q696" s="523"/>
      <c r="R696" s="523"/>
      <c r="S696" s="523"/>
      <c r="T696" s="523"/>
      <c r="U696" s="523"/>
      <c r="V696" s="523"/>
      <c r="W696" s="523"/>
      <c r="X696" s="523"/>
      <c r="Y696" s="523"/>
      <c r="Z696" s="523"/>
    </row>
    <row r="697">
      <c r="A697" s="523"/>
      <c r="B697" s="524"/>
      <c r="C697" s="523"/>
      <c r="D697" s="523"/>
      <c r="E697" s="524"/>
      <c r="F697" s="524"/>
      <c r="G697" s="524"/>
      <c r="H697" s="524"/>
      <c r="I697" s="523"/>
      <c r="J697" s="523"/>
      <c r="K697" s="523"/>
      <c r="L697" s="523"/>
      <c r="M697" s="523"/>
      <c r="N697" s="523"/>
      <c r="O697" s="523"/>
      <c r="P697" s="523"/>
      <c r="Q697" s="523"/>
      <c r="R697" s="523"/>
      <c r="S697" s="523"/>
      <c r="T697" s="523"/>
      <c r="U697" s="523"/>
      <c r="V697" s="523"/>
      <c r="W697" s="523"/>
      <c r="X697" s="523"/>
      <c r="Y697" s="523"/>
      <c r="Z697" s="523"/>
    </row>
    <row r="698">
      <c r="A698" s="523"/>
      <c r="B698" s="524"/>
      <c r="C698" s="523"/>
      <c r="D698" s="523"/>
      <c r="E698" s="524"/>
      <c r="F698" s="524"/>
      <c r="G698" s="524"/>
      <c r="H698" s="524"/>
      <c r="I698" s="523"/>
      <c r="J698" s="523"/>
      <c r="K698" s="523"/>
      <c r="L698" s="523"/>
      <c r="M698" s="523"/>
      <c r="N698" s="523"/>
      <c r="O698" s="523"/>
      <c r="P698" s="523"/>
      <c r="Q698" s="523"/>
      <c r="R698" s="523"/>
      <c r="S698" s="523"/>
      <c r="T698" s="523"/>
      <c r="U698" s="523"/>
      <c r="V698" s="523"/>
      <c r="W698" s="523"/>
      <c r="X698" s="523"/>
      <c r="Y698" s="523"/>
      <c r="Z698" s="523"/>
    </row>
    <row r="699">
      <c r="A699" s="523"/>
      <c r="B699" s="524"/>
      <c r="C699" s="523"/>
      <c r="D699" s="523"/>
      <c r="E699" s="524"/>
      <c r="F699" s="524"/>
      <c r="G699" s="524"/>
      <c r="H699" s="524"/>
      <c r="I699" s="523"/>
      <c r="J699" s="523"/>
      <c r="K699" s="523"/>
      <c r="L699" s="523"/>
      <c r="M699" s="523"/>
      <c r="N699" s="523"/>
      <c r="O699" s="523"/>
      <c r="P699" s="523"/>
      <c r="Q699" s="523"/>
      <c r="R699" s="523"/>
      <c r="S699" s="523"/>
      <c r="T699" s="523"/>
      <c r="U699" s="523"/>
      <c r="V699" s="523"/>
      <c r="W699" s="523"/>
      <c r="X699" s="523"/>
      <c r="Y699" s="523"/>
      <c r="Z699" s="523"/>
    </row>
    <row r="700">
      <c r="A700" s="523"/>
      <c r="B700" s="524"/>
      <c r="C700" s="523"/>
      <c r="D700" s="523"/>
      <c r="E700" s="524"/>
      <c r="F700" s="524"/>
      <c r="G700" s="524"/>
      <c r="H700" s="524"/>
      <c r="I700" s="523"/>
      <c r="J700" s="523"/>
      <c r="K700" s="523"/>
      <c r="L700" s="523"/>
      <c r="M700" s="523"/>
      <c r="N700" s="523"/>
      <c r="O700" s="523"/>
      <c r="P700" s="523"/>
      <c r="Q700" s="523"/>
      <c r="R700" s="523"/>
      <c r="S700" s="523"/>
      <c r="T700" s="523"/>
      <c r="U700" s="523"/>
      <c r="V700" s="523"/>
      <c r="W700" s="523"/>
      <c r="X700" s="523"/>
      <c r="Y700" s="523"/>
      <c r="Z700" s="523"/>
    </row>
    <row r="701">
      <c r="A701" s="523"/>
      <c r="B701" s="524"/>
      <c r="C701" s="523"/>
      <c r="D701" s="523"/>
      <c r="E701" s="524"/>
      <c r="F701" s="524"/>
      <c r="G701" s="524"/>
      <c r="H701" s="524"/>
      <c r="I701" s="523"/>
      <c r="J701" s="523"/>
      <c r="K701" s="523"/>
      <c r="L701" s="523"/>
      <c r="M701" s="523"/>
      <c r="N701" s="523"/>
      <c r="O701" s="523"/>
      <c r="P701" s="523"/>
      <c r="Q701" s="523"/>
      <c r="R701" s="523"/>
      <c r="S701" s="523"/>
      <c r="T701" s="523"/>
      <c r="U701" s="523"/>
      <c r="V701" s="523"/>
      <c r="W701" s="523"/>
      <c r="X701" s="523"/>
      <c r="Y701" s="523"/>
      <c r="Z701" s="523"/>
    </row>
    <row r="702">
      <c r="A702" s="523"/>
      <c r="B702" s="524"/>
      <c r="C702" s="523"/>
      <c r="D702" s="523"/>
      <c r="E702" s="524"/>
      <c r="F702" s="524"/>
      <c r="G702" s="524"/>
      <c r="H702" s="524"/>
      <c r="I702" s="523"/>
      <c r="J702" s="523"/>
      <c r="K702" s="523"/>
      <c r="L702" s="523"/>
      <c r="M702" s="523"/>
      <c r="N702" s="523"/>
      <c r="O702" s="523"/>
      <c r="P702" s="523"/>
      <c r="Q702" s="523"/>
      <c r="R702" s="523"/>
      <c r="S702" s="523"/>
      <c r="T702" s="523"/>
      <c r="U702" s="523"/>
      <c r="V702" s="523"/>
      <c r="W702" s="523"/>
      <c r="X702" s="523"/>
      <c r="Y702" s="523"/>
      <c r="Z702" s="523"/>
    </row>
    <row r="703">
      <c r="A703" s="523"/>
      <c r="B703" s="524"/>
      <c r="C703" s="523"/>
      <c r="D703" s="523"/>
      <c r="E703" s="524"/>
      <c r="F703" s="524"/>
      <c r="G703" s="524"/>
      <c r="H703" s="524"/>
      <c r="I703" s="523"/>
      <c r="J703" s="523"/>
      <c r="K703" s="523"/>
      <c r="L703" s="523"/>
      <c r="M703" s="523"/>
      <c r="N703" s="523"/>
      <c r="O703" s="523"/>
      <c r="P703" s="523"/>
      <c r="Q703" s="523"/>
      <c r="R703" s="523"/>
      <c r="S703" s="523"/>
      <c r="T703" s="523"/>
      <c r="U703" s="523"/>
      <c r="V703" s="523"/>
      <c r="W703" s="523"/>
      <c r="X703" s="523"/>
      <c r="Y703" s="523"/>
      <c r="Z703" s="523"/>
    </row>
    <row r="704">
      <c r="A704" s="523"/>
      <c r="B704" s="524"/>
      <c r="C704" s="523"/>
      <c r="D704" s="523"/>
      <c r="E704" s="524"/>
      <c r="F704" s="524"/>
      <c r="G704" s="524"/>
      <c r="H704" s="524"/>
      <c r="I704" s="523"/>
      <c r="J704" s="523"/>
      <c r="K704" s="523"/>
      <c r="L704" s="523"/>
      <c r="M704" s="523"/>
      <c r="N704" s="523"/>
      <c r="O704" s="523"/>
      <c r="P704" s="523"/>
      <c r="Q704" s="523"/>
      <c r="R704" s="523"/>
      <c r="S704" s="523"/>
      <c r="T704" s="523"/>
      <c r="U704" s="523"/>
      <c r="V704" s="523"/>
      <c r="W704" s="523"/>
      <c r="X704" s="523"/>
      <c r="Y704" s="523"/>
      <c r="Z704" s="523"/>
    </row>
    <row r="705">
      <c r="A705" s="523"/>
      <c r="B705" s="524"/>
      <c r="C705" s="523"/>
      <c r="D705" s="523"/>
      <c r="E705" s="524"/>
      <c r="F705" s="524"/>
      <c r="G705" s="524"/>
      <c r="H705" s="524"/>
      <c r="I705" s="523"/>
      <c r="J705" s="523"/>
      <c r="K705" s="523"/>
      <c r="L705" s="523"/>
      <c r="M705" s="523"/>
      <c r="N705" s="523"/>
      <c r="O705" s="523"/>
      <c r="P705" s="523"/>
      <c r="Q705" s="523"/>
      <c r="R705" s="523"/>
      <c r="S705" s="523"/>
      <c r="T705" s="523"/>
      <c r="U705" s="523"/>
      <c r="V705" s="523"/>
      <c r="W705" s="523"/>
      <c r="X705" s="523"/>
      <c r="Y705" s="523"/>
      <c r="Z705" s="523"/>
    </row>
    <row r="706">
      <c r="A706" s="523"/>
      <c r="B706" s="524"/>
      <c r="C706" s="523"/>
      <c r="D706" s="523"/>
      <c r="E706" s="524"/>
      <c r="F706" s="524"/>
      <c r="G706" s="524"/>
      <c r="H706" s="524"/>
      <c r="I706" s="523"/>
      <c r="J706" s="523"/>
      <c r="K706" s="523"/>
      <c r="L706" s="523"/>
      <c r="M706" s="523"/>
      <c r="N706" s="523"/>
      <c r="O706" s="523"/>
      <c r="P706" s="523"/>
      <c r="Q706" s="523"/>
      <c r="R706" s="523"/>
      <c r="S706" s="523"/>
      <c r="T706" s="523"/>
      <c r="U706" s="523"/>
      <c r="V706" s="523"/>
      <c r="W706" s="523"/>
      <c r="X706" s="523"/>
      <c r="Y706" s="523"/>
      <c r="Z706" s="523"/>
    </row>
    <row r="707">
      <c r="A707" s="523"/>
      <c r="B707" s="524"/>
      <c r="C707" s="523"/>
      <c r="D707" s="523"/>
      <c r="E707" s="524"/>
      <c r="F707" s="524"/>
      <c r="G707" s="524"/>
      <c r="H707" s="524"/>
      <c r="I707" s="523"/>
      <c r="J707" s="523"/>
      <c r="K707" s="523"/>
      <c r="L707" s="523"/>
      <c r="M707" s="523"/>
      <c r="N707" s="523"/>
      <c r="O707" s="523"/>
      <c r="P707" s="523"/>
      <c r="Q707" s="523"/>
      <c r="R707" s="523"/>
      <c r="S707" s="523"/>
      <c r="T707" s="523"/>
      <c r="U707" s="523"/>
      <c r="V707" s="523"/>
      <c r="W707" s="523"/>
      <c r="X707" s="523"/>
      <c r="Y707" s="523"/>
      <c r="Z707" s="523"/>
    </row>
    <row r="708">
      <c r="A708" s="523"/>
      <c r="B708" s="524"/>
      <c r="C708" s="523"/>
      <c r="D708" s="523"/>
      <c r="E708" s="524"/>
      <c r="F708" s="524"/>
      <c r="G708" s="524"/>
      <c r="H708" s="524"/>
      <c r="I708" s="523"/>
      <c r="J708" s="523"/>
      <c r="K708" s="523"/>
      <c r="L708" s="523"/>
      <c r="M708" s="523"/>
      <c r="N708" s="523"/>
      <c r="O708" s="523"/>
      <c r="P708" s="523"/>
      <c r="Q708" s="523"/>
      <c r="R708" s="523"/>
      <c r="S708" s="523"/>
      <c r="T708" s="523"/>
      <c r="U708" s="523"/>
      <c r="V708" s="523"/>
      <c r="W708" s="523"/>
      <c r="X708" s="523"/>
      <c r="Y708" s="523"/>
      <c r="Z708" s="523"/>
    </row>
    <row r="709">
      <c r="A709" s="523"/>
      <c r="B709" s="524"/>
      <c r="C709" s="523"/>
      <c r="D709" s="523"/>
      <c r="E709" s="524"/>
      <c r="F709" s="524"/>
      <c r="G709" s="524"/>
      <c r="H709" s="524"/>
      <c r="I709" s="523"/>
      <c r="J709" s="523"/>
      <c r="K709" s="523"/>
      <c r="L709" s="523"/>
      <c r="M709" s="523"/>
      <c r="N709" s="523"/>
      <c r="O709" s="523"/>
      <c r="P709" s="523"/>
      <c r="Q709" s="523"/>
      <c r="R709" s="523"/>
      <c r="S709" s="523"/>
      <c r="T709" s="523"/>
      <c r="U709" s="523"/>
      <c r="V709" s="523"/>
      <c r="W709" s="523"/>
      <c r="X709" s="523"/>
      <c r="Y709" s="523"/>
      <c r="Z709" s="523"/>
    </row>
    <row r="710">
      <c r="A710" s="523"/>
      <c r="B710" s="524"/>
      <c r="C710" s="523"/>
      <c r="D710" s="523"/>
      <c r="E710" s="524"/>
      <c r="F710" s="524"/>
      <c r="G710" s="524"/>
      <c r="H710" s="524"/>
      <c r="I710" s="523"/>
      <c r="J710" s="523"/>
      <c r="K710" s="523"/>
      <c r="L710" s="523"/>
      <c r="M710" s="523"/>
      <c r="N710" s="523"/>
      <c r="O710" s="523"/>
      <c r="P710" s="523"/>
      <c r="Q710" s="523"/>
      <c r="R710" s="523"/>
      <c r="S710" s="523"/>
      <c r="T710" s="523"/>
      <c r="U710" s="523"/>
      <c r="V710" s="523"/>
      <c r="W710" s="523"/>
      <c r="X710" s="523"/>
      <c r="Y710" s="523"/>
      <c r="Z710" s="523"/>
    </row>
    <row r="711">
      <c r="A711" s="523"/>
      <c r="B711" s="524"/>
      <c r="C711" s="523"/>
      <c r="D711" s="523"/>
      <c r="E711" s="524"/>
      <c r="F711" s="524"/>
      <c r="G711" s="524"/>
      <c r="H711" s="524"/>
      <c r="I711" s="523"/>
      <c r="J711" s="523"/>
      <c r="K711" s="523"/>
      <c r="L711" s="523"/>
      <c r="M711" s="523"/>
      <c r="N711" s="523"/>
      <c r="O711" s="523"/>
      <c r="P711" s="523"/>
      <c r="Q711" s="523"/>
      <c r="R711" s="523"/>
      <c r="S711" s="523"/>
      <c r="T711" s="523"/>
      <c r="U711" s="523"/>
      <c r="V711" s="523"/>
      <c r="W711" s="523"/>
      <c r="X711" s="523"/>
      <c r="Y711" s="523"/>
      <c r="Z711" s="523"/>
    </row>
    <row r="712">
      <c r="A712" s="523"/>
      <c r="B712" s="524"/>
      <c r="C712" s="523"/>
      <c r="D712" s="523"/>
      <c r="E712" s="524"/>
      <c r="F712" s="524"/>
      <c r="G712" s="524"/>
      <c r="H712" s="524"/>
      <c r="I712" s="523"/>
      <c r="J712" s="523"/>
      <c r="K712" s="523"/>
      <c r="L712" s="523"/>
      <c r="M712" s="523"/>
      <c r="N712" s="523"/>
      <c r="O712" s="523"/>
      <c r="P712" s="523"/>
      <c r="Q712" s="523"/>
      <c r="R712" s="523"/>
      <c r="S712" s="523"/>
      <c r="T712" s="523"/>
      <c r="U712" s="523"/>
      <c r="V712" s="523"/>
      <c r="W712" s="523"/>
      <c r="X712" s="523"/>
      <c r="Y712" s="523"/>
      <c r="Z712" s="523"/>
    </row>
    <row r="713">
      <c r="A713" s="523"/>
      <c r="B713" s="524"/>
      <c r="C713" s="523"/>
      <c r="D713" s="523"/>
      <c r="E713" s="524"/>
      <c r="F713" s="524"/>
      <c r="G713" s="524"/>
      <c r="H713" s="524"/>
      <c r="I713" s="523"/>
      <c r="J713" s="523"/>
      <c r="K713" s="523"/>
      <c r="L713" s="523"/>
      <c r="M713" s="523"/>
      <c r="N713" s="523"/>
      <c r="O713" s="523"/>
      <c r="P713" s="523"/>
      <c r="Q713" s="523"/>
      <c r="R713" s="523"/>
      <c r="S713" s="523"/>
      <c r="T713" s="523"/>
      <c r="U713" s="523"/>
      <c r="V713" s="523"/>
      <c r="W713" s="523"/>
      <c r="X713" s="523"/>
      <c r="Y713" s="523"/>
      <c r="Z713" s="523"/>
    </row>
    <row r="714">
      <c r="A714" s="523"/>
      <c r="B714" s="524"/>
      <c r="C714" s="523"/>
      <c r="D714" s="523"/>
      <c r="E714" s="524"/>
      <c r="F714" s="524"/>
      <c r="G714" s="524"/>
      <c r="H714" s="524"/>
      <c r="I714" s="523"/>
      <c r="J714" s="523"/>
      <c r="K714" s="523"/>
      <c r="L714" s="523"/>
      <c r="M714" s="523"/>
      <c r="N714" s="523"/>
      <c r="O714" s="523"/>
      <c r="P714" s="523"/>
      <c r="Q714" s="523"/>
      <c r="R714" s="523"/>
      <c r="S714" s="523"/>
      <c r="T714" s="523"/>
      <c r="U714" s="523"/>
      <c r="V714" s="523"/>
      <c r="W714" s="523"/>
      <c r="X714" s="523"/>
      <c r="Y714" s="523"/>
      <c r="Z714" s="523"/>
    </row>
    <row r="715">
      <c r="A715" s="523"/>
      <c r="B715" s="524"/>
      <c r="C715" s="523"/>
      <c r="D715" s="523"/>
      <c r="E715" s="524"/>
      <c r="F715" s="524"/>
      <c r="G715" s="524"/>
      <c r="H715" s="524"/>
      <c r="I715" s="523"/>
      <c r="J715" s="523"/>
      <c r="K715" s="523"/>
      <c r="L715" s="523"/>
      <c r="M715" s="523"/>
      <c r="N715" s="523"/>
      <c r="O715" s="523"/>
      <c r="P715" s="523"/>
      <c r="Q715" s="523"/>
      <c r="R715" s="523"/>
      <c r="S715" s="523"/>
      <c r="T715" s="523"/>
      <c r="U715" s="523"/>
      <c r="V715" s="523"/>
      <c r="W715" s="523"/>
      <c r="X715" s="523"/>
      <c r="Y715" s="523"/>
      <c r="Z715" s="523"/>
    </row>
    <row r="716">
      <c r="A716" s="523"/>
      <c r="B716" s="524"/>
      <c r="C716" s="523"/>
      <c r="D716" s="523"/>
      <c r="E716" s="524"/>
      <c r="F716" s="524"/>
      <c r="G716" s="524"/>
      <c r="H716" s="524"/>
      <c r="I716" s="523"/>
      <c r="J716" s="523"/>
      <c r="K716" s="523"/>
      <c r="L716" s="523"/>
      <c r="M716" s="523"/>
      <c r="N716" s="523"/>
      <c r="O716" s="523"/>
      <c r="P716" s="523"/>
      <c r="Q716" s="523"/>
      <c r="R716" s="523"/>
      <c r="S716" s="523"/>
      <c r="T716" s="523"/>
      <c r="U716" s="523"/>
      <c r="V716" s="523"/>
      <c r="W716" s="523"/>
      <c r="X716" s="523"/>
      <c r="Y716" s="523"/>
      <c r="Z716" s="523"/>
    </row>
    <row r="717">
      <c r="A717" s="523"/>
      <c r="B717" s="524"/>
      <c r="C717" s="523"/>
      <c r="D717" s="523"/>
      <c r="E717" s="524"/>
      <c r="F717" s="524"/>
      <c r="G717" s="524"/>
      <c r="H717" s="524"/>
      <c r="I717" s="523"/>
      <c r="J717" s="523"/>
      <c r="K717" s="523"/>
      <c r="L717" s="523"/>
      <c r="M717" s="523"/>
      <c r="N717" s="523"/>
      <c r="O717" s="523"/>
      <c r="P717" s="523"/>
      <c r="Q717" s="523"/>
      <c r="R717" s="523"/>
      <c r="S717" s="523"/>
      <c r="T717" s="523"/>
      <c r="U717" s="523"/>
      <c r="V717" s="523"/>
      <c r="W717" s="523"/>
      <c r="X717" s="523"/>
      <c r="Y717" s="523"/>
      <c r="Z717" s="523"/>
    </row>
    <row r="718">
      <c r="A718" s="523"/>
      <c r="B718" s="524"/>
      <c r="C718" s="523"/>
      <c r="D718" s="523"/>
      <c r="E718" s="524"/>
      <c r="F718" s="524"/>
      <c r="G718" s="524"/>
      <c r="H718" s="524"/>
      <c r="I718" s="523"/>
      <c r="J718" s="523"/>
      <c r="K718" s="523"/>
      <c r="L718" s="523"/>
      <c r="M718" s="523"/>
      <c r="N718" s="523"/>
      <c r="O718" s="523"/>
      <c r="P718" s="523"/>
      <c r="Q718" s="523"/>
      <c r="R718" s="523"/>
      <c r="S718" s="523"/>
      <c r="T718" s="523"/>
      <c r="U718" s="523"/>
      <c r="V718" s="523"/>
      <c r="W718" s="523"/>
      <c r="X718" s="523"/>
      <c r="Y718" s="523"/>
      <c r="Z718" s="523"/>
    </row>
    <row r="719">
      <c r="A719" s="523"/>
      <c r="B719" s="524"/>
      <c r="C719" s="523"/>
      <c r="D719" s="523"/>
      <c r="E719" s="524"/>
      <c r="F719" s="524"/>
      <c r="G719" s="524"/>
      <c r="H719" s="524"/>
      <c r="I719" s="523"/>
      <c r="J719" s="523"/>
      <c r="K719" s="523"/>
      <c r="L719" s="523"/>
      <c r="M719" s="523"/>
      <c r="N719" s="523"/>
      <c r="O719" s="523"/>
      <c r="P719" s="523"/>
      <c r="Q719" s="523"/>
      <c r="R719" s="523"/>
      <c r="S719" s="523"/>
      <c r="T719" s="523"/>
      <c r="U719" s="523"/>
      <c r="V719" s="523"/>
      <c r="W719" s="523"/>
      <c r="X719" s="523"/>
      <c r="Y719" s="523"/>
      <c r="Z719" s="523"/>
    </row>
    <row r="720">
      <c r="A720" s="523"/>
      <c r="B720" s="524"/>
      <c r="C720" s="523"/>
      <c r="D720" s="523"/>
      <c r="E720" s="524"/>
      <c r="F720" s="524"/>
      <c r="G720" s="524"/>
      <c r="H720" s="524"/>
      <c r="I720" s="523"/>
      <c r="J720" s="523"/>
      <c r="K720" s="523"/>
      <c r="L720" s="523"/>
      <c r="M720" s="523"/>
      <c r="N720" s="523"/>
      <c r="O720" s="523"/>
      <c r="P720" s="523"/>
      <c r="Q720" s="523"/>
      <c r="R720" s="523"/>
      <c r="S720" s="523"/>
      <c r="T720" s="523"/>
      <c r="U720" s="523"/>
      <c r="V720" s="523"/>
      <c r="W720" s="523"/>
      <c r="X720" s="523"/>
      <c r="Y720" s="523"/>
      <c r="Z720" s="523"/>
    </row>
    <row r="721">
      <c r="A721" s="523"/>
      <c r="B721" s="524"/>
      <c r="C721" s="523"/>
      <c r="D721" s="523"/>
      <c r="E721" s="524"/>
      <c r="F721" s="524"/>
      <c r="G721" s="524"/>
      <c r="H721" s="524"/>
      <c r="I721" s="523"/>
      <c r="J721" s="523"/>
      <c r="K721" s="523"/>
      <c r="L721" s="523"/>
      <c r="M721" s="523"/>
      <c r="N721" s="523"/>
      <c r="O721" s="523"/>
      <c r="P721" s="523"/>
      <c r="Q721" s="523"/>
      <c r="R721" s="523"/>
      <c r="S721" s="523"/>
      <c r="T721" s="523"/>
      <c r="U721" s="523"/>
      <c r="V721" s="523"/>
      <c r="W721" s="523"/>
      <c r="X721" s="523"/>
      <c r="Y721" s="523"/>
      <c r="Z721" s="523"/>
    </row>
    <row r="722">
      <c r="A722" s="523"/>
      <c r="B722" s="524"/>
      <c r="C722" s="523"/>
      <c r="D722" s="523"/>
      <c r="E722" s="524"/>
      <c r="F722" s="524"/>
      <c r="G722" s="524"/>
      <c r="H722" s="524"/>
      <c r="I722" s="523"/>
      <c r="J722" s="523"/>
      <c r="K722" s="523"/>
      <c r="L722" s="523"/>
      <c r="M722" s="523"/>
      <c r="N722" s="523"/>
      <c r="O722" s="523"/>
      <c r="P722" s="523"/>
      <c r="Q722" s="523"/>
      <c r="R722" s="523"/>
      <c r="S722" s="523"/>
      <c r="T722" s="523"/>
      <c r="U722" s="523"/>
      <c r="V722" s="523"/>
      <c r="W722" s="523"/>
      <c r="X722" s="523"/>
      <c r="Y722" s="523"/>
      <c r="Z722" s="523"/>
    </row>
    <row r="723">
      <c r="A723" s="523"/>
      <c r="B723" s="524"/>
      <c r="C723" s="523"/>
      <c r="D723" s="523"/>
      <c r="E723" s="524"/>
      <c r="F723" s="524"/>
      <c r="G723" s="524"/>
      <c r="H723" s="524"/>
      <c r="I723" s="523"/>
      <c r="J723" s="523"/>
      <c r="K723" s="523"/>
      <c r="L723" s="523"/>
      <c r="M723" s="523"/>
      <c r="N723" s="523"/>
      <c r="O723" s="523"/>
      <c r="P723" s="523"/>
      <c r="Q723" s="523"/>
      <c r="R723" s="523"/>
      <c r="S723" s="523"/>
      <c r="T723" s="523"/>
      <c r="U723" s="523"/>
      <c r="V723" s="523"/>
      <c r="W723" s="523"/>
      <c r="X723" s="523"/>
      <c r="Y723" s="523"/>
      <c r="Z723" s="523"/>
    </row>
    <row r="724">
      <c r="A724" s="523"/>
      <c r="B724" s="524"/>
      <c r="C724" s="523"/>
      <c r="D724" s="523"/>
      <c r="E724" s="524"/>
      <c r="F724" s="524"/>
      <c r="G724" s="524"/>
      <c r="H724" s="524"/>
      <c r="I724" s="523"/>
      <c r="J724" s="523"/>
      <c r="K724" s="523"/>
      <c r="L724" s="523"/>
      <c r="M724" s="523"/>
      <c r="N724" s="523"/>
      <c r="O724" s="523"/>
      <c r="P724" s="523"/>
      <c r="Q724" s="523"/>
      <c r="R724" s="523"/>
      <c r="S724" s="523"/>
      <c r="T724" s="523"/>
      <c r="U724" s="523"/>
      <c r="V724" s="523"/>
      <c r="W724" s="523"/>
      <c r="X724" s="523"/>
      <c r="Y724" s="523"/>
      <c r="Z724" s="523"/>
    </row>
    <row r="725">
      <c r="A725" s="523"/>
      <c r="B725" s="524"/>
      <c r="C725" s="523"/>
      <c r="D725" s="523"/>
      <c r="E725" s="524"/>
      <c r="F725" s="524"/>
      <c r="G725" s="524"/>
      <c r="H725" s="524"/>
      <c r="I725" s="523"/>
      <c r="J725" s="523"/>
      <c r="K725" s="523"/>
      <c r="L725" s="523"/>
      <c r="M725" s="523"/>
      <c r="N725" s="523"/>
      <c r="O725" s="523"/>
      <c r="P725" s="523"/>
      <c r="Q725" s="523"/>
      <c r="R725" s="523"/>
      <c r="S725" s="523"/>
      <c r="T725" s="523"/>
      <c r="U725" s="523"/>
      <c r="V725" s="523"/>
      <c r="W725" s="523"/>
      <c r="X725" s="523"/>
      <c r="Y725" s="523"/>
      <c r="Z725" s="523"/>
    </row>
    <row r="726">
      <c r="A726" s="523"/>
      <c r="B726" s="524"/>
      <c r="C726" s="523"/>
      <c r="D726" s="523"/>
      <c r="E726" s="524"/>
      <c r="F726" s="524"/>
      <c r="G726" s="524"/>
      <c r="H726" s="524"/>
      <c r="I726" s="523"/>
      <c r="J726" s="523"/>
      <c r="K726" s="523"/>
      <c r="L726" s="523"/>
      <c r="M726" s="523"/>
      <c r="N726" s="523"/>
      <c r="O726" s="523"/>
      <c r="P726" s="523"/>
      <c r="Q726" s="523"/>
      <c r="R726" s="523"/>
      <c r="S726" s="523"/>
      <c r="T726" s="523"/>
      <c r="U726" s="523"/>
      <c r="V726" s="523"/>
      <c r="W726" s="523"/>
      <c r="X726" s="523"/>
      <c r="Y726" s="523"/>
      <c r="Z726" s="523"/>
    </row>
    <row r="727">
      <c r="A727" s="523"/>
      <c r="B727" s="524"/>
      <c r="C727" s="523"/>
      <c r="D727" s="523"/>
      <c r="E727" s="524"/>
      <c r="F727" s="524"/>
      <c r="G727" s="524"/>
      <c r="H727" s="524"/>
      <c r="I727" s="523"/>
      <c r="J727" s="523"/>
      <c r="K727" s="523"/>
      <c r="L727" s="523"/>
      <c r="M727" s="523"/>
      <c r="N727" s="523"/>
      <c r="O727" s="523"/>
      <c r="P727" s="523"/>
      <c r="Q727" s="523"/>
      <c r="R727" s="523"/>
      <c r="S727" s="523"/>
      <c r="T727" s="523"/>
      <c r="U727" s="523"/>
      <c r="V727" s="523"/>
      <c r="W727" s="523"/>
      <c r="X727" s="523"/>
      <c r="Y727" s="523"/>
      <c r="Z727" s="523"/>
    </row>
    <row r="728">
      <c r="A728" s="523"/>
      <c r="B728" s="524"/>
      <c r="C728" s="523"/>
      <c r="D728" s="523"/>
      <c r="E728" s="524"/>
      <c r="F728" s="524"/>
      <c r="G728" s="524"/>
      <c r="H728" s="524"/>
      <c r="I728" s="523"/>
      <c r="J728" s="523"/>
      <c r="K728" s="523"/>
      <c r="L728" s="523"/>
      <c r="M728" s="523"/>
      <c r="N728" s="523"/>
      <c r="O728" s="523"/>
      <c r="P728" s="523"/>
      <c r="Q728" s="523"/>
      <c r="R728" s="523"/>
      <c r="S728" s="523"/>
      <c r="T728" s="523"/>
      <c r="U728" s="523"/>
      <c r="V728" s="523"/>
      <c r="W728" s="523"/>
      <c r="X728" s="523"/>
      <c r="Y728" s="523"/>
      <c r="Z728" s="523"/>
    </row>
    <row r="729">
      <c r="A729" s="523"/>
      <c r="B729" s="524"/>
      <c r="C729" s="523"/>
      <c r="D729" s="523"/>
      <c r="E729" s="524"/>
      <c r="F729" s="524"/>
      <c r="G729" s="524"/>
      <c r="H729" s="524"/>
      <c r="I729" s="523"/>
      <c r="J729" s="523"/>
      <c r="K729" s="523"/>
      <c r="L729" s="523"/>
      <c r="M729" s="523"/>
      <c r="N729" s="523"/>
      <c r="O729" s="523"/>
      <c r="P729" s="523"/>
      <c r="Q729" s="523"/>
      <c r="R729" s="523"/>
      <c r="S729" s="523"/>
      <c r="T729" s="523"/>
      <c r="U729" s="523"/>
      <c r="V729" s="523"/>
      <c r="W729" s="523"/>
      <c r="X729" s="523"/>
      <c r="Y729" s="523"/>
      <c r="Z729" s="523"/>
    </row>
    <row r="730">
      <c r="A730" s="523"/>
      <c r="B730" s="524"/>
      <c r="C730" s="523"/>
      <c r="D730" s="523"/>
      <c r="E730" s="524"/>
      <c r="F730" s="524"/>
      <c r="G730" s="524"/>
      <c r="H730" s="524"/>
      <c r="I730" s="523"/>
      <c r="J730" s="523"/>
      <c r="K730" s="523"/>
      <c r="L730" s="523"/>
      <c r="M730" s="523"/>
      <c r="N730" s="523"/>
      <c r="O730" s="523"/>
      <c r="P730" s="523"/>
      <c r="Q730" s="523"/>
      <c r="R730" s="523"/>
      <c r="S730" s="523"/>
      <c r="T730" s="523"/>
      <c r="U730" s="523"/>
      <c r="V730" s="523"/>
      <c r="W730" s="523"/>
      <c r="X730" s="523"/>
      <c r="Y730" s="523"/>
      <c r="Z730" s="523"/>
    </row>
    <row r="731">
      <c r="A731" s="523"/>
      <c r="B731" s="524"/>
      <c r="C731" s="523"/>
      <c r="D731" s="523"/>
      <c r="E731" s="524"/>
      <c r="F731" s="524"/>
      <c r="G731" s="524"/>
      <c r="H731" s="524"/>
      <c r="I731" s="523"/>
      <c r="J731" s="523"/>
      <c r="K731" s="523"/>
      <c r="L731" s="523"/>
      <c r="M731" s="523"/>
      <c r="N731" s="523"/>
      <c r="O731" s="523"/>
      <c r="P731" s="523"/>
      <c r="Q731" s="523"/>
      <c r="R731" s="523"/>
      <c r="S731" s="523"/>
      <c r="T731" s="523"/>
      <c r="U731" s="523"/>
      <c r="V731" s="523"/>
      <c r="W731" s="523"/>
      <c r="X731" s="523"/>
      <c r="Y731" s="523"/>
      <c r="Z731" s="523"/>
    </row>
    <row r="732">
      <c r="A732" s="523"/>
      <c r="B732" s="524"/>
      <c r="C732" s="523"/>
      <c r="D732" s="523"/>
      <c r="E732" s="524"/>
      <c r="F732" s="524"/>
      <c r="G732" s="524"/>
      <c r="H732" s="524"/>
      <c r="I732" s="523"/>
      <c r="J732" s="523"/>
      <c r="K732" s="523"/>
      <c r="L732" s="523"/>
      <c r="M732" s="523"/>
      <c r="N732" s="523"/>
      <c r="O732" s="523"/>
      <c r="P732" s="523"/>
      <c r="Q732" s="523"/>
      <c r="R732" s="523"/>
      <c r="S732" s="523"/>
      <c r="T732" s="523"/>
      <c r="U732" s="523"/>
      <c r="V732" s="523"/>
      <c r="W732" s="523"/>
      <c r="X732" s="523"/>
      <c r="Y732" s="523"/>
      <c r="Z732" s="523"/>
    </row>
    <row r="733">
      <c r="A733" s="523"/>
      <c r="B733" s="524"/>
      <c r="C733" s="523"/>
      <c r="D733" s="523"/>
      <c r="E733" s="524"/>
      <c r="F733" s="524"/>
      <c r="G733" s="524"/>
      <c r="H733" s="524"/>
      <c r="I733" s="523"/>
      <c r="J733" s="523"/>
      <c r="K733" s="523"/>
      <c r="L733" s="523"/>
      <c r="M733" s="523"/>
      <c r="N733" s="523"/>
      <c r="O733" s="523"/>
      <c r="P733" s="523"/>
      <c r="Q733" s="523"/>
      <c r="R733" s="523"/>
      <c r="S733" s="523"/>
      <c r="T733" s="523"/>
      <c r="U733" s="523"/>
      <c r="V733" s="523"/>
      <c r="W733" s="523"/>
      <c r="X733" s="523"/>
      <c r="Y733" s="523"/>
      <c r="Z733" s="523"/>
    </row>
    <row r="734">
      <c r="A734" s="523"/>
      <c r="B734" s="524"/>
      <c r="C734" s="523"/>
      <c r="D734" s="523"/>
      <c r="E734" s="524"/>
      <c r="F734" s="524"/>
      <c r="G734" s="524"/>
      <c r="H734" s="524"/>
      <c r="I734" s="523"/>
      <c r="J734" s="523"/>
      <c r="K734" s="523"/>
      <c r="L734" s="523"/>
      <c r="M734" s="523"/>
      <c r="N734" s="523"/>
      <c r="O734" s="523"/>
      <c r="P734" s="523"/>
      <c r="Q734" s="523"/>
      <c r="R734" s="523"/>
      <c r="S734" s="523"/>
      <c r="T734" s="523"/>
      <c r="U734" s="523"/>
      <c r="V734" s="523"/>
      <c r="W734" s="523"/>
      <c r="X734" s="523"/>
      <c r="Y734" s="523"/>
      <c r="Z734" s="523"/>
    </row>
    <row r="735">
      <c r="A735" s="523"/>
      <c r="B735" s="524"/>
      <c r="C735" s="523"/>
      <c r="D735" s="523"/>
      <c r="E735" s="524"/>
      <c r="F735" s="524"/>
      <c r="G735" s="524"/>
      <c r="H735" s="524"/>
      <c r="I735" s="523"/>
      <c r="J735" s="523"/>
      <c r="K735" s="523"/>
      <c r="L735" s="523"/>
      <c r="M735" s="523"/>
      <c r="N735" s="523"/>
      <c r="O735" s="523"/>
      <c r="P735" s="523"/>
      <c r="Q735" s="523"/>
      <c r="R735" s="523"/>
      <c r="S735" s="523"/>
      <c r="T735" s="523"/>
      <c r="U735" s="523"/>
      <c r="V735" s="523"/>
      <c r="W735" s="523"/>
      <c r="X735" s="523"/>
      <c r="Y735" s="523"/>
      <c r="Z735" s="523"/>
    </row>
    <row r="736">
      <c r="A736" s="523"/>
      <c r="B736" s="524"/>
      <c r="C736" s="523"/>
      <c r="D736" s="523"/>
      <c r="E736" s="524"/>
      <c r="F736" s="524"/>
      <c r="G736" s="524"/>
      <c r="H736" s="524"/>
      <c r="I736" s="523"/>
      <c r="J736" s="523"/>
      <c r="K736" s="523"/>
      <c r="L736" s="523"/>
      <c r="M736" s="523"/>
      <c r="N736" s="523"/>
      <c r="O736" s="523"/>
      <c r="P736" s="523"/>
      <c r="Q736" s="523"/>
      <c r="R736" s="523"/>
      <c r="S736" s="523"/>
      <c r="T736" s="523"/>
      <c r="U736" s="523"/>
      <c r="V736" s="523"/>
      <c r="W736" s="523"/>
      <c r="X736" s="523"/>
      <c r="Y736" s="523"/>
      <c r="Z736" s="523"/>
    </row>
    <row r="737">
      <c r="A737" s="523"/>
      <c r="B737" s="524"/>
      <c r="C737" s="523"/>
      <c r="D737" s="523"/>
      <c r="E737" s="524"/>
      <c r="F737" s="524"/>
      <c r="G737" s="524"/>
      <c r="H737" s="524"/>
      <c r="I737" s="523"/>
      <c r="J737" s="523"/>
      <c r="K737" s="523"/>
      <c r="L737" s="523"/>
      <c r="M737" s="523"/>
      <c r="N737" s="523"/>
      <c r="O737" s="523"/>
      <c r="P737" s="523"/>
      <c r="Q737" s="523"/>
      <c r="R737" s="523"/>
      <c r="S737" s="523"/>
      <c r="T737" s="523"/>
      <c r="U737" s="523"/>
      <c r="V737" s="523"/>
      <c r="W737" s="523"/>
      <c r="X737" s="523"/>
      <c r="Y737" s="523"/>
      <c r="Z737" s="523"/>
    </row>
    <row r="738">
      <c r="A738" s="523"/>
      <c r="B738" s="524"/>
      <c r="C738" s="523"/>
      <c r="D738" s="523"/>
      <c r="E738" s="524"/>
      <c r="F738" s="524"/>
      <c r="G738" s="524"/>
      <c r="H738" s="524"/>
      <c r="I738" s="523"/>
      <c r="J738" s="523"/>
      <c r="K738" s="523"/>
      <c r="L738" s="523"/>
      <c r="M738" s="523"/>
      <c r="N738" s="523"/>
      <c r="O738" s="523"/>
      <c r="P738" s="523"/>
      <c r="Q738" s="523"/>
      <c r="R738" s="523"/>
      <c r="S738" s="523"/>
      <c r="T738" s="523"/>
      <c r="U738" s="523"/>
      <c r="V738" s="523"/>
      <c r="W738" s="523"/>
      <c r="X738" s="523"/>
      <c r="Y738" s="523"/>
      <c r="Z738" s="523"/>
    </row>
    <row r="739">
      <c r="A739" s="523"/>
      <c r="B739" s="524"/>
      <c r="C739" s="523"/>
      <c r="D739" s="523"/>
      <c r="E739" s="524"/>
      <c r="F739" s="524"/>
      <c r="G739" s="524"/>
      <c r="H739" s="524"/>
      <c r="I739" s="523"/>
      <c r="J739" s="523"/>
      <c r="K739" s="523"/>
      <c r="L739" s="523"/>
      <c r="M739" s="523"/>
      <c r="N739" s="523"/>
      <c r="O739" s="523"/>
      <c r="P739" s="523"/>
      <c r="Q739" s="523"/>
      <c r="R739" s="523"/>
      <c r="S739" s="523"/>
      <c r="T739" s="523"/>
      <c r="U739" s="523"/>
      <c r="V739" s="523"/>
      <c r="W739" s="523"/>
      <c r="X739" s="523"/>
      <c r="Y739" s="523"/>
      <c r="Z739" s="523"/>
    </row>
    <row r="740">
      <c r="A740" s="523"/>
      <c r="B740" s="524"/>
      <c r="C740" s="523"/>
      <c r="D740" s="523"/>
      <c r="E740" s="524"/>
      <c r="F740" s="524"/>
      <c r="G740" s="524"/>
      <c r="H740" s="524"/>
      <c r="I740" s="523"/>
      <c r="J740" s="523"/>
      <c r="K740" s="523"/>
      <c r="L740" s="523"/>
      <c r="M740" s="523"/>
      <c r="N740" s="523"/>
      <c r="O740" s="523"/>
      <c r="P740" s="523"/>
      <c r="Q740" s="523"/>
      <c r="R740" s="523"/>
      <c r="S740" s="523"/>
      <c r="T740" s="523"/>
      <c r="U740" s="523"/>
      <c r="V740" s="523"/>
      <c r="W740" s="523"/>
      <c r="X740" s="523"/>
      <c r="Y740" s="523"/>
      <c r="Z740" s="523"/>
    </row>
    <row r="741">
      <c r="A741" s="523"/>
      <c r="B741" s="524"/>
      <c r="C741" s="523"/>
      <c r="D741" s="523"/>
      <c r="E741" s="524"/>
      <c r="F741" s="524"/>
      <c r="G741" s="524"/>
      <c r="H741" s="524"/>
      <c r="I741" s="523"/>
      <c r="J741" s="523"/>
      <c r="K741" s="523"/>
      <c r="L741" s="523"/>
      <c r="M741" s="523"/>
      <c r="N741" s="523"/>
      <c r="O741" s="523"/>
      <c r="P741" s="523"/>
      <c r="Q741" s="523"/>
      <c r="R741" s="523"/>
      <c r="S741" s="523"/>
      <c r="T741" s="523"/>
      <c r="U741" s="523"/>
      <c r="V741" s="523"/>
      <c r="W741" s="523"/>
      <c r="X741" s="523"/>
      <c r="Y741" s="523"/>
      <c r="Z741" s="523"/>
    </row>
    <row r="742">
      <c r="A742" s="523"/>
      <c r="B742" s="524"/>
      <c r="C742" s="523"/>
      <c r="D742" s="523"/>
      <c r="E742" s="524"/>
      <c r="F742" s="524"/>
      <c r="G742" s="524"/>
      <c r="H742" s="524"/>
      <c r="I742" s="523"/>
      <c r="J742" s="523"/>
      <c r="K742" s="523"/>
      <c r="L742" s="523"/>
      <c r="M742" s="523"/>
      <c r="N742" s="523"/>
      <c r="O742" s="523"/>
      <c r="P742" s="523"/>
      <c r="Q742" s="523"/>
      <c r="R742" s="523"/>
      <c r="S742" s="523"/>
      <c r="T742" s="523"/>
      <c r="U742" s="523"/>
      <c r="V742" s="523"/>
      <c r="W742" s="523"/>
      <c r="X742" s="523"/>
      <c r="Y742" s="523"/>
      <c r="Z742" s="523"/>
    </row>
    <row r="743">
      <c r="A743" s="523"/>
      <c r="B743" s="524"/>
      <c r="C743" s="523"/>
      <c r="D743" s="523"/>
      <c r="E743" s="524"/>
      <c r="F743" s="524"/>
      <c r="G743" s="524"/>
      <c r="H743" s="524"/>
      <c r="I743" s="523"/>
      <c r="J743" s="523"/>
      <c r="K743" s="523"/>
      <c r="L743" s="523"/>
      <c r="M743" s="523"/>
      <c r="N743" s="523"/>
      <c r="O743" s="523"/>
      <c r="P743" s="523"/>
      <c r="Q743" s="523"/>
      <c r="R743" s="523"/>
      <c r="S743" s="523"/>
      <c r="T743" s="523"/>
      <c r="U743" s="523"/>
      <c r="V743" s="523"/>
      <c r="W743" s="523"/>
      <c r="X743" s="523"/>
      <c r="Y743" s="523"/>
      <c r="Z743" s="523"/>
    </row>
    <row r="744">
      <c r="A744" s="523"/>
      <c r="B744" s="524"/>
      <c r="C744" s="523"/>
      <c r="D744" s="523"/>
      <c r="E744" s="524"/>
      <c r="F744" s="524"/>
      <c r="G744" s="524"/>
      <c r="H744" s="524"/>
      <c r="I744" s="523"/>
      <c r="J744" s="523"/>
      <c r="K744" s="523"/>
      <c r="L744" s="523"/>
      <c r="M744" s="523"/>
      <c r="N744" s="523"/>
      <c r="O744" s="523"/>
      <c r="P744" s="523"/>
      <c r="Q744" s="523"/>
      <c r="R744" s="523"/>
      <c r="S744" s="523"/>
      <c r="T744" s="523"/>
      <c r="U744" s="523"/>
      <c r="V744" s="523"/>
      <c r="W744" s="523"/>
      <c r="X744" s="523"/>
      <c r="Y744" s="523"/>
      <c r="Z744" s="523"/>
    </row>
    <row r="745">
      <c r="A745" s="523"/>
      <c r="B745" s="524"/>
      <c r="C745" s="523"/>
      <c r="D745" s="523"/>
      <c r="E745" s="524"/>
      <c r="F745" s="524"/>
      <c r="G745" s="524"/>
      <c r="H745" s="524"/>
      <c r="I745" s="523"/>
      <c r="J745" s="523"/>
      <c r="K745" s="523"/>
      <c r="L745" s="523"/>
      <c r="M745" s="523"/>
      <c r="N745" s="523"/>
      <c r="O745" s="523"/>
      <c r="P745" s="523"/>
      <c r="Q745" s="523"/>
      <c r="R745" s="523"/>
      <c r="S745" s="523"/>
      <c r="T745" s="523"/>
      <c r="U745" s="523"/>
      <c r="V745" s="523"/>
      <c r="W745" s="523"/>
      <c r="X745" s="523"/>
      <c r="Y745" s="523"/>
      <c r="Z745" s="523"/>
    </row>
    <row r="746">
      <c r="A746" s="523"/>
      <c r="B746" s="524"/>
      <c r="C746" s="523"/>
      <c r="D746" s="523"/>
      <c r="E746" s="524"/>
      <c r="F746" s="524"/>
      <c r="G746" s="524"/>
      <c r="H746" s="524"/>
      <c r="I746" s="523"/>
      <c r="J746" s="523"/>
      <c r="K746" s="523"/>
      <c r="L746" s="523"/>
      <c r="M746" s="523"/>
      <c r="N746" s="523"/>
      <c r="O746" s="523"/>
      <c r="P746" s="523"/>
      <c r="Q746" s="523"/>
      <c r="R746" s="523"/>
      <c r="S746" s="523"/>
      <c r="T746" s="523"/>
      <c r="U746" s="523"/>
      <c r="V746" s="523"/>
      <c r="W746" s="523"/>
      <c r="X746" s="523"/>
      <c r="Y746" s="523"/>
      <c r="Z746" s="523"/>
    </row>
    <row r="747">
      <c r="A747" s="523"/>
      <c r="B747" s="524"/>
      <c r="C747" s="523"/>
      <c r="D747" s="523"/>
      <c r="E747" s="524"/>
      <c r="F747" s="524"/>
      <c r="G747" s="524"/>
      <c r="H747" s="524"/>
      <c r="I747" s="523"/>
      <c r="J747" s="523"/>
      <c r="K747" s="523"/>
      <c r="L747" s="523"/>
      <c r="M747" s="523"/>
      <c r="N747" s="523"/>
      <c r="O747" s="523"/>
      <c r="P747" s="523"/>
      <c r="Q747" s="523"/>
      <c r="R747" s="523"/>
      <c r="S747" s="523"/>
      <c r="T747" s="523"/>
      <c r="U747" s="523"/>
      <c r="V747" s="523"/>
      <c r="W747" s="523"/>
      <c r="X747" s="523"/>
      <c r="Y747" s="523"/>
      <c r="Z747" s="523"/>
    </row>
    <row r="748">
      <c r="A748" s="523"/>
      <c r="B748" s="524"/>
      <c r="C748" s="523"/>
      <c r="D748" s="523"/>
      <c r="E748" s="524"/>
      <c r="F748" s="524"/>
      <c r="G748" s="524"/>
      <c r="H748" s="524"/>
      <c r="I748" s="523"/>
      <c r="J748" s="523"/>
      <c r="K748" s="523"/>
      <c r="L748" s="523"/>
      <c r="M748" s="523"/>
      <c r="N748" s="523"/>
      <c r="O748" s="523"/>
      <c r="P748" s="523"/>
      <c r="Q748" s="523"/>
      <c r="R748" s="523"/>
      <c r="S748" s="523"/>
      <c r="T748" s="523"/>
      <c r="U748" s="523"/>
      <c r="V748" s="523"/>
      <c r="W748" s="523"/>
      <c r="X748" s="523"/>
      <c r="Y748" s="523"/>
      <c r="Z748" s="523"/>
    </row>
    <row r="749">
      <c r="A749" s="523"/>
      <c r="B749" s="524"/>
      <c r="C749" s="523"/>
      <c r="D749" s="523"/>
      <c r="E749" s="524"/>
      <c r="F749" s="524"/>
      <c r="G749" s="524"/>
      <c r="H749" s="524"/>
      <c r="I749" s="523"/>
      <c r="J749" s="523"/>
      <c r="K749" s="523"/>
      <c r="L749" s="523"/>
      <c r="M749" s="523"/>
      <c r="N749" s="523"/>
      <c r="O749" s="523"/>
      <c r="P749" s="523"/>
      <c r="Q749" s="523"/>
      <c r="R749" s="523"/>
      <c r="S749" s="523"/>
      <c r="T749" s="523"/>
      <c r="U749" s="523"/>
      <c r="V749" s="523"/>
      <c r="W749" s="523"/>
      <c r="X749" s="523"/>
      <c r="Y749" s="523"/>
      <c r="Z749" s="523"/>
    </row>
    <row r="750">
      <c r="A750" s="523"/>
      <c r="B750" s="524"/>
      <c r="C750" s="523"/>
      <c r="D750" s="523"/>
      <c r="E750" s="524"/>
      <c r="F750" s="524"/>
      <c r="G750" s="524"/>
      <c r="H750" s="524"/>
      <c r="I750" s="523"/>
      <c r="J750" s="523"/>
      <c r="K750" s="523"/>
      <c r="L750" s="523"/>
      <c r="M750" s="523"/>
      <c r="N750" s="523"/>
      <c r="O750" s="523"/>
      <c r="P750" s="523"/>
      <c r="Q750" s="523"/>
      <c r="R750" s="523"/>
      <c r="S750" s="523"/>
      <c r="T750" s="523"/>
      <c r="U750" s="523"/>
      <c r="V750" s="523"/>
      <c r="W750" s="523"/>
      <c r="X750" s="523"/>
      <c r="Y750" s="523"/>
      <c r="Z750" s="523"/>
    </row>
    <row r="751">
      <c r="A751" s="523"/>
      <c r="B751" s="524"/>
      <c r="C751" s="523"/>
      <c r="D751" s="523"/>
      <c r="E751" s="524"/>
      <c r="F751" s="524"/>
      <c r="G751" s="524"/>
      <c r="H751" s="524"/>
      <c r="I751" s="523"/>
      <c r="J751" s="523"/>
      <c r="K751" s="523"/>
      <c r="L751" s="523"/>
      <c r="M751" s="523"/>
      <c r="N751" s="523"/>
      <c r="O751" s="523"/>
      <c r="P751" s="523"/>
      <c r="Q751" s="523"/>
      <c r="R751" s="523"/>
      <c r="S751" s="523"/>
      <c r="T751" s="523"/>
      <c r="U751" s="523"/>
      <c r="V751" s="523"/>
      <c r="W751" s="523"/>
      <c r="X751" s="523"/>
      <c r="Y751" s="523"/>
      <c r="Z751" s="523"/>
    </row>
    <row r="752">
      <c r="A752" s="523"/>
      <c r="B752" s="524"/>
      <c r="C752" s="523"/>
      <c r="D752" s="523"/>
      <c r="E752" s="524"/>
      <c r="F752" s="524"/>
      <c r="G752" s="524"/>
      <c r="H752" s="524"/>
      <c r="I752" s="523"/>
      <c r="J752" s="523"/>
      <c r="K752" s="523"/>
      <c r="L752" s="523"/>
      <c r="M752" s="523"/>
      <c r="N752" s="523"/>
      <c r="O752" s="523"/>
      <c r="P752" s="523"/>
      <c r="Q752" s="523"/>
      <c r="R752" s="523"/>
      <c r="S752" s="523"/>
      <c r="T752" s="523"/>
      <c r="U752" s="523"/>
      <c r="V752" s="523"/>
      <c r="W752" s="523"/>
      <c r="X752" s="523"/>
      <c r="Y752" s="523"/>
      <c r="Z752" s="523"/>
    </row>
    <row r="753">
      <c r="A753" s="523"/>
      <c r="B753" s="524"/>
      <c r="C753" s="523"/>
      <c r="D753" s="523"/>
      <c r="E753" s="524"/>
      <c r="F753" s="524"/>
      <c r="G753" s="524"/>
      <c r="H753" s="524"/>
      <c r="I753" s="523"/>
      <c r="J753" s="523"/>
      <c r="K753" s="523"/>
      <c r="L753" s="523"/>
      <c r="M753" s="523"/>
      <c r="N753" s="523"/>
      <c r="O753" s="523"/>
      <c r="P753" s="523"/>
      <c r="Q753" s="523"/>
      <c r="R753" s="523"/>
      <c r="S753" s="523"/>
      <c r="T753" s="523"/>
      <c r="U753" s="523"/>
      <c r="V753" s="523"/>
      <c r="W753" s="523"/>
      <c r="X753" s="523"/>
      <c r="Y753" s="523"/>
      <c r="Z753" s="523"/>
    </row>
    <row r="754">
      <c r="A754" s="523"/>
      <c r="B754" s="524"/>
      <c r="C754" s="523"/>
      <c r="D754" s="523"/>
      <c r="E754" s="524"/>
      <c r="F754" s="524"/>
      <c r="G754" s="524"/>
      <c r="H754" s="524"/>
      <c r="I754" s="523"/>
      <c r="J754" s="523"/>
      <c r="K754" s="523"/>
      <c r="L754" s="523"/>
      <c r="M754" s="523"/>
      <c r="N754" s="523"/>
      <c r="O754" s="523"/>
      <c r="P754" s="523"/>
      <c r="Q754" s="523"/>
      <c r="R754" s="523"/>
      <c r="S754" s="523"/>
      <c r="T754" s="523"/>
      <c r="U754" s="523"/>
      <c r="V754" s="523"/>
      <c r="W754" s="523"/>
      <c r="X754" s="523"/>
      <c r="Y754" s="523"/>
      <c r="Z754" s="523"/>
    </row>
    <row r="755">
      <c r="A755" s="523"/>
      <c r="B755" s="524"/>
      <c r="C755" s="523"/>
      <c r="D755" s="523"/>
      <c r="E755" s="524"/>
      <c r="F755" s="524"/>
      <c r="G755" s="524"/>
      <c r="H755" s="524"/>
      <c r="I755" s="523"/>
      <c r="J755" s="523"/>
      <c r="K755" s="523"/>
      <c r="L755" s="523"/>
      <c r="M755" s="523"/>
      <c r="N755" s="523"/>
      <c r="O755" s="523"/>
      <c r="P755" s="523"/>
      <c r="Q755" s="523"/>
      <c r="R755" s="523"/>
      <c r="S755" s="523"/>
      <c r="T755" s="523"/>
      <c r="U755" s="523"/>
      <c r="V755" s="523"/>
      <c r="W755" s="523"/>
      <c r="X755" s="523"/>
      <c r="Y755" s="523"/>
      <c r="Z755" s="523"/>
    </row>
    <row r="756">
      <c r="A756" s="523"/>
      <c r="B756" s="524"/>
      <c r="C756" s="523"/>
      <c r="D756" s="523"/>
      <c r="E756" s="524"/>
      <c r="F756" s="524"/>
      <c r="G756" s="524"/>
      <c r="H756" s="524"/>
      <c r="I756" s="523"/>
      <c r="J756" s="523"/>
      <c r="K756" s="523"/>
      <c r="L756" s="523"/>
      <c r="M756" s="523"/>
      <c r="N756" s="523"/>
      <c r="O756" s="523"/>
      <c r="P756" s="523"/>
      <c r="Q756" s="523"/>
      <c r="R756" s="523"/>
      <c r="S756" s="523"/>
      <c r="T756" s="523"/>
      <c r="U756" s="523"/>
      <c r="V756" s="523"/>
      <c r="W756" s="523"/>
      <c r="X756" s="523"/>
      <c r="Y756" s="523"/>
      <c r="Z756" s="523"/>
    </row>
    <row r="757">
      <c r="A757" s="523"/>
      <c r="B757" s="524"/>
      <c r="C757" s="523"/>
      <c r="D757" s="523"/>
      <c r="E757" s="524"/>
      <c r="F757" s="524"/>
      <c r="G757" s="524"/>
      <c r="H757" s="524"/>
      <c r="I757" s="523"/>
      <c r="J757" s="523"/>
      <c r="K757" s="523"/>
      <c r="L757" s="523"/>
      <c r="M757" s="523"/>
      <c r="N757" s="523"/>
      <c r="O757" s="523"/>
      <c r="P757" s="523"/>
      <c r="Q757" s="523"/>
      <c r="R757" s="523"/>
      <c r="S757" s="523"/>
      <c r="T757" s="523"/>
      <c r="U757" s="523"/>
      <c r="V757" s="523"/>
      <c r="W757" s="523"/>
      <c r="X757" s="523"/>
      <c r="Y757" s="523"/>
      <c r="Z757" s="523"/>
    </row>
    <row r="758">
      <c r="A758" s="523"/>
      <c r="B758" s="524"/>
      <c r="C758" s="523"/>
      <c r="D758" s="523"/>
      <c r="E758" s="524"/>
      <c r="F758" s="524"/>
      <c r="G758" s="524"/>
      <c r="H758" s="524"/>
      <c r="I758" s="523"/>
      <c r="J758" s="523"/>
      <c r="K758" s="523"/>
      <c r="L758" s="523"/>
      <c r="M758" s="523"/>
      <c r="N758" s="523"/>
      <c r="O758" s="523"/>
      <c r="P758" s="523"/>
      <c r="Q758" s="523"/>
      <c r="R758" s="523"/>
      <c r="S758" s="523"/>
      <c r="T758" s="523"/>
      <c r="U758" s="523"/>
      <c r="V758" s="523"/>
      <c r="W758" s="523"/>
      <c r="X758" s="523"/>
      <c r="Y758" s="523"/>
      <c r="Z758" s="523"/>
    </row>
    <row r="759">
      <c r="A759" s="523"/>
      <c r="B759" s="524"/>
      <c r="C759" s="523"/>
      <c r="D759" s="523"/>
      <c r="E759" s="524"/>
      <c r="F759" s="524"/>
      <c r="G759" s="524"/>
      <c r="H759" s="524"/>
      <c r="I759" s="523"/>
      <c r="J759" s="523"/>
      <c r="K759" s="523"/>
      <c r="L759" s="523"/>
      <c r="M759" s="523"/>
      <c r="N759" s="523"/>
      <c r="O759" s="523"/>
      <c r="P759" s="523"/>
      <c r="Q759" s="523"/>
      <c r="R759" s="523"/>
      <c r="S759" s="523"/>
      <c r="T759" s="523"/>
      <c r="U759" s="523"/>
      <c r="V759" s="523"/>
      <c r="W759" s="523"/>
      <c r="X759" s="523"/>
      <c r="Y759" s="523"/>
      <c r="Z759" s="523"/>
    </row>
    <row r="760">
      <c r="A760" s="523"/>
      <c r="B760" s="524"/>
      <c r="C760" s="523"/>
      <c r="D760" s="523"/>
      <c r="E760" s="524"/>
      <c r="F760" s="524"/>
      <c r="G760" s="524"/>
      <c r="H760" s="524"/>
      <c r="I760" s="523"/>
      <c r="J760" s="523"/>
      <c r="K760" s="523"/>
      <c r="L760" s="523"/>
      <c r="M760" s="523"/>
      <c r="N760" s="523"/>
      <c r="O760" s="523"/>
      <c r="P760" s="523"/>
      <c r="Q760" s="523"/>
      <c r="R760" s="523"/>
      <c r="S760" s="523"/>
      <c r="T760" s="523"/>
      <c r="U760" s="523"/>
      <c r="V760" s="523"/>
      <c r="W760" s="523"/>
      <c r="X760" s="523"/>
      <c r="Y760" s="523"/>
      <c r="Z760" s="523"/>
    </row>
    <row r="761">
      <c r="A761" s="523"/>
      <c r="B761" s="524"/>
      <c r="C761" s="523"/>
      <c r="D761" s="523"/>
      <c r="E761" s="524"/>
      <c r="F761" s="524"/>
      <c r="G761" s="524"/>
      <c r="H761" s="524"/>
      <c r="I761" s="523"/>
      <c r="J761" s="523"/>
      <c r="K761" s="523"/>
      <c r="L761" s="523"/>
      <c r="M761" s="523"/>
      <c r="N761" s="523"/>
      <c r="O761" s="523"/>
      <c r="P761" s="523"/>
      <c r="Q761" s="523"/>
      <c r="R761" s="523"/>
      <c r="S761" s="523"/>
      <c r="T761" s="523"/>
      <c r="U761" s="523"/>
      <c r="V761" s="523"/>
      <c r="W761" s="523"/>
      <c r="X761" s="523"/>
      <c r="Y761" s="523"/>
      <c r="Z761" s="523"/>
    </row>
    <row r="762">
      <c r="A762" s="523"/>
      <c r="B762" s="524"/>
      <c r="C762" s="523"/>
      <c r="D762" s="523"/>
      <c r="E762" s="524"/>
      <c r="F762" s="524"/>
      <c r="G762" s="524"/>
      <c r="H762" s="524"/>
      <c r="I762" s="523"/>
      <c r="J762" s="523"/>
      <c r="K762" s="523"/>
      <c r="L762" s="523"/>
      <c r="M762" s="523"/>
      <c r="N762" s="523"/>
      <c r="O762" s="523"/>
      <c r="P762" s="523"/>
      <c r="Q762" s="523"/>
      <c r="R762" s="523"/>
      <c r="S762" s="523"/>
      <c r="T762" s="523"/>
      <c r="U762" s="523"/>
      <c r="V762" s="523"/>
      <c r="W762" s="523"/>
      <c r="X762" s="523"/>
      <c r="Y762" s="523"/>
      <c r="Z762" s="523"/>
    </row>
    <row r="763">
      <c r="A763" s="523"/>
      <c r="B763" s="524"/>
      <c r="C763" s="523"/>
      <c r="D763" s="523"/>
      <c r="E763" s="524"/>
      <c r="F763" s="524"/>
      <c r="G763" s="524"/>
      <c r="H763" s="524"/>
      <c r="I763" s="523"/>
      <c r="J763" s="523"/>
      <c r="K763" s="523"/>
      <c r="L763" s="523"/>
      <c r="M763" s="523"/>
      <c r="N763" s="523"/>
      <c r="O763" s="523"/>
      <c r="P763" s="523"/>
      <c r="Q763" s="523"/>
      <c r="R763" s="523"/>
      <c r="S763" s="523"/>
      <c r="T763" s="523"/>
      <c r="U763" s="523"/>
      <c r="V763" s="523"/>
      <c r="W763" s="523"/>
      <c r="X763" s="523"/>
      <c r="Y763" s="523"/>
      <c r="Z763" s="523"/>
    </row>
    <row r="764">
      <c r="A764" s="523"/>
      <c r="B764" s="524"/>
      <c r="C764" s="523"/>
      <c r="D764" s="523"/>
      <c r="E764" s="524"/>
      <c r="F764" s="524"/>
      <c r="G764" s="524"/>
      <c r="H764" s="524"/>
      <c r="I764" s="523"/>
      <c r="J764" s="523"/>
      <c r="K764" s="523"/>
      <c r="L764" s="523"/>
      <c r="M764" s="523"/>
      <c r="N764" s="523"/>
      <c r="O764" s="523"/>
      <c r="P764" s="523"/>
      <c r="Q764" s="523"/>
      <c r="R764" s="523"/>
      <c r="S764" s="523"/>
      <c r="T764" s="523"/>
      <c r="U764" s="523"/>
      <c r="V764" s="523"/>
      <c r="W764" s="523"/>
      <c r="X764" s="523"/>
      <c r="Y764" s="523"/>
      <c r="Z764" s="523"/>
    </row>
    <row r="765">
      <c r="A765" s="523"/>
      <c r="B765" s="524"/>
      <c r="C765" s="523"/>
      <c r="D765" s="523"/>
      <c r="E765" s="524"/>
      <c r="F765" s="524"/>
      <c r="G765" s="524"/>
      <c r="H765" s="524"/>
      <c r="I765" s="523"/>
      <c r="J765" s="523"/>
      <c r="K765" s="523"/>
      <c r="L765" s="523"/>
      <c r="M765" s="523"/>
      <c r="N765" s="523"/>
      <c r="O765" s="523"/>
      <c r="P765" s="523"/>
      <c r="Q765" s="523"/>
      <c r="R765" s="523"/>
      <c r="S765" s="523"/>
      <c r="T765" s="523"/>
      <c r="U765" s="523"/>
      <c r="V765" s="523"/>
      <c r="W765" s="523"/>
      <c r="X765" s="523"/>
      <c r="Y765" s="523"/>
      <c r="Z765" s="523"/>
    </row>
    <row r="766">
      <c r="A766" s="523"/>
      <c r="B766" s="524"/>
      <c r="C766" s="523"/>
      <c r="D766" s="523"/>
      <c r="E766" s="524"/>
      <c r="F766" s="524"/>
      <c r="G766" s="524"/>
      <c r="H766" s="524"/>
      <c r="I766" s="523"/>
      <c r="J766" s="523"/>
      <c r="K766" s="523"/>
      <c r="L766" s="523"/>
      <c r="M766" s="523"/>
      <c r="N766" s="523"/>
      <c r="O766" s="523"/>
      <c r="P766" s="523"/>
      <c r="Q766" s="523"/>
      <c r="R766" s="523"/>
      <c r="S766" s="523"/>
      <c r="T766" s="523"/>
      <c r="U766" s="523"/>
      <c r="V766" s="523"/>
      <c r="W766" s="523"/>
      <c r="X766" s="523"/>
      <c r="Y766" s="523"/>
      <c r="Z766" s="523"/>
    </row>
    <row r="767">
      <c r="A767" s="523"/>
      <c r="B767" s="524"/>
      <c r="C767" s="523"/>
      <c r="D767" s="523"/>
      <c r="E767" s="524"/>
      <c r="F767" s="524"/>
      <c r="G767" s="524"/>
      <c r="H767" s="524"/>
      <c r="I767" s="523"/>
      <c r="J767" s="523"/>
      <c r="K767" s="523"/>
      <c r="L767" s="523"/>
      <c r="M767" s="523"/>
      <c r="N767" s="523"/>
      <c r="O767" s="523"/>
      <c r="P767" s="523"/>
      <c r="Q767" s="523"/>
      <c r="R767" s="523"/>
      <c r="S767" s="523"/>
      <c r="T767" s="523"/>
      <c r="U767" s="523"/>
      <c r="V767" s="523"/>
      <c r="W767" s="523"/>
      <c r="X767" s="523"/>
      <c r="Y767" s="523"/>
      <c r="Z767" s="523"/>
    </row>
    <row r="768">
      <c r="A768" s="523"/>
      <c r="B768" s="524"/>
      <c r="C768" s="523"/>
      <c r="D768" s="523"/>
      <c r="E768" s="524"/>
      <c r="F768" s="524"/>
      <c r="G768" s="524"/>
      <c r="H768" s="524"/>
      <c r="I768" s="523"/>
      <c r="J768" s="523"/>
      <c r="K768" s="523"/>
      <c r="L768" s="523"/>
      <c r="M768" s="523"/>
      <c r="N768" s="523"/>
      <c r="O768" s="523"/>
      <c r="P768" s="523"/>
      <c r="Q768" s="523"/>
      <c r="R768" s="523"/>
      <c r="S768" s="523"/>
      <c r="T768" s="523"/>
      <c r="U768" s="523"/>
      <c r="V768" s="523"/>
      <c r="W768" s="523"/>
      <c r="X768" s="523"/>
      <c r="Y768" s="523"/>
      <c r="Z768" s="523"/>
    </row>
    <row r="769">
      <c r="A769" s="523"/>
      <c r="B769" s="524"/>
      <c r="C769" s="523"/>
      <c r="D769" s="523"/>
      <c r="E769" s="524"/>
      <c r="F769" s="524"/>
      <c r="G769" s="524"/>
      <c r="H769" s="524"/>
      <c r="I769" s="523"/>
      <c r="J769" s="523"/>
      <c r="K769" s="523"/>
      <c r="L769" s="523"/>
      <c r="M769" s="523"/>
      <c r="N769" s="523"/>
      <c r="O769" s="523"/>
      <c r="P769" s="523"/>
      <c r="Q769" s="523"/>
      <c r="R769" s="523"/>
      <c r="S769" s="523"/>
      <c r="T769" s="523"/>
      <c r="U769" s="523"/>
      <c r="V769" s="523"/>
      <c r="W769" s="523"/>
      <c r="X769" s="523"/>
      <c r="Y769" s="523"/>
      <c r="Z769" s="523"/>
    </row>
    <row r="770">
      <c r="A770" s="523"/>
      <c r="B770" s="524"/>
      <c r="C770" s="523"/>
      <c r="D770" s="523"/>
      <c r="E770" s="524"/>
      <c r="F770" s="524"/>
      <c r="G770" s="524"/>
      <c r="H770" s="524"/>
      <c r="I770" s="523"/>
      <c r="J770" s="523"/>
      <c r="K770" s="523"/>
      <c r="L770" s="523"/>
      <c r="M770" s="523"/>
      <c r="N770" s="523"/>
      <c r="O770" s="523"/>
      <c r="P770" s="523"/>
      <c r="Q770" s="523"/>
      <c r="R770" s="523"/>
      <c r="S770" s="523"/>
      <c r="T770" s="523"/>
      <c r="U770" s="523"/>
      <c r="V770" s="523"/>
      <c r="W770" s="523"/>
      <c r="X770" s="523"/>
      <c r="Y770" s="523"/>
      <c r="Z770" s="523"/>
    </row>
    <row r="771">
      <c r="A771" s="523"/>
      <c r="B771" s="524"/>
      <c r="C771" s="523"/>
      <c r="D771" s="523"/>
      <c r="E771" s="524"/>
      <c r="F771" s="524"/>
      <c r="G771" s="524"/>
      <c r="H771" s="524"/>
      <c r="I771" s="523"/>
      <c r="J771" s="523"/>
      <c r="K771" s="523"/>
      <c r="L771" s="523"/>
      <c r="M771" s="523"/>
      <c r="N771" s="523"/>
      <c r="O771" s="523"/>
      <c r="P771" s="523"/>
      <c r="Q771" s="523"/>
      <c r="R771" s="523"/>
      <c r="S771" s="523"/>
      <c r="T771" s="523"/>
      <c r="U771" s="523"/>
      <c r="V771" s="523"/>
      <c r="W771" s="523"/>
      <c r="X771" s="523"/>
      <c r="Y771" s="523"/>
      <c r="Z771" s="523"/>
    </row>
    <row r="772">
      <c r="A772" s="523"/>
      <c r="B772" s="524"/>
      <c r="C772" s="523"/>
      <c r="D772" s="523"/>
      <c r="E772" s="524"/>
      <c r="F772" s="524"/>
      <c r="G772" s="524"/>
      <c r="H772" s="524"/>
      <c r="I772" s="523"/>
      <c r="J772" s="523"/>
      <c r="K772" s="523"/>
      <c r="L772" s="523"/>
      <c r="M772" s="523"/>
      <c r="N772" s="523"/>
      <c r="O772" s="523"/>
      <c r="P772" s="523"/>
      <c r="Q772" s="523"/>
      <c r="R772" s="523"/>
      <c r="S772" s="523"/>
      <c r="T772" s="523"/>
      <c r="U772" s="523"/>
      <c r="V772" s="523"/>
      <c r="W772" s="523"/>
      <c r="X772" s="523"/>
      <c r="Y772" s="523"/>
      <c r="Z772" s="523"/>
    </row>
    <row r="773">
      <c r="A773" s="523"/>
      <c r="B773" s="524"/>
      <c r="C773" s="523"/>
      <c r="D773" s="523"/>
      <c r="E773" s="524"/>
      <c r="F773" s="524"/>
      <c r="G773" s="524"/>
      <c r="H773" s="524"/>
      <c r="I773" s="523"/>
      <c r="J773" s="523"/>
      <c r="K773" s="523"/>
      <c r="L773" s="523"/>
      <c r="M773" s="523"/>
      <c r="N773" s="523"/>
      <c r="O773" s="523"/>
      <c r="P773" s="523"/>
      <c r="Q773" s="523"/>
      <c r="R773" s="523"/>
      <c r="S773" s="523"/>
      <c r="T773" s="523"/>
      <c r="U773" s="523"/>
      <c r="V773" s="523"/>
      <c r="W773" s="523"/>
      <c r="X773" s="523"/>
      <c r="Y773" s="523"/>
      <c r="Z773" s="523"/>
    </row>
    <row r="774">
      <c r="A774" s="523"/>
      <c r="B774" s="524"/>
      <c r="C774" s="523"/>
      <c r="D774" s="523"/>
      <c r="E774" s="524"/>
      <c r="F774" s="524"/>
      <c r="G774" s="524"/>
      <c r="H774" s="524"/>
      <c r="I774" s="523"/>
      <c r="J774" s="523"/>
      <c r="K774" s="523"/>
      <c r="L774" s="523"/>
      <c r="M774" s="523"/>
      <c r="N774" s="523"/>
      <c r="O774" s="523"/>
      <c r="P774" s="523"/>
      <c r="Q774" s="523"/>
      <c r="R774" s="523"/>
      <c r="S774" s="523"/>
      <c r="T774" s="523"/>
      <c r="U774" s="523"/>
      <c r="V774" s="523"/>
      <c r="W774" s="523"/>
      <c r="X774" s="523"/>
      <c r="Y774" s="523"/>
      <c r="Z774" s="523"/>
    </row>
    <row r="775">
      <c r="A775" s="523"/>
      <c r="B775" s="524"/>
      <c r="C775" s="523"/>
      <c r="D775" s="523"/>
      <c r="E775" s="524"/>
      <c r="F775" s="524"/>
      <c r="G775" s="524"/>
      <c r="H775" s="524"/>
      <c r="I775" s="523"/>
      <c r="J775" s="523"/>
      <c r="K775" s="523"/>
      <c r="L775" s="523"/>
      <c r="M775" s="523"/>
      <c r="N775" s="523"/>
      <c r="O775" s="523"/>
      <c r="P775" s="523"/>
      <c r="Q775" s="523"/>
      <c r="R775" s="523"/>
      <c r="S775" s="523"/>
      <c r="T775" s="523"/>
      <c r="U775" s="523"/>
      <c r="V775" s="523"/>
      <c r="W775" s="523"/>
      <c r="X775" s="523"/>
      <c r="Y775" s="523"/>
      <c r="Z775" s="523"/>
    </row>
    <row r="776">
      <c r="A776" s="523"/>
      <c r="B776" s="524"/>
      <c r="C776" s="523"/>
      <c r="D776" s="523"/>
      <c r="E776" s="524"/>
      <c r="F776" s="524"/>
      <c r="G776" s="524"/>
      <c r="H776" s="524"/>
      <c r="I776" s="523"/>
      <c r="J776" s="523"/>
      <c r="K776" s="523"/>
      <c r="L776" s="523"/>
      <c r="M776" s="523"/>
      <c r="N776" s="523"/>
      <c r="O776" s="523"/>
      <c r="P776" s="523"/>
      <c r="Q776" s="523"/>
      <c r="R776" s="523"/>
      <c r="S776" s="523"/>
      <c r="T776" s="523"/>
      <c r="U776" s="523"/>
      <c r="V776" s="523"/>
      <c r="W776" s="523"/>
      <c r="X776" s="523"/>
      <c r="Y776" s="523"/>
      <c r="Z776" s="523"/>
    </row>
    <row r="777">
      <c r="A777" s="523"/>
      <c r="B777" s="524"/>
      <c r="C777" s="523"/>
      <c r="D777" s="523"/>
      <c r="E777" s="524"/>
      <c r="F777" s="524"/>
      <c r="G777" s="524"/>
      <c r="H777" s="524"/>
      <c r="I777" s="523"/>
      <c r="J777" s="523"/>
      <c r="K777" s="523"/>
      <c r="L777" s="523"/>
      <c r="M777" s="523"/>
      <c r="N777" s="523"/>
      <c r="O777" s="523"/>
      <c r="P777" s="523"/>
      <c r="Q777" s="523"/>
      <c r="R777" s="523"/>
      <c r="S777" s="523"/>
      <c r="T777" s="523"/>
      <c r="U777" s="523"/>
      <c r="V777" s="523"/>
      <c r="W777" s="523"/>
      <c r="X777" s="523"/>
      <c r="Y777" s="523"/>
      <c r="Z777" s="523"/>
    </row>
    <row r="778">
      <c r="A778" s="523"/>
      <c r="B778" s="524"/>
      <c r="C778" s="523"/>
      <c r="D778" s="523"/>
      <c r="E778" s="524"/>
      <c r="F778" s="524"/>
      <c r="G778" s="524"/>
      <c r="H778" s="524"/>
      <c r="I778" s="523"/>
      <c r="J778" s="523"/>
      <c r="K778" s="523"/>
      <c r="L778" s="523"/>
      <c r="M778" s="523"/>
      <c r="N778" s="523"/>
      <c r="O778" s="523"/>
      <c r="P778" s="523"/>
      <c r="Q778" s="523"/>
      <c r="R778" s="523"/>
      <c r="S778" s="523"/>
      <c r="T778" s="523"/>
      <c r="U778" s="523"/>
      <c r="V778" s="523"/>
      <c r="W778" s="523"/>
      <c r="X778" s="523"/>
      <c r="Y778" s="523"/>
      <c r="Z778" s="523"/>
    </row>
    <row r="779">
      <c r="A779" s="523"/>
      <c r="B779" s="524"/>
      <c r="C779" s="523"/>
      <c r="D779" s="523"/>
      <c r="E779" s="524"/>
      <c r="F779" s="524"/>
      <c r="G779" s="524"/>
      <c r="H779" s="524"/>
      <c r="I779" s="523"/>
      <c r="J779" s="523"/>
      <c r="K779" s="523"/>
      <c r="L779" s="523"/>
      <c r="M779" s="523"/>
      <c r="N779" s="523"/>
      <c r="O779" s="523"/>
      <c r="P779" s="523"/>
      <c r="Q779" s="523"/>
      <c r="R779" s="523"/>
      <c r="S779" s="523"/>
      <c r="T779" s="523"/>
      <c r="U779" s="523"/>
      <c r="V779" s="523"/>
      <c r="W779" s="523"/>
      <c r="X779" s="523"/>
      <c r="Y779" s="523"/>
      <c r="Z779" s="523"/>
    </row>
    <row r="780">
      <c r="A780" s="523"/>
      <c r="B780" s="524"/>
      <c r="C780" s="523"/>
      <c r="D780" s="523"/>
      <c r="E780" s="524"/>
      <c r="F780" s="524"/>
      <c r="G780" s="524"/>
      <c r="H780" s="524"/>
      <c r="I780" s="523"/>
      <c r="J780" s="523"/>
      <c r="K780" s="523"/>
      <c r="L780" s="523"/>
      <c r="M780" s="523"/>
      <c r="N780" s="523"/>
      <c r="O780" s="523"/>
      <c r="P780" s="523"/>
      <c r="Q780" s="523"/>
      <c r="R780" s="523"/>
      <c r="S780" s="523"/>
      <c r="T780" s="523"/>
      <c r="U780" s="523"/>
      <c r="V780" s="523"/>
      <c r="W780" s="523"/>
      <c r="X780" s="523"/>
      <c r="Y780" s="523"/>
      <c r="Z780" s="523"/>
    </row>
    <row r="781">
      <c r="A781" s="523"/>
      <c r="B781" s="524"/>
      <c r="C781" s="523"/>
      <c r="D781" s="523"/>
      <c r="E781" s="524"/>
      <c r="F781" s="524"/>
      <c r="G781" s="524"/>
      <c r="H781" s="524"/>
      <c r="I781" s="523"/>
      <c r="J781" s="523"/>
      <c r="K781" s="523"/>
      <c r="L781" s="523"/>
      <c r="M781" s="523"/>
      <c r="N781" s="523"/>
      <c r="O781" s="523"/>
      <c r="P781" s="523"/>
      <c r="Q781" s="523"/>
      <c r="R781" s="523"/>
      <c r="S781" s="523"/>
      <c r="T781" s="523"/>
      <c r="U781" s="523"/>
      <c r="V781" s="523"/>
      <c r="W781" s="523"/>
      <c r="X781" s="523"/>
      <c r="Y781" s="523"/>
      <c r="Z781" s="523"/>
    </row>
    <row r="782">
      <c r="A782" s="523"/>
      <c r="B782" s="524"/>
      <c r="C782" s="523"/>
      <c r="D782" s="523"/>
      <c r="E782" s="524"/>
      <c r="F782" s="524"/>
      <c r="G782" s="524"/>
      <c r="H782" s="524"/>
      <c r="I782" s="523"/>
      <c r="J782" s="523"/>
      <c r="K782" s="523"/>
      <c r="L782" s="523"/>
      <c r="M782" s="523"/>
      <c r="N782" s="523"/>
      <c r="O782" s="523"/>
      <c r="P782" s="523"/>
      <c r="Q782" s="523"/>
      <c r="R782" s="523"/>
      <c r="S782" s="523"/>
      <c r="T782" s="523"/>
      <c r="U782" s="523"/>
      <c r="V782" s="523"/>
      <c r="W782" s="523"/>
      <c r="X782" s="523"/>
      <c r="Y782" s="523"/>
      <c r="Z782" s="523"/>
    </row>
    <row r="783">
      <c r="A783" s="523"/>
      <c r="B783" s="524"/>
      <c r="C783" s="523"/>
      <c r="D783" s="523"/>
      <c r="E783" s="524"/>
      <c r="F783" s="524"/>
      <c r="G783" s="524"/>
      <c r="H783" s="524"/>
      <c r="I783" s="523"/>
      <c r="J783" s="523"/>
      <c r="K783" s="523"/>
      <c r="L783" s="523"/>
      <c r="M783" s="523"/>
      <c r="N783" s="523"/>
      <c r="O783" s="523"/>
      <c r="P783" s="523"/>
      <c r="Q783" s="523"/>
      <c r="R783" s="523"/>
      <c r="S783" s="523"/>
      <c r="T783" s="523"/>
      <c r="U783" s="523"/>
      <c r="V783" s="523"/>
      <c r="W783" s="523"/>
      <c r="X783" s="523"/>
      <c r="Y783" s="523"/>
      <c r="Z783" s="523"/>
    </row>
    <row r="784">
      <c r="A784" s="523"/>
      <c r="B784" s="524"/>
      <c r="C784" s="523"/>
      <c r="D784" s="523"/>
      <c r="E784" s="524"/>
      <c r="F784" s="524"/>
      <c r="G784" s="524"/>
      <c r="H784" s="524"/>
      <c r="I784" s="523"/>
      <c r="J784" s="523"/>
      <c r="K784" s="523"/>
      <c r="L784" s="523"/>
      <c r="M784" s="523"/>
      <c r="N784" s="523"/>
      <c r="O784" s="523"/>
      <c r="P784" s="523"/>
      <c r="Q784" s="523"/>
      <c r="R784" s="523"/>
      <c r="S784" s="523"/>
      <c r="T784" s="523"/>
      <c r="U784" s="523"/>
      <c r="V784" s="523"/>
      <c r="W784" s="523"/>
      <c r="X784" s="523"/>
      <c r="Y784" s="523"/>
      <c r="Z784" s="523"/>
    </row>
    <row r="785">
      <c r="A785" s="523"/>
      <c r="B785" s="524"/>
      <c r="C785" s="523"/>
      <c r="D785" s="523"/>
      <c r="E785" s="524"/>
      <c r="F785" s="524"/>
      <c r="G785" s="524"/>
      <c r="H785" s="524"/>
      <c r="I785" s="523"/>
      <c r="J785" s="523"/>
      <c r="K785" s="523"/>
      <c r="L785" s="523"/>
      <c r="M785" s="523"/>
      <c r="N785" s="523"/>
      <c r="O785" s="523"/>
      <c r="P785" s="523"/>
      <c r="Q785" s="523"/>
      <c r="R785" s="523"/>
      <c r="S785" s="523"/>
      <c r="T785" s="523"/>
      <c r="U785" s="523"/>
      <c r="V785" s="523"/>
      <c r="W785" s="523"/>
      <c r="X785" s="523"/>
      <c r="Y785" s="523"/>
      <c r="Z785" s="523"/>
    </row>
    <row r="786">
      <c r="A786" s="523"/>
      <c r="B786" s="524"/>
      <c r="C786" s="523"/>
      <c r="D786" s="523"/>
      <c r="E786" s="524"/>
      <c r="F786" s="524"/>
      <c r="G786" s="524"/>
      <c r="H786" s="524"/>
      <c r="I786" s="523"/>
      <c r="J786" s="523"/>
      <c r="K786" s="523"/>
      <c r="L786" s="523"/>
      <c r="M786" s="523"/>
      <c r="N786" s="523"/>
      <c r="O786" s="523"/>
      <c r="P786" s="523"/>
      <c r="Q786" s="523"/>
      <c r="R786" s="523"/>
      <c r="S786" s="523"/>
      <c r="T786" s="523"/>
      <c r="U786" s="523"/>
      <c r="V786" s="523"/>
      <c r="W786" s="523"/>
      <c r="X786" s="523"/>
      <c r="Y786" s="523"/>
      <c r="Z786" s="523"/>
    </row>
    <row r="787">
      <c r="A787" s="523"/>
      <c r="B787" s="524"/>
      <c r="C787" s="523"/>
      <c r="D787" s="523"/>
      <c r="E787" s="524"/>
      <c r="F787" s="524"/>
      <c r="G787" s="524"/>
      <c r="H787" s="524"/>
      <c r="I787" s="523"/>
      <c r="J787" s="523"/>
      <c r="K787" s="523"/>
      <c r="L787" s="523"/>
      <c r="M787" s="523"/>
      <c r="N787" s="523"/>
      <c r="O787" s="523"/>
      <c r="P787" s="523"/>
      <c r="Q787" s="523"/>
      <c r="R787" s="523"/>
      <c r="S787" s="523"/>
      <c r="T787" s="523"/>
      <c r="U787" s="523"/>
      <c r="V787" s="523"/>
      <c r="W787" s="523"/>
      <c r="X787" s="523"/>
      <c r="Y787" s="523"/>
      <c r="Z787" s="523"/>
    </row>
    <row r="788">
      <c r="A788" s="523"/>
      <c r="B788" s="524"/>
      <c r="C788" s="523"/>
      <c r="D788" s="523"/>
      <c r="E788" s="524"/>
      <c r="F788" s="524"/>
      <c r="G788" s="524"/>
      <c r="H788" s="524"/>
      <c r="I788" s="523"/>
      <c r="J788" s="523"/>
      <c r="K788" s="523"/>
      <c r="L788" s="523"/>
      <c r="M788" s="523"/>
      <c r="N788" s="523"/>
      <c r="O788" s="523"/>
      <c r="P788" s="523"/>
      <c r="Q788" s="523"/>
      <c r="R788" s="523"/>
      <c r="S788" s="523"/>
      <c r="T788" s="523"/>
      <c r="U788" s="523"/>
      <c r="V788" s="523"/>
      <c r="W788" s="523"/>
      <c r="X788" s="523"/>
      <c r="Y788" s="523"/>
      <c r="Z788" s="523"/>
    </row>
    <row r="789">
      <c r="A789" s="523"/>
      <c r="B789" s="524"/>
      <c r="C789" s="523"/>
      <c r="D789" s="523"/>
      <c r="E789" s="524"/>
      <c r="F789" s="524"/>
      <c r="G789" s="524"/>
      <c r="H789" s="524"/>
      <c r="I789" s="523"/>
      <c r="J789" s="523"/>
      <c r="K789" s="523"/>
      <c r="L789" s="523"/>
      <c r="M789" s="523"/>
      <c r="N789" s="523"/>
      <c r="O789" s="523"/>
      <c r="P789" s="523"/>
      <c r="Q789" s="523"/>
      <c r="R789" s="523"/>
      <c r="S789" s="523"/>
      <c r="T789" s="523"/>
      <c r="U789" s="523"/>
      <c r="V789" s="523"/>
      <c r="W789" s="523"/>
      <c r="X789" s="523"/>
      <c r="Y789" s="523"/>
      <c r="Z789" s="523"/>
    </row>
    <row r="790">
      <c r="A790" s="523"/>
      <c r="B790" s="524"/>
      <c r="C790" s="523"/>
      <c r="D790" s="523"/>
      <c r="E790" s="524"/>
      <c r="F790" s="524"/>
      <c r="G790" s="524"/>
      <c r="H790" s="524"/>
      <c r="I790" s="523"/>
      <c r="J790" s="523"/>
      <c r="K790" s="523"/>
      <c r="L790" s="523"/>
      <c r="M790" s="523"/>
      <c r="N790" s="523"/>
      <c r="O790" s="523"/>
      <c r="P790" s="523"/>
      <c r="Q790" s="523"/>
      <c r="R790" s="523"/>
      <c r="S790" s="523"/>
      <c r="T790" s="523"/>
      <c r="U790" s="523"/>
      <c r="V790" s="523"/>
      <c r="W790" s="523"/>
      <c r="X790" s="523"/>
      <c r="Y790" s="523"/>
      <c r="Z790" s="523"/>
    </row>
    <row r="791">
      <c r="A791" s="523"/>
      <c r="B791" s="524"/>
      <c r="C791" s="523"/>
      <c r="D791" s="523"/>
      <c r="E791" s="524"/>
      <c r="F791" s="524"/>
      <c r="G791" s="524"/>
      <c r="H791" s="524"/>
      <c r="I791" s="523"/>
      <c r="J791" s="523"/>
      <c r="K791" s="523"/>
      <c r="L791" s="523"/>
      <c r="M791" s="523"/>
      <c r="N791" s="523"/>
      <c r="O791" s="523"/>
      <c r="P791" s="523"/>
      <c r="Q791" s="523"/>
      <c r="R791" s="523"/>
      <c r="S791" s="523"/>
      <c r="T791" s="523"/>
      <c r="U791" s="523"/>
      <c r="V791" s="523"/>
      <c r="W791" s="523"/>
      <c r="X791" s="523"/>
      <c r="Y791" s="523"/>
      <c r="Z791" s="523"/>
    </row>
    <row r="792">
      <c r="A792" s="523"/>
      <c r="B792" s="524"/>
      <c r="C792" s="523"/>
      <c r="D792" s="523"/>
      <c r="E792" s="524"/>
      <c r="F792" s="524"/>
      <c r="G792" s="524"/>
      <c r="H792" s="524"/>
      <c r="I792" s="523"/>
      <c r="J792" s="523"/>
      <c r="K792" s="523"/>
      <c r="L792" s="523"/>
      <c r="M792" s="523"/>
      <c r="N792" s="523"/>
      <c r="O792" s="523"/>
      <c r="P792" s="523"/>
      <c r="Q792" s="523"/>
      <c r="R792" s="523"/>
      <c r="S792" s="523"/>
      <c r="T792" s="523"/>
      <c r="U792" s="523"/>
      <c r="V792" s="523"/>
      <c r="W792" s="523"/>
      <c r="X792" s="523"/>
      <c r="Y792" s="523"/>
      <c r="Z792" s="523"/>
    </row>
    <row r="793">
      <c r="A793" s="523"/>
      <c r="B793" s="524"/>
      <c r="C793" s="523"/>
      <c r="D793" s="523"/>
      <c r="E793" s="524"/>
      <c r="F793" s="524"/>
      <c r="G793" s="524"/>
      <c r="H793" s="524"/>
      <c r="I793" s="523"/>
      <c r="J793" s="523"/>
      <c r="K793" s="523"/>
      <c r="L793" s="523"/>
      <c r="M793" s="523"/>
      <c r="N793" s="523"/>
      <c r="O793" s="523"/>
      <c r="P793" s="523"/>
      <c r="Q793" s="523"/>
      <c r="R793" s="523"/>
      <c r="S793" s="523"/>
      <c r="T793" s="523"/>
      <c r="U793" s="523"/>
      <c r="V793" s="523"/>
      <c r="W793" s="523"/>
      <c r="X793" s="523"/>
      <c r="Y793" s="523"/>
      <c r="Z793" s="523"/>
    </row>
    <row r="794">
      <c r="A794" s="523"/>
      <c r="B794" s="524"/>
      <c r="C794" s="523"/>
      <c r="D794" s="523"/>
      <c r="E794" s="524"/>
      <c r="F794" s="524"/>
      <c r="G794" s="524"/>
      <c r="H794" s="524"/>
      <c r="I794" s="523"/>
      <c r="J794" s="523"/>
      <c r="K794" s="523"/>
      <c r="L794" s="523"/>
      <c r="M794" s="523"/>
      <c r="N794" s="523"/>
      <c r="O794" s="523"/>
      <c r="P794" s="523"/>
      <c r="Q794" s="523"/>
      <c r="R794" s="523"/>
      <c r="S794" s="523"/>
      <c r="T794" s="523"/>
      <c r="U794" s="523"/>
      <c r="V794" s="523"/>
      <c r="W794" s="523"/>
      <c r="X794" s="523"/>
      <c r="Y794" s="523"/>
      <c r="Z794" s="523"/>
    </row>
    <row r="795">
      <c r="A795" s="523"/>
      <c r="B795" s="524"/>
      <c r="C795" s="523"/>
      <c r="D795" s="523"/>
      <c r="E795" s="524"/>
      <c r="F795" s="524"/>
      <c r="G795" s="524"/>
      <c r="H795" s="524"/>
      <c r="I795" s="523"/>
      <c r="J795" s="523"/>
      <c r="K795" s="523"/>
      <c r="L795" s="523"/>
      <c r="M795" s="523"/>
      <c r="N795" s="523"/>
      <c r="O795" s="523"/>
      <c r="P795" s="523"/>
      <c r="Q795" s="523"/>
      <c r="R795" s="523"/>
      <c r="S795" s="523"/>
      <c r="T795" s="523"/>
      <c r="U795" s="523"/>
      <c r="V795" s="523"/>
      <c r="W795" s="523"/>
      <c r="X795" s="523"/>
      <c r="Y795" s="523"/>
      <c r="Z795" s="523"/>
    </row>
    <row r="796">
      <c r="A796" s="523"/>
      <c r="B796" s="524"/>
      <c r="C796" s="523"/>
      <c r="D796" s="523"/>
      <c r="E796" s="524"/>
      <c r="F796" s="524"/>
      <c r="G796" s="524"/>
      <c r="H796" s="524"/>
      <c r="I796" s="523"/>
      <c r="J796" s="523"/>
      <c r="K796" s="523"/>
      <c r="L796" s="523"/>
      <c r="M796" s="523"/>
      <c r="N796" s="523"/>
      <c r="O796" s="523"/>
      <c r="P796" s="523"/>
      <c r="Q796" s="523"/>
      <c r="R796" s="523"/>
      <c r="S796" s="523"/>
      <c r="T796" s="523"/>
      <c r="U796" s="523"/>
      <c r="V796" s="523"/>
      <c r="W796" s="523"/>
      <c r="X796" s="523"/>
      <c r="Y796" s="523"/>
      <c r="Z796" s="523"/>
    </row>
    <row r="797">
      <c r="A797" s="523"/>
      <c r="B797" s="524"/>
      <c r="C797" s="523"/>
      <c r="D797" s="523"/>
      <c r="E797" s="524"/>
      <c r="F797" s="524"/>
      <c r="G797" s="524"/>
      <c r="H797" s="524"/>
      <c r="I797" s="523"/>
      <c r="J797" s="523"/>
      <c r="K797" s="523"/>
      <c r="L797" s="523"/>
      <c r="M797" s="523"/>
      <c r="N797" s="523"/>
      <c r="O797" s="523"/>
      <c r="P797" s="523"/>
      <c r="Q797" s="523"/>
      <c r="R797" s="523"/>
      <c r="S797" s="523"/>
      <c r="T797" s="523"/>
      <c r="U797" s="523"/>
      <c r="V797" s="523"/>
      <c r="W797" s="523"/>
      <c r="X797" s="523"/>
      <c r="Y797" s="523"/>
      <c r="Z797" s="523"/>
    </row>
    <row r="798">
      <c r="A798" s="523"/>
      <c r="B798" s="524"/>
      <c r="C798" s="523"/>
      <c r="D798" s="523"/>
      <c r="E798" s="524"/>
      <c r="F798" s="524"/>
      <c r="G798" s="524"/>
      <c r="H798" s="524"/>
      <c r="I798" s="523"/>
      <c r="J798" s="523"/>
      <c r="K798" s="523"/>
      <c r="L798" s="523"/>
      <c r="M798" s="523"/>
      <c r="N798" s="523"/>
      <c r="O798" s="523"/>
      <c r="P798" s="523"/>
      <c r="Q798" s="523"/>
      <c r="R798" s="523"/>
      <c r="S798" s="523"/>
      <c r="T798" s="523"/>
      <c r="U798" s="523"/>
      <c r="V798" s="523"/>
      <c r="W798" s="523"/>
      <c r="X798" s="523"/>
      <c r="Y798" s="523"/>
      <c r="Z798" s="523"/>
    </row>
    <row r="799">
      <c r="A799" s="523"/>
      <c r="B799" s="524"/>
      <c r="C799" s="523"/>
      <c r="D799" s="523"/>
      <c r="E799" s="524"/>
      <c r="F799" s="524"/>
      <c r="G799" s="524"/>
      <c r="H799" s="524"/>
      <c r="I799" s="523"/>
      <c r="J799" s="523"/>
      <c r="K799" s="523"/>
      <c r="L799" s="523"/>
      <c r="M799" s="523"/>
      <c r="N799" s="523"/>
      <c r="O799" s="523"/>
      <c r="P799" s="523"/>
      <c r="Q799" s="523"/>
      <c r="R799" s="523"/>
      <c r="S799" s="523"/>
      <c r="T799" s="523"/>
      <c r="U799" s="523"/>
      <c r="V799" s="523"/>
      <c r="W799" s="523"/>
      <c r="X799" s="523"/>
      <c r="Y799" s="523"/>
      <c r="Z799" s="523"/>
    </row>
    <row r="800">
      <c r="A800" s="523"/>
      <c r="B800" s="524"/>
      <c r="C800" s="523"/>
      <c r="D800" s="523"/>
      <c r="E800" s="524"/>
      <c r="F800" s="524"/>
      <c r="G800" s="524"/>
      <c r="H800" s="524"/>
      <c r="I800" s="523"/>
      <c r="J800" s="523"/>
      <c r="K800" s="523"/>
      <c r="L800" s="523"/>
      <c r="M800" s="523"/>
      <c r="N800" s="523"/>
      <c r="O800" s="523"/>
      <c r="P800" s="523"/>
      <c r="Q800" s="523"/>
      <c r="R800" s="523"/>
      <c r="S800" s="523"/>
      <c r="T800" s="523"/>
      <c r="U800" s="523"/>
      <c r="V800" s="523"/>
      <c r="W800" s="523"/>
      <c r="X800" s="523"/>
      <c r="Y800" s="523"/>
      <c r="Z800" s="523"/>
    </row>
    <row r="801">
      <c r="A801" s="523"/>
      <c r="B801" s="524"/>
      <c r="C801" s="523"/>
      <c r="D801" s="523"/>
      <c r="E801" s="524"/>
      <c r="F801" s="524"/>
      <c r="G801" s="524"/>
      <c r="H801" s="524"/>
      <c r="I801" s="523"/>
      <c r="J801" s="523"/>
      <c r="K801" s="523"/>
      <c r="L801" s="523"/>
      <c r="M801" s="523"/>
      <c r="N801" s="523"/>
      <c r="O801" s="523"/>
      <c r="P801" s="523"/>
      <c r="Q801" s="523"/>
      <c r="R801" s="523"/>
      <c r="S801" s="523"/>
      <c r="T801" s="523"/>
      <c r="U801" s="523"/>
      <c r="V801" s="523"/>
      <c r="W801" s="523"/>
      <c r="X801" s="523"/>
      <c r="Y801" s="523"/>
      <c r="Z801" s="523"/>
    </row>
    <row r="802">
      <c r="A802" s="523"/>
      <c r="B802" s="524"/>
      <c r="C802" s="523"/>
      <c r="D802" s="523"/>
      <c r="E802" s="524"/>
      <c r="F802" s="524"/>
      <c r="G802" s="524"/>
      <c r="H802" s="524"/>
      <c r="I802" s="523"/>
      <c r="J802" s="523"/>
      <c r="K802" s="523"/>
      <c r="L802" s="523"/>
      <c r="M802" s="523"/>
      <c r="N802" s="523"/>
      <c r="O802" s="523"/>
      <c r="P802" s="523"/>
      <c r="Q802" s="523"/>
      <c r="R802" s="523"/>
      <c r="S802" s="523"/>
      <c r="T802" s="523"/>
      <c r="U802" s="523"/>
      <c r="V802" s="523"/>
      <c r="W802" s="523"/>
      <c r="X802" s="523"/>
      <c r="Y802" s="523"/>
      <c r="Z802" s="523"/>
    </row>
    <row r="803">
      <c r="A803" s="523"/>
      <c r="B803" s="524"/>
      <c r="C803" s="523"/>
      <c r="D803" s="523"/>
      <c r="E803" s="524"/>
      <c r="F803" s="524"/>
      <c r="G803" s="524"/>
      <c r="H803" s="524"/>
      <c r="I803" s="523"/>
      <c r="J803" s="523"/>
      <c r="K803" s="523"/>
      <c r="L803" s="523"/>
      <c r="M803" s="523"/>
      <c r="N803" s="523"/>
      <c r="O803" s="523"/>
      <c r="P803" s="523"/>
      <c r="Q803" s="523"/>
      <c r="R803" s="523"/>
      <c r="S803" s="523"/>
      <c r="T803" s="523"/>
      <c r="U803" s="523"/>
      <c r="V803" s="523"/>
      <c r="W803" s="523"/>
      <c r="X803" s="523"/>
      <c r="Y803" s="523"/>
      <c r="Z803" s="523"/>
    </row>
    <row r="804">
      <c r="A804" s="523"/>
      <c r="B804" s="524"/>
      <c r="C804" s="523"/>
      <c r="D804" s="523"/>
      <c r="E804" s="524"/>
      <c r="F804" s="524"/>
      <c r="G804" s="524"/>
      <c r="H804" s="524"/>
      <c r="I804" s="523"/>
      <c r="J804" s="523"/>
      <c r="K804" s="523"/>
      <c r="L804" s="523"/>
      <c r="M804" s="523"/>
      <c r="N804" s="523"/>
      <c r="O804" s="523"/>
      <c r="P804" s="523"/>
      <c r="Q804" s="523"/>
      <c r="R804" s="523"/>
      <c r="S804" s="523"/>
      <c r="T804" s="523"/>
      <c r="U804" s="523"/>
      <c r="V804" s="523"/>
      <c r="W804" s="523"/>
      <c r="X804" s="523"/>
      <c r="Y804" s="523"/>
      <c r="Z804" s="523"/>
    </row>
    <row r="805">
      <c r="A805" s="523"/>
      <c r="B805" s="524"/>
      <c r="C805" s="523"/>
      <c r="D805" s="523"/>
      <c r="E805" s="524"/>
      <c r="F805" s="524"/>
      <c r="G805" s="524"/>
      <c r="H805" s="524"/>
      <c r="I805" s="523"/>
      <c r="J805" s="523"/>
      <c r="K805" s="523"/>
      <c r="L805" s="523"/>
      <c r="M805" s="523"/>
      <c r="N805" s="523"/>
      <c r="O805" s="523"/>
      <c r="P805" s="523"/>
      <c r="Q805" s="523"/>
      <c r="R805" s="523"/>
      <c r="S805" s="523"/>
      <c r="T805" s="523"/>
      <c r="U805" s="523"/>
      <c r="V805" s="523"/>
      <c r="W805" s="523"/>
      <c r="X805" s="523"/>
      <c r="Y805" s="523"/>
      <c r="Z805" s="523"/>
    </row>
    <row r="806">
      <c r="A806" s="523"/>
      <c r="B806" s="524"/>
      <c r="C806" s="523"/>
      <c r="D806" s="523"/>
      <c r="E806" s="524"/>
      <c r="F806" s="524"/>
      <c r="G806" s="524"/>
      <c r="H806" s="524"/>
      <c r="I806" s="523"/>
      <c r="J806" s="523"/>
      <c r="K806" s="523"/>
      <c r="L806" s="523"/>
      <c r="M806" s="523"/>
      <c r="N806" s="523"/>
      <c r="O806" s="523"/>
      <c r="P806" s="523"/>
      <c r="Q806" s="523"/>
      <c r="R806" s="523"/>
      <c r="S806" s="523"/>
      <c r="T806" s="523"/>
      <c r="U806" s="523"/>
      <c r="V806" s="523"/>
      <c r="W806" s="523"/>
      <c r="X806" s="523"/>
      <c r="Y806" s="523"/>
      <c r="Z806" s="523"/>
    </row>
    <row r="807">
      <c r="A807" s="523"/>
      <c r="B807" s="524"/>
      <c r="C807" s="523"/>
      <c r="D807" s="523"/>
      <c r="E807" s="524"/>
      <c r="F807" s="524"/>
      <c r="G807" s="524"/>
      <c r="H807" s="524"/>
      <c r="I807" s="523"/>
      <c r="J807" s="523"/>
      <c r="K807" s="523"/>
      <c r="L807" s="523"/>
      <c r="M807" s="523"/>
      <c r="N807" s="523"/>
      <c r="O807" s="523"/>
      <c r="P807" s="523"/>
      <c r="Q807" s="523"/>
      <c r="R807" s="523"/>
      <c r="S807" s="523"/>
      <c r="T807" s="523"/>
      <c r="U807" s="523"/>
      <c r="V807" s="523"/>
      <c r="W807" s="523"/>
      <c r="X807" s="523"/>
      <c r="Y807" s="523"/>
      <c r="Z807" s="523"/>
    </row>
    <row r="808">
      <c r="A808" s="523"/>
      <c r="B808" s="524"/>
      <c r="C808" s="523"/>
      <c r="D808" s="523"/>
      <c r="E808" s="524"/>
      <c r="F808" s="524"/>
      <c r="G808" s="524"/>
      <c r="H808" s="524"/>
      <c r="I808" s="523"/>
      <c r="J808" s="523"/>
      <c r="K808" s="523"/>
      <c r="L808" s="523"/>
      <c r="M808" s="523"/>
      <c r="N808" s="523"/>
      <c r="O808" s="523"/>
      <c r="P808" s="523"/>
      <c r="Q808" s="523"/>
      <c r="R808" s="523"/>
      <c r="S808" s="523"/>
      <c r="T808" s="523"/>
      <c r="U808" s="523"/>
      <c r="V808" s="523"/>
      <c r="W808" s="523"/>
      <c r="X808" s="523"/>
      <c r="Y808" s="523"/>
      <c r="Z808" s="523"/>
    </row>
    <row r="809">
      <c r="A809" s="523"/>
      <c r="B809" s="524"/>
      <c r="C809" s="523"/>
      <c r="D809" s="523"/>
      <c r="E809" s="524"/>
      <c r="F809" s="524"/>
      <c r="G809" s="524"/>
      <c r="H809" s="524"/>
      <c r="I809" s="523"/>
      <c r="J809" s="523"/>
      <c r="K809" s="523"/>
      <c r="L809" s="523"/>
      <c r="M809" s="523"/>
      <c r="N809" s="523"/>
      <c r="O809" s="523"/>
      <c r="P809" s="523"/>
      <c r="Q809" s="523"/>
      <c r="R809" s="523"/>
      <c r="S809" s="523"/>
      <c r="T809" s="523"/>
      <c r="U809" s="523"/>
      <c r="V809" s="523"/>
      <c r="W809" s="523"/>
      <c r="X809" s="523"/>
      <c r="Y809" s="523"/>
      <c r="Z809" s="523"/>
    </row>
    <row r="810">
      <c r="A810" s="523"/>
      <c r="B810" s="524"/>
      <c r="C810" s="523"/>
      <c r="D810" s="523"/>
      <c r="E810" s="524"/>
      <c r="F810" s="524"/>
      <c r="G810" s="524"/>
      <c r="H810" s="524"/>
      <c r="I810" s="523"/>
      <c r="J810" s="523"/>
      <c r="K810" s="523"/>
      <c r="L810" s="523"/>
      <c r="M810" s="523"/>
      <c r="N810" s="523"/>
      <c r="O810" s="523"/>
      <c r="P810" s="523"/>
      <c r="Q810" s="523"/>
      <c r="R810" s="523"/>
      <c r="S810" s="523"/>
      <c r="T810" s="523"/>
      <c r="U810" s="523"/>
      <c r="V810" s="523"/>
      <c r="W810" s="523"/>
      <c r="X810" s="523"/>
      <c r="Y810" s="523"/>
      <c r="Z810" s="523"/>
    </row>
    <row r="811">
      <c r="A811" s="523"/>
      <c r="B811" s="524"/>
      <c r="C811" s="523"/>
      <c r="D811" s="523"/>
      <c r="E811" s="524"/>
      <c r="F811" s="524"/>
      <c r="G811" s="524"/>
      <c r="H811" s="524"/>
      <c r="I811" s="523"/>
      <c r="J811" s="523"/>
      <c r="K811" s="523"/>
      <c r="L811" s="523"/>
      <c r="M811" s="523"/>
      <c r="N811" s="523"/>
      <c r="O811" s="523"/>
      <c r="P811" s="523"/>
      <c r="Q811" s="523"/>
      <c r="R811" s="523"/>
      <c r="S811" s="523"/>
      <c r="T811" s="523"/>
      <c r="U811" s="523"/>
      <c r="V811" s="523"/>
      <c r="W811" s="523"/>
      <c r="X811" s="523"/>
      <c r="Y811" s="523"/>
      <c r="Z811" s="523"/>
    </row>
    <row r="812">
      <c r="A812" s="523"/>
      <c r="B812" s="524"/>
      <c r="C812" s="523"/>
      <c r="D812" s="523"/>
      <c r="E812" s="524"/>
      <c r="F812" s="524"/>
      <c r="G812" s="524"/>
      <c r="H812" s="524"/>
      <c r="I812" s="523"/>
      <c r="J812" s="523"/>
      <c r="K812" s="523"/>
      <c r="L812" s="523"/>
      <c r="M812" s="523"/>
      <c r="N812" s="523"/>
      <c r="O812" s="523"/>
      <c r="P812" s="523"/>
      <c r="Q812" s="523"/>
      <c r="R812" s="523"/>
      <c r="S812" s="523"/>
      <c r="T812" s="523"/>
      <c r="U812" s="523"/>
      <c r="V812" s="523"/>
      <c r="W812" s="523"/>
      <c r="X812" s="523"/>
      <c r="Y812" s="523"/>
      <c r="Z812" s="523"/>
    </row>
    <row r="813">
      <c r="A813" s="523"/>
      <c r="B813" s="524"/>
      <c r="C813" s="523"/>
      <c r="D813" s="523"/>
      <c r="E813" s="524"/>
      <c r="F813" s="524"/>
      <c r="G813" s="524"/>
      <c r="H813" s="524"/>
      <c r="I813" s="523"/>
      <c r="J813" s="523"/>
      <c r="K813" s="523"/>
      <c r="L813" s="523"/>
      <c r="M813" s="523"/>
      <c r="N813" s="523"/>
      <c r="O813" s="523"/>
      <c r="P813" s="523"/>
      <c r="Q813" s="523"/>
      <c r="R813" s="523"/>
      <c r="S813" s="523"/>
      <c r="T813" s="523"/>
      <c r="U813" s="523"/>
      <c r="V813" s="523"/>
      <c r="W813" s="523"/>
      <c r="X813" s="523"/>
      <c r="Y813" s="523"/>
      <c r="Z813" s="523"/>
    </row>
    <row r="814">
      <c r="A814" s="523"/>
      <c r="B814" s="524"/>
      <c r="C814" s="523"/>
      <c r="D814" s="523"/>
      <c r="E814" s="524"/>
      <c r="F814" s="524"/>
      <c r="G814" s="524"/>
      <c r="H814" s="524"/>
      <c r="I814" s="523"/>
      <c r="J814" s="523"/>
      <c r="K814" s="523"/>
      <c r="L814" s="523"/>
      <c r="M814" s="523"/>
      <c r="N814" s="523"/>
      <c r="O814" s="523"/>
      <c r="P814" s="523"/>
      <c r="Q814" s="523"/>
      <c r="R814" s="523"/>
      <c r="S814" s="523"/>
      <c r="T814" s="523"/>
      <c r="U814" s="523"/>
      <c r="V814" s="523"/>
      <c r="W814" s="523"/>
      <c r="X814" s="523"/>
      <c r="Y814" s="523"/>
      <c r="Z814" s="523"/>
    </row>
    <row r="815">
      <c r="A815" s="523"/>
      <c r="B815" s="524"/>
      <c r="C815" s="523"/>
      <c r="D815" s="523"/>
      <c r="E815" s="524"/>
      <c r="F815" s="524"/>
      <c r="G815" s="524"/>
      <c r="H815" s="524"/>
      <c r="I815" s="523"/>
      <c r="J815" s="523"/>
      <c r="K815" s="523"/>
      <c r="L815" s="523"/>
      <c r="M815" s="523"/>
      <c r="N815" s="523"/>
      <c r="O815" s="523"/>
      <c r="P815" s="523"/>
      <c r="Q815" s="523"/>
      <c r="R815" s="523"/>
      <c r="S815" s="523"/>
      <c r="T815" s="523"/>
      <c r="U815" s="523"/>
      <c r="V815" s="523"/>
      <c r="W815" s="523"/>
      <c r="X815" s="523"/>
      <c r="Y815" s="523"/>
      <c r="Z815" s="523"/>
    </row>
    <row r="816">
      <c r="A816" s="523"/>
      <c r="B816" s="524"/>
      <c r="C816" s="523"/>
      <c r="D816" s="523"/>
      <c r="E816" s="524"/>
      <c r="F816" s="524"/>
      <c r="G816" s="524"/>
      <c r="H816" s="524"/>
      <c r="I816" s="523"/>
      <c r="J816" s="523"/>
      <c r="K816" s="523"/>
      <c r="L816" s="523"/>
      <c r="M816" s="523"/>
      <c r="N816" s="523"/>
      <c r="O816" s="523"/>
      <c r="P816" s="523"/>
      <c r="Q816" s="523"/>
      <c r="R816" s="523"/>
      <c r="S816" s="523"/>
      <c r="T816" s="523"/>
      <c r="U816" s="523"/>
      <c r="V816" s="523"/>
      <c r="W816" s="523"/>
      <c r="X816" s="523"/>
      <c r="Y816" s="523"/>
      <c r="Z816" s="523"/>
    </row>
    <row r="817">
      <c r="A817" s="523"/>
      <c r="B817" s="524"/>
      <c r="C817" s="523"/>
      <c r="D817" s="523"/>
      <c r="E817" s="524"/>
      <c r="F817" s="524"/>
      <c r="G817" s="524"/>
      <c r="H817" s="524"/>
      <c r="I817" s="523"/>
      <c r="J817" s="523"/>
      <c r="K817" s="523"/>
      <c r="L817" s="523"/>
      <c r="M817" s="523"/>
      <c r="N817" s="523"/>
      <c r="O817" s="523"/>
      <c r="P817" s="523"/>
      <c r="Q817" s="523"/>
      <c r="R817" s="523"/>
      <c r="S817" s="523"/>
      <c r="T817" s="523"/>
      <c r="U817" s="523"/>
      <c r="V817" s="523"/>
      <c r="W817" s="523"/>
      <c r="X817" s="523"/>
      <c r="Y817" s="523"/>
      <c r="Z817" s="523"/>
    </row>
    <row r="818">
      <c r="A818" s="523"/>
      <c r="B818" s="524"/>
      <c r="C818" s="523"/>
      <c r="D818" s="523"/>
      <c r="E818" s="524"/>
      <c r="F818" s="524"/>
      <c r="G818" s="524"/>
      <c r="H818" s="524"/>
      <c r="I818" s="523"/>
      <c r="J818" s="523"/>
      <c r="K818" s="523"/>
      <c r="L818" s="523"/>
      <c r="M818" s="523"/>
      <c r="N818" s="523"/>
      <c r="O818" s="523"/>
      <c r="P818" s="523"/>
      <c r="Q818" s="523"/>
      <c r="R818" s="523"/>
      <c r="S818" s="523"/>
      <c r="T818" s="523"/>
      <c r="U818" s="523"/>
      <c r="V818" s="523"/>
      <c r="W818" s="523"/>
      <c r="X818" s="523"/>
      <c r="Y818" s="523"/>
      <c r="Z818" s="523"/>
    </row>
    <row r="819">
      <c r="A819" s="523"/>
      <c r="B819" s="524"/>
      <c r="C819" s="523"/>
      <c r="D819" s="523"/>
      <c r="E819" s="524"/>
      <c r="F819" s="524"/>
      <c r="G819" s="524"/>
      <c r="H819" s="524"/>
      <c r="I819" s="523"/>
      <c r="J819" s="523"/>
      <c r="K819" s="523"/>
      <c r="L819" s="523"/>
      <c r="M819" s="523"/>
      <c r="N819" s="523"/>
      <c r="O819" s="523"/>
      <c r="P819" s="523"/>
      <c r="Q819" s="523"/>
      <c r="R819" s="523"/>
      <c r="S819" s="523"/>
      <c r="T819" s="523"/>
      <c r="U819" s="523"/>
      <c r="V819" s="523"/>
      <c r="W819" s="523"/>
      <c r="X819" s="523"/>
      <c r="Y819" s="523"/>
      <c r="Z819" s="523"/>
    </row>
    <row r="820">
      <c r="A820" s="523"/>
      <c r="B820" s="524"/>
      <c r="C820" s="523"/>
      <c r="D820" s="523"/>
      <c r="E820" s="524"/>
      <c r="F820" s="524"/>
      <c r="G820" s="524"/>
      <c r="H820" s="524"/>
      <c r="I820" s="523"/>
      <c r="J820" s="523"/>
      <c r="K820" s="523"/>
      <c r="L820" s="523"/>
      <c r="M820" s="523"/>
      <c r="N820" s="523"/>
      <c r="O820" s="523"/>
      <c r="P820" s="523"/>
      <c r="Q820" s="523"/>
      <c r="R820" s="523"/>
      <c r="S820" s="523"/>
      <c r="T820" s="523"/>
      <c r="U820" s="523"/>
      <c r="V820" s="523"/>
      <c r="W820" s="523"/>
      <c r="X820" s="523"/>
      <c r="Y820" s="523"/>
      <c r="Z820" s="523"/>
    </row>
    <row r="821">
      <c r="A821" s="523"/>
      <c r="B821" s="524"/>
      <c r="C821" s="523"/>
      <c r="D821" s="523"/>
      <c r="E821" s="524"/>
      <c r="F821" s="524"/>
      <c r="G821" s="524"/>
      <c r="H821" s="524"/>
      <c r="I821" s="523"/>
      <c r="J821" s="523"/>
      <c r="K821" s="523"/>
      <c r="L821" s="523"/>
      <c r="M821" s="523"/>
      <c r="N821" s="523"/>
      <c r="O821" s="523"/>
      <c r="P821" s="523"/>
      <c r="Q821" s="523"/>
      <c r="R821" s="523"/>
      <c r="S821" s="523"/>
      <c r="T821" s="523"/>
      <c r="U821" s="523"/>
      <c r="V821" s="523"/>
      <c r="W821" s="523"/>
      <c r="X821" s="523"/>
      <c r="Y821" s="523"/>
      <c r="Z821" s="523"/>
    </row>
    <row r="822">
      <c r="A822" s="523"/>
      <c r="B822" s="524"/>
      <c r="C822" s="523"/>
      <c r="D822" s="523"/>
      <c r="E822" s="524"/>
      <c r="F822" s="524"/>
      <c r="G822" s="524"/>
      <c r="H822" s="524"/>
      <c r="I822" s="523"/>
      <c r="J822" s="523"/>
      <c r="K822" s="523"/>
      <c r="L822" s="523"/>
      <c r="M822" s="523"/>
      <c r="N822" s="523"/>
      <c r="O822" s="523"/>
      <c r="P822" s="523"/>
      <c r="Q822" s="523"/>
      <c r="R822" s="523"/>
      <c r="S822" s="523"/>
      <c r="T822" s="523"/>
      <c r="U822" s="523"/>
      <c r="V822" s="523"/>
      <c r="W822" s="523"/>
      <c r="X822" s="523"/>
      <c r="Y822" s="523"/>
      <c r="Z822" s="523"/>
    </row>
    <row r="823">
      <c r="A823" s="523"/>
      <c r="B823" s="524"/>
      <c r="C823" s="523"/>
      <c r="D823" s="523"/>
      <c r="E823" s="524"/>
      <c r="F823" s="524"/>
      <c r="G823" s="524"/>
      <c r="H823" s="524"/>
      <c r="I823" s="523"/>
      <c r="J823" s="523"/>
      <c r="K823" s="523"/>
      <c r="L823" s="523"/>
      <c r="M823" s="523"/>
      <c r="N823" s="523"/>
      <c r="O823" s="523"/>
      <c r="P823" s="523"/>
      <c r="Q823" s="523"/>
      <c r="R823" s="523"/>
      <c r="S823" s="523"/>
      <c r="T823" s="523"/>
      <c r="U823" s="523"/>
      <c r="V823" s="523"/>
      <c r="W823" s="523"/>
      <c r="X823" s="523"/>
      <c r="Y823" s="523"/>
      <c r="Z823" s="523"/>
    </row>
    <row r="824">
      <c r="A824" s="523"/>
      <c r="B824" s="524"/>
      <c r="C824" s="523"/>
      <c r="D824" s="523"/>
      <c r="E824" s="524"/>
      <c r="F824" s="524"/>
      <c r="G824" s="524"/>
      <c r="H824" s="524"/>
      <c r="I824" s="523"/>
      <c r="J824" s="523"/>
      <c r="K824" s="523"/>
      <c r="L824" s="523"/>
      <c r="M824" s="523"/>
      <c r="N824" s="523"/>
      <c r="O824" s="523"/>
      <c r="P824" s="523"/>
      <c r="Q824" s="523"/>
      <c r="R824" s="523"/>
      <c r="S824" s="523"/>
      <c r="T824" s="523"/>
      <c r="U824" s="523"/>
      <c r="V824" s="523"/>
      <c r="W824" s="523"/>
      <c r="X824" s="523"/>
      <c r="Y824" s="523"/>
      <c r="Z824" s="523"/>
    </row>
    <row r="825">
      <c r="A825" s="523"/>
      <c r="B825" s="524"/>
      <c r="C825" s="523"/>
      <c r="D825" s="523"/>
      <c r="E825" s="524"/>
      <c r="F825" s="524"/>
      <c r="G825" s="524"/>
      <c r="H825" s="524"/>
      <c r="I825" s="523"/>
      <c r="J825" s="523"/>
      <c r="K825" s="523"/>
      <c r="L825" s="523"/>
      <c r="M825" s="523"/>
      <c r="N825" s="523"/>
      <c r="O825" s="523"/>
      <c r="P825" s="523"/>
      <c r="Q825" s="523"/>
      <c r="R825" s="523"/>
      <c r="S825" s="523"/>
      <c r="T825" s="523"/>
      <c r="U825" s="523"/>
      <c r="V825" s="523"/>
      <c r="W825" s="523"/>
      <c r="X825" s="523"/>
      <c r="Y825" s="523"/>
      <c r="Z825" s="523"/>
    </row>
    <row r="826">
      <c r="A826" s="523"/>
      <c r="B826" s="524"/>
      <c r="C826" s="523"/>
      <c r="D826" s="523"/>
      <c r="E826" s="524"/>
      <c r="F826" s="524"/>
      <c r="G826" s="524"/>
      <c r="H826" s="524"/>
      <c r="I826" s="523"/>
      <c r="J826" s="523"/>
      <c r="K826" s="523"/>
      <c r="L826" s="523"/>
      <c r="M826" s="523"/>
      <c r="N826" s="523"/>
      <c r="O826" s="523"/>
      <c r="P826" s="523"/>
      <c r="Q826" s="523"/>
      <c r="R826" s="523"/>
      <c r="S826" s="523"/>
      <c r="T826" s="523"/>
      <c r="U826" s="523"/>
      <c r="V826" s="523"/>
      <c r="W826" s="523"/>
      <c r="X826" s="523"/>
      <c r="Y826" s="523"/>
      <c r="Z826" s="523"/>
    </row>
    <row r="827">
      <c r="A827" s="523"/>
      <c r="B827" s="524"/>
      <c r="C827" s="523"/>
      <c r="D827" s="523"/>
      <c r="E827" s="524"/>
      <c r="F827" s="524"/>
      <c r="G827" s="524"/>
      <c r="H827" s="524"/>
      <c r="I827" s="523"/>
      <c r="J827" s="523"/>
      <c r="K827" s="523"/>
      <c r="L827" s="523"/>
      <c r="M827" s="523"/>
      <c r="N827" s="523"/>
      <c r="O827" s="523"/>
      <c r="P827" s="523"/>
      <c r="Q827" s="523"/>
      <c r="R827" s="523"/>
      <c r="S827" s="523"/>
      <c r="T827" s="523"/>
      <c r="U827" s="523"/>
      <c r="V827" s="523"/>
      <c r="W827" s="523"/>
      <c r="X827" s="523"/>
      <c r="Y827" s="523"/>
      <c r="Z827" s="523"/>
    </row>
    <row r="828">
      <c r="A828" s="523"/>
      <c r="B828" s="524"/>
      <c r="C828" s="523"/>
      <c r="D828" s="523"/>
      <c r="E828" s="524"/>
      <c r="F828" s="524"/>
      <c r="G828" s="524"/>
      <c r="H828" s="524"/>
      <c r="I828" s="523"/>
      <c r="J828" s="523"/>
      <c r="K828" s="523"/>
      <c r="L828" s="523"/>
      <c r="M828" s="523"/>
      <c r="N828" s="523"/>
      <c r="O828" s="523"/>
      <c r="P828" s="523"/>
      <c r="Q828" s="523"/>
      <c r="R828" s="523"/>
      <c r="S828" s="523"/>
      <c r="T828" s="523"/>
      <c r="U828" s="523"/>
      <c r="V828" s="523"/>
      <c r="W828" s="523"/>
      <c r="X828" s="523"/>
      <c r="Y828" s="523"/>
      <c r="Z828" s="523"/>
    </row>
    <row r="829">
      <c r="A829" s="523"/>
      <c r="B829" s="524"/>
      <c r="C829" s="523"/>
      <c r="D829" s="523"/>
      <c r="E829" s="524"/>
      <c r="F829" s="524"/>
      <c r="G829" s="524"/>
      <c r="H829" s="524"/>
      <c r="I829" s="523"/>
      <c r="J829" s="523"/>
      <c r="K829" s="523"/>
      <c r="L829" s="523"/>
      <c r="M829" s="523"/>
      <c r="N829" s="523"/>
      <c r="O829" s="523"/>
      <c r="P829" s="523"/>
      <c r="Q829" s="523"/>
      <c r="R829" s="523"/>
      <c r="S829" s="523"/>
      <c r="T829" s="523"/>
      <c r="U829" s="523"/>
      <c r="V829" s="523"/>
      <c r="W829" s="523"/>
      <c r="X829" s="523"/>
      <c r="Y829" s="523"/>
      <c r="Z829" s="523"/>
    </row>
    <row r="830">
      <c r="A830" s="523"/>
      <c r="B830" s="524"/>
      <c r="C830" s="523"/>
      <c r="D830" s="523"/>
      <c r="E830" s="524"/>
      <c r="F830" s="524"/>
      <c r="G830" s="524"/>
      <c r="H830" s="524"/>
      <c r="I830" s="523"/>
      <c r="J830" s="523"/>
      <c r="K830" s="523"/>
      <c r="L830" s="523"/>
      <c r="M830" s="523"/>
      <c r="N830" s="523"/>
      <c r="O830" s="523"/>
      <c r="P830" s="523"/>
      <c r="Q830" s="523"/>
      <c r="R830" s="523"/>
      <c r="S830" s="523"/>
      <c r="T830" s="523"/>
      <c r="U830" s="523"/>
      <c r="V830" s="523"/>
      <c r="W830" s="523"/>
      <c r="X830" s="523"/>
      <c r="Y830" s="523"/>
      <c r="Z830" s="523"/>
    </row>
    <row r="831">
      <c r="A831" s="523"/>
      <c r="B831" s="524"/>
      <c r="C831" s="523"/>
      <c r="D831" s="523"/>
      <c r="E831" s="524"/>
      <c r="F831" s="524"/>
      <c r="G831" s="524"/>
      <c r="H831" s="524"/>
      <c r="I831" s="523"/>
      <c r="J831" s="523"/>
      <c r="K831" s="523"/>
      <c r="L831" s="523"/>
      <c r="M831" s="523"/>
      <c r="N831" s="523"/>
      <c r="O831" s="523"/>
      <c r="P831" s="523"/>
      <c r="Q831" s="523"/>
      <c r="R831" s="523"/>
      <c r="S831" s="523"/>
      <c r="T831" s="523"/>
      <c r="U831" s="523"/>
      <c r="V831" s="523"/>
      <c r="W831" s="523"/>
      <c r="X831" s="523"/>
      <c r="Y831" s="523"/>
      <c r="Z831" s="523"/>
    </row>
    <row r="832">
      <c r="A832" s="523"/>
      <c r="B832" s="524"/>
      <c r="C832" s="523"/>
      <c r="D832" s="523"/>
      <c r="E832" s="524"/>
      <c r="F832" s="524"/>
      <c r="G832" s="524"/>
      <c r="H832" s="524"/>
      <c r="I832" s="523"/>
      <c r="J832" s="523"/>
      <c r="K832" s="523"/>
      <c r="L832" s="523"/>
      <c r="M832" s="523"/>
      <c r="N832" s="523"/>
      <c r="O832" s="523"/>
      <c r="P832" s="523"/>
      <c r="Q832" s="523"/>
      <c r="R832" s="523"/>
      <c r="S832" s="523"/>
      <c r="T832" s="523"/>
      <c r="U832" s="523"/>
      <c r="V832" s="523"/>
      <c r="W832" s="523"/>
      <c r="X832" s="523"/>
      <c r="Y832" s="523"/>
      <c r="Z832" s="523"/>
    </row>
    <row r="833">
      <c r="A833" s="523"/>
      <c r="B833" s="524"/>
      <c r="C833" s="523"/>
      <c r="D833" s="523"/>
      <c r="E833" s="524"/>
      <c r="F833" s="524"/>
      <c r="G833" s="524"/>
      <c r="H833" s="524"/>
      <c r="I833" s="523"/>
      <c r="J833" s="523"/>
      <c r="K833" s="523"/>
      <c r="L833" s="523"/>
      <c r="M833" s="523"/>
      <c r="N833" s="523"/>
      <c r="O833" s="523"/>
      <c r="P833" s="523"/>
      <c r="Q833" s="523"/>
      <c r="R833" s="523"/>
      <c r="S833" s="523"/>
      <c r="T833" s="523"/>
      <c r="U833" s="523"/>
      <c r="V833" s="523"/>
      <c r="W833" s="523"/>
      <c r="X833" s="523"/>
      <c r="Y833" s="523"/>
      <c r="Z833" s="523"/>
    </row>
    <row r="834">
      <c r="A834" s="523"/>
      <c r="B834" s="524"/>
      <c r="C834" s="523"/>
      <c r="D834" s="523"/>
      <c r="E834" s="524"/>
      <c r="F834" s="524"/>
      <c r="G834" s="524"/>
      <c r="H834" s="524"/>
      <c r="I834" s="523"/>
      <c r="J834" s="523"/>
      <c r="K834" s="523"/>
      <c r="L834" s="523"/>
      <c r="M834" s="523"/>
      <c r="N834" s="523"/>
      <c r="O834" s="523"/>
      <c r="P834" s="523"/>
      <c r="Q834" s="523"/>
      <c r="R834" s="523"/>
      <c r="S834" s="523"/>
      <c r="T834" s="523"/>
      <c r="U834" s="523"/>
      <c r="V834" s="523"/>
      <c r="W834" s="523"/>
      <c r="X834" s="523"/>
      <c r="Y834" s="523"/>
      <c r="Z834" s="523"/>
    </row>
    <row r="835">
      <c r="A835" s="523"/>
      <c r="B835" s="524"/>
      <c r="C835" s="523"/>
      <c r="D835" s="523"/>
      <c r="E835" s="524"/>
      <c r="F835" s="524"/>
      <c r="G835" s="524"/>
      <c r="H835" s="524"/>
      <c r="I835" s="523"/>
      <c r="J835" s="523"/>
      <c r="K835" s="523"/>
      <c r="L835" s="523"/>
      <c r="M835" s="523"/>
      <c r="N835" s="523"/>
      <c r="O835" s="523"/>
      <c r="P835" s="523"/>
      <c r="Q835" s="523"/>
      <c r="R835" s="523"/>
      <c r="S835" s="523"/>
      <c r="T835" s="523"/>
      <c r="U835" s="523"/>
      <c r="V835" s="523"/>
      <c r="W835" s="523"/>
      <c r="X835" s="523"/>
      <c r="Y835" s="523"/>
      <c r="Z835" s="523"/>
    </row>
    <row r="836">
      <c r="A836" s="523"/>
      <c r="B836" s="524"/>
      <c r="C836" s="523"/>
      <c r="D836" s="523"/>
      <c r="E836" s="524"/>
      <c r="F836" s="524"/>
      <c r="G836" s="524"/>
      <c r="H836" s="524"/>
      <c r="I836" s="523"/>
      <c r="J836" s="523"/>
      <c r="K836" s="523"/>
      <c r="L836" s="523"/>
      <c r="M836" s="523"/>
      <c r="N836" s="523"/>
      <c r="O836" s="523"/>
      <c r="P836" s="523"/>
      <c r="Q836" s="523"/>
      <c r="R836" s="523"/>
      <c r="S836" s="523"/>
      <c r="T836" s="523"/>
      <c r="U836" s="523"/>
      <c r="V836" s="523"/>
      <c r="W836" s="523"/>
      <c r="X836" s="523"/>
      <c r="Y836" s="523"/>
      <c r="Z836" s="523"/>
    </row>
    <row r="837">
      <c r="A837" s="523"/>
      <c r="B837" s="524"/>
      <c r="C837" s="523"/>
      <c r="D837" s="523"/>
      <c r="E837" s="524"/>
      <c r="F837" s="524"/>
      <c r="G837" s="524"/>
      <c r="H837" s="524"/>
      <c r="I837" s="523"/>
      <c r="J837" s="523"/>
      <c r="K837" s="523"/>
      <c r="L837" s="523"/>
      <c r="M837" s="523"/>
      <c r="N837" s="523"/>
      <c r="O837" s="523"/>
      <c r="P837" s="523"/>
      <c r="Q837" s="523"/>
      <c r="R837" s="523"/>
      <c r="S837" s="523"/>
      <c r="T837" s="523"/>
      <c r="U837" s="523"/>
      <c r="V837" s="523"/>
      <c r="W837" s="523"/>
      <c r="X837" s="523"/>
      <c r="Y837" s="523"/>
      <c r="Z837" s="523"/>
    </row>
    <row r="838">
      <c r="A838" s="523"/>
      <c r="B838" s="524"/>
      <c r="C838" s="523"/>
      <c r="D838" s="523"/>
      <c r="E838" s="524"/>
      <c r="F838" s="524"/>
      <c r="G838" s="524"/>
      <c r="H838" s="524"/>
      <c r="I838" s="523"/>
      <c r="J838" s="523"/>
      <c r="K838" s="523"/>
      <c r="L838" s="523"/>
      <c r="M838" s="523"/>
      <c r="N838" s="523"/>
      <c r="O838" s="523"/>
      <c r="P838" s="523"/>
      <c r="Q838" s="523"/>
      <c r="R838" s="523"/>
      <c r="S838" s="523"/>
      <c r="T838" s="523"/>
      <c r="U838" s="523"/>
      <c r="V838" s="523"/>
      <c r="W838" s="523"/>
      <c r="X838" s="523"/>
      <c r="Y838" s="523"/>
      <c r="Z838" s="523"/>
    </row>
    <row r="839">
      <c r="A839" s="523"/>
      <c r="B839" s="524"/>
      <c r="C839" s="523"/>
      <c r="D839" s="523"/>
      <c r="E839" s="524"/>
      <c r="F839" s="524"/>
      <c r="G839" s="524"/>
      <c r="H839" s="524"/>
      <c r="I839" s="523"/>
      <c r="J839" s="523"/>
      <c r="K839" s="523"/>
      <c r="L839" s="523"/>
      <c r="M839" s="523"/>
      <c r="N839" s="523"/>
      <c r="O839" s="523"/>
      <c r="P839" s="523"/>
      <c r="Q839" s="523"/>
      <c r="R839" s="523"/>
      <c r="S839" s="523"/>
      <c r="T839" s="523"/>
      <c r="U839" s="523"/>
      <c r="V839" s="523"/>
      <c r="W839" s="523"/>
      <c r="X839" s="523"/>
      <c r="Y839" s="523"/>
      <c r="Z839" s="523"/>
    </row>
    <row r="840">
      <c r="A840" s="523"/>
      <c r="B840" s="524"/>
      <c r="C840" s="523"/>
      <c r="D840" s="523"/>
      <c r="E840" s="524"/>
      <c r="F840" s="524"/>
      <c r="G840" s="524"/>
      <c r="H840" s="524"/>
      <c r="I840" s="523"/>
      <c r="J840" s="523"/>
      <c r="K840" s="523"/>
      <c r="L840" s="523"/>
      <c r="M840" s="523"/>
      <c r="N840" s="523"/>
      <c r="O840" s="523"/>
      <c r="P840" s="523"/>
      <c r="Q840" s="523"/>
      <c r="R840" s="523"/>
      <c r="S840" s="523"/>
      <c r="T840" s="523"/>
      <c r="U840" s="523"/>
      <c r="V840" s="523"/>
      <c r="W840" s="523"/>
      <c r="X840" s="523"/>
      <c r="Y840" s="523"/>
      <c r="Z840" s="523"/>
    </row>
    <row r="841">
      <c r="A841" s="523"/>
      <c r="B841" s="524"/>
      <c r="C841" s="523"/>
      <c r="D841" s="523"/>
      <c r="E841" s="524"/>
      <c r="F841" s="524"/>
      <c r="G841" s="524"/>
      <c r="H841" s="524"/>
      <c r="I841" s="523"/>
      <c r="J841" s="523"/>
      <c r="K841" s="523"/>
      <c r="L841" s="523"/>
      <c r="M841" s="523"/>
      <c r="N841" s="523"/>
      <c r="O841" s="523"/>
      <c r="P841" s="523"/>
      <c r="Q841" s="523"/>
      <c r="R841" s="523"/>
      <c r="S841" s="523"/>
      <c r="T841" s="523"/>
      <c r="U841" s="523"/>
      <c r="V841" s="523"/>
      <c r="W841" s="523"/>
      <c r="X841" s="523"/>
      <c r="Y841" s="523"/>
      <c r="Z841" s="523"/>
    </row>
    <row r="842">
      <c r="A842" s="523"/>
      <c r="B842" s="524"/>
      <c r="C842" s="523"/>
      <c r="D842" s="523"/>
      <c r="E842" s="524"/>
      <c r="F842" s="524"/>
      <c r="G842" s="524"/>
      <c r="H842" s="524"/>
      <c r="I842" s="523"/>
      <c r="J842" s="523"/>
      <c r="K842" s="523"/>
      <c r="L842" s="523"/>
      <c r="M842" s="523"/>
      <c r="N842" s="523"/>
      <c r="O842" s="523"/>
      <c r="P842" s="523"/>
      <c r="Q842" s="523"/>
      <c r="R842" s="523"/>
      <c r="S842" s="523"/>
      <c r="T842" s="523"/>
      <c r="U842" s="523"/>
      <c r="V842" s="523"/>
      <c r="W842" s="523"/>
      <c r="X842" s="523"/>
      <c r="Y842" s="523"/>
      <c r="Z842" s="523"/>
    </row>
    <row r="843">
      <c r="A843" s="523"/>
      <c r="B843" s="524"/>
      <c r="C843" s="523"/>
      <c r="D843" s="523"/>
      <c r="E843" s="524"/>
      <c r="F843" s="524"/>
      <c r="G843" s="524"/>
      <c r="H843" s="524"/>
      <c r="I843" s="523"/>
      <c r="J843" s="523"/>
      <c r="K843" s="523"/>
      <c r="L843" s="523"/>
      <c r="M843" s="523"/>
      <c r="N843" s="523"/>
      <c r="O843" s="523"/>
      <c r="P843" s="523"/>
      <c r="Q843" s="523"/>
      <c r="R843" s="523"/>
      <c r="S843" s="523"/>
      <c r="T843" s="523"/>
      <c r="U843" s="523"/>
      <c r="V843" s="523"/>
      <c r="W843" s="523"/>
      <c r="X843" s="523"/>
      <c r="Y843" s="523"/>
      <c r="Z843" s="523"/>
    </row>
    <row r="844">
      <c r="A844" s="523"/>
      <c r="B844" s="524"/>
      <c r="C844" s="523"/>
      <c r="D844" s="523"/>
      <c r="E844" s="524"/>
      <c r="F844" s="524"/>
      <c r="G844" s="524"/>
      <c r="H844" s="524"/>
      <c r="I844" s="523"/>
      <c r="J844" s="523"/>
      <c r="K844" s="523"/>
      <c r="L844" s="523"/>
      <c r="M844" s="523"/>
      <c r="N844" s="523"/>
      <c r="O844" s="523"/>
      <c r="P844" s="523"/>
      <c r="Q844" s="523"/>
      <c r="R844" s="523"/>
      <c r="S844" s="523"/>
      <c r="T844" s="523"/>
      <c r="U844" s="523"/>
      <c r="V844" s="523"/>
      <c r="W844" s="523"/>
      <c r="X844" s="523"/>
      <c r="Y844" s="523"/>
      <c r="Z844" s="523"/>
    </row>
    <row r="845">
      <c r="A845" s="523"/>
      <c r="B845" s="524"/>
      <c r="C845" s="523"/>
      <c r="D845" s="523"/>
      <c r="E845" s="524"/>
      <c r="F845" s="524"/>
      <c r="G845" s="524"/>
      <c r="H845" s="524"/>
      <c r="I845" s="523"/>
      <c r="J845" s="523"/>
      <c r="K845" s="523"/>
      <c r="L845" s="523"/>
      <c r="M845" s="523"/>
      <c r="N845" s="523"/>
      <c r="O845" s="523"/>
      <c r="P845" s="523"/>
      <c r="Q845" s="523"/>
      <c r="R845" s="523"/>
      <c r="S845" s="523"/>
      <c r="T845" s="523"/>
      <c r="U845" s="523"/>
      <c r="V845" s="523"/>
      <c r="W845" s="523"/>
      <c r="X845" s="523"/>
      <c r="Y845" s="523"/>
      <c r="Z845" s="523"/>
    </row>
    <row r="846">
      <c r="A846" s="523"/>
      <c r="B846" s="524"/>
      <c r="C846" s="523"/>
      <c r="D846" s="523"/>
      <c r="E846" s="524"/>
      <c r="F846" s="524"/>
      <c r="G846" s="524"/>
      <c r="H846" s="524"/>
      <c r="I846" s="523"/>
      <c r="J846" s="523"/>
      <c r="K846" s="523"/>
      <c r="L846" s="523"/>
      <c r="M846" s="523"/>
      <c r="N846" s="523"/>
      <c r="O846" s="523"/>
      <c r="P846" s="523"/>
      <c r="Q846" s="523"/>
      <c r="R846" s="523"/>
      <c r="S846" s="523"/>
      <c r="T846" s="523"/>
      <c r="U846" s="523"/>
      <c r="V846" s="523"/>
      <c r="W846" s="523"/>
      <c r="X846" s="523"/>
      <c r="Y846" s="523"/>
      <c r="Z846" s="523"/>
    </row>
    <row r="847">
      <c r="A847" s="523"/>
      <c r="B847" s="524"/>
      <c r="C847" s="523"/>
      <c r="D847" s="523"/>
      <c r="E847" s="524"/>
      <c r="F847" s="524"/>
      <c r="G847" s="524"/>
      <c r="H847" s="524"/>
      <c r="I847" s="523"/>
      <c r="J847" s="523"/>
      <c r="K847" s="523"/>
      <c r="L847" s="523"/>
      <c r="M847" s="523"/>
      <c r="N847" s="523"/>
      <c r="O847" s="523"/>
      <c r="P847" s="523"/>
      <c r="Q847" s="523"/>
      <c r="R847" s="523"/>
      <c r="S847" s="523"/>
      <c r="T847" s="523"/>
      <c r="U847" s="523"/>
      <c r="V847" s="523"/>
      <c r="W847" s="523"/>
      <c r="X847" s="523"/>
      <c r="Y847" s="523"/>
      <c r="Z847" s="523"/>
    </row>
    <row r="848">
      <c r="A848" s="523"/>
      <c r="B848" s="524"/>
      <c r="C848" s="523"/>
      <c r="D848" s="523"/>
      <c r="E848" s="524"/>
      <c r="F848" s="524"/>
      <c r="G848" s="524"/>
      <c r="H848" s="524"/>
      <c r="I848" s="523"/>
      <c r="J848" s="523"/>
      <c r="K848" s="523"/>
      <c r="L848" s="523"/>
      <c r="M848" s="523"/>
      <c r="N848" s="523"/>
      <c r="O848" s="523"/>
      <c r="P848" s="523"/>
      <c r="Q848" s="523"/>
      <c r="R848" s="523"/>
      <c r="S848" s="523"/>
      <c r="T848" s="523"/>
      <c r="U848" s="523"/>
      <c r="V848" s="523"/>
      <c r="W848" s="523"/>
      <c r="X848" s="523"/>
      <c r="Y848" s="523"/>
      <c r="Z848" s="523"/>
    </row>
    <row r="849">
      <c r="A849" s="523"/>
      <c r="B849" s="524"/>
      <c r="C849" s="523"/>
      <c r="D849" s="523"/>
      <c r="E849" s="524"/>
      <c r="F849" s="524"/>
      <c r="G849" s="524"/>
      <c r="H849" s="524"/>
      <c r="I849" s="523"/>
      <c r="J849" s="523"/>
      <c r="K849" s="523"/>
      <c r="L849" s="523"/>
      <c r="M849" s="523"/>
      <c r="N849" s="523"/>
      <c r="O849" s="523"/>
      <c r="P849" s="523"/>
      <c r="Q849" s="523"/>
      <c r="R849" s="523"/>
      <c r="S849" s="523"/>
      <c r="T849" s="523"/>
      <c r="U849" s="523"/>
      <c r="V849" s="523"/>
      <c r="W849" s="523"/>
      <c r="X849" s="523"/>
      <c r="Y849" s="523"/>
      <c r="Z849" s="523"/>
    </row>
    <row r="850">
      <c r="A850" s="523"/>
      <c r="B850" s="524"/>
      <c r="C850" s="523"/>
      <c r="D850" s="523"/>
      <c r="E850" s="524"/>
      <c r="F850" s="524"/>
      <c r="G850" s="524"/>
      <c r="H850" s="524"/>
      <c r="I850" s="523"/>
      <c r="J850" s="523"/>
      <c r="K850" s="523"/>
      <c r="L850" s="523"/>
      <c r="M850" s="523"/>
      <c r="N850" s="523"/>
      <c r="O850" s="523"/>
      <c r="P850" s="523"/>
      <c r="Q850" s="523"/>
      <c r="R850" s="523"/>
      <c r="S850" s="523"/>
      <c r="T850" s="523"/>
      <c r="U850" s="523"/>
      <c r="V850" s="523"/>
      <c r="W850" s="523"/>
      <c r="X850" s="523"/>
      <c r="Y850" s="523"/>
      <c r="Z850" s="523"/>
    </row>
    <row r="851">
      <c r="A851" s="523"/>
      <c r="B851" s="524"/>
      <c r="C851" s="523"/>
      <c r="D851" s="523"/>
      <c r="E851" s="524"/>
      <c r="F851" s="524"/>
      <c r="G851" s="524"/>
      <c r="H851" s="524"/>
      <c r="I851" s="523"/>
      <c r="J851" s="523"/>
      <c r="K851" s="523"/>
      <c r="L851" s="523"/>
      <c r="M851" s="523"/>
      <c r="N851" s="523"/>
      <c r="O851" s="523"/>
      <c r="P851" s="523"/>
      <c r="Q851" s="523"/>
      <c r="R851" s="523"/>
      <c r="S851" s="523"/>
      <c r="T851" s="523"/>
      <c r="U851" s="523"/>
      <c r="V851" s="523"/>
      <c r="W851" s="523"/>
      <c r="X851" s="523"/>
      <c r="Y851" s="523"/>
      <c r="Z851" s="523"/>
    </row>
    <row r="852">
      <c r="A852" s="523"/>
      <c r="B852" s="524"/>
      <c r="C852" s="523"/>
      <c r="D852" s="523"/>
      <c r="E852" s="524"/>
      <c r="F852" s="524"/>
      <c r="G852" s="524"/>
      <c r="H852" s="524"/>
      <c r="I852" s="523"/>
      <c r="J852" s="523"/>
      <c r="K852" s="523"/>
      <c r="L852" s="523"/>
      <c r="M852" s="523"/>
      <c r="N852" s="523"/>
      <c r="O852" s="523"/>
      <c r="P852" s="523"/>
      <c r="Q852" s="523"/>
      <c r="R852" s="523"/>
      <c r="S852" s="523"/>
      <c r="T852" s="523"/>
      <c r="U852" s="523"/>
      <c r="V852" s="523"/>
      <c r="W852" s="523"/>
      <c r="X852" s="523"/>
      <c r="Y852" s="523"/>
      <c r="Z852" s="523"/>
    </row>
    <row r="853">
      <c r="A853" s="523"/>
      <c r="B853" s="524"/>
      <c r="C853" s="523"/>
      <c r="D853" s="523"/>
      <c r="E853" s="524"/>
      <c r="F853" s="524"/>
      <c r="G853" s="524"/>
      <c r="H853" s="524"/>
      <c r="I853" s="523"/>
      <c r="J853" s="523"/>
      <c r="K853" s="523"/>
      <c r="L853" s="523"/>
      <c r="M853" s="523"/>
      <c r="N853" s="523"/>
      <c r="O853" s="523"/>
      <c r="P853" s="523"/>
      <c r="Q853" s="523"/>
      <c r="R853" s="523"/>
      <c r="S853" s="523"/>
      <c r="T853" s="523"/>
      <c r="U853" s="523"/>
      <c r="V853" s="523"/>
      <c r="W853" s="523"/>
      <c r="X853" s="523"/>
      <c r="Y853" s="523"/>
      <c r="Z853" s="523"/>
    </row>
    <row r="854">
      <c r="A854" s="523"/>
      <c r="B854" s="524"/>
      <c r="C854" s="523"/>
      <c r="D854" s="523"/>
      <c r="E854" s="524"/>
      <c r="F854" s="524"/>
      <c r="G854" s="524"/>
      <c r="H854" s="524"/>
      <c r="I854" s="523"/>
      <c r="J854" s="523"/>
      <c r="K854" s="523"/>
      <c r="L854" s="523"/>
      <c r="M854" s="523"/>
      <c r="N854" s="523"/>
      <c r="O854" s="523"/>
      <c r="P854" s="523"/>
      <c r="Q854" s="523"/>
      <c r="R854" s="523"/>
      <c r="S854" s="523"/>
      <c r="T854" s="523"/>
      <c r="U854" s="523"/>
      <c r="V854" s="523"/>
      <c r="W854" s="523"/>
      <c r="X854" s="523"/>
      <c r="Y854" s="523"/>
      <c r="Z854" s="523"/>
    </row>
    <row r="855">
      <c r="A855" s="523"/>
      <c r="B855" s="524"/>
      <c r="C855" s="523"/>
      <c r="D855" s="523"/>
      <c r="E855" s="524"/>
      <c r="F855" s="524"/>
      <c r="G855" s="524"/>
      <c r="H855" s="524"/>
      <c r="I855" s="523"/>
      <c r="J855" s="523"/>
      <c r="K855" s="523"/>
      <c r="L855" s="523"/>
      <c r="M855" s="523"/>
      <c r="N855" s="523"/>
      <c r="O855" s="523"/>
      <c r="P855" s="523"/>
      <c r="Q855" s="523"/>
      <c r="R855" s="523"/>
      <c r="S855" s="523"/>
      <c r="T855" s="523"/>
      <c r="U855" s="523"/>
      <c r="V855" s="523"/>
      <c r="W855" s="523"/>
      <c r="X855" s="523"/>
      <c r="Y855" s="523"/>
      <c r="Z855" s="523"/>
    </row>
    <row r="856">
      <c r="A856" s="523"/>
      <c r="B856" s="524"/>
      <c r="C856" s="523"/>
      <c r="D856" s="523"/>
      <c r="E856" s="524"/>
      <c r="F856" s="524"/>
      <c r="G856" s="524"/>
      <c r="H856" s="524"/>
      <c r="I856" s="523"/>
      <c r="J856" s="523"/>
      <c r="K856" s="523"/>
      <c r="L856" s="523"/>
      <c r="M856" s="523"/>
      <c r="N856" s="523"/>
      <c r="O856" s="523"/>
      <c r="P856" s="523"/>
      <c r="Q856" s="523"/>
      <c r="R856" s="523"/>
      <c r="S856" s="523"/>
      <c r="T856" s="523"/>
      <c r="U856" s="523"/>
      <c r="V856" s="523"/>
      <c r="W856" s="523"/>
      <c r="X856" s="523"/>
      <c r="Y856" s="523"/>
      <c r="Z856" s="523"/>
    </row>
    <row r="857">
      <c r="A857" s="523"/>
      <c r="B857" s="524"/>
      <c r="C857" s="523"/>
      <c r="D857" s="523"/>
      <c r="E857" s="524"/>
      <c r="F857" s="524"/>
      <c r="G857" s="524"/>
      <c r="H857" s="524"/>
      <c r="I857" s="523"/>
      <c r="J857" s="523"/>
      <c r="K857" s="523"/>
      <c r="L857" s="523"/>
      <c r="M857" s="523"/>
      <c r="N857" s="523"/>
      <c r="O857" s="523"/>
      <c r="P857" s="523"/>
      <c r="Q857" s="523"/>
      <c r="R857" s="523"/>
      <c r="S857" s="523"/>
      <c r="T857" s="523"/>
      <c r="U857" s="523"/>
      <c r="V857" s="523"/>
      <c r="W857" s="523"/>
      <c r="X857" s="523"/>
      <c r="Y857" s="523"/>
      <c r="Z857" s="523"/>
    </row>
    <row r="858">
      <c r="A858" s="523"/>
      <c r="B858" s="524"/>
      <c r="C858" s="523"/>
      <c r="D858" s="523"/>
      <c r="E858" s="524"/>
      <c r="F858" s="524"/>
      <c r="G858" s="524"/>
      <c r="H858" s="524"/>
      <c r="I858" s="523"/>
      <c r="J858" s="523"/>
      <c r="K858" s="523"/>
      <c r="L858" s="523"/>
      <c r="M858" s="523"/>
      <c r="N858" s="523"/>
      <c r="O858" s="523"/>
      <c r="P858" s="523"/>
      <c r="Q858" s="523"/>
      <c r="R858" s="523"/>
      <c r="S858" s="523"/>
      <c r="T858" s="523"/>
      <c r="U858" s="523"/>
      <c r="V858" s="523"/>
      <c r="W858" s="523"/>
      <c r="X858" s="523"/>
      <c r="Y858" s="523"/>
      <c r="Z858" s="523"/>
    </row>
    <row r="859">
      <c r="A859" s="523"/>
      <c r="B859" s="524"/>
      <c r="C859" s="523"/>
      <c r="D859" s="523"/>
      <c r="E859" s="524"/>
      <c r="F859" s="524"/>
      <c r="G859" s="524"/>
      <c r="H859" s="524"/>
      <c r="I859" s="523"/>
      <c r="J859" s="523"/>
      <c r="K859" s="523"/>
      <c r="L859" s="523"/>
      <c r="M859" s="523"/>
      <c r="N859" s="523"/>
      <c r="O859" s="523"/>
      <c r="P859" s="523"/>
      <c r="Q859" s="523"/>
      <c r="R859" s="523"/>
      <c r="S859" s="523"/>
      <c r="T859" s="523"/>
      <c r="U859" s="523"/>
      <c r="V859" s="523"/>
      <c r="W859" s="523"/>
      <c r="X859" s="523"/>
      <c r="Y859" s="523"/>
      <c r="Z859" s="523"/>
    </row>
    <row r="860">
      <c r="A860" s="523"/>
      <c r="B860" s="524"/>
      <c r="C860" s="523"/>
      <c r="D860" s="523"/>
      <c r="E860" s="524"/>
      <c r="F860" s="524"/>
      <c r="G860" s="524"/>
      <c r="H860" s="524"/>
      <c r="I860" s="523"/>
      <c r="J860" s="523"/>
      <c r="K860" s="523"/>
      <c r="L860" s="523"/>
      <c r="M860" s="523"/>
      <c r="N860" s="523"/>
      <c r="O860" s="523"/>
      <c r="P860" s="523"/>
      <c r="Q860" s="523"/>
      <c r="R860" s="523"/>
      <c r="S860" s="523"/>
      <c r="T860" s="523"/>
      <c r="U860" s="523"/>
      <c r="V860" s="523"/>
      <c r="W860" s="523"/>
      <c r="X860" s="523"/>
      <c r="Y860" s="523"/>
      <c r="Z860" s="523"/>
    </row>
    <row r="861">
      <c r="A861" s="523"/>
      <c r="B861" s="524"/>
      <c r="C861" s="523"/>
      <c r="D861" s="523"/>
      <c r="E861" s="524"/>
      <c r="F861" s="524"/>
      <c r="G861" s="524"/>
      <c r="H861" s="524"/>
      <c r="I861" s="523"/>
      <c r="J861" s="523"/>
      <c r="K861" s="523"/>
      <c r="L861" s="523"/>
      <c r="M861" s="523"/>
      <c r="N861" s="523"/>
      <c r="O861" s="523"/>
      <c r="P861" s="523"/>
      <c r="Q861" s="523"/>
      <c r="R861" s="523"/>
      <c r="S861" s="523"/>
      <c r="T861" s="523"/>
      <c r="U861" s="523"/>
      <c r="V861" s="523"/>
      <c r="W861" s="523"/>
      <c r="X861" s="523"/>
      <c r="Y861" s="523"/>
      <c r="Z861" s="523"/>
    </row>
    <row r="862">
      <c r="A862" s="523"/>
      <c r="B862" s="524"/>
      <c r="C862" s="523"/>
      <c r="D862" s="523"/>
      <c r="E862" s="524"/>
      <c r="F862" s="524"/>
      <c r="G862" s="524"/>
      <c r="H862" s="524"/>
      <c r="I862" s="523"/>
      <c r="J862" s="523"/>
      <c r="K862" s="523"/>
      <c r="L862" s="523"/>
      <c r="M862" s="523"/>
      <c r="N862" s="523"/>
      <c r="O862" s="523"/>
      <c r="P862" s="523"/>
      <c r="Q862" s="523"/>
      <c r="R862" s="523"/>
      <c r="S862" s="523"/>
      <c r="T862" s="523"/>
      <c r="U862" s="523"/>
      <c r="V862" s="523"/>
      <c r="W862" s="523"/>
      <c r="X862" s="523"/>
      <c r="Y862" s="523"/>
      <c r="Z862" s="523"/>
    </row>
    <row r="863">
      <c r="A863" s="523"/>
      <c r="B863" s="524"/>
      <c r="C863" s="523"/>
      <c r="D863" s="523"/>
      <c r="E863" s="524"/>
      <c r="F863" s="524"/>
      <c r="G863" s="524"/>
      <c r="H863" s="524"/>
      <c r="I863" s="523"/>
      <c r="J863" s="523"/>
      <c r="K863" s="523"/>
      <c r="L863" s="523"/>
      <c r="M863" s="523"/>
      <c r="N863" s="523"/>
      <c r="O863" s="523"/>
      <c r="P863" s="523"/>
      <c r="Q863" s="523"/>
      <c r="R863" s="523"/>
      <c r="S863" s="523"/>
      <c r="T863" s="523"/>
      <c r="U863" s="523"/>
      <c r="V863" s="523"/>
      <c r="W863" s="523"/>
      <c r="X863" s="523"/>
      <c r="Y863" s="523"/>
      <c r="Z863" s="523"/>
    </row>
    <row r="864">
      <c r="A864" s="523"/>
      <c r="B864" s="524"/>
      <c r="C864" s="523"/>
      <c r="D864" s="523"/>
      <c r="E864" s="524"/>
      <c r="F864" s="524"/>
      <c r="G864" s="524"/>
      <c r="H864" s="524"/>
      <c r="I864" s="523"/>
      <c r="J864" s="523"/>
      <c r="K864" s="523"/>
      <c r="L864" s="523"/>
      <c r="M864" s="523"/>
      <c r="N864" s="523"/>
      <c r="O864" s="523"/>
      <c r="P864" s="523"/>
      <c r="Q864" s="523"/>
      <c r="R864" s="523"/>
      <c r="S864" s="523"/>
      <c r="T864" s="523"/>
      <c r="U864" s="523"/>
      <c r="V864" s="523"/>
      <c r="W864" s="523"/>
      <c r="X864" s="523"/>
      <c r="Y864" s="523"/>
      <c r="Z864" s="523"/>
    </row>
    <row r="865">
      <c r="A865" s="523"/>
      <c r="B865" s="524"/>
      <c r="C865" s="523"/>
      <c r="D865" s="523"/>
      <c r="E865" s="524"/>
      <c r="F865" s="524"/>
      <c r="G865" s="524"/>
      <c r="H865" s="524"/>
      <c r="I865" s="523"/>
      <c r="J865" s="523"/>
      <c r="K865" s="523"/>
      <c r="L865" s="523"/>
      <c r="M865" s="523"/>
      <c r="N865" s="523"/>
      <c r="O865" s="523"/>
      <c r="P865" s="523"/>
      <c r="Q865" s="523"/>
      <c r="R865" s="523"/>
      <c r="S865" s="523"/>
      <c r="T865" s="523"/>
      <c r="U865" s="523"/>
      <c r="V865" s="523"/>
      <c r="W865" s="523"/>
      <c r="X865" s="523"/>
      <c r="Y865" s="523"/>
      <c r="Z865" s="523"/>
    </row>
    <row r="866">
      <c r="A866" s="523"/>
      <c r="B866" s="524"/>
      <c r="C866" s="523"/>
      <c r="D866" s="523"/>
      <c r="E866" s="524"/>
      <c r="F866" s="524"/>
      <c r="G866" s="524"/>
      <c r="H866" s="524"/>
      <c r="I866" s="523"/>
      <c r="J866" s="523"/>
      <c r="K866" s="523"/>
      <c r="L866" s="523"/>
      <c r="M866" s="523"/>
      <c r="N866" s="523"/>
      <c r="O866" s="523"/>
      <c r="P866" s="523"/>
      <c r="Q866" s="523"/>
      <c r="R866" s="523"/>
      <c r="S866" s="523"/>
      <c r="T866" s="523"/>
      <c r="U866" s="523"/>
      <c r="V866" s="523"/>
      <c r="W866" s="523"/>
      <c r="X866" s="523"/>
      <c r="Y866" s="523"/>
      <c r="Z866" s="523"/>
    </row>
    <row r="867">
      <c r="A867" s="523"/>
      <c r="B867" s="524"/>
      <c r="C867" s="523"/>
      <c r="D867" s="523"/>
      <c r="E867" s="524"/>
      <c r="F867" s="524"/>
      <c r="G867" s="524"/>
      <c r="H867" s="524"/>
      <c r="I867" s="523"/>
      <c r="J867" s="523"/>
      <c r="K867" s="523"/>
      <c r="L867" s="523"/>
      <c r="M867" s="523"/>
      <c r="N867" s="523"/>
      <c r="O867" s="523"/>
      <c r="P867" s="523"/>
      <c r="Q867" s="523"/>
      <c r="R867" s="523"/>
      <c r="S867" s="523"/>
      <c r="T867" s="523"/>
      <c r="U867" s="523"/>
      <c r="V867" s="523"/>
      <c r="W867" s="523"/>
      <c r="X867" s="523"/>
      <c r="Y867" s="523"/>
      <c r="Z867" s="523"/>
    </row>
    <row r="868">
      <c r="A868" s="523"/>
      <c r="B868" s="524"/>
      <c r="C868" s="523"/>
      <c r="D868" s="523"/>
      <c r="E868" s="524"/>
      <c r="F868" s="524"/>
      <c r="G868" s="524"/>
      <c r="H868" s="524"/>
      <c r="I868" s="523"/>
      <c r="J868" s="523"/>
      <c r="K868" s="523"/>
      <c r="L868" s="523"/>
      <c r="M868" s="523"/>
      <c r="N868" s="523"/>
      <c r="O868" s="523"/>
      <c r="P868" s="523"/>
      <c r="Q868" s="523"/>
      <c r="R868" s="523"/>
      <c r="S868" s="523"/>
      <c r="T868" s="523"/>
      <c r="U868" s="523"/>
      <c r="V868" s="523"/>
      <c r="W868" s="523"/>
      <c r="X868" s="523"/>
      <c r="Y868" s="523"/>
      <c r="Z868" s="523"/>
    </row>
    <row r="869">
      <c r="A869" s="523"/>
      <c r="B869" s="524"/>
      <c r="C869" s="523"/>
      <c r="D869" s="523"/>
      <c r="E869" s="524"/>
      <c r="F869" s="524"/>
      <c r="G869" s="524"/>
      <c r="H869" s="524"/>
      <c r="I869" s="523"/>
      <c r="J869" s="523"/>
      <c r="K869" s="523"/>
      <c r="L869" s="523"/>
      <c r="M869" s="523"/>
      <c r="N869" s="523"/>
      <c r="O869" s="523"/>
      <c r="P869" s="523"/>
      <c r="Q869" s="523"/>
      <c r="R869" s="523"/>
      <c r="S869" s="523"/>
      <c r="T869" s="523"/>
      <c r="U869" s="523"/>
      <c r="V869" s="523"/>
      <c r="W869" s="523"/>
      <c r="X869" s="523"/>
      <c r="Y869" s="523"/>
      <c r="Z869" s="523"/>
    </row>
    <row r="870">
      <c r="A870" s="523"/>
      <c r="B870" s="524"/>
      <c r="C870" s="523"/>
      <c r="D870" s="523"/>
      <c r="E870" s="524"/>
      <c r="F870" s="524"/>
      <c r="G870" s="524"/>
      <c r="H870" s="524"/>
      <c r="I870" s="523"/>
      <c r="J870" s="523"/>
      <c r="K870" s="523"/>
      <c r="L870" s="523"/>
      <c r="M870" s="523"/>
      <c r="N870" s="523"/>
      <c r="O870" s="523"/>
      <c r="P870" s="523"/>
      <c r="Q870" s="523"/>
      <c r="R870" s="523"/>
      <c r="S870" s="523"/>
      <c r="T870" s="523"/>
      <c r="U870" s="523"/>
      <c r="V870" s="523"/>
      <c r="W870" s="523"/>
      <c r="X870" s="523"/>
      <c r="Y870" s="523"/>
      <c r="Z870" s="523"/>
    </row>
    <row r="871">
      <c r="A871" s="523"/>
      <c r="B871" s="524"/>
      <c r="C871" s="523"/>
      <c r="D871" s="523"/>
      <c r="E871" s="524"/>
      <c r="F871" s="524"/>
      <c r="G871" s="524"/>
      <c r="H871" s="524"/>
      <c r="I871" s="523"/>
      <c r="J871" s="523"/>
      <c r="K871" s="523"/>
      <c r="L871" s="523"/>
      <c r="M871" s="523"/>
      <c r="N871" s="523"/>
      <c r="O871" s="523"/>
      <c r="P871" s="523"/>
      <c r="Q871" s="523"/>
      <c r="R871" s="523"/>
      <c r="S871" s="523"/>
      <c r="T871" s="523"/>
      <c r="U871" s="523"/>
      <c r="V871" s="523"/>
      <c r="W871" s="523"/>
      <c r="X871" s="523"/>
      <c r="Y871" s="523"/>
      <c r="Z871" s="523"/>
    </row>
    <row r="872">
      <c r="A872" s="523"/>
      <c r="B872" s="524"/>
      <c r="C872" s="523"/>
      <c r="D872" s="523"/>
      <c r="E872" s="524"/>
      <c r="F872" s="524"/>
      <c r="G872" s="524"/>
      <c r="H872" s="524"/>
      <c r="I872" s="523"/>
      <c r="J872" s="523"/>
      <c r="K872" s="523"/>
      <c r="L872" s="523"/>
      <c r="M872" s="523"/>
      <c r="N872" s="523"/>
      <c r="O872" s="523"/>
      <c r="P872" s="523"/>
      <c r="Q872" s="523"/>
      <c r="R872" s="523"/>
      <c r="S872" s="523"/>
      <c r="T872" s="523"/>
      <c r="U872" s="523"/>
      <c r="V872" s="523"/>
      <c r="W872" s="523"/>
      <c r="X872" s="523"/>
      <c r="Y872" s="523"/>
      <c r="Z872" s="523"/>
    </row>
    <row r="873">
      <c r="A873" s="523"/>
      <c r="B873" s="524"/>
      <c r="C873" s="523"/>
      <c r="D873" s="523"/>
      <c r="E873" s="524"/>
      <c r="F873" s="524"/>
      <c r="G873" s="524"/>
      <c r="H873" s="524"/>
      <c r="I873" s="523"/>
      <c r="J873" s="523"/>
      <c r="K873" s="523"/>
      <c r="L873" s="523"/>
      <c r="M873" s="523"/>
      <c r="N873" s="523"/>
      <c r="O873" s="523"/>
      <c r="P873" s="523"/>
      <c r="Q873" s="523"/>
      <c r="R873" s="523"/>
      <c r="S873" s="523"/>
      <c r="T873" s="523"/>
      <c r="U873" s="523"/>
      <c r="V873" s="523"/>
      <c r="W873" s="523"/>
      <c r="X873" s="523"/>
      <c r="Y873" s="523"/>
      <c r="Z873" s="523"/>
    </row>
    <row r="874">
      <c r="A874" s="523"/>
      <c r="B874" s="524"/>
      <c r="C874" s="523"/>
      <c r="D874" s="523"/>
      <c r="E874" s="524"/>
      <c r="F874" s="524"/>
      <c r="G874" s="524"/>
      <c r="H874" s="524"/>
      <c r="I874" s="523"/>
      <c r="J874" s="523"/>
      <c r="K874" s="523"/>
      <c r="L874" s="523"/>
      <c r="M874" s="523"/>
      <c r="N874" s="523"/>
      <c r="O874" s="523"/>
      <c r="P874" s="523"/>
      <c r="Q874" s="523"/>
      <c r="R874" s="523"/>
      <c r="S874" s="523"/>
      <c r="T874" s="523"/>
      <c r="U874" s="523"/>
      <c r="V874" s="523"/>
      <c r="W874" s="523"/>
      <c r="X874" s="523"/>
      <c r="Y874" s="523"/>
      <c r="Z874" s="523"/>
    </row>
    <row r="875">
      <c r="A875" s="523"/>
      <c r="B875" s="524"/>
      <c r="C875" s="523"/>
      <c r="D875" s="523"/>
      <c r="E875" s="524"/>
      <c r="F875" s="524"/>
      <c r="G875" s="524"/>
      <c r="H875" s="524"/>
      <c r="I875" s="523"/>
      <c r="J875" s="523"/>
      <c r="K875" s="523"/>
      <c r="L875" s="523"/>
      <c r="M875" s="523"/>
      <c r="N875" s="523"/>
      <c r="O875" s="523"/>
      <c r="P875" s="523"/>
      <c r="Q875" s="523"/>
      <c r="R875" s="523"/>
      <c r="S875" s="523"/>
      <c r="T875" s="523"/>
      <c r="U875" s="523"/>
      <c r="V875" s="523"/>
      <c r="W875" s="523"/>
      <c r="X875" s="523"/>
      <c r="Y875" s="523"/>
      <c r="Z875" s="523"/>
    </row>
    <row r="876">
      <c r="A876" s="523"/>
      <c r="B876" s="524"/>
      <c r="C876" s="523"/>
      <c r="D876" s="523"/>
      <c r="E876" s="524"/>
      <c r="F876" s="524"/>
      <c r="G876" s="524"/>
      <c r="H876" s="524"/>
      <c r="I876" s="523"/>
      <c r="J876" s="523"/>
      <c r="K876" s="523"/>
      <c r="L876" s="523"/>
      <c r="M876" s="523"/>
      <c r="N876" s="523"/>
      <c r="O876" s="523"/>
      <c r="P876" s="523"/>
      <c r="Q876" s="523"/>
      <c r="R876" s="523"/>
      <c r="S876" s="523"/>
      <c r="T876" s="523"/>
      <c r="U876" s="523"/>
      <c r="V876" s="523"/>
      <c r="W876" s="523"/>
      <c r="X876" s="523"/>
      <c r="Y876" s="523"/>
      <c r="Z876" s="523"/>
    </row>
    <row r="877">
      <c r="A877" s="523"/>
      <c r="B877" s="524"/>
      <c r="C877" s="523"/>
      <c r="D877" s="523"/>
      <c r="E877" s="524"/>
      <c r="F877" s="524"/>
      <c r="G877" s="524"/>
      <c r="H877" s="524"/>
      <c r="I877" s="523"/>
      <c r="J877" s="523"/>
      <c r="K877" s="523"/>
      <c r="L877" s="523"/>
      <c r="M877" s="523"/>
      <c r="N877" s="523"/>
      <c r="O877" s="523"/>
      <c r="P877" s="523"/>
      <c r="Q877" s="523"/>
      <c r="R877" s="523"/>
      <c r="S877" s="523"/>
      <c r="T877" s="523"/>
      <c r="U877" s="523"/>
      <c r="V877" s="523"/>
      <c r="W877" s="523"/>
      <c r="X877" s="523"/>
      <c r="Y877" s="523"/>
      <c r="Z877" s="523"/>
    </row>
    <row r="878">
      <c r="A878" s="523"/>
      <c r="B878" s="524"/>
      <c r="C878" s="523"/>
      <c r="D878" s="523"/>
      <c r="E878" s="524"/>
      <c r="F878" s="524"/>
      <c r="G878" s="524"/>
      <c r="H878" s="524"/>
      <c r="I878" s="523"/>
      <c r="J878" s="523"/>
      <c r="K878" s="523"/>
      <c r="L878" s="523"/>
      <c r="M878" s="523"/>
      <c r="N878" s="523"/>
      <c r="O878" s="523"/>
      <c r="P878" s="523"/>
      <c r="Q878" s="523"/>
      <c r="R878" s="523"/>
      <c r="S878" s="523"/>
      <c r="T878" s="523"/>
      <c r="U878" s="523"/>
      <c r="V878" s="523"/>
      <c r="W878" s="523"/>
      <c r="X878" s="523"/>
      <c r="Y878" s="523"/>
      <c r="Z878" s="523"/>
    </row>
    <row r="879">
      <c r="A879" s="523"/>
      <c r="B879" s="524"/>
      <c r="C879" s="523"/>
      <c r="D879" s="523"/>
      <c r="E879" s="524"/>
      <c r="F879" s="524"/>
      <c r="G879" s="524"/>
      <c r="H879" s="524"/>
      <c r="I879" s="523"/>
      <c r="J879" s="523"/>
      <c r="K879" s="523"/>
      <c r="L879" s="523"/>
      <c r="M879" s="523"/>
      <c r="N879" s="523"/>
      <c r="O879" s="523"/>
      <c r="P879" s="523"/>
      <c r="Q879" s="523"/>
      <c r="R879" s="523"/>
      <c r="S879" s="523"/>
      <c r="T879" s="523"/>
      <c r="U879" s="523"/>
      <c r="V879" s="523"/>
      <c r="W879" s="523"/>
      <c r="X879" s="523"/>
      <c r="Y879" s="523"/>
      <c r="Z879" s="523"/>
    </row>
    <row r="880">
      <c r="A880" s="523"/>
      <c r="B880" s="524"/>
      <c r="C880" s="523"/>
      <c r="D880" s="523"/>
      <c r="E880" s="524"/>
      <c r="F880" s="524"/>
      <c r="G880" s="524"/>
      <c r="H880" s="524"/>
      <c r="I880" s="523"/>
      <c r="J880" s="523"/>
      <c r="K880" s="523"/>
      <c r="L880" s="523"/>
      <c r="M880" s="523"/>
      <c r="N880" s="523"/>
      <c r="O880" s="523"/>
      <c r="P880" s="523"/>
      <c r="Q880" s="523"/>
      <c r="R880" s="523"/>
      <c r="S880" s="523"/>
      <c r="T880" s="523"/>
      <c r="U880" s="523"/>
      <c r="V880" s="523"/>
      <c r="W880" s="523"/>
      <c r="X880" s="523"/>
      <c r="Y880" s="523"/>
      <c r="Z880" s="523"/>
    </row>
    <row r="881">
      <c r="A881" s="523"/>
      <c r="B881" s="524"/>
      <c r="C881" s="523"/>
      <c r="D881" s="523"/>
      <c r="E881" s="524"/>
      <c r="F881" s="524"/>
      <c r="G881" s="524"/>
      <c r="H881" s="524"/>
      <c r="I881" s="523"/>
      <c r="J881" s="523"/>
      <c r="K881" s="523"/>
      <c r="L881" s="523"/>
      <c r="M881" s="523"/>
      <c r="N881" s="523"/>
      <c r="O881" s="523"/>
      <c r="P881" s="523"/>
      <c r="Q881" s="523"/>
      <c r="R881" s="523"/>
      <c r="S881" s="523"/>
      <c r="T881" s="523"/>
      <c r="U881" s="523"/>
      <c r="V881" s="523"/>
      <c r="W881" s="523"/>
      <c r="X881" s="523"/>
      <c r="Y881" s="523"/>
      <c r="Z881" s="523"/>
    </row>
    <row r="882">
      <c r="A882" s="523"/>
      <c r="B882" s="524"/>
      <c r="C882" s="523"/>
      <c r="D882" s="523"/>
      <c r="E882" s="524"/>
      <c r="F882" s="524"/>
      <c r="G882" s="524"/>
      <c r="H882" s="524"/>
      <c r="I882" s="523"/>
      <c r="J882" s="523"/>
      <c r="K882" s="523"/>
      <c r="L882" s="523"/>
      <c r="M882" s="523"/>
      <c r="N882" s="523"/>
      <c r="O882" s="523"/>
      <c r="P882" s="523"/>
      <c r="Q882" s="523"/>
      <c r="R882" s="523"/>
      <c r="S882" s="523"/>
      <c r="T882" s="523"/>
      <c r="U882" s="523"/>
      <c r="V882" s="523"/>
      <c r="W882" s="523"/>
      <c r="X882" s="523"/>
      <c r="Y882" s="523"/>
      <c r="Z882" s="523"/>
    </row>
    <row r="883">
      <c r="A883" s="523"/>
      <c r="B883" s="524"/>
      <c r="C883" s="523"/>
      <c r="D883" s="523"/>
      <c r="E883" s="524"/>
      <c r="F883" s="524"/>
      <c r="G883" s="524"/>
      <c r="H883" s="524"/>
      <c r="I883" s="523"/>
      <c r="J883" s="523"/>
      <c r="K883" s="523"/>
      <c r="L883" s="523"/>
      <c r="M883" s="523"/>
      <c r="N883" s="523"/>
      <c r="O883" s="523"/>
      <c r="P883" s="523"/>
      <c r="Q883" s="523"/>
      <c r="R883" s="523"/>
      <c r="S883" s="523"/>
      <c r="T883" s="523"/>
      <c r="U883" s="523"/>
      <c r="V883" s="523"/>
      <c r="W883" s="523"/>
      <c r="X883" s="523"/>
      <c r="Y883" s="523"/>
      <c r="Z883" s="523"/>
    </row>
    <row r="884">
      <c r="A884" s="523"/>
      <c r="B884" s="524"/>
      <c r="C884" s="523"/>
      <c r="D884" s="523"/>
      <c r="E884" s="524"/>
      <c r="F884" s="524"/>
      <c r="G884" s="524"/>
      <c r="H884" s="524"/>
      <c r="I884" s="523"/>
      <c r="J884" s="523"/>
      <c r="K884" s="523"/>
      <c r="L884" s="523"/>
      <c r="M884" s="523"/>
      <c r="N884" s="523"/>
      <c r="O884" s="523"/>
      <c r="P884" s="523"/>
      <c r="Q884" s="523"/>
      <c r="R884" s="523"/>
      <c r="S884" s="523"/>
      <c r="T884" s="523"/>
      <c r="U884" s="523"/>
      <c r="V884" s="523"/>
      <c r="W884" s="523"/>
      <c r="X884" s="523"/>
      <c r="Y884" s="523"/>
      <c r="Z884" s="523"/>
    </row>
    <row r="885">
      <c r="A885" s="523"/>
      <c r="B885" s="524"/>
      <c r="C885" s="523"/>
      <c r="D885" s="523"/>
      <c r="E885" s="524"/>
      <c r="F885" s="524"/>
      <c r="G885" s="524"/>
      <c r="H885" s="524"/>
      <c r="I885" s="523"/>
      <c r="J885" s="523"/>
      <c r="K885" s="523"/>
      <c r="L885" s="523"/>
      <c r="M885" s="523"/>
      <c r="N885" s="523"/>
      <c r="O885" s="523"/>
      <c r="P885" s="523"/>
      <c r="Q885" s="523"/>
      <c r="R885" s="523"/>
      <c r="S885" s="523"/>
      <c r="T885" s="523"/>
      <c r="U885" s="523"/>
      <c r="V885" s="523"/>
      <c r="W885" s="523"/>
      <c r="X885" s="523"/>
      <c r="Y885" s="523"/>
      <c r="Z885" s="523"/>
    </row>
    <row r="886">
      <c r="A886" s="523"/>
      <c r="B886" s="524"/>
      <c r="C886" s="523"/>
      <c r="D886" s="523"/>
      <c r="E886" s="524"/>
      <c r="F886" s="524"/>
      <c r="G886" s="524"/>
      <c r="H886" s="524"/>
      <c r="I886" s="523"/>
      <c r="J886" s="523"/>
      <c r="K886" s="523"/>
      <c r="L886" s="523"/>
      <c r="M886" s="523"/>
      <c r="N886" s="523"/>
      <c r="O886" s="523"/>
      <c r="P886" s="523"/>
      <c r="Q886" s="523"/>
      <c r="R886" s="523"/>
      <c r="S886" s="523"/>
      <c r="T886" s="523"/>
      <c r="U886" s="523"/>
      <c r="V886" s="523"/>
      <c r="W886" s="523"/>
      <c r="X886" s="523"/>
      <c r="Y886" s="523"/>
      <c r="Z886" s="523"/>
    </row>
    <row r="887">
      <c r="A887" s="523"/>
      <c r="B887" s="524"/>
      <c r="C887" s="523"/>
      <c r="D887" s="523"/>
      <c r="E887" s="524"/>
      <c r="F887" s="524"/>
      <c r="G887" s="524"/>
      <c r="H887" s="524"/>
      <c r="I887" s="523"/>
      <c r="J887" s="523"/>
      <c r="K887" s="523"/>
      <c r="L887" s="523"/>
      <c r="M887" s="523"/>
      <c r="N887" s="523"/>
      <c r="O887" s="523"/>
      <c r="P887" s="523"/>
      <c r="Q887" s="523"/>
      <c r="R887" s="523"/>
      <c r="S887" s="523"/>
      <c r="T887" s="523"/>
      <c r="U887" s="523"/>
      <c r="V887" s="523"/>
      <c r="W887" s="523"/>
      <c r="X887" s="523"/>
      <c r="Y887" s="523"/>
      <c r="Z887" s="523"/>
    </row>
    <row r="888">
      <c r="A888" s="523"/>
      <c r="B888" s="524"/>
      <c r="C888" s="523"/>
      <c r="D888" s="523"/>
      <c r="E888" s="524"/>
      <c r="F888" s="524"/>
      <c r="G888" s="524"/>
      <c r="H888" s="524"/>
      <c r="I888" s="523"/>
      <c r="J888" s="523"/>
      <c r="K888" s="523"/>
      <c r="L888" s="523"/>
      <c r="M888" s="523"/>
      <c r="N888" s="523"/>
      <c r="O888" s="523"/>
      <c r="P888" s="523"/>
      <c r="Q888" s="523"/>
      <c r="R888" s="523"/>
      <c r="S888" s="523"/>
      <c r="T888" s="523"/>
      <c r="U888" s="523"/>
      <c r="V888" s="523"/>
      <c r="W888" s="523"/>
      <c r="X888" s="523"/>
      <c r="Y888" s="523"/>
      <c r="Z888" s="523"/>
    </row>
    <row r="889">
      <c r="A889" s="523"/>
      <c r="B889" s="524"/>
      <c r="C889" s="523"/>
      <c r="D889" s="523"/>
      <c r="E889" s="524"/>
      <c r="F889" s="524"/>
      <c r="G889" s="524"/>
      <c r="H889" s="524"/>
      <c r="I889" s="523"/>
      <c r="J889" s="523"/>
      <c r="K889" s="523"/>
      <c r="L889" s="523"/>
      <c r="M889" s="523"/>
      <c r="N889" s="523"/>
      <c r="O889" s="523"/>
      <c r="P889" s="523"/>
      <c r="Q889" s="523"/>
      <c r="R889" s="523"/>
      <c r="S889" s="523"/>
      <c r="T889" s="523"/>
      <c r="U889" s="523"/>
      <c r="V889" s="523"/>
      <c r="W889" s="523"/>
      <c r="X889" s="523"/>
      <c r="Y889" s="523"/>
      <c r="Z889" s="523"/>
    </row>
    <row r="890">
      <c r="A890" s="523"/>
      <c r="B890" s="524"/>
      <c r="C890" s="523"/>
      <c r="D890" s="523"/>
      <c r="E890" s="524"/>
      <c r="F890" s="524"/>
      <c r="G890" s="524"/>
      <c r="H890" s="524"/>
      <c r="I890" s="523"/>
      <c r="J890" s="523"/>
      <c r="K890" s="523"/>
      <c r="L890" s="523"/>
      <c r="M890" s="523"/>
      <c r="N890" s="523"/>
      <c r="O890" s="523"/>
      <c r="P890" s="523"/>
      <c r="Q890" s="523"/>
      <c r="R890" s="523"/>
      <c r="S890" s="523"/>
      <c r="T890" s="523"/>
      <c r="U890" s="523"/>
      <c r="V890" s="523"/>
      <c r="W890" s="523"/>
      <c r="X890" s="523"/>
      <c r="Y890" s="523"/>
      <c r="Z890" s="523"/>
    </row>
    <row r="891">
      <c r="A891" s="523"/>
      <c r="B891" s="524"/>
      <c r="C891" s="523"/>
      <c r="D891" s="523"/>
      <c r="E891" s="524"/>
      <c r="F891" s="524"/>
      <c r="G891" s="524"/>
      <c r="H891" s="524"/>
      <c r="I891" s="523"/>
      <c r="J891" s="523"/>
      <c r="K891" s="523"/>
      <c r="L891" s="523"/>
      <c r="M891" s="523"/>
      <c r="N891" s="523"/>
      <c r="O891" s="523"/>
      <c r="P891" s="523"/>
      <c r="Q891" s="523"/>
      <c r="R891" s="523"/>
      <c r="S891" s="523"/>
      <c r="T891" s="523"/>
      <c r="U891" s="523"/>
      <c r="V891" s="523"/>
      <c r="W891" s="523"/>
      <c r="X891" s="523"/>
      <c r="Y891" s="523"/>
      <c r="Z891" s="523"/>
    </row>
    <row r="892">
      <c r="A892" s="523"/>
      <c r="B892" s="524"/>
      <c r="C892" s="523"/>
      <c r="D892" s="523"/>
      <c r="E892" s="524"/>
      <c r="F892" s="524"/>
      <c r="G892" s="524"/>
      <c r="H892" s="524"/>
      <c r="I892" s="523"/>
      <c r="J892" s="523"/>
      <c r="K892" s="523"/>
      <c r="L892" s="523"/>
      <c r="M892" s="523"/>
      <c r="N892" s="523"/>
      <c r="O892" s="523"/>
      <c r="P892" s="523"/>
      <c r="Q892" s="523"/>
      <c r="R892" s="523"/>
      <c r="S892" s="523"/>
      <c r="T892" s="523"/>
      <c r="U892" s="523"/>
      <c r="V892" s="523"/>
      <c r="W892" s="523"/>
      <c r="X892" s="523"/>
      <c r="Y892" s="523"/>
      <c r="Z892" s="523"/>
    </row>
    <row r="893">
      <c r="A893" s="523"/>
      <c r="B893" s="524"/>
      <c r="C893" s="523"/>
      <c r="D893" s="523"/>
      <c r="E893" s="524"/>
      <c r="F893" s="524"/>
      <c r="G893" s="524"/>
      <c r="H893" s="524"/>
      <c r="I893" s="523"/>
      <c r="J893" s="523"/>
      <c r="K893" s="523"/>
      <c r="L893" s="523"/>
      <c r="M893" s="523"/>
      <c r="N893" s="523"/>
      <c r="O893" s="523"/>
      <c r="P893" s="523"/>
      <c r="Q893" s="523"/>
      <c r="R893" s="523"/>
      <c r="S893" s="523"/>
      <c r="T893" s="523"/>
      <c r="U893" s="523"/>
      <c r="V893" s="523"/>
      <c r="W893" s="523"/>
      <c r="X893" s="523"/>
      <c r="Y893" s="523"/>
      <c r="Z893" s="523"/>
    </row>
    <row r="894">
      <c r="A894" s="523"/>
      <c r="B894" s="524"/>
      <c r="C894" s="523"/>
      <c r="D894" s="523"/>
      <c r="E894" s="524"/>
      <c r="F894" s="524"/>
      <c r="G894" s="524"/>
      <c r="H894" s="524"/>
      <c r="I894" s="523"/>
      <c r="J894" s="523"/>
      <c r="K894" s="523"/>
      <c r="L894" s="523"/>
      <c r="M894" s="523"/>
      <c r="N894" s="523"/>
      <c r="O894" s="523"/>
      <c r="P894" s="523"/>
      <c r="Q894" s="523"/>
      <c r="R894" s="523"/>
      <c r="S894" s="523"/>
      <c r="T894" s="523"/>
      <c r="U894" s="523"/>
      <c r="V894" s="523"/>
      <c r="W894" s="523"/>
      <c r="X894" s="523"/>
      <c r="Y894" s="523"/>
      <c r="Z894" s="523"/>
    </row>
    <row r="895">
      <c r="A895" s="523"/>
      <c r="B895" s="524"/>
      <c r="C895" s="523"/>
      <c r="D895" s="523"/>
      <c r="E895" s="524"/>
      <c r="F895" s="524"/>
      <c r="G895" s="524"/>
      <c r="H895" s="524"/>
      <c r="I895" s="523"/>
      <c r="J895" s="523"/>
      <c r="K895" s="523"/>
      <c r="L895" s="523"/>
      <c r="M895" s="523"/>
      <c r="N895" s="523"/>
      <c r="O895" s="523"/>
      <c r="P895" s="523"/>
      <c r="Q895" s="523"/>
      <c r="R895" s="523"/>
      <c r="S895" s="523"/>
      <c r="T895" s="523"/>
      <c r="U895" s="523"/>
      <c r="V895" s="523"/>
      <c r="W895" s="523"/>
      <c r="X895" s="523"/>
      <c r="Y895" s="523"/>
      <c r="Z895" s="523"/>
    </row>
    <row r="896">
      <c r="A896" s="523"/>
      <c r="B896" s="524"/>
      <c r="C896" s="523"/>
      <c r="D896" s="523"/>
      <c r="E896" s="524"/>
      <c r="F896" s="524"/>
      <c r="G896" s="524"/>
      <c r="H896" s="524"/>
      <c r="I896" s="523"/>
      <c r="J896" s="523"/>
      <c r="K896" s="523"/>
      <c r="L896" s="523"/>
      <c r="M896" s="523"/>
      <c r="N896" s="523"/>
      <c r="O896" s="523"/>
      <c r="P896" s="523"/>
      <c r="Q896" s="523"/>
      <c r="R896" s="523"/>
      <c r="S896" s="523"/>
      <c r="T896" s="523"/>
      <c r="U896" s="523"/>
      <c r="V896" s="523"/>
      <c r="W896" s="523"/>
      <c r="X896" s="523"/>
      <c r="Y896" s="523"/>
      <c r="Z896" s="523"/>
    </row>
    <row r="897">
      <c r="A897" s="523"/>
      <c r="B897" s="524"/>
      <c r="C897" s="523"/>
      <c r="D897" s="523"/>
      <c r="E897" s="524"/>
      <c r="F897" s="524"/>
      <c r="G897" s="524"/>
      <c r="H897" s="524"/>
      <c r="I897" s="523"/>
      <c r="J897" s="523"/>
      <c r="K897" s="523"/>
      <c r="L897" s="523"/>
      <c r="M897" s="523"/>
      <c r="N897" s="523"/>
      <c r="O897" s="523"/>
      <c r="P897" s="523"/>
      <c r="Q897" s="523"/>
      <c r="R897" s="523"/>
      <c r="S897" s="523"/>
      <c r="T897" s="523"/>
      <c r="U897" s="523"/>
      <c r="V897" s="523"/>
      <c r="W897" s="523"/>
      <c r="X897" s="523"/>
      <c r="Y897" s="523"/>
      <c r="Z897" s="523"/>
    </row>
    <row r="898">
      <c r="A898" s="523"/>
      <c r="B898" s="524"/>
      <c r="C898" s="523"/>
      <c r="D898" s="523"/>
      <c r="E898" s="524"/>
      <c r="F898" s="524"/>
      <c r="G898" s="524"/>
      <c r="H898" s="524"/>
      <c r="I898" s="523"/>
      <c r="J898" s="523"/>
      <c r="K898" s="523"/>
      <c r="L898" s="523"/>
      <c r="M898" s="523"/>
      <c r="N898" s="523"/>
      <c r="O898" s="523"/>
      <c r="P898" s="523"/>
      <c r="Q898" s="523"/>
      <c r="R898" s="523"/>
      <c r="S898" s="523"/>
      <c r="T898" s="523"/>
      <c r="U898" s="523"/>
      <c r="V898" s="523"/>
      <c r="W898" s="523"/>
      <c r="X898" s="523"/>
      <c r="Y898" s="523"/>
      <c r="Z898" s="523"/>
    </row>
    <row r="899">
      <c r="A899" s="523"/>
      <c r="B899" s="524"/>
      <c r="C899" s="523"/>
      <c r="D899" s="523"/>
      <c r="E899" s="524"/>
      <c r="F899" s="524"/>
      <c r="G899" s="524"/>
      <c r="H899" s="524"/>
      <c r="I899" s="523"/>
      <c r="J899" s="523"/>
      <c r="K899" s="523"/>
      <c r="L899" s="523"/>
      <c r="M899" s="523"/>
      <c r="N899" s="523"/>
      <c r="O899" s="523"/>
      <c r="P899" s="523"/>
      <c r="Q899" s="523"/>
      <c r="R899" s="523"/>
      <c r="S899" s="523"/>
      <c r="T899" s="523"/>
      <c r="U899" s="523"/>
      <c r="V899" s="523"/>
      <c r="W899" s="523"/>
      <c r="X899" s="523"/>
      <c r="Y899" s="523"/>
      <c r="Z899" s="523"/>
    </row>
    <row r="900">
      <c r="A900" s="523"/>
      <c r="B900" s="524"/>
      <c r="C900" s="523"/>
      <c r="D900" s="523"/>
      <c r="E900" s="524"/>
      <c r="F900" s="524"/>
      <c r="G900" s="524"/>
      <c r="H900" s="524"/>
      <c r="I900" s="523"/>
      <c r="J900" s="523"/>
      <c r="K900" s="523"/>
      <c r="L900" s="523"/>
      <c r="M900" s="523"/>
      <c r="N900" s="523"/>
      <c r="O900" s="523"/>
      <c r="P900" s="523"/>
      <c r="Q900" s="523"/>
      <c r="R900" s="523"/>
      <c r="S900" s="523"/>
      <c r="T900" s="523"/>
      <c r="U900" s="523"/>
      <c r="V900" s="523"/>
      <c r="W900" s="523"/>
      <c r="X900" s="523"/>
      <c r="Y900" s="523"/>
      <c r="Z900" s="523"/>
    </row>
    <row r="901">
      <c r="A901" s="523"/>
      <c r="B901" s="524"/>
      <c r="C901" s="523"/>
      <c r="D901" s="523"/>
      <c r="E901" s="524"/>
      <c r="F901" s="524"/>
      <c r="G901" s="524"/>
      <c r="H901" s="524"/>
      <c r="I901" s="523"/>
      <c r="J901" s="523"/>
      <c r="K901" s="523"/>
      <c r="L901" s="523"/>
      <c r="M901" s="523"/>
      <c r="N901" s="523"/>
      <c r="O901" s="523"/>
      <c r="P901" s="523"/>
      <c r="Q901" s="523"/>
      <c r="R901" s="523"/>
      <c r="S901" s="523"/>
      <c r="T901" s="523"/>
      <c r="U901" s="523"/>
      <c r="V901" s="523"/>
      <c r="W901" s="523"/>
      <c r="X901" s="523"/>
      <c r="Y901" s="523"/>
      <c r="Z901" s="523"/>
    </row>
    <row r="902">
      <c r="A902" s="523"/>
      <c r="B902" s="524"/>
      <c r="C902" s="523"/>
      <c r="D902" s="523"/>
      <c r="E902" s="524"/>
      <c r="F902" s="524"/>
      <c r="G902" s="524"/>
      <c r="H902" s="524"/>
      <c r="I902" s="523"/>
      <c r="J902" s="523"/>
      <c r="K902" s="523"/>
      <c r="L902" s="523"/>
      <c r="M902" s="523"/>
      <c r="N902" s="523"/>
      <c r="O902" s="523"/>
      <c r="P902" s="523"/>
      <c r="Q902" s="523"/>
      <c r="R902" s="523"/>
      <c r="S902" s="523"/>
      <c r="T902" s="523"/>
      <c r="U902" s="523"/>
      <c r="V902" s="523"/>
      <c r="W902" s="523"/>
      <c r="X902" s="523"/>
      <c r="Y902" s="523"/>
      <c r="Z902" s="523"/>
    </row>
    <row r="903">
      <c r="A903" s="523"/>
      <c r="B903" s="524"/>
      <c r="C903" s="523"/>
      <c r="D903" s="523"/>
      <c r="E903" s="524"/>
      <c r="F903" s="524"/>
      <c r="G903" s="524"/>
      <c r="H903" s="524"/>
      <c r="I903" s="523"/>
      <c r="J903" s="523"/>
      <c r="K903" s="523"/>
      <c r="L903" s="523"/>
      <c r="M903" s="523"/>
      <c r="N903" s="523"/>
      <c r="O903" s="523"/>
      <c r="P903" s="523"/>
      <c r="Q903" s="523"/>
      <c r="R903" s="523"/>
      <c r="S903" s="523"/>
      <c r="T903" s="523"/>
      <c r="U903" s="523"/>
      <c r="V903" s="523"/>
      <c r="W903" s="523"/>
      <c r="X903" s="523"/>
      <c r="Y903" s="523"/>
      <c r="Z903" s="523"/>
    </row>
    <row r="904">
      <c r="A904" s="523"/>
      <c r="B904" s="524"/>
      <c r="C904" s="523"/>
      <c r="D904" s="523"/>
      <c r="E904" s="524"/>
      <c r="F904" s="524"/>
      <c r="G904" s="524"/>
      <c r="H904" s="524"/>
      <c r="I904" s="523"/>
      <c r="J904" s="523"/>
      <c r="K904" s="523"/>
      <c r="L904" s="523"/>
      <c r="M904" s="523"/>
      <c r="N904" s="523"/>
      <c r="O904" s="523"/>
      <c r="P904" s="523"/>
      <c r="Q904" s="523"/>
      <c r="R904" s="523"/>
      <c r="S904" s="523"/>
      <c r="T904" s="523"/>
      <c r="U904" s="523"/>
      <c r="V904" s="523"/>
      <c r="W904" s="523"/>
      <c r="X904" s="523"/>
      <c r="Y904" s="523"/>
      <c r="Z904" s="523"/>
    </row>
    <row r="905">
      <c r="A905" s="523"/>
      <c r="B905" s="524"/>
      <c r="C905" s="523"/>
      <c r="D905" s="523"/>
      <c r="E905" s="524"/>
      <c r="F905" s="524"/>
      <c r="G905" s="524"/>
      <c r="H905" s="524"/>
      <c r="I905" s="523"/>
      <c r="J905" s="523"/>
      <c r="K905" s="523"/>
      <c r="L905" s="523"/>
      <c r="M905" s="523"/>
      <c r="N905" s="523"/>
      <c r="O905" s="523"/>
      <c r="P905" s="523"/>
      <c r="Q905" s="523"/>
      <c r="R905" s="523"/>
      <c r="S905" s="523"/>
      <c r="T905" s="523"/>
      <c r="U905" s="523"/>
      <c r="V905" s="523"/>
      <c r="W905" s="523"/>
      <c r="X905" s="523"/>
      <c r="Y905" s="523"/>
      <c r="Z905" s="523"/>
    </row>
    <row r="906">
      <c r="A906" s="523"/>
      <c r="B906" s="524"/>
      <c r="C906" s="523"/>
      <c r="D906" s="523"/>
      <c r="E906" s="524"/>
      <c r="F906" s="524"/>
      <c r="G906" s="524"/>
      <c r="H906" s="524"/>
      <c r="I906" s="523"/>
      <c r="J906" s="523"/>
      <c r="K906" s="523"/>
      <c r="L906" s="523"/>
      <c r="M906" s="523"/>
      <c r="N906" s="523"/>
      <c r="O906" s="523"/>
      <c r="P906" s="523"/>
      <c r="Q906" s="523"/>
      <c r="R906" s="523"/>
      <c r="S906" s="523"/>
      <c r="T906" s="523"/>
      <c r="U906" s="523"/>
      <c r="V906" s="523"/>
      <c r="W906" s="523"/>
      <c r="X906" s="523"/>
      <c r="Y906" s="523"/>
      <c r="Z906" s="523"/>
    </row>
    <row r="907">
      <c r="A907" s="523"/>
      <c r="B907" s="524"/>
      <c r="C907" s="523"/>
      <c r="D907" s="523"/>
      <c r="E907" s="524"/>
      <c r="F907" s="524"/>
      <c r="G907" s="524"/>
      <c r="H907" s="524"/>
      <c r="I907" s="523"/>
      <c r="J907" s="523"/>
      <c r="K907" s="523"/>
      <c r="L907" s="523"/>
      <c r="M907" s="523"/>
      <c r="N907" s="523"/>
      <c r="O907" s="523"/>
      <c r="P907" s="523"/>
      <c r="Q907" s="523"/>
      <c r="R907" s="523"/>
      <c r="S907" s="523"/>
      <c r="T907" s="523"/>
      <c r="U907" s="523"/>
      <c r="V907" s="523"/>
      <c r="W907" s="523"/>
      <c r="X907" s="523"/>
      <c r="Y907" s="523"/>
      <c r="Z907" s="523"/>
    </row>
    <row r="908">
      <c r="A908" s="523"/>
      <c r="B908" s="524"/>
      <c r="C908" s="523"/>
      <c r="D908" s="523"/>
      <c r="E908" s="524"/>
      <c r="F908" s="524"/>
      <c r="G908" s="524"/>
      <c r="H908" s="524"/>
      <c r="I908" s="523"/>
      <c r="J908" s="523"/>
      <c r="K908" s="523"/>
      <c r="L908" s="523"/>
      <c r="M908" s="523"/>
      <c r="N908" s="523"/>
      <c r="O908" s="523"/>
      <c r="P908" s="523"/>
      <c r="Q908" s="523"/>
      <c r="R908" s="523"/>
      <c r="S908" s="523"/>
      <c r="T908" s="523"/>
      <c r="U908" s="523"/>
      <c r="V908" s="523"/>
      <c r="W908" s="523"/>
      <c r="X908" s="523"/>
      <c r="Y908" s="523"/>
      <c r="Z908" s="523"/>
    </row>
    <row r="909">
      <c r="A909" s="523"/>
      <c r="B909" s="524"/>
      <c r="C909" s="523"/>
      <c r="D909" s="523"/>
      <c r="E909" s="524"/>
      <c r="F909" s="524"/>
      <c r="G909" s="524"/>
      <c r="H909" s="524"/>
      <c r="I909" s="523"/>
      <c r="J909" s="523"/>
      <c r="K909" s="523"/>
      <c r="L909" s="523"/>
      <c r="M909" s="523"/>
      <c r="N909" s="523"/>
      <c r="O909" s="523"/>
      <c r="P909" s="523"/>
      <c r="Q909" s="523"/>
      <c r="R909" s="523"/>
      <c r="S909" s="523"/>
      <c r="T909" s="523"/>
      <c r="U909" s="523"/>
      <c r="V909" s="523"/>
      <c r="W909" s="523"/>
      <c r="X909" s="523"/>
      <c r="Y909" s="523"/>
      <c r="Z909" s="523"/>
    </row>
    <row r="910">
      <c r="A910" s="523"/>
      <c r="B910" s="524"/>
      <c r="C910" s="523"/>
      <c r="D910" s="523"/>
      <c r="E910" s="524"/>
      <c r="F910" s="524"/>
      <c r="G910" s="524"/>
      <c r="H910" s="524"/>
      <c r="I910" s="523"/>
      <c r="J910" s="523"/>
      <c r="K910" s="523"/>
      <c r="L910" s="523"/>
      <c r="M910" s="523"/>
      <c r="N910" s="523"/>
      <c r="O910" s="523"/>
      <c r="P910" s="523"/>
      <c r="Q910" s="523"/>
      <c r="R910" s="523"/>
      <c r="S910" s="523"/>
      <c r="T910" s="523"/>
      <c r="U910" s="523"/>
      <c r="V910" s="523"/>
      <c r="W910" s="523"/>
      <c r="X910" s="523"/>
      <c r="Y910" s="523"/>
      <c r="Z910" s="523"/>
    </row>
    <row r="911">
      <c r="A911" s="523"/>
      <c r="B911" s="524"/>
      <c r="C911" s="523"/>
      <c r="D911" s="523"/>
      <c r="E911" s="524"/>
      <c r="F911" s="524"/>
      <c r="G911" s="524"/>
      <c r="H911" s="524"/>
      <c r="I911" s="523"/>
      <c r="J911" s="523"/>
      <c r="K911" s="523"/>
      <c r="L911" s="523"/>
      <c r="M911" s="523"/>
      <c r="N911" s="523"/>
      <c r="O911" s="523"/>
      <c r="P911" s="523"/>
      <c r="Q911" s="523"/>
      <c r="R911" s="523"/>
      <c r="S911" s="523"/>
      <c r="T911" s="523"/>
      <c r="U911" s="523"/>
      <c r="V911" s="523"/>
      <c r="W911" s="523"/>
      <c r="X911" s="523"/>
      <c r="Y911" s="523"/>
      <c r="Z911" s="523"/>
    </row>
    <row r="912">
      <c r="A912" s="523"/>
      <c r="B912" s="524"/>
      <c r="C912" s="523"/>
      <c r="D912" s="523"/>
      <c r="E912" s="524"/>
      <c r="F912" s="524"/>
      <c r="G912" s="524"/>
      <c r="H912" s="524"/>
      <c r="I912" s="523"/>
      <c r="J912" s="523"/>
      <c r="K912" s="523"/>
      <c r="L912" s="523"/>
      <c r="M912" s="523"/>
      <c r="N912" s="523"/>
      <c r="O912" s="523"/>
      <c r="P912" s="523"/>
      <c r="Q912" s="523"/>
      <c r="R912" s="523"/>
      <c r="S912" s="523"/>
      <c r="T912" s="523"/>
      <c r="U912" s="523"/>
      <c r="V912" s="523"/>
      <c r="W912" s="523"/>
      <c r="X912" s="523"/>
      <c r="Y912" s="523"/>
      <c r="Z912" s="523"/>
    </row>
    <row r="913">
      <c r="A913" s="523"/>
      <c r="B913" s="524"/>
      <c r="C913" s="523"/>
      <c r="D913" s="523"/>
      <c r="E913" s="524"/>
      <c r="F913" s="524"/>
      <c r="G913" s="524"/>
      <c r="H913" s="524"/>
      <c r="I913" s="523"/>
      <c r="J913" s="523"/>
      <c r="K913" s="523"/>
      <c r="L913" s="523"/>
      <c r="M913" s="523"/>
      <c r="N913" s="523"/>
      <c r="O913" s="523"/>
      <c r="P913" s="523"/>
      <c r="Q913" s="523"/>
      <c r="R913" s="523"/>
      <c r="S913" s="523"/>
      <c r="T913" s="523"/>
      <c r="U913" s="523"/>
      <c r="V913" s="523"/>
      <c r="W913" s="523"/>
      <c r="X913" s="523"/>
      <c r="Y913" s="523"/>
      <c r="Z913" s="523"/>
    </row>
    <row r="914">
      <c r="A914" s="523"/>
      <c r="B914" s="524"/>
      <c r="C914" s="523"/>
      <c r="D914" s="523"/>
      <c r="E914" s="524"/>
      <c r="F914" s="524"/>
      <c r="G914" s="524"/>
      <c r="H914" s="524"/>
      <c r="I914" s="523"/>
      <c r="J914" s="523"/>
      <c r="K914" s="523"/>
      <c r="L914" s="523"/>
      <c r="M914" s="523"/>
      <c r="N914" s="523"/>
      <c r="O914" s="523"/>
      <c r="P914" s="523"/>
      <c r="Q914" s="523"/>
      <c r="R914" s="523"/>
      <c r="S914" s="523"/>
      <c r="T914" s="523"/>
      <c r="U914" s="523"/>
      <c r="V914" s="523"/>
      <c r="W914" s="523"/>
      <c r="X914" s="523"/>
      <c r="Y914" s="523"/>
      <c r="Z914" s="523"/>
    </row>
    <row r="915">
      <c r="A915" s="523"/>
      <c r="B915" s="524"/>
      <c r="C915" s="523"/>
      <c r="D915" s="523"/>
      <c r="E915" s="524"/>
      <c r="F915" s="524"/>
      <c r="G915" s="524"/>
      <c r="H915" s="524"/>
      <c r="I915" s="523"/>
      <c r="J915" s="523"/>
      <c r="K915" s="523"/>
      <c r="L915" s="523"/>
      <c r="M915" s="523"/>
      <c r="N915" s="523"/>
      <c r="O915" s="523"/>
      <c r="P915" s="523"/>
      <c r="Q915" s="523"/>
      <c r="R915" s="523"/>
      <c r="S915" s="523"/>
      <c r="T915" s="523"/>
      <c r="U915" s="523"/>
      <c r="V915" s="523"/>
      <c r="W915" s="523"/>
      <c r="X915" s="523"/>
      <c r="Y915" s="523"/>
      <c r="Z915" s="523"/>
    </row>
    <row r="916">
      <c r="A916" s="523"/>
      <c r="B916" s="524"/>
      <c r="C916" s="523"/>
      <c r="D916" s="523"/>
      <c r="E916" s="524"/>
      <c r="F916" s="524"/>
      <c r="G916" s="524"/>
      <c r="H916" s="524"/>
      <c r="I916" s="523"/>
      <c r="J916" s="523"/>
      <c r="K916" s="523"/>
      <c r="L916" s="523"/>
      <c r="M916" s="523"/>
      <c r="N916" s="523"/>
      <c r="O916" s="523"/>
      <c r="P916" s="523"/>
      <c r="Q916" s="523"/>
      <c r="R916" s="523"/>
      <c r="S916" s="523"/>
      <c r="T916" s="523"/>
      <c r="U916" s="523"/>
      <c r="V916" s="523"/>
      <c r="W916" s="523"/>
      <c r="X916" s="523"/>
      <c r="Y916" s="523"/>
      <c r="Z916" s="523"/>
    </row>
    <row r="917">
      <c r="A917" s="523"/>
      <c r="B917" s="524"/>
      <c r="C917" s="523"/>
      <c r="D917" s="523"/>
      <c r="E917" s="524"/>
      <c r="F917" s="524"/>
      <c r="G917" s="524"/>
      <c r="H917" s="524"/>
      <c r="I917" s="523"/>
      <c r="J917" s="523"/>
      <c r="K917" s="523"/>
      <c r="L917" s="523"/>
      <c r="M917" s="523"/>
      <c r="N917" s="523"/>
      <c r="O917" s="523"/>
      <c r="P917" s="523"/>
      <c r="Q917" s="523"/>
      <c r="R917" s="523"/>
      <c r="S917" s="523"/>
      <c r="T917" s="523"/>
      <c r="U917" s="523"/>
      <c r="V917" s="523"/>
      <c r="W917" s="523"/>
      <c r="X917" s="523"/>
      <c r="Y917" s="523"/>
      <c r="Z917" s="523"/>
    </row>
    <row r="918">
      <c r="A918" s="523"/>
      <c r="B918" s="524"/>
      <c r="C918" s="523"/>
      <c r="D918" s="523"/>
      <c r="E918" s="524"/>
      <c r="F918" s="524"/>
      <c r="G918" s="524"/>
      <c r="H918" s="524"/>
      <c r="I918" s="523"/>
      <c r="J918" s="523"/>
      <c r="K918" s="523"/>
      <c r="L918" s="523"/>
      <c r="M918" s="523"/>
      <c r="N918" s="523"/>
      <c r="O918" s="523"/>
      <c r="P918" s="523"/>
      <c r="Q918" s="523"/>
      <c r="R918" s="523"/>
      <c r="S918" s="523"/>
      <c r="T918" s="523"/>
      <c r="U918" s="523"/>
      <c r="V918" s="523"/>
      <c r="W918" s="523"/>
      <c r="X918" s="523"/>
      <c r="Y918" s="523"/>
      <c r="Z918" s="523"/>
    </row>
    <row r="919">
      <c r="A919" s="523"/>
      <c r="B919" s="524"/>
      <c r="C919" s="523"/>
      <c r="D919" s="523"/>
      <c r="E919" s="524"/>
      <c r="F919" s="524"/>
      <c r="G919" s="524"/>
      <c r="H919" s="524"/>
      <c r="I919" s="523"/>
      <c r="J919" s="523"/>
      <c r="K919" s="523"/>
      <c r="L919" s="523"/>
      <c r="M919" s="523"/>
      <c r="N919" s="523"/>
      <c r="O919" s="523"/>
      <c r="P919" s="523"/>
      <c r="Q919" s="523"/>
      <c r="R919" s="523"/>
      <c r="S919" s="523"/>
      <c r="T919" s="523"/>
      <c r="U919" s="523"/>
      <c r="V919" s="523"/>
      <c r="W919" s="523"/>
      <c r="X919" s="523"/>
      <c r="Y919" s="523"/>
      <c r="Z919" s="523"/>
    </row>
    <row r="920">
      <c r="A920" s="523"/>
      <c r="B920" s="524"/>
      <c r="C920" s="523"/>
      <c r="D920" s="523"/>
      <c r="E920" s="524"/>
      <c r="F920" s="524"/>
      <c r="G920" s="524"/>
      <c r="H920" s="524"/>
      <c r="I920" s="523"/>
      <c r="J920" s="523"/>
      <c r="K920" s="523"/>
      <c r="L920" s="523"/>
      <c r="M920" s="523"/>
      <c r="N920" s="523"/>
      <c r="O920" s="523"/>
      <c r="P920" s="523"/>
      <c r="Q920" s="523"/>
      <c r="R920" s="523"/>
      <c r="S920" s="523"/>
      <c r="T920" s="523"/>
      <c r="U920" s="523"/>
      <c r="V920" s="523"/>
      <c r="W920" s="523"/>
      <c r="X920" s="523"/>
      <c r="Y920" s="523"/>
      <c r="Z920" s="523"/>
    </row>
    <row r="921">
      <c r="A921" s="523"/>
      <c r="B921" s="524"/>
      <c r="C921" s="523"/>
      <c r="D921" s="523"/>
      <c r="E921" s="524"/>
      <c r="F921" s="524"/>
      <c r="G921" s="524"/>
      <c r="H921" s="524"/>
      <c r="I921" s="523"/>
      <c r="J921" s="523"/>
      <c r="K921" s="523"/>
      <c r="L921" s="523"/>
      <c r="M921" s="523"/>
      <c r="N921" s="523"/>
      <c r="O921" s="523"/>
      <c r="P921" s="523"/>
      <c r="Q921" s="523"/>
      <c r="R921" s="523"/>
      <c r="S921" s="523"/>
      <c r="T921" s="523"/>
      <c r="U921" s="523"/>
      <c r="V921" s="523"/>
      <c r="W921" s="523"/>
      <c r="X921" s="523"/>
      <c r="Y921" s="523"/>
      <c r="Z921" s="523"/>
    </row>
    <row r="922">
      <c r="A922" s="523"/>
      <c r="B922" s="524"/>
      <c r="C922" s="523"/>
      <c r="D922" s="523"/>
      <c r="E922" s="524"/>
      <c r="F922" s="524"/>
      <c r="G922" s="524"/>
      <c r="H922" s="524"/>
      <c r="I922" s="523"/>
      <c r="J922" s="523"/>
      <c r="K922" s="523"/>
      <c r="L922" s="523"/>
      <c r="M922" s="523"/>
      <c r="N922" s="523"/>
      <c r="O922" s="523"/>
      <c r="P922" s="523"/>
      <c r="Q922" s="523"/>
      <c r="R922" s="523"/>
      <c r="S922" s="523"/>
      <c r="T922" s="523"/>
      <c r="U922" s="523"/>
      <c r="V922" s="523"/>
      <c r="W922" s="523"/>
      <c r="X922" s="523"/>
      <c r="Y922" s="523"/>
      <c r="Z922" s="523"/>
    </row>
    <row r="923">
      <c r="A923" s="523"/>
      <c r="B923" s="524"/>
      <c r="C923" s="523"/>
      <c r="D923" s="523"/>
      <c r="E923" s="524"/>
      <c r="F923" s="524"/>
      <c r="G923" s="524"/>
      <c r="H923" s="524"/>
      <c r="I923" s="523"/>
      <c r="J923" s="523"/>
      <c r="K923" s="523"/>
      <c r="L923" s="523"/>
      <c r="M923" s="523"/>
      <c r="N923" s="523"/>
      <c r="O923" s="523"/>
      <c r="P923" s="523"/>
      <c r="Q923" s="523"/>
      <c r="R923" s="523"/>
      <c r="S923" s="523"/>
      <c r="T923" s="523"/>
      <c r="U923" s="523"/>
      <c r="V923" s="523"/>
      <c r="W923" s="523"/>
      <c r="X923" s="523"/>
      <c r="Y923" s="523"/>
      <c r="Z923" s="523"/>
    </row>
    <row r="924">
      <c r="A924" s="523"/>
      <c r="B924" s="524"/>
      <c r="C924" s="523"/>
      <c r="D924" s="523"/>
      <c r="E924" s="524"/>
      <c r="F924" s="524"/>
      <c r="G924" s="524"/>
      <c r="H924" s="524"/>
      <c r="I924" s="523"/>
      <c r="J924" s="523"/>
      <c r="K924" s="523"/>
      <c r="L924" s="523"/>
      <c r="M924" s="523"/>
      <c r="N924" s="523"/>
      <c r="O924" s="523"/>
      <c r="P924" s="523"/>
      <c r="Q924" s="523"/>
      <c r="R924" s="523"/>
      <c r="S924" s="523"/>
      <c r="T924" s="523"/>
      <c r="U924" s="523"/>
      <c r="V924" s="523"/>
      <c r="W924" s="523"/>
      <c r="X924" s="523"/>
      <c r="Y924" s="523"/>
      <c r="Z924" s="523"/>
    </row>
    <row r="925">
      <c r="A925" s="523"/>
      <c r="B925" s="524"/>
      <c r="C925" s="523"/>
      <c r="D925" s="523"/>
      <c r="E925" s="524"/>
      <c r="F925" s="524"/>
      <c r="G925" s="524"/>
      <c r="H925" s="524"/>
      <c r="I925" s="523"/>
      <c r="J925" s="523"/>
      <c r="K925" s="523"/>
      <c r="L925" s="523"/>
      <c r="M925" s="523"/>
      <c r="N925" s="523"/>
      <c r="O925" s="523"/>
      <c r="P925" s="523"/>
      <c r="Q925" s="523"/>
      <c r="R925" s="523"/>
      <c r="S925" s="523"/>
      <c r="T925" s="523"/>
      <c r="U925" s="523"/>
      <c r="V925" s="523"/>
      <c r="W925" s="523"/>
      <c r="X925" s="523"/>
      <c r="Y925" s="523"/>
      <c r="Z925" s="523"/>
    </row>
    <row r="926">
      <c r="A926" s="523"/>
      <c r="B926" s="524"/>
      <c r="C926" s="523"/>
      <c r="D926" s="523"/>
      <c r="E926" s="524"/>
      <c r="F926" s="524"/>
      <c r="G926" s="524"/>
      <c r="H926" s="524"/>
      <c r="I926" s="523"/>
      <c r="J926" s="523"/>
      <c r="K926" s="523"/>
      <c r="L926" s="523"/>
      <c r="M926" s="523"/>
      <c r="N926" s="523"/>
      <c r="O926" s="523"/>
      <c r="P926" s="523"/>
      <c r="Q926" s="523"/>
      <c r="R926" s="523"/>
      <c r="S926" s="523"/>
      <c r="T926" s="523"/>
      <c r="U926" s="523"/>
      <c r="V926" s="523"/>
      <c r="W926" s="523"/>
      <c r="X926" s="523"/>
      <c r="Y926" s="523"/>
      <c r="Z926" s="523"/>
    </row>
    <row r="927">
      <c r="A927" s="523"/>
      <c r="B927" s="524"/>
      <c r="C927" s="523"/>
      <c r="D927" s="523"/>
      <c r="E927" s="524"/>
      <c r="F927" s="524"/>
      <c r="G927" s="524"/>
      <c r="H927" s="524"/>
      <c r="I927" s="523"/>
      <c r="J927" s="523"/>
      <c r="K927" s="523"/>
      <c r="L927" s="523"/>
      <c r="M927" s="523"/>
      <c r="N927" s="523"/>
      <c r="O927" s="523"/>
      <c r="P927" s="523"/>
      <c r="Q927" s="523"/>
      <c r="R927" s="523"/>
      <c r="S927" s="523"/>
      <c r="T927" s="523"/>
      <c r="U927" s="523"/>
      <c r="V927" s="523"/>
      <c r="W927" s="523"/>
      <c r="X927" s="523"/>
      <c r="Y927" s="523"/>
      <c r="Z927" s="523"/>
    </row>
    <row r="928">
      <c r="A928" s="523"/>
      <c r="B928" s="524"/>
      <c r="C928" s="523"/>
      <c r="D928" s="523"/>
      <c r="E928" s="524"/>
      <c r="F928" s="524"/>
      <c r="G928" s="524"/>
      <c r="H928" s="524"/>
      <c r="I928" s="523"/>
      <c r="J928" s="523"/>
      <c r="K928" s="523"/>
      <c r="L928" s="523"/>
      <c r="M928" s="523"/>
      <c r="N928" s="523"/>
      <c r="O928" s="523"/>
      <c r="P928" s="523"/>
      <c r="Q928" s="523"/>
      <c r="R928" s="523"/>
      <c r="S928" s="523"/>
      <c r="T928" s="523"/>
      <c r="U928" s="523"/>
      <c r="V928" s="523"/>
      <c r="W928" s="523"/>
      <c r="X928" s="523"/>
      <c r="Y928" s="523"/>
      <c r="Z928" s="523"/>
    </row>
    <row r="929">
      <c r="A929" s="523"/>
      <c r="B929" s="524"/>
      <c r="C929" s="523"/>
      <c r="D929" s="523"/>
      <c r="E929" s="524"/>
      <c r="F929" s="524"/>
      <c r="G929" s="524"/>
      <c r="H929" s="524"/>
      <c r="I929" s="523"/>
      <c r="J929" s="523"/>
      <c r="K929" s="523"/>
      <c r="L929" s="523"/>
      <c r="M929" s="523"/>
      <c r="N929" s="523"/>
      <c r="O929" s="523"/>
      <c r="P929" s="523"/>
      <c r="Q929" s="523"/>
      <c r="R929" s="523"/>
      <c r="S929" s="523"/>
      <c r="T929" s="523"/>
      <c r="U929" s="523"/>
      <c r="V929" s="523"/>
      <c r="W929" s="523"/>
      <c r="X929" s="523"/>
      <c r="Y929" s="523"/>
      <c r="Z929" s="523"/>
    </row>
    <row r="930">
      <c r="A930" s="523"/>
      <c r="B930" s="524"/>
      <c r="C930" s="523"/>
      <c r="D930" s="523"/>
      <c r="E930" s="524"/>
      <c r="F930" s="524"/>
      <c r="G930" s="524"/>
      <c r="H930" s="524"/>
      <c r="I930" s="523"/>
      <c r="J930" s="523"/>
      <c r="K930" s="523"/>
      <c r="L930" s="523"/>
      <c r="M930" s="523"/>
      <c r="N930" s="523"/>
      <c r="O930" s="523"/>
      <c r="P930" s="523"/>
      <c r="Q930" s="523"/>
      <c r="R930" s="523"/>
      <c r="S930" s="523"/>
      <c r="T930" s="523"/>
      <c r="U930" s="523"/>
      <c r="V930" s="523"/>
      <c r="W930" s="523"/>
      <c r="X930" s="523"/>
      <c r="Y930" s="523"/>
      <c r="Z930" s="523"/>
    </row>
    <row r="931">
      <c r="A931" s="523"/>
      <c r="B931" s="524"/>
      <c r="C931" s="523"/>
      <c r="D931" s="523"/>
      <c r="E931" s="524"/>
      <c r="F931" s="524"/>
      <c r="G931" s="524"/>
      <c r="H931" s="524"/>
      <c r="I931" s="523"/>
      <c r="J931" s="523"/>
      <c r="K931" s="523"/>
      <c r="L931" s="523"/>
      <c r="M931" s="523"/>
      <c r="N931" s="523"/>
      <c r="O931" s="523"/>
      <c r="P931" s="523"/>
      <c r="Q931" s="523"/>
      <c r="R931" s="523"/>
      <c r="S931" s="523"/>
      <c r="T931" s="523"/>
      <c r="U931" s="523"/>
      <c r="V931" s="523"/>
      <c r="W931" s="523"/>
      <c r="X931" s="523"/>
      <c r="Y931" s="523"/>
      <c r="Z931" s="523"/>
    </row>
    <row r="932">
      <c r="A932" s="523"/>
      <c r="B932" s="524"/>
      <c r="C932" s="523"/>
      <c r="D932" s="523"/>
      <c r="E932" s="524"/>
      <c r="F932" s="524"/>
      <c r="G932" s="524"/>
      <c r="H932" s="524"/>
      <c r="I932" s="523"/>
      <c r="J932" s="523"/>
      <c r="K932" s="523"/>
      <c r="L932" s="523"/>
      <c r="M932" s="523"/>
      <c r="N932" s="523"/>
      <c r="O932" s="523"/>
      <c r="P932" s="523"/>
      <c r="Q932" s="523"/>
      <c r="R932" s="523"/>
      <c r="S932" s="523"/>
      <c r="T932" s="523"/>
      <c r="U932" s="523"/>
      <c r="V932" s="523"/>
      <c r="W932" s="523"/>
      <c r="X932" s="523"/>
      <c r="Y932" s="523"/>
      <c r="Z932" s="523"/>
    </row>
    <row r="933">
      <c r="A933" s="523"/>
      <c r="B933" s="524"/>
      <c r="C933" s="523"/>
      <c r="D933" s="523"/>
      <c r="E933" s="524"/>
      <c r="F933" s="524"/>
      <c r="G933" s="524"/>
      <c r="H933" s="524"/>
      <c r="I933" s="523"/>
      <c r="J933" s="523"/>
      <c r="K933" s="523"/>
      <c r="L933" s="523"/>
      <c r="M933" s="523"/>
      <c r="N933" s="523"/>
      <c r="O933" s="523"/>
      <c r="P933" s="523"/>
      <c r="Q933" s="523"/>
      <c r="R933" s="523"/>
      <c r="S933" s="523"/>
      <c r="T933" s="523"/>
      <c r="U933" s="523"/>
      <c r="V933" s="523"/>
      <c r="W933" s="523"/>
      <c r="X933" s="523"/>
      <c r="Y933" s="523"/>
      <c r="Z933" s="523"/>
    </row>
    <row r="934">
      <c r="A934" s="523"/>
      <c r="B934" s="524"/>
      <c r="C934" s="523"/>
      <c r="D934" s="523"/>
      <c r="E934" s="524"/>
      <c r="F934" s="524"/>
      <c r="G934" s="524"/>
      <c r="H934" s="524"/>
      <c r="I934" s="523"/>
      <c r="J934" s="523"/>
      <c r="K934" s="523"/>
      <c r="L934" s="523"/>
      <c r="M934" s="523"/>
      <c r="N934" s="523"/>
      <c r="O934" s="523"/>
      <c r="P934" s="523"/>
      <c r="Q934" s="523"/>
      <c r="R934" s="523"/>
      <c r="S934" s="523"/>
      <c r="T934" s="523"/>
      <c r="U934" s="523"/>
      <c r="V934" s="523"/>
      <c r="W934" s="523"/>
      <c r="X934" s="523"/>
      <c r="Y934" s="523"/>
      <c r="Z934" s="523"/>
    </row>
    <row r="935">
      <c r="A935" s="523"/>
      <c r="B935" s="524"/>
      <c r="C935" s="523"/>
      <c r="D935" s="523"/>
      <c r="E935" s="524"/>
      <c r="F935" s="524"/>
      <c r="G935" s="524"/>
      <c r="H935" s="524"/>
      <c r="I935" s="523"/>
      <c r="J935" s="523"/>
      <c r="K935" s="523"/>
      <c r="L935" s="523"/>
      <c r="M935" s="523"/>
      <c r="N935" s="523"/>
      <c r="O935" s="523"/>
      <c r="P935" s="523"/>
      <c r="Q935" s="523"/>
      <c r="R935" s="523"/>
      <c r="S935" s="523"/>
      <c r="T935" s="523"/>
      <c r="U935" s="523"/>
      <c r="V935" s="523"/>
      <c r="W935" s="523"/>
      <c r="X935" s="523"/>
      <c r="Y935" s="523"/>
      <c r="Z935" s="523"/>
    </row>
    <row r="936">
      <c r="A936" s="523"/>
      <c r="B936" s="524"/>
      <c r="C936" s="523"/>
      <c r="D936" s="523"/>
      <c r="E936" s="524"/>
      <c r="F936" s="524"/>
      <c r="G936" s="524"/>
      <c r="H936" s="524"/>
      <c r="I936" s="523"/>
      <c r="J936" s="523"/>
      <c r="K936" s="523"/>
      <c r="L936" s="523"/>
      <c r="M936" s="523"/>
      <c r="N936" s="523"/>
      <c r="O936" s="523"/>
      <c r="P936" s="523"/>
      <c r="Q936" s="523"/>
      <c r="R936" s="523"/>
      <c r="S936" s="523"/>
      <c r="T936" s="523"/>
      <c r="U936" s="523"/>
      <c r="V936" s="523"/>
      <c r="W936" s="523"/>
      <c r="X936" s="523"/>
      <c r="Y936" s="523"/>
      <c r="Z936" s="523"/>
    </row>
    <row r="937">
      <c r="A937" s="523"/>
      <c r="B937" s="524"/>
      <c r="C937" s="523"/>
      <c r="D937" s="523"/>
      <c r="E937" s="524"/>
      <c r="F937" s="524"/>
      <c r="G937" s="524"/>
      <c r="H937" s="524"/>
      <c r="I937" s="523"/>
      <c r="J937" s="523"/>
      <c r="K937" s="523"/>
      <c r="L937" s="523"/>
      <c r="M937" s="523"/>
      <c r="N937" s="523"/>
      <c r="O937" s="523"/>
      <c r="P937" s="523"/>
      <c r="Q937" s="523"/>
      <c r="R937" s="523"/>
      <c r="S937" s="523"/>
      <c r="T937" s="523"/>
      <c r="U937" s="523"/>
      <c r="V937" s="523"/>
      <c r="W937" s="523"/>
      <c r="X937" s="523"/>
      <c r="Y937" s="523"/>
      <c r="Z937" s="523"/>
    </row>
    <row r="938">
      <c r="A938" s="523"/>
      <c r="B938" s="524"/>
      <c r="C938" s="523"/>
      <c r="D938" s="523"/>
      <c r="E938" s="524"/>
      <c r="F938" s="524"/>
      <c r="G938" s="524"/>
      <c r="H938" s="524"/>
      <c r="I938" s="523"/>
      <c r="J938" s="523"/>
      <c r="K938" s="523"/>
      <c r="L938" s="523"/>
      <c r="M938" s="523"/>
      <c r="N938" s="523"/>
      <c r="O938" s="523"/>
      <c r="P938" s="523"/>
      <c r="Q938" s="523"/>
      <c r="R938" s="523"/>
      <c r="S938" s="523"/>
      <c r="T938" s="523"/>
      <c r="U938" s="523"/>
      <c r="V938" s="523"/>
      <c r="W938" s="523"/>
      <c r="X938" s="523"/>
      <c r="Y938" s="523"/>
      <c r="Z938" s="523"/>
    </row>
    <row r="939">
      <c r="A939" s="523"/>
      <c r="B939" s="524"/>
      <c r="C939" s="523"/>
      <c r="D939" s="523"/>
      <c r="E939" s="524"/>
      <c r="F939" s="524"/>
      <c r="G939" s="524"/>
      <c r="H939" s="524"/>
      <c r="I939" s="523"/>
      <c r="J939" s="523"/>
      <c r="K939" s="523"/>
      <c r="L939" s="523"/>
      <c r="M939" s="523"/>
      <c r="N939" s="523"/>
      <c r="O939" s="523"/>
      <c r="P939" s="523"/>
      <c r="Q939" s="523"/>
      <c r="R939" s="523"/>
      <c r="S939" s="523"/>
      <c r="T939" s="523"/>
      <c r="U939" s="523"/>
      <c r="V939" s="523"/>
      <c r="W939" s="523"/>
      <c r="X939" s="523"/>
      <c r="Y939" s="523"/>
      <c r="Z939" s="523"/>
    </row>
    <row r="940">
      <c r="A940" s="523"/>
      <c r="B940" s="524"/>
      <c r="C940" s="523"/>
      <c r="D940" s="523"/>
      <c r="E940" s="524"/>
      <c r="F940" s="524"/>
      <c r="G940" s="524"/>
      <c r="H940" s="524"/>
      <c r="I940" s="523"/>
      <c r="J940" s="523"/>
      <c r="K940" s="523"/>
      <c r="L940" s="523"/>
      <c r="M940" s="523"/>
      <c r="N940" s="523"/>
      <c r="O940" s="523"/>
      <c r="P940" s="523"/>
      <c r="Q940" s="523"/>
      <c r="R940" s="523"/>
      <c r="S940" s="523"/>
      <c r="T940" s="523"/>
      <c r="U940" s="523"/>
      <c r="V940" s="523"/>
      <c r="W940" s="523"/>
      <c r="X940" s="523"/>
      <c r="Y940" s="523"/>
      <c r="Z940" s="523"/>
    </row>
    <row r="941">
      <c r="A941" s="523"/>
      <c r="B941" s="524"/>
      <c r="C941" s="523"/>
      <c r="D941" s="523"/>
      <c r="E941" s="524"/>
      <c r="F941" s="524"/>
      <c r="G941" s="524"/>
      <c r="H941" s="524"/>
      <c r="I941" s="523"/>
      <c r="J941" s="523"/>
      <c r="K941" s="523"/>
      <c r="L941" s="523"/>
      <c r="M941" s="523"/>
      <c r="N941" s="523"/>
      <c r="O941" s="523"/>
      <c r="P941" s="523"/>
      <c r="Q941" s="523"/>
      <c r="R941" s="523"/>
      <c r="S941" s="523"/>
      <c r="T941" s="523"/>
      <c r="U941" s="523"/>
      <c r="V941" s="523"/>
      <c r="W941" s="523"/>
      <c r="X941" s="523"/>
      <c r="Y941" s="523"/>
      <c r="Z941" s="523"/>
    </row>
    <row r="942">
      <c r="A942" s="523"/>
      <c r="B942" s="524"/>
      <c r="C942" s="523"/>
      <c r="D942" s="523"/>
      <c r="E942" s="524"/>
      <c r="F942" s="524"/>
      <c r="G942" s="524"/>
      <c r="H942" s="524"/>
      <c r="I942" s="523"/>
      <c r="J942" s="523"/>
      <c r="K942" s="523"/>
      <c r="L942" s="523"/>
      <c r="M942" s="523"/>
      <c r="N942" s="523"/>
      <c r="O942" s="523"/>
      <c r="P942" s="523"/>
      <c r="Q942" s="523"/>
      <c r="R942" s="523"/>
      <c r="S942" s="523"/>
      <c r="T942" s="523"/>
      <c r="U942" s="523"/>
      <c r="V942" s="523"/>
      <c r="W942" s="523"/>
      <c r="X942" s="523"/>
      <c r="Y942" s="523"/>
      <c r="Z942" s="523"/>
    </row>
    <row r="943">
      <c r="A943" s="523"/>
      <c r="B943" s="524"/>
      <c r="C943" s="523"/>
      <c r="D943" s="523"/>
      <c r="E943" s="524"/>
      <c r="F943" s="524"/>
      <c r="G943" s="524"/>
      <c r="H943" s="524"/>
      <c r="I943" s="523"/>
      <c r="J943" s="523"/>
      <c r="K943" s="523"/>
      <c r="L943" s="523"/>
      <c r="M943" s="523"/>
      <c r="N943" s="523"/>
      <c r="O943" s="523"/>
      <c r="P943" s="523"/>
      <c r="Q943" s="523"/>
      <c r="R943" s="523"/>
      <c r="S943" s="523"/>
      <c r="T943" s="523"/>
      <c r="U943" s="523"/>
      <c r="V943" s="523"/>
      <c r="W943" s="523"/>
      <c r="X943" s="523"/>
      <c r="Y943" s="523"/>
      <c r="Z943" s="523"/>
    </row>
    <row r="944">
      <c r="A944" s="523"/>
      <c r="B944" s="524"/>
      <c r="C944" s="523"/>
      <c r="D944" s="523"/>
      <c r="E944" s="524"/>
      <c r="F944" s="524"/>
      <c r="G944" s="524"/>
      <c r="H944" s="524"/>
      <c r="I944" s="523"/>
      <c r="J944" s="523"/>
      <c r="K944" s="523"/>
      <c r="L944" s="523"/>
      <c r="M944" s="523"/>
      <c r="N944" s="523"/>
      <c r="O944" s="523"/>
      <c r="P944" s="523"/>
      <c r="Q944" s="523"/>
      <c r="R944" s="523"/>
      <c r="S944" s="523"/>
      <c r="T944" s="523"/>
      <c r="U944" s="523"/>
      <c r="V944" s="523"/>
      <c r="W944" s="523"/>
      <c r="X944" s="523"/>
      <c r="Y944" s="523"/>
      <c r="Z944" s="523"/>
    </row>
    <row r="945">
      <c r="A945" s="523"/>
      <c r="B945" s="524"/>
      <c r="C945" s="523"/>
      <c r="D945" s="523"/>
      <c r="E945" s="524"/>
      <c r="F945" s="524"/>
      <c r="G945" s="524"/>
      <c r="H945" s="524"/>
      <c r="I945" s="523"/>
      <c r="J945" s="523"/>
      <c r="K945" s="523"/>
      <c r="L945" s="523"/>
      <c r="M945" s="523"/>
      <c r="N945" s="523"/>
      <c r="O945" s="523"/>
      <c r="P945" s="523"/>
      <c r="Q945" s="523"/>
      <c r="R945" s="523"/>
      <c r="S945" s="523"/>
      <c r="T945" s="523"/>
      <c r="U945" s="523"/>
      <c r="V945" s="523"/>
      <c r="W945" s="523"/>
      <c r="X945" s="523"/>
      <c r="Y945" s="523"/>
      <c r="Z945" s="523"/>
    </row>
    <row r="946">
      <c r="A946" s="523"/>
      <c r="B946" s="524"/>
      <c r="C946" s="523"/>
      <c r="D946" s="523"/>
      <c r="E946" s="524"/>
      <c r="F946" s="524"/>
      <c r="G946" s="524"/>
      <c r="H946" s="524"/>
      <c r="I946" s="523"/>
      <c r="J946" s="523"/>
      <c r="K946" s="523"/>
      <c r="L946" s="523"/>
      <c r="M946" s="523"/>
      <c r="N946" s="523"/>
      <c r="O946" s="523"/>
      <c r="P946" s="523"/>
      <c r="Q946" s="523"/>
      <c r="R946" s="523"/>
      <c r="S946" s="523"/>
      <c r="T946" s="523"/>
      <c r="U946" s="523"/>
      <c r="V946" s="523"/>
      <c r="W946" s="523"/>
      <c r="X946" s="523"/>
      <c r="Y946" s="523"/>
      <c r="Z946" s="523"/>
    </row>
    <row r="947">
      <c r="A947" s="523"/>
      <c r="B947" s="524"/>
      <c r="C947" s="523"/>
      <c r="D947" s="523"/>
      <c r="E947" s="524"/>
      <c r="F947" s="524"/>
      <c r="G947" s="524"/>
      <c r="H947" s="524"/>
      <c r="I947" s="523"/>
      <c r="J947" s="523"/>
      <c r="K947" s="523"/>
      <c r="L947" s="523"/>
      <c r="M947" s="523"/>
      <c r="N947" s="523"/>
      <c r="O947" s="523"/>
      <c r="P947" s="523"/>
      <c r="Q947" s="523"/>
      <c r="R947" s="523"/>
      <c r="S947" s="523"/>
      <c r="T947" s="523"/>
      <c r="U947" s="523"/>
      <c r="V947" s="523"/>
      <c r="W947" s="523"/>
      <c r="X947" s="523"/>
      <c r="Y947" s="523"/>
      <c r="Z947" s="523"/>
    </row>
    <row r="948">
      <c r="A948" s="523"/>
      <c r="B948" s="524"/>
      <c r="C948" s="523"/>
      <c r="D948" s="523"/>
      <c r="E948" s="524"/>
      <c r="F948" s="524"/>
      <c r="G948" s="524"/>
      <c r="H948" s="524"/>
      <c r="I948" s="523"/>
      <c r="J948" s="523"/>
      <c r="K948" s="523"/>
      <c r="L948" s="523"/>
      <c r="M948" s="523"/>
      <c r="N948" s="523"/>
      <c r="O948" s="523"/>
      <c r="P948" s="523"/>
      <c r="Q948" s="523"/>
      <c r="R948" s="523"/>
      <c r="S948" s="523"/>
      <c r="T948" s="523"/>
      <c r="U948" s="523"/>
      <c r="V948" s="523"/>
      <c r="W948" s="523"/>
      <c r="X948" s="523"/>
      <c r="Y948" s="523"/>
      <c r="Z948" s="523"/>
    </row>
    <row r="949">
      <c r="A949" s="523"/>
      <c r="B949" s="524"/>
      <c r="C949" s="523"/>
      <c r="D949" s="523"/>
      <c r="E949" s="524"/>
      <c r="F949" s="524"/>
      <c r="G949" s="524"/>
      <c r="H949" s="524"/>
      <c r="I949" s="523"/>
      <c r="J949" s="523"/>
      <c r="K949" s="523"/>
      <c r="L949" s="523"/>
      <c r="M949" s="523"/>
      <c r="N949" s="523"/>
      <c r="O949" s="523"/>
      <c r="P949" s="523"/>
      <c r="Q949" s="523"/>
      <c r="R949" s="523"/>
      <c r="S949" s="523"/>
      <c r="T949" s="523"/>
      <c r="U949" s="523"/>
      <c r="V949" s="523"/>
      <c r="W949" s="523"/>
      <c r="X949" s="523"/>
      <c r="Y949" s="523"/>
      <c r="Z949" s="523"/>
    </row>
    <row r="950">
      <c r="A950" s="523"/>
      <c r="B950" s="524"/>
      <c r="C950" s="523"/>
      <c r="D950" s="523"/>
      <c r="E950" s="524"/>
      <c r="F950" s="524"/>
      <c r="G950" s="524"/>
      <c r="H950" s="524"/>
      <c r="I950" s="523"/>
      <c r="J950" s="523"/>
      <c r="K950" s="523"/>
      <c r="L950" s="523"/>
      <c r="M950" s="523"/>
      <c r="N950" s="523"/>
      <c r="O950" s="523"/>
      <c r="P950" s="523"/>
      <c r="Q950" s="523"/>
      <c r="R950" s="523"/>
      <c r="S950" s="523"/>
      <c r="T950" s="523"/>
      <c r="U950" s="523"/>
      <c r="V950" s="523"/>
      <c r="W950" s="523"/>
      <c r="X950" s="523"/>
      <c r="Y950" s="523"/>
      <c r="Z950" s="523"/>
    </row>
    <row r="951">
      <c r="A951" s="523"/>
      <c r="B951" s="524"/>
      <c r="C951" s="523"/>
      <c r="D951" s="523"/>
      <c r="E951" s="524"/>
      <c r="F951" s="524"/>
      <c r="G951" s="524"/>
      <c r="H951" s="524"/>
      <c r="I951" s="523"/>
      <c r="J951" s="523"/>
      <c r="K951" s="523"/>
      <c r="L951" s="523"/>
      <c r="M951" s="523"/>
      <c r="N951" s="523"/>
      <c r="O951" s="523"/>
      <c r="P951" s="523"/>
      <c r="Q951" s="523"/>
      <c r="R951" s="523"/>
      <c r="S951" s="523"/>
      <c r="T951" s="523"/>
      <c r="U951" s="523"/>
      <c r="V951" s="523"/>
      <c r="W951" s="523"/>
      <c r="X951" s="523"/>
      <c r="Y951" s="523"/>
      <c r="Z951" s="523"/>
    </row>
    <row r="952">
      <c r="A952" s="523"/>
      <c r="B952" s="524"/>
      <c r="C952" s="523"/>
      <c r="D952" s="523"/>
      <c r="E952" s="524"/>
      <c r="F952" s="524"/>
      <c r="G952" s="524"/>
      <c r="H952" s="524"/>
      <c r="I952" s="523"/>
      <c r="J952" s="523"/>
      <c r="K952" s="523"/>
      <c r="L952" s="523"/>
      <c r="M952" s="523"/>
      <c r="N952" s="523"/>
      <c r="O952" s="523"/>
      <c r="P952" s="523"/>
      <c r="Q952" s="523"/>
      <c r="R952" s="523"/>
      <c r="S952" s="523"/>
      <c r="T952" s="523"/>
      <c r="U952" s="523"/>
      <c r="V952" s="523"/>
      <c r="W952" s="523"/>
      <c r="X952" s="523"/>
      <c r="Y952" s="523"/>
      <c r="Z952" s="523"/>
    </row>
    <row r="953">
      <c r="A953" s="523"/>
      <c r="B953" s="524"/>
      <c r="C953" s="523"/>
      <c r="D953" s="523"/>
      <c r="E953" s="524"/>
      <c r="F953" s="524"/>
      <c r="G953" s="524"/>
      <c r="H953" s="524"/>
      <c r="I953" s="523"/>
      <c r="J953" s="523"/>
      <c r="K953" s="523"/>
      <c r="L953" s="523"/>
      <c r="M953" s="523"/>
      <c r="N953" s="523"/>
      <c r="O953" s="523"/>
      <c r="P953" s="523"/>
      <c r="Q953" s="523"/>
      <c r="R953" s="523"/>
      <c r="S953" s="523"/>
      <c r="T953" s="523"/>
      <c r="U953" s="523"/>
      <c r="V953" s="523"/>
      <c r="W953" s="523"/>
      <c r="X953" s="523"/>
      <c r="Y953" s="523"/>
      <c r="Z953" s="523"/>
    </row>
    <row r="954">
      <c r="A954" s="523"/>
      <c r="B954" s="524"/>
      <c r="C954" s="523"/>
      <c r="D954" s="523"/>
      <c r="E954" s="524"/>
      <c r="F954" s="524"/>
      <c r="G954" s="524"/>
      <c r="H954" s="524"/>
      <c r="I954" s="523"/>
      <c r="J954" s="523"/>
      <c r="K954" s="523"/>
      <c r="L954" s="523"/>
      <c r="M954" s="523"/>
      <c r="N954" s="523"/>
      <c r="O954" s="523"/>
      <c r="P954" s="523"/>
      <c r="Q954" s="523"/>
      <c r="R954" s="523"/>
      <c r="S954" s="523"/>
      <c r="T954" s="523"/>
      <c r="U954" s="523"/>
      <c r="V954" s="523"/>
      <c r="W954" s="523"/>
      <c r="X954" s="523"/>
      <c r="Y954" s="523"/>
      <c r="Z954" s="523"/>
    </row>
    <row r="955">
      <c r="A955" s="523"/>
      <c r="B955" s="524"/>
      <c r="C955" s="523"/>
      <c r="D955" s="523"/>
      <c r="E955" s="524"/>
      <c r="F955" s="524"/>
      <c r="G955" s="524"/>
      <c r="H955" s="524"/>
      <c r="I955" s="523"/>
      <c r="J955" s="523"/>
      <c r="K955" s="523"/>
      <c r="L955" s="523"/>
      <c r="M955" s="523"/>
      <c r="N955" s="523"/>
      <c r="O955" s="523"/>
      <c r="P955" s="523"/>
      <c r="Q955" s="523"/>
      <c r="R955" s="523"/>
      <c r="S955" s="523"/>
      <c r="T955" s="523"/>
      <c r="U955" s="523"/>
      <c r="V955" s="523"/>
      <c r="W955" s="523"/>
      <c r="X955" s="523"/>
      <c r="Y955" s="523"/>
      <c r="Z955" s="523"/>
    </row>
    <row r="956">
      <c r="A956" s="523"/>
      <c r="B956" s="524"/>
      <c r="C956" s="523"/>
      <c r="D956" s="523"/>
      <c r="E956" s="524"/>
      <c r="F956" s="524"/>
      <c r="G956" s="524"/>
      <c r="H956" s="524"/>
      <c r="I956" s="523"/>
      <c r="J956" s="523"/>
      <c r="K956" s="523"/>
      <c r="L956" s="523"/>
      <c r="M956" s="523"/>
      <c r="N956" s="523"/>
      <c r="O956" s="523"/>
      <c r="P956" s="523"/>
      <c r="Q956" s="523"/>
      <c r="R956" s="523"/>
      <c r="S956" s="523"/>
      <c r="T956" s="523"/>
      <c r="U956" s="523"/>
      <c r="V956" s="523"/>
      <c r="W956" s="523"/>
      <c r="X956" s="523"/>
      <c r="Y956" s="523"/>
      <c r="Z956" s="523"/>
    </row>
    <row r="957">
      <c r="A957" s="523"/>
      <c r="B957" s="524"/>
      <c r="C957" s="523"/>
      <c r="D957" s="523"/>
      <c r="E957" s="524"/>
      <c r="F957" s="524"/>
      <c r="G957" s="524"/>
      <c r="H957" s="524"/>
      <c r="I957" s="523"/>
      <c r="J957" s="523"/>
      <c r="K957" s="523"/>
      <c r="L957" s="523"/>
      <c r="M957" s="523"/>
      <c r="N957" s="523"/>
      <c r="O957" s="523"/>
      <c r="P957" s="523"/>
      <c r="Q957" s="523"/>
      <c r="R957" s="523"/>
      <c r="S957" s="523"/>
      <c r="T957" s="523"/>
      <c r="U957" s="523"/>
      <c r="V957" s="523"/>
      <c r="W957" s="523"/>
      <c r="X957" s="523"/>
      <c r="Y957" s="523"/>
      <c r="Z957" s="523"/>
    </row>
    <row r="958">
      <c r="A958" s="523"/>
      <c r="B958" s="524"/>
      <c r="C958" s="523"/>
      <c r="D958" s="523"/>
      <c r="E958" s="524"/>
      <c r="F958" s="524"/>
      <c r="G958" s="524"/>
      <c r="H958" s="524"/>
      <c r="I958" s="523"/>
      <c r="J958" s="523"/>
      <c r="K958" s="523"/>
      <c r="L958" s="523"/>
      <c r="M958" s="523"/>
      <c r="N958" s="523"/>
      <c r="O958" s="523"/>
      <c r="P958" s="523"/>
      <c r="Q958" s="523"/>
      <c r="R958" s="523"/>
      <c r="S958" s="523"/>
      <c r="T958" s="523"/>
      <c r="U958" s="523"/>
      <c r="V958" s="523"/>
      <c r="W958" s="523"/>
      <c r="X958" s="523"/>
      <c r="Y958" s="523"/>
      <c r="Z958" s="523"/>
    </row>
    <row r="959">
      <c r="A959" s="523"/>
      <c r="B959" s="524"/>
      <c r="C959" s="523"/>
      <c r="D959" s="523"/>
      <c r="E959" s="524"/>
      <c r="F959" s="524"/>
      <c r="G959" s="524"/>
      <c r="H959" s="524"/>
      <c r="I959" s="523"/>
      <c r="J959" s="523"/>
      <c r="K959" s="523"/>
      <c r="L959" s="523"/>
      <c r="M959" s="523"/>
      <c r="N959" s="523"/>
      <c r="O959" s="523"/>
      <c r="P959" s="523"/>
      <c r="Q959" s="523"/>
      <c r="R959" s="523"/>
      <c r="S959" s="523"/>
      <c r="T959" s="523"/>
      <c r="U959" s="523"/>
      <c r="V959" s="523"/>
      <c r="W959" s="523"/>
      <c r="X959" s="523"/>
      <c r="Y959" s="523"/>
      <c r="Z959" s="523"/>
    </row>
    <row r="960">
      <c r="A960" s="523"/>
      <c r="B960" s="524"/>
      <c r="C960" s="523"/>
      <c r="D960" s="523"/>
      <c r="E960" s="524"/>
      <c r="F960" s="524"/>
      <c r="G960" s="524"/>
      <c r="H960" s="524"/>
      <c r="I960" s="523"/>
      <c r="J960" s="523"/>
      <c r="K960" s="523"/>
      <c r="L960" s="523"/>
      <c r="M960" s="523"/>
      <c r="N960" s="523"/>
      <c r="O960" s="523"/>
      <c r="P960" s="523"/>
      <c r="Q960" s="523"/>
      <c r="R960" s="523"/>
      <c r="S960" s="523"/>
      <c r="T960" s="523"/>
      <c r="U960" s="523"/>
      <c r="V960" s="523"/>
      <c r="W960" s="523"/>
      <c r="X960" s="523"/>
      <c r="Y960" s="523"/>
      <c r="Z960" s="523"/>
    </row>
    <row r="961">
      <c r="A961" s="523"/>
      <c r="B961" s="524"/>
      <c r="C961" s="523"/>
      <c r="D961" s="523"/>
      <c r="E961" s="524"/>
      <c r="F961" s="524"/>
      <c r="G961" s="524"/>
      <c r="H961" s="524"/>
      <c r="I961" s="523"/>
      <c r="J961" s="523"/>
      <c r="K961" s="523"/>
      <c r="L961" s="523"/>
      <c r="M961" s="523"/>
      <c r="N961" s="523"/>
      <c r="O961" s="523"/>
      <c r="P961" s="523"/>
      <c r="Q961" s="523"/>
      <c r="R961" s="523"/>
      <c r="S961" s="523"/>
      <c r="T961" s="523"/>
      <c r="U961" s="523"/>
      <c r="V961" s="523"/>
      <c r="W961" s="523"/>
      <c r="X961" s="523"/>
      <c r="Y961" s="523"/>
      <c r="Z961" s="523"/>
    </row>
    <row r="962">
      <c r="A962" s="523"/>
      <c r="B962" s="524"/>
      <c r="C962" s="523"/>
      <c r="D962" s="523"/>
      <c r="E962" s="524"/>
      <c r="F962" s="524"/>
      <c r="G962" s="524"/>
      <c r="H962" s="524"/>
      <c r="I962" s="523"/>
      <c r="J962" s="523"/>
      <c r="K962" s="523"/>
      <c r="L962" s="523"/>
      <c r="M962" s="523"/>
      <c r="N962" s="523"/>
      <c r="O962" s="523"/>
      <c r="P962" s="523"/>
      <c r="Q962" s="523"/>
      <c r="R962" s="523"/>
      <c r="S962" s="523"/>
      <c r="T962" s="523"/>
      <c r="U962" s="523"/>
      <c r="V962" s="523"/>
      <c r="W962" s="523"/>
      <c r="X962" s="523"/>
      <c r="Y962" s="523"/>
      <c r="Z962" s="523"/>
    </row>
    <row r="963">
      <c r="A963" s="523"/>
      <c r="B963" s="524"/>
      <c r="C963" s="523"/>
      <c r="D963" s="523"/>
      <c r="E963" s="524"/>
      <c r="F963" s="524"/>
      <c r="G963" s="524"/>
      <c r="H963" s="524"/>
      <c r="I963" s="523"/>
      <c r="J963" s="523"/>
      <c r="K963" s="523"/>
      <c r="L963" s="523"/>
      <c r="M963" s="523"/>
      <c r="N963" s="523"/>
      <c r="O963" s="523"/>
      <c r="P963" s="523"/>
      <c r="Q963" s="523"/>
      <c r="R963" s="523"/>
      <c r="S963" s="523"/>
      <c r="T963" s="523"/>
      <c r="U963" s="523"/>
      <c r="V963" s="523"/>
      <c r="W963" s="523"/>
      <c r="X963" s="523"/>
      <c r="Y963" s="523"/>
      <c r="Z963" s="523"/>
    </row>
    <row r="964">
      <c r="A964" s="523"/>
      <c r="B964" s="524"/>
      <c r="C964" s="523"/>
      <c r="D964" s="523"/>
      <c r="E964" s="524"/>
      <c r="F964" s="524"/>
      <c r="G964" s="524"/>
      <c r="H964" s="524"/>
      <c r="I964" s="523"/>
      <c r="J964" s="523"/>
      <c r="K964" s="523"/>
      <c r="L964" s="523"/>
      <c r="M964" s="523"/>
      <c r="N964" s="523"/>
      <c r="O964" s="523"/>
      <c r="P964" s="523"/>
      <c r="Q964" s="523"/>
      <c r="R964" s="523"/>
      <c r="S964" s="523"/>
      <c r="T964" s="523"/>
      <c r="U964" s="523"/>
      <c r="V964" s="523"/>
      <c r="W964" s="523"/>
      <c r="X964" s="523"/>
      <c r="Y964" s="523"/>
      <c r="Z964" s="523"/>
    </row>
    <row r="965">
      <c r="A965" s="523"/>
      <c r="B965" s="524"/>
      <c r="C965" s="523"/>
      <c r="D965" s="523"/>
      <c r="E965" s="524"/>
      <c r="F965" s="524"/>
      <c r="G965" s="524"/>
      <c r="H965" s="524"/>
      <c r="I965" s="523"/>
      <c r="J965" s="523"/>
      <c r="K965" s="523"/>
      <c r="L965" s="523"/>
      <c r="M965" s="523"/>
      <c r="N965" s="523"/>
      <c r="O965" s="523"/>
      <c r="P965" s="523"/>
      <c r="Q965" s="523"/>
      <c r="R965" s="523"/>
      <c r="S965" s="523"/>
      <c r="T965" s="523"/>
      <c r="U965" s="523"/>
      <c r="V965" s="523"/>
      <c r="W965" s="523"/>
      <c r="X965" s="523"/>
      <c r="Y965" s="523"/>
      <c r="Z965" s="523"/>
    </row>
    <row r="966">
      <c r="A966" s="523"/>
      <c r="B966" s="524"/>
      <c r="C966" s="523"/>
      <c r="D966" s="523"/>
      <c r="E966" s="524"/>
      <c r="F966" s="524"/>
      <c r="G966" s="524"/>
      <c r="H966" s="524"/>
      <c r="I966" s="523"/>
      <c r="J966" s="523"/>
      <c r="K966" s="523"/>
      <c r="L966" s="523"/>
      <c r="M966" s="523"/>
      <c r="N966" s="523"/>
      <c r="O966" s="523"/>
      <c r="P966" s="523"/>
      <c r="Q966" s="523"/>
      <c r="R966" s="523"/>
      <c r="S966" s="523"/>
      <c r="T966" s="523"/>
      <c r="U966" s="523"/>
      <c r="V966" s="523"/>
      <c r="W966" s="523"/>
      <c r="X966" s="523"/>
      <c r="Y966" s="523"/>
      <c r="Z966" s="523"/>
    </row>
    <row r="967">
      <c r="A967" s="523"/>
      <c r="B967" s="524"/>
      <c r="C967" s="523"/>
      <c r="D967" s="523"/>
      <c r="E967" s="524"/>
      <c r="F967" s="524"/>
      <c r="G967" s="524"/>
      <c r="H967" s="524"/>
      <c r="I967" s="523"/>
      <c r="J967" s="523"/>
      <c r="K967" s="523"/>
      <c r="L967" s="523"/>
      <c r="M967" s="523"/>
      <c r="N967" s="523"/>
      <c r="O967" s="523"/>
      <c r="P967" s="523"/>
      <c r="Q967" s="523"/>
      <c r="R967" s="523"/>
      <c r="S967" s="523"/>
      <c r="T967" s="523"/>
      <c r="U967" s="523"/>
      <c r="V967" s="523"/>
      <c r="W967" s="523"/>
      <c r="X967" s="523"/>
      <c r="Y967" s="523"/>
      <c r="Z967" s="523"/>
    </row>
    <row r="968">
      <c r="A968" s="523"/>
      <c r="B968" s="524"/>
      <c r="C968" s="523"/>
      <c r="D968" s="523"/>
      <c r="E968" s="524"/>
      <c r="F968" s="524"/>
      <c r="G968" s="524"/>
      <c r="H968" s="524"/>
      <c r="I968" s="523"/>
      <c r="J968" s="523"/>
      <c r="K968" s="523"/>
      <c r="L968" s="523"/>
      <c r="M968" s="523"/>
      <c r="N968" s="523"/>
      <c r="O968" s="523"/>
      <c r="P968" s="523"/>
      <c r="Q968" s="523"/>
      <c r="R968" s="523"/>
      <c r="S968" s="523"/>
      <c r="T968" s="523"/>
      <c r="U968" s="523"/>
      <c r="V968" s="523"/>
      <c r="W968" s="523"/>
      <c r="X968" s="523"/>
      <c r="Y968" s="523"/>
      <c r="Z968" s="523"/>
    </row>
    <row r="969">
      <c r="A969" s="523"/>
      <c r="B969" s="524"/>
      <c r="C969" s="523"/>
      <c r="D969" s="523"/>
      <c r="E969" s="524"/>
      <c r="F969" s="524"/>
      <c r="G969" s="524"/>
      <c r="H969" s="524"/>
      <c r="I969" s="523"/>
      <c r="J969" s="523"/>
      <c r="K969" s="523"/>
      <c r="L969" s="523"/>
      <c r="M969" s="523"/>
      <c r="N969" s="523"/>
      <c r="O969" s="523"/>
      <c r="P969" s="523"/>
      <c r="Q969" s="523"/>
      <c r="R969" s="523"/>
      <c r="S969" s="523"/>
      <c r="T969" s="523"/>
      <c r="U969" s="523"/>
      <c r="V969" s="523"/>
      <c r="W969" s="523"/>
      <c r="X969" s="523"/>
      <c r="Y969" s="523"/>
      <c r="Z969" s="523"/>
    </row>
    <row r="970">
      <c r="A970" s="523"/>
      <c r="B970" s="524"/>
      <c r="C970" s="523"/>
      <c r="D970" s="523"/>
      <c r="E970" s="524"/>
      <c r="F970" s="524"/>
      <c r="G970" s="524"/>
      <c r="H970" s="524"/>
      <c r="I970" s="523"/>
      <c r="J970" s="523"/>
      <c r="K970" s="523"/>
      <c r="L970" s="523"/>
      <c r="M970" s="523"/>
      <c r="N970" s="523"/>
      <c r="O970" s="523"/>
      <c r="P970" s="523"/>
      <c r="Q970" s="523"/>
      <c r="R970" s="523"/>
      <c r="S970" s="523"/>
      <c r="T970" s="523"/>
      <c r="U970" s="523"/>
      <c r="V970" s="523"/>
      <c r="W970" s="523"/>
      <c r="X970" s="523"/>
      <c r="Y970" s="523"/>
      <c r="Z970" s="523"/>
    </row>
    <row r="971">
      <c r="A971" s="523"/>
      <c r="B971" s="524"/>
      <c r="C971" s="523"/>
      <c r="D971" s="523"/>
      <c r="E971" s="524"/>
      <c r="F971" s="524"/>
      <c r="G971" s="524"/>
      <c r="H971" s="524"/>
      <c r="I971" s="523"/>
      <c r="J971" s="523"/>
      <c r="K971" s="523"/>
      <c r="L971" s="523"/>
      <c r="M971" s="523"/>
      <c r="N971" s="523"/>
      <c r="O971" s="523"/>
      <c r="P971" s="523"/>
      <c r="Q971" s="523"/>
      <c r="R971" s="523"/>
      <c r="S971" s="523"/>
      <c r="T971" s="523"/>
      <c r="U971" s="523"/>
      <c r="V971" s="523"/>
      <c r="W971" s="523"/>
      <c r="X971" s="523"/>
      <c r="Y971" s="523"/>
      <c r="Z971" s="523"/>
    </row>
    <row r="972">
      <c r="A972" s="523"/>
      <c r="B972" s="524"/>
      <c r="C972" s="523"/>
      <c r="D972" s="523"/>
      <c r="E972" s="524"/>
      <c r="F972" s="524"/>
      <c r="G972" s="524"/>
      <c r="H972" s="524"/>
      <c r="I972" s="523"/>
      <c r="J972" s="523"/>
      <c r="K972" s="523"/>
      <c r="L972" s="523"/>
      <c r="M972" s="523"/>
      <c r="N972" s="523"/>
      <c r="O972" s="523"/>
      <c r="P972" s="523"/>
      <c r="Q972" s="523"/>
      <c r="R972" s="523"/>
      <c r="S972" s="523"/>
      <c r="T972" s="523"/>
      <c r="U972" s="523"/>
      <c r="V972" s="523"/>
      <c r="W972" s="523"/>
      <c r="X972" s="523"/>
      <c r="Y972" s="523"/>
      <c r="Z972" s="523"/>
    </row>
    <row r="973">
      <c r="A973" s="523"/>
      <c r="B973" s="524"/>
      <c r="C973" s="523"/>
      <c r="D973" s="523"/>
      <c r="E973" s="524"/>
      <c r="F973" s="524"/>
      <c r="G973" s="524"/>
      <c r="H973" s="524"/>
      <c r="I973" s="523"/>
      <c r="J973" s="523"/>
      <c r="K973" s="523"/>
      <c r="L973" s="523"/>
      <c r="M973" s="523"/>
      <c r="N973" s="523"/>
      <c r="O973" s="523"/>
      <c r="P973" s="523"/>
      <c r="Q973" s="523"/>
      <c r="R973" s="523"/>
      <c r="S973" s="523"/>
      <c r="T973" s="523"/>
      <c r="U973" s="523"/>
      <c r="V973" s="523"/>
      <c r="W973" s="523"/>
      <c r="X973" s="523"/>
      <c r="Y973" s="523"/>
      <c r="Z973" s="523"/>
    </row>
    <row r="974">
      <c r="A974" s="523"/>
      <c r="B974" s="524"/>
      <c r="C974" s="523"/>
      <c r="D974" s="523"/>
      <c r="E974" s="524"/>
      <c r="F974" s="524"/>
      <c r="G974" s="524"/>
      <c r="H974" s="524"/>
      <c r="I974" s="523"/>
      <c r="J974" s="523"/>
      <c r="K974" s="523"/>
      <c r="L974" s="523"/>
      <c r="M974" s="523"/>
      <c r="N974" s="523"/>
      <c r="O974" s="523"/>
      <c r="P974" s="523"/>
      <c r="Q974" s="523"/>
      <c r="R974" s="523"/>
      <c r="S974" s="523"/>
      <c r="T974" s="523"/>
      <c r="U974" s="523"/>
      <c r="V974" s="523"/>
      <c r="W974" s="523"/>
      <c r="X974" s="523"/>
      <c r="Y974" s="523"/>
      <c r="Z974" s="523"/>
    </row>
    <row r="975">
      <c r="A975" s="523"/>
      <c r="B975" s="524"/>
      <c r="C975" s="523"/>
      <c r="D975" s="523"/>
      <c r="E975" s="524"/>
      <c r="F975" s="524"/>
      <c r="G975" s="524"/>
      <c r="H975" s="524"/>
      <c r="I975" s="523"/>
      <c r="J975" s="523"/>
      <c r="K975" s="523"/>
      <c r="L975" s="523"/>
      <c r="M975" s="523"/>
      <c r="N975" s="523"/>
      <c r="O975" s="523"/>
      <c r="P975" s="523"/>
      <c r="Q975" s="523"/>
      <c r="R975" s="523"/>
      <c r="S975" s="523"/>
      <c r="T975" s="523"/>
      <c r="U975" s="523"/>
      <c r="V975" s="523"/>
      <c r="W975" s="523"/>
      <c r="X975" s="523"/>
      <c r="Y975" s="523"/>
      <c r="Z975" s="523"/>
    </row>
    <row r="976">
      <c r="A976" s="523"/>
      <c r="B976" s="524"/>
      <c r="C976" s="523"/>
      <c r="D976" s="523"/>
      <c r="E976" s="524"/>
      <c r="F976" s="524"/>
      <c r="G976" s="524"/>
      <c r="H976" s="524"/>
      <c r="I976" s="523"/>
      <c r="J976" s="523"/>
      <c r="K976" s="523"/>
      <c r="L976" s="523"/>
      <c r="M976" s="523"/>
      <c r="N976" s="523"/>
      <c r="O976" s="523"/>
      <c r="P976" s="523"/>
      <c r="Q976" s="523"/>
      <c r="R976" s="523"/>
      <c r="S976" s="523"/>
      <c r="T976" s="523"/>
      <c r="U976" s="523"/>
      <c r="V976" s="523"/>
      <c r="W976" s="523"/>
      <c r="X976" s="523"/>
      <c r="Y976" s="523"/>
      <c r="Z976" s="523"/>
    </row>
    <row r="977">
      <c r="A977" s="523"/>
      <c r="B977" s="524"/>
      <c r="C977" s="523"/>
      <c r="D977" s="523"/>
      <c r="E977" s="524"/>
      <c r="F977" s="524"/>
      <c r="G977" s="524"/>
      <c r="H977" s="524"/>
      <c r="I977" s="523"/>
      <c r="J977" s="523"/>
      <c r="K977" s="523"/>
      <c r="L977" s="523"/>
      <c r="M977" s="523"/>
      <c r="N977" s="523"/>
      <c r="O977" s="523"/>
      <c r="P977" s="523"/>
      <c r="Q977" s="523"/>
      <c r="R977" s="523"/>
      <c r="S977" s="523"/>
      <c r="T977" s="523"/>
      <c r="U977" s="523"/>
      <c r="V977" s="523"/>
      <c r="W977" s="523"/>
      <c r="X977" s="523"/>
      <c r="Y977" s="523"/>
      <c r="Z977" s="523"/>
    </row>
    <row r="978">
      <c r="A978" s="523"/>
      <c r="B978" s="524"/>
      <c r="C978" s="523"/>
      <c r="D978" s="523"/>
      <c r="E978" s="524"/>
      <c r="F978" s="524"/>
      <c r="G978" s="524"/>
      <c r="H978" s="524"/>
      <c r="I978" s="523"/>
      <c r="J978" s="523"/>
      <c r="K978" s="523"/>
      <c r="L978" s="523"/>
      <c r="M978" s="523"/>
      <c r="N978" s="523"/>
      <c r="O978" s="523"/>
      <c r="P978" s="523"/>
      <c r="Q978" s="523"/>
      <c r="R978" s="523"/>
      <c r="S978" s="523"/>
      <c r="T978" s="523"/>
      <c r="U978" s="523"/>
      <c r="V978" s="523"/>
      <c r="W978" s="523"/>
      <c r="X978" s="523"/>
      <c r="Y978" s="523"/>
      <c r="Z978" s="523"/>
    </row>
    <row r="979">
      <c r="A979" s="523"/>
      <c r="B979" s="524"/>
      <c r="C979" s="523"/>
      <c r="D979" s="523"/>
      <c r="E979" s="524"/>
      <c r="F979" s="524"/>
      <c r="G979" s="524"/>
      <c r="H979" s="524"/>
      <c r="I979" s="523"/>
      <c r="J979" s="523"/>
      <c r="K979" s="523"/>
      <c r="L979" s="523"/>
      <c r="M979" s="523"/>
      <c r="N979" s="523"/>
      <c r="O979" s="523"/>
      <c r="P979" s="523"/>
      <c r="Q979" s="523"/>
      <c r="R979" s="523"/>
      <c r="S979" s="523"/>
      <c r="T979" s="523"/>
      <c r="U979" s="523"/>
      <c r="V979" s="523"/>
      <c r="W979" s="523"/>
      <c r="X979" s="523"/>
      <c r="Y979" s="523"/>
      <c r="Z979" s="523"/>
    </row>
    <row r="980">
      <c r="A980" s="523"/>
      <c r="B980" s="524"/>
      <c r="C980" s="523"/>
      <c r="D980" s="523"/>
      <c r="E980" s="524"/>
      <c r="F980" s="524"/>
      <c r="G980" s="524"/>
      <c r="H980" s="524"/>
      <c r="I980" s="523"/>
      <c r="J980" s="523"/>
      <c r="K980" s="523"/>
      <c r="L980" s="523"/>
      <c r="M980" s="523"/>
      <c r="N980" s="523"/>
      <c r="O980" s="523"/>
      <c r="P980" s="523"/>
      <c r="Q980" s="523"/>
      <c r="R980" s="523"/>
      <c r="S980" s="523"/>
      <c r="T980" s="523"/>
      <c r="U980" s="523"/>
      <c r="V980" s="523"/>
      <c r="W980" s="523"/>
      <c r="X980" s="523"/>
      <c r="Y980" s="523"/>
      <c r="Z980" s="523"/>
    </row>
    <row r="981">
      <c r="A981" s="523"/>
      <c r="B981" s="524"/>
      <c r="C981" s="523"/>
      <c r="D981" s="523"/>
      <c r="E981" s="524"/>
      <c r="F981" s="524"/>
      <c r="G981" s="524"/>
      <c r="H981" s="524"/>
      <c r="I981" s="523"/>
      <c r="J981" s="523"/>
      <c r="K981" s="523"/>
      <c r="L981" s="523"/>
      <c r="M981" s="523"/>
      <c r="N981" s="523"/>
      <c r="O981" s="523"/>
      <c r="P981" s="523"/>
      <c r="Q981" s="523"/>
      <c r="R981" s="523"/>
      <c r="S981" s="523"/>
      <c r="T981" s="523"/>
      <c r="U981" s="523"/>
      <c r="V981" s="523"/>
      <c r="W981" s="523"/>
      <c r="X981" s="523"/>
      <c r="Y981" s="523"/>
      <c r="Z981" s="523"/>
    </row>
    <row r="982">
      <c r="A982" s="523"/>
      <c r="B982" s="524"/>
      <c r="C982" s="523"/>
      <c r="D982" s="523"/>
      <c r="E982" s="524"/>
      <c r="F982" s="524"/>
      <c r="G982" s="524"/>
      <c r="H982" s="524"/>
      <c r="I982" s="523"/>
      <c r="J982" s="523"/>
      <c r="K982" s="523"/>
      <c r="L982" s="523"/>
      <c r="M982" s="523"/>
      <c r="N982" s="523"/>
      <c r="O982" s="523"/>
      <c r="P982" s="523"/>
      <c r="Q982" s="523"/>
      <c r="R982" s="523"/>
      <c r="S982" s="523"/>
      <c r="T982" s="523"/>
      <c r="U982" s="523"/>
      <c r="V982" s="523"/>
      <c r="W982" s="523"/>
      <c r="X982" s="523"/>
      <c r="Y982" s="523"/>
      <c r="Z982" s="523"/>
    </row>
    <row r="983">
      <c r="A983" s="523"/>
      <c r="B983" s="524"/>
      <c r="C983" s="523"/>
      <c r="D983" s="523"/>
      <c r="E983" s="524"/>
      <c r="F983" s="524"/>
      <c r="G983" s="524"/>
      <c r="H983" s="524"/>
      <c r="I983" s="523"/>
      <c r="J983" s="523"/>
      <c r="K983" s="523"/>
      <c r="L983" s="523"/>
      <c r="M983" s="523"/>
      <c r="N983" s="523"/>
      <c r="O983" s="523"/>
      <c r="P983" s="523"/>
      <c r="Q983" s="523"/>
      <c r="R983" s="523"/>
      <c r="S983" s="523"/>
      <c r="T983" s="523"/>
      <c r="U983" s="523"/>
      <c r="V983" s="523"/>
      <c r="W983" s="523"/>
      <c r="X983" s="523"/>
      <c r="Y983" s="523"/>
      <c r="Z983" s="523"/>
    </row>
    <row r="984">
      <c r="A984" s="523"/>
      <c r="B984" s="524"/>
      <c r="C984" s="523"/>
      <c r="D984" s="523"/>
      <c r="E984" s="524"/>
      <c r="F984" s="524"/>
      <c r="G984" s="524"/>
      <c r="H984" s="524"/>
      <c r="I984" s="523"/>
      <c r="J984" s="523"/>
      <c r="K984" s="523"/>
      <c r="L984" s="523"/>
      <c r="M984" s="523"/>
      <c r="N984" s="523"/>
      <c r="O984" s="523"/>
      <c r="P984" s="523"/>
      <c r="Q984" s="523"/>
      <c r="R984" s="523"/>
      <c r="S984" s="523"/>
      <c r="T984" s="523"/>
      <c r="U984" s="523"/>
      <c r="V984" s="523"/>
      <c r="W984" s="523"/>
      <c r="X984" s="523"/>
      <c r="Y984" s="523"/>
      <c r="Z984" s="523"/>
    </row>
    <row r="985">
      <c r="A985" s="523"/>
      <c r="B985" s="524"/>
      <c r="C985" s="523"/>
      <c r="D985" s="523"/>
      <c r="E985" s="524"/>
      <c r="F985" s="524"/>
      <c r="G985" s="524"/>
      <c r="H985" s="524"/>
      <c r="I985" s="523"/>
      <c r="J985" s="523"/>
      <c r="K985" s="523"/>
      <c r="L985" s="523"/>
      <c r="M985" s="523"/>
      <c r="N985" s="523"/>
      <c r="O985" s="523"/>
      <c r="P985" s="523"/>
      <c r="Q985" s="523"/>
      <c r="R985" s="523"/>
      <c r="S985" s="523"/>
      <c r="T985" s="523"/>
      <c r="U985" s="523"/>
      <c r="V985" s="523"/>
      <c r="W985" s="523"/>
      <c r="X985" s="523"/>
      <c r="Y985" s="523"/>
      <c r="Z985" s="523"/>
    </row>
    <row r="986">
      <c r="A986" s="523"/>
      <c r="B986" s="524"/>
      <c r="C986" s="523"/>
      <c r="D986" s="523"/>
      <c r="E986" s="524"/>
      <c r="F986" s="524"/>
      <c r="G986" s="524"/>
      <c r="H986" s="524"/>
      <c r="I986" s="523"/>
      <c r="J986" s="523"/>
      <c r="K986" s="523"/>
      <c r="L986" s="523"/>
      <c r="M986" s="523"/>
      <c r="N986" s="523"/>
      <c r="O986" s="523"/>
      <c r="P986" s="523"/>
      <c r="Q986" s="523"/>
      <c r="R986" s="523"/>
      <c r="S986" s="523"/>
      <c r="T986" s="523"/>
      <c r="U986" s="523"/>
      <c r="V986" s="523"/>
      <c r="W986" s="523"/>
      <c r="X986" s="523"/>
      <c r="Y986" s="523"/>
      <c r="Z986" s="523"/>
    </row>
    <row r="987">
      <c r="A987" s="523"/>
      <c r="B987" s="524"/>
      <c r="C987" s="523"/>
      <c r="D987" s="523"/>
      <c r="E987" s="524"/>
      <c r="F987" s="524"/>
      <c r="G987" s="524"/>
      <c r="H987" s="524"/>
      <c r="I987" s="523"/>
      <c r="J987" s="523"/>
      <c r="K987" s="523"/>
      <c r="L987" s="523"/>
      <c r="M987" s="523"/>
      <c r="N987" s="523"/>
      <c r="O987" s="523"/>
      <c r="P987" s="523"/>
      <c r="Q987" s="523"/>
      <c r="R987" s="523"/>
      <c r="S987" s="523"/>
      <c r="T987" s="523"/>
      <c r="U987" s="523"/>
      <c r="V987" s="523"/>
      <c r="W987" s="523"/>
      <c r="X987" s="523"/>
      <c r="Y987" s="523"/>
      <c r="Z987" s="523"/>
    </row>
    <row r="988">
      <c r="A988" s="523"/>
      <c r="B988" s="524"/>
      <c r="C988" s="523"/>
      <c r="D988" s="523"/>
      <c r="E988" s="524"/>
      <c r="F988" s="524"/>
      <c r="G988" s="524"/>
      <c r="H988" s="524"/>
      <c r="I988" s="523"/>
      <c r="J988" s="523"/>
      <c r="K988" s="523"/>
      <c r="L988" s="523"/>
      <c r="M988" s="523"/>
      <c r="N988" s="523"/>
      <c r="O988" s="523"/>
      <c r="P988" s="523"/>
      <c r="Q988" s="523"/>
      <c r="R988" s="523"/>
      <c r="S988" s="523"/>
      <c r="T988" s="523"/>
      <c r="U988" s="523"/>
      <c r="V988" s="523"/>
      <c r="W988" s="523"/>
      <c r="X988" s="523"/>
      <c r="Y988" s="523"/>
      <c r="Z988" s="523"/>
    </row>
    <row r="989">
      <c r="A989" s="523"/>
      <c r="B989" s="524"/>
      <c r="C989" s="523"/>
      <c r="D989" s="523"/>
      <c r="E989" s="524"/>
      <c r="F989" s="524"/>
      <c r="G989" s="524"/>
      <c r="H989" s="524"/>
      <c r="I989" s="523"/>
      <c r="J989" s="523"/>
      <c r="K989" s="523"/>
      <c r="L989" s="523"/>
      <c r="M989" s="523"/>
      <c r="N989" s="523"/>
      <c r="O989" s="523"/>
      <c r="P989" s="523"/>
      <c r="Q989" s="523"/>
      <c r="R989" s="523"/>
      <c r="S989" s="523"/>
      <c r="T989" s="523"/>
      <c r="U989" s="523"/>
      <c r="V989" s="523"/>
      <c r="W989" s="523"/>
      <c r="X989" s="523"/>
      <c r="Y989" s="523"/>
      <c r="Z989" s="523"/>
    </row>
    <row r="990">
      <c r="A990" s="523"/>
      <c r="B990" s="524"/>
      <c r="C990" s="523"/>
      <c r="D990" s="523"/>
      <c r="E990" s="524"/>
      <c r="F990" s="524"/>
      <c r="G990" s="524"/>
      <c r="H990" s="524"/>
      <c r="I990" s="523"/>
      <c r="J990" s="523"/>
      <c r="K990" s="523"/>
      <c r="L990" s="523"/>
      <c r="M990" s="523"/>
      <c r="N990" s="523"/>
      <c r="O990" s="523"/>
      <c r="P990" s="523"/>
      <c r="Q990" s="523"/>
      <c r="R990" s="523"/>
      <c r="S990" s="523"/>
      <c r="T990" s="523"/>
      <c r="U990" s="523"/>
      <c r="V990" s="523"/>
      <c r="W990" s="523"/>
      <c r="X990" s="523"/>
      <c r="Y990" s="523"/>
      <c r="Z990" s="523"/>
    </row>
    <row r="991">
      <c r="A991" s="523"/>
      <c r="B991" s="524"/>
      <c r="C991" s="523"/>
      <c r="D991" s="523"/>
      <c r="E991" s="524"/>
      <c r="F991" s="524"/>
      <c r="G991" s="524"/>
      <c r="H991" s="524"/>
      <c r="I991" s="523"/>
      <c r="J991" s="523"/>
      <c r="K991" s="523"/>
      <c r="L991" s="523"/>
      <c r="M991" s="523"/>
      <c r="N991" s="523"/>
      <c r="O991" s="523"/>
      <c r="P991" s="523"/>
      <c r="Q991" s="523"/>
      <c r="R991" s="523"/>
      <c r="S991" s="523"/>
      <c r="T991" s="523"/>
      <c r="U991" s="523"/>
      <c r="V991" s="523"/>
      <c r="W991" s="523"/>
      <c r="X991" s="523"/>
      <c r="Y991" s="523"/>
      <c r="Z991" s="523"/>
    </row>
    <row r="992">
      <c r="A992" s="523"/>
      <c r="B992" s="524"/>
      <c r="C992" s="523"/>
      <c r="D992" s="523"/>
      <c r="E992" s="524"/>
      <c r="F992" s="524"/>
      <c r="G992" s="524"/>
      <c r="H992" s="524"/>
      <c r="I992" s="523"/>
      <c r="J992" s="523"/>
      <c r="K992" s="523"/>
      <c r="L992" s="523"/>
      <c r="M992" s="523"/>
      <c r="N992" s="523"/>
      <c r="O992" s="523"/>
      <c r="P992" s="523"/>
      <c r="Q992" s="523"/>
      <c r="R992" s="523"/>
      <c r="S992" s="523"/>
      <c r="T992" s="523"/>
      <c r="U992" s="523"/>
      <c r="V992" s="523"/>
      <c r="W992" s="523"/>
      <c r="X992" s="523"/>
      <c r="Y992" s="523"/>
      <c r="Z992" s="523"/>
    </row>
    <row r="993">
      <c r="A993" s="523"/>
      <c r="B993" s="524"/>
      <c r="C993" s="523"/>
      <c r="D993" s="523"/>
      <c r="E993" s="524"/>
      <c r="F993" s="524"/>
      <c r="G993" s="524"/>
      <c r="H993" s="524"/>
      <c r="I993" s="523"/>
      <c r="J993" s="523"/>
      <c r="K993" s="523"/>
      <c r="L993" s="523"/>
      <c r="M993" s="523"/>
      <c r="N993" s="523"/>
      <c r="O993" s="523"/>
      <c r="P993" s="523"/>
      <c r="Q993" s="523"/>
      <c r="R993" s="523"/>
      <c r="S993" s="523"/>
      <c r="T993" s="523"/>
      <c r="U993" s="523"/>
      <c r="V993" s="523"/>
      <c r="W993" s="523"/>
      <c r="X993" s="523"/>
      <c r="Y993" s="523"/>
      <c r="Z993" s="523"/>
    </row>
    <row r="994">
      <c r="A994" s="523"/>
      <c r="B994" s="524"/>
      <c r="C994" s="523"/>
      <c r="D994" s="523"/>
      <c r="E994" s="524"/>
      <c r="F994" s="524"/>
      <c r="G994" s="524"/>
      <c r="H994" s="524"/>
      <c r="I994" s="523"/>
      <c r="J994" s="523"/>
      <c r="K994" s="523"/>
      <c r="L994" s="523"/>
      <c r="M994" s="523"/>
      <c r="N994" s="523"/>
      <c r="O994" s="523"/>
      <c r="P994" s="523"/>
      <c r="Q994" s="523"/>
      <c r="R994" s="523"/>
      <c r="S994" s="523"/>
      <c r="T994" s="523"/>
      <c r="U994" s="523"/>
      <c r="V994" s="523"/>
      <c r="W994" s="523"/>
      <c r="X994" s="523"/>
      <c r="Y994" s="523"/>
      <c r="Z994" s="523"/>
    </row>
    <row r="995">
      <c r="A995" s="523"/>
      <c r="B995" s="524"/>
      <c r="C995" s="523"/>
      <c r="D995" s="523"/>
      <c r="E995" s="524"/>
      <c r="F995" s="524"/>
      <c r="G995" s="524"/>
      <c r="H995" s="524"/>
      <c r="I995" s="523"/>
      <c r="J995" s="523"/>
      <c r="K995" s="523"/>
      <c r="L995" s="523"/>
      <c r="M995" s="523"/>
      <c r="N995" s="523"/>
      <c r="O995" s="523"/>
      <c r="P995" s="523"/>
      <c r="Q995" s="523"/>
      <c r="R995" s="523"/>
      <c r="S995" s="523"/>
      <c r="T995" s="523"/>
      <c r="U995" s="523"/>
      <c r="V995" s="523"/>
      <c r="W995" s="523"/>
      <c r="X995" s="523"/>
      <c r="Y995" s="523"/>
      <c r="Z995" s="523"/>
    </row>
    <row r="996">
      <c r="A996" s="523"/>
      <c r="B996" s="524"/>
      <c r="C996" s="523"/>
      <c r="D996" s="523"/>
      <c r="E996" s="524"/>
      <c r="F996" s="524"/>
      <c r="G996" s="524"/>
      <c r="H996" s="524"/>
      <c r="I996" s="523"/>
      <c r="J996" s="523"/>
      <c r="K996" s="523"/>
      <c r="L996" s="523"/>
      <c r="M996" s="523"/>
      <c r="N996" s="523"/>
      <c r="O996" s="523"/>
      <c r="P996" s="523"/>
      <c r="Q996" s="523"/>
      <c r="R996" s="523"/>
      <c r="S996" s="523"/>
      <c r="T996" s="523"/>
      <c r="U996" s="523"/>
      <c r="V996" s="523"/>
      <c r="W996" s="523"/>
      <c r="X996" s="523"/>
      <c r="Y996" s="523"/>
      <c r="Z996" s="523"/>
    </row>
    <row r="997">
      <c r="A997" s="523"/>
      <c r="B997" s="524"/>
      <c r="C997" s="523"/>
      <c r="D997" s="523"/>
      <c r="E997" s="524"/>
      <c r="F997" s="524"/>
      <c r="G997" s="524"/>
      <c r="H997" s="524"/>
      <c r="I997" s="523"/>
      <c r="J997" s="523"/>
      <c r="K997" s="523"/>
      <c r="L997" s="523"/>
      <c r="M997" s="523"/>
      <c r="N997" s="523"/>
      <c r="O997" s="523"/>
      <c r="P997" s="523"/>
      <c r="Q997" s="523"/>
      <c r="R997" s="523"/>
      <c r="S997" s="523"/>
      <c r="T997" s="523"/>
      <c r="U997" s="523"/>
      <c r="V997" s="523"/>
      <c r="W997" s="523"/>
      <c r="X997" s="523"/>
      <c r="Y997" s="523"/>
      <c r="Z997" s="523"/>
    </row>
    <row r="998">
      <c r="A998" s="523"/>
      <c r="B998" s="524"/>
      <c r="C998" s="523"/>
      <c r="D998" s="523"/>
      <c r="E998" s="524"/>
      <c r="F998" s="524"/>
      <c r="G998" s="524"/>
      <c r="H998" s="524"/>
      <c r="I998" s="523"/>
      <c r="J998" s="523"/>
      <c r="K998" s="523"/>
      <c r="L998" s="523"/>
      <c r="M998" s="523"/>
      <c r="N998" s="523"/>
      <c r="O998" s="523"/>
      <c r="P998" s="523"/>
      <c r="Q998" s="523"/>
      <c r="R998" s="523"/>
      <c r="S998" s="523"/>
      <c r="T998" s="523"/>
      <c r="U998" s="523"/>
      <c r="V998" s="523"/>
      <c r="W998" s="523"/>
      <c r="X998" s="523"/>
      <c r="Y998" s="523"/>
      <c r="Z998" s="523"/>
    </row>
    <row r="999">
      <c r="A999" s="523"/>
      <c r="B999" s="524"/>
      <c r="C999" s="523"/>
      <c r="D999" s="523"/>
      <c r="E999" s="524"/>
      <c r="F999" s="524"/>
      <c r="G999" s="524"/>
      <c r="H999" s="524"/>
      <c r="I999" s="523"/>
      <c r="J999" s="523"/>
      <c r="K999" s="523"/>
      <c r="L999" s="523"/>
      <c r="M999" s="523"/>
      <c r="N999" s="523"/>
      <c r="O999" s="523"/>
      <c r="P999" s="523"/>
      <c r="Q999" s="523"/>
      <c r="R999" s="523"/>
      <c r="S999" s="523"/>
      <c r="T999" s="523"/>
      <c r="U999" s="523"/>
      <c r="V999" s="523"/>
      <c r="W999" s="523"/>
      <c r="X999" s="523"/>
      <c r="Y999" s="523"/>
      <c r="Z999" s="523"/>
    </row>
    <row r="1000">
      <c r="A1000" s="523"/>
      <c r="B1000" s="524"/>
      <c r="C1000" s="523"/>
      <c r="D1000" s="523"/>
      <c r="E1000" s="524"/>
      <c r="F1000" s="524"/>
      <c r="G1000" s="524"/>
      <c r="H1000" s="524"/>
      <c r="I1000" s="523"/>
      <c r="J1000" s="523"/>
      <c r="K1000" s="523"/>
      <c r="L1000" s="523"/>
      <c r="M1000" s="523"/>
      <c r="N1000" s="523"/>
      <c r="O1000" s="523"/>
      <c r="P1000" s="523"/>
      <c r="Q1000" s="523"/>
      <c r="R1000" s="523"/>
      <c r="S1000" s="523"/>
      <c r="T1000" s="523"/>
      <c r="U1000" s="523"/>
      <c r="V1000" s="523"/>
      <c r="W1000" s="523"/>
      <c r="X1000" s="523"/>
      <c r="Y1000" s="523"/>
      <c r="Z1000" s="523"/>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2021-09-17T06:01:55Z</dcterms:created>
  <dc:creator>ragin</dc:creator>
</cp:coreProperties>
</file>